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timelineCaches/timelineCache1.xml" ContentType="application/vnd.ms-excel.timelineCache+xml"/>
  <Override PartName="/xl/timelineCaches/timelineCache2.xml" ContentType="application/vnd.ms-excel.timeline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pivotTables/pivotTable1.xml" ContentType="application/vnd.openxmlformats-officedocument.spreadsheetml.pivotTable+xml"/>
  <Override PartName="/xl/drawings/drawing6.xml" ContentType="application/vnd.openxmlformats-officedocument.drawing+xml"/>
  <Override PartName="/xl/timelines/timeline1.xml" ContentType="application/vnd.ms-excel.timeline+xml"/>
  <Override PartName="/xl/charts/chart19.xml" ContentType="application/vnd.openxmlformats-officedocument.drawingml.chart+xml"/>
  <Override PartName="/xl/pivotTables/pivotTable2.xml" ContentType="application/vnd.openxmlformats-officedocument.spreadsheetml.pivotTable+xml"/>
  <Override PartName="/xl/drawings/drawing7.xml" ContentType="application/vnd.openxmlformats-officedocument.drawing+xml"/>
  <Override PartName="/xl/timelines/timeline2.xml" ContentType="application/vnd.ms-excel.timeline+xml"/>
  <Override PartName="/xl/charts/chart20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AquestLlibreDeTreball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ibacat.sharepoint.com/sites/msteams_729e94/Documentos compartidos/General/EINES EXCEL/EFICIENCIA/"/>
    </mc:Choice>
  </mc:AlternateContent>
  <xr:revisionPtr revIDLastSave="150" documentId="8_{389DB2A5-5E3E-49D9-98DB-3556357BF8A6}" xr6:coauthVersionLast="47" xr6:coauthVersionMax="47" xr10:uidLastSave="{B0925E4F-EA44-4F5D-9399-9D458659A1BD}"/>
  <bookViews>
    <workbookView xWindow="28680" yWindow="-120" windowWidth="29040" windowHeight="15720" tabRatio="802" xr2:uid="{00000000-000D-0000-FFFF-FFFF00000000}"/>
  </bookViews>
  <sheets>
    <sheet name="portada" sheetId="20" r:id="rId1"/>
    <sheet name="Instruccions detallades" sheetId="21" r:id="rId2"/>
    <sheet name="Introducció dades generals" sheetId="22" r:id="rId3"/>
    <sheet name="Introducció dades consum" sheetId="1" r:id="rId4"/>
    <sheet name="Resultats - informe" sheetId="16" r:id="rId5"/>
    <sheet name="Resultats - diaris" sheetId="14" r:id="rId6"/>
    <sheet name="Resultats - mensuals" sheetId="18" r:id="rId7"/>
  </sheets>
  <externalReferences>
    <externalReference r:id="rId8"/>
  </externalReferences>
  <definedNames>
    <definedName name="_xlnm._FilterDatabase" localSheetId="3" hidden="1">'Introducció dades consum'!$B$4:$O$9532</definedName>
    <definedName name="_xlchart.v1.0" hidden="1">'Introducció dades consum'!$C$5:$C$9532</definedName>
    <definedName name="_xlchart.v1.1" hidden="1">'Introducció dades consum'!$I$4</definedName>
    <definedName name="_xlchart.v1.2" hidden="1">'Introducció dades consum'!$I$5:$I$9532</definedName>
    <definedName name="_xlcn.WorksheetConnection_IntroducciódadesconsumC4I95331" hidden="1">'Introducció dades consum'!$C$4:$I$9533</definedName>
    <definedName name="anys">#REF!</definedName>
    <definedName name="anys1">#REF!</definedName>
    <definedName name="anys21">#REF!</definedName>
    <definedName name="_xlnm.Print_Area" localSheetId="3">'Introducció dades consum'!$R$5:$AZ$72</definedName>
    <definedName name="_xlnm.Print_Area" localSheetId="5">'Resultats - diaris'!$A$2:$U$28</definedName>
    <definedName name="_xlnm.Print_Area" localSheetId="4">'Resultats - informe'!$A$2:$V$212</definedName>
    <definedName name="_xlnm.Print_Area" localSheetId="6">'Resultats - mensuals'!$A$2:$U$42</definedName>
    <definedName name="cald">#REF!</definedName>
    <definedName name="caldera">#REF!</definedName>
    <definedName name="comb">#REF!</definedName>
    <definedName name="consums1">#REF!</definedName>
    <definedName name="Cronologia_Fecha">#N/A</definedName>
    <definedName name="Cronologia_Fecha1">#N/A</definedName>
    <definedName name="DADES1">#REF!</definedName>
    <definedName name="data">'Introducció dades consum'!$C:$C</definedName>
    <definedName name="dia_setmana">'Introducció dades consum'!$K:$K</definedName>
    <definedName name="elec_sola">#REF!</definedName>
    <definedName name="elec_total_m2">#REF!</definedName>
    <definedName name="elec_total_m2_GD">#REF!</definedName>
    <definedName name="elec3">#REF!</definedName>
    <definedName name="electric1">#REF!</definedName>
    <definedName name="electric2">#REF!</definedName>
    <definedName name="EM">#REF!</definedName>
    <definedName name="ener_autocons">'Introducció dades consum'!$G:$G</definedName>
    <definedName name="ener_excedent">'Introducció dades consum'!$F:$F</definedName>
    <definedName name="ener_facturada">'Introducció dades consum'!$E:$E</definedName>
    <definedName name="energia">'Introducció dades consum'!$I:$I</definedName>
    <definedName name="epoca">'Introducció dades consum'!$O:$O</definedName>
    <definedName name="EQUIP">#REF!</definedName>
    <definedName name="font">#REF!</definedName>
    <definedName name="Fonts">#REF!</definedName>
    <definedName name="GD">#REF!</definedName>
    <definedName name="GD15_per_tots">[1]llistes!#REF!</definedName>
    <definedName name="graus">#REF!</definedName>
    <definedName name="graus15">#REF!</definedName>
    <definedName name="graus21">#REF!</definedName>
    <definedName name="hivern">1</definedName>
    <definedName name="hora">'Introducció dades consum'!$D:$D</definedName>
    <definedName name="mpi">#REF!</definedName>
    <definedName name="no_vacacional">'Introducció dades consum'!$M:$M</definedName>
    <definedName name="preu2">#REF!</definedName>
    <definedName name="si_analisis">'Introducció dades consum'!$L:$L</definedName>
    <definedName name="si_obert">'Introducció dades consum'!$N:$N</definedName>
    <definedName name="tipo_equip">#REF!</definedName>
    <definedName name="_xlnm.Print_Titles" localSheetId="4">'Resultats - informe'!$2:$3</definedName>
    <definedName name="zc">#REF!</definedName>
  </definedNames>
  <calcPr calcId="191028"/>
  <pivotCaches>
    <pivotCache cacheId="29" r:id="rId9"/>
    <pivotCache cacheId="30" r:id="rId10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A2CB5862-8E78-49c6-8D9D-AF26E26ADB89}">
      <x15:timelineCachePivotCaches>
        <pivotCache cacheId="31" r:id="rId11"/>
        <pivotCache cacheId="32" r:id="rId12"/>
      </x15:timelineCachePivotCaches>
    </ext>
    <ext xmlns:x15="http://schemas.microsoft.com/office/spreadsheetml/2010/11/main" uri="{D0CA8CA8-9F24-4464-BF8E-62219DCF47F9}">
      <x15:timelineCacheRefs>
        <x15:timelineCacheRef r:id="rId13"/>
        <x15:timelineCacheRef r:id="rId14"/>
      </x15:timelineCacheRefs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Interval 1" name="Interval 1" connection="WorksheetConnection_Introducció dades consum!$C$4:$I$9533"/>
        </x15:modelTables>
        <x15:extLst>
          <ext xmlns:x16="http://schemas.microsoft.com/office/spreadsheetml/2014/11/main" uri="{9835A34E-60A6-4A7C-AAB8-D5F71C897F49}">
            <x16:modelTimeGroupings>
              <x16:modelTimeGrouping tableName="Interval 1" columnName="Fecha" columnId="Fecha">
                <x16:calculatedTimeColumn columnName="Fecha (índex de mesos)" columnId="Fecha (índex de mesos)" contentType="monthsindex" isSelected="1"/>
                <x16:calculatedTimeColumn columnName="Fecha (mes)" columnId="Fecha (mes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42" i="1" l="1"/>
  <c r="J5842" i="1"/>
  <c r="K5842" i="1"/>
  <c r="O5842" i="1" a="1"/>
  <c r="O5842" i="1" s="1"/>
  <c r="I5843" i="1"/>
  <c r="J5843" i="1"/>
  <c r="K5843" i="1"/>
  <c r="O5843" i="1" a="1"/>
  <c r="O5843" i="1" s="1"/>
  <c r="I5844" i="1"/>
  <c r="J5844" i="1"/>
  <c r="K5844" i="1"/>
  <c r="O5844" i="1" a="1"/>
  <c r="O5844" i="1" s="1"/>
  <c r="I5845" i="1"/>
  <c r="J5845" i="1"/>
  <c r="K5845" i="1"/>
  <c r="O5845" i="1" a="1"/>
  <c r="O5845" i="1" s="1"/>
  <c r="I5846" i="1"/>
  <c r="J5846" i="1"/>
  <c r="K5846" i="1"/>
  <c r="O5846" i="1" a="1"/>
  <c r="O5846" i="1" s="1"/>
  <c r="I5847" i="1"/>
  <c r="J5847" i="1"/>
  <c r="K5847" i="1"/>
  <c r="O5847" i="1" a="1"/>
  <c r="O5847" i="1" s="1"/>
  <c r="I5848" i="1"/>
  <c r="J5848" i="1"/>
  <c r="K5848" i="1"/>
  <c r="O5848" i="1" a="1"/>
  <c r="O5848" i="1" s="1"/>
  <c r="I5849" i="1"/>
  <c r="J5849" i="1"/>
  <c r="K5849" i="1"/>
  <c r="O5849" i="1" a="1"/>
  <c r="O5849" i="1" s="1"/>
  <c r="I5850" i="1"/>
  <c r="J5850" i="1"/>
  <c r="K5850" i="1"/>
  <c r="O5850" i="1" a="1"/>
  <c r="O5850" i="1" s="1"/>
  <c r="I5851" i="1"/>
  <c r="J5851" i="1"/>
  <c r="K5851" i="1"/>
  <c r="O5851" i="1" a="1"/>
  <c r="O5851" i="1" s="1"/>
  <c r="I5852" i="1"/>
  <c r="J5852" i="1"/>
  <c r="K5852" i="1"/>
  <c r="O5852" i="1" a="1"/>
  <c r="O5852" i="1" s="1"/>
  <c r="I5853" i="1"/>
  <c r="J5853" i="1"/>
  <c r="K5853" i="1"/>
  <c r="O5853" i="1" a="1"/>
  <c r="O5853" i="1" s="1"/>
  <c r="I5854" i="1"/>
  <c r="J5854" i="1"/>
  <c r="K5854" i="1"/>
  <c r="O5854" i="1" a="1"/>
  <c r="O5854" i="1" s="1"/>
  <c r="I5855" i="1"/>
  <c r="J5855" i="1"/>
  <c r="K5855" i="1"/>
  <c r="O5855" i="1" a="1"/>
  <c r="O5855" i="1" s="1"/>
  <c r="I5856" i="1"/>
  <c r="J5856" i="1"/>
  <c r="K5856" i="1"/>
  <c r="O5856" i="1" a="1"/>
  <c r="O5856" i="1" s="1"/>
  <c r="I5857" i="1"/>
  <c r="J5857" i="1"/>
  <c r="K5857" i="1"/>
  <c r="O5857" i="1" a="1"/>
  <c r="O5857" i="1" s="1"/>
  <c r="I5858" i="1"/>
  <c r="J5858" i="1"/>
  <c r="K5858" i="1"/>
  <c r="O5858" i="1" a="1"/>
  <c r="O5858" i="1" s="1"/>
  <c r="I5859" i="1"/>
  <c r="J5859" i="1"/>
  <c r="K5859" i="1"/>
  <c r="O5859" i="1" a="1"/>
  <c r="O5859" i="1" s="1"/>
  <c r="I5860" i="1"/>
  <c r="J5860" i="1"/>
  <c r="K5860" i="1"/>
  <c r="O5860" i="1" a="1"/>
  <c r="O5860" i="1" s="1"/>
  <c r="I5861" i="1"/>
  <c r="J5861" i="1"/>
  <c r="K5861" i="1"/>
  <c r="O5861" i="1" a="1"/>
  <c r="O5861" i="1" s="1"/>
  <c r="I5862" i="1"/>
  <c r="J5862" i="1"/>
  <c r="K5862" i="1"/>
  <c r="O5862" i="1" a="1"/>
  <c r="O5862" i="1" s="1"/>
  <c r="I5863" i="1"/>
  <c r="J5863" i="1"/>
  <c r="K5863" i="1"/>
  <c r="O5863" i="1" a="1"/>
  <c r="O5863" i="1" s="1"/>
  <c r="I5864" i="1"/>
  <c r="J5864" i="1"/>
  <c r="K5864" i="1"/>
  <c r="O5864" i="1" a="1"/>
  <c r="O5864" i="1" s="1"/>
  <c r="I5865" i="1"/>
  <c r="J5865" i="1"/>
  <c r="K5865" i="1"/>
  <c r="O5865" i="1" a="1"/>
  <c r="O5865" i="1" s="1"/>
  <c r="I5866" i="1"/>
  <c r="J5866" i="1"/>
  <c r="K5866" i="1"/>
  <c r="O5866" i="1" a="1"/>
  <c r="O5866" i="1" s="1"/>
  <c r="I5867" i="1"/>
  <c r="J5867" i="1"/>
  <c r="K5867" i="1"/>
  <c r="O5867" i="1" a="1"/>
  <c r="O5867" i="1" s="1"/>
  <c r="I5868" i="1"/>
  <c r="J5868" i="1"/>
  <c r="K5868" i="1"/>
  <c r="O5868" i="1" a="1"/>
  <c r="O5868" i="1" s="1"/>
  <c r="I5869" i="1"/>
  <c r="J5869" i="1"/>
  <c r="K5869" i="1"/>
  <c r="O5869" i="1" a="1"/>
  <c r="O5869" i="1" s="1"/>
  <c r="I5870" i="1"/>
  <c r="J5870" i="1"/>
  <c r="K5870" i="1"/>
  <c r="O5870" i="1" a="1"/>
  <c r="O5870" i="1" s="1"/>
  <c r="I5871" i="1"/>
  <c r="J5871" i="1"/>
  <c r="K5871" i="1"/>
  <c r="O5871" i="1" a="1"/>
  <c r="O5871" i="1" s="1"/>
  <c r="I5872" i="1"/>
  <c r="J5872" i="1"/>
  <c r="K5872" i="1"/>
  <c r="O5872" i="1" a="1"/>
  <c r="O5872" i="1" s="1"/>
  <c r="I5873" i="1"/>
  <c r="J5873" i="1"/>
  <c r="K5873" i="1"/>
  <c r="O5873" i="1" a="1"/>
  <c r="O5873" i="1" s="1"/>
  <c r="I5874" i="1"/>
  <c r="J5874" i="1"/>
  <c r="K5874" i="1"/>
  <c r="O5874" i="1" a="1"/>
  <c r="O5874" i="1" s="1"/>
  <c r="I5875" i="1"/>
  <c r="J5875" i="1"/>
  <c r="K5875" i="1"/>
  <c r="O5875" i="1" a="1"/>
  <c r="O5875" i="1" s="1"/>
  <c r="I5876" i="1"/>
  <c r="J5876" i="1"/>
  <c r="K5876" i="1"/>
  <c r="O5876" i="1" a="1"/>
  <c r="O5876" i="1" s="1"/>
  <c r="I5877" i="1"/>
  <c r="J5877" i="1"/>
  <c r="K5877" i="1"/>
  <c r="O5877" i="1" a="1"/>
  <c r="O5877" i="1" s="1"/>
  <c r="I5878" i="1"/>
  <c r="J5878" i="1"/>
  <c r="K5878" i="1"/>
  <c r="O5878" i="1" a="1"/>
  <c r="O5878" i="1"/>
  <c r="I5879" i="1"/>
  <c r="J5879" i="1"/>
  <c r="K5879" i="1"/>
  <c r="O5879" i="1" a="1"/>
  <c r="O5879" i="1" s="1"/>
  <c r="I5880" i="1"/>
  <c r="J5880" i="1"/>
  <c r="K5880" i="1"/>
  <c r="O5880" i="1" a="1"/>
  <c r="O5880" i="1" s="1"/>
  <c r="I5881" i="1"/>
  <c r="J5881" i="1"/>
  <c r="K5881" i="1"/>
  <c r="O5881" i="1" a="1"/>
  <c r="O5881" i="1"/>
  <c r="I5882" i="1"/>
  <c r="J5882" i="1"/>
  <c r="K5882" i="1"/>
  <c r="O5882" i="1" a="1"/>
  <c r="O5882" i="1" s="1"/>
  <c r="I5883" i="1"/>
  <c r="J5883" i="1"/>
  <c r="K5883" i="1"/>
  <c r="O5883" i="1" a="1"/>
  <c r="O5883" i="1"/>
  <c r="I5884" i="1"/>
  <c r="J5884" i="1"/>
  <c r="K5884" i="1"/>
  <c r="O5884" i="1" a="1"/>
  <c r="O5884" i="1" s="1"/>
  <c r="I5885" i="1"/>
  <c r="J5885" i="1"/>
  <c r="K5885" i="1"/>
  <c r="O5885" i="1" a="1"/>
  <c r="O5885" i="1" s="1"/>
  <c r="I5886" i="1"/>
  <c r="J5886" i="1"/>
  <c r="K5886" i="1"/>
  <c r="O5886" i="1" a="1"/>
  <c r="O5886" i="1" s="1"/>
  <c r="I5887" i="1"/>
  <c r="J5887" i="1"/>
  <c r="K5887" i="1"/>
  <c r="O5887" i="1" a="1"/>
  <c r="O5887" i="1" s="1"/>
  <c r="I5888" i="1"/>
  <c r="J5888" i="1"/>
  <c r="K5888" i="1"/>
  <c r="O5888" i="1" a="1"/>
  <c r="O5888" i="1" s="1"/>
  <c r="I5889" i="1"/>
  <c r="J5889" i="1"/>
  <c r="K5889" i="1"/>
  <c r="O5889" i="1" a="1"/>
  <c r="O5889" i="1" s="1"/>
  <c r="I5890" i="1"/>
  <c r="J5890" i="1"/>
  <c r="K5890" i="1"/>
  <c r="O5890" i="1" a="1"/>
  <c r="O5890" i="1" s="1"/>
  <c r="I5891" i="1"/>
  <c r="J5891" i="1"/>
  <c r="K5891" i="1"/>
  <c r="O5891" i="1" a="1"/>
  <c r="O5891" i="1"/>
  <c r="I5892" i="1"/>
  <c r="J5892" i="1"/>
  <c r="K5892" i="1"/>
  <c r="O5892" i="1" a="1"/>
  <c r="O5892" i="1"/>
  <c r="I5893" i="1"/>
  <c r="J5893" i="1"/>
  <c r="K5893" i="1"/>
  <c r="O5893" i="1" a="1"/>
  <c r="O5893" i="1" s="1"/>
  <c r="I5894" i="1"/>
  <c r="J5894" i="1"/>
  <c r="K5894" i="1"/>
  <c r="O5894" i="1" a="1"/>
  <c r="O5894" i="1" s="1"/>
  <c r="I5895" i="1"/>
  <c r="J5895" i="1"/>
  <c r="K5895" i="1"/>
  <c r="O5895" i="1" a="1"/>
  <c r="O5895" i="1" s="1"/>
  <c r="I5896" i="1"/>
  <c r="J5896" i="1"/>
  <c r="K5896" i="1"/>
  <c r="O5896" i="1" a="1"/>
  <c r="O5896" i="1" s="1"/>
  <c r="I5897" i="1"/>
  <c r="J5897" i="1"/>
  <c r="K5897" i="1"/>
  <c r="O5897" i="1" a="1"/>
  <c r="O5897" i="1" s="1"/>
  <c r="I5898" i="1"/>
  <c r="J5898" i="1"/>
  <c r="K5898" i="1"/>
  <c r="O5898" i="1" a="1"/>
  <c r="O5898" i="1" s="1"/>
  <c r="I5899" i="1"/>
  <c r="J5899" i="1"/>
  <c r="K5899" i="1"/>
  <c r="O5899" i="1" a="1"/>
  <c r="O5899" i="1" s="1"/>
  <c r="I5900" i="1"/>
  <c r="J5900" i="1"/>
  <c r="K5900" i="1"/>
  <c r="O5900" i="1" a="1"/>
  <c r="O5900" i="1" s="1"/>
  <c r="I5901" i="1"/>
  <c r="J5901" i="1"/>
  <c r="K5901" i="1"/>
  <c r="O5901" i="1" a="1"/>
  <c r="O5901" i="1" s="1"/>
  <c r="I5902" i="1"/>
  <c r="J5902" i="1"/>
  <c r="K5902" i="1"/>
  <c r="O5902" i="1" a="1"/>
  <c r="O5902" i="1" s="1"/>
  <c r="I5903" i="1"/>
  <c r="J5903" i="1"/>
  <c r="K5903" i="1"/>
  <c r="O5903" i="1" a="1"/>
  <c r="O5903" i="1" s="1"/>
  <c r="I5904" i="1"/>
  <c r="J5904" i="1"/>
  <c r="K5904" i="1"/>
  <c r="O5904" i="1" a="1"/>
  <c r="O5904" i="1" s="1"/>
  <c r="I5905" i="1"/>
  <c r="J5905" i="1"/>
  <c r="K5905" i="1"/>
  <c r="O5905" i="1" a="1"/>
  <c r="O5905" i="1" s="1"/>
  <c r="I5906" i="1"/>
  <c r="J5906" i="1"/>
  <c r="K5906" i="1"/>
  <c r="O5906" i="1" a="1"/>
  <c r="O5906" i="1" s="1"/>
  <c r="I5907" i="1"/>
  <c r="J5907" i="1"/>
  <c r="K5907" i="1"/>
  <c r="O5907" i="1" a="1"/>
  <c r="O5907" i="1" s="1"/>
  <c r="I5908" i="1"/>
  <c r="J5908" i="1"/>
  <c r="K5908" i="1"/>
  <c r="O5908" i="1" a="1"/>
  <c r="O5908" i="1"/>
  <c r="I5909" i="1"/>
  <c r="J5909" i="1"/>
  <c r="K5909" i="1"/>
  <c r="O5909" i="1" a="1"/>
  <c r="O5909" i="1" s="1"/>
  <c r="I5910" i="1"/>
  <c r="J5910" i="1"/>
  <c r="K5910" i="1"/>
  <c r="O5910" i="1" a="1"/>
  <c r="O5910" i="1" s="1"/>
  <c r="I5911" i="1"/>
  <c r="J5911" i="1"/>
  <c r="K5911" i="1"/>
  <c r="O5911" i="1" a="1"/>
  <c r="O5911" i="1" s="1"/>
  <c r="I5912" i="1"/>
  <c r="J5912" i="1"/>
  <c r="K5912" i="1"/>
  <c r="O5912" i="1" a="1"/>
  <c r="O5912" i="1" s="1"/>
  <c r="I5913" i="1"/>
  <c r="J5913" i="1"/>
  <c r="K5913" i="1"/>
  <c r="O5913" i="1" a="1"/>
  <c r="O5913" i="1" s="1"/>
  <c r="I5914" i="1"/>
  <c r="J5914" i="1"/>
  <c r="K5914" i="1"/>
  <c r="O5914" i="1" a="1"/>
  <c r="O5914" i="1" s="1"/>
  <c r="I5915" i="1"/>
  <c r="J5915" i="1"/>
  <c r="K5915" i="1"/>
  <c r="O5915" i="1" a="1"/>
  <c r="O5915" i="1" s="1"/>
  <c r="I5916" i="1"/>
  <c r="J5916" i="1"/>
  <c r="K5916" i="1"/>
  <c r="O5916" i="1" a="1"/>
  <c r="O5916" i="1" s="1"/>
  <c r="I5917" i="1"/>
  <c r="J5917" i="1"/>
  <c r="K5917" i="1"/>
  <c r="O5917" i="1" a="1"/>
  <c r="O5917" i="1" s="1"/>
  <c r="I5918" i="1"/>
  <c r="J5918" i="1"/>
  <c r="K5918" i="1"/>
  <c r="O5918" i="1" a="1"/>
  <c r="O5918" i="1"/>
  <c r="I5919" i="1"/>
  <c r="J5919" i="1"/>
  <c r="K5919" i="1"/>
  <c r="O5919" i="1" a="1"/>
  <c r="O5919" i="1" s="1"/>
  <c r="I5920" i="1"/>
  <c r="J5920" i="1"/>
  <c r="K5920" i="1"/>
  <c r="O5920" i="1" a="1"/>
  <c r="O5920" i="1" s="1"/>
  <c r="I5921" i="1"/>
  <c r="J5921" i="1"/>
  <c r="K5921" i="1"/>
  <c r="O5921" i="1" a="1"/>
  <c r="O5921" i="1" s="1"/>
  <c r="I5922" i="1"/>
  <c r="J5922" i="1"/>
  <c r="K5922" i="1"/>
  <c r="O5922" i="1" a="1"/>
  <c r="O5922" i="1" s="1"/>
  <c r="I5923" i="1"/>
  <c r="J5923" i="1"/>
  <c r="K5923" i="1"/>
  <c r="O5923" i="1" a="1"/>
  <c r="O5923" i="1" s="1"/>
  <c r="I5924" i="1"/>
  <c r="J5924" i="1"/>
  <c r="K5924" i="1"/>
  <c r="O5924" i="1" a="1"/>
  <c r="O5924" i="1" s="1"/>
  <c r="I5925" i="1"/>
  <c r="J5925" i="1"/>
  <c r="K5925" i="1"/>
  <c r="O5925" i="1" a="1"/>
  <c r="O5925" i="1" s="1"/>
  <c r="I5926" i="1"/>
  <c r="J5926" i="1"/>
  <c r="K5926" i="1"/>
  <c r="O5926" i="1" a="1"/>
  <c r="O5926" i="1" s="1"/>
  <c r="I5927" i="1"/>
  <c r="J5927" i="1"/>
  <c r="K5927" i="1"/>
  <c r="O5927" i="1" a="1"/>
  <c r="O5927" i="1" s="1"/>
  <c r="I5928" i="1"/>
  <c r="J5928" i="1"/>
  <c r="K5928" i="1"/>
  <c r="O5928" i="1" a="1"/>
  <c r="O5928" i="1" s="1"/>
  <c r="I5929" i="1"/>
  <c r="J5929" i="1"/>
  <c r="K5929" i="1"/>
  <c r="O5929" i="1" a="1"/>
  <c r="O5929" i="1" s="1"/>
  <c r="I5930" i="1"/>
  <c r="J5930" i="1"/>
  <c r="K5930" i="1"/>
  <c r="O5930" i="1" a="1"/>
  <c r="O5930" i="1" s="1"/>
  <c r="I5931" i="1"/>
  <c r="J5931" i="1"/>
  <c r="K5931" i="1"/>
  <c r="O5931" i="1" a="1"/>
  <c r="O5931" i="1" s="1"/>
  <c r="I5932" i="1"/>
  <c r="J5932" i="1"/>
  <c r="K5932" i="1"/>
  <c r="O5932" i="1" a="1"/>
  <c r="O5932" i="1" s="1"/>
  <c r="I5933" i="1"/>
  <c r="J5933" i="1"/>
  <c r="K5933" i="1"/>
  <c r="O5933" i="1" a="1"/>
  <c r="O5933" i="1" s="1"/>
  <c r="I5934" i="1"/>
  <c r="J5934" i="1"/>
  <c r="K5934" i="1"/>
  <c r="O5934" i="1" a="1"/>
  <c r="O5934" i="1" s="1"/>
  <c r="I5935" i="1"/>
  <c r="J5935" i="1"/>
  <c r="K5935" i="1"/>
  <c r="O5935" i="1" a="1"/>
  <c r="O5935" i="1" s="1"/>
  <c r="I5936" i="1"/>
  <c r="J5936" i="1"/>
  <c r="K5936" i="1"/>
  <c r="O5936" i="1" a="1"/>
  <c r="O5936" i="1"/>
  <c r="I5937" i="1"/>
  <c r="J5937" i="1"/>
  <c r="K5937" i="1"/>
  <c r="O5937" i="1" a="1"/>
  <c r="O5937" i="1" s="1"/>
  <c r="I5938" i="1"/>
  <c r="J5938" i="1"/>
  <c r="K5938" i="1"/>
  <c r="O5938" i="1" a="1"/>
  <c r="O5938" i="1" s="1"/>
  <c r="I5939" i="1"/>
  <c r="J5939" i="1"/>
  <c r="K5939" i="1"/>
  <c r="O5939" i="1" a="1"/>
  <c r="O5939" i="1"/>
  <c r="I5940" i="1"/>
  <c r="J5940" i="1"/>
  <c r="K5940" i="1"/>
  <c r="O5940" i="1" a="1"/>
  <c r="O5940" i="1" s="1"/>
  <c r="I5941" i="1"/>
  <c r="J5941" i="1"/>
  <c r="K5941" i="1"/>
  <c r="O5941" i="1" a="1"/>
  <c r="O5941" i="1" s="1"/>
  <c r="I5942" i="1"/>
  <c r="J5942" i="1"/>
  <c r="K5942" i="1"/>
  <c r="O5942" i="1" a="1"/>
  <c r="O5942" i="1" s="1"/>
  <c r="I5943" i="1"/>
  <c r="J5943" i="1"/>
  <c r="K5943" i="1"/>
  <c r="O5943" i="1" a="1"/>
  <c r="O5943" i="1"/>
  <c r="I5944" i="1"/>
  <c r="J5944" i="1"/>
  <c r="K5944" i="1"/>
  <c r="O5944" i="1" a="1"/>
  <c r="O5944" i="1" s="1"/>
  <c r="I5945" i="1"/>
  <c r="J5945" i="1"/>
  <c r="K5945" i="1"/>
  <c r="O5945" i="1" a="1"/>
  <c r="O5945" i="1" s="1"/>
  <c r="I5946" i="1"/>
  <c r="J5946" i="1"/>
  <c r="K5946" i="1"/>
  <c r="O5946" i="1" a="1"/>
  <c r="O5946" i="1" s="1"/>
  <c r="I5947" i="1"/>
  <c r="J5947" i="1"/>
  <c r="K5947" i="1"/>
  <c r="O5947" i="1" a="1"/>
  <c r="O5947" i="1"/>
  <c r="I5948" i="1"/>
  <c r="J5948" i="1"/>
  <c r="K5948" i="1"/>
  <c r="O5948" i="1" a="1"/>
  <c r="O5948" i="1" s="1"/>
  <c r="I5949" i="1"/>
  <c r="J5949" i="1"/>
  <c r="K5949" i="1"/>
  <c r="O5949" i="1" a="1"/>
  <c r="O5949" i="1" s="1"/>
  <c r="I5950" i="1"/>
  <c r="J5950" i="1"/>
  <c r="K5950" i="1"/>
  <c r="O5950" i="1" a="1"/>
  <c r="O5950" i="1" s="1"/>
  <c r="I5951" i="1"/>
  <c r="J5951" i="1"/>
  <c r="K5951" i="1"/>
  <c r="O5951" i="1" a="1"/>
  <c r="O5951" i="1"/>
  <c r="I5952" i="1"/>
  <c r="J5952" i="1"/>
  <c r="K5952" i="1"/>
  <c r="O5952" i="1" a="1"/>
  <c r="O5952" i="1" s="1"/>
  <c r="I5953" i="1"/>
  <c r="J5953" i="1"/>
  <c r="K5953" i="1"/>
  <c r="O5953" i="1" a="1"/>
  <c r="O5953" i="1" s="1"/>
  <c r="I5954" i="1"/>
  <c r="J5954" i="1"/>
  <c r="K5954" i="1"/>
  <c r="O5954" i="1" a="1"/>
  <c r="O5954" i="1" s="1"/>
  <c r="I5955" i="1"/>
  <c r="J5955" i="1"/>
  <c r="K5955" i="1"/>
  <c r="O5955" i="1" a="1"/>
  <c r="O5955" i="1" s="1"/>
  <c r="I5956" i="1"/>
  <c r="J5956" i="1"/>
  <c r="K5956" i="1"/>
  <c r="O5956" i="1" a="1"/>
  <c r="O5956" i="1" s="1"/>
  <c r="I5957" i="1"/>
  <c r="J5957" i="1"/>
  <c r="K5957" i="1"/>
  <c r="O5957" i="1" a="1"/>
  <c r="O5957" i="1" s="1"/>
  <c r="I5958" i="1"/>
  <c r="J5958" i="1"/>
  <c r="K5958" i="1"/>
  <c r="O5958" i="1" a="1"/>
  <c r="O5958" i="1" s="1"/>
  <c r="I5959" i="1"/>
  <c r="J5959" i="1"/>
  <c r="K5959" i="1"/>
  <c r="O5959" i="1" a="1"/>
  <c r="O5959" i="1" s="1"/>
  <c r="I5960" i="1"/>
  <c r="J5960" i="1"/>
  <c r="K5960" i="1"/>
  <c r="O5960" i="1" a="1"/>
  <c r="O5960" i="1" s="1"/>
  <c r="I5961" i="1"/>
  <c r="J5961" i="1"/>
  <c r="K5961" i="1"/>
  <c r="O5961" i="1" a="1"/>
  <c r="O5961" i="1" s="1"/>
  <c r="I5962" i="1"/>
  <c r="J5962" i="1"/>
  <c r="K5962" i="1"/>
  <c r="O5962" i="1" a="1"/>
  <c r="O5962" i="1" s="1"/>
  <c r="I5963" i="1"/>
  <c r="J5963" i="1"/>
  <c r="K5963" i="1"/>
  <c r="O5963" i="1" a="1"/>
  <c r="O5963" i="1" s="1"/>
  <c r="I5964" i="1"/>
  <c r="J5964" i="1"/>
  <c r="K5964" i="1"/>
  <c r="O5964" i="1" a="1"/>
  <c r="O5964" i="1" s="1"/>
  <c r="I5965" i="1"/>
  <c r="J5965" i="1"/>
  <c r="K5965" i="1"/>
  <c r="O5965" i="1" a="1"/>
  <c r="O5965" i="1" s="1"/>
  <c r="I5966" i="1"/>
  <c r="J5966" i="1"/>
  <c r="K5966" i="1"/>
  <c r="O5966" i="1" a="1"/>
  <c r="O5966" i="1"/>
  <c r="I5967" i="1"/>
  <c r="J5967" i="1"/>
  <c r="K5967" i="1"/>
  <c r="O5967" i="1" a="1"/>
  <c r="O5967" i="1" s="1"/>
  <c r="I5968" i="1"/>
  <c r="J5968" i="1"/>
  <c r="K5968" i="1"/>
  <c r="O5968" i="1" a="1"/>
  <c r="O5968" i="1" s="1"/>
  <c r="I5969" i="1"/>
  <c r="J5969" i="1"/>
  <c r="K5969" i="1"/>
  <c r="O5969" i="1" a="1"/>
  <c r="O5969" i="1" s="1"/>
  <c r="I5970" i="1"/>
  <c r="J5970" i="1"/>
  <c r="K5970" i="1"/>
  <c r="O5970" i="1" a="1"/>
  <c r="O5970" i="1" s="1"/>
  <c r="I5971" i="1"/>
  <c r="J5971" i="1"/>
  <c r="K5971" i="1"/>
  <c r="O5971" i="1" a="1"/>
  <c r="O5971" i="1" s="1"/>
  <c r="I5972" i="1"/>
  <c r="J5972" i="1"/>
  <c r="K5972" i="1"/>
  <c r="O5972" i="1" a="1"/>
  <c r="O5972" i="1" s="1"/>
  <c r="I5973" i="1"/>
  <c r="J5973" i="1"/>
  <c r="K5973" i="1"/>
  <c r="O5973" i="1" a="1"/>
  <c r="O5973" i="1"/>
  <c r="I5974" i="1"/>
  <c r="J5974" i="1"/>
  <c r="K5974" i="1"/>
  <c r="O5974" i="1" a="1"/>
  <c r="O5974" i="1" s="1"/>
  <c r="I5975" i="1"/>
  <c r="J5975" i="1"/>
  <c r="K5975" i="1"/>
  <c r="O5975" i="1" a="1"/>
  <c r="O5975" i="1" s="1"/>
  <c r="I5976" i="1"/>
  <c r="J5976" i="1"/>
  <c r="K5976" i="1"/>
  <c r="O5976" i="1" a="1"/>
  <c r="O5976" i="1" s="1"/>
  <c r="I5977" i="1"/>
  <c r="J5977" i="1"/>
  <c r="K5977" i="1"/>
  <c r="O5977" i="1" a="1"/>
  <c r="O5977" i="1" s="1"/>
  <c r="I5978" i="1"/>
  <c r="J5978" i="1"/>
  <c r="K5978" i="1"/>
  <c r="O5978" i="1" a="1"/>
  <c r="O5978" i="1" s="1"/>
  <c r="I5979" i="1"/>
  <c r="J5979" i="1"/>
  <c r="K5979" i="1"/>
  <c r="O5979" i="1" a="1"/>
  <c r="O5979" i="1" s="1"/>
  <c r="I5980" i="1"/>
  <c r="J5980" i="1"/>
  <c r="K5980" i="1"/>
  <c r="O5980" i="1" a="1"/>
  <c r="O5980" i="1" s="1"/>
  <c r="I5981" i="1"/>
  <c r="J5981" i="1"/>
  <c r="K5981" i="1"/>
  <c r="O5981" i="1" a="1"/>
  <c r="O5981" i="1" s="1"/>
  <c r="I5982" i="1"/>
  <c r="J5982" i="1"/>
  <c r="K5982" i="1"/>
  <c r="O5982" i="1" a="1"/>
  <c r="O5982" i="1" s="1"/>
  <c r="I5983" i="1"/>
  <c r="J5983" i="1"/>
  <c r="K5983" i="1"/>
  <c r="O5983" i="1" a="1"/>
  <c r="O5983" i="1" s="1"/>
  <c r="I5984" i="1"/>
  <c r="J5984" i="1"/>
  <c r="K5984" i="1"/>
  <c r="O5984" i="1" a="1"/>
  <c r="O5984" i="1" s="1"/>
  <c r="I5985" i="1"/>
  <c r="J5985" i="1"/>
  <c r="K5985" i="1"/>
  <c r="O5985" i="1" a="1"/>
  <c r="O5985" i="1" s="1"/>
  <c r="I5986" i="1"/>
  <c r="J5986" i="1"/>
  <c r="K5986" i="1"/>
  <c r="O5986" i="1" a="1"/>
  <c r="O5986" i="1" s="1"/>
  <c r="I5987" i="1"/>
  <c r="J5987" i="1"/>
  <c r="K5987" i="1"/>
  <c r="O5987" i="1" a="1"/>
  <c r="O5987" i="1" s="1"/>
  <c r="I5988" i="1"/>
  <c r="J5988" i="1"/>
  <c r="K5988" i="1"/>
  <c r="O5988" i="1" a="1"/>
  <c r="O5988" i="1" s="1"/>
  <c r="I5989" i="1"/>
  <c r="J5989" i="1"/>
  <c r="K5989" i="1"/>
  <c r="O5989" i="1" a="1"/>
  <c r="O5989" i="1"/>
  <c r="I5990" i="1"/>
  <c r="J5990" i="1"/>
  <c r="K5990" i="1"/>
  <c r="O5990" i="1" a="1"/>
  <c r="O5990" i="1"/>
  <c r="I5991" i="1"/>
  <c r="J5991" i="1"/>
  <c r="K5991" i="1"/>
  <c r="O5991" i="1" a="1"/>
  <c r="O5991" i="1" s="1"/>
  <c r="I5992" i="1"/>
  <c r="J5992" i="1"/>
  <c r="K5992" i="1"/>
  <c r="O5992" i="1" a="1"/>
  <c r="O5992" i="1" s="1"/>
  <c r="I5993" i="1"/>
  <c r="J5993" i="1"/>
  <c r="K5993" i="1"/>
  <c r="O5993" i="1" a="1"/>
  <c r="O5993" i="1" s="1"/>
  <c r="I5994" i="1"/>
  <c r="J5994" i="1"/>
  <c r="K5994" i="1"/>
  <c r="O5994" i="1" a="1"/>
  <c r="O5994" i="1" s="1"/>
  <c r="I5995" i="1"/>
  <c r="J5995" i="1"/>
  <c r="K5995" i="1"/>
  <c r="O5995" i="1" a="1"/>
  <c r="O5995" i="1" s="1"/>
  <c r="I5996" i="1"/>
  <c r="J5996" i="1"/>
  <c r="K5996" i="1"/>
  <c r="O5996" i="1" a="1"/>
  <c r="O5996" i="1" s="1"/>
  <c r="I5997" i="1"/>
  <c r="J5997" i="1"/>
  <c r="K5997" i="1"/>
  <c r="O5997" i="1" a="1"/>
  <c r="O5997" i="1" s="1"/>
  <c r="I5998" i="1"/>
  <c r="J5998" i="1"/>
  <c r="K5998" i="1"/>
  <c r="O5998" i="1" a="1"/>
  <c r="O5998" i="1" s="1"/>
  <c r="I5999" i="1"/>
  <c r="J5999" i="1"/>
  <c r="K5999" i="1"/>
  <c r="O5999" i="1" a="1"/>
  <c r="O5999" i="1" s="1"/>
  <c r="I6000" i="1"/>
  <c r="J6000" i="1"/>
  <c r="K6000" i="1"/>
  <c r="O6000" i="1" a="1"/>
  <c r="O6000" i="1" s="1"/>
  <c r="I6001" i="1"/>
  <c r="J6001" i="1"/>
  <c r="K6001" i="1"/>
  <c r="O6001" i="1" a="1"/>
  <c r="O6001" i="1" s="1"/>
  <c r="I6002" i="1"/>
  <c r="J6002" i="1"/>
  <c r="K6002" i="1"/>
  <c r="O6002" i="1" a="1"/>
  <c r="O6002" i="1" s="1"/>
  <c r="I6003" i="1"/>
  <c r="J6003" i="1"/>
  <c r="K6003" i="1"/>
  <c r="O6003" i="1" a="1"/>
  <c r="O6003" i="1" s="1"/>
  <c r="I6004" i="1"/>
  <c r="J6004" i="1"/>
  <c r="K6004" i="1"/>
  <c r="O6004" i="1" a="1"/>
  <c r="O6004" i="1" s="1"/>
  <c r="I6005" i="1"/>
  <c r="J6005" i="1"/>
  <c r="K6005" i="1"/>
  <c r="O6005" i="1" a="1"/>
  <c r="O6005" i="1"/>
  <c r="I6006" i="1"/>
  <c r="J6006" i="1"/>
  <c r="K6006" i="1"/>
  <c r="O6006" i="1" a="1"/>
  <c r="O6006" i="1" s="1"/>
  <c r="I6007" i="1"/>
  <c r="J6007" i="1"/>
  <c r="K6007" i="1"/>
  <c r="O6007" i="1" a="1"/>
  <c r="O6007" i="1" s="1"/>
  <c r="I6008" i="1"/>
  <c r="J6008" i="1"/>
  <c r="K6008" i="1"/>
  <c r="O6008" i="1" a="1"/>
  <c r="O6008" i="1" s="1"/>
  <c r="I6009" i="1"/>
  <c r="J6009" i="1"/>
  <c r="K6009" i="1"/>
  <c r="O6009" i="1" a="1"/>
  <c r="O6009" i="1" s="1"/>
  <c r="I6010" i="1"/>
  <c r="J6010" i="1"/>
  <c r="K6010" i="1"/>
  <c r="O6010" i="1" a="1"/>
  <c r="O6010" i="1" s="1"/>
  <c r="I6011" i="1"/>
  <c r="J6011" i="1"/>
  <c r="K6011" i="1"/>
  <c r="O6011" i="1" a="1"/>
  <c r="O6011" i="1" s="1"/>
  <c r="I6012" i="1"/>
  <c r="J6012" i="1"/>
  <c r="K6012" i="1"/>
  <c r="O6012" i="1" a="1"/>
  <c r="O6012" i="1" s="1"/>
  <c r="I6013" i="1"/>
  <c r="J6013" i="1"/>
  <c r="K6013" i="1"/>
  <c r="O6013" i="1" a="1"/>
  <c r="O6013" i="1"/>
  <c r="I6014" i="1"/>
  <c r="J6014" i="1"/>
  <c r="K6014" i="1"/>
  <c r="O6014" i="1" a="1"/>
  <c r="O6014" i="1" s="1"/>
  <c r="I6015" i="1"/>
  <c r="J6015" i="1"/>
  <c r="K6015" i="1"/>
  <c r="O6015" i="1" a="1"/>
  <c r="O6015" i="1" s="1"/>
  <c r="I6016" i="1"/>
  <c r="J6016" i="1"/>
  <c r="K6016" i="1"/>
  <c r="O6016" i="1" a="1"/>
  <c r="O6016" i="1" s="1"/>
  <c r="I6017" i="1"/>
  <c r="J6017" i="1"/>
  <c r="K6017" i="1"/>
  <c r="O6017" i="1" a="1"/>
  <c r="O6017" i="1" s="1"/>
  <c r="I6018" i="1"/>
  <c r="J6018" i="1"/>
  <c r="K6018" i="1"/>
  <c r="O6018" i="1" a="1"/>
  <c r="O6018" i="1" s="1"/>
  <c r="I6019" i="1"/>
  <c r="J6019" i="1"/>
  <c r="K6019" i="1"/>
  <c r="O6019" i="1" a="1"/>
  <c r="O6019" i="1" s="1"/>
  <c r="I6020" i="1"/>
  <c r="J6020" i="1"/>
  <c r="K6020" i="1"/>
  <c r="O6020" i="1" a="1"/>
  <c r="O6020" i="1" s="1"/>
  <c r="I6021" i="1"/>
  <c r="J6021" i="1"/>
  <c r="K6021" i="1"/>
  <c r="O6021" i="1" a="1"/>
  <c r="O6021" i="1" s="1"/>
  <c r="I6022" i="1"/>
  <c r="J6022" i="1"/>
  <c r="K6022" i="1"/>
  <c r="O6022" i="1" a="1"/>
  <c r="O6022" i="1" s="1"/>
  <c r="I6023" i="1"/>
  <c r="J6023" i="1"/>
  <c r="K6023" i="1"/>
  <c r="O6023" i="1" a="1"/>
  <c r="O6023" i="1" s="1"/>
  <c r="I6024" i="1"/>
  <c r="J6024" i="1"/>
  <c r="K6024" i="1"/>
  <c r="O6024" i="1" a="1"/>
  <c r="O6024" i="1" s="1"/>
  <c r="I6025" i="1"/>
  <c r="J6025" i="1"/>
  <c r="K6025" i="1"/>
  <c r="O6025" i="1" a="1"/>
  <c r="O6025" i="1" s="1"/>
  <c r="I6026" i="1"/>
  <c r="J6026" i="1"/>
  <c r="K6026" i="1"/>
  <c r="O6026" i="1" a="1"/>
  <c r="O6026" i="1" s="1"/>
  <c r="I6027" i="1"/>
  <c r="J6027" i="1"/>
  <c r="K6027" i="1"/>
  <c r="O6027" i="1" a="1"/>
  <c r="O6027" i="1" s="1"/>
  <c r="I6028" i="1"/>
  <c r="J6028" i="1"/>
  <c r="K6028" i="1"/>
  <c r="O6028" i="1" a="1"/>
  <c r="O6028" i="1" s="1"/>
  <c r="I6029" i="1"/>
  <c r="J6029" i="1"/>
  <c r="K6029" i="1"/>
  <c r="O6029" i="1" a="1"/>
  <c r="O6029" i="1" s="1"/>
  <c r="I6030" i="1"/>
  <c r="J6030" i="1"/>
  <c r="K6030" i="1"/>
  <c r="O6030" i="1" a="1"/>
  <c r="O6030" i="1" s="1"/>
  <c r="I6031" i="1"/>
  <c r="J6031" i="1"/>
  <c r="K6031" i="1"/>
  <c r="O6031" i="1" a="1"/>
  <c r="O6031" i="1" s="1"/>
  <c r="I6032" i="1"/>
  <c r="J6032" i="1"/>
  <c r="K6032" i="1"/>
  <c r="O6032" i="1" a="1"/>
  <c r="O6032" i="1" s="1"/>
  <c r="I6033" i="1"/>
  <c r="J6033" i="1"/>
  <c r="K6033" i="1"/>
  <c r="O6033" i="1" a="1"/>
  <c r="O6033" i="1" s="1"/>
  <c r="I6034" i="1"/>
  <c r="J6034" i="1"/>
  <c r="K6034" i="1"/>
  <c r="O6034" i="1" a="1"/>
  <c r="O6034" i="1" s="1"/>
  <c r="I6035" i="1"/>
  <c r="J6035" i="1"/>
  <c r="K6035" i="1"/>
  <c r="O6035" i="1" a="1"/>
  <c r="O6035" i="1" s="1"/>
  <c r="I6036" i="1"/>
  <c r="J6036" i="1"/>
  <c r="K6036" i="1"/>
  <c r="O6036" i="1" a="1"/>
  <c r="O6036" i="1"/>
  <c r="I6037" i="1"/>
  <c r="J6037" i="1"/>
  <c r="K6037" i="1"/>
  <c r="O6037" i="1" a="1"/>
  <c r="O6037" i="1" s="1"/>
  <c r="I6038" i="1"/>
  <c r="J6038" i="1"/>
  <c r="K6038" i="1"/>
  <c r="O6038" i="1" a="1"/>
  <c r="O6038" i="1" s="1"/>
  <c r="I6039" i="1"/>
  <c r="J6039" i="1"/>
  <c r="K6039" i="1"/>
  <c r="O6039" i="1" a="1"/>
  <c r="O6039" i="1" s="1"/>
  <c r="I6040" i="1"/>
  <c r="J6040" i="1"/>
  <c r="K6040" i="1"/>
  <c r="O6040" i="1" a="1"/>
  <c r="O6040" i="1" s="1"/>
  <c r="I6041" i="1"/>
  <c r="J6041" i="1"/>
  <c r="K6041" i="1"/>
  <c r="O6041" i="1" a="1"/>
  <c r="O6041" i="1" s="1"/>
  <c r="I6042" i="1"/>
  <c r="J6042" i="1"/>
  <c r="K6042" i="1"/>
  <c r="O6042" i="1" a="1"/>
  <c r="O6042" i="1" s="1"/>
  <c r="I6043" i="1"/>
  <c r="J6043" i="1"/>
  <c r="K6043" i="1"/>
  <c r="O6043" i="1" a="1"/>
  <c r="O6043" i="1" s="1"/>
  <c r="I6044" i="1"/>
  <c r="J6044" i="1"/>
  <c r="K6044" i="1"/>
  <c r="O6044" i="1" a="1"/>
  <c r="O6044" i="1" s="1"/>
  <c r="I6045" i="1"/>
  <c r="J6045" i="1"/>
  <c r="K6045" i="1"/>
  <c r="O6045" i="1" a="1"/>
  <c r="O6045" i="1" s="1"/>
  <c r="I6046" i="1"/>
  <c r="J6046" i="1"/>
  <c r="K6046" i="1"/>
  <c r="O6046" i="1" a="1"/>
  <c r="O6046" i="1" s="1"/>
  <c r="I6047" i="1"/>
  <c r="J6047" i="1"/>
  <c r="K6047" i="1"/>
  <c r="O6047" i="1" a="1"/>
  <c r="O6047" i="1" s="1"/>
  <c r="I6048" i="1"/>
  <c r="J6048" i="1"/>
  <c r="K6048" i="1"/>
  <c r="O6048" i="1" a="1"/>
  <c r="O6048" i="1"/>
  <c r="I6049" i="1"/>
  <c r="J6049" i="1"/>
  <c r="K6049" i="1"/>
  <c r="O6049" i="1" a="1"/>
  <c r="O6049" i="1" s="1"/>
  <c r="I6050" i="1"/>
  <c r="J6050" i="1"/>
  <c r="K6050" i="1"/>
  <c r="O6050" i="1" a="1"/>
  <c r="O6050" i="1" s="1"/>
  <c r="I6051" i="1"/>
  <c r="J6051" i="1"/>
  <c r="K6051" i="1"/>
  <c r="O6051" i="1" a="1"/>
  <c r="O6051" i="1" s="1"/>
  <c r="I6052" i="1"/>
  <c r="J6052" i="1"/>
  <c r="K6052" i="1"/>
  <c r="O6052" i="1" a="1"/>
  <c r="O6052" i="1"/>
  <c r="I6053" i="1"/>
  <c r="J6053" i="1"/>
  <c r="K6053" i="1"/>
  <c r="O6053" i="1" a="1"/>
  <c r="O6053" i="1" s="1"/>
  <c r="I6054" i="1"/>
  <c r="J6054" i="1"/>
  <c r="K6054" i="1"/>
  <c r="O6054" i="1" a="1"/>
  <c r="O6054" i="1" s="1"/>
  <c r="I6055" i="1"/>
  <c r="J6055" i="1"/>
  <c r="K6055" i="1"/>
  <c r="O6055" i="1" a="1"/>
  <c r="O6055" i="1" s="1"/>
  <c r="I6056" i="1"/>
  <c r="J6056" i="1"/>
  <c r="K6056" i="1"/>
  <c r="O6056" i="1" a="1"/>
  <c r="O6056" i="1" s="1"/>
  <c r="I6057" i="1"/>
  <c r="J6057" i="1"/>
  <c r="K6057" i="1"/>
  <c r="O6057" i="1" a="1"/>
  <c r="O6057" i="1" s="1"/>
  <c r="I6058" i="1"/>
  <c r="J6058" i="1"/>
  <c r="K6058" i="1"/>
  <c r="O6058" i="1" a="1"/>
  <c r="O6058" i="1" s="1"/>
  <c r="I6059" i="1"/>
  <c r="J6059" i="1"/>
  <c r="K6059" i="1"/>
  <c r="O6059" i="1" a="1"/>
  <c r="O6059" i="1" s="1"/>
  <c r="I6060" i="1"/>
  <c r="J6060" i="1"/>
  <c r="K6060" i="1"/>
  <c r="O6060" i="1" a="1"/>
  <c r="O6060" i="1" s="1"/>
  <c r="I6061" i="1"/>
  <c r="J6061" i="1"/>
  <c r="K6061" i="1"/>
  <c r="O6061" i="1" a="1"/>
  <c r="O6061" i="1" s="1"/>
  <c r="I6062" i="1"/>
  <c r="J6062" i="1"/>
  <c r="K6062" i="1"/>
  <c r="O6062" i="1" a="1"/>
  <c r="O6062" i="1" s="1"/>
  <c r="I6063" i="1"/>
  <c r="J6063" i="1"/>
  <c r="K6063" i="1"/>
  <c r="O6063" i="1" a="1"/>
  <c r="O6063" i="1" s="1"/>
  <c r="I6064" i="1"/>
  <c r="J6064" i="1"/>
  <c r="K6064" i="1"/>
  <c r="O6064" i="1" a="1"/>
  <c r="O6064" i="1" s="1"/>
  <c r="I6065" i="1"/>
  <c r="J6065" i="1"/>
  <c r="K6065" i="1"/>
  <c r="O6065" i="1" a="1"/>
  <c r="O6065" i="1" s="1"/>
  <c r="I6066" i="1"/>
  <c r="J6066" i="1"/>
  <c r="K6066" i="1"/>
  <c r="O6066" i="1" a="1"/>
  <c r="O6066" i="1" s="1"/>
  <c r="I6067" i="1"/>
  <c r="J6067" i="1"/>
  <c r="K6067" i="1"/>
  <c r="O6067" i="1" a="1"/>
  <c r="O6067" i="1" s="1"/>
  <c r="I6068" i="1"/>
  <c r="J6068" i="1"/>
  <c r="K6068" i="1"/>
  <c r="O6068" i="1" a="1"/>
  <c r="O6068" i="1" s="1"/>
  <c r="I6069" i="1"/>
  <c r="J6069" i="1"/>
  <c r="K6069" i="1"/>
  <c r="O6069" i="1" a="1"/>
  <c r="O6069" i="1" s="1"/>
  <c r="I6070" i="1"/>
  <c r="J6070" i="1"/>
  <c r="K6070" i="1"/>
  <c r="O6070" i="1" a="1"/>
  <c r="O6070" i="1" s="1"/>
  <c r="I6071" i="1"/>
  <c r="J6071" i="1"/>
  <c r="K6071" i="1"/>
  <c r="O6071" i="1" a="1"/>
  <c r="O6071" i="1" s="1"/>
  <c r="I6072" i="1"/>
  <c r="J6072" i="1"/>
  <c r="K6072" i="1"/>
  <c r="O6072" i="1" a="1"/>
  <c r="O6072" i="1" s="1"/>
  <c r="I6073" i="1"/>
  <c r="J6073" i="1"/>
  <c r="K6073" i="1"/>
  <c r="O6073" i="1" a="1"/>
  <c r="O6073" i="1" s="1"/>
  <c r="I6074" i="1"/>
  <c r="J6074" i="1"/>
  <c r="K6074" i="1"/>
  <c r="O6074" i="1" a="1"/>
  <c r="O6074" i="1" s="1"/>
  <c r="I6075" i="1"/>
  <c r="J6075" i="1"/>
  <c r="K6075" i="1"/>
  <c r="O6075" i="1" a="1"/>
  <c r="O6075" i="1" s="1"/>
  <c r="I6076" i="1"/>
  <c r="J6076" i="1"/>
  <c r="K6076" i="1"/>
  <c r="O6076" i="1" a="1"/>
  <c r="O6076" i="1" s="1"/>
  <c r="I6077" i="1"/>
  <c r="J6077" i="1"/>
  <c r="K6077" i="1"/>
  <c r="O6077" i="1" a="1"/>
  <c r="O6077" i="1" s="1"/>
  <c r="I6078" i="1"/>
  <c r="J6078" i="1"/>
  <c r="K6078" i="1"/>
  <c r="O6078" i="1" a="1"/>
  <c r="O6078" i="1"/>
  <c r="I6079" i="1"/>
  <c r="J6079" i="1"/>
  <c r="K6079" i="1"/>
  <c r="O6079" i="1" a="1"/>
  <c r="O6079" i="1" s="1"/>
  <c r="I6080" i="1"/>
  <c r="J6080" i="1"/>
  <c r="K6080" i="1"/>
  <c r="O6080" i="1" a="1"/>
  <c r="O6080" i="1" s="1"/>
  <c r="I6081" i="1"/>
  <c r="J6081" i="1"/>
  <c r="K6081" i="1"/>
  <c r="O6081" i="1" a="1"/>
  <c r="O6081" i="1" s="1"/>
  <c r="I6082" i="1"/>
  <c r="J6082" i="1"/>
  <c r="K6082" i="1"/>
  <c r="O6082" i="1" a="1"/>
  <c r="O6082" i="1" s="1"/>
  <c r="I6083" i="1"/>
  <c r="J6083" i="1"/>
  <c r="K6083" i="1"/>
  <c r="O6083" i="1" a="1"/>
  <c r="O6083" i="1" s="1"/>
  <c r="I6084" i="1"/>
  <c r="J6084" i="1"/>
  <c r="K6084" i="1"/>
  <c r="O6084" i="1" a="1"/>
  <c r="O6084" i="1"/>
  <c r="I6085" i="1"/>
  <c r="J6085" i="1"/>
  <c r="K6085" i="1"/>
  <c r="O6085" i="1" a="1"/>
  <c r="O6085" i="1" s="1"/>
  <c r="I6086" i="1"/>
  <c r="J6086" i="1"/>
  <c r="K6086" i="1"/>
  <c r="O6086" i="1" a="1"/>
  <c r="O6086" i="1" s="1"/>
  <c r="I6087" i="1"/>
  <c r="J6087" i="1"/>
  <c r="K6087" i="1"/>
  <c r="O6087" i="1" a="1"/>
  <c r="O6087" i="1" s="1"/>
  <c r="I6088" i="1"/>
  <c r="J6088" i="1"/>
  <c r="K6088" i="1"/>
  <c r="O6088" i="1" a="1"/>
  <c r="O6088" i="1" s="1"/>
  <c r="I6089" i="1"/>
  <c r="J6089" i="1"/>
  <c r="K6089" i="1"/>
  <c r="O6089" i="1" a="1"/>
  <c r="O6089" i="1" s="1"/>
  <c r="I6090" i="1"/>
  <c r="J6090" i="1"/>
  <c r="K6090" i="1"/>
  <c r="O6090" i="1" a="1"/>
  <c r="O6090" i="1" s="1"/>
  <c r="I6091" i="1"/>
  <c r="J6091" i="1"/>
  <c r="K6091" i="1"/>
  <c r="O6091" i="1" a="1"/>
  <c r="O6091" i="1" s="1"/>
  <c r="I6092" i="1"/>
  <c r="J6092" i="1"/>
  <c r="K6092" i="1"/>
  <c r="O6092" i="1" a="1"/>
  <c r="O6092" i="1" s="1"/>
  <c r="I6093" i="1"/>
  <c r="J6093" i="1"/>
  <c r="K6093" i="1"/>
  <c r="O6093" i="1" a="1"/>
  <c r="O6093" i="1" s="1"/>
  <c r="I6094" i="1"/>
  <c r="J6094" i="1"/>
  <c r="K6094" i="1"/>
  <c r="O6094" i="1" a="1"/>
  <c r="O6094" i="1" s="1"/>
  <c r="I6095" i="1"/>
  <c r="J6095" i="1"/>
  <c r="K6095" i="1"/>
  <c r="O6095" i="1" a="1"/>
  <c r="O6095" i="1" s="1"/>
  <c r="I6096" i="1"/>
  <c r="J6096" i="1"/>
  <c r="K6096" i="1"/>
  <c r="O6096" i="1" a="1"/>
  <c r="O6096" i="1" s="1"/>
  <c r="I6097" i="1"/>
  <c r="J6097" i="1"/>
  <c r="K6097" i="1"/>
  <c r="O6097" i="1" a="1"/>
  <c r="O6097" i="1" s="1"/>
  <c r="I6098" i="1"/>
  <c r="J6098" i="1"/>
  <c r="K6098" i="1"/>
  <c r="O6098" i="1" a="1"/>
  <c r="O6098" i="1" s="1"/>
  <c r="I6099" i="1"/>
  <c r="J6099" i="1"/>
  <c r="K6099" i="1"/>
  <c r="O6099" i="1" a="1"/>
  <c r="O6099" i="1" s="1"/>
  <c r="I6100" i="1"/>
  <c r="J6100" i="1"/>
  <c r="K6100" i="1"/>
  <c r="O6100" i="1" a="1"/>
  <c r="O6100" i="1" s="1"/>
  <c r="I6101" i="1"/>
  <c r="J6101" i="1"/>
  <c r="K6101" i="1"/>
  <c r="O6101" i="1" a="1"/>
  <c r="O6101" i="1" s="1"/>
  <c r="I6102" i="1"/>
  <c r="J6102" i="1"/>
  <c r="K6102" i="1"/>
  <c r="O6102" i="1" a="1"/>
  <c r="O6102" i="1" s="1"/>
  <c r="I6103" i="1"/>
  <c r="J6103" i="1"/>
  <c r="K6103" i="1"/>
  <c r="O6103" i="1" a="1"/>
  <c r="O6103" i="1" s="1"/>
  <c r="I6104" i="1"/>
  <c r="J6104" i="1"/>
  <c r="K6104" i="1"/>
  <c r="O6104" i="1" a="1"/>
  <c r="O6104" i="1" s="1"/>
  <c r="I6105" i="1"/>
  <c r="J6105" i="1"/>
  <c r="K6105" i="1"/>
  <c r="O6105" i="1" a="1"/>
  <c r="O6105" i="1" s="1"/>
  <c r="I6106" i="1"/>
  <c r="J6106" i="1"/>
  <c r="K6106" i="1"/>
  <c r="O6106" i="1" a="1"/>
  <c r="O6106" i="1" s="1"/>
  <c r="I6107" i="1"/>
  <c r="J6107" i="1"/>
  <c r="K6107" i="1"/>
  <c r="O6107" i="1" a="1"/>
  <c r="O6107" i="1" s="1"/>
  <c r="I6108" i="1"/>
  <c r="J6108" i="1"/>
  <c r="K6108" i="1"/>
  <c r="O6108" i="1" a="1"/>
  <c r="O6108" i="1" s="1"/>
  <c r="I6109" i="1"/>
  <c r="J6109" i="1"/>
  <c r="K6109" i="1"/>
  <c r="O6109" i="1" a="1"/>
  <c r="O6109" i="1" s="1"/>
  <c r="I6110" i="1"/>
  <c r="J6110" i="1"/>
  <c r="K6110" i="1"/>
  <c r="O6110" i="1" a="1"/>
  <c r="O6110" i="1" s="1"/>
  <c r="I6111" i="1"/>
  <c r="J6111" i="1"/>
  <c r="K6111" i="1"/>
  <c r="O6111" i="1" a="1"/>
  <c r="O6111" i="1" s="1"/>
  <c r="I6112" i="1"/>
  <c r="J6112" i="1"/>
  <c r="K6112" i="1"/>
  <c r="O6112" i="1" a="1"/>
  <c r="O6112" i="1" s="1"/>
  <c r="I6113" i="1"/>
  <c r="J6113" i="1"/>
  <c r="K6113" i="1"/>
  <c r="O6113" i="1" a="1"/>
  <c r="O6113" i="1" s="1"/>
  <c r="I6114" i="1"/>
  <c r="J6114" i="1"/>
  <c r="K6114" i="1"/>
  <c r="O6114" i="1" a="1"/>
  <c r="O6114" i="1" s="1"/>
  <c r="I6115" i="1"/>
  <c r="J6115" i="1"/>
  <c r="K6115" i="1"/>
  <c r="O6115" i="1" a="1"/>
  <c r="O6115" i="1" s="1"/>
  <c r="I6116" i="1"/>
  <c r="J6116" i="1"/>
  <c r="K6116" i="1"/>
  <c r="O6116" i="1" a="1"/>
  <c r="O6116" i="1" s="1"/>
  <c r="I6117" i="1"/>
  <c r="J6117" i="1"/>
  <c r="K6117" i="1"/>
  <c r="O6117" i="1" a="1"/>
  <c r="O6117" i="1" s="1"/>
  <c r="I6118" i="1"/>
  <c r="J6118" i="1"/>
  <c r="K6118" i="1"/>
  <c r="O6118" i="1" a="1"/>
  <c r="O6118" i="1"/>
  <c r="I6119" i="1"/>
  <c r="J6119" i="1"/>
  <c r="K6119" i="1"/>
  <c r="O6119" i="1" a="1"/>
  <c r="O6119" i="1" s="1"/>
  <c r="I6120" i="1"/>
  <c r="J6120" i="1"/>
  <c r="K6120" i="1"/>
  <c r="O6120" i="1" a="1"/>
  <c r="O6120" i="1" s="1"/>
  <c r="I6121" i="1"/>
  <c r="J6121" i="1"/>
  <c r="K6121" i="1"/>
  <c r="O6121" i="1" a="1"/>
  <c r="O6121" i="1" s="1"/>
  <c r="I6122" i="1"/>
  <c r="J6122" i="1"/>
  <c r="K6122" i="1"/>
  <c r="O6122" i="1" a="1"/>
  <c r="O6122" i="1" s="1"/>
  <c r="I6123" i="1"/>
  <c r="J6123" i="1"/>
  <c r="K6123" i="1"/>
  <c r="O6123" i="1" a="1"/>
  <c r="O6123" i="1" s="1"/>
  <c r="I6124" i="1"/>
  <c r="J6124" i="1"/>
  <c r="K6124" i="1"/>
  <c r="O6124" i="1" a="1"/>
  <c r="O6124" i="1" s="1"/>
  <c r="I6125" i="1"/>
  <c r="J6125" i="1"/>
  <c r="K6125" i="1"/>
  <c r="O6125" i="1" a="1"/>
  <c r="O6125" i="1"/>
  <c r="I6126" i="1"/>
  <c r="J6126" i="1"/>
  <c r="K6126" i="1"/>
  <c r="O6126" i="1" a="1"/>
  <c r="O6126" i="1" s="1"/>
  <c r="I6127" i="1"/>
  <c r="J6127" i="1"/>
  <c r="K6127" i="1"/>
  <c r="O6127" i="1" a="1"/>
  <c r="O6127" i="1" s="1"/>
  <c r="I6128" i="1"/>
  <c r="J6128" i="1"/>
  <c r="K6128" i="1"/>
  <c r="O6128" i="1" a="1"/>
  <c r="O6128" i="1" s="1"/>
  <c r="I6129" i="1"/>
  <c r="J6129" i="1"/>
  <c r="K6129" i="1"/>
  <c r="O6129" i="1" a="1"/>
  <c r="O6129" i="1" s="1"/>
  <c r="I6130" i="1"/>
  <c r="J6130" i="1"/>
  <c r="K6130" i="1"/>
  <c r="O6130" i="1" a="1"/>
  <c r="O6130" i="1" s="1"/>
  <c r="I6131" i="1"/>
  <c r="J6131" i="1"/>
  <c r="K6131" i="1"/>
  <c r="O6131" i="1" a="1"/>
  <c r="O6131" i="1" s="1"/>
  <c r="I6132" i="1"/>
  <c r="J6132" i="1"/>
  <c r="K6132" i="1"/>
  <c r="O6132" i="1" a="1"/>
  <c r="O6132" i="1" s="1"/>
  <c r="I6133" i="1"/>
  <c r="J6133" i="1"/>
  <c r="K6133" i="1"/>
  <c r="O6133" i="1" a="1"/>
  <c r="O6133" i="1" s="1"/>
  <c r="I6134" i="1"/>
  <c r="J6134" i="1"/>
  <c r="K6134" i="1"/>
  <c r="O6134" i="1" a="1"/>
  <c r="O6134" i="1" s="1"/>
  <c r="I6135" i="1"/>
  <c r="J6135" i="1"/>
  <c r="K6135" i="1"/>
  <c r="O6135" i="1" a="1"/>
  <c r="O6135" i="1"/>
  <c r="I6136" i="1"/>
  <c r="J6136" i="1"/>
  <c r="K6136" i="1"/>
  <c r="O6136" i="1" a="1"/>
  <c r="O6136" i="1" s="1"/>
  <c r="I6137" i="1"/>
  <c r="J6137" i="1"/>
  <c r="K6137" i="1"/>
  <c r="O6137" i="1" a="1"/>
  <c r="O6137" i="1" s="1"/>
  <c r="I6138" i="1"/>
  <c r="J6138" i="1"/>
  <c r="K6138" i="1"/>
  <c r="O6138" i="1" a="1"/>
  <c r="O6138" i="1" s="1"/>
  <c r="I6139" i="1"/>
  <c r="J6139" i="1"/>
  <c r="K6139" i="1"/>
  <c r="O6139" i="1" a="1"/>
  <c r="O6139" i="1" s="1"/>
  <c r="I6140" i="1"/>
  <c r="J6140" i="1"/>
  <c r="K6140" i="1"/>
  <c r="O6140" i="1" a="1"/>
  <c r="O6140" i="1" s="1"/>
  <c r="I6141" i="1"/>
  <c r="J6141" i="1"/>
  <c r="K6141" i="1"/>
  <c r="O6141" i="1" a="1"/>
  <c r="O6141" i="1"/>
  <c r="I6142" i="1"/>
  <c r="J6142" i="1"/>
  <c r="K6142" i="1"/>
  <c r="O6142" i="1" a="1"/>
  <c r="O6142" i="1"/>
  <c r="I6143" i="1"/>
  <c r="J6143" i="1"/>
  <c r="K6143" i="1"/>
  <c r="O6143" i="1" a="1"/>
  <c r="O6143" i="1" s="1"/>
  <c r="I6144" i="1"/>
  <c r="J6144" i="1"/>
  <c r="K6144" i="1"/>
  <c r="O6144" i="1" a="1"/>
  <c r="O6144" i="1" s="1"/>
  <c r="I6145" i="1"/>
  <c r="J6145" i="1"/>
  <c r="K6145" i="1"/>
  <c r="O6145" i="1" a="1"/>
  <c r="O6145" i="1" s="1"/>
  <c r="I6146" i="1"/>
  <c r="J6146" i="1"/>
  <c r="K6146" i="1"/>
  <c r="O6146" i="1" a="1"/>
  <c r="O6146" i="1" s="1"/>
  <c r="I6147" i="1"/>
  <c r="J6147" i="1"/>
  <c r="K6147" i="1"/>
  <c r="O6147" i="1" a="1"/>
  <c r="O6147" i="1" s="1"/>
  <c r="I6148" i="1"/>
  <c r="J6148" i="1"/>
  <c r="K6148" i="1"/>
  <c r="O6148" i="1" a="1"/>
  <c r="O6148" i="1" s="1"/>
  <c r="I6149" i="1"/>
  <c r="J6149" i="1"/>
  <c r="K6149" i="1"/>
  <c r="O6149" i="1" a="1"/>
  <c r="O6149" i="1" s="1"/>
  <c r="I6150" i="1"/>
  <c r="J6150" i="1"/>
  <c r="K6150" i="1"/>
  <c r="O6150" i="1" a="1"/>
  <c r="O6150" i="1" s="1"/>
  <c r="I6151" i="1"/>
  <c r="J6151" i="1"/>
  <c r="K6151" i="1"/>
  <c r="O6151" i="1" a="1"/>
  <c r="O6151" i="1" s="1"/>
  <c r="I6152" i="1"/>
  <c r="J6152" i="1"/>
  <c r="K6152" i="1"/>
  <c r="O6152" i="1" a="1"/>
  <c r="O6152" i="1" s="1"/>
  <c r="I6153" i="1"/>
  <c r="J6153" i="1"/>
  <c r="K6153" i="1"/>
  <c r="O6153" i="1" a="1"/>
  <c r="O6153" i="1" s="1"/>
  <c r="I6154" i="1"/>
  <c r="J6154" i="1"/>
  <c r="K6154" i="1"/>
  <c r="O6154" i="1" a="1"/>
  <c r="O6154" i="1" s="1"/>
  <c r="I6155" i="1"/>
  <c r="J6155" i="1"/>
  <c r="K6155" i="1"/>
  <c r="O6155" i="1" a="1"/>
  <c r="O6155" i="1" s="1"/>
  <c r="I6156" i="1"/>
  <c r="J6156" i="1"/>
  <c r="K6156" i="1"/>
  <c r="O6156" i="1" a="1"/>
  <c r="O6156" i="1" s="1"/>
  <c r="I6157" i="1"/>
  <c r="J6157" i="1"/>
  <c r="K6157" i="1"/>
  <c r="O6157" i="1" a="1"/>
  <c r="O6157" i="1" s="1"/>
  <c r="I6158" i="1"/>
  <c r="J6158" i="1"/>
  <c r="K6158" i="1"/>
  <c r="O6158" i="1" a="1"/>
  <c r="O6158" i="1" s="1"/>
  <c r="I6159" i="1"/>
  <c r="J6159" i="1"/>
  <c r="K6159" i="1"/>
  <c r="O6159" i="1" a="1"/>
  <c r="O6159" i="1" s="1"/>
  <c r="I6160" i="1"/>
  <c r="J6160" i="1"/>
  <c r="K6160" i="1"/>
  <c r="O6160" i="1" a="1"/>
  <c r="O6160" i="1" s="1"/>
  <c r="I6161" i="1"/>
  <c r="J6161" i="1"/>
  <c r="K6161" i="1"/>
  <c r="O6161" i="1" a="1"/>
  <c r="O6161" i="1" s="1"/>
  <c r="I6162" i="1"/>
  <c r="J6162" i="1"/>
  <c r="K6162" i="1"/>
  <c r="O6162" i="1" a="1"/>
  <c r="O6162" i="1" s="1"/>
  <c r="I6163" i="1"/>
  <c r="J6163" i="1"/>
  <c r="K6163" i="1"/>
  <c r="O6163" i="1" a="1"/>
  <c r="O6163" i="1" s="1"/>
  <c r="I6164" i="1"/>
  <c r="J6164" i="1"/>
  <c r="K6164" i="1"/>
  <c r="O6164" i="1" a="1"/>
  <c r="O6164" i="1" s="1"/>
  <c r="I6165" i="1"/>
  <c r="J6165" i="1"/>
  <c r="K6165" i="1"/>
  <c r="O6165" i="1" a="1"/>
  <c r="O6165" i="1" s="1"/>
  <c r="I6166" i="1"/>
  <c r="J6166" i="1"/>
  <c r="K6166" i="1"/>
  <c r="O6166" i="1" a="1"/>
  <c r="O6166" i="1" s="1"/>
  <c r="I6167" i="1"/>
  <c r="J6167" i="1"/>
  <c r="K6167" i="1"/>
  <c r="O6167" i="1" a="1"/>
  <c r="O6167" i="1" s="1"/>
  <c r="I6168" i="1"/>
  <c r="J6168" i="1"/>
  <c r="K6168" i="1"/>
  <c r="O6168" i="1" a="1"/>
  <c r="O6168" i="1"/>
  <c r="I6169" i="1"/>
  <c r="J6169" i="1"/>
  <c r="K6169" i="1"/>
  <c r="O6169" i="1" a="1"/>
  <c r="O6169" i="1" s="1"/>
  <c r="I6170" i="1"/>
  <c r="J6170" i="1"/>
  <c r="K6170" i="1"/>
  <c r="O6170" i="1" a="1"/>
  <c r="O6170" i="1" s="1"/>
  <c r="I6171" i="1"/>
  <c r="J6171" i="1"/>
  <c r="K6171" i="1"/>
  <c r="O6171" i="1" a="1"/>
  <c r="O6171" i="1" s="1"/>
  <c r="I6172" i="1"/>
  <c r="J6172" i="1"/>
  <c r="K6172" i="1"/>
  <c r="O6172" i="1" a="1"/>
  <c r="O6172" i="1" s="1"/>
  <c r="I6173" i="1"/>
  <c r="J6173" i="1"/>
  <c r="K6173" i="1"/>
  <c r="O6173" i="1" a="1"/>
  <c r="O6173" i="1"/>
  <c r="I6174" i="1"/>
  <c r="J6174" i="1"/>
  <c r="K6174" i="1"/>
  <c r="O6174" i="1" a="1"/>
  <c r="O6174" i="1" s="1"/>
  <c r="I6175" i="1"/>
  <c r="J6175" i="1"/>
  <c r="K6175" i="1"/>
  <c r="O6175" i="1" a="1"/>
  <c r="O6175" i="1" s="1"/>
  <c r="I6176" i="1"/>
  <c r="J6176" i="1"/>
  <c r="K6176" i="1"/>
  <c r="O6176" i="1" a="1"/>
  <c r="O6176" i="1" s="1"/>
  <c r="I6177" i="1"/>
  <c r="J6177" i="1"/>
  <c r="K6177" i="1"/>
  <c r="O6177" i="1" a="1"/>
  <c r="O6177" i="1" s="1"/>
  <c r="I6178" i="1"/>
  <c r="J6178" i="1"/>
  <c r="K6178" i="1"/>
  <c r="O6178" i="1" a="1"/>
  <c r="O6178" i="1" s="1"/>
  <c r="I6179" i="1"/>
  <c r="J6179" i="1"/>
  <c r="K6179" i="1"/>
  <c r="O6179" i="1" a="1"/>
  <c r="O6179" i="1" s="1"/>
  <c r="I6180" i="1"/>
  <c r="J6180" i="1"/>
  <c r="K6180" i="1"/>
  <c r="O6180" i="1" a="1"/>
  <c r="O6180" i="1" s="1"/>
  <c r="I6181" i="1"/>
  <c r="J6181" i="1"/>
  <c r="K6181" i="1"/>
  <c r="O6181" i="1" a="1"/>
  <c r="O6181" i="1"/>
  <c r="I6182" i="1"/>
  <c r="J6182" i="1"/>
  <c r="K6182" i="1"/>
  <c r="O6182" i="1" a="1"/>
  <c r="O6182" i="1" s="1"/>
  <c r="I6183" i="1"/>
  <c r="J6183" i="1"/>
  <c r="K6183" i="1"/>
  <c r="O6183" i="1" a="1"/>
  <c r="O6183" i="1" s="1"/>
  <c r="I6184" i="1"/>
  <c r="J6184" i="1"/>
  <c r="K6184" i="1"/>
  <c r="O6184" i="1" a="1"/>
  <c r="O6184" i="1"/>
  <c r="I6185" i="1"/>
  <c r="J6185" i="1"/>
  <c r="K6185" i="1"/>
  <c r="O6185" i="1" a="1"/>
  <c r="O6185" i="1" s="1"/>
  <c r="I6186" i="1"/>
  <c r="J6186" i="1"/>
  <c r="K6186" i="1"/>
  <c r="O6186" i="1" a="1"/>
  <c r="O6186" i="1" s="1"/>
  <c r="I6187" i="1"/>
  <c r="J6187" i="1"/>
  <c r="K6187" i="1"/>
  <c r="O6187" i="1" a="1"/>
  <c r="O6187" i="1" s="1"/>
  <c r="I6188" i="1"/>
  <c r="J6188" i="1"/>
  <c r="K6188" i="1"/>
  <c r="O6188" i="1" a="1"/>
  <c r="O6188" i="1" s="1"/>
  <c r="I6189" i="1"/>
  <c r="J6189" i="1"/>
  <c r="K6189" i="1"/>
  <c r="O6189" i="1" a="1"/>
  <c r="O6189" i="1" s="1"/>
  <c r="I6190" i="1"/>
  <c r="J6190" i="1"/>
  <c r="K6190" i="1"/>
  <c r="O6190" i="1" a="1"/>
  <c r="O6190" i="1" s="1"/>
  <c r="I6191" i="1"/>
  <c r="J6191" i="1"/>
  <c r="K6191" i="1"/>
  <c r="O6191" i="1" a="1"/>
  <c r="O6191" i="1" s="1"/>
  <c r="I6192" i="1"/>
  <c r="J6192" i="1"/>
  <c r="K6192" i="1"/>
  <c r="O6192" i="1" a="1"/>
  <c r="O6192" i="1" s="1"/>
  <c r="I6193" i="1"/>
  <c r="J6193" i="1"/>
  <c r="K6193" i="1"/>
  <c r="O6193" i="1" a="1"/>
  <c r="O6193" i="1" s="1"/>
  <c r="I6194" i="1"/>
  <c r="J6194" i="1"/>
  <c r="K6194" i="1"/>
  <c r="O6194" i="1" a="1"/>
  <c r="O6194" i="1"/>
  <c r="I6195" i="1"/>
  <c r="J6195" i="1"/>
  <c r="K6195" i="1"/>
  <c r="O6195" i="1" a="1"/>
  <c r="O6195" i="1" s="1"/>
  <c r="I6196" i="1"/>
  <c r="J6196" i="1"/>
  <c r="K6196" i="1"/>
  <c r="O6196" i="1" a="1"/>
  <c r="O6196" i="1" s="1"/>
  <c r="I6197" i="1"/>
  <c r="J6197" i="1"/>
  <c r="K6197" i="1"/>
  <c r="O6197" i="1" a="1"/>
  <c r="O6197" i="1" s="1"/>
  <c r="I6198" i="1"/>
  <c r="J6198" i="1"/>
  <c r="K6198" i="1"/>
  <c r="O6198" i="1" a="1"/>
  <c r="O6198" i="1" s="1"/>
  <c r="I6199" i="1"/>
  <c r="J6199" i="1"/>
  <c r="K6199" i="1"/>
  <c r="O6199" i="1" a="1"/>
  <c r="O6199" i="1" s="1"/>
  <c r="I6200" i="1"/>
  <c r="J6200" i="1"/>
  <c r="K6200" i="1"/>
  <c r="O6200" i="1" a="1"/>
  <c r="O6200" i="1" s="1"/>
  <c r="I6201" i="1"/>
  <c r="J6201" i="1"/>
  <c r="K6201" i="1"/>
  <c r="O6201" i="1" a="1"/>
  <c r="O6201" i="1" s="1"/>
  <c r="I6202" i="1"/>
  <c r="J6202" i="1"/>
  <c r="K6202" i="1"/>
  <c r="O6202" i="1" a="1"/>
  <c r="O6202" i="1" s="1"/>
  <c r="I6203" i="1"/>
  <c r="J6203" i="1"/>
  <c r="K6203" i="1"/>
  <c r="O6203" i="1" a="1"/>
  <c r="O6203" i="1" s="1"/>
  <c r="I6204" i="1"/>
  <c r="J6204" i="1"/>
  <c r="K6204" i="1"/>
  <c r="O6204" i="1" a="1"/>
  <c r="O6204" i="1"/>
  <c r="I6205" i="1"/>
  <c r="J6205" i="1"/>
  <c r="K6205" i="1"/>
  <c r="O6205" i="1" a="1"/>
  <c r="O6205" i="1" s="1"/>
  <c r="I6206" i="1"/>
  <c r="J6206" i="1"/>
  <c r="K6206" i="1"/>
  <c r="O6206" i="1" a="1"/>
  <c r="O6206" i="1"/>
  <c r="I6207" i="1"/>
  <c r="J6207" i="1"/>
  <c r="K6207" i="1"/>
  <c r="O6207" i="1" a="1"/>
  <c r="O6207" i="1" s="1"/>
  <c r="I6208" i="1"/>
  <c r="J6208" i="1"/>
  <c r="K6208" i="1"/>
  <c r="O6208" i="1" a="1"/>
  <c r="O6208" i="1" s="1"/>
  <c r="I6209" i="1"/>
  <c r="J6209" i="1"/>
  <c r="K6209" i="1"/>
  <c r="O6209" i="1" a="1"/>
  <c r="O6209" i="1" s="1"/>
  <c r="I6210" i="1"/>
  <c r="J6210" i="1"/>
  <c r="K6210" i="1"/>
  <c r="O6210" i="1" a="1"/>
  <c r="O6210" i="1" s="1"/>
  <c r="I6211" i="1"/>
  <c r="J6211" i="1"/>
  <c r="K6211" i="1"/>
  <c r="O6211" i="1" a="1"/>
  <c r="O6211" i="1"/>
  <c r="I6212" i="1"/>
  <c r="J6212" i="1"/>
  <c r="K6212" i="1"/>
  <c r="O6212" i="1" a="1"/>
  <c r="O6212" i="1" s="1"/>
  <c r="I6213" i="1"/>
  <c r="J6213" i="1"/>
  <c r="K6213" i="1"/>
  <c r="O6213" i="1" a="1"/>
  <c r="O6213" i="1" s="1"/>
  <c r="I6214" i="1"/>
  <c r="J6214" i="1"/>
  <c r="K6214" i="1"/>
  <c r="O6214" i="1" a="1"/>
  <c r="O6214" i="1" s="1"/>
  <c r="I6215" i="1"/>
  <c r="J6215" i="1"/>
  <c r="K6215" i="1"/>
  <c r="O6215" i="1" a="1"/>
  <c r="O6215" i="1" s="1"/>
  <c r="I6216" i="1"/>
  <c r="J6216" i="1"/>
  <c r="K6216" i="1"/>
  <c r="O6216" i="1" a="1"/>
  <c r="O6216" i="1" s="1"/>
  <c r="I6217" i="1"/>
  <c r="J6217" i="1"/>
  <c r="K6217" i="1"/>
  <c r="O6217" i="1" a="1"/>
  <c r="O6217" i="1" s="1"/>
  <c r="I6218" i="1"/>
  <c r="J6218" i="1"/>
  <c r="K6218" i="1"/>
  <c r="O6218" i="1" a="1"/>
  <c r="O6218" i="1" s="1"/>
  <c r="I6219" i="1"/>
  <c r="J6219" i="1"/>
  <c r="K6219" i="1"/>
  <c r="O6219" i="1" a="1"/>
  <c r="O6219" i="1" s="1"/>
  <c r="I6220" i="1"/>
  <c r="J6220" i="1"/>
  <c r="K6220" i="1"/>
  <c r="O6220" i="1" a="1"/>
  <c r="O6220" i="1" s="1"/>
  <c r="I6221" i="1"/>
  <c r="J6221" i="1"/>
  <c r="K6221" i="1"/>
  <c r="O6221" i="1" a="1"/>
  <c r="O6221" i="1" s="1"/>
  <c r="I6222" i="1"/>
  <c r="J6222" i="1"/>
  <c r="K6222" i="1"/>
  <c r="O6222" i="1" a="1"/>
  <c r="O6222" i="1" s="1"/>
  <c r="I6223" i="1"/>
  <c r="J6223" i="1"/>
  <c r="K6223" i="1"/>
  <c r="O6223" i="1" a="1"/>
  <c r="O6223" i="1" s="1"/>
  <c r="I6224" i="1"/>
  <c r="J6224" i="1"/>
  <c r="K6224" i="1"/>
  <c r="O6224" i="1" a="1"/>
  <c r="O6224" i="1" s="1"/>
  <c r="I6225" i="1"/>
  <c r="J6225" i="1"/>
  <c r="K6225" i="1"/>
  <c r="O6225" i="1" a="1"/>
  <c r="O6225" i="1" s="1"/>
  <c r="I6226" i="1"/>
  <c r="J6226" i="1"/>
  <c r="K6226" i="1"/>
  <c r="O6226" i="1" a="1"/>
  <c r="O6226" i="1" s="1"/>
  <c r="I6227" i="1"/>
  <c r="J6227" i="1"/>
  <c r="K6227" i="1"/>
  <c r="O6227" i="1" a="1"/>
  <c r="O6227" i="1" s="1"/>
  <c r="I6228" i="1"/>
  <c r="J6228" i="1"/>
  <c r="K6228" i="1"/>
  <c r="O6228" i="1" a="1"/>
  <c r="O6228" i="1" s="1"/>
  <c r="I6229" i="1"/>
  <c r="J6229" i="1"/>
  <c r="K6229" i="1"/>
  <c r="O6229" i="1" a="1"/>
  <c r="O6229" i="1" s="1"/>
  <c r="I6230" i="1"/>
  <c r="J6230" i="1"/>
  <c r="K6230" i="1"/>
  <c r="O6230" i="1" a="1"/>
  <c r="O6230" i="1" s="1"/>
  <c r="I6231" i="1"/>
  <c r="J6231" i="1"/>
  <c r="K6231" i="1"/>
  <c r="O6231" i="1" a="1"/>
  <c r="O6231" i="1" s="1"/>
  <c r="I6232" i="1"/>
  <c r="J6232" i="1"/>
  <c r="K6232" i="1"/>
  <c r="O6232" i="1" a="1"/>
  <c r="O6232" i="1" s="1"/>
  <c r="I6233" i="1"/>
  <c r="J6233" i="1"/>
  <c r="K6233" i="1"/>
  <c r="O6233" i="1" a="1"/>
  <c r="O6233" i="1" s="1"/>
  <c r="I6234" i="1"/>
  <c r="J6234" i="1"/>
  <c r="K6234" i="1"/>
  <c r="O6234" i="1" a="1"/>
  <c r="O6234" i="1" s="1"/>
  <c r="I6235" i="1"/>
  <c r="J6235" i="1"/>
  <c r="K6235" i="1"/>
  <c r="O6235" i="1" a="1"/>
  <c r="O6235" i="1" s="1"/>
  <c r="I6236" i="1"/>
  <c r="J6236" i="1"/>
  <c r="K6236" i="1"/>
  <c r="O6236" i="1" a="1"/>
  <c r="O6236" i="1" s="1"/>
  <c r="I6237" i="1"/>
  <c r="J6237" i="1"/>
  <c r="K6237" i="1"/>
  <c r="O6237" i="1" a="1"/>
  <c r="O6237" i="1" s="1"/>
  <c r="I6238" i="1"/>
  <c r="J6238" i="1"/>
  <c r="K6238" i="1"/>
  <c r="O6238" i="1" a="1"/>
  <c r="O6238" i="1" s="1"/>
  <c r="I6239" i="1"/>
  <c r="J6239" i="1"/>
  <c r="K6239" i="1"/>
  <c r="O6239" i="1" a="1"/>
  <c r="O6239" i="1" s="1"/>
  <c r="I6240" i="1"/>
  <c r="J6240" i="1"/>
  <c r="K6240" i="1"/>
  <c r="O6240" i="1" a="1"/>
  <c r="O6240" i="1" s="1"/>
  <c r="I6241" i="1"/>
  <c r="J6241" i="1"/>
  <c r="K6241" i="1"/>
  <c r="O6241" i="1" a="1"/>
  <c r="O6241" i="1" s="1"/>
  <c r="I6242" i="1"/>
  <c r="J6242" i="1"/>
  <c r="K6242" i="1"/>
  <c r="O6242" i="1" a="1"/>
  <c r="O6242" i="1" s="1"/>
  <c r="I6243" i="1"/>
  <c r="J6243" i="1"/>
  <c r="K6243" i="1"/>
  <c r="O6243" i="1" a="1"/>
  <c r="O6243" i="1" s="1"/>
  <c r="I6244" i="1"/>
  <c r="J6244" i="1"/>
  <c r="K6244" i="1"/>
  <c r="O6244" i="1" a="1"/>
  <c r="O6244" i="1" s="1"/>
  <c r="I6245" i="1"/>
  <c r="J6245" i="1"/>
  <c r="K6245" i="1"/>
  <c r="O6245" i="1" a="1"/>
  <c r="O6245" i="1"/>
  <c r="I6246" i="1"/>
  <c r="J6246" i="1"/>
  <c r="K6246" i="1"/>
  <c r="O6246" i="1" a="1"/>
  <c r="O6246" i="1" s="1"/>
  <c r="I6247" i="1"/>
  <c r="J6247" i="1"/>
  <c r="K6247" i="1"/>
  <c r="O6247" i="1" a="1"/>
  <c r="O6247" i="1" s="1"/>
  <c r="I6248" i="1"/>
  <c r="J6248" i="1"/>
  <c r="K6248" i="1"/>
  <c r="O6248" i="1" a="1"/>
  <c r="O6248" i="1" s="1"/>
  <c r="I6249" i="1"/>
  <c r="J6249" i="1"/>
  <c r="K6249" i="1"/>
  <c r="O6249" i="1" a="1"/>
  <c r="O6249" i="1" s="1"/>
  <c r="I6250" i="1"/>
  <c r="J6250" i="1"/>
  <c r="K6250" i="1"/>
  <c r="O6250" i="1" a="1"/>
  <c r="O6250" i="1" s="1"/>
  <c r="I6251" i="1"/>
  <c r="J6251" i="1"/>
  <c r="K6251" i="1"/>
  <c r="O6251" i="1" a="1"/>
  <c r="O6251" i="1" s="1"/>
  <c r="I6252" i="1"/>
  <c r="J6252" i="1"/>
  <c r="K6252" i="1"/>
  <c r="O6252" i="1" a="1"/>
  <c r="O6252" i="1" s="1"/>
  <c r="I6253" i="1"/>
  <c r="J6253" i="1"/>
  <c r="K6253" i="1"/>
  <c r="O6253" i="1" a="1"/>
  <c r="O6253" i="1" s="1"/>
  <c r="I6254" i="1"/>
  <c r="J6254" i="1"/>
  <c r="K6254" i="1"/>
  <c r="O6254" i="1" a="1"/>
  <c r="O6254" i="1" s="1"/>
  <c r="I6255" i="1"/>
  <c r="J6255" i="1"/>
  <c r="K6255" i="1"/>
  <c r="O6255" i="1" a="1"/>
  <c r="O6255" i="1" s="1"/>
  <c r="I6256" i="1"/>
  <c r="J6256" i="1"/>
  <c r="K6256" i="1"/>
  <c r="O6256" i="1" a="1"/>
  <c r="O6256" i="1" s="1"/>
  <c r="I6257" i="1"/>
  <c r="J6257" i="1"/>
  <c r="K6257" i="1"/>
  <c r="O6257" i="1" a="1"/>
  <c r="O6257" i="1" s="1"/>
  <c r="I6258" i="1"/>
  <c r="J6258" i="1"/>
  <c r="K6258" i="1"/>
  <c r="O6258" i="1" a="1"/>
  <c r="O6258" i="1" s="1"/>
  <c r="I6259" i="1"/>
  <c r="J6259" i="1"/>
  <c r="K6259" i="1"/>
  <c r="O6259" i="1" a="1"/>
  <c r="O6259" i="1" s="1"/>
  <c r="I6260" i="1"/>
  <c r="J6260" i="1"/>
  <c r="K6260" i="1"/>
  <c r="O6260" i="1" a="1"/>
  <c r="O6260" i="1" s="1"/>
  <c r="I6261" i="1"/>
  <c r="J6261" i="1"/>
  <c r="K6261" i="1"/>
  <c r="O6261" i="1" a="1"/>
  <c r="O6261" i="1"/>
  <c r="I6262" i="1"/>
  <c r="J6262" i="1"/>
  <c r="K6262" i="1"/>
  <c r="O6262" i="1" a="1"/>
  <c r="O6262" i="1" s="1"/>
  <c r="I6263" i="1"/>
  <c r="J6263" i="1"/>
  <c r="K6263" i="1"/>
  <c r="O6263" i="1" a="1"/>
  <c r="O6263" i="1" s="1"/>
  <c r="I6264" i="1"/>
  <c r="J6264" i="1"/>
  <c r="K6264" i="1"/>
  <c r="O6264" i="1" a="1"/>
  <c r="O6264" i="1" s="1"/>
  <c r="I6265" i="1"/>
  <c r="J6265" i="1"/>
  <c r="K6265" i="1"/>
  <c r="O6265" i="1" a="1"/>
  <c r="O6265" i="1" s="1"/>
  <c r="I6266" i="1"/>
  <c r="J6266" i="1"/>
  <c r="K6266" i="1"/>
  <c r="O6266" i="1" a="1"/>
  <c r="O6266" i="1" s="1"/>
  <c r="I6267" i="1"/>
  <c r="J6267" i="1"/>
  <c r="K6267" i="1"/>
  <c r="O6267" i="1" a="1"/>
  <c r="O6267" i="1" s="1"/>
  <c r="I6268" i="1"/>
  <c r="J6268" i="1"/>
  <c r="K6268" i="1"/>
  <c r="O6268" i="1" a="1"/>
  <c r="O6268" i="1" s="1"/>
  <c r="I6269" i="1"/>
  <c r="J6269" i="1"/>
  <c r="K6269" i="1"/>
  <c r="O6269" i="1" a="1"/>
  <c r="O6269" i="1" s="1"/>
  <c r="I6270" i="1"/>
  <c r="J6270" i="1"/>
  <c r="K6270" i="1"/>
  <c r="O6270" i="1" a="1"/>
  <c r="O6270" i="1" s="1"/>
  <c r="I6271" i="1"/>
  <c r="J6271" i="1"/>
  <c r="K6271" i="1"/>
  <c r="O6271" i="1" a="1"/>
  <c r="O6271" i="1" s="1"/>
  <c r="I6272" i="1"/>
  <c r="J6272" i="1"/>
  <c r="K6272" i="1"/>
  <c r="O6272" i="1" a="1"/>
  <c r="O6272" i="1" s="1"/>
  <c r="I6273" i="1"/>
  <c r="J6273" i="1"/>
  <c r="K6273" i="1"/>
  <c r="O6273" i="1" a="1"/>
  <c r="O6273" i="1" s="1"/>
  <c r="I6274" i="1"/>
  <c r="J6274" i="1"/>
  <c r="K6274" i="1"/>
  <c r="O6274" i="1" a="1"/>
  <c r="O6274" i="1" s="1"/>
  <c r="I6275" i="1"/>
  <c r="J6275" i="1"/>
  <c r="K6275" i="1"/>
  <c r="O6275" i="1" a="1"/>
  <c r="O6275" i="1" s="1"/>
  <c r="I6276" i="1"/>
  <c r="J6276" i="1"/>
  <c r="K6276" i="1"/>
  <c r="O6276" i="1" a="1"/>
  <c r="O6276" i="1" s="1"/>
  <c r="I6277" i="1"/>
  <c r="J6277" i="1"/>
  <c r="K6277" i="1"/>
  <c r="O6277" i="1" a="1"/>
  <c r="O6277" i="1" s="1"/>
  <c r="I6278" i="1"/>
  <c r="J6278" i="1"/>
  <c r="K6278" i="1"/>
  <c r="O6278" i="1" a="1"/>
  <c r="O6278" i="1" s="1"/>
  <c r="I6279" i="1"/>
  <c r="J6279" i="1"/>
  <c r="K6279" i="1"/>
  <c r="O6279" i="1" a="1"/>
  <c r="O6279" i="1" s="1"/>
  <c r="I6280" i="1"/>
  <c r="J6280" i="1"/>
  <c r="K6280" i="1"/>
  <c r="O6280" i="1" a="1"/>
  <c r="O6280" i="1" s="1"/>
  <c r="I6281" i="1"/>
  <c r="J6281" i="1"/>
  <c r="K6281" i="1"/>
  <c r="O6281" i="1" a="1"/>
  <c r="O6281" i="1" s="1"/>
  <c r="I6282" i="1"/>
  <c r="J6282" i="1"/>
  <c r="K6282" i="1"/>
  <c r="O6282" i="1" a="1"/>
  <c r="O6282" i="1" s="1"/>
  <c r="I6283" i="1"/>
  <c r="J6283" i="1"/>
  <c r="K6283" i="1"/>
  <c r="O6283" i="1" a="1"/>
  <c r="O6283" i="1" s="1"/>
  <c r="I6284" i="1"/>
  <c r="J6284" i="1"/>
  <c r="K6284" i="1"/>
  <c r="O6284" i="1" a="1"/>
  <c r="O6284" i="1" s="1"/>
  <c r="I6285" i="1"/>
  <c r="J6285" i="1"/>
  <c r="K6285" i="1"/>
  <c r="O6285" i="1" a="1"/>
  <c r="O6285" i="1" s="1"/>
  <c r="I6286" i="1"/>
  <c r="J6286" i="1"/>
  <c r="K6286" i="1"/>
  <c r="O6286" i="1" a="1"/>
  <c r="O6286" i="1" s="1"/>
  <c r="I6287" i="1"/>
  <c r="J6287" i="1"/>
  <c r="K6287" i="1"/>
  <c r="O6287" i="1" a="1"/>
  <c r="O6287" i="1" s="1"/>
  <c r="I6288" i="1"/>
  <c r="J6288" i="1"/>
  <c r="K6288" i="1"/>
  <c r="O6288" i="1" a="1"/>
  <c r="O6288" i="1" s="1"/>
  <c r="I6289" i="1"/>
  <c r="J6289" i="1"/>
  <c r="K6289" i="1"/>
  <c r="O6289" i="1" a="1"/>
  <c r="O6289" i="1" s="1"/>
  <c r="I6290" i="1"/>
  <c r="J6290" i="1"/>
  <c r="K6290" i="1"/>
  <c r="O6290" i="1" a="1"/>
  <c r="O6290" i="1" s="1"/>
  <c r="I6291" i="1"/>
  <c r="J6291" i="1"/>
  <c r="K6291" i="1"/>
  <c r="O6291" i="1" a="1"/>
  <c r="O6291" i="1" s="1"/>
  <c r="I6292" i="1"/>
  <c r="J6292" i="1"/>
  <c r="K6292" i="1"/>
  <c r="O6292" i="1" a="1"/>
  <c r="O6292" i="1"/>
  <c r="I6293" i="1"/>
  <c r="J6293" i="1"/>
  <c r="K6293" i="1"/>
  <c r="O6293" i="1" a="1"/>
  <c r="O6293" i="1" s="1"/>
  <c r="I6294" i="1"/>
  <c r="J6294" i="1"/>
  <c r="K6294" i="1"/>
  <c r="O6294" i="1" a="1"/>
  <c r="O6294" i="1"/>
  <c r="I6295" i="1"/>
  <c r="J6295" i="1"/>
  <c r="K6295" i="1"/>
  <c r="O6295" i="1" a="1"/>
  <c r="O6295" i="1" s="1"/>
  <c r="I6296" i="1"/>
  <c r="J6296" i="1"/>
  <c r="K6296" i="1"/>
  <c r="O6296" i="1" a="1"/>
  <c r="O6296" i="1" s="1"/>
  <c r="I6297" i="1"/>
  <c r="J6297" i="1"/>
  <c r="K6297" i="1"/>
  <c r="O6297" i="1" a="1"/>
  <c r="O6297" i="1" s="1"/>
  <c r="I6298" i="1"/>
  <c r="J6298" i="1"/>
  <c r="K6298" i="1"/>
  <c r="O6298" i="1" a="1"/>
  <c r="O6298" i="1" s="1"/>
  <c r="I6299" i="1"/>
  <c r="J6299" i="1"/>
  <c r="K6299" i="1"/>
  <c r="O6299" i="1" a="1"/>
  <c r="O6299" i="1"/>
  <c r="I6300" i="1"/>
  <c r="J6300" i="1"/>
  <c r="K6300" i="1"/>
  <c r="O6300" i="1" a="1"/>
  <c r="O6300" i="1" s="1"/>
  <c r="I6301" i="1"/>
  <c r="J6301" i="1"/>
  <c r="K6301" i="1"/>
  <c r="O6301" i="1" a="1"/>
  <c r="O6301" i="1" s="1"/>
  <c r="I6302" i="1"/>
  <c r="J6302" i="1"/>
  <c r="K6302" i="1"/>
  <c r="O6302" i="1" a="1"/>
  <c r="O6302" i="1" s="1"/>
  <c r="I6303" i="1"/>
  <c r="J6303" i="1"/>
  <c r="K6303" i="1"/>
  <c r="O6303" i="1" a="1"/>
  <c r="O6303" i="1" s="1"/>
  <c r="I6304" i="1"/>
  <c r="J6304" i="1"/>
  <c r="K6304" i="1"/>
  <c r="O6304" i="1" a="1"/>
  <c r="O6304" i="1" s="1"/>
  <c r="I6305" i="1"/>
  <c r="J6305" i="1"/>
  <c r="K6305" i="1"/>
  <c r="O6305" i="1" a="1"/>
  <c r="O6305" i="1" s="1"/>
  <c r="I6306" i="1"/>
  <c r="J6306" i="1"/>
  <c r="K6306" i="1"/>
  <c r="O6306" i="1" a="1"/>
  <c r="O6306" i="1" s="1"/>
  <c r="I6307" i="1"/>
  <c r="J6307" i="1"/>
  <c r="K6307" i="1"/>
  <c r="O6307" i="1" a="1"/>
  <c r="O6307" i="1"/>
  <c r="I6308" i="1"/>
  <c r="J6308" i="1"/>
  <c r="K6308" i="1"/>
  <c r="O6308" i="1" a="1"/>
  <c r="O6308" i="1" s="1"/>
  <c r="I6309" i="1"/>
  <c r="J6309" i="1"/>
  <c r="K6309" i="1"/>
  <c r="O6309" i="1" a="1"/>
  <c r="O6309" i="1" s="1"/>
  <c r="I6310" i="1"/>
  <c r="J6310" i="1"/>
  <c r="K6310" i="1"/>
  <c r="O6310" i="1" a="1"/>
  <c r="O6310" i="1" s="1"/>
  <c r="I6311" i="1"/>
  <c r="J6311" i="1"/>
  <c r="K6311" i="1"/>
  <c r="O6311" i="1" a="1"/>
  <c r="O6311" i="1" s="1"/>
  <c r="I6312" i="1"/>
  <c r="J6312" i="1"/>
  <c r="K6312" i="1"/>
  <c r="O6312" i="1" a="1"/>
  <c r="O6312" i="1" s="1"/>
  <c r="I6313" i="1"/>
  <c r="J6313" i="1"/>
  <c r="K6313" i="1"/>
  <c r="O6313" i="1" a="1"/>
  <c r="O6313" i="1" s="1"/>
  <c r="I6314" i="1"/>
  <c r="J6314" i="1"/>
  <c r="K6314" i="1"/>
  <c r="O6314" i="1" a="1"/>
  <c r="O6314" i="1" s="1"/>
  <c r="I6315" i="1"/>
  <c r="J6315" i="1"/>
  <c r="K6315" i="1"/>
  <c r="O6315" i="1" a="1"/>
  <c r="O6315" i="1" s="1"/>
  <c r="I6316" i="1"/>
  <c r="J6316" i="1"/>
  <c r="K6316" i="1"/>
  <c r="O6316" i="1" a="1"/>
  <c r="O6316" i="1" s="1"/>
  <c r="I6317" i="1"/>
  <c r="J6317" i="1"/>
  <c r="K6317" i="1"/>
  <c r="O6317" i="1" a="1"/>
  <c r="O6317" i="1" s="1"/>
  <c r="I6318" i="1"/>
  <c r="J6318" i="1"/>
  <c r="K6318" i="1"/>
  <c r="O6318" i="1" a="1"/>
  <c r="O6318" i="1" s="1"/>
  <c r="I6319" i="1"/>
  <c r="J6319" i="1"/>
  <c r="K6319" i="1"/>
  <c r="O6319" i="1" a="1"/>
  <c r="O6319" i="1" s="1"/>
  <c r="I6320" i="1"/>
  <c r="J6320" i="1"/>
  <c r="K6320" i="1"/>
  <c r="O6320" i="1" a="1"/>
  <c r="O6320" i="1" s="1"/>
  <c r="I6321" i="1"/>
  <c r="J6321" i="1"/>
  <c r="K6321" i="1"/>
  <c r="O6321" i="1" a="1"/>
  <c r="O6321" i="1" s="1"/>
  <c r="I6322" i="1"/>
  <c r="J6322" i="1"/>
  <c r="K6322" i="1"/>
  <c r="O6322" i="1" a="1"/>
  <c r="O6322" i="1" s="1"/>
  <c r="I6323" i="1"/>
  <c r="J6323" i="1"/>
  <c r="K6323" i="1"/>
  <c r="O6323" i="1" a="1"/>
  <c r="O6323" i="1"/>
  <c r="I6324" i="1"/>
  <c r="J6324" i="1"/>
  <c r="K6324" i="1"/>
  <c r="O6324" i="1" a="1"/>
  <c r="O6324" i="1" s="1"/>
  <c r="I6325" i="1"/>
  <c r="J6325" i="1"/>
  <c r="K6325" i="1"/>
  <c r="O6325" i="1" a="1"/>
  <c r="O6325" i="1" s="1"/>
  <c r="I6326" i="1"/>
  <c r="J6326" i="1"/>
  <c r="K6326" i="1"/>
  <c r="O6326" i="1" a="1"/>
  <c r="O6326" i="1" s="1"/>
  <c r="I6327" i="1"/>
  <c r="J6327" i="1"/>
  <c r="K6327" i="1"/>
  <c r="O6327" i="1" a="1"/>
  <c r="O6327" i="1" s="1"/>
  <c r="I6328" i="1"/>
  <c r="J6328" i="1"/>
  <c r="K6328" i="1"/>
  <c r="O6328" i="1" a="1"/>
  <c r="O6328" i="1" s="1"/>
  <c r="I6329" i="1"/>
  <c r="J6329" i="1"/>
  <c r="K6329" i="1"/>
  <c r="O6329" i="1" a="1"/>
  <c r="O6329" i="1" s="1"/>
  <c r="I6330" i="1"/>
  <c r="J6330" i="1"/>
  <c r="K6330" i="1"/>
  <c r="O6330" i="1" a="1"/>
  <c r="O6330" i="1" s="1"/>
  <c r="I6331" i="1"/>
  <c r="J6331" i="1"/>
  <c r="K6331" i="1"/>
  <c r="O6331" i="1" a="1"/>
  <c r="O6331" i="1" s="1"/>
  <c r="I6332" i="1"/>
  <c r="J6332" i="1"/>
  <c r="K6332" i="1"/>
  <c r="O6332" i="1" a="1"/>
  <c r="O6332" i="1"/>
  <c r="I6333" i="1"/>
  <c r="J6333" i="1"/>
  <c r="K6333" i="1"/>
  <c r="O6333" i="1" a="1"/>
  <c r="O6333" i="1" s="1"/>
  <c r="I6334" i="1"/>
  <c r="J6334" i="1"/>
  <c r="K6334" i="1"/>
  <c r="O6334" i="1" a="1"/>
  <c r="O6334" i="1" s="1"/>
  <c r="I6335" i="1"/>
  <c r="J6335" i="1"/>
  <c r="K6335" i="1"/>
  <c r="O6335" i="1" a="1"/>
  <c r="O6335" i="1" s="1"/>
  <c r="I6336" i="1"/>
  <c r="J6336" i="1"/>
  <c r="K6336" i="1"/>
  <c r="O6336" i="1" a="1"/>
  <c r="O6336" i="1" s="1"/>
  <c r="I6337" i="1"/>
  <c r="J6337" i="1"/>
  <c r="K6337" i="1"/>
  <c r="O6337" i="1" a="1"/>
  <c r="O6337" i="1" s="1"/>
  <c r="I6338" i="1"/>
  <c r="J6338" i="1"/>
  <c r="K6338" i="1"/>
  <c r="O6338" i="1" a="1"/>
  <c r="O6338" i="1"/>
  <c r="I6339" i="1"/>
  <c r="J6339" i="1"/>
  <c r="K6339" i="1"/>
  <c r="O6339" i="1" a="1"/>
  <c r="O6339" i="1" s="1"/>
  <c r="I6340" i="1"/>
  <c r="J6340" i="1"/>
  <c r="K6340" i="1"/>
  <c r="O6340" i="1" a="1"/>
  <c r="O6340" i="1" s="1"/>
  <c r="I6341" i="1"/>
  <c r="J6341" i="1"/>
  <c r="K6341" i="1"/>
  <c r="O6341" i="1" a="1"/>
  <c r="O6341" i="1" s="1"/>
  <c r="I6342" i="1"/>
  <c r="J6342" i="1"/>
  <c r="K6342" i="1"/>
  <c r="O6342" i="1" a="1"/>
  <c r="O6342" i="1" s="1"/>
  <c r="I6343" i="1"/>
  <c r="J6343" i="1"/>
  <c r="K6343" i="1"/>
  <c r="O6343" i="1" a="1"/>
  <c r="O6343" i="1" s="1"/>
  <c r="I6344" i="1"/>
  <c r="J6344" i="1"/>
  <c r="K6344" i="1"/>
  <c r="O6344" i="1" a="1"/>
  <c r="O6344" i="1" s="1"/>
  <c r="I6345" i="1"/>
  <c r="J6345" i="1"/>
  <c r="K6345" i="1"/>
  <c r="O6345" i="1" a="1"/>
  <c r="O6345" i="1" s="1"/>
  <c r="I6346" i="1"/>
  <c r="J6346" i="1"/>
  <c r="K6346" i="1"/>
  <c r="O6346" i="1" a="1"/>
  <c r="O6346" i="1" s="1"/>
  <c r="I6347" i="1"/>
  <c r="J6347" i="1"/>
  <c r="K6347" i="1"/>
  <c r="O6347" i="1" a="1"/>
  <c r="O6347" i="1" s="1"/>
  <c r="I6348" i="1"/>
  <c r="J6348" i="1"/>
  <c r="K6348" i="1"/>
  <c r="O6348" i="1" a="1"/>
  <c r="O6348" i="1" s="1"/>
  <c r="I6349" i="1"/>
  <c r="J6349" i="1"/>
  <c r="K6349" i="1"/>
  <c r="O6349" i="1" a="1"/>
  <c r="O6349" i="1" s="1"/>
  <c r="I6350" i="1"/>
  <c r="J6350" i="1"/>
  <c r="K6350" i="1"/>
  <c r="O6350" i="1" a="1"/>
  <c r="O6350" i="1" s="1"/>
  <c r="I6351" i="1"/>
  <c r="J6351" i="1"/>
  <c r="K6351" i="1"/>
  <c r="O6351" i="1" a="1"/>
  <c r="O6351" i="1" s="1"/>
  <c r="I6352" i="1"/>
  <c r="J6352" i="1"/>
  <c r="K6352" i="1"/>
  <c r="O6352" i="1" a="1"/>
  <c r="O6352" i="1" s="1"/>
  <c r="I6353" i="1"/>
  <c r="J6353" i="1"/>
  <c r="K6353" i="1"/>
  <c r="O6353" i="1" a="1"/>
  <c r="O6353" i="1" s="1"/>
  <c r="I6354" i="1"/>
  <c r="J6354" i="1"/>
  <c r="K6354" i="1"/>
  <c r="O6354" i="1" a="1"/>
  <c r="O6354" i="1" s="1"/>
  <c r="I6355" i="1"/>
  <c r="J6355" i="1"/>
  <c r="K6355" i="1"/>
  <c r="O6355" i="1" a="1"/>
  <c r="O6355" i="1" s="1"/>
  <c r="I6356" i="1"/>
  <c r="J6356" i="1"/>
  <c r="K6356" i="1"/>
  <c r="O6356" i="1" a="1"/>
  <c r="O6356" i="1" s="1"/>
  <c r="I6357" i="1"/>
  <c r="J6357" i="1"/>
  <c r="K6357" i="1"/>
  <c r="O6357" i="1" a="1"/>
  <c r="O6357" i="1" s="1"/>
  <c r="I6358" i="1"/>
  <c r="J6358" i="1"/>
  <c r="K6358" i="1"/>
  <c r="O6358" i="1" a="1"/>
  <c r="O6358" i="1" s="1"/>
  <c r="I6359" i="1"/>
  <c r="J6359" i="1"/>
  <c r="K6359" i="1"/>
  <c r="O6359" i="1" a="1"/>
  <c r="O6359" i="1" s="1"/>
  <c r="I6360" i="1"/>
  <c r="J6360" i="1"/>
  <c r="K6360" i="1"/>
  <c r="O6360" i="1" a="1"/>
  <c r="O6360" i="1" s="1"/>
  <c r="I6361" i="1"/>
  <c r="J6361" i="1"/>
  <c r="K6361" i="1"/>
  <c r="O6361" i="1" a="1"/>
  <c r="O6361" i="1" s="1"/>
  <c r="I6362" i="1"/>
  <c r="J6362" i="1"/>
  <c r="K6362" i="1"/>
  <c r="O6362" i="1" a="1"/>
  <c r="O6362" i="1" s="1"/>
  <c r="I6363" i="1"/>
  <c r="J6363" i="1"/>
  <c r="K6363" i="1"/>
  <c r="O6363" i="1" a="1"/>
  <c r="O6363" i="1" s="1"/>
  <c r="I6364" i="1"/>
  <c r="J6364" i="1"/>
  <c r="K6364" i="1"/>
  <c r="O6364" i="1" a="1"/>
  <c r="O6364" i="1" s="1"/>
  <c r="I6365" i="1"/>
  <c r="J6365" i="1"/>
  <c r="K6365" i="1"/>
  <c r="O6365" i="1" a="1"/>
  <c r="O6365" i="1" s="1"/>
  <c r="I6366" i="1"/>
  <c r="J6366" i="1"/>
  <c r="K6366" i="1"/>
  <c r="O6366" i="1" a="1"/>
  <c r="O6366" i="1" s="1"/>
  <c r="I6367" i="1"/>
  <c r="J6367" i="1"/>
  <c r="K6367" i="1"/>
  <c r="O6367" i="1" a="1"/>
  <c r="O6367" i="1" s="1"/>
  <c r="I6368" i="1"/>
  <c r="J6368" i="1"/>
  <c r="K6368" i="1"/>
  <c r="O6368" i="1" a="1"/>
  <c r="O6368" i="1" s="1"/>
  <c r="I6369" i="1"/>
  <c r="J6369" i="1"/>
  <c r="K6369" i="1"/>
  <c r="O6369" i="1" a="1"/>
  <c r="O6369" i="1" s="1"/>
  <c r="I6370" i="1"/>
  <c r="J6370" i="1"/>
  <c r="K6370" i="1"/>
  <c r="O6370" i="1" a="1"/>
  <c r="O6370" i="1" s="1"/>
  <c r="I6371" i="1"/>
  <c r="J6371" i="1"/>
  <c r="K6371" i="1"/>
  <c r="O6371" i="1" a="1"/>
  <c r="O6371" i="1" s="1"/>
  <c r="I6372" i="1"/>
  <c r="J6372" i="1"/>
  <c r="K6372" i="1"/>
  <c r="O6372" i="1" a="1"/>
  <c r="O6372" i="1" s="1"/>
  <c r="I6373" i="1"/>
  <c r="J6373" i="1"/>
  <c r="K6373" i="1"/>
  <c r="O6373" i="1" a="1"/>
  <c r="O6373" i="1" s="1"/>
  <c r="I6374" i="1"/>
  <c r="J6374" i="1"/>
  <c r="K6374" i="1"/>
  <c r="O6374" i="1" a="1"/>
  <c r="O6374" i="1" s="1"/>
  <c r="I6375" i="1"/>
  <c r="J6375" i="1"/>
  <c r="K6375" i="1"/>
  <c r="O6375" i="1" a="1"/>
  <c r="O6375" i="1"/>
  <c r="I6376" i="1"/>
  <c r="J6376" i="1"/>
  <c r="K6376" i="1"/>
  <c r="O6376" i="1" a="1"/>
  <c r="O6376" i="1" s="1"/>
  <c r="I6377" i="1"/>
  <c r="J6377" i="1"/>
  <c r="K6377" i="1"/>
  <c r="O6377" i="1" a="1"/>
  <c r="O6377" i="1" s="1"/>
  <c r="I6378" i="1"/>
  <c r="J6378" i="1"/>
  <c r="K6378" i="1"/>
  <c r="O6378" i="1" a="1"/>
  <c r="O6378" i="1"/>
  <c r="I6379" i="1"/>
  <c r="J6379" i="1"/>
  <c r="K6379" i="1"/>
  <c r="O6379" i="1" a="1"/>
  <c r="O6379" i="1" s="1"/>
  <c r="I6380" i="1"/>
  <c r="J6380" i="1"/>
  <c r="K6380" i="1"/>
  <c r="O6380" i="1" a="1"/>
  <c r="O6380" i="1"/>
  <c r="I6381" i="1"/>
  <c r="J6381" i="1"/>
  <c r="K6381" i="1"/>
  <c r="O6381" i="1" a="1"/>
  <c r="O6381" i="1" s="1"/>
  <c r="I6382" i="1"/>
  <c r="J6382" i="1"/>
  <c r="K6382" i="1"/>
  <c r="O6382" i="1" a="1"/>
  <c r="O6382" i="1" s="1"/>
  <c r="I6383" i="1"/>
  <c r="J6383" i="1"/>
  <c r="K6383" i="1"/>
  <c r="O6383" i="1" a="1"/>
  <c r="O6383" i="1" s="1"/>
  <c r="I6384" i="1"/>
  <c r="J6384" i="1"/>
  <c r="K6384" i="1"/>
  <c r="O6384" i="1" a="1"/>
  <c r="O6384" i="1" s="1"/>
  <c r="I6385" i="1"/>
  <c r="J6385" i="1"/>
  <c r="K6385" i="1"/>
  <c r="O6385" i="1" a="1"/>
  <c r="O6385" i="1" s="1"/>
  <c r="I6386" i="1"/>
  <c r="J6386" i="1"/>
  <c r="K6386" i="1"/>
  <c r="O6386" i="1" a="1"/>
  <c r="O6386" i="1" s="1"/>
  <c r="I6387" i="1"/>
  <c r="J6387" i="1"/>
  <c r="K6387" i="1"/>
  <c r="O6387" i="1" a="1"/>
  <c r="O6387" i="1" s="1"/>
  <c r="I6388" i="1"/>
  <c r="J6388" i="1"/>
  <c r="K6388" i="1"/>
  <c r="O6388" i="1" a="1"/>
  <c r="O6388" i="1"/>
  <c r="I6389" i="1"/>
  <c r="J6389" i="1"/>
  <c r="K6389" i="1"/>
  <c r="O6389" i="1" a="1"/>
  <c r="O6389" i="1" s="1"/>
  <c r="I6390" i="1"/>
  <c r="J6390" i="1"/>
  <c r="K6390" i="1"/>
  <c r="O6390" i="1" a="1"/>
  <c r="O6390" i="1" s="1"/>
  <c r="I6391" i="1"/>
  <c r="J6391" i="1"/>
  <c r="K6391" i="1"/>
  <c r="O6391" i="1" a="1"/>
  <c r="O6391" i="1" s="1"/>
  <c r="I6392" i="1"/>
  <c r="J6392" i="1"/>
  <c r="K6392" i="1"/>
  <c r="O6392" i="1" a="1"/>
  <c r="O6392" i="1" s="1"/>
  <c r="I6393" i="1"/>
  <c r="J6393" i="1"/>
  <c r="K6393" i="1"/>
  <c r="O6393" i="1" a="1"/>
  <c r="O6393" i="1" s="1"/>
  <c r="I6394" i="1"/>
  <c r="J6394" i="1"/>
  <c r="K6394" i="1"/>
  <c r="O6394" i="1" a="1"/>
  <c r="O6394" i="1" s="1"/>
  <c r="I6395" i="1"/>
  <c r="J6395" i="1"/>
  <c r="K6395" i="1"/>
  <c r="O6395" i="1" a="1"/>
  <c r="O6395" i="1" s="1"/>
  <c r="I6396" i="1"/>
  <c r="J6396" i="1"/>
  <c r="K6396" i="1"/>
  <c r="O6396" i="1" a="1"/>
  <c r="O6396" i="1" s="1"/>
  <c r="I6397" i="1"/>
  <c r="J6397" i="1"/>
  <c r="K6397" i="1"/>
  <c r="O6397" i="1" a="1"/>
  <c r="O6397" i="1" s="1"/>
  <c r="I6398" i="1"/>
  <c r="J6398" i="1"/>
  <c r="K6398" i="1"/>
  <c r="O6398" i="1" a="1"/>
  <c r="O6398" i="1" s="1"/>
  <c r="I6399" i="1"/>
  <c r="J6399" i="1"/>
  <c r="K6399" i="1"/>
  <c r="O6399" i="1" a="1"/>
  <c r="O6399" i="1" s="1"/>
  <c r="I6400" i="1"/>
  <c r="J6400" i="1"/>
  <c r="K6400" i="1"/>
  <c r="O6400" i="1" a="1"/>
  <c r="O6400" i="1" s="1"/>
  <c r="I6401" i="1"/>
  <c r="J6401" i="1"/>
  <c r="K6401" i="1"/>
  <c r="O6401" i="1" a="1"/>
  <c r="O6401" i="1" s="1"/>
  <c r="I6402" i="1"/>
  <c r="J6402" i="1"/>
  <c r="K6402" i="1"/>
  <c r="O6402" i="1" a="1"/>
  <c r="O6402" i="1" s="1"/>
  <c r="I6403" i="1"/>
  <c r="J6403" i="1"/>
  <c r="K6403" i="1"/>
  <c r="O6403" i="1" a="1"/>
  <c r="O6403" i="1" s="1"/>
  <c r="I6404" i="1"/>
  <c r="J6404" i="1"/>
  <c r="K6404" i="1"/>
  <c r="O6404" i="1" a="1"/>
  <c r="O6404" i="1" s="1"/>
  <c r="I6405" i="1"/>
  <c r="J6405" i="1"/>
  <c r="K6405" i="1"/>
  <c r="O6405" i="1" a="1"/>
  <c r="O6405" i="1" s="1"/>
  <c r="I6406" i="1"/>
  <c r="J6406" i="1"/>
  <c r="K6406" i="1"/>
  <c r="O6406" i="1" a="1"/>
  <c r="O6406" i="1" s="1"/>
  <c r="I6407" i="1"/>
  <c r="J6407" i="1"/>
  <c r="K6407" i="1"/>
  <c r="O6407" i="1" a="1"/>
  <c r="O6407" i="1" s="1"/>
  <c r="I6408" i="1"/>
  <c r="J6408" i="1"/>
  <c r="K6408" i="1"/>
  <c r="O6408" i="1" a="1"/>
  <c r="O6408" i="1" s="1"/>
  <c r="I6409" i="1"/>
  <c r="J6409" i="1"/>
  <c r="K6409" i="1"/>
  <c r="O6409" i="1" a="1"/>
  <c r="O6409" i="1"/>
  <c r="I6410" i="1"/>
  <c r="J6410" i="1"/>
  <c r="K6410" i="1"/>
  <c r="O6410" i="1" a="1"/>
  <c r="O6410" i="1" s="1"/>
  <c r="I6411" i="1"/>
  <c r="J6411" i="1"/>
  <c r="K6411" i="1"/>
  <c r="O6411" i="1" a="1"/>
  <c r="O6411" i="1" s="1"/>
  <c r="I6412" i="1"/>
  <c r="J6412" i="1"/>
  <c r="K6412" i="1"/>
  <c r="O6412" i="1" a="1"/>
  <c r="O6412" i="1" s="1"/>
  <c r="I6413" i="1"/>
  <c r="J6413" i="1"/>
  <c r="K6413" i="1"/>
  <c r="O6413" i="1" a="1"/>
  <c r="O6413" i="1" s="1"/>
  <c r="I6414" i="1"/>
  <c r="J6414" i="1"/>
  <c r="K6414" i="1"/>
  <c r="O6414" i="1" a="1"/>
  <c r="O6414" i="1" s="1"/>
  <c r="I6415" i="1"/>
  <c r="J6415" i="1"/>
  <c r="K6415" i="1"/>
  <c r="O6415" i="1" a="1"/>
  <c r="O6415" i="1" s="1"/>
  <c r="I6416" i="1"/>
  <c r="J6416" i="1"/>
  <c r="K6416" i="1"/>
  <c r="O6416" i="1" a="1"/>
  <c r="O6416" i="1" s="1"/>
  <c r="I6417" i="1"/>
  <c r="J6417" i="1"/>
  <c r="K6417" i="1"/>
  <c r="O6417" i="1" a="1"/>
  <c r="O6417" i="1"/>
  <c r="I6418" i="1"/>
  <c r="J6418" i="1"/>
  <c r="K6418" i="1"/>
  <c r="O6418" i="1" a="1"/>
  <c r="O6418" i="1" s="1"/>
  <c r="I6419" i="1"/>
  <c r="J6419" i="1"/>
  <c r="K6419" i="1"/>
  <c r="O6419" i="1" a="1"/>
  <c r="O6419" i="1"/>
  <c r="I6420" i="1"/>
  <c r="J6420" i="1"/>
  <c r="K6420" i="1"/>
  <c r="O6420" i="1" a="1"/>
  <c r="O6420" i="1" s="1"/>
  <c r="I6421" i="1"/>
  <c r="J6421" i="1"/>
  <c r="K6421" i="1"/>
  <c r="O6421" i="1" a="1"/>
  <c r="O6421" i="1" s="1"/>
  <c r="I6422" i="1"/>
  <c r="J6422" i="1"/>
  <c r="K6422" i="1"/>
  <c r="O6422" i="1" a="1"/>
  <c r="O6422" i="1" s="1"/>
  <c r="I6423" i="1"/>
  <c r="J6423" i="1"/>
  <c r="K6423" i="1"/>
  <c r="O6423" i="1" a="1"/>
  <c r="O6423" i="1" s="1"/>
  <c r="I6424" i="1"/>
  <c r="J6424" i="1"/>
  <c r="K6424" i="1"/>
  <c r="O6424" i="1" a="1"/>
  <c r="O6424" i="1" s="1"/>
  <c r="I6425" i="1"/>
  <c r="J6425" i="1"/>
  <c r="K6425" i="1"/>
  <c r="O6425" i="1" a="1"/>
  <c r="O6425" i="1" s="1"/>
  <c r="I6426" i="1"/>
  <c r="J6426" i="1"/>
  <c r="K6426" i="1"/>
  <c r="O6426" i="1" a="1"/>
  <c r="O6426" i="1" s="1"/>
  <c r="I6427" i="1"/>
  <c r="J6427" i="1"/>
  <c r="K6427" i="1"/>
  <c r="O6427" i="1" a="1"/>
  <c r="O6427" i="1"/>
  <c r="I6428" i="1"/>
  <c r="J6428" i="1"/>
  <c r="K6428" i="1"/>
  <c r="O6428" i="1" a="1"/>
  <c r="O6428" i="1" s="1"/>
  <c r="I6429" i="1"/>
  <c r="J6429" i="1"/>
  <c r="K6429" i="1"/>
  <c r="O6429" i="1" a="1"/>
  <c r="O6429" i="1" s="1"/>
  <c r="I6430" i="1"/>
  <c r="J6430" i="1"/>
  <c r="K6430" i="1"/>
  <c r="O6430" i="1" a="1"/>
  <c r="O6430" i="1" s="1"/>
  <c r="I6431" i="1"/>
  <c r="J6431" i="1"/>
  <c r="K6431" i="1"/>
  <c r="O6431" i="1" a="1"/>
  <c r="O6431" i="1" s="1"/>
  <c r="I6432" i="1"/>
  <c r="J6432" i="1"/>
  <c r="K6432" i="1"/>
  <c r="O6432" i="1" a="1"/>
  <c r="O6432" i="1" s="1"/>
  <c r="I6433" i="1"/>
  <c r="J6433" i="1"/>
  <c r="K6433" i="1"/>
  <c r="O6433" i="1" a="1"/>
  <c r="O6433" i="1" s="1"/>
  <c r="I6434" i="1"/>
  <c r="J6434" i="1"/>
  <c r="K6434" i="1"/>
  <c r="O6434" i="1" a="1"/>
  <c r="O6434" i="1"/>
  <c r="I6435" i="1"/>
  <c r="J6435" i="1"/>
  <c r="K6435" i="1"/>
  <c r="O6435" i="1" a="1"/>
  <c r="O6435" i="1" s="1"/>
  <c r="I6436" i="1"/>
  <c r="J6436" i="1"/>
  <c r="K6436" i="1"/>
  <c r="O6436" i="1" a="1"/>
  <c r="O6436" i="1" s="1"/>
  <c r="I6437" i="1"/>
  <c r="J6437" i="1"/>
  <c r="K6437" i="1"/>
  <c r="O6437" i="1" a="1"/>
  <c r="O6437" i="1" s="1"/>
  <c r="I6438" i="1"/>
  <c r="J6438" i="1"/>
  <c r="K6438" i="1"/>
  <c r="O6438" i="1" a="1"/>
  <c r="O6438" i="1" s="1"/>
  <c r="I6439" i="1"/>
  <c r="J6439" i="1"/>
  <c r="K6439" i="1"/>
  <c r="O6439" i="1" a="1"/>
  <c r="O6439" i="1" s="1"/>
  <c r="I6440" i="1"/>
  <c r="J6440" i="1"/>
  <c r="K6440" i="1"/>
  <c r="O6440" i="1" a="1"/>
  <c r="O6440" i="1" s="1"/>
  <c r="I6441" i="1"/>
  <c r="J6441" i="1"/>
  <c r="K6441" i="1"/>
  <c r="O6441" i="1" a="1"/>
  <c r="O6441" i="1" s="1"/>
  <c r="I6442" i="1"/>
  <c r="J6442" i="1"/>
  <c r="K6442" i="1"/>
  <c r="O6442" i="1" a="1"/>
  <c r="O6442" i="1"/>
  <c r="I6443" i="1"/>
  <c r="J6443" i="1"/>
  <c r="K6443" i="1"/>
  <c r="O6443" i="1" a="1"/>
  <c r="O6443" i="1" s="1"/>
  <c r="I6444" i="1"/>
  <c r="J6444" i="1"/>
  <c r="K6444" i="1"/>
  <c r="O6444" i="1" a="1"/>
  <c r="O6444" i="1"/>
  <c r="I6445" i="1"/>
  <c r="J6445" i="1"/>
  <c r="K6445" i="1"/>
  <c r="O6445" i="1" a="1"/>
  <c r="O6445" i="1" s="1"/>
  <c r="I6446" i="1"/>
  <c r="J6446" i="1"/>
  <c r="K6446" i="1"/>
  <c r="O6446" i="1" a="1"/>
  <c r="O6446" i="1" s="1"/>
  <c r="I6447" i="1"/>
  <c r="J6447" i="1"/>
  <c r="K6447" i="1"/>
  <c r="O6447" i="1" a="1"/>
  <c r="O6447" i="1"/>
  <c r="I6448" i="1"/>
  <c r="J6448" i="1"/>
  <c r="K6448" i="1"/>
  <c r="O6448" i="1" a="1"/>
  <c r="O6448" i="1" s="1"/>
  <c r="I6449" i="1"/>
  <c r="J6449" i="1"/>
  <c r="K6449" i="1"/>
  <c r="O6449" i="1" a="1"/>
  <c r="O6449" i="1" s="1"/>
  <c r="I6450" i="1"/>
  <c r="J6450" i="1"/>
  <c r="K6450" i="1"/>
  <c r="O6450" i="1" a="1"/>
  <c r="O6450" i="1" s="1"/>
  <c r="I6451" i="1"/>
  <c r="J6451" i="1"/>
  <c r="K6451" i="1"/>
  <c r="O6451" i="1" a="1"/>
  <c r="O6451" i="1"/>
  <c r="I6452" i="1"/>
  <c r="J6452" i="1"/>
  <c r="K6452" i="1"/>
  <c r="O6452" i="1" a="1"/>
  <c r="O6452" i="1"/>
  <c r="I6453" i="1"/>
  <c r="J6453" i="1"/>
  <c r="K6453" i="1"/>
  <c r="O6453" i="1" a="1"/>
  <c r="O6453" i="1" s="1"/>
  <c r="I6454" i="1"/>
  <c r="J6454" i="1"/>
  <c r="K6454" i="1"/>
  <c r="O6454" i="1" a="1"/>
  <c r="O6454" i="1" s="1"/>
  <c r="I6455" i="1"/>
  <c r="J6455" i="1"/>
  <c r="K6455" i="1"/>
  <c r="O6455" i="1" a="1"/>
  <c r="O6455" i="1" s="1"/>
  <c r="I6456" i="1"/>
  <c r="J6456" i="1"/>
  <c r="K6456" i="1"/>
  <c r="O6456" i="1" a="1"/>
  <c r="O6456" i="1" s="1"/>
  <c r="I6457" i="1"/>
  <c r="J6457" i="1"/>
  <c r="K6457" i="1"/>
  <c r="O6457" i="1" a="1"/>
  <c r="O6457" i="1" s="1"/>
  <c r="I6458" i="1"/>
  <c r="J6458" i="1"/>
  <c r="K6458" i="1"/>
  <c r="O6458" i="1" a="1"/>
  <c r="O6458" i="1" s="1"/>
  <c r="I6459" i="1"/>
  <c r="J6459" i="1"/>
  <c r="K6459" i="1"/>
  <c r="O6459" i="1" a="1"/>
  <c r="O6459" i="1" s="1"/>
  <c r="I6460" i="1"/>
  <c r="J6460" i="1"/>
  <c r="K6460" i="1"/>
  <c r="O6460" i="1" a="1"/>
  <c r="O6460" i="1" s="1"/>
  <c r="I6461" i="1"/>
  <c r="J6461" i="1"/>
  <c r="K6461" i="1"/>
  <c r="O6461" i="1" a="1"/>
  <c r="O6461" i="1" s="1"/>
  <c r="I6462" i="1"/>
  <c r="J6462" i="1"/>
  <c r="K6462" i="1"/>
  <c r="O6462" i="1" a="1"/>
  <c r="O6462" i="1" s="1"/>
  <c r="I6463" i="1"/>
  <c r="J6463" i="1"/>
  <c r="K6463" i="1"/>
  <c r="O6463" i="1" a="1"/>
  <c r="O6463" i="1" s="1"/>
  <c r="I6464" i="1"/>
  <c r="J6464" i="1"/>
  <c r="K6464" i="1"/>
  <c r="O6464" i="1" a="1"/>
  <c r="O6464" i="1" s="1"/>
  <c r="I6465" i="1"/>
  <c r="J6465" i="1"/>
  <c r="K6465" i="1"/>
  <c r="O6465" i="1" a="1"/>
  <c r="O6465" i="1"/>
  <c r="I6466" i="1"/>
  <c r="J6466" i="1"/>
  <c r="K6466" i="1"/>
  <c r="O6466" i="1" a="1"/>
  <c r="O6466" i="1"/>
  <c r="I6467" i="1"/>
  <c r="J6467" i="1"/>
  <c r="K6467" i="1"/>
  <c r="O6467" i="1" a="1"/>
  <c r="O6467" i="1" s="1"/>
  <c r="I6468" i="1"/>
  <c r="J6468" i="1"/>
  <c r="K6468" i="1"/>
  <c r="O6468" i="1" a="1"/>
  <c r="O6468" i="1" s="1"/>
  <c r="I6469" i="1"/>
  <c r="J6469" i="1"/>
  <c r="K6469" i="1"/>
  <c r="O6469" i="1" a="1"/>
  <c r="O6469" i="1" s="1"/>
  <c r="I6470" i="1"/>
  <c r="J6470" i="1"/>
  <c r="K6470" i="1"/>
  <c r="O6470" i="1" a="1"/>
  <c r="O6470" i="1" s="1"/>
  <c r="I6471" i="1"/>
  <c r="J6471" i="1"/>
  <c r="K6471" i="1"/>
  <c r="O6471" i="1" a="1"/>
  <c r="O6471" i="1" s="1"/>
  <c r="I6472" i="1"/>
  <c r="J6472" i="1"/>
  <c r="K6472" i="1"/>
  <c r="O6472" i="1" a="1"/>
  <c r="O6472" i="1" s="1"/>
  <c r="I6473" i="1"/>
  <c r="J6473" i="1"/>
  <c r="K6473" i="1"/>
  <c r="O6473" i="1" a="1"/>
  <c r="O6473" i="1" s="1"/>
  <c r="I6474" i="1"/>
  <c r="J6474" i="1"/>
  <c r="K6474" i="1"/>
  <c r="O6474" i="1" a="1"/>
  <c r="O6474" i="1" s="1"/>
  <c r="I6475" i="1"/>
  <c r="J6475" i="1"/>
  <c r="K6475" i="1"/>
  <c r="O6475" i="1" a="1"/>
  <c r="O6475" i="1" s="1"/>
  <c r="I6476" i="1"/>
  <c r="J6476" i="1"/>
  <c r="K6476" i="1"/>
  <c r="O6476" i="1" a="1"/>
  <c r="O6476" i="1" s="1"/>
  <c r="I6477" i="1"/>
  <c r="J6477" i="1"/>
  <c r="K6477" i="1"/>
  <c r="O6477" i="1" a="1"/>
  <c r="O6477" i="1" s="1"/>
  <c r="I6478" i="1"/>
  <c r="J6478" i="1"/>
  <c r="K6478" i="1"/>
  <c r="O6478" i="1" a="1"/>
  <c r="O6478" i="1" s="1"/>
  <c r="I6479" i="1"/>
  <c r="J6479" i="1"/>
  <c r="K6479" i="1"/>
  <c r="O6479" i="1" a="1"/>
  <c r="O6479" i="1" s="1"/>
  <c r="I6480" i="1"/>
  <c r="J6480" i="1"/>
  <c r="K6480" i="1"/>
  <c r="O6480" i="1" a="1"/>
  <c r="O6480" i="1" s="1"/>
  <c r="I6481" i="1"/>
  <c r="J6481" i="1"/>
  <c r="K6481" i="1"/>
  <c r="O6481" i="1" a="1"/>
  <c r="O6481" i="1" s="1"/>
  <c r="I6482" i="1"/>
  <c r="J6482" i="1"/>
  <c r="K6482" i="1"/>
  <c r="O6482" i="1" a="1"/>
  <c r="O6482" i="1" s="1"/>
  <c r="I6483" i="1"/>
  <c r="J6483" i="1"/>
  <c r="K6483" i="1"/>
  <c r="O6483" i="1" a="1"/>
  <c r="O6483" i="1" s="1"/>
  <c r="I6484" i="1"/>
  <c r="J6484" i="1"/>
  <c r="K6484" i="1"/>
  <c r="O6484" i="1" a="1"/>
  <c r="O6484" i="1" s="1"/>
  <c r="I6485" i="1"/>
  <c r="J6485" i="1"/>
  <c r="K6485" i="1"/>
  <c r="O6485" i="1" a="1"/>
  <c r="O6485" i="1" s="1"/>
  <c r="I6486" i="1"/>
  <c r="J6486" i="1"/>
  <c r="K6486" i="1"/>
  <c r="O6486" i="1" a="1"/>
  <c r="O6486" i="1" s="1"/>
  <c r="I6487" i="1"/>
  <c r="J6487" i="1"/>
  <c r="K6487" i="1"/>
  <c r="O6487" i="1" a="1"/>
  <c r="O6487" i="1" s="1"/>
  <c r="I6488" i="1"/>
  <c r="J6488" i="1"/>
  <c r="K6488" i="1"/>
  <c r="O6488" i="1" a="1"/>
  <c r="O6488" i="1" s="1"/>
  <c r="I6489" i="1"/>
  <c r="J6489" i="1"/>
  <c r="K6489" i="1"/>
  <c r="O6489" i="1" a="1"/>
  <c r="O6489" i="1" s="1"/>
  <c r="I6490" i="1"/>
  <c r="J6490" i="1"/>
  <c r="K6490" i="1"/>
  <c r="O6490" i="1" a="1"/>
  <c r="O6490" i="1"/>
  <c r="I6491" i="1"/>
  <c r="J6491" i="1"/>
  <c r="K6491" i="1"/>
  <c r="O6491" i="1" a="1"/>
  <c r="O6491" i="1" s="1"/>
  <c r="I6492" i="1"/>
  <c r="J6492" i="1"/>
  <c r="K6492" i="1"/>
  <c r="O6492" i="1" a="1"/>
  <c r="O6492" i="1"/>
  <c r="I6493" i="1"/>
  <c r="J6493" i="1"/>
  <c r="K6493" i="1"/>
  <c r="O6493" i="1" a="1"/>
  <c r="O6493" i="1" s="1"/>
  <c r="I6494" i="1"/>
  <c r="J6494" i="1"/>
  <c r="K6494" i="1"/>
  <c r="O6494" i="1" a="1"/>
  <c r="O6494" i="1" s="1"/>
  <c r="I6495" i="1"/>
  <c r="J6495" i="1"/>
  <c r="K6495" i="1"/>
  <c r="O6495" i="1" a="1"/>
  <c r="O6495" i="1" s="1"/>
  <c r="I6496" i="1"/>
  <c r="J6496" i="1"/>
  <c r="K6496" i="1"/>
  <c r="O6496" i="1" a="1"/>
  <c r="O6496" i="1" s="1"/>
  <c r="I6497" i="1"/>
  <c r="J6497" i="1"/>
  <c r="K6497" i="1"/>
  <c r="O6497" i="1" a="1"/>
  <c r="O6497" i="1" s="1"/>
  <c r="I6498" i="1"/>
  <c r="J6498" i="1"/>
  <c r="K6498" i="1"/>
  <c r="O6498" i="1" a="1"/>
  <c r="O6498" i="1" s="1"/>
  <c r="I6499" i="1"/>
  <c r="J6499" i="1"/>
  <c r="K6499" i="1"/>
  <c r="O6499" i="1" a="1"/>
  <c r="O6499" i="1"/>
  <c r="I6500" i="1"/>
  <c r="J6500" i="1"/>
  <c r="K6500" i="1"/>
  <c r="O6500" i="1" a="1"/>
  <c r="O6500" i="1" s="1"/>
  <c r="I6501" i="1"/>
  <c r="J6501" i="1"/>
  <c r="K6501" i="1"/>
  <c r="O6501" i="1" a="1"/>
  <c r="O6501" i="1" s="1"/>
  <c r="I6502" i="1"/>
  <c r="J6502" i="1"/>
  <c r="K6502" i="1"/>
  <c r="O6502" i="1" a="1"/>
  <c r="O6502" i="1" s="1"/>
  <c r="I6503" i="1"/>
  <c r="J6503" i="1"/>
  <c r="K6503" i="1"/>
  <c r="O6503" i="1" a="1"/>
  <c r="O6503" i="1" s="1"/>
  <c r="I6504" i="1"/>
  <c r="J6504" i="1"/>
  <c r="K6504" i="1"/>
  <c r="O6504" i="1" a="1"/>
  <c r="O6504" i="1" s="1"/>
  <c r="I6505" i="1"/>
  <c r="J6505" i="1"/>
  <c r="K6505" i="1"/>
  <c r="O6505" i="1" a="1"/>
  <c r="O6505" i="1" s="1"/>
  <c r="I6506" i="1"/>
  <c r="J6506" i="1"/>
  <c r="K6506" i="1"/>
  <c r="O6506" i="1" a="1"/>
  <c r="O6506" i="1" s="1"/>
  <c r="I6507" i="1"/>
  <c r="J6507" i="1"/>
  <c r="K6507" i="1"/>
  <c r="O6507" i="1" a="1"/>
  <c r="O6507" i="1" s="1"/>
  <c r="I6508" i="1"/>
  <c r="J6508" i="1"/>
  <c r="K6508" i="1"/>
  <c r="O6508" i="1" a="1"/>
  <c r="O6508" i="1" s="1"/>
  <c r="I6509" i="1"/>
  <c r="J6509" i="1"/>
  <c r="K6509" i="1"/>
  <c r="O6509" i="1" a="1"/>
  <c r="O6509" i="1" s="1"/>
  <c r="I6510" i="1"/>
  <c r="J6510" i="1"/>
  <c r="K6510" i="1"/>
  <c r="O6510" i="1" a="1"/>
  <c r="O6510" i="1" s="1"/>
  <c r="I6511" i="1"/>
  <c r="J6511" i="1"/>
  <c r="K6511" i="1"/>
  <c r="O6511" i="1" a="1"/>
  <c r="O6511" i="1" s="1"/>
  <c r="I6512" i="1"/>
  <c r="J6512" i="1"/>
  <c r="K6512" i="1"/>
  <c r="O6512" i="1" a="1"/>
  <c r="O6512" i="1" s="1"/>
  <c r="I6513" i="1"/>
  <c r="J6513" i="1"/>
  <c r="K6513" i="1"/>
  <c r="O6513" i="1" a="1"/>
  <c r="O6513" i="1" s="1"/>
  <c r="I6514" i="1"/>
  <c r="J6514" i="1"/>
  <c r="K6514" i="1"/>
  <c r="O6514" i="1" a="1"/>
  <c r="O6514" i="1" s="1"/>
  <c r="I6515" i="1"/>
  <c r="J6515" i="1"/>
  <c r="K6515" i="1"/>
  <c r="O6515" i="1" a="1"/>
  <c r="O6515" i="1" s="1"/>
  <c r="I6516" i="1"/>
  <c r="J6516" i="1"/>
  <c r="K6516" i="1"/>
  <c r="O6516" i="1" a="1"/>
  <c r="O6516" i="1" s="1"/>
  <c r="I6517" i="1"/>
  <c r="J6517" i="1"/>
  <c r="K6517" i="1"/>
  <c r="O6517" i="1" a="1"/>
  <c r="O6517" i="1" s="1"/>
  <c r="I6518" i="1"/>
  <c r="J6518" i="1"/>
  <c r="K6518" i="1"/>
  <c r="O6518" i="1" a="1"/>
  <c r="O6518" i="1" s="1"/>
  <c r="I6519" i="1"/>
  <c r="J6519" i="1"/>
  <c r="K6519" i="1"/>
  <c r="O6519" i="1" a="1"/>
  <c r="O6519" i="1" s="1"/>
  <c r="I6520" i="1"/>
  <c r="J6520" i="1"/>
  <c r="K6520" i="1"/>
  <c r="O6520" i="1" a="1"/>
  <c r="O6520" i="1" s="1"/>
  <c r="I6521" i="1"/>
  <c r="J6521" i="1"/>
  <c r="K6521" i="1"/>
  <c r="O6521" i="1" a="1"/>
  <c r="O6521" i="1" s="1"/>
  <c r="I6522" i="1"/>
  <c r="J6522" i="1"/>
  <c r="K6522" i="1"/>
  <c r="O6522" i="1" a="1"/>
  <c r="O6522" i="1" s="1"/>
  <c r="I6523" i="1"/>
  <c r="J6523" i="1"/>
  <c r="K6523" i="1"/>
  <c r="O6523" i="1" a="1"/>
  <c r="O6523" i="1" s="1"/>
  <c r="I6524" i="1"/>
  <c r="J6524" i="1"/>
  <c r="K6524" i="1"/>
  <c r="O6524" i="1" a="1"/>
  <c r="O6524" i="1" s="1"/>
  <c r="I6525" i="1"/>
  <c r="J6525" i="1"/>
  <c r="K6525" i="1"/>
  <c r="O6525" i="1" a="1"/>
  <c r="O6525" i="1" s="1"/>
  <c r="I6526" i="1"/>
  <c r="J6526" i="1"/>
  <c r="K6526" i="1"/>
  <c r="O6526" i="1" a="1"/>
  <c r="O6526" i="1" s="1"/>
  <c r="I6527" i="1"/>
  <c r="J6527" i="1"/>
  <c r="K6527" i="1"/>
  <c r="O6527" i="1" a="1"/>
  <c r="O6527" i="1" s="1"/>
  <c r="I6528" i="1"/>
  <c r="J6528" i="1"/>
  <c r="K6528" i="1"/>
  <c r="O6528" i="1" a="1"/>
  <c r="O6528" i="1" s="1"/>
  <c r="I6529" i="1"/>
  <c r="J6529" i="1"/>
  <c r="K6529" i="1"/>
  <c r="O6529" i="1" a="1"/>
  <c r="O6529" i="1" s="1"/>
  <c r="I6530" i="1"/>
  <c r="J6530" i="1"/>
  <c r="K6530" i="1"/>
  <c r="O6530" i="1" a="1"/>
  <c r="O6530" i="1" s="1"/>
  <c r="I6531" i="1"/>
  <c r="J6531" i="1"/>
  <c r="K6531" i="1"/>
  <c r="O6531" i="1" a="1"/>
  <c r="O6531" i="1"/>
  <c r="I6532" i="1"/>
  <c r="J6532" i="1"/>
  <c r="K6532" i="1"/>
  <c r="O6532" i="1" a="1"/>
  <c r="O6532" i="1" s="1"/>
  <c r="I6533" i="1"/>
  <c r="J6533" i="1"/>
  <c r="K6533" i="1"/>
  <c r="O6533" i="1" a="1"/>
  <c r="O6533" i="1" s="1"/>
  <c r="I6534" i="1"/>
  <c r="J6534" i="1"/>
  <c r="K6534" i="1"/>
  <c r="O6534" i="1" a="1"/>
  <c r="O6534" i="1" s="1"/>
  <c r="I6535" i="1"/>
  <c r="J6535" i="1"/>
  <c r="K6535" i="1"/>
  <c r="O6535" i="1" a="1"/>
  <c r="O6535" i="1" s="1"/>
  <c r="I6536" i="1"/>
  <c r="J6536" i="1"/>
  <c r="K6536" i="1"/>
  <c r="O6536" i="1" a="1"/>
  <c r="O6536" i="1" s="1"/>
  <c r="I6537" i="1"/>
  <c r="J6537" i="1"/>
  <c r="K6537" i="1"/>
  <c r="O6537" i="1" a="1"/>
  <c r="O6537" i="1" s="1"/>
  <c r="I6538" i="1"/>
  <c r="J6538" i="1"/>
  <c r="K6538" i="1"/>
  <c r="O6538" i="1" a="1"/>
  <c r="O6538" i="1" s="1"/>
  <c r="I6539" i="1"/>
  <c r="J6539" i="1"/>
  <c r="K6539" i="1"/>
  <c r="O6539" i="1" a="1"/>
  <c r="O6539" i="1"/>
  <c r="I6540" i="1"/>
  <c r="J6540" i="1"/>
  <c r="K6540" i="1"/>
  <c r="O6540" i="1" a="1"/>
  <c r="O6540" i="1" s="1"/>
  <c r="I6541" i="1"/>
  <c r="J6541" i="1"/>
  <c r="K6541" i="1"/>
  <c r="O6541" i="1" a="1"/>
  <c r="O6541" i="1" s="1"/>
  <c r="I6542" i="1"/>
  <c r="J6542" i="1"/>
  <c r="K6542" i="1"/>
  <c r="O6542" i="1" a="1"/>
  <c r="O6542" i="1" s="1"/>
  <c r="I6543" i="1"/>
  <c r="J6543" i="1"/>
  <c r="K6543" i="1"/>
  <c r="O6543" i="1" a="1"/>
  <c r="O6543" i="1" s="1"/>
  <c r="I6544" i="1"/>
  <c r="J6544" i="1"/>
  <c r="K6544" i="1"/>
  <c r="O6544" i="1" a="1"/>
  <c r="O6544" i="1" s="1"/>
  <c r="I6545" i="1"/>
  <c r="J6545" i="1"/>
  <c r="K6545" i="1"/>
  <c r="O6545" i="1" a="1"/>
  <c r="O6545" i="1" s="1"/>
  <c r="I6546" i="1"/>
  <c r="J6546" i="1"/>
  <c r="K6546" i="1"/>
  <c r="O6546" i="1" a="1"/>
  <c r="O6546" i="1" s="1"/>
  <c r="I6547" i="1"/>
  <c r="J6547" i="1"/>
  <c r="K6547" i="1"/>
  <c r="O6547" i="1" a="1"/>
  <c r="O6547" i="1"/>
  <c r="I6548" i="1"/>
  <c r="J6548" i="1"/>
  <c r="K6548" i="1"/>
  <c r="O6548" i="1" a="1"/>
  <c r="O6548" i="1" s="1"/>
  <c r="I6549" i="1"/>
  <c r="J6549" i="1"/>
  <c r="K6549" i="1"/>
  <c r="O6549" i="1" a="1"/>
  <c r="O6549" i="1" s="1"/>
  <c r="I6550" i="1"/>
  <c r="J6550" i="1"/>
  <c r="K6550" i="1"/>
  <c r="O6550" i="1" a="1"/>
  <c r="O6550" i="1" s="1"/>
  <c r="I6551" i="1"/>
  <c r="J6551" i="1"/>
  <c r="K6551" i="1"/>
  <c r="O6551" i="1" a="1"/>
  <c r="O6551" i="1" s="1"/>
  <c r="I6552" i="1"/>
  <c r="J6552" i="1"/>
  <c r="K6552" i="1"/>
  <c r="O6552" i="1" a="1"/>
  <c r="O6552" i="1" s="1"/>
  <c r="I6553" i="1"/>
  <c r="J6553" i="1"/>
  <c r="K6553" i="1"/>
  <c r="O6553" i="1" a="1"/>
  <c r="O6553" i="1" s="1"/>
  <c r="I6554" i="1"/>
  <c r="J6554" i="1"/>
  <c r="K6554" i="1"/>
  <c r="O6554" i="1" a="1"/>
  <c r="O6554" i="1" s="1"/>
  <c r="I6555" i="1"/>
  <c r="J6555" i="1"/>
  <c r="K6555" i="1"/>
  <c r="O6555" i="1" a="1"/>
  <c r="O6555" i="1" s="1"/>
  <c r="I6556" i="1"/>
  <c r="J6556" i="1"/>
  <c r="K6556" i="1"/>
  <c r="O6556" i="1" a="1"/>
  <c r="O6556" i="1" s="1"/>
  <c r="I6557" i="1"/>
  <c r="J6557" i="1"/>
  <c r="K6557" i="1"/>
  <c r="O6557" i="1" a="1"/>
  <c r="O6557" i="1" s="1"/>
  <c r="I6558" i="1"/>
  <c r="J6558" i="1"/>
  <c r="K6558" i="1"/>
  <c r="O6558" i="1" a="1"/>
  <c r="O6558" i="1" s="1"/>
  <c r="I6559" i="1"/>
  <c r="J6559" i="1"/>
  <c r="K6559" i="1"/>
  <c r="O6559" i="1" a="1"/>
  <c r="O6559" i="1" s="1"/>
  <c r="I6560" i="1"/>
  <c r="J6560" i="1"/>
  <c r="K6560" i="1"/>
  <c r="O6560" i="1" a="1"/>
  <c r="O6560" i="1" s="1"/>
  <c r="I6561" i="1"/>
  <c r="J6561" i="1"/>
  <c r="K6561" i="1"/>
  <c r="O6561" i="1" a="1"/>
  <c r="O6561" i="1" s="1"/>
  <c r="I6562" i="1"/>
  <c r="J6562" i="1"/>
  <c r="K6562" i="1"/>
  <c r="O6562" i="1" a="1"/>
  <c r="O6562" i="1" s="1"/>
  <c r="I6563" i="1"/>
  <c r="J6563" i="1"/>
  <c r="K6563" i="1"/>
  <c r="O6563" i="1" a="1"/>
  <c r="O6563" i="1" s="1"/>
  <c r="I6564" i="1"/>
  <c r="J6564" i="1"/>
  <c r="K6564" i="1"/>
  <c r="O6564" i="1" a="1"/>
  <c r="O6564" i="1" s="1"/>
  <c r="I6565" i="1"/>
  <c r="J6565" i="1"/>
  <c r="K6565" i="1"/>
  <c r="O6565" i="1" a="1"/>
  <c r="O6565" i="1" s="1"/>
  <c r="I6566" i="1"/>
  <c r="J6566" i="1"/>
  <c r="K6566" i="1"/>
  <c r="O6566" i="1" a="1"/>
  <c r="O6566" i="1" s="1"/>
  <c r="I6567" i="1"/>
  <c r="J6567" i="1"/>
  <c r="K6567" i="1"/>
  <c r="O6567" i="1" a="1"/>
  <c r="O6567" i="1" s="1"/>
  <c r="I6568" i="1"/>
  <c r="J6568" i="1"/>
  <c r="K6568" i="1"/>
  <c r="O6568" i="1" a="1"/>
  <c r="O6568" i="1" s="1"/>
  <c r="I6569" i="1"/>
  <c r="J6569" i="1"/>
  <c r="K6569" i="1"/>
  <c r="O6569" i="1" a="1"/>
  <c r="O6569" i="1" s="1"/>
  <c r="I6570" i="1"/>
  <c r="J6570" i="1"/>
  <c r="K6570" i="1"/>
  <c r="O6570" i="1" a="1"/>
  <c r="O6570" i="1" s="1"/>
  <c r="I6571" i="1"/>
  <c r="J6571" i="1"/>
  <c r="K6571" i="1"/>
  <c r="O6571" i="1" a="1"/>
  <c r="O6571" i="1" s="1"/>
  <c r="I6572" i="1"/>
  <c r="J6572" i="1"/>
  <c r="K6572" i="1"/>
  <c r="O6572" i="1" a="1"/>
  <c r="O6572" i="1" s="1"/>
  <c r="I6573" i="1"/>
  <c r="J6573" i="1"/>
  <c r="K6573" i="1"/>
  <c r="O6573" i="1" a="1"/>
  <c r="O6573" i="1" s="1"/>
  <c r="I6574" i="1"/>
  <c r="J6574" i="1"/>
  <c r="K6574" i="1"/>
  <c r="O6574" i="1" a="1"/>
  <c r="O6574" i="1" s="1"/>
  <c r="I6575" i="1"/>
  <c r="J6575" i="1"/>
  <c r="K6575" i="1"/>
  <c r="O6575" i="1" a="1"/>
  <c r="O6575" i="1" s="1"/>
  <c r="I6576" i="1"/>
  <c r="J6576" i="1"/>
  <c r="K6576" i="1"/>
  <c r="O6576" i="1" a="1"/>
  <c r="O6576" i="1" s="1"/>
  <c r="I6577" i="1"/>
  <c r="J6577" i="1"/>
  <c r="K6577" i="1"/>
  <c r="O6577" i="1" a="1"/>
  <c r="O6577" i="1" s="1"/>
  <c r="I6578" i="1"/>
  <c r="J6578" i="1"/>
  <c r="K6578" i="1"/>
  <c r="O6578" i="1" a="1"/>
  <c r="O6578" i="1" s="1"/>
  <c r="I6579" i="1"/>
  <c r="J6579" i="1"/>
  <c r="K6579" i="1"/>
  <c r="O6579" i="1" a="1"/>
  <c r="O6579" i="1" s="1"/>
  <c r="I6580" i="1"/>
  <c r="J6580" i="1"/>
  <c r="K6580" i="1"/>
  <c r="O6580" i="1" a="1"/>
  <c r="O6580" i="1" s="1"/>
  <c r="I6581" i="1"/>
  <c r="J6581" i="1"/>
  <c r="K6581" i="1"/>
  <c r="O6581" i="1" a="1"/>
  <c r="O6581" i="1" s="1"/>
  <c r="I6582" i="1"/>
  <c r="J6582" i="1"/>
  <c r="K6582" i="1"/>
  <c r="O6582" i="1" a="1"/>
  <c r="O6582" i="1" s="1"/>
  <c r="I6583" i="1"/>
  <c r="J6583" i="1"/>
  <c r="K6583" i="1"/>
  <c r="O6583" i="1" a="1"/>
  <c r="O6583" i="1" s="1"/>
  <c r="I6584" i="1"/>
  <c r="J6584" i="1"/>
  <c r="K6584" i="1"/>
  <c r="O6584" i="1" a="1"/>
  <c r="O6584" i="1" s="1"/>
  <c r="I6585" i="1"/>
  <c r="J6585" i="1"/>
  <c r="K6585" i="1"/>
  <c r="O6585" i="1" a="1"/>
  <c r="O6585" i="1" s="1"/>
  <c r="I6586" i="1"/>
  <c r="J6586" i="1"/>
  <c r="K6586" i="1"/>
  <c r="O6586" i="1" a="1"/>
  <c r="O6586" i="1"/>
  <c r="I6587" i="1"/>
  <c r="J6587" i="1"/>
  <c r="K6587" i="1"/>
  <c r="O6587" i="1" a="1"/>
  <c r="O6587" i="1" s="1"/>
  <c r="I6588" i="1"/>
  <c r="J6588" i="1"/>
  <c r="K6588" i="1"/>
  <c r="O6588" i="1" a="1"/>
  <c r="O6588" i="1" s="1"/>
  <c r="I6589" i="1"/>
  <c r="J6589" i="1"/>
  <c r="K6589" i="1"/>
  <c r="O6589" i="1" a="1"/>
  <c r="O6589" i="1" s="1"/>
  <c r="I6590" i="1"/>
  <c r="J6590" i="1"/>
  <c r="K6590" i="1"/>
  <c r="O6590" i="1" a="1"/>
  <c r="O6590" i="1" s="1"/>
  <c r="I6591" i="1"/>
  <c r="J6591" i="1"/>
  <c r="K6591" i="1"/>
  <c r="O6591" i="1" a="1"/>
  <c r="O6591" i="1" s="1"/>
  <c r="I6592" i="1"/>
  <c r="J6592" i="1"/>
  <c r="K6592" i="1"/>
  <c r="O6592" i="1" a="1"/>
  <c r="O6592" i="1" s="1"/>
  <c r="I6593" i="1"/>
  <c r="J6593" i="1"/>
  <c r="K6593" i="1"/>
  <c r="O6593" i="1" a="1"/>
  <c r="O6593" i="1"/>
  <c r="I6594" i="1"/>
  <c r="J6594" i="1"/>
  <c r="K6594" i="1"/>
  <c r="O6594" i="1" a="1"/>
  <c r="O6594" i="1" s="1"/>
  <c r="I6595" i="1"/>
  <c r="J6595" i="1"/>
  <c r="K6595" i="1"/>
  <c r="O6595" i="1" a="1"/>
  <c r="O6595" i="1" s="1"/>
  <c r="I6596" i="1"/>
  <c r="J6596" i="1"/>
  <c r="K6596" i="1"/>
  <c r="O6596" i="1" a="1"/>
  <c r="O6596" i="1" s="1"/>
  <c r="I6597" i="1"/>
  <c r="J6597" i="1"/>
  <c r="K6597" i="1"/>
  <c r="O6597" i="1" a="1"/>
  <c r="O6597" i="1" s="1"/>
  <c r="I6598" i="1"/>
  <c r="J6598" i="1"/>
  <c r="K6598" i="1"/>
  <c r="O6598" i="1" a="1"/>
  <c r="O6598" i="1" s="1"/>
  <c r="I6599" i="1"/>
  <c r="J6599" i="1"/>
  <c r="K6599" i="1"/>
  <c r="O6599" i="1" a="1"/>
  <c r="O6599" i="1" s="1"/>
  <c r="I6600" i="1"/>
  <c r="J6600" i="1"/>
  <c r="K6600" i="1"/>
  <c r="O6600" i="1" a="1"/>
  <c r="O6600" i="1" s="1"/>
  <c r="I6601" i="1"/>
  <c r="J6601" i="1"/>
  <c r="K6601" i="1"/>
  <c r="O6601" i="1" a="1"/>
  <c r="O6601" i="1" s="1"/>
  <c r="I6602" i="1"/>
  <c r="J6602" i="1"/>
  <c r="K6602" i="1"/>
  <c r="O6602" i="1" a="1"/>
  <c r="O6602" i="1" s="1"/>
  <c r="I6603" i="1"/>
  <c r="J6603" i="1"/>
  <c r="K6603" i="1"/>
  <c r="O6603" i="1" a="1"/>
  <c r="O6603" i="1" s="1"/>
  <c r="I6604" i="1"/>
  <c r="J6604" i="1"/>
  <c r="K6604" i="1"/>
  <c r="O6604" i="1" a="1"/>
  <c r="O6604" i="1" s="1"/>
  <c r="I6605" i="1"/>
  <c r="J6605" i="1"/>
  <c r="K6605" i="1"/>
  <c r="O6605" i="1" a="1"/>
  <c r="O6605" i="1" s="1"/>
  <c r="I6606" i="1"/>
  <c r="J6606" i="1"/>
  <c r="K6606" i="1"/>
  <c r="O6606" i="1" a="1"/>
  <c r="O6606" i="1" s="1"/>
  <c r="I6607" i="1"/>
  <c r="J6607" i="1"/>
  <c r="K6607" i="1"/>
  <c r="O6607" i="1" a="1"/>
  <c r="O6607" i="1" s="1"/>
  <c r="I6608" i="1"/>
  <c r="J6608" i="1"/>
  <c r="K6608" i="1"/>
  <c r="O6608" i="1" a="1"/>
  <c r="O6608" i="1" s="1"/>
  <c r="I6609" i="1"/>
  <c r="J6609" i="1"/>
  <c r="K6609" i="1"/>
  <c r="O6609" i="1" a="1"/>
  <c r="O6609" i="1" s="1"/>
  <c r="I6610" i="1"/>
  <c r="J6610" i="1"/>
  <c r="K6610" i="1"/>
  <c r="O6610" i="1" a="1"/>
  <c r="O6610" i="1" s="1"/>
  <c r="I6611" i="1"/>
  <c r="J6611" i="1"/>
  <c r="K6611" i="1"/>
  <c r="O6611" i="1" a="1"/>
  <c r="O6611" i="1" s="1"/>
  <c r="I6612" i="1"/>
  <c r="J6612" i="1"/>
  <c r="K6612" i="1"/>
  <c r="O6612" i="1" a="1"/>
  <c r="O6612" i="1" s="1"/>
  <c r="I6613" i="1"/>
  <c r="J6613" i="1"/>
  <c r="K6613" i="1"/>
  <c r="O6613" i="1" a="1"/>
  <c r="O6613" i="1" s="1"/>
  <c r="I6614" i="1"/>
  <c r="J6614" i="1"/>
  <c r="K6614" i="1"/>
  <c r="O6614" i="1" a="1"/>
  <c r="O6614" i="1" s="1"/>
  <c r="I6615" i="1"/>
  <c r="J6615" i="1"/>
  <c r="K6615" i="1"/>
  <c r="O6615" i="1" a="1"/>
  <c r="O6615" i="1" s="1"/>
  <c r="I6616" i="1"/>
  <c r="J6616" i="1"/>
  <c r="K6616" i="1"/>
  <c r="O6616" i="1" a="1"/>
  <c r="O6616" i="1" s="1"/>
  <c r="I6617" i="1"/>
  <c r="J6617" i="1"/>
  <c r="K6617" i="1"/>
  <c r="O6617" i="1" a="1"/>
  <c r="O6617" i="1" s="1"/>
  <c r="I6618" i="1"/>
  <c r="J6618" i="1"/>
  <c r="K6618" i="1"/>
  <c r="O6618" i="1" a="1"/>
  <c r="O6618" i="1" s="1"/>
  <c r="I6619" i="1"/>
  <c r="J6619" i="1"/>
  <c r="K6619" i="1"/>
  <c r="O6619" i="1" a="1"/>
  <c r="O6619" i="1" s="1"/>
  <c r="I6620" i="1"/>
  <c r="J6620" i="1"/>
  <c r="K6620" i="1"/>
  <c r="O6620" i="1" a="1"/>
  <c r="O6620" i="1" s="1"/>
  <c r="I6621" i="1"/>
  <c r="J6621" i="1"/>
  <c r="K6621" i="1"/>
  <c r="O6621" i="1" a="1"/>
  <c r="O6621" i="1" s="1"/>
  <c r="I6622" i="1"/>
  <c r="J6622" i="1"/>
  <c r="K6622" i="1"/>
  <c r="O6622" i="1" a="1"/>
  <c r="O6622" i="1" s="1"/>
  <c r="I6623" i="1"/>
  <c r="J6623" i="1"/>
  <c r="K6623" i="1"/>
  <c r="O6623" i="1" a="1"/>
  <c r="O6623" i="1" s="1"/>
  <c r="I6624" i="1"/>
  <c r="J6624" i="1"/>
  <c r="K6624" i="1"/>
  <c r="O6624" i="1" a="1"/>
  <c r="O6624" i="1" s="1"/>
  <c r="I6625" i="1"/>
  <c r="J6625" i="1"/>
  <c r="K6625" i="1"/>
  <c r="O6625" i="1" a="1"/>
  <c r="O6625" i="1" s="1"/>
  <c r="I6626" i="1"/>
  <c r="J6626" i="1"/>
  <c r="K6626" i="1"/>
  <c r="O6626" i="1" a="1"/>
  <c r="O6626" i="1" s="1"/>
  <c r="I6627" i="1"/>
  <c r="J6627" i="1"/>
  <c r="K6627" i="1"/>
  <c r="O6627" i="1" a="1"/>
  <c r="O6627" i="1" s="1"/>
  <c r="I6628" i="1"/>
  <c r="J6628" i="1"/>
  <c r="K6628" i="1"/>
  <c r="O6628" i="1" a="1"/>
  <c r="O6628" i="1" s="1"/>
  <c r="I6629" i="1"/>
  <c r="J6629" i="1"/>
  <c r="K6629" i="1"/>
  <c r="O6629" i="1" a="1"/>
  <c r="O6629" i="1" s="1"/>
  <c r="I6630" i="1"/>
  <c r="J6630" i="1"/>
  <c r="K6630" i="1"/>
  <c r="O6630" i="1" a="1"/>
  <c r="O6630" i="1" s="1"/>
  <c r="I6631" i="1"/>
  <c r="J6631" i="1"/>
  <c r="K6631" i="1"/>
  <c r="O6631" i="1" a="1"/>
  <c r="O6631" i="1" s="1"/>
  <c r="I6632" i="1"/>
  <c r="J6632" i="1"/>
  <c r="K6632" i="1"/>
  <c r="O6632" i="1" a="1"/>
  <c r="O6632" i="1" s="1"/>
  <c r="I6633" i="1"/>
  <c r="J6633" i="1"/>
  <c r="K6633" i="1"/>
  <c r="O6633" i="1" a="1"/>
  <c r="O6633" i="1" s="1"/>
  <c r="I6634" i="1"/>
  <c r="J6634" i="1"/>
  <c r="K6634" i="1"/>
  <c r="O6634" i="1" a="1"/>
  <c r="O6634" i="1" s="1"/>
  <c r="I6635" i="1"/>
  <c r="J6635" i="1"/>
  <c r="K6635" i="1"/>
  <c r="O6635" i="1" a="1"/>
  <c r="O6635" i="1" s="1"/>
  <c r="I6636" i="1"/>
  <c r="J6636" i="1"/>
  <c r="K6636" i="1"/>
  <c r="O6636" i="1" a="1"/>
  <c r="O6636" i="1" s="1"/>
  <c r="I6637" i="1"/>
  <c r="J6637" i="1"/>
  <c r="K6637" i="1"/>
  <c r="O6637" i="1" a="1"/>
  <c r="O6637" i="1" s="1"/>
  <c r="I6638" i="1"/>
  <c r="J6638" i="1"/>
  <c r="K6638" i="1"/>
  <c r="O6638" i="1" a="1"/>
  <c r="O6638" i="1" s="1"/>
  <c r="I6639" i="1"/>
  <c r="J6639" i="1"/>
  <c r="K6639" i="1"/>
  <c r="O6639" i="1" a="1"/>
  <c r="O6639" i="1" s="1"/>
  <c r="I6640" i="1"/>
  <c r="J6640" i="1"/>
  <c r="K6640" i="1"/>
  <c r="O6640" i="1" a="1"/>
  <c r="O6640" i="1" s="1"/>
  <c r="I6641" i="1"/>
  <c r="J6641" i="1"/>
  <c r="K6641" i="1"/>
  <c r="O6641" i="1" a="1"/>
  <c r="O6641" i="1" s="1"/>
  <c r="I6642" i="1"/>
  <c r="J6642" i="1"/>
  <c r="K6642" i="1"/>
  <c r="O6642" i="1" a="1"/>
  <c r="O6642" i="1" s="1"/>
  <c r="I6643" i="1"/>
  <c r="J6643" i="1"/>
  <c r="K6643" i="1"/>
  <c r="O6643" i="1" a="1"/>
  <c r="O6643" i="1" s="1"/>
  <c r="I6644" i="1"/>
  <c r="J6644" i="1"/>
  <c r="K6644" i="1"/>
  <c r="O6644" i="1" a="1"/>
  <c r="O6644" i="1" s="1"/>
  <c r="I6645" i="1"/>
  <c r="J6645" i="1"/>
  <c r="K6645" i="1"/>
  <c r="O6645" i="1" a="1"/>
  <c r="O6645" i="1" s="1"/>
  <c r="I6646" i="1"/>
  <c r="J6646" i="1"/>
  <c r="K6646" i="1"/>
  <c r="O6646" i="1" a="1"/>
  <c r="O6646" i="1" s="1"/>
  <c r="I6647" i="1"/>
  <c r="J6647" i="1"/>
  <c r="K6647" i="1"/>
  <c r="O6647" i="1" a="1"/>
  <c r="O6647" i="1" s="1"/>
  <c r="I6648" i="1"/>
  <c r="J6648" i="1"/>
  <c r="K6648" i="1"/>
  <c r="O6648" i="1" a="1"/>
  <c r="O6648" i="1" s="1"/>
  <c r="I6649" i="1"/>
  <c r="J6649" i="1"/>
  <c r="K6649" i="1"/>
  <c r="O6649" i="1" a="1"/>
  <c r="O6649" i="1"/>
  <c r="I6650" i="1"/>
  <c r="J6650" i="1"/>
  <c r="K6650" i="1"/>
  <c r="O6650" i="1" a="1"/>
  <c r="O6650" i="1" s="1"/>
  <c r="I6651" i="1"/>
  <c r="J6651" i="1"/>
  <c r="K6651" i="1"/>
  <c r="O6651" i="1" a="1"/>
  <c r="O6651" i="1"/>
  <c r="I6652" i="1"/>
  <c r="J6652" i="1"/>
  <c r="K6652" i="1"/>
  <c r="O6652" i="1" a="1"/>
  <c r="O6652" i="1" s="1"/>
  <c r="I6653" i="1"/>
  <c r="J6653" i="1"/>
  <c r="K6653" i="1"/>
  <c r="O6653" i="1" a="1"/>
  <c r="O6653" i="1" s="1"/>
  <c r="I6654" i="1"/>
  <c r="J6654" i="1"/>
  <c r="K6654" i="1"/>
  <c r="O6654" i="1" a="1"/>
  <c r="O6654" i="1" s="1"/>
  <c r="I6655" i="1"/>
  <c r="J6655" i="1"/>
  <c r="K6655" i="1"/>
  <c r="O6655" i="1" a="1"/>
  <c r="O6655" i="1" s="1"/>
  <c r="I6656" i="1"/>
  <c r="J6656" i="1"/>
  <c r="K6656" i="1"/>
  <c r="O6656" i="1" a="1"/>
  <c r="O6656" i="1" s="1"/>
  <c r="I6657" i="1"/>
  <c r="J6657" i="1"/>
  <c r="K6657" i="1"/>
  <c r="O6657" i="1" a="1"/>
  <c r="O6657" i="1" s="1"/>
  <c r="I6658" i="1"/>
  <c r="J6658" i="1"/>
  <c r="K6658" i="1"/>
  <c r="O6658" i="1" a="1"/>
  <c r="O6658" i="1" s="1"/>
  <c r="I6659" i="1"/>
  <c r="J6659" i="1"/>
  <c r="K6659" i="1"/>
  <c r="O6659" i="1" a="1"/>
  <c r="O6659" i="1" s="1"/>
  <c r="I6660" i="1"/>
  <c r="J6660" i="1"/>
  <c r="K6660" i="1"/>
  <c r="O6660" i="1" a="1"/>
  <c r="O6660" i="1" s="1"/>
  <c r="I6661" i="1"/>
  <c r="J6661" i="1"/>
  <c r="K6661" i="1"/>
  <c r="O6661" i="1" a="1"/>
  <c r="O6661" i="1" s="1"/>
  <c r="I6662" i="1"/>
  <c r="J6662" i="1"/>
  <c r="K6662" i="1"/>
  <c r="O6662" i="1" a="1"/>
  <c r="O6662" i="1" s="1"/>
  <c r="I6663" i="1"/>
  <c r="J6663" i="1"/>
  <c r="K6663" i="1"/>
  <c r="O6663" i="1" a="1"/>
  <c r="O6663" i="1" s="1"/>
  <c r="I6664" i="1"/>
  <c r="J6664" i="1"/>
  <c r="K6664" i="1"/>
  <c r="O6664" i="1" a="1"/>
  <c r="O6664" i="1" s="1"/>
  <c r="I6665" i="1"/>
  <c r="J6665" i="1"/>
  <c r="K6665" i="1"/>
  <c r="O6665" i="1" a="1"/>
  <c r="O6665" i="1" s="1"/>
  <c r="I6666" i="1"/>
  <c r="J6666" i="1"/>
  <c r="K6666" i="1"/>
  <c r="O6666" i="1" a="1"/>
  <c r="O6666" i="1" s="1"/>
  <c r="I6667" i="1"/>
  <c r="J6667" i="1"/>
  <c r="K6667" i="1"/>
  <c r="O6667" i="1" a="1"/>
  <c r="O6667" i="1" s="1"/>
  <c r="I6668" i="1"/>
  <c r="J6668" i="1"/>
  <c r="K6668" i="1"/>
  <c r="O6668" i="1" a="1"/>
  <c r="O6668" i="1" s="1"/>
  <c r="I6669" i="1"/>
  <c r="J6669" i="1"/>
  <c r="K6669" i="1"/>
  <c r="O6669" i="1" a="1"/>
  <c r="O6669" i="1" s="1"/>
  <c r="I6670" i="1"/>
  <c r="J6670" i="1"/>
  <c r="K6670" i="1"/>
  <c r="O6670" i="1" a="1"/>
  <c r="O6670" i="1" s="1"/>
  <c r="I6671" i="1"/>
  <c r="J6671" i="1"/>
  <c r="K6671" i="1"/>
  <c r="O6671" i="1" a="1"/>
  <c r="O6671" i="1" s="1"/>
  <c r="I6672" i="1"/>
  <c r="J6672" i="1"/>
  <c r="K6672" i="1"/>
  <c r="O6672" i="1" a="1"/>
  <c r="O6672" i="1" s="1"/>
  <c r="I6673" i="1"/>
  <c r="J6673" i="1"/>
  <c r="K6673" i="1"/>
  <c r="O6673" i="1" a="1"/>
  <c r="O6673" i="1" s="1"/>
  <c r="I6674" i="1"/>
  <c r="J6674" i="1"/>
  <c r="K6674" i="1"/>
  <c r="O6674" i="1" a="1"/>
  <c r="O6674" i="1" s="1"/>
  <c r="I6675" i="1"/>
  <c r="J6675" i="1"/>
  <c r="K6675" i="1"/>
  <c r="O6675" i="1" a="1"/>
  <c r="O6675" i="1" s="1"/>
  <c r="I6676" i="1"/>
  <c r="J6676" i="1"/>
  <c r="K6676" i="1"/>
  <c r="O6676" i="1" a="1"/>
  <c r="O6676" i="1" s="1"/>
  <c r="I6677" i="1"/>
  <c r="J6677" i="1"/>
  <c r="K6677" i="1"/>
  <c r="O6677" i="1" a="1"/>
  <c r="O6677" i="1" s="1"/>
  <c r="I6678" i="1"/>
  <c r="J6678" i="1"/>
  <c r="K6678" i="1"/>
  <c r="O6678" i="1" a="1"/>
  <c r="O6678" i="1" s="1"/>
  <c r="I6679" i="1"/>
  <c r="J6679" i="1"/>
  <c r="K6679" i="1"/>
  <c r="O6679" i="1" a="1"/>
  <c r="O6679" i="1" s="1"/>
  <c r="I6680" i="1"/>
  <c r="J6680" i="1"/>
  <c r="K6680" i="1"/>
  <c r="O6680" i="1" a="1"/>
  <c r="O6680" i="1" s="1"/>
  <c r="I6681" i="1"/>
  <c r="J6681" i="1"/>
  <c r="K6681" i="1"/>
  <c r="O6681" i="1" a="1"/>
  <c r="O6681" i="1" s="1"/>
  <c r="I6682" i="1"/>
  <c r="J6682" i="1"/>
  <c r="K6682" i="1"/>
  <c r="O6682" i="1" a="1"/>
  <c r="O6682" i="1" s="1"/>
  <c r="I6683" i="1"/>
  <c r="J6683" i="1"/>
  <c r="K6683" i="1"/>
  <c r="O6683" i="1" a="1"/>
  <c r="O6683" i="1" s="1"/>
  <c r="I6684" i="1"/>
  <c r="J6684" i="1"/>
  <c r="K6684" i="1"/>
  <c r="O6684" i="1" a="1"/>
  <c r="O6684" i="1" s="1"/>
  <c r="I6685" i="1"/>
  <c r="J6685" i="1"/>
  <c r="K6685" i="1"/>
  <c r="O6685" i="1" a="1"/>
  <c r="O6685" i="1" s="1"/>
  <c r="I6686" i="1"/>
  <c r="J6686" i="1"/>
  <c r="K6686" i="1"/>
  <c r="O6686" i="1" a="1"/>
  <c r="O6686" i="1" s="1"/>
  <c r="I6687" i="1"/>
  <c r="J6687" i="1"/>
  <c r="K6687" i="1"/>
  <c r="O6687" i="1" a="1"/>
  <c r="O6687" i="1" s="1"/>
  <c r="I6688" i="1"/>
  <c r="J6688" i="1"/>
  <c r="K6688" i="1"/>
  <c r="O6688" i="1" a="1"/>
  <c r="O6688" i="1" s="1"/>
  <c r="I6689" i="1"/>
  <c r="J6689" i="1"/>
  <c r="K6689" i="1"/>
  <c r="O6689" i="1" a="1"/>
  <c r="O6689" i="1" s="1"/>
  <c r="I6690" i="1"/>
  <c r="J6690" i="1"/>
  <c r="K6690" i="1"/>
  <c r="O6690" i="1" a="1"/>
  <c r="O6690" i="1"/>
  <c r="I6691" i="1"/>
  <c r="J6691" i="1"/>
  <c r="K6691" i="1"/>
  <c r="O6691" i="1" a="1"/>
  <c r="O6691" i="1" s="1"/>
  <c r="I6692" i="1"/>
  <c r="J6692" i="1"/>
  <c r="K6692" i="1"/>
  <c r="O6692" i="1" a="1"/>
  <c r="O6692" i="1" s="1"/>
  <c r="I6693" i="1"/>
  <c r="J6693" i="1"/>
  <c r="K6693" i="1"/>
  <c r="O6693" i="1" a="1"/>
  <c r="O6693" i="1" s="1"/>
  <c r="I6694" i="1"/>
  <c r="J6694" i="1"/>
  <c r="K6694" i="1"/>
  <c r="O6694" i="1" a="1"/>
  <c r="O6694" i="1" s="1"/>
  <c r="I6695" i="1"/>
  <c r="J6695" i="1"/>
  <c r="K6695" i="1"/>
  <c r="O6695" i="1" a="1"/>
  <c r="O6695" i="1" s="1"/>
  <c r="I6696" i="1"/>
  <c r="J6696" i="1"/>
  <c r="K6696" i="1"/>
  <c r="O6696" i="1" a="1"/>
  <c r="O6696" i="1" s="1"/>
  <c r="I6697" i="1"/>
  <c r="J6697" i="1"/>
  <c r="K6697" i="1"/>
  <c r="O6697" i="1" a="1"/>
  <c r="O6697" i="1" s="1"/>
  <c r="I6698" i="1"/>
  <c r="J6698" i="1"/>
  <c r="K6698" i="1"/>
  <c r="O6698" i="1" a="1"/>
  <c r="O6698" i="1" s="1"/>
  <c r="I6699" i="1"/>
  <c r="J6699" i="1"/>
  <c r="K6699" i="1"/>
  <c r="O6699" i="1" a="1"/>
  <c r="O6699" i="1" s="1"/>
  <c r="I6700" i="1"/>
  <c r="J6700" i="1"/>
  <c r="K6700" i="1"/>
  <c r="O6700" i="1" a="1"/>
  <c r="O6700" i="1" s="1"/>
  <c r="I6701" i="1"/>
  <c r="J6701" i="1"/>
  <c r="K6701" i="1"/>
  <c r="O6701" i="1" a="1"/>
  <c r="O6701" i="1" s="1"/>
  <c r="I6702" i="1"/>
  <c r="J6702" i="1"/>
  <c r="K6702" i="1"/>
  <c r="O6702" i="1" a="1"/>
  <c r="O6702" i="1" s="1"/>
  <c r="I6703" i="1"/>
  <c r="J6703" i="1"/>
  <c r="K6703" i="1"/>
  <c r="O6703" i="1" a="1"/>
  <c r="O6703" i="1" s="1"/>
  <c r="I6704" i="1"/>
  <c r="J6704" i="1"/>
  <c r="K6704" i="1"/>
  <c r="O6704" i="1" a="1"/>
  <c r="O6704" i="1" s="1"/>
  <c r="I6705" i="1"/>
  <c r="J6705" i="1"/>
  <c r="K6705" i="1"/>
  <c r="O6705" i="1" a="1"/>
  <c r="O6705" i="1"/>
  <c r="I6706" i="1"/>
  <c r="J6706" i="1"/>
  <c r="K6706" i="1"/>
  <c r="O6706" i="1" a="1"/>
  <c r="O6706" i="1" s="1"/>
  <c r="I6707" i="1"/>
  <c r="J6707" i="1"/>
  <c r="K6707" i="1"/>
  <c r="O6707" i="1" a="1"/>
  <c r="O6707" i="1" s="1"/>
  <c r="I6708" i="1"/>
  <c r="J6708" i="1"/>
  <c r="K6708" i="1"/>
  <c r="O6708" i="1" a="1"/>
  <c r="O6708" i="1" s="1"/>
  <c r="I6709" i="1"/>
  <c r="J6709" i="1"/>
  <c r="K6709" i="1"/>
  <c r="O6709" i="1" a="1"/>
  <c r="O6709" i="1" s="1"/>
  <c r="I6710" i="1"/>
  <c r="J6710" i="1"/>
  <c r="K6710" i="1"/>
  <c r="O6710" i="1" a="1"/>
  <c r="O6710" i="1" s="1"/>
  <c r="I6711" i="1"/>
  <c r="J6711" i="1"/>
  <c r="K6711" i="1"/>
  <c r="O6711" i="1" a="1"/>
  <c r="O6711" i="1"/>
  <c r="I6712" i="1"/>
  <c r="J6712" i="1"/>
  <c r="K6712" i="1"/>
  <c r="O6712" i="1" a="1"/>
  <c r="O6712" i="1" s="1"/>
  <c r="I6713" i="1"/>
  <c r="J6713" i="1"/>
  <c r="K6713" i="1"/>
  <c r="O6713" i="1" a="1"/>
  <c r="O6713" i="1" s="1"/>
  <c r="I6714" i="1"/>
  <c r="J6714" i="1"/>
  <c r="K6714" i="1"/>
  <c r="O6714" i="1" a="1"/>
  <c r="O6714" i="1" s="1"/>
  <c r="I6715" i="1"/>
  <c r="J6715" i="1"/>
  <c r="K6715" i="1"/>
  <c r="O6715" i="1" a="1"/>
  <c r="O6715" i="1" s="1"/>
  <c r="I6716" i="1"/>
  <c r="J6716" i="1"/>
  <c r="K6716" i="1"/>
  <c r="O6716" i="1" a="1"/>
  <c r="O6716" i="1" s="1"/>
  <c r="I6717" i="1"/>
  <c r="J6717" i="1"/>
  <c r="K6717" i="1"/>
  <c r="O6717" i="1" a="1"/>
  <c r="O6717" i="1" s="1"/>
  <c r="I6718" i="1"/>
  <c r="J6718" i="1"/>
  <c r="K6718" i="1"/>
  <c r="O6718" i="1" a="1"/>
  <c r="O6718" i="1" s="1"/>
  <c r="I6719" i="1"/>
  <c r="J6719" i="1"/>
  <c r="K6719" i="1"/>
  <c r="O6719" i="1" a="1"/>
  <c r="O6719" i="1" s="1"/>
  <c r="I6720" i="1"/>
  <c r="J6720" i="1"/>
  <c r="K6720" i="1"/>
  <c r="O6720" i="1" a="1"/>
  <c r="O6720" i="1" s="1"/>
  <c r="I6721" i="1"/>
  <c r="J6721" i="1"/>
  <c r="K6721" i="1"/>
  <c r="O6721" i="1" a="1"/>
  <c r="O6721" i="1"/>
  <c r="I6722" i="1"/>
  <c r="J6722" i="1"/>
  <c r="K6722" i="1"/>
  <c r="O6722" i="1" a="1"/>
  <c r="O6722" i="1" s="1"/>
  <c r="I6723" i="1"/>
  <c r="J6723" i="1"/>
  <c r="K6723" i="1"/>
  <c r="O6723" i="1" a="1"/>
  <c r="O6723" i="1" s="1"/>
  <c r="I6724" i="1"/>
  <c r="J6724" i="1"/>
  <c r="K6724" i="1"/>
  <c r="O6724" i="1" a="1"/>
  <c r="O6724" i="1" s="1"/>
  <c r="I6725" i="1"/>
  <c r="J6725" i="1"/>
  <c r="K6725" i="1"/>
  <c r="O6725" i="1" a="1"/>
  <c r="O6725" i="1" s="1"/>
  <c r="I6726" i="1"/>
  <c r="J6726" i="1"/>
  <c r="K6726" i="1"/>
  <c r="O6726" i="1" a="1"/>
  <c r="O6726" i="1" s="1"/>
  <c r="I6727" i="1"/>
  <c r="J6727" i="1"/>
  <c r="K6727" i="1"/>
  <c r="O6727" i="1" a="1"/>
  <c r="O6727" i="1"/>
  <c r="I6728" i="1"/>
  <c r="J6728" i="1"/>
  <c r="K6728" i="1"/>
  <c r="O6728" i="1" a="1"/>
  <c r="O6728" i="1" s="1"/>
  <c r="I6729" i="1"/>
  <c r="J6729" i="1"/>
  <c r="K6729" i="1"/>
  <c r="O6729" i="1" a="1"/>
  <c r="O6729" i="1" s="1"/>
  <c r="I6730" i="1"/>
  <c r="J6730" i="1"/>
  <c r="K6730" i="1"/>
  <c r="O6730" i="1" a="1"/>
  <c r="O6730" i="1" s="1"/>
  <c r="I6731" i="1"/>
  <c r="J6731" i="1"/>
  <c r="K6731" i="1"/>
  <c r="O6731" i="1" a="1"/>
  <c r="O6731" i="1" s="1"/>
  <c r="I6732" i="1"/>
  <c r="J6732" i="1"/>
  <c r="K6732" i="1"/>
  <c r="O6732" i="1" a="1"/>
  <c r="O6732" i="1" s="1"/>
  <c r="I6733" i="1"/>
  <c r="J6733" i="1"/>
  <c r="K6733" i="1"/>
  <c r="O6733" i="1" a="1"/>
  <c r="O6733" i="1" s="1"/>
  <c r="I6734" i="1"/>
  <c r="J6734" i="1"/>
  <c r="K6734" i="1"/>
  <c r="O6734" i="1" a="1"/>
  <c r="O6734" i="1" s="1"/>
  <c r="I6735" i="1"/>
  <c r="J6735" i="1"/>
  <c r="K6735" i="1"/>
  <c r="O6735" i="1" a="1"/>
  <c r="O6735" i="1" s="1"/>
  <c r="I6736" i="1"/>
  <c r="J6736" i="1"/>
  <c r="K6736" i="1"/>
  <c r="O6736" i="1" a="1"/>
  <c r="O6736" i="1" s="1"/>
  <c r="I6737" i="1"/>
  <c r="J6737" i="1"/>
  <c r="K6737" i="1"/>
  <c r="O6737" i="1" a="1"/>
  <c r="O6737" i="1" s="1"/>
  <c r="I6738" i="1"/>
  <c r="J6738" i="1"/>
  <c r="K6738" i="1"/>
  <c r="O6738" i="1" a="1"/>
  <c r="O6738" i="1" s="1"/>
  <c r="I6739" i="1"/>
  <c r="J6739" i="1"/>
  <c r="K6739" i="1"/>
  <c r="O6739" i="1" a="1"/>
  <c r="O6739" i="1" s="1"/>
  <c r="I6740" i="1"/>
  <c r="J6740" i="1"/>
  <c r="K6740" i="1"/>
  <c r="O6740" i="1" a="1"/>
  <c r="O6740" i="1" s="1"/>
  <c r="I6741" i="1"/>
  <c r="J6741" i="1"/>
  <c r="K6741" i="1"/>
  <c r="O6741" i="1" a="1"/>
  <c r="O6741" i="1" s="1"/>
  <c r="I6742" i="1"/>
  <c r="J6742" i="1"/>
  <c r="K6742" i="1"/>
  <c r="O6742" i="1" a="1"/>
  <c r="O6742" i="1" s="1"/>
  <c r="I6743" i="1"/>
  <c r="J6743" i="1"/>
  <c r="K6743" i="1"/>
  <c r="O6743" i="1" a="1"/>
  <c r="O6743" i="1" s="1"/>
  <c r="I6744" i="1"/>
  <c r="J6744" i="1"/>
  <c r="K6744" i="1"/>
  <c r="O6744" i="1" a="1"/>
  <c r="O6744" i="1" s="1"/>
  <c r="I6745" i="1"/>
  <c r="J6745" i="1"/>
  <c r="K6745" i="1"/>
  <c r="O6745" i="1" a="1"/>
  <c r="O6745" i="1" s="1"/>
  <c r="I6746" i="1"/>
  <c r="J6746" i="1"/>
  <c r="K6746" i="1"/>
  <c r="O6746" i="1" a="1"/>
  <c r="O6746" i="1" s="1"/>
  <c r="I6747" i="1"/>
  <c r="J6747" i="1"/>
  <c r="K6747" i="1"/>
  <c r="O6747" i="1" a="1"/>
  <c r="O6747" i="1" s="1"/>
  <c r="I6748" i="1"/>
  <c r="J6748" i="1"/>
  <c r="K6748" i="1"/>
  <c r="O6748" i="1" a="1"/>
  <c r="O6748" i="1" s="1"/>
  <c r="I6749" i="1"/>
  <c r="J6749" i="1"/>
  <c r="K6749" i="1"/>
  <c r="O6749" i="1" a="1"/>
  <c r="O6749" i="1" s="1"/>
  <c r="I6750" i="1"/>
  <c r="J6750" i="1"/>
  <c r="K6750" i="1"/>
  <c r="O6750" i="1" a="1"/>
  <c r="O6750" i="1" s="1"/>
  <c r="I6751" i="1"/>
  <c r="J6751" i="1"/>
  <c r="K6751" i="1"/>
  <c r="O6751" i="1" a="1"/>
  <c r="O6751" i="1" s="1"/>
  <c r="I6752" i="1"/>
  <c r="J6752" i="1"/>
  <c r="K6752" i="1"/>
  <c r="O6752" i="1" a="1"/>
  <c r="O6752" i="1" s="1"/>
  <c r="I6753" i="1"/>
  <c r="J6753" i="1"/>
  <c r="K6753" i="1"/>
  <c r="O6753" i="1" a="1"/>
  <c r="O6753" i="1" s="1"/>
  <c r="I6754" i="1"/>
  <c r="J6754" i="1"/>
  <c r="K6754" i="1"/>
  <c r="O6754" i="1" a="1"/>
  <c r="O6754" i="1" s="1"/>
  <c r="I6755" i="1"/>
  <c r="J6755" i="1"/>
  <c r="K6755" i="1"/>
  <c r="O6755" i="1" a="1"/>
  <c r="O6755" i="1"/>
  <c r="I6756" i="1"/>
  <c r="J6756" i="1"/>
  <c r="K6756" i="1"/>
  <c r="O6756" i="1" a="1"/>
  <c r="O6756" i="1" s="1"/>
  <c r="I6757" i="1"/>
  <c r="J6757" i="1"/>
  <c r="K6757" i="1"/>
  <c r="O6757" i="1" a="1"/>
  <c r="O6757" i="1" s="1"/>
  <c r="I6758" i="1"/>
  <c r="J6758" i="1"/>
  <c r="K6758" i="1"/>
  <c r="O6758" i="1" a="1"/>
  <c r="O6758" i="1" s="1"/>
  <c r="I6759" i="1"/>
  <c r="J6759" i="1"/>
  <c r="K6759" i="1"/>
  <c r="O6759" i="1" a="1"/>
  <c r="O6759" i="1" s="1"/>
  <c r="I6760" i="1"/>
  <c r="J6760" i="1"/>
  <c r="K6760" i="1"/>
  <c r="O6760" i="1" a="1"/>
  <c r="O6760" i="1" s="1"/>
  <c r="I6761" i="1"/>
  <c r="J6761" i="1"/>
  <c r="K6761" i="1"/>
  <c r="O6761" i="1" a="1"/>
  <c r="O6761" i="1" s="1"/>
  <c r="I6762" i="1"/>
  <c r="J6762" i="1"/>
  <c r="K6762" i="1"/>
  <c r="O6762" i="1" a="1"/>
  <c r="O6762" i="1" s="1"/>
  <c r="I6763" i="1"/>
  <c r="J6763" i="1"/>
  <c r="K6763" i="1"/>
  <c r="O6763" i="1" a="1"/>
  <c r="O6763" i="1" s="1"/>
  <c r="I6764" i="1"/>
  <c r="J6764" i="1"/>
  <c r="K6764" i="1"/>
  <c r="O6764" i="1" a="1"/>
  <c r="O6764" i="1" s="1"/>
  <c r="I6765" i="1"/>
  <c r="J6765" i="1"/>
  <c r="K6765" i="1"/>
  <c r="O6765" i="1" a="1"/>
  <c r="O6765" i="1" s="1"/>
  <c r="I6766" i="1"/>
  <c r="J6766" i="1"/>
  <c r="K6766" i="1"/>
  <c r="O6766" i="1" a="1"/>
  <c r="O6766" i="1" s="1"/>
  <c r="I6767" i="1"/>
  <c r="J6767" i="1"/>
  <c r="K6767" i="1"/>
  <c r="O6767" i="1" a="1"/>
  <c r="O6767" i="1" s="1"/>
  <c r="I6768" i="1"/>
  <c r="J6768" i="1"/>
  <c r="K6768" i="1"/>
  <c r="O6768" i="1" a="1"/>
  <c r="O6768" i="1" s="1"/>
  <c r="I6769" i="1"/>
  <c r="J6769" i="1"/>
  <c r="K6769" i="1"/>
  <c r="O6769" i="1" a="1"/>
  <c r="O6769" i="1" s="1"/>
  <c r="I6770" i="1"/>
  <c r="J6770" i="1"/>
  <c r="K6770" i="1"/>
  <c r="O6770" i="1" a="1"/>
  <c r="O6770" i="1" s="1"/>
  <c r="I6771" i="1"/>
  <c r="J6771" i="1"/>
  <c r="K6771" i="1"/>
  <c r="O6771" i="1" a="1"/>
  <c r="O6771" i="1" s="1"/>
  <c r="I6772" i="1"/>
  <c r="J6772" i="1"/>
  <c r="K6772" i="1"/>
  <c r="O6772" i="1" a="1"/>
  <c r="O6772" i="1" s="1"/>
  <c r="I6773" i="1"/>
  <c r="J6773" i="1"/>
  <c r="K6773" i="1"/>
  <c r="O6773" i="1" a="1"/>
  <c r="O6773" i="1" s="1"/>
  <c r="I6774" i="1"/>
  <c r="J6774" i="1"/>
  <c r="K6774" i="1"/>
  <c r="O6774" i="1" a="1"/>
  <c r="O6774" i="1" s="1"/>
  <c r="I6775" i="1"/>
  <c r="J6775" i="1"/>
  <c r="K6775" i="1"/>
  <c r="O6775" i="1" a="1"/>
  <c r="O6775" i="1" s="1"/>
  <c r="I6776" i="1"/>
  <c r="J6776" i="1"/>
  <c r="K6776" i="1"/>
  <c r="O6776" i="1" a="1"/>
  <c r="O6776" i="1" s="1"/>
  <c r="I6777" i="1"/>
  <c r="J6777" i="1"/>
  <c r="K6777" i="1"/>
  <c r="O6777" i="1" a="1"/>
  <c r="O6777" i="1" s="1"/>
  <c r="I6778" i="1"/>
  <c r="J6778" i="1"/>
  <c r="K6778" i="1"/>
  <c r="O6778" i="1" a="1"/>
  <c r="O6778" i="1" s="1"/>
  <c r="I6779" i="1"/>
  <c r="J6779" i="1"/>
  <c r="K6779" i="1"/>
  <c r="O6779" i="1" a="1"/>
  <c r="O6779" i="1" s="1"/>
  <c r="I6780" i="1"/>
  <c r="J6780" i="1"/>
  <c r="K6780" i="1"/>
  <c r="O6780" i="1" a="1"/>
  <c r="O6780" i="1" s="1"/>
  <c r="I6781" i="1"/>
  <c r="J6781" i="1"/>
  <c r="K6781" i="1"/>
  <c r="O6781" i="1" a="1"/>
  <c r="O6781" i="1" s="1"/>
  <c r="I6782" i="1"/>
  <c r="J6782" i="1"/>
  <c r="K6782" i="1"/>
  <c r="O6782" i="1" a="1"/>
  <c r="O6782" i="1" s="1"/>
  <c r="I6783" i="1"/>
  <c r="J6783" i="1"/>
  <c r="K6783" i="1"/>
  <c r="O6783" i="1" a="1"/>
  <c r="O6783" i="1" s="1"/>
  <c r="I6784" i="1"/>
  <c r="J6784" i="1"/>
  <c r="K6784" i="1"/>
  <c r="O6784" i="1" a="1"/>
  <c r="O6784" i="1" s="1"/>
  <c r="I6785" i="1"/>
  <c r="J6785" i="1"/>
  <c r="K6785" i="1"/>
  <c r="O6785" i="1" a="1"/>
  <c r="O6785" i="1" s="1"/>
  <c r="I6786" i="1"/>
  <c r="J6786" i="1"/>
  <c r="K6786" i="1"/>
  <c r="O6786" i="1" a="1"/>
  <c r="O6786" i="1" s="1"/>
  <c r="I6787" i="1"/>
  <c r="J6787" i="1"/>
  <c r="K6787" i="1"/>
  <c r="O6787" i="1" a="1"/>
  <c r="O6787" i="1" s="1"/>
  <c r="I6788" i="1"/>
  <c r="J6788" i="1"/>
  <c r="K6788" i="1"/>
  <c r="O6788" i="1" a="1"/>
  <c r="O6788" i="1" s="1"/>
  <c r="I6789" i="1"/>
  <c r="J6789" i="1"/>
  <c r="K6789" i="1"/>
  <c r="O6789" i="1" a="1"/>
  <c r="O6789" i="1" s="1"/>
  <c r="I6790" i="1"/>
  <c r="J6790" i="1"/>
  <c r="K6790" i="1"/>
  <c r="O6790" i="1" a="1"/>
  <c r="O6790" i="1" s="1"/>
  <c r="I6791" i="1"/>
  <c r="J6791" i="1"/>
  <c r="K6791" i="1"/>
  <c r="O6791" i="1" a="1"/>
  <c r="O6791" i="1" s="1"/>
  <c r="I6792" i="1"/>
  <c r="J6792" i="1"/>
  <c r="K6792" i="1"/>
  <c r="O6792" i="1" a="1"/>
  <c r="O6792" i="1" s="1"/>
  <c r="I6793" i="1"/>
  <c r="J6793" i="1"/>
  <c r="K6793" i="1"/>
  <c r="O6793" i="1" a="1"/>
  <c r="O6793" i="1" s="1"/>
  <c r="I6794" i="1"/>
  <c r="J6794" i="1"/>
  <c r="K6794" i="1"/>
  <c r="O6794" i="1" a="1"/>
  <c r="O6794" i="1" s="1"/>
  <c r="I6795" i="1"/>
  <c r="J6795" i="1"/>
  <c r="K6795" i="1"/>
  <c r="O6795" i="1" a="1"/>
  <c r="O6795" i="1" s="1"/>
  <c r="I6796" i="1"/>
  <c r="J6796" i="1"/>
  <c r="K6796" i="1"/>
  <c r="O6796" i="1" a="1"/>
  <c r="O6796" i="1" s="1"/>
  <c r="I6797" i="1"/>
  <c r="J6797" i="1"/>
  <c r="K6797" i="1"/>
  <c r="O6797" i="1" a="1"/>
  <c r="O6797" i="1" s="1"/>
  <c r="I6798" i="1"/>
  <c r="J6798" i="1"/>
  <c r="K6798" i="1"/>
  <c r="O6798" i="1" a="1"/>
  <c r="O6798" i="1" s="1"/>
  <c r="I6799" i="1"/>
  <c r="J6799" i="1"/>
  <c r="K6799" i="1"/>
  <c r="O6799" i="1" a="1"/>
  <c r="O6799" i="1" s="1"/>
  <c r="I6800" i="1"/>
  <c r="J6800" i="1"/>
  <c r="K6800" i="1"/>
  <c r="O6800" i="1" a="1"/>
  <c r="O6800" i="1" s="1"/>
  <c r="I6801" i="1"/>
  <c r="J6801" i="1"/>
  <c r="K6801" i="1"/>
  <c r="O6801" i="1" a="1"/>
  <c r="O6801" i="1"/>
  <c r="I6802" i="1"/>
  <c r="J6802" i="1"/>
  <c r="K6802" i="1"/>
  <c r="O6802" i="1" a="1"/>
  <c r="O6802" i="1" s="1"/>
  <c r="I6803" i="1"/>
  <c r="J6803" i="1"/>
  <c r="K6803" i="1"/>
  <c r="O6803" i="1" a="1"/>
  <c r="O6803" i="1" s="1"/>
  <c r="I6804" i="1"/>
  <c r="J6804" i="1"/>
  <c r="K6804" i="1"/>
  <c r="O6804" i="1" a="1"/>
  <c r="O6804" i="1" s="1"/>
  <c r="I6805" i="1"/>
  <c r="J6805" i="1"/>
  <c r="K6805" i="1"/>
  <c r="O6805" i="1" a="1"/>
  <c r="O6805" i="1" s="1"/>
  <c r="I6806" i="1"/>
  <c r="J6806" i="1"/>
  <c r="K6806" i="1"/>
  <c r="O6806" i="1" a="1"/>
  <c r="O6806" i="1" s="1"/>
  <c r="I6807" i="1"/>
  <c r="J6807" i="1"/>
  <c r="K6807" i="1"/>
  <c r="O6807" i="1" a="1"/>
  <c r="O6807" i="1" s="1"/>
  <c r="I6808" i="1"/>
  <c r="J6808" i="1"/>
  <c r="K6808" i="1"/>
  <c r="O6808" i="1" a="1"/>
  <c r="O6808" i="1" s="1"/>
  <c r="I6809" i="1"/>
  <c r="J6809" i="1"/>
  <c r="K6809" i="1"/>
  <c r="O6809" i="1" a="1"/>
  <c r="O6809" i="1" s="1"/>
  <c r="I6810" i="1"/>
  <c r="J6810" i="1"/>
  <c r="K6810" i="1"/>
  <c r="O6810" i="1" a="1"/>
  <c r="O6810" i="1" s="1"/>
  <c r="I6811" i="1"/>
  <c r="J6811" i="1"/>
  <c r="K6811" i="1"/>
  <c r="O6811" i="1" a="1"/>
  <c r="O6811" i="1" s="1"/>
  <c r="I6812" i="1"/>
  <c r="J6812" i="1"/>
  <c r="K6812" i="1"/>
  <c r="O6812" i="1" a="1"/>
  <c r="O6812" i="1" s="1"/>
  <c r="I6813" i="1"/>
  <c r="J6813" i="1"/>
  <c r="K6813" i="1"/>
  <c r="O6813" i="1" a="1"/>
  <c r="O6813" i="1" s="1"/>
  <c r="I6814" i="1"/>
  <c r="J6814" i="1"/>
  <c r="K6814" i="1"/>
  <c r="O6814" i="1" a="1"/>
  <c r="O6814" i="1"/>
  <c r="I6815" i="1"/>
  <c r="J6815" i="1"/>
  <c r="K6815" i="1"/>
  <c r="O6815" i="1" a="1"/>
  <c r="O6815" i="1" s="1"/>
  <c r="I6816" i="1"/>
  <c r="J6816" i="1"/>
  <c r="K6816" i="1"/>
  <c r="O6816" i="1" a="1"/>
  <c r="O6816" i="1" s="1"/>
  <c r="I6817" i="1"/>
  <c r="J6817" i="1"/>
  <c r="K6817" i="1"/>
  <c r="O6817" i="1" a="1"/>
  <c r="O6817" i="1" s="1"/>
  <c r="I6818" i="1"/>
  <c r="J6818" i="1"/>
  <c r="K6818" i="1"/>
  <c r="O6818" i="1" a="1"/>
  <c r="O6818" i="1" s="1"/>
  <c r="I6819" i="1"/>
  <c r="J6819" i="1"/>
  <c r="K6819" i="1"/>
  <c r="O6819" i="1" a="1"/>
  <c r="O6819" i="1" s="1"/>
  <c r="I6820" i="1"/>
  <c r="J6820" i="1"/>
  <c r="K6820" i="1"/>
  <c r="O6820" i="1" a="1"/>
  <c r="O6820" i="1" s="1"/>
  <c r="I6821" i="1"/>
  <c r="J6821" i="1"/>
  <c r="K6821" i="1"/>
  <c r="O6821" i="1" a="1"/>
  <c r="O6821" i="1" s="1"/>
  <c r="I6822" i="1"/>
  <c r="J6822" i="1"/>
  <c r="K6822" i="1"/>
  <c r="O6822" i="1" a="1"/>
  <c r="O6822" i="1" s="1"/>
  <c r="I6823" i="1"/>
  <c r="J6823" i="1"/>
  <c r="K6823" i="1"/>
  <c r="O6823" i="1" a="1"/>
  <c r="O6823" i="1" s="1"/>
  <c r="I6824" i="1"/>
  <c r="J6824" i="1"/>
  <c r="K6824" i="1"/>
  <c r="O6824" i="1" a="1"/>
  <c r="O6824" i="1" s="1"/>
  <c r="I6825" i="1"/>
  <c r="J6825" i="1"/>
  <c r="K6825" i="1"/>
  <c r="O6825" i="1" a="1"/>
  <c r="O6825" i="1" s="1"/>
  <c r="I6826" i="1"/>
  <c r="J6826" i="1"/>
  <c r="K6826" i="1"/>
  <c r="O6826" i="1" a="1"/>
  <c r="O6826" i="1" s="1"/>
  <c r="I6827" i="1"/>
  <c r="J6827" i="1"/>
  <c r="K6827" i="1"/>
  <c r="O6827" i="1" a="1"/>
  <c r="O6827" i="1" s="1"/>
  <c r="I6828" i="1"/>
  <c r="J6828" i="1"/>
  <c r="K6828" i="1"/>
  <c r="O6828" i="1" a="1"/>
  <c r="O6828" i="1" s="1"/>
  <c r="I6829" i="1"/>
  <c r="J6829" i="1"/>
  <c r="K6829" i="1"/>
  <c r="O6829" i="1" a="1"/>
  <c r="O6829" i="1" s="1"/>
  <c r="I6830" i="1"/>
  <c r="J6830" i="1"/>
  <c r="K6830" i="1"/>
  <c r="O6830" i="1" a="1"/>
  <c r="O6830" i="1" s="1"/>
  <c r="I6831" i="1"/>
  <c r="J6831" i="1"/>
  <c r="K6831" i="1"/>
  <c r="O6831" i="1" a="1"/>
  <c r="O6831" i="1"/>
  <c r="I6832" i="1"/>
  <c r="J6832" i="1"/>
  <c r="K6832" i="1"/>
  <c r="O6832" i="1" a="1"/>
  <c r="O6832" i="1" s="1"/>
  <c r="I6833" i="1"/>
  <c r="J6833" i="1"/>
  <c r="K6833" i="1"/>
  <c r="O6833" i="1" a="1"/>
  <c r="O6833" i="1" s="1"/>
  <c r="I6834" i="1"/>
  <c r="J6834" i="1"/>
  <c r="K6834" i="1"/>
  <c r="O6834" i="1" a="1"/>
  <c r="O6834" i="1" s="1"/>
  <c r="I6835" i="1"/>
  <c r="J6835" i="1"/>
  <c r="K6835" i="1"/>
  <c r="O6835" i="1" a="1"/>
  <c r="O6835" i="1" s="1"/>
  <c r="I6836" i="1"/>
  <c r="J6836" i="1"/>
  <c r="K6836" i="1"/>
  <c r="O6836" i="1" a="1"/>
  <c r="O6836" i="1" s="1"/>
  <c r="I6837" i="1"/>
  <c r="J6837" i="1"/>
  <c r="K6837" i="1"/>
  <c r="O6837" i="1" a="1"/>
  <c r="O6837" i="1" s="1"/>
  <c r="I6838" i="1"/>
  <c r="J6838" i="1"/>
  <c r="K6838" i="1"/>
  <c r="O6838" i="1" a="1"/>
  <c r="O6838" i="1" s="1"/>
  <c r="I6839" i="1"/>
  <c r="J6839" i="1"/>
  <c r="K6839" i="1"/>
  <c r="O6839" i="1" a="1"/>
  <c r="O6839" i="1" s="1"/>
  <c r="I6840" i="1"/>
  <c r="J6840" i="1"/>
  <c r="K6840" i="1"/>
  <c r="O6840" i="1" a="1"/>
  <c r="O6840" i="1" s="1"/>
  <c r="I6841" i="1"/>
  <c r="J6841" i="1"/>
  <c r="K6841" i="1"/>
  <c r="O6841" i="1" a="1"/>
  <c r="O6841" i="1" s="1"/>
  <c r="I6842" i="1"/>
  <c r="J6842" i="1"/>
  <c r="K6842" i="1"/>
  <c r="O6842" i="1" a="1"/>
  <c r="O6842" i="1" s="1"/>
  <c r="I6843" i="1"/>
  <c r="J6843" i="1"/>
  <c r="K6843" i="1"/>
  <c r="O6843" i="1" a="1"/>
  <c r="O6843" i="1" s="1"/>
  <c r="I6844" i="1"/>
  <c r="J6844" i="1"/>
  <c r="K6844" i="1"/>
  <c r="O6844" i="1" a="1"/>
  <c r="O6844" i="1" s="1"/>
  <c r="I6845" i="1"/>
  <c r="J6845" i="1"/>
  <c r="K6845" i="1"/>
  <c r="O6845" i="1" a="1"/>
  <c r="O6845" i="1" s="1"/>
  <c r="I6846" i="1"/>
  <c r="J6846" i="1"/>
  <c r="K6846" i="1"/>
  <c r="O6846" i="1" a="1"/>
  <c r="O6846" i="1" s="1"/>
  <c r="I6847" i="1"/>
  <c r="J6847" i="1"/>
  <c r="K6847" i="1"/>
  <c r="O6847" i="1" a="1"/>
  <c r="O6847" i="1" s="1"/>
  <c r="I6848" i="1"/>
  <c r="J6848" i="1"/>
  <c r="K6848" i="1"/>
  <c r="O6848" i="1" a="1"/>
  <c r="O6848" i="1" s="1"/>
  <c r="I6849" i="1"/>
  <c r="J6849" i="1"/>
  <c r="K6849" i="1"/>
  <c r="O6849" i="1" a="1"/>
  <c r="O6849" i="1" s="1"/>
  <c r="I6850" i="1"/>
  <c r="J6850" i="1"/>
  <c r="K6850" i="1"/>
  <c r="O6850" i="1" a="1"/>
  <c r="O6850" i="1" s="1"/>
  <c r="I6851" i="1"/>
  <c r="J6851" i="1"/>
  <c r="K6851" i="1"/>
  <c r="O6851" i="1" a="1"/>
  <c r="O6851" i="1" s="1"/>
  <c r="I6852" i="1"/>
  <c r="J6852" i="1"/>
  <c r="K6852" i="1"/>
  <c r="O6852" i="1" a="1"/>
  <c r="O6852" i="1"/>
  <c r="I6853" i="1"/>
  <c r="J6853" i="1"/>
  <c r="K6853" i="1"/>
  <c r="O6853" i="1" a="1"/>
  <c r="O6853" i="1" s="1"/>
  <c r="I6854" i="1"/>
  <c r="J6854" i="1"/>
  <c r="K6854" i="1"/>
  <c r="O6854" i="1" a="1"/>
  <c r="O6854" i="1"/>
  <c r="I6855" i="1"/>
  <c r="J6855" i="1"/>
  <c r="K6855" i="1"/>
  <c r="O6855" i="1" a="1"/>
  <c r="O6855" i="1"/>
  <c r="I6856" i="1"/>
  <c r="J6856" i="1"/>
  <c r="K6856" i="1"/>
  <c r="O6856" i="1" a="1"/>
  <c r="O6856" i="1" s="1"/>
  <c r="I6857" i="1"/>
  <c r="J6857" i="1"/>
  <c r="K6857" i="1"/>
  <c r="O6857" i="1" a="1"/>
  <c r="O6857" i="1" s="1"/>
  <c r="I6858" i="1"/>
  <c r="J6858" i="1"/>
  <c r="K6858" i="1"/>
  <c r="O6858" i="1" a="1"/>
  <c r="O6858" i="1" s="1"/>
  <c r="I6859" i="1"/>
  <c r="J6859" i="1"/>
  <c r="K6859" i="1"/>
  <c r="O6859" i="1" a="1"/>
  <c r="O6859" i="1" s="1"/>
  <c r="I6860" i="1"/>
  <c r="J6860" i="1"/>
  <c r="K6860" i="1"/>
  <c r="O6860" i="1" a="1"/>
  <c r="O6860" i="1" s="1"/>
  <c r="I6861" i="1"/>
  <c r="J6861" i="1"/>
  <c r="K6861" i="1"/>
  <c r="O6861" i="1" a="1"/>
  <c r="O6861" i="1" s="1"/>
  <c r="I6862" i="1"/>
  <c r="J6862" i="1"/>
  <c r="K6862" i="1"/>
  <c r="O6862" i="1" a="1"/>
  <c r="O6862" i="1" s="1"/>
  <c r="I6863" i="1"/>
  <c r="J6863" i="1"/>
  <c r="K6863" i="1"/>
  <c r="O6863" i="1" a="1"/>
  <c r="O6863" i="1" s="1"/>
  <c r="I6864" i="1"/>
  <c r="J6864" i="1"/>
  <c r="K6864" i="1"/>
  <c r="O6864" i="1" a="1"/>
  <c r="O6864" i="1" s="1"/>
  <c r="I6865" i="1"/>
  <c r="J6865" i="1"/>
  <c r="K6865" i="1"/>
  <c r="O6865" i="1" a="1"/>
  <c r="O6865" i="1" s="1"/>
  <c r="I6866" i="1"/>
  <c r="J6866" i="1"/>
  <c r="K6866" i="1"/>
  <c r="O6866" i="1" a="1"/>
  <c r="O6866" i="1"/>
  <c r="I6867" i="1"/>
  <c r="J6867" i="1"/>
  <c r="K6867" i="1"/>
  <c r="O6867" i="1" a="1"/>
  <c r="O6867" i="1" s="1"/>
  <c r="I6868" i="1"/>
  <c r="J6868" i="1"/>
  <c r="K6868" i="1"/>
  <c r="O6868" i="1" a="1"/>
  <c r="O6868" i="1" s="1"/>
  <c r="I6869" i="1"/>
  <c r="J6869" i="1"/>
  <c r="K6869" i="1"/>
  <c r="O6869" i="1" a="1"/>
  <c r="O6869" i="1" s="1"/>
  <c r="I6870" i="1"/>
  <c r="J6870" i="1"/>
  <c r="K6870" i="1"/>
  <c r="O6870" i="1" a="1"/>
  <c r="O6870" i="1" s="1"/>
  <c r="I6871" i="1"/>
  <c r="J6871" i="1"/>
  <c r="K6871" i="1"/>
  <c r="O6871" i="1" a="1"/>
  <c r="O6871" i="1" s="1"/>
  <c r="I6872" i="1"/>
  <c r="J6872" i="1"/>
  <c r="K6872" i="1"/>
  <c r="O6872" i="1" a="1"/>
  <c r="O6872" i="1" s="1"/>
  <c r="I6873" i="1"/>
  <c r="J6873" i="1"/>
  <c r="K6873" i="1"/>
  <c r="O6873" i="1" a="1"/>
  <c r="O6873" i="1" s="1"/>
  <c r="I6874" i="1"/>
  <c r="J6874" i="1"/>
  <c r="K6874" i="1"/>
  <c r="O6874" i="1" a="1"/>
  <c r="O6874" i="1" s="1"/>
  <c r="I6875" i="1"/>
  <c r="J6875" i="1"/>
  <c r="K6875" i="1"/>
  <c r="O6875" i="1" a="1"/>
  <c r="O6875" i="1" s="1"/>
  <c r="I6876" i="1"/>
  <c r="J6876" i="1"/>
  <c r="K6876" i="1"/>
  <c r="O6876" i="1" a="1"/>
  <c r="O6876" i="1" s="1"/>
  <c r="I6877" i="1"/>
  <c r="J6877" i="1"/>
  <c r="K6877" i="1"/>
  <c r="O6877" i="1" a="1"/>
  <c r="O6877" i="1" s="1"/>
  <c r="I6878" i="1"/>
  <c r="J6878" i="1"/>
  <c r="K6878" i="1"/>
  <c r="O6878" i="1" a="1"/>
  <c r="O6878" i="1" s="1"/>
  <c r="I6879" i="1"/>
  <c r="J6879" i="1"/>
  <c r="K6879" i="1"/>
  <c r="O6879" i="1" a="1"/>
  <c r="O6879" i="1" s="1"/>
  <c r="I6880" i="1"/>
  <c r="J6880" i="1"/>
  <c r="K6880" i="1"/>
  <c r="O6880" i="1" a="1"/>
  <c r="O6880" i="1" s="1"/>
  <c r="I6881" i="1"/>
  <c r="J6881" i="1"/>
  <c r="K6881" i="1"/>
  <c r="O6881" i="1" a="1"/>
  <c r="O6881" i="1"/>
  <c r="I6882" i="1"/>
  <c r="J6882" i="1"/>
  <c r="K6882" i="1"/>
  <c r="O6882" i="1" a="1"/>
  <c r="O6882" i="1" s="1"/>
  <c r="I6883" i="1"/>
  <c r="J6883" i="1"/>
  <c r="K6883" i="1"/>
  <c r="O6883" i="1" a="1"/>
  <c r="O6883" i="1" s="1"/>
  <c r="I6884" i="1"/>
  <c r="J6884" i="1"/>
  <c r="K6884" i="1"/>
  <c r="O6884" i="1" a="1"/>
  <c r="O6884" i="1"/>
  <c r="I6885" i="1"/>
  <c r="J6885" i="1"/>
  <c r="K6885" i="1"/>
  <c r="O6885" i="1" a="1"/>
  <c r="O6885" i="1" s="1"/>
  <c r="I6886" i="1"/>
  <c r="J6886" i="1"/>
  <c r="K6886" i="1"/>
  <c r="O6886" i="1" a="1"/>
  <c r="O6886" i="1" s="1"/>
  <c r="I6887" i="1"/>
  <c r="J6887" i="1"/>
  <c r="K6887" i="1"/>
  <c r="O6887" i="1" a="1"/>
  <c r="O6887" i="1" s="1"/>
  <c r="I6888" i="1"/>
  <c r="J6888" i="1"/>
  <c r="K6888" i="1"/>
  <c r="O6888" i="1" a="1"/>
  <c r="O6888" i="1" s="1"/>
  <c r="I6889" i="1"/>
  <c r="J6889" i="1"/>
  <c r="K6889" i="1"/>
  <c r="O6889" i="1" a="1"/>
  <c r="O6889" i="1" s="1"/>
  <c r="I6890" i="1"/>
  <c r="J6890" i="1"/>
  <c r="K6890" i="1"/>
  <c r="O6890" i="1" a="1"/>
  <c r="O6890" i="1" s="1"/>
  <c r="I6891" i="1"/>
  <c r="J6891" i="1"/>
  <c r="K6891" i="1"/>
  <c r="O6891" i="1" a="1"/>
  <c r="O6891" i="1" s="1"/>
  <c r="I6892" i="1"/>
  <c r="J6892" i="1"/>
  <c r="K6892" i="1"/>
  <c r="O6892" i="1" a="1"/>
  <c r="O6892" i="1" s="1"/>
  <c r="I6893" i="1"/>
  <c r="J6893" i="1"/>
  <c r="K6893" i="1"/>
  <c r="O6893" i="1" a="1"/>
  <c r="O6893" i="1" s="1"/>
  <c r="I6894" i="1"/>
  <c r="J6894" i="1"/>
  <c r="K6894" i="1"/>
  <c r="O6894" i="1" a="1"/>
  <c r="O6894" i="1" s="1"/>
  <c r="I6895" i="1"/>
  <c r="J6895" i="1"/>
  <c r="K6895" i="1"/>
  <c r="O6895" i="1" a="1"/>
  <c r="O6895" i="1" s="1"/>
  <c r="I6896" i="1"/>
  <c r="J6896" i="1"/>
  <c r="K6896" i="1"/>
  <c r="O6896" i="1" a="1"/>
  <c r="O6896" i="1" s="1"/>
  <c r="I6897" i="1"/>
  <c r="J6897" i="1"/>
  <c r="K6897" i="1"/>
  <c r="O6897" i="1" a="1"/>
  <c r="O6897" i="1" s="1"/>
  <c r="I6898" i="1"/>
  <c r="J6898" i="1"/>
  <c r="K6898" i="1"/>
  <c r="O6898" i="1" a="1"/>
  <c r="O6898" i="1" s="1"/>
  <c r="I6899" i="1"/>
  <c r="J6899" i="1"/>
  <c r="K6899" i="1"/>
  <c r="O6899" i="1" a="1"/>
  <c r="O6899" i="1" s="1"/>
  <c r="I6900" i="1"/>
  <c r="J6900" i="1"/>
  <c r="K6900" i="1"/>
  <c r="O6900" i="1" a="1"/>
  <c r="O6900" i="1" s="1"/>
  <c r="I6901" i="1"/>
  <c r="J6901" i="1"/>
  <c r="K6901" i="1"/>
  <c r="O6901" i="1" a="1"/>
  <c r="O6901" i="1" s="1"/>
  <c r="I6902" i="1"/>
  <c r="J6902" i="1"/>
  <c r="K6902" i="1"/>
  <c r="O6902" i="1" a="1"/>
  <c r="O6902" i="1" s="1"/>
  <c r="I6903" i="1"/>
  <c r="J6903" i="1"/>
  <c r="K6903" i="1"/>
  <c r="O6903" i="1" a="1"/>
  <c r="O6903" i="1" s="1"/>
  <c r="I6904" i="1"/>
  <c r="J6904" i="1"/>
  <c r="K6904" i="1"/>
  <c r="O6904" i="1" a="1"/>
  <c r="O6904" i="1" s="1"/>
  <c r="I6905" i="1"/>
  <c r="J6905" i="1"/>
  <c r="K6905" i="1"/>
  <c r="O6905" i="1" a="1"/>
  <c r="O6905" i="1" s="1"/>
  <c r="I6906" i="1"/>
  <c r="J6906" i="1"/>
  <c r="K6906" i="1"/>
  <c r="O6906" i="1" a="1"/>
  <c r="O6906" i="1" s="1"/>
  <c r="I6907" i="1"/>
  <c r="J6907" i="1"/>
  <c r="K6907" i="1"/>
  <c r="O6907" i="1" a="1"/>
  <c r="O6907" i="1" s="1"/>
  <c r="I6908" i="1"/>
  <c r="J6908" i="1"/>
  <c r="K6908" i="1"/>
  <c r="O6908" i="1" a="1"/>
  <c r="O6908" i="1" s="1"/>
  <c r="I6909" i="1"/>
  <c r="J6909" i="1"/>
  <c r="K6909" i="1"/>
  <c r="O6909" i="1" a="1"/>
  <c r="O6909" i="1" s="1"/>
  <c r="I6910" i="1"/>
  <c r="J6910" i="1"/>
  <c r="K6910" i="1"/>
  <c r="O6910" i="1" a="1"/>
  <c r="O6910" i="1" s="1"/>
  <c r="I6911" i="1"/>
  <c r="J6911" i="1"/>
  <c r="K6911" i="1"/>
  <c r="O6911" i="1" a="1"/>
  <c r="O6911" i="1" s="1"/>
  <c r="I6912" i="1"/>
  <c r="J6912" i="1"/>
  <c r="K6912" i="1"/>
  <c r="O6912" i="1" a="1"/>
  <c r="O6912" i="1" s="1"/>
  <c r="I6913" i="1"/>
  <c r="J6913" i="1"/>
  <c r="K6913" i="1"/>
  <c r="O6913" i="1" a="1"/>
  <c r="O6913" i="1" s="1"/>
  <c r="I6914" i="1"/>
  <c r="J6914" i="1"/>
  <c r="K6914" i="1"/>
  <c r="O6914" i="1" a="1"/>
  <c r="O6914" i="1" s="1"/>
  <c r="I6915" i="1"/>
  <c r="J6915" i="1"/>
  <c r="K6915" i="1"/>
  <c r="O6915" i="1" a="1"/>
  <c r="O6915" i="1" s="1"/>
  <c r="I6916" i="1"/>
  <c r="J6916" i="1"/>
  <c r="K6916" i="1"/>
  <c r="O6916" i="1" a="1"/>
  <c r="O6916" i="1" s="1"/>
  <c r="I6917" i="1"/>
  <c r="J6917" i="1"/>
  <c r="K6917" i="1"/>
  <c r="O6917" i="1" a="1"/>
  <c r="O6917" i="1" s="1"/>
  <c r="I6918" i="1"/>
  <c r="J6918" i="1"/>
  <c r="K6918" i="1"/>
  <c r="O6918" i="1" a="1"/>
  <c r="O6918" i="1" s="1"/>
  <c r="I6919" i="1"/>
  <c r="J6919" i="1"/>
  <c r="K6919" i="1"/>
  <c r="O6919" i="1" a="1"/>
  <c r="O6919" i="1" s="1"/>
  <c r="I6920" i="1"/>
  <c r="J6920" i="1"/>
  <c r="K6920" i="1"/>
  <c r="O6920" i="1" a="1"/>
  <c r="O6920" i="1" s="1"/>
  <c r="I6921" i="1"/>
  <c r="J6921" i="1"/>
  <c r="K6921" i="1"/>
  <c r="O6921" i="1" a="1"/>
  <c r="O6921" i="1" s="1"/>
  <c r="I6922" i="1"/>
  <c r="J6922" i="1"/>
  <c r="K6922" i="1"/>
  <c r="O6922" i="1" a="1"/>
  <c r="O6922" i="1" s="1"/>
  <c r="I6923" i="1"/>
  <c r="J6923" i="1"/>
  <c r="K6923" i="1"/>
  <c r="O6923" i="1" a="1"/>
  <c r="O6923" i="1" s="1"/>
  <c r="I6924" i="1"/>
  <c r="J6924" i="1"/>
  <c r="K6924" i="1"/>
  <c r="O6924" i="1" a="1"/>
  <c r="O6924" i="1" s="1"/>
  <c r="I6925" i="1"/>
  <c r="J6925" i="1"/>
  <c r="K6925" i="1"/>
  <c r="O6925" i="1" a="1"/>
  <c r="O6925" i="1" s="1"/>
  <c r="I6926" i="1"/>
  <c r="J6926" i="1"/>
  <c r="K6926" i="1"/>
  <c r="O6926" i="1" a="1"/>
  <c r="O6926" i="1" s="1"/>
  <c r="I6927" i="1"/>
  <c r="J6927" i="1"/>
  <c r="K6927" i="1"/>
  <c r="O6927" i="1" a="1"/>
  <c r="O6927" i="1" s="1"/>
  <c r="I6928" i="1"/>
  <c r="J6928" i="1"/>
  <c r="K6928" i="1"/>
  <c r="O6928" i="1" a="1"/>
  <c r="O6928" i="1" s="1"/>
  <c r="I6929" i="1"/>
  <c r="J6929" i="1"/>
  <c r="K6929" i="1"/>
  <c r="O6929" i="1" a="1"/>
  <c r="O6929" i="1" s="1"/>
  <c r="I6930" i="1"/>
  <c r="J6930" i="1"/>
  <c r="K6930" i="1"/>
  <c r="O6930" i="1" a="1"/>
  <c r="O6930" i="1" s="1"/>
  <c r="I6931" i="1"/>
  <c r="J6931" i="1"/>
  <c r="K6931" i="1"/>
  <c r="O6931" i="1" a="1"/>
  <c r="O6931" i="1" s="1"/>
  <c r="I6932" i="1"/>
  <c r="J6932" i="1"/>
  <c r="K6932" i="1"/>
  <c r="O6932" i="1" a="1"/>
  <c r="O6932" i="1" s="1"/>
  <c r="I6933" i="1"/>
  <c r="J6933" i="1"/>
  <c r="K6933" i="1"/>
  <c r="O6933" i="1" a="1"/>
  <c r="O6933" i="1" s="1"/>
  <c r="I6934" i="1"/>
  <c r="J6934" i="1"/>
  <c r="K6934" i="1"/>
  <c r="O6934" i="1" a="1"/>
  <c r="O6934" i="1" s="1"/>
  <c r="I6935" i="1"/>
  <c r="J6935" i="1"/>
  <c r="K6935" i="1"/>
  <c r="O6935" i="1" a="1"/>
  <c r="O6935" i="1" s="1"/>
  <c r="I6936" i="1"/>
  <c r="J6936" i="1"/>
  <c r="K6936" i="1"/>
  <c r="O6936" i="1" a="1"/>
  <c r="O6936" i="1" s="1"/>
  <c r="I6937" i="1"/>
  <c r="J6937" i="1"/>
  <c r="K6937" i="1"/>
  <c r="O6937" i="1" a="1"/>
  <c r="O6937" i="1" s="1"/>
  <c r="I6938" i="1"/>
  <c r="J6938" i="1"/>
  <c r="K6938" i="1"/>
  <c r="O6938" i="1" a="1"/>
  <c r="O6938" i="1" s="1"/>
  <c r="I6939" i="1"/>
  <c r="J6939" i="1"/>
  <c r="K6939" i="1"/>
  <c r="O6939" i="1" a="1"/>
  <c r="O6939" i="1" s="1"/>
  <c r="I6940" i="1"/>
  <c r="J6940" i="1"/>
  <c r="K6940" i="1"/>
  <c r="O6940" i="1" a="1"/>
  <c r="O6940" i="1" s="1"/>
  <c r="I6941" i="1"/>
  <c r="J6941" i="1"/>
  <c r="K6941" i="1"/>
  <c r="O6941" i="1" a="1"/>
  <c r="O6941" i="1" s="1"/>
  <c r="I6942" i="1"/>
  <c r="J6942" i="1"/>
  <c r="K6942" i="1"/>
  <c r="O6942" i="1" a="1"/>
  <c r="O6942" i="1" s="1"/>
  <c r="I6943" i="1"/>
  <c r="J6943" i="1"/>
  <c r="K6943" i="1"/>
  <c r="O6943" i="1" a="1"/>
  <c r="O6943" i="1" s="1"/>
  <c r="I6944" i="1"/>
  <c r="J6944" i="1"/>
  <c r="K6944" i="1"/>
  <c r="O6944" i="1" a="1"/>
  <c r="O6944" i="1" s="1"/>
  <c r="I6945" i="1"/>
  <c r="J6945" i="1"/>
  <c r="K6945" i="1"/>
  <c r="O6945" i="1" a="1"/>
  <c r="O6945" i="1" s="1"/>
  <c r="I6946" i="1"/>
  <c r="J6946" i="1"/>
  <c r="K6946" i="1"/>
  <c r="O6946" i="1" a="1"/>
  <c r="O6946" i="1" s="1"/>
  <c r="I6947" i="1"/>
  <c r="J6947" i="1"/>
  <c r="K6947" i="1"/>
  <c r="O6947" i="1" a="1"/>
  <c r="O6947" i="1" s="1"/>
  <c r="I6948" i="1"/>
  <c r="J6948" i="1"/>
  <c r="K6948" i="1"/>
  <c r="O6948" i="1" a="1"/>
  <c r="O6948" i="1" s="1"/>
  <c r="I6949" i="1"/>
  <c r="J6949" i="1"/>
  <c r="K6949" i="1"/>
  <c r="O6949" i="1" a="1"/>
  <c r="O6949" i="1" s="1"/>
  <c r="I6950" i="1"/>
  <c r="J6950" i="1"/>
  <c r="K6950" i="1"/>
  <c r="O6950" i="1" a="1"/>
  <c r="O6950" i="1" s="1"/>
  <c r="I6951" i="1"/>
  <c r="J6951" i="1"/>
  <c r="K6951" i="1"/>
  <c r="O6951" i="1" a="1"/>
  <c r="O6951" i="1" s="1"/>
  <c r="I6952" i="1"/>
  <c r="J6952" i="1"/>
  <c r="K6952" i="1"/>
  <c r="O6952" i="1" a="1"/>
  <c r="O6952" i="1" s="1"/>
  <c r="I6953" i="1"/>
  <c r="J6953" i="1"/>
  <c r="K6953" i="1"/>
  <c r="O6953" i="1" a="1"/>
  <c r="O6953" i="1"/>
  <c r="I6954" i="1"/>
  <c r="J6954" i="1"/>
  <c r="K6954" i="1"/>
  <c r="O6954" i="1" a="1"/>
  <c r="O6954" i="1" s="1"/>
  <c r="I6955" i="1"/>
  <c r="J6955" i="1"/>
  <c r="K6955" i="1"/>
  <c r="O6955" i="1" a="1"/>
  <c r="O6955" i="1" s="1"/>
  <c r="I6956" i="1"/>
  <c r="J6956" i="1"/>
  <c r="K6956" i="1"/>
  <c r="O6956" i="1" a="1"/>
  <c r="O6956" i="1" s="1"/>
  <c r="I6957" i="1"/>
  <c r="J6957" i="1"/>
  <c r="K6957" i="1"/>
  <c r="O6957" i="1" a="1"/>
  <c r="O6957" i="1" s="1"/>
  <c r="I6958" i="1"/>
  <c r="J6958" i="1"/>
  <c r="K6958" i="1"/>
  <c r="O6958" i="1" a="1"/>
  <c r="O6958" i="1" s="1"/>
  <c r="I6959" i="1"/>
  <c r="J6959" i="1"/>
  <c r="K6959" i="1"/>
  <c r="O6959" i="1" a="1"/>
  <c r="O6959" i="1" s="1"/>
  <c r="I6960" i="1"/>
  <c r="J6960" i="1"/>
  <c r="K6960" i="1"/>
  <c r="O6960" i="1" a="1"/>
  <c r="O6960" i="1" s="1"/>
  <c r="I6961" i="1"/>
  <c r="J6961" i="1"/>
  <c r="K6961" i="1"/>
  <c r="O6961" i="1" a="1"/>
  <c r="O6961" i="1" s="1"/>
  <c r="I6962" i="1"/>
  <c r="J6962" i="1"/>
  <c r="K6962" i="1"/>
  <c r="O6962" i="1" a="1"/>
  <c r="O6962" i="1" s="1"/>
  <c r="I6963" i="1"/>
  <c r="J6963" i="1"/>
  <c r="K6963" i="1"/>
  <c r="O6963" i="1" a="1"/>
  <c r="O6963" i="1" s="1"/>
  <c r="I6964" i="1"/>
  <c r="J6964" i="1"/>
  <c r="K6964" i="1"/>
  <c r="O6964" i="1" a="1"/>
  <c r="O6964" i="1" s="1"/>
  <c r="I6965" i="1"/>
  <c r="J6965" i="1"/>
  <c r="K6965" i="1"/>
  <c r="O6965" i="1" a="1"/>
  <c r="O6965" i="1" s="1"/>
  <c r="I6966" i="1"/>
  <c r="J6966" i="1"/>
  <c r="K6966" i="1"/>
  <c r="O6966" i="1" a="1"/>
  <c r="O6966" i="1" s="1"/>
  <c r="I6967" i="1"/>
  <c r="J6967" i="1"/>
  <c r="K6967" i="1"/>
  <c r="O6967" i="1" a="1"/>
  <c r="O6967" i="1" s="1"/>
  <c r="I6968" i="1"/>
  <c r="J6968" i="1"/>
  <c r="K6968" i="1"/>
  <c r="O6968" i="1" a="1"/>
  <c r="O6968" i="1" s="1"/>
  <c r="I6969" i="1"/>
  <c r="J6969" i="1"/>
  <c r="K6969" i="1"/>
  <c r="O6969" i="1" a="1"/>
  <c r="O6969" i="1" s="1"/>
  <c r="I6970" i="1"/>
  <c r="J6970" i="1"/>
  <c r="K6970" i="1"/>
  <c r="O6970" i="1" a="1"/>
  <c r="O6970" i="1" s="1"/>
  <c r="I6971" i="1"/>
  <c r="J6971" i="1"/>
  <c r="K6971" i="1"/>
  <c r="O6971" i="1" a="1"/>
  <c r="O6971" i="1" s="1"/>
  <c r="I6972" i="1"/>
  <c r="J6972" i="1"/>
  <c r="K6972" i="1"/>
  <c r="O6972" i="1" a="1"/>
  <c r="O6972" i="1" s="1"/>
  <c r="I6973" i="1"/>
  <c r="J6973" i="1"/>
  <c r="K6973" i="1"/>
  <c r="O6973" i="1" a="1"/>
  <c r="O6973" i="1" s="1"/>
  <c r="I6974" i="1"/>
  <c r="J6974" i="1"/>
  <c r="K6974" i="1"/>
  <c r="O6974" i="1" a="1"/>
  <c r="O6974" i="1" s="1"/>
  <c r="I6975" i="1"/>
  <c r="J6975" i="1"/>
  <c r="K6975" i="1"/>
  <c r="O6975" i="1" a="1"/>
  <c r="O6975" i="1" s="1"/>
  <c r="I6976" i="1"/>
  <c r="J6976" i="1"/>
  <c r="K6976" i="1"/>
  <c r="O6976" i="1" a="1"/>
  <c r="O6976" i="1" s="1"/>
  <c r="I6977" i="1"/>
  <c r="J6977" i="1"/>
  <c r="K6977" i="1"/>
  <c r="O6977" i="1" a="1"/>
  <c r="O6977" i="1" s="1"/>
  <c r="I6978" i="1"/>
  <c r="J6978" i="1"/>
  <c r="K6978" i="1"/>
  <c r="O6978" i="1" a="1"/>
  <c r="O6978" i="1" s="1"/>
  <c r="I6979" i="1"/>
  <c r="J6979" i="1"/>
  <c r="K6979" i="1"/>
  <c r="O6979" i="1" a="1"/>
  <c r="O6979" i="1" s="1"/>
  <c r="I6980" i="1"/>
  <c r="J6980" i="1"/>
  <c r="K6980" i="1"/>
  <c r="O6980" i="1" a="1"/>
  <c r="O6980" i="1" s="1"/>
  <c r="I6981" i="1"/>
  <c r="J6981" i="1"/>
  <c r="K6981" i="1"/>
  <c r="O6981" i="1" a="1"/>
  <c r="O6981" i="1" s="1"/>
  <c r="I6982" i="1"/>
  <c r="J6982" i="1"/>
  <c r="K6982" i="1"/>
  <c r="O6982" i="1" a="1"/>
  <c r="O6982" i="1" s="1"/>
  <c r="I6983" i="1"/>
  <c r="J6983" i="1"/>
  <c r="K6983" i="1"/>
  <c r="O6983" i="1" a="1"/>
  <c r="O6983" i="1" s="1"/>
  <c r="I6984" i="1"/>
  <c r="J6984" i="1"/>
  <c r="K6984" i="1"/>
  <c r="O6984" i="1" a="1"/>
  <c r="O6984" i="1" s="1"/>
  <c r="I6985" i="1"/>
  <c r="J6985" i="1"/>
  <c r="K6985" i="1"/>
  <c r="O6985" i="1" a="1"/>
  <c r="O6985" i="1" s="1"/>
  <c r="I6986" i="1"/>
  <c r="J6986" i="1"/>
  <c r="K6986" i="1"/>
  <c r="O6986" i="1" a="1"/>
  <c r="O6986" i="1" s="1"/>
  <c r="I6987" i="1"/>
  <c r="J6987" i="1"/>
  <c r="K6987" i="1"/>
  <c r="O6987" i="1" a="1"/>
  <c r="O6987" i="1" s="1"/>
  <c r="I6988" i="1"/>
  <c r="J6988" i="1"/>
  <c r="K6988" i="1"/>
  <c r="O6988" i="1" a="1"/>
  <c r="O6988" i="1" s="1"/>
  <c r="I6989" i="1"/>
  <c r="J6989" i="1"/>
  <c r="K6989" i="1"/>
  <c r="O6989" i="1" a="1"/>
  <c r="O6989" i="1" s="1"/>
  <c r="I6990" i="1"/>
  <c r="J6990" i="1"/>
  <c r="K6990" i="1"/>
  <c r="O6990" i="1" a="1"/>
  <c r="O6990" i="1" s="1"/>
  <c r="I6991" i="1"/>
  <c r="J6991" i="1"/>
  <c r="K6991" i="1"/>
  <c r="O6991" i="1" a="1"/>
  <c r="O6991" i="1" s="1"/>
  <c r="I6992" i="1"/>
  <c r="J6992" i="1"/>
  <c r="K6992" i="1"/>
  <c r="O6992" i="1" a="1"/>
  <c r="O6992" i="1" s="1"/>
  <c r="I6993" i="1"/>
  <c r="J6993" i="1"/>
  <c r="K6993" i="1"/>
  <c r="O6993" i="1" a="1"/>
  <c r="O6993" i="1" s="1"/>
  <c r="I6994" i="1"/>
  <c r="J6994" i="1"/>
  <c r="K6994" i="1"/>
  <c r="O6994" i="1" a="1"/>
  <c r="O6994" i="1" s="1"/>
  <c r="I6995" i="1"/>
  <c r="J6995" i="1"/>
  <c r="K6995" i="1"/>
  <c r="O6995" i="1" a="1"/>
  <c r="O6995" i="1" s="1"/>
  <c r="I6996" i="1"/>
  <c r="J6996" i="1"/>
  <c r="K6996" i="1"/>
  <c r="O6996" i="1" a="1"/>
  <c r="O6996" i="1" s="1"/>
  <c r="I6997" i="1"/>
  <c r="J6997" i="1"/>
  <c r="K6997" i="1"/>
  <c r="O6997" i="1" a="1"/>
  <c r="O6997" i="1" s="1"/>
  <c r="I6998" i="1"/>
  <c r="J6998" i="1"/>
  <c r="K6998" i="1"/>
  <c r="O6998" i="1" a="1"/>
  <c r="O6998" i="1" s="1"/>
  <c r="I6999" i="1"/>
  <c r="J6999" i="1"/>
  <c r="K6999" i="1"/>
  <c r="O6999" i="1" a="1"/>
  <c r="O6999" i="1" s="1"/>
  <c r="I7000" i="1"/>
  <c r="J7000" i="1"/>
  <c r="K7000" i="1"/>
  <c r="O7000" i="1" a="1"/>
  <c r="O7000" i="1" s="1"/>
  <c r="I7001" i="1"/>
  <c r="J7001" i="1"/>
  <c r="K7001" i="1"/>
  <c r="O7001" i="1" a="1"/>
  <c r="O7001" i="1" s="1"/>
  <c r="I7002" i="1"/>
  <c r="J7002" i="1"/>
  <c r="K7002" i="1"/>
  <c r="O7002" i="1" a="1"/>
  <c r="O7002" i="1" s="1"/>
  <c r="I7003" i="1"/>
  <c r="J7003" i="1"/>
  <c r="K7003" i="1"/>
  <c r="O7003" i="1" a="1"/>
  <c r="O7003" i="1" s="1"/>
  <c r="I7004" i="1"/>
  <c r="J7004" i="1"/>
  <c r="K7004" i="1"/>
  <c r="O7004" i="1" a="1"/>
  <c r="O7004" i="1" s="1"/>
  <c r="I7005" i="1"/>
  <c r="J7005" i="1"/>
  <c r="K7005" i="1"/>
  <c r="O7005" i="1" a="1"/>
  <c r="O7005" i="1" s="1"/>
  <c r="I7006" i="1"/>
  <c r="J7006" i="1"/>
  <c r="K7006" i="1"/>
  <c r="O7006" i="1" a="1"/>
  <c r="O7006" i="1" s="1"/>
  <c r="I7007" i="1"/>
  <c r="J7007" i="1"/>
  <c r="K7007" i="1"/>
  <c r="O7007" i="1" a="1"/>
  <c r="O7007" i="1" s="1"/>
  <c r="I7008" i="1"/>
  <c r="J7008" i="1"/>
  <c r="K7008" i="1"/>
  <c r="O7008" i="1" a="1"/>
  <c r="O7008" i="1" s="1"/>
  <c r="I7009" i="1"/>
  <c r="J7009" i="1"/>
  <c r="K7009" i="1"/>
  <c r="O7009" i="1" a="1"/>
  <c r="O7009" i="1" s="1"/>
  <c r="I7010" i="1"/>
  <c r="J7010" i="1"/>
  <c r="K7010" i="1"/>
  <c r="O7010" i="1" a="1"/>
  <c r="O7010" i="1" s="1"/>
  <c r="I7011" i="1"/>
  <c r="J7011" i="1"/>
  <c r="K7011" i="1"/>
  <c r="O7011" i="1" a="1"/>
  <c r="O7011" i="1" s="1"/>
  <c r="I7012" i="1"/>
  <c r="J7012" i="1"/>
  <c r="K7012" i="1"/>
  <c r="O7012" i="1" a="1"/>
  <c r="O7012" i="1" s="1"/>
  <c r="I7013" i="1"/>
  <c r="J7013" i="1"/>
  <c r="K7013" i="1"/>
  <c r="O7013" i="1" a="1"/>
  <c r="O7013" i="1" s="1"/>
  <c r="I7014" i="1"/>
  <c r="J7014" i="1"/>
  <c r="K7014" i="1"/>
  <c r="O7014" i="1" a="1"/>
  <c r="O7014" i="1" s="1"/>
  <c r="I7015" i="1"/>
  <c r="J7015" i="1"/>
  <c r="K7015" i="1"/>
  <c r="O7015" i="1" a="1"/>
  <c r="O7015" i="1" s="1"/>
  <c r="I7016" i="1"/>
  <c r="J7016" i="1"/>
  <c r="K7016" i="1"/>
  <c r="O7016" i="1" a="1"/>
  <c r="O7016" i="1" s="1"/>
  <c r="I7017" i="1"/>
  <c r="J7017" i="1"/>
  <c r="K7017" i="1"/>
  <c r="O7017" i="1" a="1"/>
  <c r="O7017" i="1" s="1"/>
  <c r="I7018" i="1"/>
  <c r="J7018" i="1"/>
  <c r="K7018" i="1"/>
  <c r="O7018" i="1" a="1"/>
  <c r="O7018" i="1" s="1"/>
  <c r="I7019" i="1"/>
  <c r="J7019" i="1"/>
  <c r="K7019" i="1"/>
  <c r="O7019" i="1" a="1"/>
  <c r="O7019" i="1" s="1"/>
  <c r="I7020" i="1"/>
  <c r="J7020" i="1"/>
  <c r="K7020" i="1"/>
  <c r="O7020" i="1" a="1"/>
  <c r="O7020" i="1" s="1"/>
  <c r="I7021" i="1"/>
  <c r="J7021" i="1"/>
  <c r="K7021" i="1"/>
  <c r="O7021" i="1" a="1"/>
  <c r="O7021" i="1" s="1"/>
  <c r="I7022" i="1"/>
  <c r="J7022" i="1"/>
  <c r="K7022" i="1"/>
  <c r="O7022" i="1" a="1"/>
  <c r="O7022" i="1" s="1"/>
  <c r="I7023" i="1"/>
  <c r="J7023" i="1"/>
  <c r="K7023" i="1"/>
  <c r="O7023" i="1" a="1"/>
  <c r="O7023" i="1" s="1"/>
  <c r="I7024" i="1"/>
  <c r="J7024" i="1"/>
  <c r="K7024" i="1"/>
  <c r="O7024" i="1" a="1"/>
  <c r="O7024" i="1" s="1"/>
  <c r="I7025" i="1"/>
  <c r="J7025" i="1"/>
  <c r="K7025" i="1"/>
  <c r="O7025" i="1" a="1"/>
  <c r="O7025" i="1" s="1"/>
  <c r="I7026" i="1"/>
  <c r="J7026" i="1"/>
  <c r="K7026" i="1"/>
  <c r="O7026" i="1" a="1"/>
  <c r="O7026" i="1" s="1"/>
  <c r="I7027" i="1"/>
  <c r="J7027" i="1"/>
  <c r="K7027" i="1"/>
  <c r="O7027" i="1" a="1"/>
  <c r="O7027" i="1" s="1"/>
  <c r="I7028" i="1"/>
  <c r="J7028" i="1"/>
  <c r="K7028" i="1"/>
  <c r="O7028" i="1" a="1"/>
  <c r="O7028" i="1"/>
  <c r="I7029" i="1"/>
  <c r="J7029" i="1"/>
  <c r="K7029" i="1"/>
  <c r="O7029" i="1" a="1"/>
  <c r="O7029" i="1" s="1"/>
  <c r="I7030" i="1"/>
  <c r="J7030" i="1"/>
  <c r="K7030" i="1"/>
  <c r="O7030" i="1" a="1"/>
  <c r="O7030" i="1" s="1"/>
  <c r="I7031" i="1"/>
  <c r="J7031" i="1"/>
  <c r="K7031" i="1"/>
  <c r="O7031" i="1" a="1"/>
  <c r="O7031" i="1" s="1"/>
  <c r="I7032" i="1"/>
  <c r="J7032" i="1"/>
  <c r="K7032" i="1"/>
  <c r="O7032" i="1" a="1"/>
  <c r="O7032" i="1" s="1"/>
  <c r="I7033" i="1"/>
  <c r="J7033" i="1"/>
  <c r="K7033" i="1"/>
  <c r="O7033" i="1" a="1"/>
  <c r="O7033" i="1" s="1"/>
  <c r="I7034" i="1"/>
  <c r="J7034" i="1"/>
  <c r="K7034" i="1"/>
  <c r="O7034" i="1" a="1"/>
  <c r="O7034" i="1" s="1"/>
  <c r="I7035" i="1"/>
  <c r="J7035" i="1"/>
  <c r="K7035" i="1"/>
  <c r="O7035" i="1" a="1"/>
  <c r="O7035" i="1" s="1"/>
  <c r="I7036" i="1"/>
  <c r="J7036" i="1"/>
  <c r="K7036" i="1"/>
  <c r="O7036" i="1" a="1"/>
  <c r="O7036" i="1" s="1"/>
  <c r="I7037" i="1"/>
  <c r="J7037" i="1"/>
  <c r="K7037" i="1"/>
  <c r="O7037" i="1" a="1"/>
  <c r="O7037" i="1" s="1"/>
  <c r="I7038" i="1"/>
  <c r="J7038" i="1"/>
  <c r="K7038" i="1"/>
  <c r="O7038" i="1" a="1"/>
  <c r="O7038" i="1" s="1"/>
  <c r="I7039" i="1"/>
  <c r="J7039" i="1"/>
  <c r="K7039" i="1"/>
  <c r="O7039" i="1" a="1"/>
  <c r="O7039" i="1" s="1"/>
  <c r="I7040" i="1"/>
  <c r="J7040" i="1"/>
  <c r="K7040" i="1"/>
  <c r="O7040" i="1" a="1"/>
  <c r="O7040" i="1" s="1"/>
  <c r="I7041" i="1"/>
  <c r="J7041" i="1"/>
  <c r="K7041" i="1"/>
  <c r="O7041" i="1" a="1"/>
  <c r="O7041" i="1" s="1"/>
  <c r="I7042" i="1"/>
  <c r="J7042" i="1"/>
  <c r="K7042" i="1"/>
  <c r="O7042" i="1" a="1"/>
  <c r="O7042" i="1" s="1"/>
  <c r="I7043" i="1"/>
  <c r="J7043" i="1"/>
  <c r="K7043" i="1"/>
  <c r="O7043" i="1" a="1"/>
  <c r="O7043" i="1" s="1"/>
  <c r="I7044" i="1"/>
  <c r="J7044" i="1"/>
  <c r="K7044" i="1"/>
  <c r="O7044" i="1" a="1"/>
  <c r="O7044" i="1" s="1"/>
  <c r="I7045" i="1"/>
  <c r="J7045" i="1"/>
  <c r="K7045" i="1"/>
  <c r="O7045" i="1" a="1"/>
  <c r="O7045" i="1" s="1"/>
  <c r="I7046" i="1"/>
  <c r="J7046" i="1"/>
  <c r="K7046" i="1"/>
  <c r="O7046" i="1" a="1"/>
  <c r="O7046" i="1" s="1"/>
  <c r="I7047" i="1"/>
  <c r="J7047" i="1"/>
  <c r="K7047" i="1"/>
  <c r="O7047" i="1" a="1"/>
  <c r="O7047" i="1" s="1"/>
  <c r="I7048" i="1"/>
  <c r="J7048" i="1"/>
  <c r="K7048" i="1"/>
  <c r="O7048" i="1" a="1"/>
  <c r="O7048" i="1" s="1"/>
  <c r="I7049" i="1"/>
  <c r="J7049" i="1"/>
  <c r="K7049" i="1"/>
  <c r="O7049" i="1" a="1"/>
  <c r="O7049" i="1" s="1"/>
  <c r="I7050" i="1"/>
  <c r="J7050" i="1"/>
  <c r="K7050" i="1"/>
  <c r="O7050" i="1" a="1"/>
  <c r="O7050" i="1" s="1"/>
  <c r="I7051" i="1"/>
  <c r="J7051" i="1"/>
  <c r="K7051" i="1"/>
  <c r="O7051" i="1" a="1"/>
  <c r="O7051" i="1" s="1"/>
  <c r="I7052" i="1"/>
  <c r="J7052" i="1"/>
  <c r="K7052" i="1"/>
  <c r="O7052" i="1" a="1"/>
  <c r="O7052" i="1"/>
  <c r="I7053" i="1"/>
  <c r="J7053" i="1"/>
  <c r="K7053" i="1"/>
  <c r="O7053" i="1" a="1"/>
  <c r="O7053" i="1" s="1"/>
  <c r="I7054" i="1"/>
  <c r="J7054" i="1"/>
  <c r="K7054" i="1"/>
  <c r="O7054" i="1" a="1"/>
  <c r="O7054" i="1" s="1"/>
  <c r="I7055" i="1"/>
  <c r="J7055" i="1"/>
  <c r="K7055" i="1"/>
  <c r="O7055" i="1" a="1"/>
  <c r="O7055" i="1" s="1"/>
  <c r="I7056" i="1"/>
  <c r="J7056" i="1"/>
  <c r="K7056" i="1"/>
  <c r="O7056" i="1" a="1"/>
  <c r="O7056" i="1" s="1"/>
  <c r="I7057" i="1"/>
  <c r="J7057" i="1"/>
  <c r="K7057" i="1"/>
  <c r="O7057" i="1" a="1"/>
  <c r="O7057" i="1" s="1"/>
  <c r="I7058" i="1"/>
  <c r="J7058" i="1"/>
  <c r="K7058" i="1"/>
  <c r="O7058" i="1" a="1"/>
  <c r="O7058" i="1" s="1"/>
  <c r="I7059" i="1"/>
  <c r="J7059" i="1"/>
  <c r="K7059" i="1"/>
  <c r="O7059" i="1" a="1"/>
  <c r="O7059" i="1" s="1"/>
  <c r="I7060" i="1"/>
  <c r="J7060" i="1"/>
  <c r="K7060" i="1"/>
  <c r="O7060" i="1" a="1"/>
  <c r="O7060" i="1" s="1"/>
  <c r="I7061" i="1"/>
  <c r="J7061" i="1"/>
  <c r="K7061" i="1"/>
  <c r="O7061" i="1" a="1"/>
  <c r="O7061" i="1" s="1"/>
  <c r="I7062" i="1"/>
  <c r="J7062" i="1"/>
  <c r="K7062" i="1"/>
  <c r="O7062" i="1" a="1"/>
  <c r="O7062" i="1" s="1"/>
  <c r="I7063" i="1"/>
  <c r="J7063" i="1"/>
  <c r="K7063" i="1"/>
  <c r="O7063" i="1" a="1"/>
  <c r="O7063" i="1" s="1"/>
  <c r="I7064" i="1"/>
  <c r="J7064" i="1"/>
  <c r="K7064" i="1"/>
  <c r="O7064" i="1" a="1"/>
  <c r="O7064" i="1" s="1"/>
  <c r="I7065" i="1"/>
  <c r="J7065" i="1"/>
  <c r="K7065" i="1"/>
  <c r="O7065" i="1" a="1"/>
  <c r="O7065" i="1" s="1"/>
  <c r="I7066" i="1"/>
  <c r="J7066" i="1"/>
  <c r="K7066" i="1"/>
  <c r="O7066" i="1" a="1"/>
  <c r="O7066" i="1" s="1"/>
  <c r="I7067" i="1"/>
  <c r="J7067" i="1"/>
  <c r="K7067" i="1"/>
  <c r="O7067" i="1" a="1"/>
  <c r="O7067" i="1" s="1"/>
  <c r="I7068" i="1"/>
  <c r="J7068" i="1"/>
  <c r="K7068" i="1"/>
  <c r="O7068" i="1" a="1"/>
  <c r="O7068" i="1"/>
  <c r="I7069" i="1"/>
  <c r="J7069" i="1"/>
  <c r="K7069" i="1"/>
  <c r="O7069" i="1" a="1"/>
  <c r="O7069" i="1" s="1"/>
  <c r="I7070" i="1"/>
  <c r="J7070" i="1"/>
  <c r="K7070" i="1"/>
  <c r="O7070" i="1" a="1"/>
  <c r="O7070" i="1" s="1"/>
  <c r="I7071" i="1"/>
  <c r="J7071" i="1"/>
  <c r="K7071" i="1"/>
  <c r="O7071" i="1" a="1"/>
  <c r="O7071" i="1" s="1"/>
  <c r="I7072" i="1"/>
  <c r="J7072" i="1"/>
  <c r="K7072" i="1"/>
  <c r="O7072" i="1" a="1"/>
  <c r="O7072" i="1" s="1"/>
  <c r="I7073" i="1"/>
  <c r="J7073" i="1"/>
  <c r="K7073" i="1"/>
  <c r="O7073" i="1" a="1"/>
  <c r="O7073" i="1" s="1"/>
  <c r="I7074" i="1"/>
  <c r="J7074" i="1"/>
  <c r="K7074" i="1"/>
  <c r="O7074" i="1" a="1"/>
  <c r="O7074" i="1" s="1"/>
  <c r="I7075" i="1"/>
  <c r="J7075" i="1"/>
  <c r="K7075" i="1"/>
  <c r="O7075" i="1" a="1"/>
  <c r="O7075" i="1" s="1"/>
  <c r="I7076" i="1"/>
  <c r="J7076" i="1"/>
  <c r="K7076" i="1"/>
  <c r="O7076" i="1" a="1"/>
  <c r="O7076" i="1" s="1"/>
  <c r="I7077" i="1"/>
  <c r="J7077" i="1"/>
  <c r="K7077" i="1"/>
  <c r="O7077" i="1" a="1"/>
  <c r="O7077" i="1" s="1"/>
  <c r="I7078" i="1"/>
  <c r="J7078" i="1"/>
  <c r="K7078" i="1"/>
  <c r="O7078" i="1" a="1"/>
  <c r="O7078" i="1" s="1"/>
  <c r="I7079" i="1"/>
  <c r="J7079" i="1"/>
  <c r="K7079" i="1"/>
  <c r="O7079" i="1" a="1"/>
  <c r="O7079" i="1" s="1"/>
  <c r="I7080" i="1"/>
  <c r="J7080" i="1"/>
  <c r="K7080" i="1"/>
  <c r="O7080" i="1" a="1"/>
  <c r="O7080" i="1" s="1"/>
  <c r="I7081" i="1"/>
  <c r="J7081" i="1"/>
  <c r="K7081" i="1"/>
  <c r="O7081" i="1" a="1"/>
  <c r="O7081" i="1" s="1"/>
  <c r="I7082" i="1"/>
  <c r="J7082" i="1"/>
  <c r="K7082" i="1"/>
  <c r="O7082" i="1" a="1"/>
  <c r="O7082" i="1" s="1"/>
  <c r="I7083" i="1"/>
  <c r="J7083" i="1"/>
  <c r="K7083" i="1"/>
  <c r="O7083" i="1" a="1"/>
  <c r="O7083" i="1" s="1"/>
  <c r="I7084" i="1"/>
  <c r="J7084" i="1"/>
  <c r="K7084" i="1"/>
  <c r="O7084" i="1" a="1"/>
  <c r="O7084" i="1" s="1"/>
  <c r="I7085" i="1"/>
  <c r="J7085" i="1"/>
  <c r="K7085" i="1"/>
  <c r="O7085" i="1" a="1"/>
  <c r="O7085" i="1" s="1"/>
  <c r="I7086" i="1"/>
  <c r="J7086" i="1"/>
  <c r="K7086" i="1"/>
  <c r="O7086" i="1" a="1"/>
  <c r="O7086" i="1" s="1"/>
  <c r="I7087" i="1"/>
  <c r="J7087" i="1"/>
  <c r="K7087" i="1"/>
  <c r="O7087" i="1" a="1"/>
  <c r="O7087" i="1" s="1"/>
  <c r="I7088" i="1"/>
  <c r="J7088" i="1"/>
  <c r="K7088" i="1"/>
  <c r="O7088" i="1" a="1"/>
  <c r="O7088" i="1" s="1"/>
  <c r="I7089" i="1"/>
  <c r="J7089" i="1"/>
  <c r="K7089" i="1"/>
  <c r="O7089" i="1" a="1"/>
  <c r="O7089" i="1" s="1"/>
  <c r="I7090" i="1"/>
  <c r="J7090" i="1"/>
  <c r="K7090" i="1"/>
  <c r="O7090" i="1" a="1"/>
  <c r="O7090" i="1" s="1"/>
  <c r="I7091" i="1"/>
  <c r="J7091" i="1"/>
  <c r="K7091" i="1"/>
  <c r="O7091" i="1" a="1"/>
  <c r="O7091" i="1" s="1"/>
  <c r="I7092" i="1"/>
  <c r="J7092" i="1"/>
  <c r="K7092" i="1"/>
  <c r="O7092" i="1" a="1"/>
  <c r="O7092" i="1" s="1"/>
  <c r="I7093" i="1"/>
  <c r="J7093" i="1"/>
  <c r="K7093" i="1"/>
  <c r="O7093" i="1" a="1"/>
  <c r="O7093" i="1" s="1"/>
  <c r="I7094" i="1"/>
  <c r="J7094" i="1"/>
  <c r="K7094" i="1"/>
  <c r="O7094" i="1" a="1"/>
  <c r="O7094" i="1" s="1"/>
  <c r="I7095" i="1"/>
  <c r="J7095" i="1"/>
  <c r="K7095" i="1"/>
  <c r="O7095" i="1" a="1"/>
  <c r="O7095" i="1" s="1"/>
  <c r="I7096" i="1"/>
  <c r="J7096" i="1"/>
  <c r="K7096" i="1"/>
  <c r="O7096" i="1" a="1"/>
  <c r="O7096" i="1" s="1"/>
  <c r="I7097" i="1"/>
  <c r="J7097" i="1"/>
  <c r="K7097" i="1"/>
  <c r="O7097" i="1" a="1"/>
  <c r="O7097" i="1"/>
  <c r="I7098" i="1"/>
  <c r="J7098" i="1"/>
  <c r="K7098" i="1"/>
  <c r="O7098" i="1" a="1"/>
  <c r="O7098" i="1" s="1"/>
  <c r="I7099" i="1"/>
  <c r="J7099" i="1"/>
  <c r="K7099" i="1"/>
  <c r="O7099" i="1" a="1"/>
  <c r="O7099" i="1" s="1"/>
  <c r="I7100" i="1"/>
  <c r="J7100" i="1"/>
  <c r="K7100" i="1"/>
  <c r="O7100" i="1" a="1"/>
  <c r="O7100" i="1" s="1"/>
  <c r="I7101" i="1"/>
  <c r="J7101" i="1"/>
  <c r="K7101" i="1"/>
  <c r="O7101" i="1" a="1"/>
  <c r="O7101" i="1" s="1"/>
  <c r="I7102" i="1"/>
  <c r="J7102" i="1"/>
  <c r="K7102" i="1"/>
  <c r="O7102" i="1" a="1"/>
  <c r="O7102" i="1" s="1"/>
  <c r="I7103" i="1"/>
  <c r="J7103" i="1"/>
  <c r="K7103" i="1"/>
  <c r="O7103" i="1" a="1"/>
  <c r="O7103" i="1" s="1"/>
  <c r="I7104" i="1"/>
  <c r="J7104" i="1"/>
  <c r="K7104" i="1"/>
  <c r="O7104" i="1" a="1"/>
  <c r="O7104" i="1" s="1"/>
  <c r="I7105" i="1"/>
  <c r="J7105" i="1"/>
  <c r="K7105" i="1"/>
  <c r="O7105" i="1" a="1"/>
  <c r="O7105" i="1" s="1"/>
  <c r="I7106" i="1"/>
  <c r="J7106" i="1"/>
  <c r="K7106" i="1"/>
  <c r="O7106" i="1" a="1"/>
  <c r="O7106" i="1" s="1"/>
  <c r="I7107" i="1"/>
  <c r="J7107" i="1"/>
  <c r="K7107" i="1"/>
  <c r="O7107" i="1" a="1"/>
  <c r="O7107" i="1" s="1"/>
  <c r="I7108" i="1"/>
  <c r="J7108" i="1"/>
  <c r="K7108" i="1"/>
  <c r="O7108" i="1" a="1"/>
  <c r="O7108" i="1" s="1"/>
  <c r="I7109" i="1"/>
  <c r="J7109" i="1"/>
  <c r="K7109" i="1"/>
  <c r="O7109" i="1" a="1"/>
  <c r="O7109" i="1" s="1"/>
  <c r="I7110" i="1"/>
  <c r="J7110" i="1"/>
  <c r="K7110" i="1"/>
  <c r="O7110" i="1" a="1"/>
  <c r="O7110" i="1" s="1"/>
  <c r="I7111" i="1"/>
  <c r="J7111" i="1"/>
  <c r="K7111" i="1"/>
  <c r="O7111" i="1" a="1"/>
  <c r="O7111" i="1" s="1"/>
  <c r="I7112" i="1"/>
  <c r="J7112" i="1"/>
  <c r="K7112" i="1"/>
  <c r="O7112" i="1" a="1"/>
  <c r="O7112" i="1" s="1"/>
  <c r="I7113" i="1"/>
  <c r="J7113" i="1"/>
  <c r="K7113" i="1"/>
  <c r="O7113" i="1" a="1"/>
  <c r="O7113" i="1" s="1"/>
  <c r="I7114" i="1"/>
  <c r="J7114" i="1"/>
  <c r="K7114" i="1"/>
  <c r="O7114" i="1" a="1"/>
  <c r="O7114" i="1" s="1"/>
  <c r="I7115" i="1"/>
  <c r="J7115" i="1"/>
  <c r="K7115" i="1"/>
  <c r="O7115" i="1" a="1"/>
  <c r="O7115" i="1" s="1"/>
  <c r="I7116" i="1"/>
  <c r="J7116" i="1"/>
  <c r="K7116" i="1"/>
  <c r="O7116" i="1" a="1"/>
  <c r="O7116" i="1" s="1"/>
  <c r="I7117" i="1"/>
  <c r="J7117" i="1"/>
  <c r="K7117" i="1"/>
  <c r="O7117" i="1" a="1"/>
  <c r="O7117" i="1" s="1"/>
  <c r="I7118" i="1"/>
  <c r="J7118" i="1"/>
  <c r="K7118" i="1"/>
  <c r="O7118" i="1" a="1"/>
  <c r="O7118" i="1" s="1"/>
  <c r="I7119" i="1"/>
  <c r="J7119" i="1"/>
  <c r="K7119" i="1"/>
  <c r="O7119" i="1" a="1"/>
  <c r="O7119" i="1" s="1"/>
  <c r="I7120" i="1"/>
  <c r="J7120" i="1"/>
  <c r="K7120" i="1"/>
  <c r="O7120" i="1" a="1"/>
  <c r="O7120" i="1" s="1"/>
  <c r="I7121" i="1"/>
  <c r="J7121" i="1"/>
  <c r="K7121" i="1"/>
  <c r="O7121" i="1" a="1"/>
  <c r="O7121" i="1" s="1"/>
  <c r="I7122" i="1"/>
  <c r="J7122" i="1"/>
  <c r="K7122" i="1"/>
  <c r="O7122" i="1" a="1"/>
  <c r="O7122" i="1" s="1"/>
  <c r="I7123" i="1"/>
  <c r="J7123" i="1"/>
  <c r="K7123" i="1"/>
  <c r="O7123" i="1" a="1"/>
  <c r="O7123" i="1" s="1"/>
  <c r="I7124" i="1"/>
  <c r="J7124" i="1"/>
  <c r="K7124" i="1"/>
  <c r="O7124" i="1" a="1"/>
  <c r="O7124" i="1" s="1"/>
  <c r="I7125" i="1"/>
  <c r="J7125" i="1"/>
  <c r="K7125" i="1"/>
  <c r="O7125" i="1" a="1"/>
  <c r="O7125" i="1" s="1"/>
  <c r="I7126" i="1"/>
  <c r="J7126" i="1"/>
  <c r="K7126" i="1"/>
  <c r="O7126" i="1" a="1"/>
  <c r="O7126" i="1" s="1"/>
  <c r="I7127" i="1"/>
  <c r="J7127" i="1"/>
  <c r="K7127" i="1"/>
  <c r="O7127" i="1" a="1"/>
  <c r="O7127" i="1" s="1"/>
  <c r="I7128" i="1"/>
  <c r="J7128" i="1"/>
  <c r="K7128" i="1"/>
  <c r="O7128" i="1" a="1"/>
  <c r="O7128" i="1" s="1"/>
  <c r="I7129" i="1"/>
  <c r="J7129" i="1"/>
  <c r="K7129" i="1"/>
  <c r="O7129" i="1" a="1"/>
  <c r="O7129" i="1" s="1"/>
  <c r="I7130" i="1"/>
  <c r="J7130" i="1"/>
  <c r="K7130" i="1"/>
  <c r="O7130" i="1" a="1"/>
  <c r="O7130" i="1" s="1"/>
  <c r="I7131" i="1"/>
  <c r="J7131" i="1"/>
  <c r="K7131" i="1"/>
  <c r="O7131" i="1" a="1"/>
  <c r="O7131" i="1" s="1"/>
  <c r="I7132" i="1"/>
  <c r="J7132" i="1"/>
  <c r="K7132" i="1"/>
  <c r="O7132" i="1" a="1"/>
  <c r="O7132" i="1" s="1"/>
  <c r="I7133" i="1"/>
  <c r="J7133" i="1"/>
  <c r="K7133" i="1"/>
  <c r="O7133" i="1" a="1"/>
  <c r="O7133" i="1"/>
  <c r="I7134" i="1"/>
  <c r="J7134" i="1"/>
  <c r="K7134" i="1"/>
  <c r="O7134" i="1" a="1"/>
  <c r="O7134" i="1"/>
  <c r="I7135" i="1"/>
  <c r="J7135" i="1"/>
  <c r="K7135" i="1"/>
  <c r="O7135" i="1" a="1"/>
  <c r="O7135" i="1" s="1"/>
  <c r="I7136" i="1"/>
  <c r="J7136" i="1"/>
  <c r="K7136" i="1"/>
  <c r="O7136" i="1" a="1"/>
  <c r="O7136" i="1" s="1"/>
  <c r="I7137" i="1"/>
  <c r="J7137" i="1"/>
  <c r="K7137" i="1"/>
  <c r="O7137" i="1" a="1"/>
  <c r="O7137" i="1" s="1"/>
  <c r="I7138" i="1"/>
  <c r="J7138" i="1"/>
  <c r="K7138" i="1"/>
  <c r="O7138" i="1" a="1"/>
  <c r="O7138" i="1" s="1"/>
  <c r="I7139" i="1"/>
  <c r="J7139" i="1"/>
  <c r="K7139" i="1"/>
  <c r="O7139" i="1" a="1"/>
  <c r="O7139" i="1" s="1"/>
  <c r="I7140" i="1"/>
  <c r="J7140" i="1"/>
  <c r="K7140" i="1"/>
  <c r="O7140" i="1" a="1"/>
  <c r="O7140" i="1" s="1"/>
  <c r="I7141" i="1"/>
  <c r="J7141" i="1"/>
  <c r="K7141" i="1"/>
  <c r="O7141" i="1" a="1"/>
  <c r="O7141" i="1" s="1"/>
  <c r="I7142" i="1"/>
  <c r="J7142" i="1"/>
  <c r="K7142" i="1"/>
  <c r="O7142" i="1" a="1"/>
  <c r="O7142" i="1" s="1"/>
  <c r="I7143" i="1"/>
  <c r="J7143" i="1"/>
  <c r="K7143" i="1"/>
  <c r="O7143" i="1" a="1"/>
  <c r="O7143" i="1" s="1"/>
  <c r="I7144" i="1"/>
  <c r="J7144" i="1"/>
  <c r="K7144" i="1"/>
  <c r="O7144" i="1" a="1"/>
  <c r="O7144" i="1" s="1"/>
  <c r="I7145" i="1"/>
  <c r="J7145" i="1"/>
  <c r="K7145" i="1"/>
  <c r="O7145" i="1" a="1"/>
  <c r="O7145" i="1" s="1"/>
  <c r="I7146" i="1"/>
  <c r="J7146" i="1"/>
  <c r="K7146" i="1"/>
  <c r="O7146" i="1" a="1"/>
  <c r="O7146" i="1" s="1"/>
  <c r="I7147" i="1"/>
  <c r="J7147" i="1"/>
  <c r="K7147" i="1"/>
  <c r="O7147" i="1" a="1"/>
  <c r="O7147" i="1" s="1"/>
  <c r="I7148" i="1"/>
  <c r="J7148" i="1"/>
  <c r="K7148" i="1"/>
  <c r="O7148" i="1" a="1"/>
  <c r="O7148" i="1" s="1"/>
  <c r="I7149" i="1"/>
  <c r="J7149" i="1"/>
  <c r="K7149" i="1"/>
  <c r="O7149" i="1" a="1"/>
  <c r="O7149" i="1"/>
  <c r="I7150" i="1"/>
  <c r="J7150" i="1"/>
  <c r="K7150" i="1"/>
  <c r="O7150" i="1" a="1"/>
  <c r="O7150" i="1" s="1"/>
  <c r="I7151" i="1"/>
  <c r="J7151" i="1"/>
  <c r="K7151" i="1"/>
  <c r="O7151" i="1" a="1"/>
  <c r="O7151" i="1" s="1"/>
  <c r="I7152" i="1"/>
  <c r="J7152" i="1"/>
  <c r="K7152" i="1"/>
  <c r="O7152" i="1" a="1"/>
  <c r="O7152" i="1" s="1"/>
  <c r="I7153" i="1"/>
  <c r="J7153" i="1"/>
  <c r="K7153" i="1"/>
  <c r="O7153" i="1" a="1"/>
  <c r="O7153" i="1" s="1"/>
  <c r="I7154" i="1"/>
  <c r="J7154" i="1"/>
  <c r="K7154" i="1"/>
  <c r="O7154" i="1" a="1"/>
  <c r="O7154" i="1" s="1"/>
  <c r="I7155" i="1"/>
  <c r="J7155" i="1"/>
  <c r="K7155" i="1"/>
  <c r="O7155" i="1" a="1"/>
  <c r="O7155" i="1" s="1"/>
  <c r="I7156" i="1"/>
  <c r="J7156" i="1"/>
  <c r="K7156" i="1"/>
  <c r="O7156" i="1" a="1"/>
  <c r="O7156" i="1"/>
  <c r="I7157" i="1"/>
  <c r="J7157" i="1"/>
  <c r="K7157" i="1"/>
  <c r="O7157" i="1" a="1"/>
  <c r="O7157" i="1" s="1"/>
  <c r="I7158" i="1"/>
  <c r="J7158" i="1"/>
  <c r="K7158" i="1"/>
  <c r="O7158" i="1" a="1"/>
  <c r="O7158" i="1" s="1"/>
  <c r="I7159" i="1"/>
  <c r="J7159" i="1"/>
  <c r="K7159" i="1"/>
  <c r="O7159" i="1" a="1"/>
  <c r="O7159" i="1" s="1"/>
  <c r="I7160" i="1"/>
  <c r="J7160" i="1"/>
  <c r="K7160" i="1"/>
  <c r="O7160" i="1" a="1"/>
  <c r="O7160" i="1" s="1"/>
  <c r="I7161" i="1"/>
  <c r="J7161" i="1"/>
  <c r="K7161" i="1"/>
  <c r="O7161" i="1" a="1"/>
  <c r="O7161" i="1" s="1"/>
  <c r="I7162" i="1"/>
  <c r="J7162" i="1"/>
  <c r="K7162" i="1"/>
  <c r="O7162" i="1" a="1"/>
  <c r="O7162" i="1" s="1"/>
  <c r="I7163" i="1"/>
  <c r="J7163" i="1"/>
  <c r="K7163" i="1"/>
  <c r="O7163" i="1" a="1"/>
  <c r="O7163" i="1" s="1"/>
  <c r="I7164" i="1"/>
  <c r="J7164" i="1"/>
  <c r="K7164" i="1"/>
  <c r="O7164" i="1" a="1"/>
  <c r="O7164" i="1" s="1"/>
  <c r="I7165" i="1"/>
  <c r="J7165" i="1"/>
  <c r="K7165" i="1"/>
  <c r="O7165" i="1" a="1"/>
  <c r="O7165" i="1" s="1"/>
  <c r="I7166" i="1"/>
  <c r="J7166" i="1"/>
  <c r="K7166" i="1"/>
  <c r="O7166" i="1" a="1"/>
  <c r="O7166" i="1" s="1"/>
  <c r="I7167" i="1"/>
  <c r="J7167" i="1"/>
  <c r="K7167" i="1"/>
  <c r="O7167" i="1" a="1"/>
  <c r="O7167" i="1" s="1"/>
  <c r="I7168" i="1"/>
  <c r="J7168" i="1"/>
  <c r="K7168" i="1"/>
  <c r="O7168" i="1" a="1"/>
  <c r="O7168" i="1" s="1"/>
  <c r="I7169" i="1"/>
  <c r="J7169" i="1"/>
  <c r="K7169" i="1"/>
  <c r="O7169" i="1" a="1"/>
  <c r="O7169" i="1" s="1"/>
  <c r="I7170" i="1"/>
  <c r="J7170" i="1"/>
  <c r="K7170" i="1"/>
  <c r="O7170" i="1" a="1"/>
  <c r="O7170" i="1" s="1"/>
  <c r="I7171" i="1"/>
  <c r="J7171" i="1"/>
  <c r="K7171" i="1"/>
  <c r="O7171" i="1" a="1"/>
  <c r="O7171" i="1" s="1"/>
  <c r="I7172" i="1"/>
  <c r="J7172" i="1"/>
  <c r="K7172" i="1"/>
  <c r="O7172" i="1" a="1"/>
  <c r="O7172" i="1" s="1"/>
  <c r="I7173" i="1"/>
  <c r="J7173" i="1"/>
  <c r="K7173" i="1"/>
  <c r="O7173" i="1" a="1"/>
  <c r="O7173" i="1" s="1"/>
  <c r="I7174" i="1"/>
  <c r="J7174" i="1"/>
  <c r="K7174" i="1"/>
  <c r="O7174" i="1" a="1"/>
  <c r="O7174" i="1" s="1"/>
  <c r="I7175" i="1"/>
  <c r="J7175" i="1"/>
  <c r="K7175" i="1"/>
  <c r="O7175" i="1" a="1"/>
  <c r="O7175" i="1" s="1"/>
  <c r="I7176" i="1"/>
  <c r="J7176" i="1"/>
  <c r="K7176" i="1"/>
  <c r="O7176" i="1" a="1"/>
  <c r="O7176" i="1" s="1"/>
  <c r="I7177" i="1"/>
  <c r="J7177" i="1"/>
  <c r="K7177" i="1"/>
  <c r="O7177" i="1" a="1"/>
  <c r="O7177" i="1" s="1"/>
  <c r="I7178" i="1"/>
  <c r="J7178" i="1"/>
  <c r="K7178" i="1"/>
  <c r="O7178" i="1" a="1"/>
  <c r="O7178" i="1" s="1"/>
  <c r="I7179" i="1"/>
  <c r="J7179" i="1"/>
  <c r="K7179" i="1"/>
  <c r="O7179" i="1" a="1"/>
  <c r="O7179" i="1" s="1"/>
  <c r="I7180" i="1"/>
  <c r="J7180" i="1"/>
  <c r="K7180" i="1"/>
  <c r="O7180" i="1" a="1"/>
  <c r="O7180" i="1" s="1"/>
  <c r="I7181" i="1"/>
  <c r="J7181" i="1"/>
  <c r="K7181" i="1"/>
  <c r="O7181" i="1" a="1"/>
  <c r="O7181" i="1" s="1"/>
  <c r="I7182" i="1"/>
  <c r="J7182" i="1"/>
  <c r="K7182" i="1"/>
  <c r="O7182" i="1" a="1"/>
  <c r="O7182" i="1"/>
  <c r="I7183" i="1"/>
  <c r="J7183" i="1"/>
  <c r="K7183" i="1"/>
  <c r="O7183" i="1" a="1"/>
  <c r="O7183" i="1" s="1"/>
  <c r="I7184" i="1"/>
  <c r="J7184" i="1"/>
  <c r="K7184" i="1"/>
  <c r="O7184" i="1" a="1"/>
  <c r="O7184" i="1" s="1"/>
  <c r="I7185" i="1"/>
  <c r="J7185" i="1"/>
  <c r="K7185" i="1"/>
  <c r="O7185" i="1" a="1"/>
  <c r="O7185" i="1" s="1"/>
  <c r="I7186" i="1"/>
  <c r="J7186" i="1"/>
  <c r="K7186" i="1"/>
  <c r="O7186" i="1" a="1"/>
  <c r="O7186" i="1" s="1"/>
  <c r="I7187" i="1"/>
  <c r="J7187" i="1"/>
  <c r="K7187" i="1"/>
  <c r="O7187" i="1" a="1"/>
  <c r="O7187" i="1" s="1"/>
  <c r="I7188" i="1"/>
  <c r="J7188" i="1"/>
  <c r="K7188" i="1"/>
  <c r="O7188" i="1" a="1"/>
  <c r="O7188" i="1" s="1"/>
  <c r="I7189" i="1"/>
  <c r="J7189" i="1"/>
  <c r="K7189" i="1"/>
  <c r="O7189" i="1" a="1"/>
  <c r="O7189" i="1" s="1"/>
  <c r="I7190" i="1"/>
  <c r="J7190" i="1"/>
  <c r="K7190" i="1"/>
  <c r="O7190" i="1" a="1"/>
  <c r="O7190" i="1" s="1"/>
  <c r="I7191" i="1"/>
  <c r="J7191" i="1"/>
  <c r="K7191" i="1"/>
  <c r="O7191" i="1" a="1"/>
  <c r="O7191" i="1"/>
  <c r="I7192" i="1"/>
  <c r="J7192" i="1"/>
  <c r="K7192" i="1"/>
  <c r="O7192" i="1" a="1"/>
  <c r="O7192" i="1" s="1"/>
  <c r="I7193" i="1"/>
  <c r="J7193" i="1"/>
  <c r="K7193" i="1"/>
  <c r="O7193" i="1" a="1"/>
  <c r="O7193" i="1" s="1"/>
  <c r="I7194" i="1"/>
  <c r="J7194" i="1"/>
  <c r="K7194" i="1"/>
  <c r="O7194" i="1" a="1"/>
  <c r="O7194" i="1" s="1"/>
  <c r="I7195" i="1"/>
  <c r="J7195" i="1"/>
  <c r="K7195" i="1"/>
  <c r="O7195" i="1" a="1"/>
  <c r="O7195" i="1" s="1"/>
  <c r="I7196" i="1"/>
  <c r="J7196" i="1"/>
  <c r="K7196" i="1"/>
  <c r="O7196" i="1" a="1"/>
  <c r="O7196" i="1" s="1"/>
  <c r="I7197" i="1"/>
  <c r="J7197" i="1"/>
  <c r="K7197" i="1"/>
  <c r="O7197" i="1" a="1"/>
  <c r="O7197" i="1"/>
  <c r="I7198" i="1"/>
  <c r="J7198" i="1"/>
  <c r="K7198" i="1"/>
  <c r="O7198" i="1" a="1"/>
  <c r="O7198" i="1" s="1"/>
  <c r="I7199" i="1"/>
  <c r="J7199" i="1"/>
  <c r="K7199" i="1"/>
  <c r="O7199" i="1" a="1"/>
  <c r="O7199" i="1" s="1"/>
  <c r="I7200" i="1"/>
  <c r="J7200" i="1"/>
  <c r="K7200" i="1"/>
  <c r="O7200" i="1" a="1"/>
  <c r="O7200" i="1" s="1"/>
  <c r="I7201" i="1"/>
  <c r="J7201" i="1"/>
  <c r="K7201" i="1"/>
  <c r="O7201" i="1" a="1"/>
  <c r="O7201" i="1" s="1"/>
  <c r="I7202" i="1"/>
  <c r="J7202" i="1"/>
  <c r="K7202" i="1"/>
  <c r="O7202" i="1" a="1"/>
  <c r="O7202" i="1" s="1"/>
  <c r="I7203" i="1"/>
  <c r="J7203" i="1"/>
  <c r="K7203" i="1"/>
  <c r="O7203" i="1" a="1"/>
  <c r="O7203" i="1" s="1"/>
  <c r="I7204" i="1"/>
  <c r="J7204" i="1"/>
  <c r="K7204" i="1"/>
  <c r="O7204" i="1" a="1"/>
  <c r="O7204" i="1" s="1"/>
  <c r="I7205" i="1"/>
  <c r="J7205" i="1"/>
  <c r="K7205" i="1"/>
  <c r="O7205" i="1" a="1"/>
  <c r="O7205" i="1" s="1"/>
  <c r="I7206" i="1"/>
  <c r="J7206" i="1"/>
  <c r="K7206" i="1"/>
  <c r="O7206" i="1" a="1"/>
  <c r="O7206" i="1" s="1"/>
  <c r="I7207" i="1"/>
  <c r="J7207" i="1"/>
  <c r="K7207" i="1"/>
  <c r="O7207" i="1" a="1"/>
  <c r="O7207" i="1" s="1"/>
  <c r="I7208" i="1"/>
  <c r="J7208" i="1"/>
  <c r="K7208" i="1"/>
  <c r="O7208" i="1" a="1"/>
  <c r="O7208" i="1"/>
  <c r="I7209" i="1"/>
  <c r="J7209" i="1"/>
  <c r="K7209" i="1"/>
  <c r="O7209" i="1" a="1"/>
  <c r="O7209" i="1" s="1"/>
  <c r="I7210" i="1"/>
  <c r="J7210" i="1"/>
  <c r="K7210" i="1"/>
  <c r="O7210" i="1" a="1"/>
  <c r="O7210" i="1" s="1"/>
  <c r="I7211" i="1"/>
  <c r="J7211" i="1"/>
  <c r="K7211" i="1"/>
  <c r="O7211" i="1" a="1"/>
  <c r="O7211" i="1" s="1"/>
  <c r="I7212" i="1"/>
  <c r="J7212" i="1"/>
  <c r="K7212" i="1"/>
  <c r="O7212" i="1" a="1"/>
  <c r="O7212" i="1"/>
  <c r="I7213" i="1"/>
  <c r="J7213" i="1"/>
  <c r="K7213" i="1"/>
  <c r="O7213" i="1" a="1"/>
  <c r="O7213" i="1" s="1"/>
  <c r="I7214" i="1"/>
  <c r="J7214" i="1"/>
  <c r="K7214" i="1"/>
  <c r="O7214" i="1" a="1"/>
  <c r="O7214" i="1" s="1"/>
  <c r="I7215" i="1"/>
  <c r="J7215" i="1"/>
  <c r="K7215" i="1"/>
  <c r="O7215" i="1" a="1"/>
  <c r="O7215" i="1" s="1"/>
  <c r="I7216" i="1"/>
  <c r="J7216" i="1"/>
  <c r="K7216" i="1"/>
  <c r="O7216" i="1" a="1"/>
  <c r="O7216" i="1" s="1"/>
  <c r="I7217" i="1"/>
  <c r="J7217" i="1"/>
  <c r="K7217" i="1"/>
  <c r="O7217" i="1" a="1"/>
  <c r="O7217" i="1" s="1"/>
  <c r="I7218" i="1"/>
  <c r="J7218" i="1"/>
  <c r="K7218" i="1"/>
  <c r="O7218" i="1" a="1"/>
  <c r="O7218" i="1" s="1"/>
  <c r="I7219" i="1"/>
  <c r="J7219" i="1"/>
  <c r="K7219" i="1"/>
  <c r="O7219" i="1" a="1"/>
  <c r="O7219" i="1" s="1"/>
  <c r="I7220" i="1"/>
  <c r="J7220" i="1"/>
  <c r="K7220" i="1"/>
  <c r="O7220" i="1" a="1"/>
  <c r="O7220" i="1"/>
  <c r="I7221" i="1"/>
  <c r="J7221" i="1"/>
  <c r="K7221" i="1"/>
  <c r="O7221" i="1" a="1"/>
  <c r="O7221" i="1" s="1"/>
  <c r="I7222" i="1"/>
  <c r="J7222" i="1"/>
  <c r="K7222" i="1"/>
  <c r="O7222" i="1" a="1"/>
  <c r="O7222" i="1" s="1"/>
  <c r="I7223" i="1"/>
  <c r="J7223" i="1"/>
  <c r="K7223" i="1"/>
  <c r="O7223" i="1" a="1"/>
  <c r="O7223" i="1" s="1"/>
  <c r="I7224" i="1"/>
  <c r="J7224" i="1"/>
  <c r="K7224" i="1"/>
  <c r="O7224" i="1" a="1"/>
  <c r="O7224" i="1" s="1"/>
  <c r="I7225" i="1"/>
  <c r="J7225" i="1"/>
  <c r="K7225" i="1"/>
  <c r="O7225" i="1" a="1"/>
  <c r="O7225" i="1" s="1"/>
  <c r="I7226" i="1"/>
  <c r="J7226" i="1"/>
  <c r="K7226" i="1"/>
  <c r="O7226" i="1" a="1"/>
  <c r="O7226" i="1" s="1"/>
  <c r="I7227" i="1"/>
  <c r="J7227" i="1"/>
  <c r="K7227" i="1"/>
  <c r="O7227" i="1" a="1"/>
  <c r="O7227" i="1" s="1"/>
  <c r="I7228" i="1"/>
  <c r="J7228" i="1"/>
  <c r="K7228" i="1"/>
  <c r="O7228" i="1" a="1"/>
  <c r="O7228" i="1" s="1"/>
  <c r="I7229" i="1"/>
  <c r="J7229" i="1"/>
  <c r="K7229" i="1"/>
  <c r="O7229" i="1" a="1"/>
  <c r="O7229" i="1" s="1"/>
  <c r="I7230" i="1"/>
  <c r="J7230" i="1"/>
  <c r="K7230" i="1"/>
  <c r="O7230" i="1" a="1"/>
  <c r="O7230" i="1" s="1"/>
  <c r="I7231" i="1"/>
  <c r="J7231" i="1"/>
  <c r="K7231" i="1"/>
  <c r="O7231" i="1" a="1"/>
  <c r="O7231" i="1" s="1"/>
  <c r="I7232" i="1"/>
  <c r="J7232" i="1"/>
  <c r="K7232" i="1"/>
  <c r="O7232" i="1" a="1"/>
  <c r="O7232" i="1" s="1"/>
  <c r="I7233" i="1"/>
  <c r="J7233" i="1"/>
  <c r="K7233" i="1"/>
  <c r="O7233" i="1" a="1"/>
  <c r="O7233" i="1" s="1"/>
  <c r="I7234" i="1"/>
  <c r="J7234" i="1"/>
  <c r="K7234" i="1"/>
  <c r="O7234" i="1" a="1"/>
  <c r="O7234" i="1" s="1"/>
  <c r="I7235" i="1"/>
  <c r="J7235" i="1"/>
  <c r="K7235" i="1"/>
  <c r="O7235" i="1" a="1"/>
  <c r="O7235" i="1" s="1"/>
  <c r="I7236" i="1"/>
  <c r="J7236" i="1"/>
  <c r="K7236" i="1"/>
  <c r="O7236" i="1" a="1"/>
  <c r="O7236" i="1" s="1"/>
  <c r="I7237" i="1"/>
  <c r="J7237" i="1"/>
  <c r="K7237" i="1"/>
  <c r="O7237" i="1" a="1"/>
  <c r="O7237" i="1" s="1"/>
  <c r="I7238" i="1"/>
  <c r="J7238" i="1"/>
  <c r="K7238" i="1"/>
  <c r="O7238" i="1" a="1"/>
  <c r="O7238" i="1" s="1"/>
  <c r="I7239" i="1"/>
  <c r="J7239" i="1"/>
  <c r="K7239" i="1"/>
  <c r="O7239" i="1" a="1"/>
  <c r="O7239" i="1" s="1"/>
  <c r="I7240" i="1"/>
  <c r="J7240" i="1"/>
  <c r="K7240" i="1"/>
  <c r="O7240" i="1" a="1"/>
  <c r="O7240" i="1" s="1"/>
  <c r="I7241" i="1"/>
  <c r="J7241" i="1"/>
  <c r="K7241" i="1"/>
  <c r="O7241" i="1" a="1"/>
  <c r="O7241" i="1" s="1"/>
  <c r="I7242" i="1"/>
  <c r="J7242" i="1"/>
  <c r="K7242" i="1"/>
  <c r="O7242" i="1" a="1"/>
  <c r="O7242" i="1" s="1"/>
  <c r="I7243" i="1"/>
  <c r="J7243" i="1"/>
  <c r="K7243" i="1"/>
  <c r="O7243" i="1" a="1"/>
  <c r="O7243" i="1" s="1"/>
  <c r="I7244" i="1"/>
  <c r="J7244" i="1"/>
  <c r="K7244" i="1"/>
  <c r="O7244" i="1" a="1"/>
  <c r="O7244" i="1" s="1"/>
  <c r="I7245" i="1"/>
  <c r="J7245" i="1"/>
  <c r="K7245" i="1"/>
  <c r="O7245" i="1" a="1"/>
  <c r="O7245" i="1" s="1"/>
  <c r="I7246" i="1"/>
  <c r="J7246" i="1"/>
  <c r="K7246" i="1"/>
  <c r="O7246" i="1" a="1"/>
  <c r="O7246" i="1" s="1"/>
  <c r="I7247" i="1"/>
  <c r="J7247" i="1"/>
  <c r="K7247" i="1"/>
  <c r="O7247" i="1" a="1"/>
  <c r="O7247" i="1" s="1"/>
  <c r="I7248" i="1"/>
  <c r="J7248" i="1"/>
  <c r="K7248" i="1"/>
  <c r="O7248" i="1" a="1"/>
  <c r="O7248" i="1" s="1"/>
  <c r="I7249" i="1"/>
  <c r="J7249" i="1"/>
  <c r="K7249" i="1"/>
  <c r="O7249" i="1" a="1"/>
  <c r="O7249" i="1" s="1"/>
  <c r="I7250" i="1"/>
  <c r="J7250" i="1"/>
  <c r="K7250" i="1"/>
  <c r="O7250" i="1" a="1"/>
  <c r="O7250" i="1" s="1"/>
  <c r="I7251" i="1"/>
  <c r="J7251" i="1"/>
  <c r="K7251" i="1"/>
  <c r="O7251" i="1" a="1"/>
  <c r="O7251" i="1" s="1"/>
  <c r="I7252" i="1"/>
  <c r="J7252" i="1"/>
  <c r="K7252" i="1"/>
  <c r="O7252" i="1" a="1"/>
  <c r="O7252" i="1" s="1"/>
  <c r="I7253" i="1"/>
  <c r="J7253" i="1"/>
  <c r="K7253" i="1"/>
  <c r="O7253" i="1" a="1"/>
  <c r="O7253" i="1" s="1"/>
  <c r="I7254" i="1"/>
  <c r="J7254" i="1"/>
  <c r="K7254" i="1"/>
  <c r="O7254" i="1" a="1"/>
  <c r="O7254" i="1" s="1"/>
  <c r="I7255" i="1"/>
  <c r="J7255" i="1"/>
  <c r="K7255" i="1"/>
  <c r="O7255" i="1" a="1"/>
  <c r="O7255" i="1" s="1"/>
  <c r="I7256" i="1"/>
  <c r="J7256" i="1"/>
  <c r="K7256" i="1"/>
  <c r="O7256" i="1" a="1"/>
  <c r="O7256" i="1" s="1"/>
  <c r="I7257" i="1"/>
  <c r="J7257" i="1"/>
  <c r="K7257" i="1"/>
  <c r="O7257" i="1" a="1"/>
  <c r="O7257" i="1" s="1"/>
  <c r="I7258" i="1"/>
  <c r="J7258" i="1"/>
  <c r="K7258" i="1"/>
  <c r="O7258" i="1" a="1"/>
  <c r="O7258" i="1" s="1"/>
  <c r="I7259" i="1"/>
  <c r="J7259" i="1"/>
  <c r="K7259" i="1"/>
  <c r="O7259" i="1" a="1"/>
  <c r="O7259" i="1" s="1"/>
  <c r="I7260" i="1"/>
  <c r="J7260" i="1"/>
  <c r="K7260" i="1"/>
  <c r="O7260" i="1" a="1"/>
  <c r="O7260" i="1"/>
  <c r="I7261" i="1"/>
  <c r="J7261" i="1"/>
  <c r="K7261" i="1"/>
  <c r="O7261" i="1" a="1"/>
  <c r="O7261" i="1" s="1"/>
  <c r="I7262" i="1"/>
  <c r="J7262" i="1"/>
  <c r="K7262" i="1"/>
  <c r="O7262" i="1" a="1"/>
  <c r="O7262" i="1" s="1"/>
  <c r="I7263" i="1"/>
  <c r="J7263" i="1"/>
  <c r="K7263" i="1"/>
  <c r="O7263" i="1" a="1"/>
  <c r="O7263" i="1" s="1"/>
  <c r="I7264" i="1"/>
  <c r="J7264" i="1"/>
  <c r="K7264" i="1"/>
  <c r="O7264" i="1" a="1"/>
  <c r="O7264" i="1" s="1"/>
  <c r="I7265" i="1"/>
  <c r="J7265" i="1"/>
  <c r="K7265" i="1"/>
  <c r="O7265" i="1" a="1"/>
  <c r="O7265" i="1" s="1"/>
  <c r="I7266" i="1"/>
  <c r="J7266" i="1"/>
  <c r="K7266" i="1"/>
  <c r="O7266" i="1" a="1"/>
  <c r="O7266" i="1"/>
  <c r="I7267" i="1"/>
  <c r="J7267" i="1"/>
  <c r="K7267" i="1"/>
  <c r="O7267" i="1" a="1"/>
  <c r="O7267" i="1" s="1"/>
  <c r="I7268" i="1"/>
  <c r="J7268" i="1"/>
  <c r="K7268" i="1"/>
  <c r="O7268" i="1" a="1"/>
  <c r="O7268" i="1" s="1"/>
  <c r="I7269" i="1"/>
  <c r="J7269" i="1"/>
  <c r="K7269" i="1"/>
  <c r="O7269" i="1" a="1"/>
  <c r="O7269" i="1" s="1"/>
  <c r="I7270" i="1"/>
  <c r="J7270" i="1"/>
  <c r="K7270" i="1"/>
  <c r="O7270" i="1" a="1"/>
  <c r="O7270" i="1" s="1"/>
  <c r="I7271" i="1"/>
  <c r="J7271" i="1"/>
  <c r="K7271" i="1"/>
  <c r="O7271" i="1" a="1"/>
  <c r="O7271" i="1" s="1"/>
  <c r="I7272" i="1"/>
  <c r="J7272" i="1"/>
  <c r="K7272" i="1"/>
  <c r="O7272" i="1" a="1"/>
  <c r="O7272" i="1" s="1"/>
  <c r="I7273" i="1"/>
  <c r="J7273" i="1"/>
  <c r="K7273" i="1"/>
  <c r="O7273" i="1" a="1"/>
  <c r="O7273" i="1" s="1"/>
  <c r="I7274" i="1"/>
  <c r="J7274" i="1"/>
  <c r="K7274" i="1"/>
  <c r="O7274" i="1" a="1"/>
  <c r="O7274" i="1" s="1"/>
  <c r="I7275" i="1"/>
  <c r="J7275" i="1"/>
  <c r="K7275" i="1"/>
  <c r="O7275" i="1" a="1"/>
  <c r="O7275" i="1" s="1"/>
  <c r="I7276" i="1"/>
  <c r="J7276" i="1"/>
  <c r="K7276" i="1"/>
  <c r="O7276" i="1" a="1"/>
  <c r="O7276" i="1"/>
  <c r="I7277" i="1"/>
  <c r="J7277" i="1"/>
  <c r="K7277" i="1"/>
  <c r="O7277" i="1" a="1"/>
  <c r="O7277" i="1" s="1"/>
  <c r="I7278" i="1"/>
  <c r="J7278" i="1"/>
  <c r="K7278" i="1"/>
  <c r="O7278" i="1" a="1"/>
  <c r="O7278" i="1" s="1"/>
  <c r="I7279" i="1"/>
  <c r="J7279" i="1"/>
  <c r="K7279" i="1"/>
  <c r="O7279" i="1" a="1"/>
  <c r="O7279" i="1" s="1"/>
  <c r="I7280" i="1"/>
  <c r="J7280" i="1"/>
  <c r="K7280" i="1"/>
  <c r="O7280" i="1" a="1"/>
  <c r="O7280" i="1" s="1"/>
  <c r="I7281" i="1"/>
  <c r="J7281" i="1"/>
  <c r="K7281" i="1"/>
  <c r="O7281" i="1" a="1"/>
  <c r="O7281" i="1" s="1"/>
  <c r="I7282" i="1"/>
  <c r="J7282" i="1"/>
  <c r="K7282" i="1"/>
  <c r="O7282" i="1" a="1"/>
  <c r="O7282" i="1" s="1"/>
  <c r="I7283" i="1"/>
  <c r="J7283" i="1"/>
  <c r="K7283" i="1"/>
  <c r="O7283" i="1" a="1"/>
  <c r="O7283" i="1" s="1"/>
  <c r="I7284" i="1"/>
  <c r="J7284" i="1"/>
  <c r="K7284" i="1"/>
  <c r="O7284" i="1" a="1"/>
  <c r="O7284" i="1" s="1"/>
  <c r="I7285" i="1"/>
  <c r="J7285" i="1"/>
  <c r="K7285" i="1"/>
  <c r="O7285" i="1" a="1"/>
  <c r="O7285" i="1" s="1"/>
  <c r="I7286" i="1"/>
  <c r="J7286" i="1"/>
  <c r="K7286" i="1"/>
  <c r="O7286" i="1" a="1"/>
  <c r="O7286" i="1"/>
  <c r="I7287" i="1"/>
  <c r="J7287" i="1"/>
  <c r="K7287" i="1"/>
  <c r="O7287" i="1" a="1"/>
  <c r="O7287" i="1"/>
  <c r="I7288" i="1"/>
  <c r="J7288" i="1"/>
  <c r="K7288" i="1"/>
  <c r="O7288" i="1" a="1"/>
  <c r="O7288" i="1" s="1"/>
  <c r="I7289" i="1"/>
  <c r="J7289" i="1"/>
  <c r="K7289" i="1"/>
  <c r="O7289" i="1" a="1"/>
  <c r="O7289" i="1" s="1"/>
  <c r="I7290" i="1"/>
  <c r="J7290" i="1"/>
  <c r="K7290" i="1"/>
  <c r="O7290" i="1" a="1"/>
  <c r="O7290" i="1" s="1"/>
  <c r="I7291" i="1"/>
  <c r="J7291" i="1"/>
  <c r="K7291" i="1"/>
  <c r="O7291" i="1" a="1"/>
  <c r="O7291" i="1" s="1"/>
  <c r="I7292" i="1"/>
  <c r="J7292" i="1"/>
  <c r="K7292" i="1"/>
  <c r="O7292" i="1" a="1"/>
  <c r="O7292" i="1" s="1"/>
  <c r="I7293" i="1"/>
  <c r="J7293" i="1"/>
  <c r="K7293" i="1"/>
  <c r="O7293" i="1" a="1"/>
  <c r="O7293" i="1" s="1"/>
  <c r="I7294" i="1"/>
  <c r="J7294" i="1"/>
  <c r="K7294" i="1"/>
  <c r="O7294" i="1" a="1"/>
  <c r="O7294" i="1" s="1"/>
  <c r="I7295" i="1"/>
  <c r="J7295" i="1"/>
  <c r="K7295" i="1"/>
  <c r="O7295" i="1" a="1"/>
  <c r="O7295" i="1" s="1"/>
  <c r="I7296" i="1"/>
  <c r="J7296" i="1"/>
  <c r="K7296" i="1"/>
  <c r="O7296" i="1" a="1"/>
  <c r="O7296" i="1"/>
  <c r="I7297" i="1"/>
  <c r="J7297" i="1"/>
  <c r="K7297" i="1"/>
  <c r="O7297" i="1" a="1"/>
  <c r="O7297" i="1"/>
  <c r="I7298" i="1"/>
  <c r="J7298" i="1"/>
  <c r="K7298" i="1"/>
  <c r="O7298" i="1" a="1"/>
  <c r="O7298" i="1" s="1"/>
  <c r="I7299" i="1"/>
  <c r="J7299" i="1"/>
  <c r="K7299" i="1"/>
  <c r="O7299" i="1" a="1"/>
  <c r="O7299" i="1" s="1"/>
  <c r="I7300" i="1"/>
  <c r="J7300" i="1"/>
  <c r="K7300" i="1"/>
  <c r="O7300" i="1" a="1"/>
  <c r="O7300" i="1" s="1"/>
  <c r="I7301" i="1"/>
  <c r="J7301" i="1"/>
  <c r="K7301" i="1"/>
  <c r="O7301" i="1" a="1"/>
  <c r="O7301" i="1" s="1"/>
  <c r="I7302" i="1"/>
  <c r="J7302" i="1"/>
  <c r="K7302" i="1"/>
  <c r="O7302" i="1" a="1"/>
  <c r="O7302" i="1" s="1"/>
  <c r="I7303" i="1"/>
  <c r="J7303" i="1"/>
  <c r="K7303" i="1"/>
  <c r="O7303" i="1" a="1"/>
  <c r="O7303" i="1" s="1"/>
  <c r="I7304" i="1"/>
  <c r="J7304" i="1"/>
  <c r="K7304" i="1"/>
  <c r="O7304" i="1" a="1"/>
  <c r="O7304" i="1"/>
  <c r="I7305" i="1"/>
  <c r="J7305" i="1"/>
  <c r="K7305" i="1"/>
  <c r="O7305" i="1" a="1"/>
  <c r="O7305" i="1" s="1"/>
  <c r="I7306" i="1"/>
  <c r="J7306" i="1"/>
  <c r="K7306" i="1"/>
  <c r="O7306" i="1" a="1"/>
  <c r="O7306" i="1" s="1"/>
  <c r="I7307" i="1"/>
  <c r="J7307" i="1"/>
  <c r="K7307" i="1"/>
  <c r="O7307" i="1" a="1"/>
  <c r="O7307" i="1" s="1"/>
  <c r="I7308" i="1"/>
  <c r="J7308" i="1"/>
  <c r="K7308" i="1"/>
  <c r="O7308" i="1" a="1"/>
  <c r="O7308" i="1" s="1"/>
  <c r="I7309" i="1"/>
  <c r="J7309" i="1"/>
  <c r="K7309" i="1"/>
  <c r="O7309" i="1" a="1"/>
  <c r="O7309" i="1" s="1"/>
  <c r="I7310" i="1"/>
  <c r="J7310" i="1"/>
  <c r="K7310" i="1"/>
  <c r="O7310" i="1" a="1"/>
  <c r="O7310" i="1" s="1"/>
  <c r="I7311" i="1"/>
  <c r="J7311" i="1"/>
  <c r="K7311" i="1"/>
  <c r="O7311" i="1" a="1"/>
  <c r="O7311" i="1" s="1"/>
  <c r="I7312" i="1"/>
  <c r="J7312" i="1"/>
  <c r="K7312" i="1"/>
  <c r="O7312" i="1" a="1"/>
  <c r="O7312" i="1" s="1"/>
  <c r="I7313" i="1"/>
  <c r="J7313" i="1"/>
  <c r="K7313" i="1"/>
  <c r="O7313" i="1" a="1"/>
  <c r="O7313" i="1" s="1"/>
  <c r="I7314" i="1"/>
  <c r="J7314" i="1"/>
  <c r="K7314" i="1"/>
  <c r="O7314" i="1" a="1"/>
  <c r="O7314" i="1" s="1"/>
  <c r="I7315" i="1"/>
  <c r="J7315" i="1"/>
  <c r="K7315" i="1"/>
  <c r="O7315" i="1" a="1"/>
  <c r="O7315" i="1" s="1"/>
  <c r="I7316" i="1"/>
  <c r="J7316" i="1"/>
  <c r="K7316" i="1"/>
  <c r="O7316" i="1" a="1"/>
  <c r="O7316" i="1"/>
  <c r="I7317" i="1"/>
  <c r="J7317" i="1"/>
  <c r="K7317" i="1"/>
  <c r="O7317" i="1" a="1"/>
  <c r="O7317" i="1" s="1"/>
  <c r="I7318" i="1"/>
  <c r="J7318" i="1"/>
  <c r="K7318" i="1"/>
  <c r="O7318" i="1" a="1"/>
  <c r="O7318" i="1" s="1"/>
  <c r="I7319" i="1"/>
  <c r="J7319" i="1"/>
  <c r="K7319" i="1"/>
  <c r="O7319" i="1" a="1"/>
  <c r="O7319" i="1" s="1"/>
  <c r="I7320" i="1"/>
  <c r="J7320" i="1"/>
  <c r="K7320" i="1"/>
  <c r="O7320" i="1" a="1"/>
  <c r="O7320" i="1" s="1"/>
  <c r="I7321" i="1"/>
  <c r="J7321" i="1"/>
  <c r="K7321" i="1"/>
  <c r="O7321" i="1" a="1"/>
  <c r="O7321" i="1" s="1"/>
  <c r="I7322" i="1"/>
  <c r="J7322" i="1"/>
  <c r="K7322" i="1"/>
  <c r="O7322" i="1" a="1"/>
  <c r="O7322" i="1" s="1"/>
  <c r="I7323" i="1"/>
  <c r="J7323" i="1"/>
  <c r="K7323" i="1"/>
  <c r="O7323" i="1" a="1"/>
  <c r="O7323" i="1" s="1"/>
  <c r="I7324" i="1"/>
  <c r="J7324" i="1"/>
  <c r="K7324" i="1"/>
  <c r="O7324" i="1" a="1"/>
  <c r="O7324" i="1" s="1"/>
  <c r="I7325" i="1"/>
  <c r="J7325" i="1"/>
  <c r="K7325" i="1"/>
  <c r="O7325" i="1" a="1"/>
  <c r="O7325" i="1" s="1"/>
  <c r="I7326" i="1"/>
  <c r="J7326" i="1"/>
  <c r="K7326" i="1"/>
  <c r="O7326" i="1" a="1"/>
  <c r="O7326" i="1" s="1"/>
  <c r="I7327" i="1"/>
  <c r="J7327" i="1"/>
  <c r="K7327" i="1"/>
  <c r="O7327" i="1" a="1"/>
  <c r="O7327" i="1" s="1"/>
  <c r="I7328" i="1"/>
  <c r="J7328" i="1"/>
  <c r="K7328" i="1"/>
  <c r="O7328" i="1" a="1"/>
  <c r="O7328" i="1" s="1"/>
  <c r="I7329" i="1"/>
  <c r="J7329" i="1"/>
  <c r="K7329" i="1"/>
  <c r="O7329" i="1" a="1"/>
  <c r="O7329" i="1"/>
  <c r="I7330" i="1"/>
  <c r="J7330" i="1"/>
  <c r="K7330" i="1"/>
  <c r="O7330" i="1" a="1"/>
  <c r="O7330" i="1" s="1"/>
  <c r="I7331" i="1"/>
  <c r="J7331" i="1"/>
  <c r="K7331" i="1"/>
  <c r="O7331" i="1" a="1"/>
  <c r="O7331" i="1" s="1"/>
  <c r="I7332" i="1"/>
  <c r="J7332" i="1"/>
  <c r="K7332" i="1"/>
  <c r="O7332" i="1" a="1"/>
  <c r="O7332" i="1" s="1"/>
  <c r="I7333" i="1"/>
  <c r="J7333" i="1"/>
  <c r="K7333" i="1"/>
  <c r="O7333" i="1" a="1"/>
  <c r="O7333" i="1" s="1"/>
  <c r="I7334" i="1"/>
  <c r="J7334" i="1"/>
  <c r="K7334" i="1"/>
  <c r="O7334" i="1" a="1"/>
  <c r="O7334" i="1" s="1"/>
  <c r="I7335" i="1"/>
  <c r="J7335" i="1"/>
  <c r="K7335" i="1"/>
  <c r="O7335" i="1" a="1"/>
  <c r="O7335" i="1" s="1"/>
  <c r="I7336" i="1"/>
  <c r="J7336" i="1"/>
  <c r="K7336" i="1"/>
  <c r="O7336" i="1" a="1"/>
  <c r="O7336" i="1" s="1"/>
  <c r="I7337" i="1"/>
  <c r="J7337" i="1"/>
  <c r="K7337" i="1"/>
  <c r="O7337" i="1" a="1"/>
  <c r="O7337" i="1" s="1"/>
  <c r="I7338" i="1"/>
  <c r="J7338" i="1"/>
  <c r="K7338" i="1"/>
  <c r="O7338" i="1" a="1"/>
  <c r="O7338" i="1" s="1"/>
  <c r="I7339" i="1"/>
  <c r="J7339" i="1"/>
  <c r="K7339" i="1"/>
  <c r="O7339" i="1" a="1"/>
  <c r="O7339" i="1" s="1"/>
  <c r="I7340" i="1"/>
  <c r="J7340" i="1"/>
  <c r="K7340" i="1"/>
  <c r="O7340" i="1" a="1"/>
  <c r="O7340" i="1" s="1"/>
  <c r="I7341" i="1"/>
  <c r="J7341" i="1"/>
  <c r="K7341" i="1"/>
  <c r="O7341" i="1" a="1"/>
  <c r="O7341" i="1" s="1"/>
  <c r="I7342" i="1"/>
  <c r="J7342" i="1"/>
  <c r="K7342" i="1"/>
  <c r="O7342" i="1" a="1"/>
  <c r="O7342" i="1"/>
  <c r="I7343" i="1"/>
  <c r="J7343" i="1"/>
  <c r="K7343" i="1"/>
  <c r="O7343" i="1" a="1"/>
  <c r="O7343" i="1" s="1"/>
  <c r="I7344" i="1"/>
  <c r="J7344" i="1"/>
  <c r="K7344" i="1"/>
  <c r="O7344" i="1" a="1"/>
  <c r="O7344" i="1" s="1"/>
  <c r="I7345" i="1"/>
  <c r="J7345" i="1"/>
  <c r="K7345" i="1"/>
  <c r="O7345" i="1" a="1"/>
  <c r="O7345" i="1" s="1"/>
  <c r="I7346" i="1"/>
  <c r="J7346" i="1"/>
  <c r="K7346" i="1"/>
  <c r="O7346" i="1" a="1"/>
  <c r="O7346" i="1" s="1"/>
  <c r="I7347" i="1"/>
  <c r="J7347" i="1"/>
  <c r="K7347" i="1"/>
  <c r="O7347" i="1" a="1"/>
  <c r="O7347" i="1" s="1"/>
  <c r="I7348" i="1"/>
  <c r="J7348" i="1"/>
  <c r="K7348" i="1"/>
  <c r="O7348" i="1" a="1"/>
  <c r="O7348" i="1" s="1"/>
  <c r="I7349" i="1"/>
  <c r="J7349" i="1"/>
  <c r="K7349" i="1"/>
  <c r="O7349" i="1" a="1"/>
  <c r="O7349" i="1" s="1"/>
  <c r="I7350" i="1"/>
  <c r="J7350" i="1"/>
  <c r="K7350" i="1"/>
  <c r="O7350" i="1" a="1"/>
  <c r="O7350" i="1"/>
  <c r="I7351" i="1"/>
  <c r="J7351" i="1"/>
  <c r="K7351" i="1"/>
  <c r="O7351" i="1" a="1"/>
  <c r="O7351" i="1" s="1"/>
  <c r="I7352" i="1"/>
  <c r="J7352" i="1"/>
  <c r="K7352" i="1"/>
  <c r="O7352" i="1" a="1"/>
  <c r="O7352" i="1"/>
  <c r="I7353" i="1"/>
  <c r="J7353" i="1"/>
  <c r="K7353" i="1"/>
  <c r="O7353" i="1" a="1"/>
  <c r="O7353" i="1" s="1"/>
  <c r="I7354" i="1"/>
  <c r="J7354" i="1"/>
  <c r="K7354" i="1"/>
  <c r="O7354" i="1" a="1"/>
  <c r="O7354" i="1" s="1"/>
  <c r="I7355" i="1"/>
  <c r="J7355" i="1"/>
  <c r="K7355" i="1"/>
  <c r="O7355" i="1" a="1"/>
  <c r="O7355" i="1" s="1"/>
  <c r="I7356" i="1"/>
  <c r="J7356" i="1"/>
  <c r="K7356" i="1"/>
  <c r="O7356" i="1" a="1"/>
  <c r="O7356" i="1" s="1"/>
  <c r="I7357" i="1"/>
  <c r="J7357" i="1"/>
  <c r="K7357" i="1"/>
  <c r="O7357" i="1" a="1"/>
  <c r="O7357" i="1" s="1"/>
  <c r="I7358" i="1"/>
  <c r="J7358" i="1"/>
  <c r="K7358" i="1"/>
  <c r="O7358" i="1" a="1"/>
  <c r="O7358" i="1" s="1"/>
  <c r="I7359" i="1"/>
  <c r="J7359" i="1"/>
  <c r="K7359" i="1"/>
  <c r="O7359" i="1" a="1"/>
  <c r="O7359" i="1" s="1"/>
  <c r="I7360" i="1"/>
  <c r="J7360" i="1"/>
  <c r="K7360" i="1"/>
  <c r="O7360" i="1" a="1"/>
  <c r="O7360" i="1" s="1"/>
  <c r="I7361" i="1"/>
  <c r="J7361" i="1"/>
  <c r="K7361" i="1"/>
  <c r="O7361" i="1" a="1"/>
  <c r="O7361" i="1" s="1"/>
  <c r="I7362" i="1"/>
  <c r="J7362" i="1"/>
  <c r="K7362" i="1"/>
  <c r="O7362" i="1" a="1"/>
  <c r="O7362" i="1" s="1"/>
  <c r="I7363" i="1"/>
  <c r="J7363" i="1"/>
  <c r="K7363" i="1"/>
  <c r="O7363" i="1" a="1"/>
  <c r="O7363" i="1" s="1"/>
  <c r="I7364" i="1"/>
  <c r="J7364" i="1"/>
  <c r="K7364" i="1"/>
  <c r="O7364" i="1" a="1"/>
  <c r="O7364" i="1"/>
  <c r="I7365" i="1"/>
  <c r="J7365" i="1"/>
  <c r="K7365" i="1"/>
  <c r="O7365" i="1" a="1"/>
  <c r="O7365" i="1" s="1"/>
  <c r="I7366" i="1"/>
  <c r="J7366" i="1"/>
  <c r="K7366" i="1"/>
  <c r="O7366" i="1" a="1"/>
  <c r="O7366" i="1" s="1"/>
  <c r="I7367" i="1"/>
  <c r="J7367" i="1"/>
  <c r="K7367" i="1"/>
  <c r="O7367" i="1" a="1"/>
  <c r="O7367" i="1" s="1"/>
  <c r="I7368" i="1"/>
  <c r="J7368" i="1"/>
  <c r="K7368" i="1"/>
  <c r="O7368" i="1" a="1"/>
  <c r="O7368" i="1" s="1"/>
  <c r="I7369" i="1"/>
  <c r="J7369" i="1"/>
  <c r="K7369" i="1"/>
  <c r="O7369" i="1" a="1"/>
  <c r="O7369" i="1"/>
  <c r="I7370" i="1"/>
  <c r="J7370" i="1"/>
  <c r="K7370" i="1"/>
  <c r="O7370" i="1" a="1"/>
  <c r="O7370" i="1" s="1"/>
  <c r="I7371" i="1"/>
  <c r="J7371" i="1"/>
  <c r="K7371" i="1"/>
  <c r="O7371" i="1" a="1"/>
  <c r="O7371" i="1" s="1"/>
  <c r="I7372" i="1"/>
  <c r="J7372" i="1"/>
  <c r="K7372" i="1"/>
  <c r="O7372" i="1" a="1"/>
  <c r="O7372" i="1" s="1"/>
  <c r="I7373" i="1"/>
  <c r="J7373" i="1"/>
  <c r="K7373" i="1"/>
  <c r="O7373" i="1" a="1"/>
  <c r="O7373" i="1" s="1"/>
  <c r="I7374" i="1"/>
  <c r="J7374" i="1"/>
  <c r="K7374" i="1"/>
  <c r="O7374" i="1" a="1"/>
  <c r="O7374" i="1"/>
  <c r="I7375" i="1"/>
  <c r="J7375" i="1"/>
  <c r="K7375" i="1"/>
  <c r="O7375" i="1" a="1"/>
  <c r="O7375" i="1" s="1"/>
  <c r="I7376" i="1"/>
  <c r="J7376" i="1"/>
  <c r="K7376" i="1"/>
  <c r="O7376" i="1" a="1"/>
  <c r="O7376" i="1" s="1"/>
  <c r="I7377" i="1"/>
  <c r="J7377" i="1"/>
  <c r="K7377" i="1"/>
  <c r="O7377" i="1" a="1"/>
  <c r="O7377" i="1" s="1"/>
  <c r="I7378" i="1"/>
  <c r="J7378" i="1"/>
  <c r="K7378" i="1"/>
  <c r="O7378" i="1" a="1"/>
  <c r="O7378" i="1" s="1"/>
  <c r="I7379" i="1"/>
  <c r="J7379" i="1"/>
  <c r="K7379" i="1"/>
  <c r="O7379" i="1" a="1"/>
  <c r="O7379" i="1" s="1"/>
  <c r="I7380" i="1"/>
  <c r="J7380" i="1"/>
  <c r="K7380" i="1"/>
  <c r="O7380" i="1" a="1"/>
  <c r="O7380" i="1" s="1"/>
  <c r="I7381" i="1"/>
  <c r="J7381" i="1"/>
  <c r="K7381" i="1"/>
  <c r="O7381" i="1" a="1"/>
  <c r="O7381" i="1" s="1"/>
  <c r="I7382" i="1"/>
  <c r="J7382" i="1"/>
  <c r="K7382" i="1"/>
  <c r="O7382" i="1" a="1"/>
  <c r="O7382" i="1" s="1"/>
  <c r="I7383" i="1"/>
  <c r="J7383" i="1"/>
  <c r="K7383" i="1"/>
  <c r="O7383" i="1" a="1"/>
  <c r="O7383" i="1" s="1"/>
  <c r="I7384" i="1"/>
  <c r="J7384" i="1"/>
  <c r="K7384" i="1"/>
  <c r="O7384" i="1" a="1"/>
  <c r="O7384" i="1" s="1"/>
  <c r="I7385" i="1"/>
  <c r="J7385" i="1"/>
  <c r="K7385" i="1"/>
  <c r="O7385" i="1" a="1"/>
  <c r="O7385" i="1" s="1"/>
  <c r="I7386" i="1"/>
  <c r="J7386" i="1"/>
  <c r="K7386" i="1"/>
  <c r="O7386" i="1" a="1"/>
  <c r="O7386" i="1" s="1"/>
  <c r="I7387" i="1"/>
  <c r="J7387" i="1"/>
  <c r="K7387" i="1"/>
  <c r="O7387" i="1" a="1"/>
  <c r="O7387" i="1" s="1"/>
  <c r="I7388" i="1"/>
  <c r="J7388" i="1"/>
  <c r="K7388" i="1"/>
  <c r="O7388" i="1" a="1"/>
  <c r="O7388" i="1" s="1"/>
  <c r="I7389" i="1"/>
  <c r="J7389" i="1"/>
  <c r="K7389" i="1"/>
  <c r="O7389" i="1" a="1"/>
  <c r="O7389" i="1" s="1"/>
  <c r="I7390" i="1"/>
  <c r="J7390" i="1"/>
  <c r="K7390" i="1"/>
  <c r="O7390" i="1" a="1"/>
  <c r="O7390" i="1" s="1"/>
  <c r="I7391" i="1"/>
  <c r="J7391" i="1"/>
  <c r="K7391" i="1"/>
  <c r="O7391" i="1" a="1"/>
  <c r="O7391" i="1" s="1"/>
  <c r="I7392" i="1"/>
  <c r="J7392" i="1"/>
  <c r="K7392" i="1"/>
  <c r="O7392" i="1" a="1"/>
  <c r="O7392" i="1" s="1"/>
  <c r="I7393" i="1"/>
  <c r="J7393" i="1"/>
  <c r="K7393" i="1"/>
  <c r="O7393" i="1" a="1"/>
  <c r="O7393" i="1" s="1"/>
  <c r="I7394" i="1"/>
  <c r="J7394" i="1"/>
  <c r="K7394" i="1"/>
  <c r="O7394" i="1" a="1"/>
  <c r="O7394" i="1" s="1"/>
  <c r="I7395" i="1"/>
  <c r="J7395" i="1"/>
  <c r="K7395" i="1"/>
  <c r="O7395" i="1" a="1"/>
  <c r="O7395" i="1" s="1"/>
  <c r="I7396" i="1"/>
  <c r="J7396" i="1"/>
  <c r="K7396" i="1"/>
  <c r="O7396" i="1" a="1"/>
  <c r="O7396" i="1" s="1"/>
  <c r="I7397" i="1"/>
  <c r="J7397" i="1"/>
  <c r="K7397" i="1"/>
  <c r="O7397" i="1" a="1"/>
  <c r="O7397" i="1" s="1"/>
  <c r="I7398" i="1"/>
  <c r="J7398" i="1"/>
  <c r="K7398" i="1"/>
  <c r="O7398" i="1" a="1"/>
  <c r="O7398" i="1"/>
  <c r="I7399" i="1"/>
  <c r="J7399" i="1"/>
  <c r="K7399" i="1"/>
  <c r="O7399" i="1" a="1"/>
  <c r="O7399" i="1" s="1"/>
  <c r="I7400" i="1"/>
  <c r="J7400" i="1"/>
  <c r="K7400" i="1"/>
  <c r="O7400" i="1" a="1"/>
  <c r="O7400" i="1" s="1"/>
  <c r="I7401" i="1"/>
  <c r="J7401" i="1"/>
  <c r="K7401" i="1"/>
  <c r="O7401" i="1" a="1"/>
  <c r="O7401" i="1" s="1"/>
  <c r="I7402" i="1"/>
  <c r="J7402" i="1"/>
  <c r="K7402" i="1"/>
  <c r="O7402" i="1" a="1"/>
  <c r="O7402" i="1" s="1"/>
  <c r="I7403" i="1"/>
  <c r="J7403" i="1"/>
  <c r="K7403" i="1"/>
  <c r="O7403" i="1" a="1"/>
  <c r="O7403" i="1" s="1"/>
  <c r="I7404" i="1"/>
  <c r="J7404" i="1"/>
  <c r="K7404" i="1"/>
  <c r="O7404" i="1" a="1"/>
  <c r="O7404" i="1" s="1"/>
  <c r="I7405" i="1"/>
  <c r="J7405" i="1"/>
  <c r="K7405" i="1"/>
  <c r="O7405" i="1" a="1"/>
  <c r="O7405" i="1" s="1"/>
  <c r="I7406" i="1"/>
  <c r="J7406" i="1"/>
  <c r="K7406" i="1"/>
  <c r="O7406" i="1" a="1"/>
  <c r="O7406" i="1" s="1"/>
  <c r="I7407" i="1"/>
  <c r="J7407" i="1"/>
  <c r="K7407" i="1"/>
  <c r="O7407" i="1" a="1"/>
  <c r="O7407" i="1" s="1"/>
  <c r="I7408" i="1"/>
  <c r="J7408" i="1"/>
  <c r="K7408" i="1"/>
  <c r="O7408" i="1" a="1"/>
  <c r="O7408" i="1" s="1"/>
  <c r="I7409" i="1"/>
  <c r="J7409" i="1"/>
  <c r="K7409" i="1"/>
  <c r="O7409" i="1" a="1"/>
  <c r="O7409" i="1" s="1"/>
  <c r="I7410" i="1"/>
  <c r="J7410" i="1"/>
  <c r="K7410" i="1"/>
  <c r="O7410" i="1" a="1"/>
  <c r="O7410" i="1" s="1"/>
  <c r="I7411" i="1"/>
  <c r="J7411" i="1"/>
  <c r="K7411" i="1"/>
  <c r="O7411" i="1" a="1"/>
  <c r="O7411" i="1" s="1"/>
  <c r="I7412" i="1"/>
  <c r="J7412" i="1"/>
  <c r="K7412" i="1"/>
  <c r="O7412" i="1" a="1"/>
  <c r="O7412" i="1"/>
  <c r="I7413" i="1"/>
  <c r="J7413" i="1"/>
  <c r="K7413" i="1"/>
  <c r="O7413" i="1" a="1"/>
  <c r="O7413" i="1" s="1"/>
  <c r="I7414" i="1"/>
  <c r="J7414" i="1"/>
  <c r="K7414" i="1"/>
  <c r="O7414" i="1" a="1"/>
  <c r="O7414" i="1" s="1"/>
  <c r="I7415" i="1"/>
  <c r="J7415" i="1"/>
  <c r="K7415" i="1"/>
  <c r="O7415" i="1" a="1"/>
  <c r="O7415" i="1" s="1"/>
  <c r="I7416" i="1"/>
  <c r="J7416" i="1"/>
  <c r="K7416" i="1"/>
  <c r="O7416" i="1" a="1"/>
  <c r="O7416" i="1" s="1"/>
  <c r="I7417" i="1"/>
  <c r="J7417" i="1"/>
  <c r="K7417" i="1"/>
  <c r="O7417" i="1" a="1"/>
  <c r="O7417" i="1" s="1"/>
  <c r="I7418" i="1"/>
  <c r="J7418" i="1"/>
  <c r="K7418" i="1"/>
  <c r="O7418" i="1" a="1"/>
  <c r="O7418" i="1" s="1"/>
  <c r="I7419" i="1"/>
  <c r="J7419" i="1"/>
  <c r="K7419" i="1"/>
  <c r="O7419" i="1" a="1"/>
  <c r="O7419" i="1" s="1"/>
  <c r="I7420" i="1"/>
  <c r="J7420" i="1"/>
  <c r="K7420" i="1"/>
  <c r="O7420" i="1" a="1"/>
  <c r="O7420" i="1"/>
  <c r="I7421" i="1"/>
  <c r="J7421" i="1"/>
  <c r="K7421" i="1"/>
  <c r="O7421" i="1" a="1"/>
  <c r="O7421" i="1"/>
  <c r="I7422" i="1"/>
  <c r="J7422" i="1"/>
  <c r="K7422" i="1"/>
  <c r="O7422" i="1" a="1"/>
  <c r="O7422" i="1" s="1"/>
  <c r="I7423" i="1"/>
  <c r="J7423" i="1"/>
  <c r="K7423" i="1"/>
  <c r="O7423" i="1" a="1"/>
  <c r="O7423" i="1" s="1"/>
  <c r="I7424" i="1"/>
  <c r="J7424" i="1"/>
  <c r="K7424" i="1"/>
  <c r="O7424" i="1" a="1"/>
  <c r="O7424" i="1"/>
  <c r="I7425" i="1"/>
  <c r="J7425" i="1"/>
  <c r="K7425" i="1"/>
  <c r="O7425" i="1" a="1"/>
  <c r="O7425" i="1" s="1"/>
  <c r="I7426" i="1"/>
  <c r="J7426" i="1"/>
  <c r="K7426" i="1"/>
  <c r="O7426" i="1" a="1"/>
  <c r="O7426" i="1" s="1"/>
  <c r="I7427" i="1"/>
  <c r="J7427" i="1"/>
  <c r="K7427" i="1"/>
  <c r="O7427" i="1" a="1"/>
  <c r="O7427" i="1" s="1"/>
  <c r="I7428" i="1"/>
  <c r="J7428" i="1"/>
  <c r="K7428" i="1"/>
  <c r="O7428" i="1" a="1"/>
  <c r="O7428" i="1" s="1"/>
  <c r="I7429" i="1"/>
  <c r="J7429" i="1"/>
  <c r="K7429" i="1"/>
  <c r="O7429" i="1" a="1"/>
  <c r="O7429" i="1" s="1"/>
  <c r="I7430" i="1"/>
  <c r="J7430" i="1"/>
  <c r="K7430" i="1"/>
  <c r="O7430" i="1" a="1"/>
  <c r="O7430" i="1"/>
  <c r="I7431" i="1"/>
  <c r="J7431" i="1"/>
  <c r="K7431" i="1"/>
  <c r="O7431" i="1" a="1"/>
  <c r="O7431" i="1" s="1"/>
  <c r="I7432" i="1"/>
  <c r="J7432" i="1"/>
  <c r="K7432" i="1"/>
  <c r="O7432" i="1" a="1"/>
  <c r="O7432" i="1" s="1"/>
  <c r="I7433" i="1"/>
  <c r="J7433" i="1"/>
  <c r="K7433" i="1"/>
  <c r="O7433" i="1" a="1"/>
  <c r="O7433" i="1" s="1"/>
  <c r="I7434" i="1"/>
  <c r="J7434" i="1"/>
  <c r="K7434" i="1"/>
  <c r="O7434" i="1" a="1"/>
  <c r="O7434" i="1" s="1"/>
  <c r="I7435" i="1"/>
  <c r="J7435" i="1"/>
  <c r="K7435" i="1"/>
  <c r="O7435" i="1" a="1"/>
  <c r="O7435" i="1" s="1"/>
  <c r="I7436" i="1"/>
  <c r="J7436" i="1"/>
  <c r="K7436" i="1"/>
  <c r="O7436" i="1" a="1"/>
  <c r="O7436" i="1" s="1"/>
  <c r="I7437" i="1"/>
  <c r="J7437" i="1"/>
  <c r="K7437" i="1"/>
  <c r="O7437" i="1" a="1"/>
  <c r="O7437" i="1" s="1"/>
  <c r="I7438" i="1"/>
  <c r="J7438" i="1"/>
  <c r="K7438" i="1"/>
  <c r="O7438" i="1" a="1"/>
  <c r="O7438" i="1" s="1"/>
  <c r="I7439" i="1"/>
  <c r="J7439" i="1"/>
  <c r="K7439" i="1"/>
  <c r="O7439" i="1" a="1"/>
  <c r="O7439" i="1" s="1"/>
  <c r="I7440" i="1"/>
  <c r="J7440" i="1"/>
  <c r="K7440" i="1"/>
  <c r="O7440" i="1" a="1"/>
  <c r="O7440" i="1"/>
  <c r="I7441" i="1"/>
  <c r="J7441" i="1"/>
  <c r="K7441" i="1"/>
  <c r="O7441" i="1" a="1"/>
  <c r="O7441" i="1" s="1"/>
  <c r="I7442" i="1"/>
  <c r="J7442" i="1"/>
  <c r="K7442" i="1"/>
  <c r="O7442" i="1" a="1"/>
  <c r="O7442" i="1" s="1"/>
  <c r="I7443" i="1"/>
  <c r="J7443" i="1"/>
  <c r="K7443" i="1"/>
  <c r="O7443" i="1" a="1"/>
  <c r="O7443" i="1" s="1"/>
  <c r="I7444" i="1"/>
  <c r="J7444" i="1"/>
  <c r="K7444" i="1"/>
  <c r="O7444" i="1" a="1"/>
  <c r="O7444" i="1" s="1"/>
  <c r="I7445" i="1"/>
  <c r="J7445" i="1"/>
  <c r="K7445" i="1"/>
  <c r="O7445" i="1" a="1"/>
  <c r="O7445" i="1" s="1"/>
  <c r="I7446" i="1"/>
  <c r="J7446" i="1"/>
  <c r="K7446" i="1"/>
  <c r="O7446" i="1" a="1"/>
  <c r="O7446" i="1" s="1"/>
  <c r="I7447" i="1"/>
  <c r="J7447" i="1"/>
  <c r="K7447" i="1"/>
  <c r="O7447" i="1" a="1"/>
  <c r="O7447" i="1" s="1"/>
  <c r="I7448" i="1"/>
  <c r="J7448" i="1"/>
  <c r="K7448" i="1"/>
  <c r="O7448" i="1" a="1"/>
  <c r="O7448" i="1" s="1"/>
  <c r="I7449" i="1"/>
  <c r="J7449" i="1"/>
  <c r="K7449" i="1"/>
  <c r="O7449" i="1" a="1"/>
  <c r="O7449" i="1" s="1"/>
  <c r="I7450" i="1"/>
  <c r="J7450" i="1"/>
  <c r="K7450" i="1"/>
  <c r="O7450" i="1" a="1"/>
  <c r="O7450" i="1" s="1"/>
  <c r="I7451" i="1"/>
  <c r="J7451" i="1"/>
  <c r="K7451" i="1"/>
  <c r="O7451" i="1" a="1"/>
  <c r="O7451" i="1" s="1"/>
  <c r="I7452" i="1"/>
  <c r="J7452" i="1"/>
  <c r="K7452" i="1"/>
  <c r="O7452" i="1" a="1"/>
  <c r="O7452" i="1"/>
  <c r="I7453" i="1"/>
  <c r="J7453" i="1"/>
  <c r="K7453" i="1"/>
  <c r="O7453" i="1" a="1"/>
  <c r="O7453" i="1" s="1"/>
  <c r="I7454" i="1"/>
  <c r="J7454" i="1"/>
  <c r="K7454" i="1"/>
  <c r="O7454" i="1" a="1"/>
  <c r="O7454" i="1" s="1"/>
  <c r="I7455" i="1"/>
  <c r="J7455" i="1"/>
  <c r="K7455" i="1"/>
  <c r="O7455" i="1" a="1"/>
  <c r="O7455" i="1" s="1"/>
  <c r="I7456" i="1"/>
  <c r="J7456" i="1"/>
  <c r="K7456" i="1"/>
  <c r="O7456" i="1" a="1"/>
  <c r="O7456" i="1" s="1"/>
  <c r="I7457" i="1"/>
  <c r="J7457" i="1"/>
  <c r="K7457" i="1"/>
  <c r="O7457" i="1" a="1"/>
  <c r="O7457" i="1" s="1"/>
  <c r="I7458" i="1"/>
  <c r="J7458" i="1"/>
  <c r="K7458" i="1"/>
  <c r="O7458" i="1" a="1"/>
  <c r="O7458" i="1" s="1"/>
  <c r="I7459" i="1"/>
  <c r="J7459" i="1"/>
  <c r="K7459" i="1"/>
  <c r="O7459" i="1" a="1"/>
  <c r="O7459" i="1" s="1"/>
  <c r="I7460" i="1"/>
  <c r="J7460" i="1"/>
  <c r="K7460" i="1"/>
  <c r="O7460" i="1" a="1"/>
  <c r="O7460" i="1" s="1"/>
  <c r="I7461" i="1"/>
  <c r="J7461" i="1"/>
  <c r="K7461" i="1"/>
  <c r="O7461" i="1" a="1"/>
  <c r="O7461" i="1" s="1"/>
  <c r="I7462" i="1"/>
  <c r="J7462" i="1"/>
  <c r="K7462" i="1"/>
  <c r="O7462" i="1" a="1"/>
  <c r="O7462" i="1" s="1"/>
  <c r="I7463" i="1"/>
  <c r="J7463" i="1"/>
  <c r="K7463" i="1"/>
  <c r="O7463" i="1" a="1"/>
  <c r="O7463" i="1" s="1"/>
  <c r="I7464" i="1"/>
  <c r="J7464" i="1"/>
  <c r="K7464" i="1"/>
  <c r="O7464" i="1" a="1"/>
  <c r="O7464" i="1" s="1"/>
  <c r="I7465" i="1"/>
  <c r="J7465" i="1"/>
  <c r="K7465" i="1"/>
  <c r="O7465" i="1" a="1"/>
  <c r="O7465" i="1" s="1"/>
  <c r="I7466" i="1"/>
  <c r="J7466" i="1"/>
  <c r="K7466" i="1"/>
  <c r="O7466" i="1" a="1"/>
  <c r="O7466" i="1" s="1"/>
  <c r="I7467" i="1"/>
  <c r="J7467" i="1"/>
  <c r="K7467" i="1"/>
  <c r="O7467" i="1" a="1"/>
  <c r="O7467" i="1" s="1"/>
  <c r="I7468" i="1"/>
  <c r="J7468" i="1"/>
  <c r="K7468" i="1"/>
  <c r="O7468" i="1" a="1"/>
  <c r="O7468" i="1" s="1"/>
  <c r="I7469" i="1"/>
  <c r="J7469" i="1"/>
  <c r="K7469" i="1"/>
  <c r="O7469" i="1" a="1"/>
  <c r="O7469" i="1"/>
  <c r="I7470" i="1"/>
  <c r="J7470" i="1"/>
  <c r="K7470" i="1"/>
  <c r="O7470" i="1" a="1"/>
  <c r="O7470" i="1" s="1"/>
  <c r="I7471" i="1"/>
  <c r="J7471" i="1"/>
  <c r="K7471" i="1"/>
  <c r="O7471" i="1" a="1"/>
  <c r="O7471" i="1" s="1"/>
  <c r="I7472" i="1"/>
  <c r="J7472" i="1"/>
  <c r="K7472" i="1"/>
  <c r="O7472" i="1" a="1"/>
  <c r="O7472" i="1" s="1"/>
  <c r="I7473" i="1"/>
  <c r="J7473" i="1"/>
  <c r="K7473" i="1"/>
  <c r="O7473" i="1" a="1"/>
  <c r="O7473" i="1" s="1"/>
  <c r="I7474" i="1"/>
  <c r="J7474" i="1"/>
  <c r="K7474" i="1"/>
  <c r="O7474" i="1" a="1"/>
  <c r="O7474" i="1" s="1"/>
  <c r="I7475" i="1"/>
  <c r="J7475" i="1"/>
  <c r="K7475" i="1"/>
  <c r="O7475" i="1" a="1"/>
  <c r="O7475" i="1" s="1"/>
  <c r="I7476" i="1"/>
  <c r="J7476" i="1"/>
  <c r="K7476" i="1"/>
  <c r="O7476" i="1" a="1"/>
  <c r="O7476" i="1" s="1"/>
  <c r="I7477" i="1"/>
  <c r="J7477" i="1"/>
  <c r="K7477" i="1"/>
  <c r="O7477" i="1" a="1"/>
  <c r="O7477" i="1" s="1"/>
  <c r="I7478" i="1"/>
  <c r="J7478" i="1"/>
  <c r="K7478" i="1"/>
  <c r="O7478" i="1" a="1"/>
  <c r="O7478" i="1" s="1"/>
  <c r="I7479" i="1"/>
  <c r="J7479" i="1"/>
  <c r="K7479" i="1"/>
  <c r="O7479" i="1" a="1"/>
  <c r="O7479" i="1" s="1"/>
  <c r="I7480" i="1"/>
  <c r="J7480" i="1"/>
  <c r="K7480" i="1"/>
  <c r="O7480" i="1" a="1"/>
  <c r="O7480" i="1"/>
  <c r="I7481" i="1"/>
  <c r="J7481" i="1"/>
  <c r="K7481" i="1"/>
  <c r="O7481" i="1" a="1"/>
  <c r="O7481" i="1" s="1"/>
  <c r="I7482" i="1"/>
  <c r="J7482" i="1"/>
  <c r="K7482" i="1"/>
  <c r="O7482" i="1" a="1"/>
  <c r="O7482" i="1" s="1"/>
  <c r="I7483" i="1"/>
  <c r="J7483" i="1"/>
  <c r="K7483" i="1"/>
  <c r="O7483" i="1" a="1"/>
  <c r="O7483" i="1" s="1"/>
  <c r="I7484" i="1"/>
  <c r="J7484" i="1"/>
  <c r="K7484" i="1"/>
  <c r="O7484" i="1" a="1"/>
  <c r="O7484" i="1" s="1"/>
  <c r="I7485" i="1"/>
  <c r="J7485" i="1"/>
  <c r="K7485" i="1"/>
  <c r="O7485" i="1" a="1"/>
  <c r="O7485" i="1" s="1"/>
  <c r="I7486" i="1"/>
  <c r="J7486" i="1"/>
  <c r="K7486" i="1"/>
  <c r="O7486" i="1" a="1"/>
  <c r="O7486" i="1"/>
  <c r="I7487" i="1"/>
  <c r="J7487" i="1"/>
  <c r="K7487" i="1"/>
  <c r="O7487" i="1" a="1"/>
  <c r="O7487" i="1" s="1"/>
  <c r="I7488" i="1"/>
  <c r="J7488" i="1"/>
  <c r="K7488" i="1"/>
  <c r="O7488" i="1" a="1"/>
  <c r="O7488" i="1"/>
  <c r="I7489" i="1"/>
  <c r="J7489" i="1"/>
  <c r="K7489" i="1"/>
  <c r="O7489" i="1" a="1"/>
  <c r="O7489" i="1" s="1"/>
  <c r="I7490" i="1"/>
  <c r="J7490" i="1"/>
  <c r="K7490" i="1"/>
  <c r="O7490" i="1" a="1"/>
  <c r="O7490" i="1" s="1"/>
  <c r="I7491" i="1"/>
  <c r="J7491" i="1"/>
  <c r="K7491" i="1"/>
  <c r="O7491" i="1" a="1"/>
  <c r="O7491" i="1" s="1"/>
  <c r="I7492" i="1"/>
  <c r="J7492" i="1"/>
  <c r="K7492" i="1"/>
  <c r="O7492" i="1" a="1"/>
  <c r="O7492" i="1" s="1"/>
  <c r="I7493" i="1"/>
  <c r="J7493" i="1"/>
  <c r="K7493" i="1"/>
  <c r="O7493" i="1" a="1"/>
  <c r="O7493" i="1" s="1"/>
  <c r="I7494" i="1"/>
  <c r="J7494" i="1"/>
  <c r="K7494" i="1"/>
  <c r="O7494" i="1" a="1"/>
  <c r="O7494" i="1" s="1"/>
  <c r="I7495" i="1"/>
  <c r="J7495" i="1"/>
  <c r="K7495" i="1"/>
  <c r="O7495" i="1" a="1"/>
  <c r="O7495" i="1" s="1"/>
  <c r="I7496" i="1"/>
  <c r="J7496" i="1"/>
  <c r="K7496" i="1"/>
  <c r="O7496" i="1" a="1"/>
  <c r="O7496" i="1" s="1"/>
  <c r="I7497" i="1"/>
  <c r="J7497" i="1"/>
  <c r="K7497" i="1"/>
  <c r="O7497" i="1" a="1"/>
  <c r="O7497" i="1" s="1"/>
  <c r="I7498" i="1"/>
  <c r="J7498" i="1"/>
  <c r="K7498" i="1"/>
  <c r="O7498" i="1" a="1"/>
  <c r="O7498" i="1" s="1"/>
  <c r="I7499" i="1"/>
  <c r="J7499" i="1"/>
  <c r="K7499" i="1"/>
  <c r="O7499" i="1" a="1"/>
  <c r="O7499" i="1" s="1"/>
  <c r="I7500" i="1"/>
  <c r="J7500" i="1"/>
  <c r="K7500" i="1"/>
  <c r="O7500" i="1" a="1"/>
  <c r="O7500" i="1" s="1"/>
  <c r="I7501" i="1"/>
  <c r="J7501" i="1"/>
  <c r="K7501" i="1"/>
  <c r="O7501" i="1" a="1"/>
  <c r="O7501" i="1"/>
  <c r="I7502" i="1"/>
  <c r="J7502" i="1"/>
  <c r="K7502" i="1"/>
  <c r="O7502" i="1" a="1"/>
  <c r="O7502" i="1"/>
  <c r="I7503" i="1"/>
  <c r="J7503" i="1"/>
  <c r="K7503" i="1"/>
  <c r="O7503" i="1" a="1"/>
  <c r="O7503" i="1" s="1"/>
  <c r="I7504" i="1"/>
  <c r="J7504" i="1"/>
  <c r="K7504" i="1"/>
  <c r="O7504" i="1" a="1"/>
  <c r="O7504" i="1" s="1"/>
  <c r="I7505" i="1"/>
  <c r="J7505" i="1"/>
  <c r="K7505" i="1"/>
  <c r="O7505" i="1" a="1"/>
  <c r="O7505" i="1"/>
  <c r="I7506" i="1"/>
  <c r="J7506" i="1"/>
  <c r="K7506" i="1"/>
  <c r="O7506" i="1" a="1"/>
  <c r="O7506" i="1" s="1"/>
  <c r="I7507" i="1"/>
  <c r="J7507" i="1"/>
  <c r="K7507" i="1"/>
  <c r="O7507" i="1" a="1"/>
  <c r="O7507" i="1" s="1"/>
  <c r="I7508" i="1"/>
  <c r="J7508" i="1"/>
  <c r="K7508" i="1"/>
  <c r="O7508" i="1" a="1"/>
  <c r="O7508" i="1"/>
  <c r="I7509" i="1"/>
  <c r="J7509" i="1"/>
  <c r="K7509" i="1"/>
  <c r="O7509" i="1" a="1"/>
  <c r="O7509" i="1" s="1"/>
  <c r="I7510" i="1"/>
  <c r="J7510" i="1"/>
  <c r="K7510" i="1"/>
  <c r="O7510" i="1" a="1"/>
  <c r="O7510" i="1" s="1"/>
  <c r="I7511" i="1"/>
  <c r="J7511" i="1"/>
  <c r="K7511" i="1"/>
  <c r="O7511" i="1" a="1"/>
  <c r="O7511" i="1" s="1"/>
  <c r="I7512" i="1"/>
  <c r="J7512" i="1"/>
  <c r="K7512" i="1"/>
  <c r="O7512" i="1" a="1"/>
  <c r="O7512" i="1" s="1"/>
  <c r="I7513" i="1"/>
  <c r="J7513" i="1"/>
  <c r="K7513" i="1"/>
  <c r="O7513" i="1" a="1"/>
  <c r="O7513" i="1" s="1"/>
  <c r="I7514" i="1"/>
  <c r="J7514" i="1"/>
  <c r="K7514" i="1"/>
  <c r="O7514" i="1" a="1"/>
  <c r="O7514" i="1" s="1"/>
  <c r="I7515" i="1"/>
  <c r="J7515" i="1"/>
  <c r="K7515" i="1"/>
  <c r="O7515" i="1" a="1"/>
  <c r="O7515" i="1" s="1"/>
  <c r="I7516" i="1"/>
  <c r="J7516" i="1"/>
  <c r="K7516" i="1"/>
  <c r="O7516" i="1" a="1"/>
  <c r="O7516" i="1" s="1"/>
  <c r="I7517" i="1"/>
  <c r="J7517" i="1"/>
  <c r="K7517" i="1"/>
  <c r="O7517" i="1" a="1"/>
  <c r="O7517" i="1" s="1"/>
  <c r="I7518" i="1"/>
  <c r="J7518" i="1"/>
  <c r="K7518" i="1"/>
  <c r="O7518" i="1" a="1"/>
  <c r="O7518" i="1" s="1"/>
  <c r="I7519" i="1"/>
  <c r="J7519" i="1"/>
  <c r="K7519" i="1"/>
  <c r="O7519" i="1" a="1"/>
  <c r="O7519" i="1" s="1"/>
  <c r="I7520" i="1"/>
  <c r="J7520" i="1"/>
  <c r="K7520" i="1"/>
  <c r="O7520" i="1" a="1"/>
  <c r="O7520" i="1" s="1"/>
  <c r="I7521" i="1"/>
  <c r="J7521" i="1"/>
  <c r="K7521" i="1"/>
  <c r="O7521" i="1" a="1"/>
  <c r="O7521" i="1" s="1"/>
  <c r="I7522" i="1"/>
  <c r="J7522" i="1"/>
  <c r="K7522" i="1"/>
  <c r="O7522" i="1" a="1"/>
  <c r="O7522" i="1" s="1"/>
  <c r="I7523" i="1"/>
  <c r="J7523" i="1"/>
  <c r="K7523" i="1"/>
  <c r="O7523" i="1" a="1"/>
  <c r="O7523" i="1" s="1"/>
  <c r="I7524" i="1"/>
  <c r="J7524" i="1"/>
  <c r="K7524" i="1"/>
  <c r="O7524" i="1" a="1"/>
  <c r="O7524" i="1" s="1"/>
  <c r="I7525" i="1"/>
  <c r="J7525" i="1"/>
  <c r="K7525" i="1"/>
  <c r="O7525" i="1" a="1"/>
  <c r="O7525" i="1" s="1"/>
  <c r="I7526" i="1"/>
  <c r="J7526" i="1"/>
  <c r="K7526" i="1"/>
  <c r="O7526" i="1" a="1"/>
  <c r="O7526" i="1"/>
  <c r="I7527" i="1"/>
  <c r="J7527" i="1"/>
  <c r="K7527" i="1"/>
  <c r="O7527" i="1" a="1"/>
  <c r="O7527" i="1" s="1"/>
  <c r="I7528" i="1"/>
  <c r="J7528" i="1"/>
  <c r="K7528" i="1"/>
  <c r="O7528" i="1" a="1"/>
  <c r="O7528" i="1" s="1"/>
  <c r="I7529" i="1"/>
  <c r="J7529" i="1"/>
  <c r="K7529" i="1"/>
  <c r="O7529" i="1" a="1"/>
  <c r="O7529" i="1" s="1"/>
  <c r="I7530" i="1"/>
  <c r="J7530" i="1"/>
  <c r="K7530" i="1"/>
  <c r="O7530" i="1" a="1"/>
  <c r="O7530" i="1"/>
  <c r="I7531" i="1"/>
  <c r="J7531" i="1"/>
  <c r="K7531" i="1"/>
  <c r="O7531" i="1" a="1"/>
  <c r="O7531" i="1" s="1"/>
  <c r="I7532" i="1"/>
  <c r="J7532" i="1"/>
  <c r="K7532" i="1"/>
  <c r="O7532" i="1" a="1"/>
  <c r="O7532" i="1" s="1"/>
  <c r="I7533" i="1"/>
  <c r="J7533" i="1"/>
  <c r="K7533" i="1"/>
  <c r="O7533" i="1" a="1"/>
  <c r="O7533" i="1" s="1"/>
  <c r="I7534" i="1"/>
  <c r="J7534" i="1"/>
  <c r="K7534" i="1"/>
  <c r="O7534" i="1" a="1"/>
  <c r="O7534" i="1" s="1"/>
  <c r="I7535" i="1"/>
  <c r="J7535" i="1"/>
  <c r="K7535" i="1"/>
  <c r="O7535" i="1" a="1"/>
  <c r="O7535" i="1" s="1"/>
  <c r="I7536" i="1"/>
  <c r="J7536" i="1"/>
  <c r="K7536" i="1"/>
  <c r="O7536" i="1" a="1"/>
  <c r="O7536" i="1" s="1"/>
  <c r="I7537" i="1"/>
  <c r="J7537" i="1"/>
  <c r="K7537" i="1"/>
  <c r="O7537" i="1" a="1"/>
  <c r="O7537" i="1" s="1"/>
  <c r="I7538" i="1"/>
  <c r="J7538" i="1"/>
  <c r="K7538" i="1"/>
  <c r="O7538" i="1" a="1"/>
  <c r="O7538" i="1" s="1"/>
  <c r="I7539" i="1"/>
  <c r="J7539" i="1"/>
  <c r="K7539" i="1"/>
  <c r="O7539" i="1" a="1"/>
  <c r="O7539" i="1" s="1"/>
  <c r="I7540" i="1"/>
  <c r="J7540" i="1"/>
  <c r="K7540" i="1"/>
  <c r="O7540" i="1" a="1"/>
  <c r="O7540" i="1"/>
  <c r="I7541" i="1"/>
  <c r="J7541" i="1"/>
  <c r="K7541" i="1"/>
  <c r="O7541" i="1" a="1"/>
  <c r="O7541" i="1" s="1"/>
  <c r="I7542" i="1"/>
  <c r="J7542" i="1"/>
  <c r="K7542" i="1"/>
  <c r="O7542" i="1" a="1"/>
  <c r="O7542" i="1" s="1"/>
  <c r="I7543" i="1"/>
  <c r="J7543" i="1"/>
  <c r="K7543" i="1"/>
  <c r="O7543" i="1" a="1"/>
  <c r="O7543" i="1" s="1"/>
  <c r="I7544" i="1"/>
  <c r="J7544" i="1"/>
  <c r="K7544" i="1"/>
  <c r="O7544" i="1" a="1"/>
  <c r="O7544" i="1" s="1"/>
  <c r="I7545" i="1"/>
  <c r="J7545" i="1"/>
  <c r="K7545" i="1"/>
  <c r="O7545" i="1" a="1"/>
  <c r="O7545" i="1" s="1"/>
  <c r="I7546" i="1"/>
  <c r="J7546" i="1"/>
  <c r="K7546" i="1"/>
  <c r="O7546" i="1" a="1"/>
  <c r="O7546" i="1" s="1"/>
  <c r="I7547" i="1"/>
  <c r="J7547" i="1"/>
  <c r="K7547" i="1"/>
  <c r="O7547" i="1" a="1"/>
  <c r="O7547" i="1" s="1"/>
  <c r="I7548" i="1"/>
  <c r="J7548" i="1"/>
  <c r="K7548" i="1"/>
  <c r="O7548" i="1" a="1"/>
  <c r="O7548" i="1" s="1"/>
  <c r="I7549" i="1"/>
  <c r="J7549" i="1"/>
  <c r="K7549" i="1"/>
  <c r="O7549" i="1" a="1"/>
  <c r="O7549" i="1" s="1"/>
  <c r="I7550" i="1"/>
  <c r="J7550" i="1"/>
  <c r="K7550" i="1"/>
  <c r="O7550" i="1" a="1"/>
  <c r="O7550" i="1" s="1"/>
  <c r="I7551" i="1"/>
  <c r="J7551" i="1"/>
  <c r="K7551" i="1"/>
  <c r="O7551" i="1" a="1"/>
  <c r="O7551" i="1" s="1"/>
  <c r="I7552" i="1"/>
  <c r="J7552" i="1"/>
  <c r="K7552" i="1"/>
  <c r="O7552" i="1" a="1"/>
  <c r="O7552" i="1" s="1"/>
  <c r="I7553" i="1"/>
  <c r="J7553" i="1"/>
  <c r="K7553" i="1"/>
  <c r="O7553" i="1" a="1"/>
  <c r="O7553" i="1" s="1"/>
  <c r="I7554" i="1"/>
  <c r="J7554" i="1"/>
  <c r="K7554" i="1"/>
  <c r="O7554" i="1" a="1"/>
  <c r="O7554" i="1" s="1"/>
  <c r="I7555" i="1"/>
  <c r="J7555" i="1"/>
  <c r="K7555" i="1"/>
  <c r="O7555" i="1" a="1"/>
  <c r="O7555" i="1" s="1"/>
  <c r="I7556" i="1"/>
  <c r="J7556" i="1"/>
  <c r="K7556" i="1"/>
  <c r="O7556" i="1" a="1"/>
  <c r="O7556" i="1" s="1"/>
  <c r="I7557" i="1"/>
  <c r="J7557" i="1"/>
  <c r="K7557" i="1"/>
  <c r="O7557" i="1" a="1"/>
  <c r="O7557" i="1" s="1"/>
  <c r="I7558" i="1"/>
  <c r="J7558" i="1"/>
  <c r="K7558" i="1"/>
  <c r="O7558" i="1" a="1"/>
  <c r="O7558" i="1" s="1"/>
  <c r="I7559" i="1"/>
  <c r="J7559" i="1"/>
  <c r="K7559" i="1"/>
  <c r="O7559" i="1" a="1"/>
  <c r="O7559" i="1" s="1"/>
  <c r="I7560" i="1"/>
  <c r="J7560" i="1"/>
  <c r="K7560" i="1"/>
  <c r="O7560" i="1" a="1"/>
  <c r="O7560" i="1" s="1"/>
  <c r="I7561" i="1"/>
  <c r="J7561" i="1"/>
  <c r="K7561" i="1"/>
  <c r="O7561" i="1" a="1"/>
  <c r="O7561" i="1"/>
  <c r="I7562" i="1"/>
  <c r="J7562" i="1"/>
  <c r="K7562" i="1"/>
  <c r="O7562" i="1" a="1"/>
  <c r="O7562" i="1" s="1"/>
  <c r="I7563" i="1"/>
  <c r="J7563" i="1"/>
  <c r="K7563" i="1"/>
  <c r="O7563" i="1" a="1"/>
  <c r="O7563" i="1" s="1"/>
  <c r="I7564" i="1"/>
  <c r="J7564" i="1"/>
  <c r="K7564" i="1"/>
  <c r="O7564" i="1" a="1"/>
  <c r="O7564" i="1" s="1"/>
  <c r="I7565" i="1"/>
  <c r="J7565" i="1"/>
  <c r="K7565" i="1"/>
  <c r="O7565" i="1" a="1"/>
  <c r="O7565" i="1" s="1"/>
  <c r="I7566" i="1"/>
  <c r="J7566" i="1"/>
  <c r="K7566" i="1"/>
  <c r="O7566" i="1" a="1"/>
  <c r="O7566" i="1" s="1"/>
  <c r="I7567" i="1"/>
  <c r="J7567" i="1"/>
  <c r="K7567" i="1"/>
  <c r="O7567" i="1" a="1"/>
  <c r="O7567" i="1" s="1"/>
  <c r="I7568" i="1"/>
  <c r="J7568" i="1"/>
  <c r="K7568" i="1"/>
  <c r="O7568" i="1" a="1"/>
  <c r="O7568" i="1" s="1"/>
  <c r="I7569" i="1"/>
  <c r="J7569" i="1"/>
  <c r="K7569" i="1"/>
  <c r="O7569" i="1" a="1"/>
  <c r="O7569" i="1" s="1"/>
  <c r="I7570" i="1"/>
  <c r="J7570" i="1"/>
  <c r="K7570" i="1"/>
  <c r="O7570" i="1" a="1"/>
  <c r="O7570" i="1" s="1"/>
  <c r="I7571" i="1"/>
  <c r="J7571" i="1"/>
  <c r="K7571" i="1"/>
  <c r="O7571" i="1" a="1"/>
  <c r="O7571" i="1" s="1"/>
  <c r="I7572" i="1"/>
  <c r="J7572" i="1"/>
  <c r="K7572" i="1"/>
  <c r="O7572" i="1" a="1"/>
  <c r="O7572" i="1" s="1"/>
  <c r="I7573" i="1"/>
  <c r="J7573" i="1"/>
  <c r="K7573" i="1"/>
  <c r="O7573" i="1" a="1"/>
  <c r="O7573" i="1" s="1"/>
  <c r="I7574" i="1"/>
  <c r="J7574" i="1"/>
  <c r="K7574" i="1"/>
  <c r="O7574" i="1" a="1"/>
  <c r="O7574" i="1"/>
  <c r="I7575" i="1"/>
  <c r="J7575" i="1"/>
  <c r="K7575" i="1"/>
  <c r="O7575" i="1" a="1"/>
  <c r="O7575" i="1" s="1"/>
  <c r="I7576" i="1"/>
  <c r="J7576" i="1"/>
  <c r="K7576" i="1"/>
  <c r="O7576" i="1" a="1"/>
  <c r="O7576" i="1" s="1"/>
  <c r="I7577" i="1"/>
  <c r="J7577" i="1"/>
  <c r="K7577" i="1"/>
  <c r="O7577" i="1" a="1"/>
  <c r="O7577" i="1" s="1"/>
  <c r="I7578" i="1"/>
  <c r="J7578" i="1"/>
  <c r="K7578" i="1"/>
  <c r="O7578" i="1" a="1"/>
  <c r="O7578" i="1" s="1"/>
  <c r="I7579" i="1"/>
  <c r="J7579" i="1"/>
  <c r="K7579" i="1"/>
  <c r="O7579" i="1" a="1"/>
  <c r="O7579" i="1" s="1"/>
  <c r="I7580" i="1"/>
  <c r="J7580" i="1"/>
  <c r="K7580" i="1"/>
  <c r="O7580" i="1" a="1"/>
  <c r="O7580" i="1" s="1"/>
  <c r="I7581" i="1"/>
  <c r="J7581" i="1"/>
  <c r="K7581" i="1"/>
  <c r="O7581" i="1" a="1"/>
  <c r="O7581" i="1" s="1"/>
  <c r="I7582" i="1"/>
  <c r="J7582" i="1"/>
  <c r="K7582" i="1"/>
  <c r="O7582" i="1" a="1"/>
  <c r="O7582" i="1" s="1"/>
  <c r="I7583" i="1"/>
  <c r="J7583" i="1"/>
  <c r="K7583" i="1"/>
  <c r="O7583" i="1" a="1"/>
  <c r="O7583" i="1"/>
  <c r="I7584" i="1"/>
  <c r="J7584" i="1"/>
  <c r="K7584" i="1"/>
  <c r="O7584" i="1" a="1"/>
  <c r="O7584" i="1" s="1"/>
  <c r="I7585" i="1"/>
  <c r="J7585" i="1"/>
  <c r="K7585" i="1"/>
  <c r="O7585" i="1" a="1"/>
  <c r="O7585" i="1" s="1"/>
  <c r="I7586" i="1"/>
  <c r="J7586" i="1"/>
  <c r="K7586" i="1"/>
  <c r="O7586" i="1" a="1"/>
  <c r="O7586" i="1" s="1"/>
  <c r="I7587" i="1"/>
  <c r="J7587" i="1"/>
  <c r="K7587" i="1"/>
  <c r="O7587" i="1" a="1"/>
  <c r="O7587" i="1" s="1"/>
  <c r="I7588" i="1"/>
  <c r="J7588" i="1"/>
  <c r="K7588" i="1"/>
  <c r="O7588" i="1" a="1"/>
  <c r="O7588" i="1" s="1"/>
  <c r="I7589" i="1"/>
  <c r="J7589" i="1"/>
  <c r="K7589" i="1"/>
  <c r="O7589" i="1" a="1"/>
  <c r="O7589" i="1" s="1"/>
  <c r="I7590" i="1"/>
  <c r="J7590" i="1"/>
  <c r="K7590" i="1"/>
  <c r="O7590" i="1" a="1"/>
  <c r="O7590" i="1" s="1"/>
  <c r="I7591" i="1"/>
  <c r="J7591" i="1"/>
  <c r="K7591" i="1"/>
  <c r="O7591" i="1" a="1"/>
  <c r="O7591" i="1" s="1"/>
  <c r="I7592" i="1"/>
  <c r="J7592" i="1"/>
  <c r="K7592" i="1"/>
  <c r="O7592" i="1" a="1"/>
  <c r="O7592" i="1" s="1"/>
  <c r="I7593" i="1"/>
  <c r="J7593" i="1"/>
  <c r="K7593" i="1"/>
  <c r="O7593" i="1" a="1"/>
  <c r="O7593" i="1" s="1"/>
  <c r="I7594" i="1"/>
  <c r="J7594" i="1"/>
  <c r="K7594" i="1"/>
  <c r="O7594" i="1" a="1"/>
  <c r="O7594" i="1" s="1"/>
  <c r="I7595" i="1"/>
  <c r="J7595" i="1"/>
  <c r="K7595" i="1"/>
  <c r="O7595" i="1" a="1"/>
  <c r="O7595" i="1" s="1"/>
  <c r="I7596" i="1"/>
  <c r="J7596" i="1"/>
  <c r="K7596" i="1"/>
  <c r="O7596" i="1" a="1"/>
  <c r="O7596" i="1" s="1"/>
  <c r="I7597" i="1"/>
  <c r="J7597" i="1"/>
  <c r="K7597" i="1"/>
  <c r="O7597" i="1" a="1"/>
  <c r="O7597" i="1" s="1"/>
  <c r="I7598" i="1"/>
  <c r="J7598" i="1"/>
  <c r="K7598" i="1"/>
  <c r="O7598" i="1" a="1"/>
  <c r="O7598" i="1" s="1"/>
  <c r="I7599" i="1"/>
  <c r="J7599" i="1"/>
  <c r="K7599" i="1"/>
  <c r="O7599" i="1" a="1"/>
  <c r="O7599" i="1" s="1"/>
  <c r="I7600" i="1"/>
  <c r="J7600" i="1"/>
  <c r="K7600" i="1"/>
  <c r="O7600" i="1" a="1"/>
  <c r="O7600" i="1" s="1"/>
  <c r="I7601" i="1"/>
  <c r="J7601" i="1"/>
  <c r="K7601" i="1"/>
  <c r="O7601" i="1" a="1"/>
  <c r="O7601" i="1" s="1"/>
  <c r="I7602" i="1"/>
  <c r="J7602" i="1"/>
  <c r="K7602" i="1"/>
  <c r="O7602" i="1" a="1"/>
  <c r="O7602" i="1"/>
  <c r="I7603" i="1"/>
  <c r="J7603" i="1"/>
  <c r="K7603" i="1"/>
  <c r="O7603" i="1" a="1"/>
  <c r="O7603" i="1" s="1"/>
  <c r="I7604" i="1"/>
  <c r="J7604" i="1"/>
  <c r="K7604" i="1"/>
  <c r="O7604" i="1" a="1"/>
  <c r="O7604" i="1" s="1"/>
  <c r="I7605" i="1"/>
  <c r="J7605" i="1"/>
  <c r="K7605" i="1"/>
  <c r="O7605" i="1" a="1"/>
  <c r="O7605" i="1" s="1"/>
  <c r="I7606" i="1"/>
  <c r="J7606" i="1"/>
  <c r="K7606" i="1"/>
  <c r="O7606" i="1" a="1"/>
  <c r="O7606" i="1"/>
  <c r="I7607" i="1"/>
  <c r="J7607" i="1"/>
  <c r="K7607" i="1"/>
  <c r="O7607" i="1" a="1"/>
  <c r="O7607" i="1" s="1"/>
  <c r="I7608" i="1"/>
  <c r="J7608" i="1"/>
  <c r="K7608" i="1"/>
  <c r="O7608" i="1" a="1"/>
  <c r="O7608" i="1" s="1"/>
  <c r="I7609" i="1"/>
  <c r="J7609" i="1"/>
  <c r="K7609" i="1"/>
  <c r="O7609" i="1" a="1"/>
  <c r="O7609" i="1" s="1"/>
  <c r="I7610" i="1"/>
  <c r="J7610" i="1"/>
  <c r="K7610" i="1"/>
  <c r="O7610" i="1" a="1"/>
  <c r="O7610" i="1" s="1"/>
  <c r="I7611" i="1"/>
  <c r="J7611" i="1"/>
  <c r="K7611" i="1"/>
  <c r="O7611" i="1" a="1"/>
  <c r="O7611" i="1" s="1"/>
  <c r="I7612" i="1"/>
  <c r="J7612" i="1"/>
  <c r="K7612" i="1"/>
  <c r="O7612" i="1" a="1"/>
  <c r="O7612" i="1" s="1"/>
  <c r="I7613" i="1"/>
  <c r="J7613" i="1"/>
  <c r="K7613" i="1"/>
  <c r="O7613" i="1" a="1"/>
  <c r="O7613" i="1" s="1"/>
  <c r="I7614" i="1"/>
  <c r="J7614" i="1"/>
  <c r="K7614" i="1"/>
  <c r="O7614" i="1" a="1"/>
  <c r="O7614" i="1" s="1"/>
  <c r="I7615" i="1"/>
  <c r="J7615" i="1"/>
  <c r="K7615" i="1"/>
  <c r="O7615" i="1" a="1"/>
  <c r="O7615" i="1"/>
  <c r="I7616" i="1"/>
  <c r="J7616" i="1"/>
  <c r="K7616" i="1"/>
  <c r="O7616" i="1" a="1"/>
  <c r="O7616" i="1" s="1"/>
  <c r="I7617" i="1"/>
  <c r="J7617" i="1"/>
  <c r="K7617" i="1"/>
  <c r="O7617" i="1" a="1"/>
  <c r="O7617" i="1" s="1"/>
  <c r="I7618" i="1"/>
  <c r="J7618" i="1"/>
  <c r="K7618" i="1"/>
  <c r="O7618" i="1" a="1"/>
  <c r="O7618" i="1"/>
  <c r="I7619" i="1"/>
  <c r="J7619" i="1"/>
  <c r="K7619" i="1"/>
  <c r="O7619" i="1" a="1"/>
  <c r="O7619" i="1" s="1"/>
  <c r="I7620" i="1"/>
  <c r="J7620" i="1"/>
  <c r="K7620" i="1"/>
  <c r="O7620" i="1" a="1"/>
  <c r="O7620" i="1" s="1"/>
  <c r="I7621" i="1"/>
  <c r="J7621" i="1"/>
  <c r="K7621" i="1"/>
  <c r="O7621" i="1" a="1"/>
  <c r="O7621" i="1"/>
  <c r="I7622" i="1"/>
  <c r="J7622" i="1"/>
  <c r="K7622" i="1"/>
  <c r="O7622" i="1" a="1"/>
  <c r="O7622" i="1" s="1"/>
  <c r="I7623" i="1"/>
  <c r="J7623" i="1"/>
  <c r="K7623" i="1"/>
  <c r="O7623" i="1" a="1"/>
  <c r="O7623" i="1" s="1"/>
  <c r="I7624" i="1"/>
  <c r="J7624" i="1"/>
  <c r="K7624" i="1"/>
  <c r="O7624" i="1" a="1"/>
  <c r="O7624" i="1" s="1"/>
  <c r="I7625" i="1"/>
  <c r="J7625" i="1"/>
  <c r="K7625" i="1"/>
  <c r="O7625" i="1" a="1"/>
  <c r="O7625" i="1" s="1"/>
  <c r="I7626" i="1"/>
  <c r="J7626" i="1"/>
  <c r="K7626" i="1"/>
  <c r="O7626" i="1" a="1"/>
  <c r="O7626" i="1" s="1"/>
  <c r="I7627" i="1"/>
  <c r="J7627" i="1"/>
  <c r="K7627" i="1"/>
  <c r="O7627" i="1" a="1"/>
  <c r="O7627" i="1" s="1"/>
  <c r="I7628" i="1"/>
  <c r="J7628" i="1"/>
  <c r="K7628" i="1"/>
  <c r="O7628" i="1" a="1"/>
  <c r="O7628" i="1" s="1"/>
  <c r="I7629" i="1"/>
  <c r="J7629" i="1"/>
  <c r="K7629" i="1"/>
  <c r="O7629" i="1" a="1"/>
  <c r="O7629" i="1" s="1"/>
  <c r="I7630" i="1"/>
  <c r="J7630" i="1"/>
  <c r="K7630" i="1"/>
  <c r="O7630" i="1" a="1"/>
  <c r="O7630" i="1" s="1"/>
  <c r="I7631" i="1"/>
  <c r="J7631" i="1"/>
  <c r="K7631" i="1"/>
  <c r="O7631" i="1" a="1"/>
  <c r="O7631" i="1" s="1"/>
  <c r="I7632" i="1"/>
  <c r="J7632" i="1"/>
  <c r="K7632" i="1"/>
  <c r="O7632" i="1" a="1"/>
  <c r="O7632" i="1" s="1"/>
  <c r="I7633" i="1"/>
  <c r="J7633" i="1"/>
  <c r="K7633" i="1"/>
  <c r="O7633" i="1" a="1"/>
  <c r="O7633" i="1" s="1"/>
  <c r="I7634" i="1"/>
  <c r="J7634" i="1"/>
  <c r="K7634" i="1"/>
  <c r="O7634" i="1" a="1"/>
  <c r="O7634" i="1" s="1"/>
  <c r="I7635" i="1"/>
  <c r="J7635" i="1"/>
  <c r="K7635" i="1"/>
  <c r="O7635" i="1" a="1"/>
  <c r="O7635" i="1" s="1"/>
  <c r="I7636" i="1"/>
  <c r="J7636" i="1"/>
  <c r="K7636" i="1"/>
  <c r="O7636" i="1" a="1"/>
  <c r="O7636" i="1" s="1"/>
  <c r="I7637" i="1"/>
  <c r="J7637" i="1"/>
  <c r="K7637" i="1"/>
  <c r="O7637" i="1" a="1"/>
  <c r="O7637" i="1" s="1"/>
  <c r="I7638" i="1"/>
  <c r="J7638" i="1"/>
  <c r="K7638" i="1"/>
  <c r="O7638" i="1" a="1"/>
  <c r="O7638" i="1" s="1"/>
  <c r="I7639" i="1"/>
  <c r="J7639" i="1"/>
  <c r="K7639" i="1"/>
  <c r="O7639" i="1" a="1"/>
  <c r="O7639" i="1" s="1"/>
  <c r="I7640" i="1"/>
  <c r="J7640" i="1"/>
  <c r="K7640" i="1"/>
  <c r="O7640" i="1" a="1"/>
  <c r="O7640" i="1" s="1"/>
  <c r="I7641" i="1"/>
  <c r="J7641" i="1"/>
  <c r="K7641" i="1"/>
  <c r="O7641" i="1" a="1"/>
  <c r="O7641" i="1" s="1"/>
  <c r="I7642" i="1"/>
  <c r="J7642" i="1"/>
  <c r="K7642" i="1"/>
  <c r="O7642" i="1" a="1"/>
  <c r="O7642" i="1" s="1"/>
  <c r="I7643" i="1"/>
  <c r="J7643" i="1"/>
  <c r="K7643" i="1"/>
  <c r="O7643" i="1" a="1"/>
  <c r="O7643" i="1" s="1"/>
  <c r="I7644" i="1"/>
  <c r="J7644" i="1"/>
  <c r="K7644" i="1"/>
  <c r="O7644" i="1" a="1"/>
  <c r="O7644" i="1" s="1"/>
  <c r="I7645" i="1"/>
  <c r="J7645" i="1"/>
  <c r="K7645" i="1"/>
  <c r="O7645" i="1" a="1"/>
  <c r="O7645" i="1" s="1"/>
  <c r="I7646" i="1"/>
  <c r="J7646" i="1"/>
  <c r="K7646" i="1"/>
  <c r="O7646" i="1" a="1"/>
  <c r="O7646" i="1" s="1"/>
  <c r="I7647" i="1"/>
  <c r="J7647" i="1"/>
  <c r="K7647" i="1"/>
  <c r="O7647" i="1" a="1"/>
  <c r="O7647" i="1" s="1"/>
  <c r="I7648" i="1"/>
  <c r="J7648" i="1"/>
  <c r="K7648" i="1"/>
  <c r="O7648" i="1" a="1"/>
  <c r="O7648" i="1" s="1"/>
  <c r="I7649" i="1"/>
  <c r="J7649" i="1"/>
  <c r="K7649" i="1"/>
  <c r="O7649" i="1" a="1"/>
  <c r="O7649" i="1" s="1"/>
  <c r="I7650" i="1"/>
  <c r="J7650" i="1"/>
  <c r="K7650" i="1"/>
  <c r="O7650" i="1" a="1"/>
  <c r="O7650" i="1" s="1"/>
  <c r="I7651" i="1"/>
  <c r="J7651" i="1"/>
  <c r="K7651" i="1"/>
  <c r="O7651" i="1" a="1"/>
  <c r="O7651" i="1" s="1"/>
  <c r="I7652" i="1"/>
  <c r="J7652" i="1"/>
  <c r="K7652" i="1"/>
  <c r="O7652" i="1" a="1"/>
  <c r="O7652" i="1" s="1"/>
  <c r="I7653" i="1"/>
  <c r="J7653" i="1"/>
  <c r="K7653" i="1"/>
  <c r="O7653" i="1" a="1"/>
  <c r="O7653" i="1" s="1"/>
  <c r="I7654" i="1"/>
  <c r="J7654" i="1"/>
  <c r="K7654" i="1"/>
  <c r="O7654" i="1" a="1"/>
  <c r="O7654" i="1" s="1"/>
  <c r="I7655" i="1"/>
  <c r="J7655" i="1"/>
  <c r="K7655" i="1"/>
  <c r="O7655" i="1" a="1"/>
  <c r="O7655" i="1" s="1"/>
  <c r="I7656" i="1"/>
  <c r="J7656" i="1"/>
  <c r="K7656" i="1"/>
  <c r="O7656" i="1" a="1"/>
  <c r="O7656" i="1" s="1"/>
  <c r="I7657" i="1"/>
  <c r="J7657" i="1"/>
  <c r="K7657" i="1"/>
  <c r="O7657" i="1" a="1"/>
  <c r="O7657" i="1" s="1"/>
  <c r="I7658" i="1"/>
  <c r="J7658" i="1"/>
  <c r="K7658" i="1"/>
  <c r="O7658" i="1" a="1"/>
  <c r="O7658" i="1" s="1"/>
  <c r="I7659" i="1"/>
  <c r="J7659" i="1"/>
  <c r="K7659" i="1"/>
  <c r="O7659" i="1" a="1"/>
  <c r="O7659" i="1" s="1"/>
  <c r="I7660" i="1"/>
  <c r="J7660" i="1"/>
  <c r="K7660" i="1"/>
  <c r="O7660" i="1" a="1"/>
  <c r="O7660" i="1" s="1"/>
  <c r="I7661" i="1"/>
  <c r="J7661" i="1"/>
  <c r="K7661" i="1"/>
  <c r="O7661" i="1" a="1"/>
  <c r="O7661" i="1" s="1"/>
  <c r="I7662" i="1"/>
  <c r="J7662" i="1"/>
  <c r="K7662" i="1"/>
  <c r="O7662" i="1" a="1"/>
  <c r="O7662" i="1" s="1"/>
  <c r="I7663" i="1"/>
  <c r="J7663" i="1"/>
  <c r="K7663" i="1"/>
  <c r="O7663" i="1" a="1"/>
  <c r="O7663" i="1"/>
  <c r="I7664" i="1"/>
  <c r="J7664" i="1"/>
  <c r="K7664" i="1"/>
  <c r="O7664" i="1" a="1"/>
  <c r="O7664" i="1" s="1"/>
  <c r="I7665" i="1"/>
  <c r="J7665" i="1"/>
  <c r="K7665" i="1"/>
  <c r="O7665" i="1" a="1"/>
  <c r="O7665" i="1" s="1"/>
  <c r="I7666" i="1"/>
  <c r="J7666" i="1"/>
  <c r="K7666" i="1"/>
  <c r="O7666" i="1" a="1"/>
  <c r="O7666" i="1"/>
  <c r="I7667" i="1"/>
  <c r="J7667" i="1"/>
  <c r="K7667" i="1"/>
  <c r="O7667" i="1" a="1"/>
  <c r="O7667" i="1" s="1"/>
  <c r="I7668" i="1"/>
  <c r="J7668" i="1"/>
  <c r="K7668" i="1"/>
  <c r="O7668" i="1" a="1"/>
  <c r="O7668" i="1" s="1"/>
  <c r="I7669" i="1"/>
  <c r="J7669" i="1"/>
  <c r="K7669" i="1"/>
  <c r="O7669" i="1" a="1"/>
  <c r="O7669" i="1" s="1"/>
  <c r="I7670" i="1"/>
  <c r="J7670" i="1"/>
  <c r="K7670" i="1"/>
  <c r="O7670" i="1" a="1"/>
  <c r="O7670" i="1" s="1"/>
  <c r="I7671" i="1"/>
  <c r="J7671" i="1"/>
  <c r="K7671" i="1"/>
  <c r="O7671" i="1" a="1"/>
  <c r="O7671" i="1" s="1"/>
  <c r="I7672" i="1"/>
  <c r="J7672" i="1"/>
  <c r="K7672" i="1"/>
  <c r="O7672" i="1" a="1"/>
  <c r="O7672" i="1" s="1"/>
  <c r="I7673" i="1"/>
  <c r="J7673" i="1"/>
  <c r="K7673" i="1"/>
  <c r="O7673" i="1" a="1"/>
  <c r="O7673" i="1" s="1"/>
  <c r="I7674" i="1"/>
  <c r="J7674" i="1"/>
  <c r="K7674" i="1"/>
  <c r="O7674" i="1" a="1"/>
  <c r="O7674" i="1" s="1"/>
  <c r="I7675" i="1"/>
  <c r="J7675" i="1"/>
  <c r="K7675" i="1"/>
  <c r="O7675" i="1" a="1"/>
  <c r="O7675" i="1" s="1"/>
  <c r="I7676" i="1"/>
  <c r="J7676" i="1"/>
  <c r="K7676" i="1"/>
  <c r="O7676" i="1" a="1"/>
  <c r="O7676" i="1" s="1"/>
  <c r="I7677" i="1"/>
  <c r="J7677" i="1"/>
  <c r="K7677" i="1"/>
  <c r="O7677" i="1" a="1"/>
  <c r="O7677" i="1" s="1"/>
  <c r="I7678" i="1"/>
  <c r="J7678" i="1"/>
  <c r="K7678" i="1"/>
  <c r="O7678" i="1" a="1"/>
  <c r="O7678" i="1" s="1"/>
  <c r="I7679" i="1"/>
  <c r="J7679" i="1"/>
  <c r="K7679" i="1"/>
  <c r="O7679" i="1" a="1"/>
  <c r="O7679" i="1"/>
  <c r="I7680" i="1"/>
  <c r="J7680" i="1"/>
  <c r="K7680" i="1"/>
  <c r="O7680" i="1" a="1"/>
  <c r="O7680" i="1" s="1"/>
  <c r="I7681" i="1"/>
  <c r="J7681" i="1"/>
  <c r="K7681" i="1"/>
  <c r="O7681" i="1" a="1"/>
  <c r="O7681" i="1" s="1"/>
  <c r="I7682" i="1"/>
  <c r="J7682" i="1"/>
  <c r="K7682" i="1"/>
  <c r="O7682" i="1" a="1"/>
  <c r="O7682" i="1" s="1"/>
  <c r="I7683" i="1"/>
  <c r="J7683" i="1"/>
  <c r="K7683" i="1"/>
  <c r="O7683" i="1" a="1"/>
  <c r="O7683" i="1" s="1"/>
  <c r="I7684" i="1"/>
  <c r="J7684" i="1"/>
  <c r="K7684" i="1"/>
  <c r="O7684" i="1" a="1"/>
  <c r="O7684" i="1" s="1"/>
  <c r="I7685" i="1"/>
  <c r="J7685" i="1"/>
  <c r="K7685" i="1"/>
  <c r="O7685" i="1" a="1"/>
  <c r="O7685" i="1" s="1"/>
  <c r="I7686" i="1"/>
  <c r="J7686" i="1"/>
  <c r="K7686" i="1"/>
  <c r="O7686" i="1" a="1"/>
  <c r="O7686" i="1" s="1"/>
  <c r="I7687" i="1"/>
  <c r="J7687" i="1"/>
  <c r="K7687" i="1"/>
  <c r="O7687" i="1" a="1"/>
  <c r="O7687" i="1" s="1"/>
  <c r="I7688" i="1"/>
  <c r="J7688" i="1"/>
  <c r="K7688" i="1"/>
  <c r="O7688" i="1" a="1"/>
  <c r="O7688" i="1" s="1"/>
  <c r="I7689" i="1"/>
  <c r="J7689" i="1"/>
  <c r="K7689" i="1"/>
  <c r="O7689" i="1" a="1"/>
  <c r="O7689" i="1" s="1"/>
  <c r="I7690" i="1"/>
  <c r="J7690" i="1"/>
  <c r="K7690" i="1"/>
  <c r="O7690" i="1" a="1"/>
  <c r="O7690" i="1" s="1"/>
  <c r="I7691" i="1"/>
  <c r="J7691" i="1"/>
  <c r="K7691" i="1"/>
  <c r="O7691" i="1" a="1"/>
  <c r="O7691" i="1" s="1"/>
  <c r="I7692" i="1"/>
  <c r="J7692" i="1"/>
  <c r="K7692" i="1"/>
  <c r="O7692" i="1" a="1"/>
  <c r="O7692" i="1" s="1"/>
  <c r="I7693" i="1"/>
  <c r="J7693" i="1"/>
  <c r="K7693" i="1"/>
  <c r="O7693" i="1" a="1"/>
  <c r="O7693" i="1" s="1"/>
  <c r="I7694" i="1"/>
  <c r="J7694" i="1"/>
  <c r="K7694" i="1"/>
  <c r="O7694" i="1" a="1"/>
  <c r="O7694" i="1"/>
  <c r="I7695" i="1"/>
  <c r="J7695" i="1"/>
  <c r="K7695" i="1"/>
  <c r="O7695" i="1" a="1"/>
  <c r="O7695" i="1" s="1"/>
  <c r="I7696" i="1"/>
  <c r="J7696" i="1"/>
  <c r="K7696" i="1"/>
  <c r="O7696" i="1" a="1"/>
  <c r="O7696" i="1" s="1"/>
  <c r="I7697" i="1"/>
  <c r="J7697" i="1"/>
  <c r="K7697" i="1"/>
  <c r="O7697" i="1" a="1"/>
  <c r="O7697" i="1" s="1"/>
  <c r="I7698" i="1"/>
  <c r="J7698" i="1"/>
  <c r="K7698" i="1"/>
  <c r="O7698" i="1" a="1"/>
  <c r="O7698" i="1" s="1"/>
  <c r="I7699" i="1"/>
  <c r="J7699" i="1"/>
  <c r="K7699" i="1"/>
  <c r="O7699" i="1" a="1"/>
  <c r="O7699" i="1" s="1"/>
  <c r="I7700" i="1"/>
  <c r="J7700" i="1"/>
  <c r="K7700" i="1"/>
  <c r="O7700" i="1" a="1"/>
  <c r="O7700" i="1" s="1"/>
  <c r="I7701" i="1"/>
  <c r="J7701" i="1"/>
  <c r="K7701" i="1"/>
  <c r="O7701" i="1" a="1"/>
  <c r="O7701" i="1" s="1"/>
  <c r="I7702" i="1"/>
  <c r="J7702" i="1"/>
  <c r="K7702" i="1"/>
  <c r="O7702" i="1" a="1"/>
  <c r="O7702" i="1" s="1"/>
  <c r="I7703" i="1"/>
  <c r="J7703" i="1"/>
  <c r="K7703" i="1"/>
  <c r="O7703" i="1" a="1"/>
  <c r="O7703" i="1" s="1"/>
  <c r="I7704" i="1"/>
  <c r="J7704" i="1"/>
  <c r="K7704" i="1"/>
  <c r="O7704" i="1" a="1"/>
  <c r="O7704" i="1" s="1"/>
  <c r="I7705" i="1"/>
  <c r="J7705" i="1"/>
  <c r="K7705" i="1"/>
  <c r="O7705" i="1" a="1"/>
  <c r="O7705" i="1" s="1"/>
  <c r="I7706" i="1"/>
  <c r="J7706" i="1"/>
  <c r="K7706" i="1"/>
  <c r="O7706" i="1" a="1"/>
  <c r="O7706" i="1" s="1"/>
  <c r="I7707" i="1"/>
  <c r="J7707" i="1"/>
  <c r="K7707" i="1"/>
  <c r="O7707" i="1" a="1"/>
  <c r="O7707" i="1" s="1"/>
  <c r="I7708" i="1"/>
  <c r="J7708" i="1"/>
  <c r="K7708" i="1"/>
  <c r="O7708" i="1" a="1"/>
  <c r="O7708" i="1" s="1"/>
  <c r="I7709" i="1"/>
  <c r="J7709" i="1"/>
  <c r="K7709" i="1"/>
  <c r="O7709" i="1" a="1"/>
  <c r="O7709" i="1" s="1"/>
  <c r="I7710" i="1"/>
  <c r="J7710" i="1"/>
  <c r="K7710" i="1"/>
  <c r="O7710" i="1" a="1"/>
  <c r="O7710" i="1"/>
  <c r="I7711" i="1"/>
  <c r="J7711" i="1"/>
  <c r="K7711" i="1"/>
  <c r="O7711" i="1" a="1"/>
  <c r="O7711" i="1" s="1"/>
  <c r="I7712" i="1"/>
  <c r="J7712" i="1"/>
  <c r="K7712" i="1"/>
  <c r="O7712" i="1" a="1"/>
  <c r="O7712" i="1" s="1"/>
  <c r="I7713" i="1"/>
  <c r="J7713" i="1"/>
  <c r="K7713" i="1"/>
  <c r="O7713" i="1" a="1"/>
  <c r="O7713" i="1" s="1"/>
  <c r="I7714" i="1"/>
  <c r="J7714" i="1"/>
  <c r="K7714" i="1"/>
  <c r="O7714" i="1" a="1"/>
  <c r="O7714" i="1" s="1"/>
  <c r="I7715" i="1"/>
  <c r="J7715" i="1"/>
  <c r="K7715" i="1"/>
  <c r="O7715" i="1" a="1"/>
  <c r="O7715" i="1" s="1"/>
  <c r="I7716" i="1"/>
  <c r="J7716" i="1"/>
  <c r="K7716" i="1"/>
  <c r="O7716" i="1" a="1"/>
  <c r="O7716" i="1" s="1"/>
  <c r="I7717" i="1"/>
  <c r="J7717" i="1"/>
  <c r="K7717" i="1"/>
  <c r="O7717" i="1" a="1"/>
  <c r="O7717" i="1"/>
  <c r="I7718" i="1"/>
  <c r="J7718" i="1"/>
  <c r="K7718" i="1"/>
  <c r="O7718" i="1" a="1"/>
  <c r="O7718" i="1" s="1"/>
  <c r="I7719" i="1"/>
  <c r="J7719" i="1"/>
  <c r="K7719" i="1"/>
  <c r="O7719" i="1" a="1"/>
  <c r="O7719" i="1" s="1"/>
  <c r="I7720" i="1"/>
  <c r="J7720" i="1"/>
  <c r="K7720" i="1"/>
  <c r="O7720" i="1" a="1"/>
  <c r="O7720" i="1" s="1"/>
  <c r="I7721" i="1"/>
  <c r="J7721" i="1"/>
  <c r="K7721" i="1"/>
  <c r="O7721" i="1" a="1"/>
  <c r="O7721" i="1" s="1"/>
  <c r="I7722" i="1"/>
  <c r="J7722" i="1"/>
  <c r="K7722" i="1"/>
  <c r="O7722" i="1" a="1"/>
  <c r="O7722" i="1" s="1"/>
  <c r="I7723" i="1"/>
  <c r="J7723" i="1"/>
  <c r="K7723" i="1"/>
  <c r="O7723" i="1" a="1"/>
  <c r="O7723" i="1" s="1"/>
  <c r="I7724" i="1"/>
  <c r="J7724" i="1"/>
  <c r="K7724" i="1"/>
  <c r="O7724" i="1" a="1"/>
  <c r="O7724" i="1" s="1"/>
  <c r="I7725" i="1"/>
  <c r="J7725" i="1"/>
  <c r="K7725" i="1"/>
  <c r="O7725" i="1" a="1"/>
  <c r="O7725" i="1" s="1"/>
  <c r="I7726" i="1"/>
  <c r="J7726" i="1"/>
  <c r="K7726" i="1"/>
  <c r="O7726" i="1" a="1"/>
  <c r="O7726" i="1" s="1"/>
  <c r="I7727" i="1"/>
  <c r="J7727" i="1"/>
  <c r="K7727" i="1"/>
  <c r="O7727" i="1" a="1"/>
  <c r="O7727" i="1" s="1"/>
  <c r="I7728" i="1"/>
  <c r="J7728" i="1"/>
  <c r="K7728" i="1"/>
  <c r="O7728" i="1" a="1"/>
  <c r="O7728" i="1" s="1"/>
  <c r="I7729" i="1"/>
  <c r="J7729" i="1"/>
  <c r="K7729" i="1"/>
  <c r="O7729" i="1" a="1"/>
  <c r="O7729" i="1" s="1"/>
  <c r="I7730" i="1"/>
  <c r="J7730" i="1"/>
  <c r="K7730" i="1"/>
  <c r="O7730" i="1" a="1"/>
  <c r="O7730" i="1"/>
  <c r="I7731" i="1"/>
  <c r="J7731" i="1"/>
  <c r="K7731" i="1"/>
  <c r="O7731" i="1" a="1"/>
  <c r="O7731" i="1" s="1"/>
  <c r="I7732" i="1"/>
  <c r="J7732" i="1"/>
  <c r="K7732" i="1"/>
  <c r="O7732" i="1" a="1"/>
  <c r="O7732" i="1" s="1"/>
  <c r="I7733" i="1"/>
  <c r="J7733" i="1"/>
  <c r="K7733" i="1"/>
  <c r="O7733" i="1" a="1"/>
  <c r="O7733" i="1" s="1"/>
  <c r="I7734" i="1"/>
  <c r="J7734" i="1"/>
  <c r="K7734" i="1"/>
  <c r="O7734" i="1" a="1"/>
  <c r="O7734" i="1" s="1"/>
  <c r="I7735" i="1"/>
  <c r="J7735" i="1"/>
  <c r="K7735" i="1"/>
  <c r="O7735" i="1" a="1"/>
  <c r="O7735" i="1" s="1"/>
  <c r="I7736" i="1"/>
  <c r="J7736" i="1"/>
  <c r="K7736" i="1"/>
  <c r="O7736" i="1" a="1"/>
  <c r="O7736" i="1" s="1"/>
  <c r="I7737" i="1"/>
  <c r="J7737" i="1"/>
  <c r="K7737" i="1"/>
  <c r="O7737" i="1" a="1"/>
  <c r="O7737" i="1" s="1"/>
  <c r="I7738" i="1"/>
  <c r="J7738" i="1"/>
  <c r="K7738" i="1"/>
  <c r="O7738" i="1" a="1"/>
  <c r="O7738" i="1" s="1"/>
  <c r="I7739" i="1"/>
  <c r="J7739" i="1"/>
  <c r="K7739" i="1"/>
  <c r="O7739" i="1" a="1"/>
  <c r="O7739" i="1" s="1"/>
  <c r="I7740" i="1"/>
  <c r="J7740" i="1"/>
  <c r="K7740" i="1"/>
  <c r="O7740" i="1" a="1"/>
  <c r="O7740" i="1" s="1"/>
  <c r="I7741" i="1"/>
  <c r="J7741" i="1"/>
  <c r="K7741" i="1"/>
  <c r="O7741" i="1" a="1"/>
  <c r="O7741" i="1" s="1"/>
  <c r="I7742" i="1"/>
  <c r="J7742" i="1"/>
  <c r="K7742" i="1"/>
  <c r="O7742" i="1" a="1"/>
  <c r="O7742" i="1" s="1"/>
  <c r="I7743" i="1"/>
  <c r="J7743" i="1"/>
  <c r="K7743" i="1"/>
  <c r="O7743" i="1" a="1"/>
  <c r="O7743" i="1" s="1"/>
  <c r="I7744" i="1"/>
  <c r="J7744" i="1"/>
  <c r="K7744" i="1"/>
  <c r="O7744" i="1" a="1"/>
  <c r="O7744" i="1" s="1"/>
  <c r="I7745" i="1"/>
  <c r="J7745" i="1"/>
  <c r="K7745" i="1"/>
  <c r="O7745" i="1" a="1"/>
  <c r="O7745" i="1" s="1"/>
  <c r="I7746" i="1"/>
  <c r="J7746" i="1"/>
  <c r="K7746" i="1"/>
  <c r="O7746" i="1" a="1"/>
  <c r="O7746" i="1" s="1"/>
  <c r="I7747" i="1"/>
  <c r="J7747" i="1"/>
  <c r="K7747" i="1"/>
  <c r="O7747" i="1" a="1"/>
  <c r="O7747" i="1" s="1"/>
  <c r="I7748" i="1"/>
  <c r="J7748" i="1"/>
  <c r="K7748" i="1"/>
  <c r="O7748" i="1" a="1"/>
  <c r="O7748" i="1" s="1"/>
  <c r="I7749" i="1"/>
  <c r="J7749" i="1"/>
  <c r="K7749" i="1"/>
  <c r="O7749" i="1" a="1"/>
  <c r="O7749" i="1"/>
  <c r="I7750" i="1"/>
  <c r="J7750" i="1"/>
  <c r="K7750" i="1"/>
  <c r="O7750" i="1" a="1"/>
  <c r="O7750" i="1" s="1"/>
  <c r="I7751" i="1"/>
  <c r="J7751" i="1"/>
  <c r="K7751" i="1"/>
  <c r="O7751" i="1" a="1"/>
  <c r="O7751" i="1" s="1"/>
  <c r="I7752" i="1"/>
  <c r="J7752" i="1"/>
  <c r="K7752" i="1"/>
  <c r="O7752" i="1" a="1"/>
  <c r="O7752" i="1" s="1"/>
  <c r="I7753" i="1"/>
  <c r="J7753" i="1"/>
  <c r="K7753" i="1"/>
  <c r="O7753" i="1" a="1"/>
  <c r="O7753" i="1" s="1"/>
  <c r="I7754" i="1"/>
  <c r="J7754" i="1"/>
  <c r="K7754" i="1"/>
  <c r="O7754" i="1" a="1"/>
  <c r="O7754" i="1" s="1"/>
  <c r="I7755" i="1"/>
  <c r="J7755" i="1"/>
  <c r="K7755" i="1"/>
  <c r="O7755" i="1" a="1"/>
  <c r="O7755" i="1" s="1"/>
  <c r="I7756" i="1"/>
  <c r="J7756" i="1"/>
  <c r="K7756" i="1"/>
  <c r="O7756" i="1" a="1"/>
  <c r="O7756" i="1" s="1"/>
  <c r="I7757" i="1"/>
  <c r="J7757" i="1"/>
  <c r="K7757" i="1"/>
  <c r="O7757" i="1" a="1"/>
  <c r="O7757" i="1" s="1"/>
  <c r="I7758" i="1"/>
  <c r="J7758" i="1"/>
  <c r="K7758" i="1"/>
  <c r="O7758" i="1" a="1"/>
  <c r="O7758" i="1" s="1"/>
  <c r="I7759" i="1"/>
  <c r="J7759" i="1"/>
  <c r="K7759" i="1"/>
  <c r="O7759" i="1" a="1"/>
  <c r="O7759" i="1" s="1"/>
  <c r="I7760" i="1"/>
  <c r="J7760" i="1"/>
  <c r="K7760" i="1"/>
  <c r="O7760" i="1" a="1"/>
  <c r="O7760" i="1" s="1"/>
  <c r="I7761" i="1"/>
  <c r="J7761" i="1"/>
  <c r="K7761" i="1"/>
  <c r="O7761" i="1" a="1"/>
  <c r="O7761" i="1" s="1"/>
  <c r="I7762" i="1"/>
  <c r="J7762" i="1"/>
  <c r="K7762" i="1"/>
  <c r="O7762" i="1" a="1"/>
  <c r="O7762" i="1" s="1"/>
  <c r="I7763" i="1"/>
  <c r="J7763" i="1"/>
  <c r="K7763" i="1"/>
  <c r="O7763" i="1" a="1"/>
  <c r="O7763" i="1" s="1"/>
  <c r="I7764" i="1"/>
  <c r="J7764" i="1"/>
  <c r="K7764" i="1"/>
  <c r="O7764" i="1" a="1"/>
  <c r="O7764" i="1" s="1"/>
  <c r="I7765" i="1"/>
  <c r="J7765" i="1"/>
  <c r="K7765" i="1"/>
  <c r="O7765" i="1" a="1"/>
  <c r="O7765" i="1"/>
  <c r="I7766" i="1"/>
  <c r="J7766" i="1"/>
  <c r="K7766" i="1"/>
  <c r="O7766" i="1" a="1"/>
  <c r="O7766" i="1" s="1"/>
  <c r="I7767" i="1"/>
  <c r="J7767" i="1"/>
  <c r="K7767" i="1"/>
  <c r="O7767" i="1" a="1"/>
  <c r="O7767" i="1" s="1"/>
  <c r="I7768" i="1"/>
  <c r="J7768" i="1"/>
  <c r="K7768" i="1"/>
  <c r="O7768" i="1" a="1"/>
  <c r="O7768" i="1" s="1"/>
  <c r="I7769" i="1"/>
  <c r="J7769" i="1"/>
  <c r="K7769" i="1"/>
  <c r="O7769" i="1" a="1"/>
  <c r="O7769" i="1" s="1"/>
  <c r="I7770" i="1"/>
  <c r="J7770" i="1"/>
  <c r="K7770" i="1"/>
  <c r="O7770" i="1" a="1"/>
  <c r="O7770" i="1" s="1"/>
  <c r="I7771" i="1"/>
  <c r="J7771" i="1"/>
  <c r="K7771" i="1"/>
  <c r="O7771" i="1" a="1"/>
  <c r="O7771" i="1" s="1"/>
  <c r="I7772" i="1"/>
  <c r="J7772" i="1"/>
  <c r="K7772" i="1"/>
  <c r="O7772" i="1" a="1"/>
  <c r="O7772" i="1" s="1"/>
  <c r="I7773" i="1"/>
  <c r="J7773" i="1"/>
  <c r="K7773" i="1"/>
  <c r="O7773" i="1" a="1"/>
  <c r="O7773" i="1" s="1"/>
  <c r="I7774" i="1"/>
  <c r="J7774" i="1"/>
  <c r="K7774" i="1"/>
  <c r="O7774" i="1" a="1"/>
  <c r="O7774" i="1"/>
  <c r="I7775" i="1"/>
  <c r="J7775" i="1"/>
  <c r="K7775" i="1"/>
  <c r="O7775" i="1" a="1"/>
  <c r="O7775" i="1"/>
  <c r="I7776" i="1"/>
  <c r="J7776" i="1"/>
  <c r="K7776" i="1"/>
  <c r="O7776" i="1" a="1"/>
  <c r="O7776" i="1" s="1"/>
  <c r="I7777" i="1"/>
  <c r="J7777" i="1"/>
  <c r="K7777" i="1"/>
  <c r="O7777" i="1" a="1"/>
  <c r="O7777" i="1" s="1"/>
  <c r="I7778" i="1"/>
  <c r="J7778" i="1"/>
  <c r="K7778" i="1"/>
  <c r="O7778" i="1" a="1"/>
  <c r="O7778" i="1" s="1"/>
  <c r="I7779" i="1"/>
  <c r="J7779" i="1"/>
  <c r="K7779" i="1"/>
  <c r="O7779" i="1" a="1"/>
  <c r="O7779" i="1" s="1"/>
  <c r="I7780" i="1"/>
  <c r="J7780" i="1"/>
  <c r="K7780" i="1"/>
  <c r="O7780" i="1" a="1"/>
  <c r="O7780" i="1" s="1"/>
  <c r="I7781" i="1"/>
  <c r="J7781" i="1"/>
  <c r="K7781" i="1"/>
  <c r="O7781" i="1" a="1"/>
  <c r="O7781" i="1" s="1"/>
  <c r="I7782" i="1"/>
  <c r="J7782" i="1"/>
  <c r="K7782" i="1"/>
  <c r="O7782" i="1" a="1"/>
  <c r="O7782" i="1" s="1"/>
  <c r="I7783" i="1"/>
  <c r="J7783" i="1"/>
  <c r="K7783" i="1"/>
  <c r="O7783" i="1" a="1"/>
  <c r="O7783" i="1" s="1"/>
  <c r="I7784" i="1"/>
  <c r="J7784" i="1"/>
  <c r="K7784" i="1"/>
  <c r="O7784" i="1" a="1"/>
  <c r="O7784" i="1" s="1"/>
  <c r="I7785" i="1"/>
  <c r="J7785" i="1"/>
  <c r="K7785" i="1"/>
  <c r="O7785" i="1" a="1"/>
  <c r="O7785" i="1" s="1"/>
  <c r="I7786" i="1"/>
  <c r="J7786" i="1"/>
  <c r="K7786" i="1"/>
  <c r="O7786" i="1" a="1"/>
  <c r="O7786" i="1"/>
  <c r="I7787" i="1"/>
  <c r="J7787" i="1"/>
  <c r="K7787" i="1"/>
  <c r="O7787" i="1" a="1"/>
  <c r="O7787" i="1" s="1"/>
  <c r="I7788" i="1"/>
  <c r="J7788" i="1"/>
  <c r="K7788" i="1"/>
  <c r="O7788" i="1" a="1"/>
  <c r="O7788" i="1" s="1"/>
  <c r="I7789" i="1"/>
  <c r="J7789" i="1"/>
  <c r="K7789" i="1"/>
  <c r="O7789" i="1" a="1"/>
  <c r="O7789" i="1"/>
  <c r="I7790" i="1"/>
  <c r="J7790" i="1"/>
  <c r="K7790" i="1"/>
  <c r="O7790" i="1" a="1"/>
  <c r="O7790" i="1" s="1"/>
  <c r="I7791" i="1"/>
  <c r="J7791" i="1"/>
  <c r="K7791" i="1"/>
  <c r="O7791" i="1" a="1"/>
  <c r="O7791" i="1" s="1"/>
  <c r="I7792" i="1"/>
  <c r="J7792" i="1"/>
  <c r="K7792" i="1"/>
  <c r="O7792" i="1" a="1"/>
  <c r="O7792" i="1" s="1"/>
  <c r="I7793" i="1"/>
  <c r="J7793" i="1"/>
  <c r="K7793" i="1"/>
  <c r="O7793" i="1" a="1"/>
  <c r="O7793" i="1" s="1"/>
  <c r="I7794" i="1"/>
  <c r="J7794" i="1"/>
  <c r="K7794" i="1"/>
  <c r="O7794" i="1" a="1"/>
  <c r="O7794" i="1" s="1"/>
  <c r="I7795" i="1"/>
  <c r="J7795" i="1"/>
  <c r="K7795" i="1"/>
  <c r="O7795" i="1" a="1"/>
  <c r="O7795" i="1" s="1"/>
  <c r="I7796" i="1"/>
  <c r="J7796" i="1"/>
  <c r="K7796" i="1"/>
  <c r="O7796" i="1" a="1"/>
  <c r="O7796" i="1" s="1"/>
  <c r="I7797" i="1"/>
  <c r="J7797" i="1"/>
  <c r="K7797" i="1"/>
  <c r="O7797" i="1" a="1"/>
  <c r="O7797" i="1" s="1"/>
  <c r="I7798" i="1"/>
  <c r="J7798" i="1"/>
  <c r="K7798" i="1"/>
  <c r="O7798" i="1" a="1"/>
  <c r="O7798" i="1" s="1"/>
  <c r="I7799" i="1"/>
  <c r="J7799" i="1"/>
  <c r="K7799" i="1"/>
  <c r="O7799" i="1" a="1"/>
  <c r="O7799" i="1" s="1"/>
  <c r="I7800" i="1"/>
  <c r="J7800" i="1"/>
  <c r="K7800" i="1"/>
  <c r="O7800" i="1" a="1"/>
  <c r="O7800" i="1" s="1"/>
  <c r="I7801" i="1"/>
  <c r="J7801" i="1"/>
  <c r="K7801" i="1"/>
  <c r="O7801" i="1" a="1"/>
  <c r="O7801" i="1" s="1"/>
  <c r="I7802" i="1"/>
  <c r="J7802" i="1"/>
  <c r="K7802" i="1"/>
  <c r="O7802" i="1" a="1"/>
  <c r="O7802" i="1" s="1"/>
  <c r="I7803" i="1"/>
  <c r="J7803" i="1"/>
  <c r="K7803" i="1"/>
  <c r="O7803" i="1" a="1"/>
  <c r="O7803" i="1" s="1"/>
  <c r="I7804" i="1"/>
  <c r="J7804" i="1"/>
  <c r="K7804" i="1"/>
  <c r="O7804" i="1" a="1"/>
  <c r="O7804" i="1" s="1"/>
  <c r="I7805" i="1"/>
  <c r="J7805" i="1"/>
  <c r="K7805" i="1"/>
  <c r="O7805" i="1" a="1"/>
  <c r="O7805" i="1"/>
  <c r="I7806" i="1"/>
  <c r="J7806" i="1"/>
  <c r="K7806" i="1"/>
  <c r="O7806" i="1" a="1"/>
  <c r="O7806" i="1" s="1"/>
  <c r="I7807" i="1"/>
  <c r="J7807" i="1"/>
  <c r="K7807" i="1"/>
  <c r="O7807" i="1" a="1"/>
  <c r="O7807" i="1" s="1"/>
  <c r="I7808" i="1"/>
  <c r="J7808" i="1"/>
  <c r="K7808" i="1"/>
  <c r="O7808" i="1" a="1"/>
  <c r="O7808" i="1" s="1"/>
  <c r="I7809" i="1"/>
  <c r="J7809" i="1"/>
  <c r="K7809" i="1"/>
  <c r="O7809" i="1" a="1"/>
  <c r="O7809" i="1" s="1"/>
  <c r="I7810" i="1"/>
  <c r="J7810" i="1"/>
  <c r="K7810" i="1"/>
  <c r="O7810" i="1" a="1"/>
  <c r="O7810" i="1" s="1"/>
  <c r="I7811" i="1"/>
  <c r="J7811" i="1"/>
  <c r="K7811" i="1"/>
  <c r="O7811" i="1" a="1"/>
  <c r="O7811" i="1" s="1"/>
  <c r="I7812" i="1"/>
  <c r="J7812" i="1"/>
  <c r="K7812" i="1"/>
  <c r="O7812" i="1" a="1"/>
  <c r="O7812" i="1" s="1"/>
  <c r="I7813" i="1"/>
  <c r="J7813" i="1"/>
  <c r="K7813" i="1"/>
  <c r="O7813" i="1" a="1"/>
  <c r="O7813" i="1" s="1"/>
  <c r="I7814" i="1"/>
  <c r="J7814" i="1"/>
  <c r="K7814" i="1"/>
  <c r="O7814" i="1" a="1"/>
  <c r="O7814" i="1" s="1"/>
  <c r="I7815" i="1"/>
  <c r="J7815" i="1"/>
  <c r="K7815" i="1"/>
  <c r="O7815" i="1" a="1"/>
  <c r="O7815" i="1" s="1"/>
  <c r="I7816" i="1"/>
  <c r="J7816" i="1"/>
  <c r="K7816" i="1"/>
  <c r="O7816" i="1" a="1"/>
  <c r="O7816" i="1" s="1"/>
  <c r="I7817" i="1"/>
  <c r="J7817" i="1"/>
  <c r="K7817" i="1"/>
  <c r="O7817" i="1" a="1"/>
  <c r="O7817" i="1" s="1"/>
  <c r="I7818" i="1"/>
  <c r="J7818" i="1"/>
  <c r="K7818" i="1"/>
  <c r="O7818" i="1" a="1"/>
  <c r="O7818" i="1"/>
  <c r="I7819" i="1"/>
  <c r="J7819" i="1"/>
  <c r="K7819" i="1"/>
  <c r="O7819" i="1" a="1"/>
  <c r="O7819" i="1" s="1"/>
  <c r="I7820" i="1"/>
  <c r="J7820" i="1"/>
  <c r="K7820" i="1"/>
  <c r="O7820" i="1" a="1"/>
  <c r="O7820" i="1" s="1"/>
  <c r="I7821" i="1"/>
  <c r="J7821" i="1"/>
  <c r="K7821" i="1"/>
  <c r="O7821" i="1" a="1"/>
  <c r="O7821" i="1"/>
  <c r="I7822" i="1"/>
  <c r="J7822" i="1"/>
  <c r="K7822" i="1"/>
  <c r="O7822" i="1" a="1"/>
  <c r="O7822" i="1" s="1"/>
  <c r="I7823" i="1"/>
  <c r="J7823" i="1"/>
  <c r="K7823" i="1"/>
  <c r="O7823" i="1" a="1"/>
  <c r="O7823" i="1" s="1"/>
  <c r="I7824" i="1"/>
  <c r="J7824" i="1"/>
  <c r="K7824" i="1"/>
  <c r="O7824" i="1" a="1"/>
  <c r="O7824" i="1" s="1"/>
  <c r="I7825" i="1"/>
  <c r="J7825" i="1"/>
  <c r="K7825" i="1"/>
  <c r="O7825" i="1" a="1"/>
  <c r="O7825" i="1" s="1"/>
  <c r="I7826" i="1"/>
  <c r="J7826" i="1"/>
  <c r="K7826" i="1"/>
  <c r="O7826" i="1" a="1"/>
  <c r="O7826" i="1" s="1"/>
  <c r="I7827" i="1"/>
  <c r="J7827" i="1"/>
  <c r="K7827" i="1"/>
  <c r="O7827" i="1" a="1"/>
  <c r="O7827" i="1" s="1"/>
  <c r="I7828" i="1"/>
  <c r="J7828" i="1"/>
  <c r="K7828" i="1"/>
  <c r="O7828" i="1" a="1"/>
  <c r="O7828" i="1" s="1"/>
  <c r="I7829" i="1"/>
  <c r="J7829" i="1"/>
  <c r="K7829" i="1"/>
  <c r="O7829" i="1" a="1"/>
  <c r="O7829" i="1" s="1"/>
  <c r="I7830" i="1"/>
  <c r="J7830" i="1"/>
  <c r="K7830" i="1"/>
  <c r="O7830" i="1" a="1"/>
  <c r="O7830" i="1" s="1"/>
  <c r="I7831" i="1"/>
  <c r="J7831" i="1"/>
  <c r="K7831" i="1"/>
  <c r="O7831" i="1" a="1"/>
  <c r="O7831" i="1" s="1"/>
  <c r="I7832" i="1"/>
  <c r="J7832" i="1"/>
  <c r="K7832" i="1"/>
  <c r="O7832" i="1" a="1"/>
  <c r="O7832" i="1" s="1"/>
  <c r="I7833" i="1"/>
  <c r="J7833" i="1"/>
  <c r="K7833" i="1"/>
  <c r="O7833" i="1" a="1"/>
  <c r="O7833" i="1" s="1"/>
  <c r="I7834" i="1"/>
  <c r="J7834" i="1"/>
  <c r="K7834" i="1"/>
  <c r="O7834" i="1" a="1"/>
  <c r="O7834" i="1"/>
  <c r="I7835" i="1"/>
  <c r="J7835" i="1"/>
  <c r="K7835" i="1"/>
  <c r="O7835" i="1" a="1"/>
  <c r="O7835" i="1" s="1"/>
  <c r="I7836" i="1"/>
  <c r="J7836" i="1"/>
  <c r="K7836" i="1"/>
  <c r="O7836" i="1" a="1"/>
  <c r="O7836" i="1" s="1"/>
  <c r="I7837" i="1"/>
  <c r="J7837" i="1"/>
  <c r="K7837" i="1"/>
  <c r="O7837" i="1" a="1"/>
  <c r="O7837" i="1" s="1"/>
  <c r="I7838" i="1"/>
  <c r="J7838" i="1"/>
  <c r="K7838" i="1"/>
  <c r="O7838" i="1" a="1"/>
  <c r="O7838" i="1" s="1"/>
  <c r="I7839" i="1"/>
  <c r="J7839" i="1"/>
  <c r="K7839" i="1"/>
  <c r="O7839" i="1" a="1"/>
  <c r="O7839" i="1" s="1"/>
  <c r="I7840" i="1"/>
  <c r="J7840" i="1"/>
  <c r="K7840" i="1"/>
  <c r="O7840" i="1" a="1"/>
  <c r="O7840" i="1" s="1"/>
  <c r="I7841" i="1"/>
  <c r="J7841" i="1"/>
  <c r="K7841" i="1"/>
  <c r="O7841" i="1" a="1"/>
  <c r="O7841" i="1" s="1"/>
  <c r="I7842" i="1"/>
  <c r="J7842" i="1"/>
  <c r="K7842" i="1"/>
  <c r="O7842" i="1" a="1"/>
  <c r="O7842" i="1" s="1"/>
  <c r="I7843" i="1"/>
  <c r="J7843" i="1"/>
  <c r="K7843" i="1"/>
  <c r="O7843" i="1" a="1"/>
  <c r="O7843" i="1" s="1"/>
  <c r="I7844" i="1"/>
  <c r="J7844" i="1"/>
  <c r="K7844" i="1"/>
  <c r="O7844" i="1" a="1"/>
  <c r="O7844" i="1" s="1"/>
  <c r="I7845" i="1"/>
  <c r="J7845" i="1"/>
  <c r="K7845" i="1"/>
  <c r="O7845" i="1" a="1"/>
  <c r="O7845" i="1" s="1"/>
  <c r="I7846" i="1"/>
  <c r="J7846" i="1"/>
  <c r="K7846" i="1"/>
  <c r="O7846" i="1" a="1"/>
  <c r="O7846" i="1" s="1"/>
  <c r="I7847" i="1"/>
  <c r="J7847" i="1"/>
  <c r="K7847" i="1"/>
  <c r="O7847" i="1" a="1"/>
  <c r="O7847" i="1" s="1"/>
  <c r="I7848" i="1"/>
  <c r="J7848" i="1"/>
  <c r="K7848" i="1"/>
  <c r="O7848" i="1" a="1"/>
  <c r="O7848" i="1" s="1"/>
  <c r="I7849" i="1"/>
  <c r="J7849" i="1"/>
  <c r="K7849" i="1"/>
  <c r="O7849" i="1" a="1"/>
  <c r="O7849" i="1" s="1"/>
  <c r="I7850" i="1"/>
  <c r="J7850" i="1"/>
  <c r="K7850" i="1"/>
  <c r="O7850" i="1" a="1"/>
  <c r="O7850" i="1" s="1"/>
  <c r="I7851" i="1"/>
  <c r="J7851" i="1"/>
  <c r="K7851" i="1"/>
  <c r="O7851" i="1" a="1"/>
  <c r="O7851" i="1" s="1"/>
  <c r="I7852" i="1"/>
  <c r="J7852" i="1"/>
  <c r="K7852" i="1"/>
  <c r="O7852" i="1" a="1"/>
  <c r="O7852" i="1" s="1"/>
  <c r="I7853" i="1"/>
  <c r="J7853" i="1"/>
  <c r="K7853" i="1"/>
  <c r="O7853" i="1" a="1"/>
  <c r="O7853" i="1" s="1"/>
  <c r="I7854" i="1"/>
  <c r="J7854" i="1"/>
  <c r="K7854" i="1"/>
  <c r="O7854" i="1" a="1"/>
  <c r="O7854" i="1" s="1"/>
  <c r="I7855" i="1"/>
  <c r="J7855" i="1"/>
  <c r="K7855" i="1"/>
  <c r="O7855" i="1" a="1"/>
  <c r="O7855" i="1" s="1"/>
  <c r="I7856" i="1"/>
  <c r="J7856" i="1"/>
  <c r="K7856" i="1"/>
  <c r="O7856" i="1" a="1"/>
  <c r="O7856" i="1" s="1"/>
  <c r="I7857" i="1"/>
  <c r="J7857" i="1"/>
  <c r="K7857" i="1"/>
  <c r="O7857" i="1" a="1"/>
  <c r="O7857" i="1" s="1"/>
  <c r="I7858" i="1"/>
  <c r="J7858" i="1"/>
  <c r="K7858" i="1"/>
  <c r="O7858" i="1" a="1"/>
  <c r="O7858" i="1" s="1"/>
  <c r="I7859" i="1"/>
  <c r="J7859" i="1"/>
  <c r="K7859" i="1"/>
  <c r="O7859" i="1" a="1"/>
  <c r="O7859" i="1" s="1"/>
  <c r="I7860" i="1"/>
  <c r="J7860" i="1"/>
  <c r="K7860" i="1"/>
  <c r="O7860" i="1" a="1"/>
  <c r="O7860" i="1" s="1"/>
  <c r="I7861" i="1"/>
  <c r="J7861" i="1"/>
  <c r="K7861" i="1"/>
  <c r="O7861" i="1" a="1"/>
  <c r="O7861" i="1" s="1"/>
  <c r="I7862" i="1"/>
  <c r="J7862" i="1"/>
  <c r="K7862" i="1"/>
  <c r="O7862" i="1" a="1"/>
  <c r="O7862" i="1" s="1"/>
  <c r="I7863" i="1"/>
  <c r="J7863" i="1"/>
  <c r="K7863" i="1"/>
  <c r="O7863" i="1" a="1"/>
  <c r="O7863" i="1" s="1"/>
  <c r="I7864" i="1"/>
  <c r="J7864" i="1"/>
  <c r="K7864" i="1"/>
  <c r="O7864" i="1" a="1"/>
  <c r="O7864" i="1" s="1"/>
  <c r="I7865" i="1"/>
  <c r="J7865" i="1"/>
  <c r="K7865" i="1"/>
  <c r="O7865" i="1" a="1"/>
  <c r="O7865" i="1" s="1"/>
  <c r="I7866" i="1"/>
  <c r="J7866" i="1"/>
  <c r="K7866" i="1"/>
  <c r="O7866" i="1" a="1"/>
  <c r="O7866" i="1"/>
  <c r="I7867" i="1"/>
  <c r="J7867" i="1"/>
  <c r="K7867" i="1"/>
  <c r="O7867" i="1" a="1"/>
  <c r="O7867" i="1" s="1"/>
  <c r="I7868" i="1"/>
  <c r="J7868" i="1"/>
  <c r="K7868" i="1"/>
  <c r="O7868" i="1" a="1"/>
  <c r="O7868" i="1" s="1"/>
  <c r="I7869" i="1"/>
  <c r="J7869" i="1"/>
  <c r="K7869" i="1"/>
  <c r="O7869" i="1" a="1"/>
  <c r="O7869" i="1" s="1"/>
  <c r="I7870" i="1"/>
  <c r="J7870" i="1"/>
  <c r="K7870" i="1"/>
  <c r="O7870" i="1" a="1"/>
  <c r="O7870" i="1" s="1"/>
  <c r="I7871" i="1"/>
  <c r="J7871" i="1"/>
  <c r="K7871" i="1"/>
  <c r="O7871" i="1" a="1"/>
  <c r="O7871" i="1" s="1"/>
  <c r="I7872" i="1"/>
  <c r="J7872" i="1"/>
  <c r="K7872" i="1"/>
  <c r="O7872" i="1" a="1"/>
  <c r="O7872" i="1" s="1"/>
  <c r="I7873" i="1"/>
  <c r="J7873" i="1"/>
  <c r="K7873" i="1"/>
  <c r="O7873" i="1" a="1"/>
  <c r="O7873" i="1" s="1"/>
  <c r="I7874" i="1"/>
  <c r="J7874" i="1"/>
  <c r="K7874" i="1"/>
  <c r="O7874" i="1" a="1"/>
  <c r="O7874" i="1" s="1"/>
  <c r="I7875" i="1"/>
  <c r="J7875" i="1"/>
  <c r="K7875" i="1"/>
  <c r="O7875" i="1" a="1"/>
  <c r="O7875" i="1" s="1"/>
  <c r="I7876" i="1"/>
  <c r="J7876" i="1"/>
  <c r="K7876" i="1"/>
  <c r="O7876" i="1" a="1"/>
  <c r="O7876" i="1" s="1"/>
  <c r="I7877" i="1"/>
  <c r="J7877" i="1"/>
  <c r="K7877" i="1"/>
  <c r="O7877" i="1" a="1"/>
  <c r="O7877" i="1"/>
  <c r="I7878" i="1"/>
  <c r="J7878" i="1"/>
  <c r="K7878" i="1"/>
  <c r="O7878" i="1" a="1"/>
  <c r="O7878" i="1" s="1"/>
  <c r="I7879" i="1"/>
  <c r="J7879" i="1"/>
  <c r="K7879" i="1"/>
  <c r="O7879" i="1" a="1"/>
  <c r="O7879" i="1" s="1"/>
  <c r="I7880" i="1"/>
  <c r="J7880" i="1"/>
  <c r="K7880" i="1"/>
  <c r="O7880" i="1" a="1"/>
  <c r="O7880" i="1"/>
  <c r="I7881" i="1"/>
  <c r="J7881" i="1"/>
  <c r="K7881" i="1"/>
  <c r="O7881" i="1" a="1"/>
  <c r="O7881" i="1" s="1"/>
  <c r="I7882" i="1"/>
  <c r="J7882" i="1"/>
  <c r="K7882" i="1"/>
  <c r="O7882" i="1" a="1"/>
  <c r="O7882" i="1" s="1"/>
  <c r="I7883" i="1"/>
  <c r="J7883" i="1"/>
  <c r="K7883" i="1"/>
  <c r="O7883" i="1" a="1"/>
  <c r="O7883" i="1" s="1"/>
  <c r="I7884" i="1"/>
  <c r="J7884" i="1"/>
  <c r="K7884" i="1"/>
  <c r="O7884" i="1" a="1"/>
  <c r="O7884" i="1" s="1"/>
  <c r="I7885" i="1"/>
  <c r="J7885" i="1"/>
  <c r="K7885" i="1"/>
  <c r="O7885" i="1" a="1"/>
  <c r="O7885" i="1" s="1"/>
  <c r="I7886" i="1"/>
  <c r="J7886" i="1"/>
  <c r="K7886" i="1"/>
  <c r="O7886" i="1" a="1"/>
  <c r="O7886" i="1" s="1"/>
  <c r="I7887" i="1"/>
  <c r="J7887" i="1"/>
  <c r="K7887" i="1"/>
  <c r="O7887" i="1" a="1"/>
  <c r="O7887" i="1" s="1"/>
  <c r="I7888" i="1"/>
  <c r="J7888" i="1"/>
  <c r="K7888" i="1"/>
  <c r="O7888" i="1" a="1"/>
  <c r="O7888" i="1" s="1"/>
  <c r="I7889" i="1"/>
  <c r="J7889" i="1"/>
  <c r="K7889" i="1"/>
  <c r="O7889" i="1" a="1"/>
  <c r="O7889" i="1" s="1"/>
  <c r="I7890" i="1"/>
  <c r="J7890" i="1"/>
  <c r="K7890" i="1"/>
  <c r="O7890" i="1" a="1"/>
  <c r="O7890" i="1" s="1"/>
  <c r="I7891" i="1"/>
  <c r="J7891" i="1"/>
  <c r="K7891" i="1"/>
  <c r="O7891" i="1" a="1"/>
  <c r="O7891" i="1" s="1"/>
  <c r="I7892" i="1"/>
  <c r="J7892" i="1"/>
  <c r="K7892" i="1"/>
  <c r="O7892" i="1" a="1"/>
  <c r="O7892" i="1" s="1"/>
  <c r="I7893" i="1"/>
  <c r="J7893" i="1"/>
  <c r="K7893" i="1"/>
  <c r="O7893" i="1" a="1"/>
  <c r="O7893" i="1" s="1"/>
  <c r="I7894" i="1"/>
  <c r="J7894" i="1"/>
  <c r="K7894" i="1"/>
  <c r="O7894" i="1" a="1"/>
  <c r="O7894" i="1" s="1"/>
  <c r="I7895" i="1"/>
  <c r="J7895" i="1"/>
  <c r="K7895" i="1"/>
  <c r="O7895" i="1" a="1"/>
  <c r="O7895" i="1" s="1"/>
  <c r="I7896" i="1"/>
  <c r="J7896" i="1"/>
  <c r="K7896" i="1"/>
  <c r="O7896" i="1" a="1"/>
  <c r="O7896" i="1" s="1"/>
  <c r="I7897" i="1"/>
  <c r="J7897" i="1"/>
  <c r="K7897" i="1"/>
  <c r="O7897" i="1" a="1"/>
  <c r="O7897" i="1" s="1"/>
  <c r="I7898" i="1"/>
  <c r="J7898" i="1"/>
  <c r="K7898" i="1"/>
  <c r="O7898" i="1" a="1"/>
  <c r="O7898" i="1" s="1"/>
  <c r="I7899" i="1"/>
  <c r="J7899" i="1"/>
  <c r="K7899" i="1"/>
  <c r="O7899" i="1" a="1"/>
  <c r="O7899" i="1" s="1"/>
  <c r="I7900" i="1"/>
  <c r="J7900" i="1"/>
  <c r="K7900" i="1"/>
  <c r="O7900" i="1" a="1"/>
  <c r="O7900" i="1" s="1"/>
  <c r="I7901" i="1"/>
  <c r="J7901" i="1"/>
  <c r="K7901" i="1"/>
  <c r="O7901" i="1" a="1"/>
  <c r="O7901" i="1" s="1"/>
  <c r="I7902" i="1"/>
  <c r="J7902" i="1"/>
  <c r="K7902" i="1"/>
  <c r="O7902" i="1" a="1"/>
  <c r="O7902" i="1" s="1"/>
  <c r="I7903" i="1"/>
  <c r="J7903" i="1"/>
  <c r="K7903" i="1"/>
  <c r="O7903" i="1" a="1"/>
  <c r="O7903" i="1" s="1"/>
  <c r="I7904" i="1"/>
  <c r="J7904" i="1"/>
  <c r="K7904" i="1"/>
  <c r="O7904" i="1" a="1"/>
  <c r="O7904" i="1" s="1"/>
  <c r="I7905" i="1"/>
  <c r="J7905" i="1"/>
  <c r="K7905" i="1"/>
  <c r="O7905" i="1" a="1"/>
  <c r="O7905" i="1" s="1"/>
  <c r="I7906" i="1"/>
  <c r="J7906" i="1"/>
  <c r="K7906" i="1"/>
  <c r="O7906" i="1" a="1"/>
  <c r="O7906" i="1" s="1"/>
  <c r="I7907" i="1"/>
  <c r="J7907" i="1"/>
  <c r="K7907" i="1"/>
  <c r="O7907" i="1" a="1"/>
  <c r="O7907" i="1" s="1"/>
  <c r="I7908" i="1"/>
  <c r="J7908" i="1"/>
  <c r="K7908" i="1"/>
  <c r="O7908" i="1" a="1"/>
  <c r="O7908" i="1" s="1"/>
  <c r="I7909" i="1"/>
  <c r="J7909" i="1"/>
  <c r="K7909" i="1"/>
  <c r="O7909" i="1" a="1"/>
  <c r="O7909" i="1" s="1"/>
  <c r="I7910" i="1"/>
  <c r="J7910" i="1"/>
  <c r="K7910" i="1"/>
  <c r="O7910" i="1" a="1"/>
  <c r="O7910" i="1" s="1"/>
  <c r="I7911" i="1"/>
  <c r="J7911" i="1"/>
  <c r="K7911" i="1"/>
  <c r="O7911" i="1" a="1"/>
  <c r="O7911" i="1" s="1"/>
  <c r="I7912" i="1"/>
  <c r="J7912" i="1"/>
  <c r="K7912" i="1"/>
  <c r="O7912" i="1" a="1"/>
  <c r="O7912" i="1" s="1"/>
  <c r="I7913" i="1"/>
  <c r="J7913" i="1"/>
  <c r="K7913" i="1"/>
  <c r="O7913" i="1" a="1"/>
  <c r="O7913" i="1" s="1"/>
  <c r="I7914" i="1"/>
  <c r="J7914" i="1"/>
  <c r="K7914" i="1"/>
  <c r="O7914" i="1" a="1"/>
  <c r="O7914" i="1" s="1"/>
  <c r="I7915" i="1"/>
  <c r="J7915" i="1"/>
  <c r="K7915" i="1"/>
  <c r="O7915" i="1" a="1"/>
  <c r="O7915" i="1" s="1"/>
  <c r="I7916" i="1"/>
  <c r="J7916" i="1"/>
  <c r="K7916" i="1"/>
  <c r="O7916" i="1" a="1"/>
  <c r="O7916" i="1" s="1"/>
  <c r="I7917" i="1"/>
  <c r="J7917" i="1"/>
  <c r="K7917" i="1"/>
  <c r="O7917" i="1" a="1"/>
  <c r="O7917" i="1" s="1"/>
  <c r="I7918" i="1"/>
  <c r="J7918" i="1"/>
  <c r="K7918" i="1"/>
  <c r="O7918" i="1" a="1"/>
  <c r="O7918" i="1" s="1"/>
  <c r="I7919" i="1"/>
  <c r="J7919" i="1"/>
  <c r="K7919" i="1"/>
  <c r="O7919" i="1" a="1"/>
  <c r="O7919" i="1" s="1"/>
  <c r="I7920" i="1"/>
  <c r="J7920" i="1"/>
  <c r="K7920" i="1"/>
  <c r="O7920" i="1" a="1"/>
  <c r="O7920" i="1" s="1"/>
  <c r="I7921" i="1"/>
  <c r="J7921" i="1"/>
  <c r="K7921" i="1"/>
  <c r="O7921" i="1" a="1"/>
  <c r="O7921" i="1" s="1"/>
  <c r="I7922" i="1"/>
  <c r="J7922" i="1"/>
  <c r="K7922" i="1"/>
  <c r="O7922" i="1" a="1"/>
  <c r="O7922" i="1" s="1"/>
  <c r="I7923" i="1"/>
  <c r="J7923" i="1"/>
  <c r="K7923" i="1"/>
  <c r="O7923" i="1" a="1"/>
  <c r="O7923" i="1" s="1"/>
  <c r="I7924" i="1"/>
  <c r="J7924" i="1"/>
  <c r="K7924" i="1"/>
  <c r="O7924" i="1" a="1"/>
  <c r="O7924" i="1" s="1"/>
  <c r="I7925" i="1"/>
  <c r="J7925" i="1"/>
  <c r="K7925" i="1"/>
  <c r="O7925" i="1" a="1"/>
  <c r="O7925" i="1" s="1"/>
  <c r="I7926" i="1"/>
  <c r="J7926" i="1"/>
  <c r="K7926" i="1"/>
  <c r="O7926" i="1" a="1"/>
  <c r="O7926" i="1" s="1"/>
  <c r="I7927" i="1"/>
  <c r="J7927" i="1"/>
  <c r="K7927" i="1"/>
  <c r="O7927" i="1" a="1"/>
  <c r="O7927" i="1" s="1"/>
  <c r="I7928" i="1"/>
  <c r="J7928" i="1"/>
  <c r="K7928" i="1"/>
  <c r="O7928" i="1" a="1"/>
  <c r="O7928" i="1" s="1"/>
  <c r="I7929" i="1"/>
  <c r="J7929" i="1"/>
  <c r="K7929" i="1"/>
  <c r="O7929" i="1" a="1"/>
  <c r="O7929" i="1" s="1"/>
  <c r="I7930" i="1"/>
  <c r="J7930" i="1"/>
  <c r="K7930" i="1"/>
  <c r="O7930" i="1" a="1"/>
  <c r="O7930" i="1" s="1"/>
  <c r="I7931" i="1"/>
  <c r="J7931" i="1"/>
  <c r="K7931" i="1"/>
  <c r="O7931" i="1" a="1"/>
  <c r="O7931" i="1" s="1"/>
  <c r="I7932" i="1"/>
  <c r="J7932" i="1"/>
  <c r="K7932" i="1"/>
  <c r="O7932" i="1" a="1"/>
  <c r="O7932" i="1" s="1"/>
  <c r="I7933" i="1"/>
  <c r="J7933" i="1"/>
  <c r="K7933" i="1"/>
  <c r="O7933" i="1" a="1"/>
  <c r="O7933" i="1" s="1"/>
  <c r="I7934" i="1"/>
  <c r="J7934" i="1"/>
  <c r="K7934" i="1"/>
  <c r="O7934" i="1" a="1"/>
  <c r="O7934" i="1" s="1"/>
  <c r="I7935" i="1"/>
  <c r="J7935" i="1"/>
  <c r="K7935" i="1"/>
  <c r="O7935" i="1" a="1"/>
  <c r="O7935" i="1" s="1"/>
  <c r="I7936" i="1"/>
  <c r="J7936" i="1"/>
  <c r="K7936" i="1"/>
  <c r="O7936" i="1" a="1"/>
  <c r="O7936" i="1" s="1"/>
  <c r="I7937" i="1"/>
  <c r="J7937" i="1"/>
  <c r="K7937" i="1"/>
  <c r="O7937" i="1" a="1"/>
  <c r="O7937" i="1" s="1"/>
  <c r="I7938" i="1"/>
  <c r="J7938" i="1"/>
  <c r="K7938" i="1"/>
  <c r="O7938" i="1" a="1"/>
  <c r="O7938" i="1" s="1"/>
  <c r="I7939" i="1"/>
  <c r="J7939" i="1"/>
  <c r="K7939" i="1"/>
  <c r="O7939" i="1" a="1"/>
  <c r="O7939" i="1" s="1"/>
  <c r="I7940" i="1"/>
  <c r="J7940" i="1"/>
  <c r="K7940" i="1"/>
  <c r="O7940" i="1" a="1"/>
  <c r="O7940" i="1" s="1"/>
  <c r="I7941" i="1"/>
  <c r="J7941" i="1"/>
  <c r="K7941" i="1"/>
  <c r="O7941" i="1" a="1"/>
  <c r="O7941" i="1" s="1"/>
  <c r="I7942" i="1"/>
  <c r="J7942" i="1"/>
  <c r="K7942" i="1"/>
  <c r="O7942" i="1" a="1"/>
  <c r="O7942" i="1" s="1"/>
  <c r="I7943" i="1"/>
  <c r="J7943" i="1"/>
  <c r="K7943" i="1"/>
  <c r="O7943" i="1" a="1"/>
  <c r="O7943" i="1" s="1"/>
  <c r="I7944" i="1"/>
  <c r="J7944" i="1"/>
  <c r="K7944" i="1"/>
  <c r="O7944" i="1" a="1"/>
  <c r="O7944" i="1" s="1"/>
  <c r="I7945" i="1"/>
  <c r="J7945" i="1"/>
  <c r="K7945" i="1"/>
  <c r="O7945" i="1" a="1"/>
  <c r="O7945" i="1"/>
  <c r="I7946" i="1"/>
  <c r="J7946" i="1"/>
  <c r="K7946" i="1"/>
  <c r="O7946" i="1" a="1"/>
  <c r="O7946" i="1" s="1"/>
  <c r="I7947" i="1"/>
  <c r="J7947" i="1"/>
  <c r="K7947" i="1"/>
  <c r="O7947" i="1" a="1"/>
  <c r="O7947" i="1" s="1"/>
  <c r="I7948" i="1"/>
  <c r="J7948" i="1"/>
  <c r="K7948" i="1"/>
  <c r="O7948" i="1" a="1"/>
  <c r="O7948" i="1" s="1"/>
  <c r="I7949" i="1"/>
  <c r="J7949" i="1"/>
  <c r="K7949" i="1"/>
  <c r="O7949" i="1" a="1"/>
  <c r="O7949" i="1" s="1"/>
  <c r="I7950" i="1"/>
  <c r="J7950" i="1"/>
  <c r="K7950" i="1"/>
  <c r="O7950" i="1" a="1"/>
  <c r="O7950" i="1" s="1"/>
  <c r="I7951" i="1"/>
  <c r="J7951" i="1"/>
  <c r="K7951" i="1"/>
  <c r="O7951" i="1" a="1"/>
  <c r="O7951" i="1" s="1"/>
  <c r="I7952" i="1"/>
  <c r="J7952" i="1"/>
  <c r="K7952" i="1"/>
  <c r="O7952" i="1" a="1"/>
  <c r="O7952" i="1" s="1"/>
  <c r="I7953" i="1"/>
  <c r="J7953" i="1"/>
  <c r="K7953" i="1"/>
  <c r="O7953" i="1" a="1"/>
  <c r="O7953" i="1"/>
  <c r="I7954" i="1"/>
  <c r="J7954" i="1"/>
  <c r="K7954" i="1"/>
  <c r="O7954" i="1" a="1"/>
  <c r="O7954" i="1" s="1"/>
  <c r="I7955" i="1"/>
  <c r="J7955" i="1"/>
  <c r="K7955" i="1"/>
  <c r="O7955" i="1" a="1"/>
  <c r="O7955" i="1" s="1"/>
  <c r="I7956" i="1"/>
  <c r="J7956" i="1"/>
  <c r="K7956" i="1"/>
  <c r="O7956" i="1" a="1"/>
  <c r="O7956" i="1" s="1"/>
  <c r="I7957" i="1"/>
  <c r="J7957" i="1"/>
  <c r="K7957" i="1"/>
  <c r="O7957" i="1" a="1"/>
  <c r="O7957" i="1" s="1"/>
  <c r="I7958" i="1"/>
  <c r="J7958" i="1"/>
  <c r="K7958" i="1"/>
  <c r="O7958" i="1" a="1"/>
  <c r="O7958" i="1" s="1"/>
  <c r="I7959" i="1"/>
  <c r="J7959" i="1"/>
  <c r="K7959" i="1"/>
  <c r="O7959" i="1" a="1"/>
  <c r="O7959" i="1" s="1"/>
  <c r="I7960" i="1"/>
  <c r="J7960" i="1"/>
  <c r="K7960" i="1"/>
  <c r="O7960" i="1" a="1"/>
  <c r="O7960" i="1"/>
  <c r="I7961" i="1"/>
  <c r="J7961" i="1"/>
  <c r="K7961" i="1"/>
  <c r="O7961" i="1" a="1"/>
  <c r="O7961" i="1" s="1"/>
  <c r="I7962" i="1"/>
  <c r="J7962" i="1"/>
  <c r="K7962" i="1"/>
  <c r="O7962" i="1" a="1"/>
  <c r="O7962" i="1" s="1"/>
  <c r="I7963" i="1"/>
  <c r="J7963" i="1"/>
  <c r="K7963" i="1"/>
  <c r="O7963" i="1" a="1"/>
  <c r="O7963" i="1" s="1"/>
  <c r="I7964" i="1"/>
  <c r="J7964" i="1"/>
  <c r="K7964" i="1"/>
  <c r="O7964" i="1" a="1"/>
  <c r="O7964" i="1" s="1"/>
  <c r="I7965" i="1"/>
  <c r="J7965" i="1"/>
  <c r="K7965" i="1"/>
  <c r="O7965" i="1" a="1"/>
  <c r="O7965" i="1" s="1"/>
  <c r="I7966" i="1"/>
  <c r="J7966" i="1"/>
  <c r="K7966" i="1"/>
  <c r="O7966" i="1" a="1"/>
  <c r="O7966" i="1" s="1"/>
  <c r="I7967" i="1"/>
  <c r="J7967" i="1"/>
  <c r="K7967" i="1"/>
  <c r="O7967" i="1" a="1"/>
  <c r="O7967" i="1" s="1"/>
  <c r="I7968" i="1"/>
  <c r="J7968" i="1"/>
  <c r="K7968" i="1"/>
  <c r="O7968" i="1" a="1"/>
  <c r="O7968" i="1" s="1"/>
  <c r="I7969" i="1"/>
  <c r="J7969" i="1"/>
  <c r="K7969" i="1"/>
  <c r="O7969" i="1" a="1"/>
  <c r="O7969" i="1" s="1"/>
  <c r="I7970" i="1"/>
  <c r="J7970" i="1"/>
  <c r="K7970" i="1"/>
  <c r="O7970" i="1" a="1"/>
  <c r="O7970" i="1"/>
  <c r="I7971" i="1"/>
  <c r="J7971" i="1"/>
  <c r="K7971" i="1"/>
  <c r="O7971" i="1" a="1"/>
  <c r="O7971" i="1" s="1"/>
  <c r="I7972" i="1"/>
  <c r="J7972" i="1"/>
  <c r="K7972" i="1"/>
  <c r="O7972" i="1" a="1"/>
  <c r="O7972" i="1" s="1"/>
  <c r="I7973" i="1"/>
  <c r="J7973" i="1"/>
  <c r="K7973" i="1"/>
  <c r="O7973" i="1" a="1"/>
  <c r="O7973" i="1"/>
  <c r="I7974" i="1"/>
  <c r="J7974" i="1"/>
  <c r="K7974" i="1"/>
  <c r="O7974" i="1" a="1"/>
  <c r="O7974" i="1"/>
  <c r="I7975" i="1"/>
  <c r="J7975" i="1"/>
  <c r="K7975" i="1"/>
  <c r="O7975" i="1" a="1"/>
  <c r="O7975" i="1" s="1"/>
  <c r="I7976" i="1"/>
  <c r="J7976" i="1"/>
  <c r="K7976" i="1"/>
  <c r="O7976" i="1" a="1"/>
  <c r="O7976" i="1" s="1"/>
  <c r="I7977" i="1"/>
  <c r="J7977" i="1"/>
  <c r="K7977" i="1"/>
  <c r="O7977" i="1" a="1"/>
  <c r="O7977" i="1" s="1"/>
  <c r="I7978" i="1"/>
  <c r="J7978" i="1"/>
  <c r="K7978" i="1"/>
  <c r="O7978" i="1" a="1"/>
  <c r="O7978" i="1" s="1"/>
  <c r="I7979" i="1"/>
  <c r="J7979" i="1"/>
  <c r="K7979" i="1"/>
  <c r="O7979" i="1" a="1"/>
  <c r="O7979" i="1" s="1"/>
  <c r="I7980" i="1"/>
  <c r="J7980" i="1"/>
  <c r="K7980" i="1"/>
  <c r="O7980" i="1" a="1"/>
  <c r="O7980" i="1" s="1"/>
  <c r="I7981" i="1"/>
  <c r="J7981" i="1"/>
  <c r="K7981" i="1"/>
  <c r="O7981" i="1" a="1"/>
  <c r="O7981" i="1"/>
  <c r="I7982" i="1"/>
  <c r="J7982" i="1"/>
  <c r="K7982" i="1"/>
  <c r="O7982" i="1" a="1"/>
  <c r="O7982" i="1" s="1"/>
  <c r="I7983" i="1"/>
  <c r="J7983" i="1"/>
  <c r="K7983" i="1"/>
  <c r="O7983" i="1" a="1"/>
  <c r="O7983" i="1" s="1"/>
  <c r="I7984" i="1"/>
  <c r="J7984" i="1"/>
  <c r="K7984" i="1"/>
  <c r="O7984" i="1" a="1"/>
  <c r="O7984" i="1" s="1"/>
  <c r="I7985" i="1"/>
  <c r="J7985" i="1"/>
  <c r="K7985" i="1"/>
  <c r="O7985" i="1" a="1"/>
  <c r="O7985" i="1" s="1"/>
  <c r="I7986" i="1"/>
  <c r="J7986" i="1"/>
  <c r="K7986" i="1"/>
  <c r="O7986" i="1" a="1"/>
  <c r="O7986" i="1" s="1"/>
  <c r="I7987" i="1"/>
  <c r="J7987" i="1"/>
  <c r="K7987" i="1"/>
  <c r="O7987" i="1" a="1"/>
  <c r="O7987" i="1" s="1"/>
  <c r="I7988" i="1"/>
  <c r="J7988" i="1"/>
  <c r="K7988" i="1"/>
  <c r="O7988" i="1" a="1"/>
  <c r="O7988" i="1" s="1"/>
  <c r="I7989" i="1"/>
  <c r="J7989" i="1"/>
  <c r="K7989" i="1"/>
  <c r="O7989" i="1" a="1"/>
  <c r="O7989" i="1"/>
  <c r="I7990" i="1"/>
  <c r="J7990" i="1"/>
  <c r="K7990" i="1"/>
  <c r="O7990" i="1" a="1"/>
  <c r="O7990" i="1" s="1"/>
  <c r="I7991" i="1"/>
  <c r="J7991" i="1"/>
  <c r="K7991" i="1"/>
  <c r="O7991" i="1" a="1"/>
  <c r="O7991" i="1" s="1"/>
  <c r="I7992" i="1"/>
  <c r="J7992" i="1"/>
  <c r="K7992" i="1"/>
  <c r="O7992" i="1" a="1"/>
  <c r="O7992" i="1" s="1"/>
  <c r="I7993" i="1"/>
  <c r="J7993" i="1"/>
  <c r="K7993" i="1"/>
  <c r="O7993" i="1" a="1"/>
  <c r="O7993" i="1" s="1"/>
  <c r="I7994" i="1"/>
  <c r="J7994" i="1"/>
  <c r="K7994" i="1"/>
  <c r="O7994" i="1" a="1"/>
  <c r="O7994" i="1" s="1"/>
  <c r="I7995" i="1"/>
  <c r="J7995" i="1"/>
  <c r="K7995" i="1"/>
  <c r="O7995" i="1" a="1"/>
  <c r="O7995" i="1"/>
  <c r="I7996" i="1"/>
  <c r="J7996" i="1"/>
  <c r="K7996" i="1"/>
  <c r="O7996" i="1" a="1"/>
  <c r="O7996" i="1" s="1"/>
  <c r="I7997" i="1"/>
  <c r="J7997" i="1"/>
  <c r="K7997" i="1"/>
  <c r="O7997" i="1" a="1"/>
  <c r="O7997" i="1" s="1"/>
  <c r="I7998" i="1"/>
  <c r="J7998" i="1"/>
  <c r="K7998" i="1"/>
  <c r="O7998" i="1" a="1"/>
  <c r="O7998" i="1" s="1"/>
  <c r="I7999" i="1"/>
  <c r="J7999" i="1"/>
  <c r="K7999" i="1"/>
  <c r="O7999" i="1" a="1"/>
  <c r="O7999" i="1" s="1"/>
  <c r="I8000" i="1"/>
  <c r="J8000" i="1"/>
  <c r="K8000" i="1"/>
  <c r="O8000" i="1" a="1"/>
  <c r="O8000" i="1"/>
  <c r="I8001" i="1"/>
  <c r="J8001" i="1"/>
  <c r="K8001" i="1"/>
  <c r="O8001" i="1" a="1"/>
  <c r="O8001" i="1" s="1"/>
  <c r="I8002" i="1"/>
  <c r="J8002" i="1"/>
  <c r="K8002" i="1"/>
  <c r="O8002" i="1" a="1"/>
  <c r="O8002" i="1" s="1"/>
  <c r="I8003" i="1"/>
  <c r="J8003" i="1"/>
  <c r="K8003" i="1"/>
  <c r="O8003" i="1" a="1"/>
  <c r="O8003" i="1"/>
  <c r="I8004" i="1"/>
  <c r="J8004" i="1"/>
  <c r="K8004" i="1"/>
  <c r="O8004" i="1" a="1"/>
  <c r="O8004" i="1" s="1"/>
  <c r="I8005" i="1"/>
  <c r="J8005" i="1"/>
  <c r="K8005" i="1"/>
  <c r="O8005" i="1" a="1"/>
  <c r="O8005" i="1" s="1"/>
  <c r="I8006" i="1"/>
  <c r="J8006" i="1"/>
  <c r="K8006" i="1"/>
  <c r="O8006" i="1" a="1"/>
  <c r="O8006" i="1" s="1"/>
  <c r="I8007" i="1"/>
  <c r="J8007" i="1"/>
  <c r="K8007" i="1"/>
  <c r="O8007" i="1" a="1"/>
  <c r="O8007" i="1" s="1"/>
  <c r="I8008" i="1"/>
  <c r="J8008" i="1"/>
  <c r="K8008" i="1"/>
  <c r="O8008" i="1" a="1"/>
  <c r="O8008" i="1" s="1"/>
  <c r="I8009" i="1"/>
  <c r="J8009" i="1"/>
  <c r="K8009" i="1"/>
  <c r="O8009" i="1" a="1"/>
  <c r="O8009" i="1" s="1"/>
  <c r="I8010" i="1"/>
  <c r="J8010" i="1"/>
  <c r="K8010" i="1"/>
  <c r="O8010" i="1" a="1"/>
  <c r="O8010" i="1" s="1"/>
  <c r="I8011" i="1"/>
  <c r="J8011" i="1"/>
  <c r="K8011" i="1"/>
  <c r="O8011" i="1" a="1"/>
  <c r="O8011" i="1" s="1"/>
  <c r="I8012" i="1"/>
  <c r="J8012" i="1"/>
  <c r="K8012" i="1"/>
  <c r="O8012" i="1" a="1"/>
  <c r="O8012" i="1" s="1"/>
  <c r="I8013" i="1"/>
  <c r="J8013" i="1"/>
  <c r="K8013" i="1"/>
  <c r="O8013" i="1" a="1"/>
  <c r="O8013" i="1"/>
  <c r="I8014" i="1"/>
  <c r="J8014" i="1"/>
  <c r="K8014" i="1"/>
  <c r="O8014" i="1" a="1"/>
  <c r="O8014" i="1" s="1"/>
  <c r="I8015" i="1"/>
  <c r="J8015" i="1"/>
  <c r="K8015" i="1"/>
  <c r="O8015" i="1" a="1"/>
  <c r="O8015" i="1" s="1"/>
  <c r="I8016" i="1"/>
  <c r="J8016" i="1"/>
  <c r="K8016" i="1"/>
  <c r="O8016" i="1" a="1"/>
  <c r="O8016" i="1" s="1"/>
  <c r="I8017" i="1"/>
  <c r="J8017" i="1"/>
  <c r="K8017" i="1"/>
  <c r="O8017" i="1" a="1"/>
  <c r="O8017" i="1" s="1"/>
  <c r="I8018" i="1"/>
  <c r="J8018" i="1"/>
  <c r="K8018" i="1"/>
  <c r="O8018" i="1" a="1"/>
  <c r="O8018" i="1" s="1"/>
  <c r="I8019" i="1"/>
  <c r="J8019" i="1"/>
  <c r="K8019" i="1"/>
  <c r="O8019" i="1" a="1"/>
  <c r="O8019" i="1" s="1"/>
  <c r="I8020" i="1"/>
  <c r="J8020" i="1"/>
  <c r="K8020" i="1"/>
  <c r="O8020" i="1" a="1"/>
  <c r="O8020" i="1" s="1"/>
  <c r="I8021" i="1"/>
  <c r="J8021" i="1"/>
  <c r="K8021" i="1"/>
  <c r="O8021" i="1" a="1"/>
  <c r="O8021" i="1" s="1"/>
  <c r="I8022" i="1"/>
  <c r="J8022" i="1"/>
  <c r="K8022" i="1"/>
  <c r="O8022" i="1" a="1"/>
  <c r="O8022" i="1" s="1"/>
  <c r="I8023" i="1"/>
  <c r="J8023" i="1"/>
  <c r="K8023" i="1"/>
  <c r="O8023" i="1" a="1"/>
  <c r="O8023" i="1" s="1"/>
  <c r="I8024" i="1"/>
  <c r="J8024" i="1"/>
  <c r="K8024" i="1"/>
  <c r="O8024" i="1" a="1"/>
  <c r="O8024" i="1" s="1"/>
  <c r="I8025" i="1"/>
  <c r="J8025" i="1"/>
  <c r="K8025" i="1"/>
  <c r="O8025" i="1" a="1"/>
  <c r="O8025" i="1" s="1"/>
  <c r="I8026" i="1"/>
  <c r="J8026" i="1"/>
  <c r="K8026" i="1"/>
  <c r="O8026" i="1" a="1"/>
  <c r="O8026" i="1" s="1"/>
  <c r="I8027" i="1"/>
  <c r="J8027" i="1"/>
  <c r="K8027" i="1"/>
  <c r="O8027" i="1" a="1"/>
  <c r="O8027" i="1" s="1"/>
  <c r="I8028" i="1"/>
  <c r="J8028" i="1"/>
  <c r="K8028" i="1"/>
  <c r="O8028" i="1" a="1"/>
  <c r="O8028" i="1" s="1"/>
  <c r="I8029" i="1"/>
  <c r="J8029" i="1"/>
  <c r="K8029" i="1"/>
  <c r="O8029" i="1" a="1"/>
  <c r="O8029" i="1" s="1"/>
  <c r="I8030" i="1"/>
  <c r="J8030" i="1"/>
  <c r="K8030" i="1"/>
  <c r="O8030" i="1" a="1"/>
  <c r="O8030" i="1" s="1"/>
  <c r="I8031" i="1"/>
  <c r="J8031" i="1"/>
  <c r="K8031" i="1"/>
  <c r="O8031" i="1" a="1"/>
  <c r="O8031" i="1" s="1"/>
  <c r="I8032" i="1"/>
  <c r="J8032" i="1"/>
  <c r="K8032" i="1"/>
  <c r="O8032" i="1" a="1"/>
  <c r="O8032" i="1" s="1"/>
  <c r="I8033" i="1"/>
  <c r="J8033" i="1"/>
  <c r="K8033" i="1"/>
  <c r="O8033" i="1" a="1"/>
  <c r="O8033" i="1" s="1"/>
  <c r="I8034" i="1"/>
  <c r="J8034" i="1"/>
  <c r="K8034" i="1"/>
  <c r="O8034" i="1" a="1"/>
  <c r="O8034" i="1" s="1"/>
  <c r="I8035" i="1"/>
  <c r="J8035" i="1"/>
  <c r="K8035" i="1"/>
  <c r="O8035" i="1" a="1"/>
  <c r="O8035" i="1"/>
  <c r="I8036" i="1"/>
  <c r="J8036" i="1"/>
  <c r="K8036" i="1"/>
  <c r="O8036" i="1" a="1"/>
  <c r="O8036" i="1" s="1"/>
  <c r="I8037" i="1"/>
  <c r="J8037" i="1"/>
  <c r="K8037" i="1"/>
  <c r="O8037" i="1" a="1"/>
  <c r="O8037" i="1" s="1"/>
  <c r="I8038" i="1"/>
  <c r="J8038" i="1"/>
  <c r="K8038" i="1"/>
  <c r="O8038" i="1" a="1"/>
  <c r="O8038" i="1" s="1"/>
  <c r="I8039" i="1"/>
  <c r="J8039" i="1"/>
  <c r="K8039" i="1"/>
  <c r="O8039" i="1" a="1"/>
  <c r="O8039" i="1" s="1"/>
  <c r="I8040" i="1"/>
  <c r="J8040" i="1"/>
  <c r="K8040" i="1"/>
  <c r="O8040" i="1" a="1"/>
  <c r="O8040" i="1" s="1"/>
  <c r="I8041" i="1"/>
  <c r="J8041" i="1"/>
  <c r="K8041" i="1"/>
  <c r="O8041" i="1" a="1"/>
  <c r="O8041" i="1" s="1"/>
  <c r="I8042" i="1"/>
  <c r="J8042" i="1"/>
  <c r="K8042" i="1"/>
  <c r="O8042" i="1" a="1"/>
  <c r="O8042" i="1" s="1"/>
  <c r="I8043" i="1"/>
  <c r="J8043" i="1"/>
  <c r="K8043" i="1"/>
  <c r="O8043" i="1" a="1"/>
  <c r="O8043" i="1" s="1"/>
  <c r="I8044" i="1"/>
  <c r="J8044" i="1"/>
  <c r="K8044" i="1"/>
  <c r="O8044" i="1" a="1"/>
  <c r="O8044" i="1" s="1"/>
  <c r="I8045" i="1"/>
  <c r="J8045" i="1"/>
  <c r="K8045" i="1"/>
  <c r="O8045" i="1" a="1"/>
  <c r="O8045" i="1" s="1"/>
  <c r="I8046" i="1"/>
  <c r="J8046" i="1"/>
  <c r="K8046" i="1"/>
  <c r="O8046" i="1" a="1"/>
  <c r="O8046" i="1" s="1"/>
  <c r="I8047" i="1"/>
  <c r="J8047" i="1"/>
  <c r="K8047" i="1"/>
  <c r="O8047" i="1" a="1"/>
  <c r="O8047" i="1" s="1"/>
  <c r="I8048" i="1"/>
  <c r="J8048" i="1"/>
  <c r="K8048" i="1"/>
  <c r="O8048" i="1" a="1"/>
  <c r="O8048" i="1"/>
  <c r="I8049" i="1"/>
  <c r="J8049" i="1"/>
  <c r="K8049" i="1"/>
  <c r="O8049" i="1" a="1"/>
  <c r="O8049" i="1" s="1"/>
  <c r="I8050" i="1"/>
  <c r="J8050" i="1"/>
  <c r="K8050" i="1"/>
  <c r="O8050" i="1" a="1"/>
  <c r="O8050" i="1"/>
  <c r="I8051" i="1"/>
  <c r="J8051" i="1"/>
  <c r="K8051" i="1"/>
  <c r="O8051" i="1" a="1"/>
  <c r="O8051" i="1" s="1"/>
  <c r="I8052" i="1"/>
  <c r="J8052" i="1"/>
  <c r="K8052" i="1"/>
  <c r="O8052" i="1" a="1"/>
  <c r="O8052" i="1" s="1"/>
  <c r="I8053" i="1"/>
  <c r="J8053" i="1"/>
  <c r="K8053" i="1"/>
  <c r="O8053" i="1" a="1"/>
  <c r="O8053" i="1" s="1"/>
  <c r="I8054" i="1"/>
  <c r="J8054" i="1"/>
  <c r="K8054" i="1"/>
  <c r="O8054" i="1" a="1"/>
  <c r="O8054" i="1" s="1"/>
  <c r="I8055" i="1"/>
  <c r="J8055" i="1"/>
  <c r="K8055" i="1"/>
  <c r="O8055" i="1" a="1"/>
  <c r="O8055" i="1" s="1"/>
  <c r="I8056" i="1"/>
  <c r="J8056" i="1"/>
  <c r="K8056" i="1"/>
  <c r="O8056" i="1" a="1"/>
  <c r="O8056" i="1"/>
  <c r="I8057" i="1"/>
  <c r="J8057" i="1"/>
  <c r="K8057" i="1"/>
  <c r="O8057" i="1" a="1"/>
  <c r="O8057" i="1" s="1"/>
  <c r="I8058" i="1"/>
  <c r="J8058" i="1"/>
  <c r="K8058" i="1"/>
  <c r="O8058" i="1" a="1"/>
  <c r="O8058" i="1" s="1"/>
  <c r="I8059" i="1"/>
  <c r="J8059" i="1"/>
  <c r="K8059" i="1"/>
  <c r="O8059" i="1" a="1"/>
  <c r="O8059" i="1" s="1"/>
  <c r="I8060" i="1"/>
  <c r="J8060" i="1"/>
  <c r="K8060" i="1"/>
  <c r="O8060" i="1" a="1"/>
  <c r="O8060" i="1" s="1"/>
  <c r="I8061" i="1"/>
  <c r="J8061" i="1"/>
  <c r="K8061" i="1"/>
  <c r="O8061" i="1" a="1"/>
  <c r="O8061" i="1" s="1"/>
  <c r="I8062" i="1"/>
  <c r="J8062" i="1"/>
  <c r="K8062" i="1"/>
  <c r="O8062" i="1" a="1"/>
  <c r="O8062" i="1"/>
  <c r="I8063" i="1"/>
  <c r="J8063" i="1"/>
  <c r="K8063" i="1"/>
  <c r="O8063" i="1" a="1"/>
  <c r="O8063" i="1" s="1"/>
  <c r="I8064" i="1"/>
  <c r="J8064" i="1"/>
  <c r="K8064" i="1"/>
  <c r="O8064" i="1" a="1"/>
  <c r="O8064" i="1" s="1"/>
  <c r="I8065" i="1"/>
  <c r="J8065" i="1"/>
  <c r="K8065" i="1"/>
  <c r="O8065" i="1" a="1"/>
  <c r="O8065" i="1" s="1"/>
  <c r="I8066" i="1"/>
  <c r="J8066" i="1"/>
  <c r="K8066" i="1"/>
  <c r="O8066" i="1" a="1"/>
  <c r="O8066" i="1" s="1"/>
  <c r="I8067" i="1"/>
  <c r="J8067" i="1"/>
  <c r="K8067" i="1"/>
  <c r="O8067" i="1" a="1"/>
  <c r="O8067" i="1" s="1"/>
  <c r="I8068" i="1"/>
  <c r="J8068" i="1"/>
  <c r="K8068" i="1"/>
  <c r="O8068" i="1" a="1"/>
  <c r="O8068" i="1" s="1"/>
  <c r="I8069" i="1"/>
  <c r="J8069" i="1"/>
  <c r="K8069" i="1"/>
  <c r="O8069" i="1" a="1"/>
  <c r="O8069" i="1" s="1"/>
  <c r="I8070" i="1"/>
  <c r="J8070" i="1"/>
  <c r="K8070" i="1"/>
  <c r="O8070" i="1" a="1"/>
  <c r="O8070" i="1" s="1"/>
  <c r="I8071" i="1"/>
  <c r="J8071" i="1"/>
  <c r="K8071" i="1"/>
  <c r="O8071" i="1" a="1"/>
  <c r="O8071" i="1" s="1"/>
  <c r="I8072" i="1"/>
  <c r="J8072" i="1"/>
  <c r="K8072" i="1"/>
  <c r="O8072" i="1" a="1"/>
  <c r="O8072" i="1" s="1"/>
  <c r="I8073" i="1"/>
  <c r="J8073" i="1"/>
  <c r="K8073" i="1"/>
  <c r="O8073" i="1" a="1"/>
  <c r="O8073" i="1" s="1"/>
  <c r="I8074" i="1"/>
  <c r="J8074" i="1"/>
  <c r="K8074" i="1"/>
  <c r="O8074" i="1" a="1"/>
  <c r="O8074" i="1" s="1"/>
  <c r="I8075" i="1"/>
  <c r="J8075" i="1"/>
  <c r="K8075" i="1"/>
  <c r="O8075" i="1" a="1"/>
  <c r="O8075" i="1"/>
  <c r="I8076" i="1"/>
  <c r="J8076" i="1"/>
  <c r="K8076" i="1"/>
  <c r="O8076" i="1" a="1"/>
  <c r="O8076" i="1" s="1"/>
  <c r="I8077" i="1"/>
  <c r="J8077" i="1"/>
  <c r="K8077" i="1"/>
  <c r="O8077" i="1" a="1"/>
  <c r="O8077" i="1" s="1"/>
  <c r="I8078" i="1"/>
  <c r="J8078" i="1"/>
  <c r="K8078" i="1"/>
  <c r="O8078" i="1" a="1"/>
  <c r="O8078" i="1"/>
  <c r="I8079" i="1"/>
  <c r="J8079" i="1"/>
  <c r="K8079" i="1"/>
  <c r="O8079" i="1" a="1"/>
  <c r="O8079" i="1" s="1"/>
  <c r="I8080" i="1"/>
  <c r="J8080" i="1"/>
  <c r="K8080" i="1"/>
  <c r="O8080" i="1" a="1"/>
  <c r="O8080" i="1" s="1"/>
  <c r="I8081" i="1"/>
  <c r="J8081" i="1"/>
  <c r="K8081" i="1"/>
  <c r="O8081" i="1" a="1"/>
  <c r="O8081" i="1"/>
  <c r="I8082" i="1"/>
  <c r="J8082" i="1"/>
  <c r="K8082" i="1"/>
  <c r="O8082" i="1" a="1"/>
  <c r="O8082" i="1" s="1"/>
  <c r="I8083" i="1"/>
  <c r="J8083" i="1"/>
  <c r="K8083" i="1"/>
  <c r="O8083" i="1" a="1"/>
  <c r="O8083" i="1" s="1"/>
  <c r="I8084" i="1"/>
  <c r="J8084" i="1"/>
  <c r="K8084" i="1"/>
  <c r="O8084" i="1" a="1"/>
  <c r="O8084" i="1" s="1"/>
  <c r="I8085" i="1"/>
  <c r="J8085" i="1"/>
  <c r="K8085" i="1"/>
  <c r="O8085" i="1" a="1"/>
  <c r="O8085" i="1" s="1"/>
  <c r="I8086" i="1"/>
  <c r="J8086" i="1"/>
  <c r="K8086" i="1"/>
  <c r="O8086" i="1" a="1"/>
  <c r="O8086" i="1" s="1"/>
  <c r="I8087" i="1"/>
  <c r="J8087" i="1"/>
  <c r="K8087" i="1"/>
  <c r="O8087" i="1" a="1"/>
  <c r="O8087" i="1" s="1"/>
  <c r="I8088" i="1"/>
  <c r="J8088" i="1"/>
  <c r="K8088" i="1"/>
  <c r="O8088" i="1" a="1"/>
  <c r="O8088" i="1" s="1"/>
  <c r="I8089" i="1"/>
  <c r="J8089" i="1"/>
  <c r="K8089" i="1"/>
  <c r="O8089" i="1" a="1"/>
  <c r="O8089" i="1" s="1"/>
  <c r="I8090" i="1"/>
  <c r="J8090" i="1"/>
  <c r="K8090" i="1"/>
  <c r="O8090" i="1" a="1"/>
  <c r="O8090" i="1" s="1"/>
  <c r="I8091" i="1"/>
  <c r="J8091" i="1"/>
  <c r="K8091" i="1"/>
  <c r="O8091" i="1" a="1"/>
  <c r="O8091" i="1"/>
  <c r="I8092" i="1"/>
  <c r="J8092" i="1"/>
  <c r="K8092" i="1"/>
  <c r="O8092" i="1" a="1"/>
  <c r="O8092" i="1" s="1"/>
  <c r="I8093" i="1"/>
  <c r="J8093" i="1"/>
  <c r="K8093" i="1"/>
  <c r="O8093" i="1" a="1"/>
  <c r="O8093" i="1" s="1"/>
  <c r="I8094" i="1"/>
  <c r="J8094" i="1"/>
  <c r="K8094" i="1"/>
  <c r="O8094" i="1" a="1"/>
  <c r="O8094" i="1"/>
  <c r="I8095" i="1"/>
  <c r="J8095" i="1"/>
  <c r="K8095" i="1"/>
  <c r="O8095" i="1" a="1"/>
  <c r="O8095" i="1" s="1"/>
  <c r="I8096" i="1"/>
  <c r="J8096" i="1"/>
  <c r="K8096" i="1"/>
  <c r="O8096" i="1" a="1"/>
  <c r="O8096" i="1" s="1"/>
  <c r="I8097" i="1"/>
  <c r="J8097" i="1"/>
  <c r="K8097" i="1"/>
  <c r="O8097" i="1" a="1"/>
  <c r="O8097" i="1"/>
  <c r="I8098" i="1"/>
  <c r="J8098" i="1"/>
  <c r="K8098" i="1"/>
  <c r="O8098" i="1" a="1"/>
  <c r="O8098" i="1" s="1"/>
  <c r="I8099" i="1"/>
  <c r="J8099" i="1"/>
  <c r="K8099" i="1"/>
  <c r="O8099" i="1" a="1"/>
  <c r="O8099" i="1" s="1"/>
  <c r="I8100" i="1"/>
  <c r="J8100" i="1"/>
  <c r="K8100" i="1"/>
  <c r="O8100" i="1" a="1"/>
  <c r="O8100" i="1" s="1"/>
  <c r="I8101" i="1"/>
  <c r="J8101" i="1"/>
  <c r="K8101" i="1"/>
  <c r="O8101" i="1" a="1"/>
  <c r="O8101" i="1" s="1"/>
  <c r="I8102" i="1"/>
  <c r="J8102" i="1"/>
  <c r="K8102" i="1"/>
  <c r="O8102" i="1" a="1"/>
  <c r="O8102" i="1" s="1"/>
  <c r="I8103" i="1"/>
  <c r="J8103" i="1"/>
  <c r="K8103" i="1"/>
  <c r="O8103" i="1" a="1"/>
  <c r="O8103" i="1" s="1"/>
  <c r="I8104" i="1"/>
  <c r="J8104" i="1"/>
  <c r="K8104" i="1"/>
  <c r="O8104" i="1" a="1"/>
  <c r="O8104" i="1" s="1"/>
  <c r="I8105" i="1"/>
  <c r="J8105" i="1"/>
  <c r="K8105" i="1"/>
  <c r="O8105" i="1" a="1"/>
  <c r="O8105" i="1" s="1"/>
  <c r="I8106" i="1"/>
  <c r="J8106" i="1"/>
  <c r="K8106" i="1"/>
  <c r="O8106" i="1" a="1"/>
  <c r="O8106" i="1" s="1"/>
  <c r="I8107" i="1"/>
  <c r="J8107" i="1"/>
  <c r="K8107" i="1"/>
  <c r="O8107" i="1" a="1"/>
  <c r="O8107" i="1" s="1"/>
  <c r="I8108" i="1"/>
  <c r="J8108" i="1"/>
  <c r="K8108" i="1"/>
  <c r="O8108" i="1" a="1"/>
  <c r="O8108" i="1" s="1"/>
  <c r="I8109" i="1"/>
  <c r="J8109" i="1"/>
  <c r="K8109" i="1"/>
  <c r="O8109" i="1" a="1"/>
  <c r="O8109" i="1" s="1"/>
  <c r="I8110" i="1"/>
  <c r="J8110" i="1"/>
  <c r="K8110" i="1"/>
  <c r="O8110" i="1" a="1"/>
  <c r="O8110" i="1" s="1"/>
  <c r="I8111" i="1"/>
  <c r="J8111" i="1"/>
  <c r="K8111" i="1"/>
  <c r="O8111" i="1" a="1"/>
  <c r="O8111" i="1" s="1"/>
  <c r="I8112" i="1"/>
  <c r="J8112" i="1"/>
  <c r="K8112" i="1"/>
  <c r="O8112" i="1" a="1"/>
  <c r="O8112" i="1" s="1"/>
  <c r="I8113" i="1"/>
  <c r="J8113" i="1"/>
  <c r="K8113" i="1"/>
  <c r="O8113" i="1" a="1"/>
  <c r="O8113" i="1" s="1"/>
  <c r="I8114" i="1"/>
  <c r="J8114" i="1"/>
  <c r="K8114" i="1"/>
  <c r="O8114" i="1" a="1"/>
  <c r="O8114" i="1"/>
  <c r="I8115" i="1"/>
  <c r="J8115" i="1"/>
  <c r="K8115" i="1"/>
  <c r="O8115" i="1" a="1"/>
  <c r="O8115" i="1" s="1"/>
  <c r="I8116" i="1"/>
  <c r="J8116" i="1"/>
  <c r="K8116" i="1"/>
  <c r="O8116" i="1" a="1"/>
  <c r="O8116" i="1" s="1"/>
  <c r="I8117" i="1"/>
  <c r="J8117" i="1"/>
  <c r="K8117" i="1"/>
  <c r="O8117" i="1" a="1"/>
  <c r="O8117" i="1" s="1"/>
  <c r="I8118" i="1"/>
  <c r="J8118" i="1"/>
  <c r="K8118" i="1"/>
  <c r="O8118" i="1" a="1"/>
  <c r="O8118" i="1" s="1"/>
  <c r="I8119" i="1"/>
  <c r="J8119" i="1"/>
  <c r="K8119" i="1"/>
  <c r="O8119" i="1" a="1"/>
  <c r="O8119" i="1" s="1"/>
  <c r="I8120" i="1"/>
  <c r="J8120" i="1"/>
  <c r="K8120" i="1"/>
  <c r="O8120" i="1" a="1"/>
  <c r="O8120" i="1" s="1"/>
  <c r="I8121" i="1"/>
  <c r="J8121" i="1"/>
  <c r="K8121" i="1"/>
  <c r="O8121" i="1" a="1"/>
  <c r="O8121" i="1" s="1"/>
  <c r="I8122" i="1"/>
  <c r="J8122" i="1"/>
  <c r="K8122" i="1"/>
  <c r="O8122" i="1" a="1"/>
  <c r="O8122" i="1" s="1"/>
  <c r="I8123" i="1"/>
  <c r="J8123" i="1"/>
  <c r="K8123" i="1"/>
  <c r="O8123" i="1" a="1"/>
  <c r="O8123" i="1" s="1"/>
  <c r="I8124" i="1"/>
  <c r="J8124" i="1"/>
  <c r="K8124" i="1"/>
  <c r="O8124" i="1" a="1"/>
  <c r="O8124" i="1" s="1"/>
  <c r="I8125" i="1"/>
  <c r="J8125" i="1"/>
  <c r="K8125" i="1"/>
  <c r="O8125" i="1" a="1"/>
  <c r="O8125" i="1" s="1"/>
  <c r="I8126" i="1"/>
  <c r="J8126" i="1"/>
  <c r="K8126" i="1"/>
  <c r="O8126" i="1" a="1"/>
  <c r="O8126" i="1"/>
  <c r="I8127" i="1"/>
  <c r="J8127" i="1"/>
  <c r="K8127" i="1"/>
  <c r="O8127" i="1" a="1"/>
  <c r="O8127" i="1" s="1"/>
  <c r="I8128" i="1"/>
  <c r="J8128" i="1"/>
  <c r="K8128" i="1"/>
  <c r="O8128" i="1" a="1"/>
  <c r="O8128" i="1" s="1"/>
  <c r="I8129" i="1"/>
  <c r="J8129" i="1"/>
  <c r="K8129" i="1"/>
  <c r="O8129" i="1" a="1"/>
  <c r="O8129" i="1"/>
  <c r="I8130" i="1"/>
  <c r="J8130" i="1"/>
  <c r="K8130" i="1"/>
  <c r="O8130" i="1" a="1"/>
  <c r="O8130" i="1" s="1"/>
  <c r="I8131" i="1"/>
  <c r="J8131" i="1"/>
  <c r="K8131" i="1"/>
  <c r="O8131" i="1" a="1"/>
  <c r="O8131" i="1" s="1"/>
  <c r="I8132" i="1"/>
  <c r="J8132" i="1"/>
  <c r="K8132" i="1"/>
  <c r="O8132" i="1" a="1"/>
  <c r="O8132" i="1" s="1"/>
  <c r="I8133" i="1"/>
  <c r="J8133" i="1"/>
  <c r="K8133" i="1"/>
  <c r="O8133" i="1" a="1"/>
  <c r="O8133" i="1" s="1"/>
  <c r="I8134" i="1"/>
  <c r="J8134" i="1"/>
  <c r="K8134" i="1"/>
  <c r="O8134" i="1" a="1"/>
  <c r="O8134" i="1" s="1"/>
  <c r="I8135" i="1"/>
  <c r="J8135" i="1"/>
  <c r="K8135" i="1"/>
  <c r="O8135" i="1" a="1"/>
  <c r="O8135" i="1" s="1"/>
  <c r="I8136" i="1"/>
  <c r="J8136" i="1"/>
  <c r="K8136" i="1"/>
  <c r="O8136" i="1" a="1"/>
  <c r="O8136" i="1" s="1"/>
  <c r="I8137" i="1"/>
  <c r="J8137" i="1"/>
  <c r="K8137" i="1"/>
  <c r="O8137" i="1" a="1"/>
  <c r="O8137" i="1" s="1"/>
  <c r="I8138" i="1"/>
  <c r="J8138" i="1"/>
  <c r="K8138" i="1"/>
  <c r="O8138" i="1" a="1"/>
  <c r="O8138" i="1" s="1"/>
  <c r="I8139" i="1"/>
  <c r="J8139" i="1"/>
  <c r="K8139" i="1"/>
  <c r="O8139" i="1" a="1"/>
  <c r="O8139" i="1" s="1"/>
  <c r="I8140" i="1"/>
  <c r="J8140" i="1"/>
  <c r="K8140" i="1"/>
  <c r="O8140" i="1" a="1"/>
  <c r="O8140" i="1" s="1"/>
  <c r="I8141" i="1"/>
  <c r="J8141" i="1"/>
  <c r="K8141" i="1"/>
  <c r="O8141" i="1" a="1"/>
  <c r="O8141" i="1" s="1"/>
  <c r="I8142" i="1"/>
  <c r="J8142" i="1"/>
  <c r="K8142" i="1"/>
  <c r="O8142" i="1" a="1"/>
  <c r="O8142" i="1" s="1"/>
  <c r="I8143" i="1"/>
  <c r="J8143" i="1"/>
  <c r="K8143" i="1"/>
  <c r="O8143" i="1" a="1"/>
  <c r="O8143" i="1" s="1"/>
  <c r="I8144" i="1"/>
  <c r="J8144" i="1"/>
  <c r="K8144" i="1"/>
  <c r="O8144" i="1" a="1"/>
  <c r="O8144" i="1" s="1"/>
  <c r="I8145" i="1"/>
  <c r="J8145" i="1"/>
  <c r="K8145" i="1"/>
  <c r="O8145" i="1" a="1"/>
  <c r="O8145" i="1" s="1"/>
  <c r="I8146" i="1"/>
  <c r="J8146" i="1"/>
  <c r="K8146" i="1"/>
  <c r="O8146" i="1" a="1"/>
  <c r="O8146" i="1" s="1"/>
  <c r="I8147" i="1"/>
  <c r="J8147" i="1"/>
  <c r="K8147" i="1"/>
  <c r="O8147" i="1" a="1"/>
  <c r="O8147" i="1" s="1"/>
  <c r="I8148" i="1"/>
  <c r="J8148" i="1"/>
  <c r="K8148" i="1"/>
  <c r="O8148" i="1" a="1"/>
  <c r="O8148" i="1" s="1"/>
  <c r="I8149" i="1"/>
  <c r="J8149" i="1"/>
  <c r="K8149" i="1"/>
  <c r="O8149" i="1" a="1"/>
  <c r="O8149" i="1" s="1"/>
  <c r="I8150" i="1"/>
  <c r="J8150" i="1"/>
  <c r="K8150" i="1"/>
  <c r="O8150" i="1" a="1"/>
  <c r="O8150" i="1" s="1"/>
  <c r="I8151" i="1"/>
  <c r="J8151" i="1"/>
  <c r="K8151" i="1"/>
  <c r="O8151" i="1" a="1"/>
  <c r="O8151" i="1" s="1"/>
  <c r="I8152" i="1"/>
  <c r="J8152" i="1"/>
  <c r="K8152" i="1"/>
  <c r="O8152" i="1" a="1"/>
  <c r="O8152" i="1" s="1"/>
  <c r="I8153" i="1"/>
  <c r="J8153" i="1"/>
  <c r="K8153" i="1"/>
  <c r="O8153" i="1" a="1"/>
  <c r="O8153" i="1" s="1"/>
  <c r="I8154" i="1"/>
  <c r="J8154" i="1"/>
  <c r="K8154" i="1"/>
  <c r="O8154" i="1" a="1"/>
  <c r="O8154" i="1" s="1"/>
  <c r="I8155" i="1"/>
  <c r="J8155" i="1"/>
  <c r="K8155" i="1"/>
  <c r="O8155" i="1" a="1"/>
  <c r="O8155" i="1" s="1"/>
  <c r="I8156" i="1"/>
  <c r="J8156" i="1"/>
  <c r="K8156" i="1"/>
  <c r="O8156" i="1" a="1"/>
  <c r="O8156" i="1" s="1"/>
  <c r="I8157" i="1"/>
  <c r="J8157" i="1"/>
  <c r="K8157" i="1"/>
  <c r="O8157" i="1" a="1"/>
  <c r="O8157" i="1" s="1"/>
  <c r="I8158" i="1"/>
  <c r="J8158" i="1"/>
  <c r="K8158" i="1"/>
  <c r="O8158" i="1" a="1"/>
  <c r="O8158" i="1" s="1"/>
  <c r="I8159" i="1"/>
  <c r="J8159" i="1"/>
  <c r="K8159" i="1"/>
  <c r="O8159" i="1" a="1"/>
  <c r="O8159" i="1" s="1"/>
  <c r="I8160" i="1"/>
  <c r="J8160" i="1"/>
  <c r="K8160" i="1"/>
  <c r="O8160" i="1" a="1"/>
  <c r="O8160" i="1" s="1"/>
  <c r="I8161" i="1"/>
  <c r="J8161" i="1"/>
  <c r="K8161" i="1"/>
  <c r="O8161" i="1" a="1"/>
  <c r="O8161" i="1" s="1"/>
  <c r="I8162" i="1"/>
  <c r="J8162" i="1"/>
  <c r="K8162" i="1"/>
  <c r="O8162" i="1" a="1"/>
  <c r="O8162" i="1" s="1"/>
  <c r="I8163" i="1"/>
  <c r="J8163" i="1"/>
  <c r="K8163" i="1"/>
  <c r="O8163" i="1" a="1"/>
  <c r="O8163" i="1" s="1"/>
  <c r="I8164" i="1"/>
  <c r="J8164" i="1"/>
  <c r="K8164" i="1"/>
  <c r="O8164" i="1" a="1"/>
  <c r="O8164" i="1" s="1"/>
  <c r="I8165" i="1"/>
  <c r="J8165" i="1"/>
  <c r="K8165" i="1"/>
  <c r="O8165" i="1" a="1"/>
  <c r="O8165" i="1" s="1"/>
  <c r="I8166" i="1"/>
  <c r="J8166" i="1"/>
  <c r="K8166" i="1"/>
  <c r="O8166" i="1" a="1"/>
  <c r="O8166" i="1" s="1"/>
  <c r="I8167" i="1"/>
  <c r="J8167" i="1"/>
  <c r="K8167" i="1"/>
  <c r="O8167" i="1" a="1"/>
  <c r="O8167" i="1" s="1"/>
  <c r="I8168" i="1"/>
  <c r="J8168" i="1"/>
  <c r="K8168" i="1"/>
  <c r="O8168" i="1" a="1"/>
  <c r="O8168" i="1" s="1"/>
  <c r="I8169" i="1"/>
  <c r="J8169" i="1"/>
  <c r="K8169" i="1"/>
  <c r="O8169" i="1" a="1"/>
  <c r="O8169" i="1" s="1"/>
  <c r="I8170" i="1"/>
  <c r="J8170" i="1"/>
  <c r="K8170" i="1"/>
  <c r="O8170" i="1" a="1"/>
  <c r="O8170" i="1" s="1"/>
  <c r="I8171" i="1"/>
  <c r="J8171" i="1"/>
  <c r="K8171" i="1"/>
  <c r="O8171" i="1" a="1"/>
  <c r="O8171" i="1"/>
  <c r="I8172" i="1"/>
  <c r="J8172" i="1"/>
  <c r="K8172" i="1"/>
  <c r="O8172" i="1" a="1"/>
  <c r="O8172" i="1" s="1"/>
  <c r="I8173" i="1"/>
  <c r="J8173" i="1"/>
  <c r="K8173" i="1"/>
  <c r="O8173" i="1" a="1"/>
  <c r="O8173" i="1" s="1"/>
  <c r="I8174" i="1"/>
  <c r="J8174" i="1"/>
  <c r="K8174" i="1"/>
  <c r="O8174" i="1" a="1"/>
  <c r="O8174" i="1"/>
  <c r="I8175" i="1"/>
  <c r="J8175" i="1"/>
  <c r="K8175" i="1"/>
  <c r="O8175" i="1" a="1"/>
  <c r="O8175" i="1" s="1"/>
  <c r="I8176" i="1"/>
  <c r="J8176" i="1"/>
  <c r="K8176" i="1"/>
  <c r="O8176" i="1" a="1"/>
  <c r="O8176" i="1" s="1"/>
  <c r="I8177" i="1"/>
  <c r="J8177" i="1"/>
  <c r="K8177" i="1"/>
  <c r="O8177" i="1" a="1"/>
  <c r="O8177" i="1" s="1"/>
  <c r="I8178" i="1"/>
  <c r="J8178" i="1"/>
  <c r="K8178" i="1"/>
  <c r="O8178" i="1" a="1"/>
  <c r="O8178" i="1" s="1"/>
  <c r="I8179" i="1"/>
  <c r="J8179" i="1"/>
  <c r="K8179" i="1"/>
  <c r="O8179" i="1" a="1"/>
  <c r="O8179" i="1" s="1"/>
  <c r="I8180" i="1"/>
  <c r="J8180" i="1"/>
  <c r="K8180" i="1"/>
  <c r="O8180" i="1" a="1"/>
  <c r="O8180" i="1" s="1"/>
  <c r="I8181" i="1"/>
  <c r="J8181" i="1"/>
  <c r="K8181" i="1"/>
  <c r="O8181" i="1" a="1"/>
  <c r="O8181" i="1" s="1"/>
  <c r="I8182" i="1"/>
  <c r="J8182" i="1"/>
  <c r="K8182" i="1"/>
  <c r="O8182" i="1" a="1"/>
  <c r="O8182" i="1" s="1"/>
  <c r="I8183" i="1"/>
  <c r="J8183" i="1"/>
  <c r="K8183" i="1"/>
  <c r="O8183" i="1" a="1"/>
  <c r="O8183" i="1" s="1"/>
  <c r="I8184" i="1"/>
  <c r="J8184" i="1"/>
  <c r="K8184" i="1"/>
  <c r="O8184" i="1" a="1"/>
  <c r="O8184" i="1" s="1"/>
  <c r="I8185" i="1"/>
  <c r="J8185" i="1"/>
  <c r="K8185" i="1"/>
  <c r="O8185" i="1" a="1"/>
  <c r="O8185" i="1" s="1"/>
  <c r="I8186" i="1"/>
  <c r="J8186" i="1"/>
  <c r="K8186" i="1"/>
  <c r="O8186" i="1" a="1"/>
  <c r="O8186" i="1"/>
  <c r="I8187" i="1"/>
  <c r="J8187" i="1"/>
  <c r="K8187" i="1"/>
  <c r="O8187" i="1" a="1"/>
  <c r="O8187" i="1" s="1"/>
  <c r="I8188" i="1"/>
  <c r="J8188" i="1"/>
  <c r="K8188" i="1"/>
  <c r="O8188" i="1" a="1"/>
  <c r="O8188" i="1" s="1"/>
  <c r="I8189" i="1"/>
  <c r="J8189" i="1"/>
  <c r="K8189" i="1"/>
  <c r="O8189" i="1" a="1"/>
  <c r="O8189" i="1" s="1"/>
  <c r="I8190" i="1"/>
  <c r="J8190" i="1"/>
  <c r="K8190" i="1"/>
  <c r="O8190" i="1" a="1"/>
  <c r="O8190" i="1" s="1"/>
  <c r="I8191" i="1"/>
  <c r="J8191" i="1"/>
  <c r="K8191" i="1"/>
  <c r="O8191" i="1" a="1"/>
  <c r="O8191" i="1" s="1"/>
  <c r="I8192" i="1"/>
  <c r="J8192" i="1"/>
  <c r="K8192" i="1"/>
  <c r="O8192" i="1" a="1"/>
  <c r="O8192" i="1" s="1"/>
  <c r="I8193" i="1"/>
  <c r="J8193" i="1"/>
  <c r="K8193" i="1"/>
  <c r="O8193" i="1" a="1"/>
  <c r="O8193" i="1"/>
  <c r="I8194" i="1"/>
  <c r="J8194" i="1"/>
  <c r="K8194" i="1"/>
  <c r="O8194" i="1" a="1"/>
  <c r="O8194" i="1" s="1"/>
  <c r="I8195" i="1"/>
  <c r="J8195" i="1"/>
  <c r="K8195" i="1"/>
  <c r="O8195" i="1" a="1"/>
  <c r="O8195" i="1" s="1"/>
  <c r="I8196" i="1"/>
  <c r="J8196" i="1"/>
  <c r="K8196" i="1"/>
  <c r="O8196" i="1" a="1"/>
  <c r="O8196" i="1" s="1"/>
  <c r="I8197" i="1"/>
  <c r="J8197" i="1"/>
  <c r="K8197" i="1"/>
  <c r="O8197" i="1" a="1"/>
  <c r="O8197" i="1" s="1"/>
  <c r="I8198" i="1"/>
  <c r="J8198" i="1"/>
  <c r="K8198" i="1"/>
  <c r="O8198" i="1" a="1"/>
  <c r="O8198" i="1" s="1"/>
  <c r="I8199" i="1"/>
  <c r="J8199" i="1"/>
  <c r="K8199" i="1"/>
  <c r="O8199" i="1" a="1"/>
  <c r="O8199" i="1" s="1"/>
  <c r="I8200" i="1"/>
  <c r="J8200" i="1"/>
  <c r="K8200" i="1"/>
  <c r="O8200" i="1" a="1"/>
  <c r="O8200" i="1" s="1"/>
  <c r="I8201" i="1"/>
  <c r="J8201" i="1"/>
  <c r="K8201" i="1"/>
  <c r="O8201" i="1" a="1"/>
  <c r="O8201" i="1" s="1"/>
  <c r="I8202" i="1"/>
  <c r="J8202" i="1"/>
  <c r="K8202" i="1"/>
  <c r="O8202" i="1" a="1"/>
  <c r="O8202" i="1"/>
  <c r="I8203" i="1"/>
  <c r="J8203" i="1"/>
  <c r="K8203" i="1"/>
  <c r="O8203" i="1" a="1"/>
  <c r="O8203" i="1" s="1"/>
  <c r="I8204" i="1"/>
  <c r="J8204" i="1"/>
  <c r="K8204" i="1"/>
  <c r="O8204" i="1" a="1"/>
  <c r="O8204" i="1" s="1"/>
  <c r="I8205" i="1"/>
  <c r="J8205" i="1"/>
  <c r="K8205" i="1"/>
  <c r="O8205" i="1" a="1"/>
  <c r="O8205" i="1" s="1"/>
  <c r="I8206" i="1"/>
  <c r="J8206" i="1"/>
  <c r="K8206" i="1"/>
  <c r="O8206" i="1" a="1"/>
  <c r="O8206" i="1" s="1"/>
  <c r="I8207" i="1"/>
  <c r="J8207" i="1"/>
  <c r="K8207" i="1"/>
  <c r="O8207" i="1" a="1"/>
  <c r="O8207" i="1" s="1"/>
  <c r="I8208" i="1"/>
  <c r="J8208" i="1"/>
  <c r="K8208" i="1"/>
  <c r="O8208" i="1" a="1"/>
  <c r="O8208" i="1" s="1"/>
  <c r="I8209" i="1"/>
  <c r="J8209" i="1"/>
  <c r="K8209" i="1"/>
  <c r="O8209" i="1" a="1"/>
  <c r="O8209" i="1"/>
  <c r="I8210" i="1"/>
  <c r="J8210" i="1"/>
  <c r="K8210" i="1"/>
  <c r="O8210" i="1" a="1"/>
  <c r="O8210" i="1" s="1"/>
  <c r="I8211" i="1"/>
  <c r="J8211" i="1"/>
  <c r="K8211" i="1"/>
  <c r="O8211" i="1" a="1"/>
  <c r="O8211" i="1"/>
  <c r="I8212" i="1"/>
  <c r="J8212" i="1"/>
  <c r="K8212" i="1"/>
  <c r="O8212" i="1" a="1"/>
  <c r="O8212" i="1" s="1"/>
  <c r="I8213" i="1"/>
  <c r="J8213" i="1"/>
  <c r="K8213" i="1"/>
  <c r="O8213" i="1" a="1"/>
  <c r="O8213" i="1" s="1"/>
  <c r="I8214" i="1"/>
  <c r="J8214" i="1"/>
  <c r="K8214" i="1"/>
  <c r="O8214" i="1" a="1"/>
  <c r="O8214" i="1" s="1"/>
  <c r="I8215" i="1"/>
  <c r="J8215" i="1"/>
  <c r="K8215" i="1"/>
  <c r="O8215" i="1" a="1"/>
  <c r="O8215" i="1" s="1"/>
  <c r="I8216" i="1"/>
  <c r="J8216" i="1"/>
  <c r="K8216" i="1"/>
  <c r="O8216" i="1" a="1"/>
  <c r="O8216" i="1" s="1"/>
  <c r="I8217" i="1"/>
  <c r="J8217" i="1"/>
  <c r="K8217" i="1"/>
  <c r="O8217" i="1" a="1"/>
  <c r="O8217" i="1" s="1"/>
  <c r="I8218" i="1"/>
  <c r="J8218" i="1"/>
  <c r="K8218" i="1"/>
  <c r="O8218" i="1" a="1"/>
  <c r="O8218" i="1" s="1"/>
  <c r="I8219" i="1"/>
  <c r="J8219" i="1"/>
  <c r="K8219" i="1"/>
  <c r="O8219" i="1" a="1"/>
  <c r="O8219" i="1"/>
  <c r="I8220" i="1"/>
  <c r="J8220" i="1"/>
  <c r="K8220" i="1"/>
  <c r="O8220" i="1" a="1"/>
  <c r="O8220" i="1" s="1"/>
  <c r="I8221" i="1"/>
  <c r="J8221" i="1"/>
  <c r="K8221" i="1"/>
  <c r="O8221" i="1" a="1"/>
  <c r="O8221" i="1" s="1"/>
  <c r="I8222" i="1"/>
  <c r="J8222" i="1"/>
  <c r="K8222" i="1"/>
  <c r="O8222" i="1" a="1"/>
  <c r="O8222" i="1" s="1"/>
  <c r="I8223" i="1"/>
  <c r="J8223" i="1"/>
  <c r="K8223" i="1"/>
  <c r="O8223" i="1" a="1"/>
  <c r="O8223" i="1" s="1"/>
  <c r="I8224" i="1"/>
  <c r="J8224" i="1"/>
  <c r="K8224" i="1"/>
  <c r="O8224" i="1" a="1"/>
  <c r="O8224" i="1" s="1"/>
  <c r="I8225" i="1"/>
  <c r="J8225" i="1"/>
  <c r="K8225" i="1"/>
  <c r="O8225" i="1" a="1"/>
  <c r="O8225" i="1" s="1"/>
  <c r="I8226" i="1"/>
  <c r="J8226" i="1"/>
  <c r="K8226" i="1"/>
  <c r="O8226" i="1" a="1"/>
  <c r="O8226" i="1" s="1"/>
  <c r="I8227" i="1"/>
  <c r="J8227" i="1"/>
  <c r="K8227" i="1"/>
  <c r="O8227" i="1" a="1"/>
  <c r="O8227" i="1" s="1"/>
  <c r="I8228" i="1"/>
  <c r="J8228" i="1"/>
  <c r="K8228" i="1"/>
  <c r="O8228" i="1" a="1"/>
  <c r="O8228" i="1" s="1"/>
  <c r="I8229" i="1"/>
  <c r="J8229" i="1"/>
  <c r="K8229" i="1"/>
  <c r="O8229" i="1" a="1"/>
  <c r="O8229" i="1" s="1"/>
  <c r="I8230" i="1"/>
  <c r="J8230" i="1"/>
  <c r="K8230" i="1"/>
  <c r="O8230" i="1" a="1"/>
  <c r="O8230" i="1" s="1"/>
  <c r="I8231" i="1"/>
  <c r="J8231" i="1"/>
  <c r="K8231" i="1"/>
  <c r="O8231" i="1" a="1"/>
  <c r="O8231" i="1" s="1"/>
  <c r="I8232" i="1"/>
  <c r="J8232" i="1"/>
  <c r="K8232" i="1"/>
  <c r="O8232" i="1" a="1"/>
  <c r="O8232" i="1" s="1"/>
  <c r="I8233" i="1"/>
  <c r="J8233" i="1"/>
  <c r="K8233" i="1"/>
  <c r="O8233" i="1" a="1"/>
  <c r="O8233" i="1" s="1"/>
  <c r="I8234" i="1"/>
  <c r="J8234" i="1"/>
  <c r="K8234" i="1"/>
  <c r="O8234" i="1" a="1"/>
  <c r="O8234" i="1"/>
  <c r="I8235" i="1"/>
  <c r="J8235" i="1"/>
  <c r="K8235" i="1"/>
  <c r="O8235" i="1" a="1"/>
  <c r="O8235" i="1" s="1"/>
  <c r="I8236" i="1"/>
  <c r="J8236" i="1"/>
  <c r="K8236" i="1"/>
  <c r="O8236" i="1" a="1"/>
  <c r="O8236" i="1" s="1"/>
  <c r="I8237" i="1"/>
  <c r="J8237" i="1"/>
  <c r="K8237" i="1"/>
  <c r="O8237" i="1" a="1"/>
  <c r="O8237" i="1" s="1"/>
  <c r="I8238" i="1"/>
  <c r="J8238" i="1"/>
  <c r="K8238" i="1"/>
  <c r="O8238" i="1" a="1"/>
  <c r="O8238" i="1" s="1"/>
  <c r="I8239" i="1"/>
  <c r="J8239" i="1"/>
  <c r="K8239" i="1"/>
  <c r="O8239" i="1" a="1"/>
  <c r="O8239" i="1" s="1"/>
  <c r="I8240" i="1"/>
  <c r="J8240" i="1"/>
  <c r="K8240" i="1"/>
  <c r="O8240" i="1" a="1"/>
  <c r="O8240" i="1" s="1"/>
  <c r="I8241" i="1"/>
  <c r="J8241" i="1"/>
  <c r="K8241" i="1"/>
  <c r="O8241" i="1" a="1"/>
  <c r="O8241" i="1" s="1"/>
  <c r="I8242" i="1"/>
  <c r="J8242" i="1"/>
  <c r="K8242" i="1"/>
  <c r="O8242" i="1" a="1"/>
  <c r="O8242" i="1" s="1"/>
  <c r="I8243" i="1"/>
  <c r="J8243" i="1"/>
  <c r="K8243" i="1"/>
  <c r="O8243" i="1" a="1"/>
  <c r="O8243" i="1" s="1"/>
  <c r="I8244" i="1"/>
  <c r="J8244" i="1"/>
  <c r="K8244" i="1"/>
  <c r="O8244" i="1" a="1"/>
  <c r="O8244" i="1" s="1"/>
  <c r="I8245" i="1"/>
  <c r="J8245" i="1"/>
  <c r="K8245" i="1"/>
  <c r="O8245" i="1" a="1"/>
  <c r="O8245" i="1" s="1"/>
  <c r="I8246" i="1"/>
  <c r="J8246" i="1"/>
  <c r="K8246" i="1"/>
  <c r="O8246" i="1" a="1"/>
  <c r="O8246" i="1" s="1"/>
  <c r="I8247" i="1"/>
  <c r="J8247" i="1"/>
  <c r="K8247" i="1"/>
  <c r="O8247" i="1" a="1"/>
  <c r="O8247" i="1" s="1"/>
  <c r="I8248" i="1"/>
  <c r="J8248" i="1"/>
  <c r="K8248" i="1"/>
  <c r="O8248" i="1" a="1"/>
  <c r="O8248" i="1" s="1"/>
  <c r="I8249" i="1"/>
  <c r="J8249" i="1"/>
  <c r="K8249" i="1"/>
  <c r="O8249" i="1" a="1"/>
  <c r="O8249" i="1" s="1"/>
  <c r="I8250" i="1"/>
  <c r="J8250" i="1"/>
  <c r="K8250" i="1"/>
  <c r="O8250" i="1" a="1"/>
  <c r="O8250" i="1" s="1"/>
  <c r="I8251" i="1"/>
  <c r="J8251" i="1"/>
  <c r="K8251" i="1"/>
  <c r="O8251" i="1" a="1"/>
  <c r="O8251" i="1" s="1"/>
  <c r="I8252" i="1"/>
  <c r="J8252" i="1"/>
  <c r="K8252" i="1"/>
  <c r="O8252" i="1" a="1"/>
  <c r="O8252" i="1" s="1"/>
  <c r="I8253" i="1"/>
  <c r="J8253" i="1"/>
  <c r="K8253" i="1"/>
  <c r="O8253" i="1" a="1"/>
  <c r="O8253" i="1" s="1"/>
  <c r="I8254" i="1"/>
  <c r="J8254" i="1"/>
  <c r="K8254" i="1"/>
  <c r="O8254" i="1" a="1"/>
  <c r="O8254" i="1" s="1"/>
  <c r="I8255" i="1"/>
  <c r="J8255" i="1"/>
  <c r="K8255" i="1"/>
  <c r="O8255" i="1" a="1"/>
  <c r="O8255" i="1" s="1"/>
  <c r="I8256" i="1"/>
  <c r="J8256" i="1"/>
  <c r="K8256" i="1"/>
  <c r="O8256" i="1" a="1"/>
  <c r="O8256" i="1" s="1"/>
  <c r="I8257" i="1"/>
  <c r="J8257" i="1"/>
  <c r="K8257" i="1"/>
  <c r="O8257" i="1" a="1"/>
  <c r="O8257" i="1" s="1"/>
  <c r="I8258" i="1"/>
  <c r="J8258" i="1"/>
  <c r="K8258" i="1"/>
  <c r="O8258" i="1" a="1"/>
  <c r="O8258" i="1" s="1"/>
  <c r="I8259" i="1"/>
  <c r="J8259" i="1"/>
  <c r="K8259" i="1"/>
  <c r="O8259" i="1" a="1"/>
  <c r="O8259" i="1" s="1"/>
  <c r="I8260" i="1"/>
  <c r="J8260" i="1"/>
  <c r="K8260" i="1"/>
  <c r="O8260" i="1" a="1"/>
  <c r="O8260" i="1" s="1"/>
  <c r="I8261" i="1"/>
  <c r="J8261" i="1"/>
  <c r="K8261" i="1"/>
  <c r="O8261" i="1" a="1"/>
  <c r="O8261" i="1" s="1"/>
  <c r="I8262" i="1"/>
  <c r="J8262" i="1"/>
  <c r="K8262" i="1"/>
  <c r="O8262" i="1" a="1"/>
  <c r="O8262" i="1"/>
  <c r="I8263" i="1"/>
  <c r="J8263" i="1"/>
  <c r="K8263" i="1"/>
  <c r="O8263" i="1" a="1"/>
  <c r="O8263" i="1" s="1"/>
  <c r="I8264" i="1"/>
  <c r="J8264" i="1"/>
  <c r="K8264" i="1"/>
  <c r="O8264" i="1" a="1"/>
  <c r="O8264" i="1" s="1"/>
  <c r="I8265" i="1"/>
  <c r="J8265" i="1"/>
  <c r="K8265" i="1"/>
  <c r="O8265" i="1" a="1"/>
  <c r="O8265" i="1" s="1"/>
  <c r="I8266" i="1"/>
  <c r="J8266" i="1"/>
  <c r="K8266" i="1"/>
  <c r="O8266" i="1" a="1"/>
  <c r="O8266" i="1" s="1"/>
  <c r="I8267" i="1"/>
  <c r="J8267" i="1"/>
  <c r="K8267" i="1"/>
  <c r="O8267" i="1" a="1"/>
  <c r="O8267" i="1"/>
  <c r="I8268" i="1"/>
  <c r="J8268" i="1"/>
  <c r="K8268" i="1"/>
  <c r="O8268" i="1" a="1"/>
  <c r="O8268" i="1" s="1"/>
  <c r="I8269" i="1"/>
  <c r="J8269" i="1"/>
  <c r="K8269" i="1"/>
  <c r="O8269" i="1" a="1"/>
  <c r="O8269" i="1" s="1"/>
  <c r="I8270" i="1"/>
  <c r="J8270" i="1"/>
  <c r="K8270" i="1"/>
  <c r="O8270" i="1" a="1"/>
  <c r="O8270" i="1" s="1"/>
  <c r="I8271" i="1"/>
  <c r="J8271" i="1"/>
  <c r="K8271" i="1"/>
  <c r="O8271" i="1" a="1"/>
  <c r="O8271" i="1" s="1"/>
  <c r="I8272" i="1"/>
  <c r="J8272" i="1"/>
  <c r="K8272" i="1"/>
  <c r="O8272" i="1" a="1"/>
  <c r="O8272" i="1" s="1"/>
  <c r="I8273" i="1"/>
  <c r="J8273" i="1"/>
  <c r="K8273" i="1"/>
  <c r="O8273" i="1" a="1"/>
  <c r="O8273" i="1" s="1"/>
  <c r="I8274" i="1"/>
  <c r="J8274" i="1"/>
  <c r="K8274" i="1"/>
  <c r="O8274" i="1" a="1"/>
  <c r="O8274" i="1" s="1"/>
  <c r="I8275" i="1"/>
  <c r="J8275" i="1"/>
  <c r="K8275" i="1"/>
  <c r="O8275" i="1" a="1"/>
  <c r="O8275" i="1" s="1"/>
  <c r="I8276" i="1"/>
  <c r="J8276" i="1"/>
  <c r="K8276" i="1"/>
  <c r="O8276" i="1" a="1"/>
  <c r="O8276" i="1" s="1"/>
  <c r="I8277" i="1"/>
  <c r="J8277" i="1"/>
  <c r="K8277" i="1"/>
  <c r="O8277" i="1" a="1"/>
  <c r="O8277" i="1" s="1"/>
  <c r="I8278" i="1"/>
  <c r="J8278" i="1"/>
  <c r="K8278" i="1"/>
  <c r="O8278" i="1" a="1"/>
  <c r="O8278" i="1" s="1"/>
  <c r="I8279" i="1"/>
  <c r="J8279" i="1"/>
  <c r="K8279" i="1"/>
  <c r="O8279" i="1" a="1"/>
  <c r="O8279" i="1" s="1"/>
  <c r="I8280" i="1"/>
  <c r="J8280" i="1"/>
  <c r="K8280" i="1"/>
  <c r="O8280" i="1" a="1"/>
  <c r="O8280" i="1" s="1"/>
  <c r="I8281" i="1"/>
  <c r="J8281" i="1"/>
  <c r="K8281" i="1"/>
  <c r="O8281" i="1" a="1"/>
  <c r="O8281" i="1" s="1"/>
  <c r="I8282" i="1"/>
  <c r="J8282" i="1"/>
  <c r="K8282" i="1"/>
  <c r="O8282" i="1" a="1"/>
  <c r="O8282" i="1" s="1"/>
  <c r="I8283" i="1"/>
  <c r="J8283" i="1"/>
  <c r="K8283" i="1"/>
  <c r="O8283" i="1" a="1"/>
  <c r="O8283" i="1" s="1"/>
  <c r="I8284" i="1"/>
  <c r="J8284" i="1"/>
  <c r="K8284" i="1"/>
  <c r="O8284" i="1" a="1"/>
  <c r="O8284" i="1" s="1"/>
  <c r="I8285" i="1"/>
  <c r="J8285" i="1"/>
  <c r="K8285" i="1"/>
  <c r="O8285" i="1" a="1"/>
  <c r="O8285" i="1" s="1"/>
  <c r="I8286" i="1"/>
  <c r="J8286" i="1"/>
  <c r="K8286" i="1"/>
  <c r="O8286" i="1" a="1"/>
  <c r="O8286" i="1" s="1"/>
  <c r="I8287" i="1"/>
  <c r="J8287" i="1"/>
  <c r="K8287" i="1"/>
  <c r="O8287" i="1" a="1"/>
  <c r="O8287" i="1" s="1"/>
  <c r="I8288" i="1"/>
  <c r="J8288" i="1"/>
  <c r="K8288" i="1"/>
  <c r="O8288" i="1" a="1"/>
  <c r="O8288" i="1" s="1"/>
  <c r="I8289" i="1"/>
  <c r="J8289" i="1"/>
  <c r="K8289" i="1"/>
  <c r="O8289" i="1" a="1"/>
  <c r="O8289" i="1" s="1"/>
  <c r="I8290" i="1"/>
  <c r="J8290" i="1"/>
  <c r="K8290" i="1"/>
  <c r="O8290" i="1" a="1"/>
  <c r="O8290" i="1" s="1"/>
  <c r="I8291" i="1"/>
  <c r="J8291" i="1"/>
  <c r="K8291" i="1"/>
  <c r="O8291" i="1" a="1"/>
  <c r="O8291" i="1" s="1"/>
  <c r="I8292" i="1"/>
  <c r="J8292" i="1"/>
  <c r="K8292" i="1"/>
  <c r="O8292" i="1" a="1"/>
  <c r="O8292" i="1" s="1"/>
  <c r="I8293" i="1"/>
  <c r="J8293" i="1"/>
  <c r="K8293" i="1"/>
  <c r="O8293" i="1" a="1"/>
  <c r="O8293" i="1" s="1"/>
  <c r="I8294" i="1"/>
  <c r="J8294" i="1"/>
  <c r="K8294" i="1"/>
  <c r="O8294" i="1" a="1"/>
  <c r="O8294" i="1" s="1"/>
  <c r="I8295" i="1"/>
  <c r="J8295" i="1"/>
  <c r="K8295" i="1"/>
  <c r="O8295" i="1" a="1"/>
  <c r="O8295" i="1" s="1"/>
  <c r="I8296" i="1"/>
  <c r="J8296" i="1"/>
  <c r="K8296" i="1"/>
  <c r="O8296" i="1" a="1"/>
  <c r="O8296" i="1" s="1"/>
  <c r="I8297" i="1"/>
  <c r="J8297" i="1"/>
  <c r="K8297" i="1"/>
  <c r="O8297" i="1" a="1"/>
  <c r="O8297" i="1" s="1"/>
  <c r="I8298" i="1"/>
  <c r="J8298" i="1"/>
  <c r="K8298" i="1"/>
  <c r="O8298" i="1" a="1"/>
  <c r="O8298" i="1" s="1"/>
  <c r="I8299" i="1"/>
  <c r="J8299" i="1"/>
  <c r="K8299" i="1"/>
  <c r="O8299" i="1" a="1"/>
  <c r="O8299" i="1" s="1"/>
  <c r="I8300" i="1"/>
  <c r="J8300" i="1"/>
  <c r="K8300" i="1"/>
  <c r="O8300" i="1" a="1"/>
  <c r="O8300" i="1" s="1"/>
  <c r="I8301" i="1"/>
  <c r="J8301" i="1"/>
  <c r="K8301" i="1"/>
  <c r="O8301" i="1" a="1"/>
  <c r="O8301" i="1" s="1"/>
  <c r="I8302" i="1"/>
  <c r="J8302" i="1"/>
  <c r="K8302" i="1"/>
  <c r="O8302" i="1" a="1"/>
  <c r="O8302" i="1" s="1"/>
  <c r="I8303" i="1"/>
  <c r="J8303" i="1"/>
  <c r="K8303" i="1"/>
  <c r="O8303" i="1" a="1"/>
  <c r="O8303" i="1" s="1"/>
  <c r="I8304" i="1"/>
  <c r="J8304" i="1"/>
  <c r="K8304" i="1"/>
  <c r="O8304" i="1" a="1"/>
  <c r="O8304" i="1" s="1"/>
  <c r="I8305" i="1"/>
  <c r="J8305" i="1"/>
  <c r="K8305" i="1"/>
  <c r="O8305" i="1" a="1"/>
  <c r="O8305" i="1" s="1"/>
  <c r="I8306" i="1"/>
  <c r="J8306" i="1"/>
  <c r="K8306" i="1"/>
  <c r="O8306" i="1" a="1"/>
  <c r="O8306" i="1"/>
  <c r="I8307" i="1"/>
  <c r="J8307" i="1"/>
  <c r="K8307" i="1"/>
  <c r="O8307" i="1" a="1"/>
  <c r="O8307" i="1" s="1"/>
  <c r="I8308" i="1"/>
  <c r="J8308" i="1"/>
  <c r="K8308" i="1"/>
  <c r="O8308" i="1" a="1"/>
  <c r="O8308" i="1" s="1"/>
  <c r="I8309" i="1"/>
  <c r="J8309" i="1"/>
  <c r="K8309" i="1"/>
  <c r="O8309" i="1" a="1"/>
  <c r="O8309" i="1" s="1"/>
  <c r="I8310" i="1"/>
  <c r="J8310" i="1"/>
  <c r="K8310" i="1"/>
  <c r="O8310" i="1" a="1"/>
  <c r="O8310" i="1" s="1"/>
  <c r="I8311" i="1"/>
  <c r="J8311" i="1"/>
  <c r="K8311" i="1"/>
  <c r="O8311" i="1" a="1"/>
  <c r="O8311" i="1" s="1"/>
  <c r="I8312" i="1"/>
  <c r="J8312" i="1"/>
  <c r="K8312" i="1"/>
  <c r="O8312" i="1" a="1"/>
  <c r="O8312" i="1" s="1"/>
  <c r="I8313" i="1"/>
  <c r="J8313" i="1"/>
  <c r="K8313" i="1"/>
  <c r="O8313" i="1" a="1"/>
  <c r="O8313" i="1"/>
  <c r="I8314" i="1"/>
  <c r="J8314" i="1"/>
  <c r="K8314" i="1"/>
  <c r="O8314" i="1" a="1"/>
  <c r="O8314" i="1" s="1"/>
  <c r="I8315" i="1"/>
  <c r="J8315" i="1"/>
  <c r="K8315" i="1"/>
  <c r="O8315" i="1" a="1"/>
  <c r="O8315" i="1" s="1"/>
  <c r="I8316" i="1"/>
  <c r="J8316" i="1"/>
  <c r="K8316" i="1"/>
  <c r="O8316" i="1" a="1"/>
  <c r="O8316" i="1" s="1"/>
  <c r="I8317" i="1"/>
  <c r="J8317" i="1"/>
  <c r="K8317" i="1"/>
  <c r="O8317" i="1" a="1"/>
  <c r="O8317" i="1" s="1"/>
  <c r="I8318" i="1"/>
  <c r="J8318" i="1"/>
  <c r="K8318" i="1"/>
  <c r="O8318" i="1" a="1"/>
  <c r="O8318" i="1" s="1"/>
  <c r="I8319" i="1"/>
  <c r="J8319" i="1"/>
  <c r="K8319" i="1"/>
  <c r="O8319" i="1" a="1"/>
  <c r="O8319" i="1" s="1"/>
  <c r="I8320" i="1"/>
  <c r="J8320" i="1"/>
  <c r="K8320" i="1"/>
  <c r="O8320" i="1" a="1"/>
  <c r="O8320" i="1" s="1"/>
  <c r="I8321" i="1"/>
  <c r="J8321" i="1"/>
  <c r="K8321" i="1"/>
  <c r="O8321" i="1" a="1"/>
  <c r="O8321" i="1" s="1"/>
  <c r="I8322" i="1"/>
  <c r="J8322" i="1"/>
  <c r="K8322" i="1"/>
  <c r="O8322" i="1" a="1"/>
  <c r="O8322" i="1" s="1"/>
  <c r="I8323" i="1"/>
  <c r="J8323" i="1"/>
  <c r="K8323" i="1"/>
  <c r="O8323" i="1" a="1"/>
  <c r="O8323" i="1" s="1"/>
  <c r="I8324" i="1"/>
  <c r="J8324" i="1"/>
  <c r="K8324" i="1"/>
  <c r="O8324" i="1" a="1"/>
  <c r="O8324" i="1" s="1"/>
  <c r="I8325" i="1"/>
  <c r="J8325" i="1"/>
  <c r="K8325" i="1"/>
  <c r="O8325" i="1" a="1"/>
  <c r="O8325" i="1" s="1"/>
  <c r="I8326" i="1"/>
  <c r="J8326" i="1"/>
  <c r="K8326" i="1"/>
  <c r="O8326" i="1" a="1"/>
  <c r="O8326" i="1" s="1"/>
  <c r="I8327" i="1"/>
  <c r="J8327" i="1"/>
  <c r="K8327" i="1"/>
  <c r="O8327" i="1" a="1"/>
  <c r="O8327" i="1" s="1"/>
  <c r="I8328" i="1"/>
  <c r="J8328" i="1"/>
  <c r="K8328" i="1"/>
  <c r="O8328" i="1" a="1"/>
  <c r="O8328" i="1" s="1"/>
  <c r="I8329" i="1"/>
  <c r="J8329" i="1"/>
  <c r="K8329" i="1"/>
  <c r="O8329" i="1" a="1"/>
  <c r="O8329" i="1" s="1"/>
  <c r="I8330" i="1"/>
  <c r="J8330" i="1"/>
  <c r="K8330" i="1"/>
  <c r="O8330" i="1" a="1"/>
  <c r="O8330" i="1" s="1"/>
  <c r="I8331" i="1"/>
  <c r="J8331" i="1"/>
  <c r="K8331" i="1"/>
  <c r="O8331" i="1" a="1"/>
  <c r="O8331" i="1" s="1"/>
  <c r="I8332" i="1"/>
  <c r="J8332" i="1"/>
  <c r="K8332" i="1"/>
  <c r="O8332" i="1" a="1"/>
  <c r="O8332" i="1" s="1"/>
  <c r="I8333" i="1"/>
  <c r="J8333" i="1"/>
  <c r="K8333" i="1"/>
  <c r="O8333" i="1" a="1"/>
  <c r="O8333" i="1" s="1"/>
  <c r="I8334" i="1"/>
  <c r="J8334" i="1"/>
  <c r="K8334" i="1"/>
  <c r="O8334" i="1" a="1"/>
  <c r="O8334" i="1" s="1"/>
  <c r="I8335" i="1"/>
  <c r="J8335" i="1"/>
  <c r="K8335" i="1"/>
  <c r="O8335" i="1" a="1"/>
  <c r="O8335" i="1" s="1"/>
  <c r="I8336" i="1"/>
  <c r="J8336" i="1"/>
  <c r="K8336" i="1"/>
  <c r="O8336" i="1" a="1"/>
  <c r="O8336" i="1" s="1"/>
  <c r="I8337" i="1"/>
  <c r="J8337" i="1"/>
  <c r="K8337" i="1"/>
  <c r="O8337" i="1" a="1"/>
  <c r="O8337" i="1" s="1"/>
  <c r="I8338" i="1"/>
  <c r="J8338" i="1"/>
  <c r="K8338" i="1"/>
  <c r="O8338" i="1" a="1"/>
  <c r="O8338" i="1"/>
  <c r="I8339" i="1"/>
  <c r="J8339" i="1"/>
  <c r="K8339" i="1"/>
  <c r="O8339" i="1" a="1"/>
  <c r="O8339" i="1" s="1"/>
  <c r="I8340" i="1"/>
  <c r="J8340" i="1"/>
  <c r="K8340" i="1"/>
  <c r="O8340" i="1" a="1"/>
  <c r="O8340" i="1" s="1"/>
  <c r="I8341" i="1"/>
  <c r="J8341" i="1"/>
  <c r="K8341" i="1"/>
  <c r="O8341" i="1" a="1"/>
  <c r="O8341" i="1" s="1"/>
  <c r="I8342" i="1"/>
  <c r="J8342" i="1"/>
  <c r="K8342" i="1"/>
  <c r="O8342" i="1" a="1"/>
  <c r="O8342" i="1" s="1"/>
  <c r="I8343" i="1"/>
  <c r="J8343" i="1"/>
  <c r="K8343" i="1"/>
  <c r="O8343" i="1" a="1"/>
  <c r="O8343" i="1" s="1"/>
  <c r="I8344" i="1"/>
  <c r="J8344" i="1"/>
  <c r="K8344" i="1"/>
  <c r="O8344" i="1" a="1"/>
  <c r="O8344" i="1" s="1"/>
  <c r="I8345" i="1"/>
  <c r="J8345" i="1"/>
  <c r="K8345" i="1"/>
  <c r="O8345" i="1" a="1"/>
  <c r="O8345" i="1" s="1"/>
  <c r="I8346" i="1"/>
  <c r="J8346" i="1"/>
  <c r="K8346" i="1"/>
  <c r="O8346" i="1" a="1"/>
  <c r="O8346" i="1" s="1"/>
  <c r="I8347" i="1"/>
  <c r="J8347" i="1"/>
  <c r="K8347" i="1"/>
  <c r="O8347" i="1" a="1"/>
  <c r="O8347" i="1" s="1"/>
  <c r="I8348" i="1"/>
  <c r="J8348" i="1"/>
  <c r="K8348" i="1"/>
  <c r="O8348" i="1" a="1"/>
  <c r="O8348" i="1" s="1"/>
  <c r="I8349" i="1"/>
  <c r="J8349" i="1"/>
  <c r="K8349" i="1"/>
  <c r="O8349" i="1" a="1"/>
  <c r="O8349" i="1" s="1"/>
  <c r="I8350" i="1"/>
  <c r="J8350" i="1"/>
  <c r="K8350" i="1"/>
  <c r="O8350" i="1" a="1"/>
  <c r="O8350" i="1" s="1"/>
  <c r="I8351" i="1"/>
  <c r="J8351" i="1"/>
  <c r="K8351" i="1"/>
  <c r="O8351" i="1" a="1"/>
  <c r="O8351" i="1" s="1"/>
  <c r="I8352" i="1"/>
  <c r="J8352" i="1"/>
  <c r="K8352" i="1"/>
  <c r="O8352" i="1" a="1"/>
  <c r="O8352" i="1" s="1"/>
  <c r="I8353" i="1"/>
  <c r="J8353" i="1"/>
  <c r="K8353" i="1"/>
  <c r="O8353" i="1" a="1"/>
  <c r="O8353" i="1" s="1"/>
  <c r="I8354" i="1"/>
  <c r="J8354" i="1"/>
  <c r="K8354" i="1"/>
  <c r="O8354" i="1" a="1"/>
  <c r="O8354" i="1" s="1"/>
  <c r="I8355" i="1"/>
  <c r="J8355" i="1"/>
  <c r="K8355" i="1"/>
  <c r="O8355" i="1" a="1"/>
  <c r="O8355" i="1" s="1"/>
  <c r="I8356" i="1"/>
  <c r="J8356" i="1"/>
  <c r="K8356" i="1"/>
  <c r="O8356" i="1" a="1"/>
  <c r="O8356" i="1" s="1"/>
  <c r="I8357" i="1"/>
  <c r="J8357" i="1"/>
  <c r="K8357" i="1"/>
  <c r="O8357" i="1" a="1"/>
  <c r="O8357" i="1" s="1"/>
  <c r="I8358" i="1"/>
  <c r="J8358" i="1"/>
  <c r="K8358" i="1"/>
  <c r="O8358" i="1" a="1"/>
  <c r="O8358" i="1" s="1"/>
  <c r="I8359" i="1"/>
  <c r="J8359" i="1"/>
  <c r="K8359" i="1"/>
  <c r="O8359" i="1" a="1"/>
  <c r="O8359" i="1" s="1"/>
  <c r="I8360" i="1"/>
  <c r="J8360" i="1"/>
  <c r="K8360" i="1"/>
  <c r="O8360" i="1" a="1"/>
  <c r="O8360" i="1" s="1"/>
  <c r="I8361" i="1"/>
  <c r="J8361" i="1"/>
  <c r="K8361" i="1"/>
  <c r="O8361" i="1" a="1"/>
  <c r="O8361" i="1" s="1"/>
  <c r="I8362" i="1"/>
  <c r="J8362" i="1"/>
  <c r="K8362" i="1"/>
  <c r="O8362" i="1" a="1"/>
  <c r="O8362" i="1" s="1"/>
  <c r="I8363" i="1"/>
  <c r="J8363" i="1"/>
  <c r="K8363" i="1"/>
  <c r="O8363" i="1" a="1"/>
  <c r="O8363" i="1" s="1"/>
  <c r="I8364" i="1"/>
  <c r="J8364" i="1"/>
  <c r="K8364" i="1"/>
  <c r="O8364" i="1" a="1"/>
  <c r="O8364" i="1" s="1"/>
  <c r="I8365" i="1"/>
  <c r="J8365" i="1"/>
  <c r="K8365" i="1"/>
  <c r="O8365" i="1" a="1"/>
  <c r="O8365" i="1" s="1"/>
  <c r="I8366" i="1"/>
  <c r="J8366" i="1"/>
  <c r="K8366" i="1"/>
  <c r="O8366" i="1" a="1"/>
  <c r="O8366" i="1" s="1"/>
  <c r="I8367" i="1"/>
  <c r="J8367" i="1"/>
  <c r="K8367" i="1"/>
  <c r="O8367" i="1" a="1"/>
  <c r="O8367" i="1" s="1"/>
  <c r="I8368" i="1"/>
  <c r="J8368" i="1"/>
  <c r="K8368" i="1"/>
  <c r="O8368" i="1" a="1"/>
  <c r="O8368" i="1" s="1"/>
  <c r="I8369" i="1"/>
  <c r="J8369" i="1"/>
  <c r="K8369" i="1"/>
  <c r="O8369" i="1" a="1"/>
  <c r="O8369" i="1"/>
  <c r="I8370" i="1"/>
  <c r="J8370" i="1"/>
  <c r="K8370" i="1"/>
  <c r="O8370" i="1" a="1"/>
  <c r="O8370" i="1" s="1"/>
  <c r="I8371" i="1"/>
  <c r="J8371" i="1"/>
  <c r="K8371" i="1"/>
  <c r="O8371" i="1" a="1"/>
  <c r="O8371" i="1" s="1"/>
  <c r="I8372" i="1"/>
  <c r="J8372" i="1"/>
  <c r="K8372" i="1"/>
  <c r="O8372" i="1" a="1"/>
  <c r="O8372" i="1" s="1"/>
  <c r="I8373" i="1"/>
  <c r="J8373" i="1"/>
  <c r="K8373" i="1"/>
  <c r="O8373" i="1" a="1"/>
  <c r="O8373" i="1" s="1"/>
  <c r="I8374" i="1"/>
  <c r="J8374" i="1"/>
  <c r="K8374" i="1"/>
  <c r="O8374" i="1" a="1"/>
  <c r="O8374" i="1" s="1"/>
  <c r="I8375" i="1"/>
  <c r="J8375" i="1"/>
  <c r="K8375" i="1"/>
  <c r="O8375" i="1" a="1"/>
  <c r="O8375" i="1" s="1"/>
  <c r="I8376" i="1"/>
  <c r="J8376" i="1"/>
  <c r="K8376" i="1"/>
  <c r="O8376" i="1" a="1"/>
  <c r="O8376" i="1" s="1"/>
  <c r="I8377" i="1"/>
  <c r="J8377" i="1"/>
  <c r="K8377" i="1"/>
  <c r="O8377" i="1" a="1"/>
  <c r="O8377" i="1" s="1"/>
  <c r="I8378" i="1"/>
  <c r="J8378" i="1"/>
  <c r="K8378" i="1"/>
  <c r="O8378" i="1" a="1"/>
  <c r="O8378" i="1" s="1"/>
  <c r="I8379" i="1"/>
  <c r="J8379" i="1"/>
  <c r="K8379" i="1"/>
  <c r="O8379" i="1" a="1"/>
  <c r="O8379" i="1"/>
  <c r="I8380" i="1"/>
  <c r="J8380" i="1"/>
  <c r="K8380" i="1"/>
  <c r="O8380" i="1" a="1"/>
  <c r="O8380" i="1" s="1"/>
  <c r="I8381" i="1"/>
  <c r="J8381" i="1"/>
  <c r="K8381" i="1"/>
  <c r="O8381" i="1" a="1"/>
  <c r="O8381" i="1" s="1"/>
  <c r="I8382" i="1"/>
  <c r="J8382" i="1"/>
  <c r="K8382" i="1"/>
  <c r="O8382" i="1" a="1"/>
  <c r="O8382" i="1" s="1"/>
  <c r="I8383" i="1"/>
  <c r="J8383" i="1"/>
  <c r="K8383" i="1"/>
  <c r="O8383" i="1" a="1"/>
  <c r="O8383" i="1" s="1"/>
  <c r="I8384" i="1"/>
  <c r="J8384" i="1"/>
  <c r="K8384" i="1"/>
  <c r="O8384" i="1" a="1"/>
  <c r="O8384" i="1" s="1"/>
  <c r="I8385" i="1"/>
  <c r="J8385" i="1"/>
  <c r="K8385" i="1"/>
  <c r="O8385" i="1" a="1"/>
  <c r="O8385" i="1"/>
  <c r="I8386" i="1"/>
  <c r="J8386" i="1"/>
  <c r="K8386" i="1"/>
  <c r="O8386" i="1" a="1"/>
  <c r="O8386" i="1" s="1"/>
  <c r="I8387" i="1"/>
  <c r="J8387" i="1"/>
  <c r="K8387" i="1"/>
  <c r="O8387" i="1" a="1"/>
  <c r="O8387" i="1" s="1"/>
  <c r="I8388" i="1"/>
  <c r="J8388" i="1"/>
  <c r="K8388" i="1"/>
  <c r="O8388" i="1" a="1"/>
  <c r="O8388" i="1" s="1"/>
  <c r="I8389" i="1"/>
  <c r="J8389" i="1"/>
  <c r="K8389" i="1"/>
  <c r="O8389" i="1" a="1"/>
  <c r="O8389" i="1" s="1"/>
  <c r="I8390" i="1"/>
  <c r="J8390" i="1"/>
  <c r="K8390" i="1"/>
  <c r="O8390" i="1" a="1"/>
  <c r="O8390" i="1" s="1"/>
  <c r="I8391" i="1"/>
  <c r="J8391" i="1"/>
  <c r="K8391" i="1"/>
  <c r="O8391" i="1" a="1"/>
  <c r="O8391" i="1" s="1"/>
  <c r="I8392" i="1"/>
  <c r="J8392" i="1"/>
  <c r="K8392" i="1"/>
  <c r="O8392" i="1" a="1"/>
  <c r="O8392" i="1" s="1"/>
  <c r="I8393" i="1"/>
  <c r="J8393" i="1"/>
  <c r="K8393" i="1"/>
  <c r="O8393" i="1" a="1"/>
  <c r="O8393" i="1" s="1"/>
  <c r="I8394" i="1"/>
  <c r="J8394" i="1"/>
  <c r="K8394" i="1"/>
  <c r="O8394" i="1" a="1"/>
  <c r="O8394" i="1" s="1"/>
  <c r="I8395" i="1"/>
  <c r="J8395" i="1"/>
  <c r="K8395" i="1"/>
  <c r="O8395" i="1" a="1"/>
  <c r="O8395" i="1"/>
  <c r="I8396" i="1"/>
  <c r="J8396" i="1"/>
  <c r="K8396" i="1"/>
  <c r="O8396" i="1" a="1"/>
  <c r="O8396" i="1" s="1"/>
  <c r="I8397" i="1"/>
  <c r="J8397" i="1"/>
  <c r="K8397" i="1"/>
  <c r="O8397" i="1" a="1"/>
  <c r="O8397" i="1" s="1"/>
  <c r="I8398" i="1"/>
  <c r="J8398" i="1"/>
  <c r="K8398" i="1"/>
  <c r="O8398" i="1" a="1"/>
  <c r="O8398" i="1" s="1"/>
  <c r="I8399" i="1"/>
  <c r="J8399" i="1"/>
  <c r="K8399" i="1"/>
  <c r="O8399" i="1" a="1"/>
  <c r="O8399" i="1" s="1"/>
  <c r="I8400" i="1"/>
  <c r="J8400" i="1"/>
  <c r="K8400" i="1"/>
  <c r="O8400" i="1" a="1"/>
  <c r="O8400" i="1" s="1"/>
  <c r="I8401" i="1"/>
  <c r="J8401" i="1"/>
  <c r="K8401" i="1"/>
  <c r="O8401" i="1" a="1"/>
  <c r="O8401" i="1" s="1"/>
  <c r="I8402" i="1"/>
  <c r="J8402" i="1"/>
  <c r="K8402" i="1"/>
  <c r="O8402" i="1" a="1"/>
  <c r="O8402" i="1" s="1"/>
  <c r="I8403" i="1"/>
  <c r="J8403" i="1"/>
  <c r="K8403" i="1"/>
  <c r="O8403" i="1" a="1"/>
  <c r="O8403" i="1" s="1"/>
  <c r="I8404" i="1"/>
  <c r="J8404" i="1"/>
  <c r="K8404" i="1"/>
  <c r="O8404" i="1" a="1"/>
  <c r="O8404" i="1" s="1"/>
  <c r="I8405" i="1"/>
  <c r="J8405" i="1"/>
  <c r="K8405" i="1"/>
  <c r="O8405" i="1" a="1"/>
  <c r="O8405" i="1" s="1"/>
  <c r="I8406" i="1"/>
  <c r="J8406" i="1"/>
  <c r="K8406" i="1"/>
  <c r="O8406" i="1" a="1"/>
  <c r="O8406" i="1" s="1"/>
  <c r="I8407" i="1"/>
  <c r="J8407" i="1"/>
  <c r="K8407" i="1"/>
  <c r="O8407" i="1" a="1"/>
  <c r="O8407" i="1" s="1"/>
  <c r="I8408" i="1"/>
  <c r="J8408" i="1"/>
  <c r="K8408" i="1"/>
  <c r="O8408" i="1" a="1"/>
  <c r="O8408" i="1" s="1"/>
  <c r="I8409" i="1"/>
  <c r="J8409" i="1"/>
  <c r="K8409" i="1"/>
  <c r="O8409" i="1" a="1"/>
  <c r="O8409" i="1" s="1"/>
  <c r="I8410" i="1"/>
  <c r="J8410" i="1"/>
  <c r="K8410" i="1"/>
  <c r="O8410" i="1" a="1"/>
  <c r="O8410" i="1" s="1"/>
  <c r="I8411" i="1"/>
  <c r="J8411" i="1"/>
  <c r="K8411" i="1"/>
  <c r="O8411" i="1" a="1"/>
  <c r="O8411" i="1" s="1"/>
  <c r="I8412" i="1"/>
  <c r="J8412" i="1"/>
  <c r="K8412" i="1"/>
  <c r="O8412" i="1" a="1"/>
  <c r="O8412" i="1" s="1"/>
  <c r="I8413" i="1"/>
  <c r="J8413" i="1"/>
  <c r="K8413" i="1"/>
  <c r="O8413" i="1" a="1"/>
  <c r="O8413" i="1"/>
  <c r="I8414" i="1"/>
  <c r="J8414" i="1"/>
  <c r="K8414" i="1"/>
  <c r="O8414" i="1" a="1"/>
  <c r="O8414" i="1" s="1"/>
  <c r="I8415" i="1"/>
  <c r="J8415" i="1"/>
  <c r="K8415" i="1"/>
  <c r="O8415" i="1" a="1"/>
  <c r="O8415" i="1" s="1"/>
  <c r="I8416" i="1"/>
  <c r="J8416" i="1"/>
  <c r="K8416" i="1"/>
  <c r="O8416" i="1" a="1"/>
  <c r="O8416" i="1" s="1"/>
  <c r="I8417" i="1"/>
  <c r="J8417" i="1"/>
  <c r="K8417" i="1"/>
  <c r="O8417" i="1" a="1"/>
  <c r="O8417" i="1" s="1"/>
  <c r="I8418" i="1"/>
  <c r="J8418" i="1"/>
  <c r="K8418" i="1"/>
  <c r="O8418" i="1" a="1"/>
  <c r="O8418" i="1" s="1"/>
  <c r="I8419" i="1"/>
  <c r="J8419" i="1"/>
  <c r="K8419" i="1"/>
  <c r="O8419" i="1" a="1"/>
  <c r="O8419" i="1" s="1"/>
  <c r="I8420" i="1"/>
  <c r="J8420" i="1"/>
  <c r="K8420" i="1"/>
  <c r="O8420" i="1" a="1"/>
  <c r="O8420" i="1" s="1"/>
  <c r="I8421" i="1"/>
  <c r="J8421" i="1"/>
  <c r="K8421" i="1"/>
  <c r="O8421" i="1" a="1"/>
  <c r="O8421" i="1" s="1"/>
  <c r="I8422" i="1"/>
  <c r="J8422" i="1"/>
  <c r="K8422" i="1"/>
  <c r="O8422" i="1" a="1"/>
  <c r="O8422" i="1" s="1"/>
  <c r="I8423" i="1"/>
  <c r="J8423" i="1"/>
  <c r="K8423" i="1"/>
  <c r="O8423" i="1" a="1"/>
  <c r="O8423" i="1" s="1"/>
  <c r="I8424" i="1"/>
  <c r="J8424" i="1"/>
  <c r="K8424" i="1"/>
  <c r="O8424" i="1" a="1"/>
  <c r="O8424" i="1" s="1"/>
  <c r="I8425" i="1"/>
  <c r="J8425" i="1"/>
  <c r="K8425" i="1"/>
  <c r="O8425" i="1" a="1"/>
  <c r="O8425" i="1" s="1"/>
  <c r="I8426" i="1"/>
  <c r="J8426" i="1"/>
  <c r="K8426" i="1"/>
  <c r="O8426" i="1" a="1"/>
  <c r="O8426" i="1" s="1"/>
  <c r="I8427" i="1"/>
  <c r="J8427" i="1"/>
  <c r="K8427" i="1"/>
  <c r="O8427" i="1" a="1"/>
  <c r="O8427" i="1" s="1"/>
  <c r="I8428" i="1"/>
  <c r="J8428" i="1"/>
  <c r="K8428" i="1"/>
  <c r="O8428" i="1" a="1"/>
  <c r="O8428" i="1" s="1"/>
  <c r="I8429" i="1"/>
  <c r="J8429" i="1"/>
  <c r="K8429" i="1"/>
  <c r="O8429" i="1" a="1"/>
  <c r="O8429" i="1" s="1"/>
  <c r="I8430" i="1"/>
  <c r="J8430" i="1"/>
  <c r="K8430" i="1"/>
  <c r="O8430" i="1" a="1"/>
  <c r="O8430" i="1"/>
  <c r="I8431" i="1"/>
  <c r="J8431" i="1"/>
  <c r="K8431" i="1"/>
  <c r="O8431" i="1" a="1"/>
  <c r="O8431" i="1" s="1"/>
  <c r="I8432" i="1"/>
  <c r="J8432" i="1"/>
  <c r="K8432" i="1"/>
  <c r="O8432" i="1" a="1"/>
  <c r="O8432" i="1" s="1"/>
  <c r="I8433" i="1"/>
  <c r="J8433" i="1"/>
  <c r="K8433" i="1"/>
  <c r="O8433" i="1" a="1"/>
  <c r="O8433" i="1" s="1"/>
  <c r="I8434" i="1"/>
  <c r="J8434" i="1"/>
  <c r="K8434" i="1"/>
  <c r="O8434" i="1" a="1"/>
  <c r="O8434" i="1" s="1"/>
  <c r="I8435" i="1"/>
  <c r="J8435" i="1"/>
  <c r="K8435" i="1"/>
  <c r="O8435" i="1" a="1"/>
  <c r="O8435" i="1" s="1"/>
  <c r="I8436" i="1"/>
  <c r="J8436" i="1"/>
  <c r="K8436" i="1"/>
  <c r="O8436" i="1" a="1"/>
  <c r="O8436" i="1"/>
  <c r="I8437" i="1"/>
  <c r="J8437" i="1"/>
  <c r="K8437" i="1"/>
  <c r="O8437" i="1" a="1"/>
  <c r="O8437" i="1" s="1"/>
  <c r="I8438" i="1"/>
  <c r="J8438" i="1"/>
  <c r="K8438" i="1"/>
  <c r="O8438" i="1" a="1"/>
  <c r="O8438" i="1" s="1"/>
  <c r="I8439" i="1"/>
  <c r="J8439" i="1"/>
  <c r="K8439" i="1"/>
  <c r="O8439" i="1" a="1"/>
  <c r="O8439" i="1" s="1"/>
  <c r="I8440" i="1"/>
  <c r="J8440" i="1"/>
  <c r="K8440" i="1"/>
  <c r="O8440" i="1" a="1"/>
  <c r="O8440" i="1" s="1"/>
  <c r="I8441" i="1"/>
  <c r="J8441" i="1"/>
  <c r="K8441" i="1"/>
  <c r="O8441" i="1" a="1"/>
  <c r="O8441" i="1" s="1"/>
  <c r="I8442" i="1"/>
  <c r="J8442" i="1"/>
  <c r="K8442" i="1"/>
  <c r="O8442" i="1" a="1"/>
  <c r="O8442" i="1" s="1"/>
  <c r="I8443" i="1"/>
  <c r="J8443" i="1"/>
  <c r="K8443" i="1"/>
  <c r="O8443" i="1" a="1"/>
  <c r="O8443" i="1" s="1"/>
  <c r="I8444" i="1"/>
  <c r="J8444" i="1"/>
  <c r="K8444" i="1"/>
  <c r="O8444" i="1" a="1"/>
  <c r="O8444" i="1" s="1"/>
  <c r="I8445" i="1"/>
  <c r="J8445" i="1"/>
  <c r="K8445" i="1"/>
  <c r="O8445" i="1" a="1"/>
  <c r="O8445" i="1" s="1"/>
  <c r="I8446" i="1"/>
  <c r="J8446" i="1"/>
  <c r="K8446" i="1"/>
  <c r="O8446" i="1" a="1"/>
  <c r="O8446" i="1" s="1"/>
  <c r="I8447" i="1"/>
  <c r="J8447" i="1"/>
  <c r="K8447" i="1"/>
  <c r="O8447" i="1" a="1"/>
  <c r="O8447" i="1" s="1"/>
  <c r="I8448" i="1"/>
  <c r="J8448" i="1"/>
  <c r="K8448" i="1"/>
  <c r="O8448" i="1" a="1"/>
  <c r="O8448" i="1" s="1"/>
  <c r="I8449" i="1"/>
  <c r="J8449" i="1"/>
  <c r="K8449" i="1"/>
  <c r="O8449" i="1" a="1"/>
  <c r="O8449" i="1"/>
  <c r="I8450" i="1"/>
  <c r="J8450" i="1"/>
  <c r="K8450" i="1"/>
  <c r="O8450" i="1" a="1"/>
  <c r="O8450" i="1" s="1"/>
  <c r="I8451" i="1"/>
  <c r="J8451" i="1"/>
  <c r="K8451" i="1"/>
  <c r="O8451" i="1" a="1"/>
  <c r="O8451" i="1" s="1"/>
  <c r="I8452" i="1"/>
  <c r="J8452" i="1"/>
  <c r="K8452" i="1"/>
  <c r="O8452" i="1" a="1"/>
  <c r="O8452" i="1" s="1"/>
  <c r="I8453" i="1"/>
  <c r="J8453" i="1"/>
  <c r="K8453" i="1"/>
  <c r="O8453" i="1" a="1"/>
  <c r="O8453" i="1" s="1"/>
  <c r="I8454" i="1"/>
  <c r="J8454" i="1"/>
  <c r="K8454" i="1"/>
  <c r="O8454" i="1" a="1"/>
  <c r="O8454" i="1" s="1"/>
  <c r="I8455" i="1"/>
  <c r="J8455" i="1"/>
  <c r="K8455" i="1"/>
  <c r="O8455" i="1" a="1"/>
  <c r="O8455" i="1" s="1"/>
  <c r="I8456" i="1"/>
  <c r="J8456" i="1"/>
  <c r="K8456" i="1"/>
  <c r="O8456" i="1" a="1"/>
  <c r="O8456" i="1" s="1"/>
  <c r="I8457" i="1"/>
  <c r="J8457" i="1"/>
  <c r="K8457" i="1"/>
  <c r="O8457" i="1" a="1"/>
  <c r="O8457" i="1"/>
  <c r="I8458" i="1"/>
  <c r="J8458" i="1"/>
  <c r="K8458" i="1"/>
  <c r="O8458" i="1" a="1"/>
  <c r="O8458" i="1" s="1"/>
  <c r="I8459" i="1"/>
  <c r="J8459" i="1"/>
  <c r="K8459" i="1"/>
  <c r="O8459" i="1" a="1"/>
  <c r="O8459" i="1" s="1"/>
  <c r="I8460" i="1"/>
  <c r="J8460" i="1"/>
  <c r="K8460" i="1"/>
  <c r="O8460" i="1" a="1"/>
  <c r="O8460" i="1" s="1"/>
  <c r="I8461" i="1"/>
  <c r="J8461" i="1"/>
  <c r="K8461" i="1"/>
  <c r="O8461" i="1" a="1"/>
  <c r="O8461" i="1" s="1"/>
  <c r="I8462" i="1"/>
  <c r="J8462" i="1"/>
  <c r="K8462" i="1"/>
  <c r="O8462" i="1" a="1"/>
  <c r="O8462" i="1" s="1"/>
  <c r="I8463" i="1"/>
  <c r="J8463" i="1"/>
  <c r="K8463" i="1"/>
  <c r="O8463" i="1" a="1"/>
  <c r="O8463" i="1" s="1"/>
  <c r="I8464" i="1"/>
  <c r="J8464" i="1"/>
  <c r="K8464" i="1"/>
  <c r="O8464" i="1" a="1"/>
  <c r="O8464" i="1" s="1"/>
  <c r="I8465" i="1"/>
  <c r="J8465" i="1"/>
  <c r="K8465" i="1"/>
  <c r="O8465" i="1" a="1"/>
  <c r="O8465" i="1" s="1"/>
  <c r="I8466" i="1"/>
  <c r="J8466" i="1"/>
  <c r="K8466" i="1"/>
  <c r="O8466" i="1" a="1"/>
  <c r="O8466" i="1" s="1"/>
  <c r="I8467" i="1"/>
  <c r="J8467" i="1"/>
  <c r="K8467" i="1"/>
  <c r="O8467" i="1" a="1"/>
  <c r="O8467" i="1" s="1"/>
  <c r="I8468" i="1"/>
  <c r="J8468" i="1"/>
  <c r="K8468" i="1"/>
  <c r="O8468" i="1" a="1"/>
  <c r="O8468" i="1" s="1"/>
  <c r="I8469" i="1"/>
  <c r="J8469" i="1"/>
  <c r="K8469" i="1"/>
  <c r="O8469" i="1" a="1"/>
  <c r="O8469" i="1" s="1"/>
  <c r="I8470" i="1"/>
  <c r="J8470" i="1"/>
  <c r="K8470" i="1"/>
  <c r="O8470" i="1" a="1"/>
  <c r="O8470" i="1" s="1"/>
  <c r="I8471" i="1"/>
  <c r="J8471" i="1"/>
  <c r="K8471" i="1"/>
  <c r="O8471" i="1" a="1"/>
  <c r="O8471" i="1" s="1"/>
  <c r="I8472" i="1"/>
  <c r="J8472" i="1"/>
  <c r="K8472" i="1"/>
  <c r="O8472" i="1" a="1"/>
  <c r="O8472" i="1" s="1"/>
  <c r="I8473" i="1"/>
  <c r="J8473" i="1"/>
  <c r="K8473" i="1"/>
  <c r="O8473" i="1" a="1"/>
  <c r="O8473" i="1" s="1"/>
  <c r="I8474" i="1"/>
  <c r="J8474" i="1"/>
  <c r="K8474" i="1"/>
  <c r="O8474" i="1" a="1"/>
  <c r="O8474" i="1" s="1"/>
  <c r="I8475" i="1"/>
  <c r="J8475" i="1"/>
  <c r="K8475" i="1"/>
  <c r="O8475" i="1" a="1"/>
  <c r="O8475" i="1" s="1"/>
  <c r="I8476" i="1"/>
  <c r="J8476" i="1"/>
  <c r="K8476" i="1"/>
  <c r="O8476" i="1" a="1"/>
  <c r="O8476" i="1" s="1"/>
  <c r="I8477" i="1"/>
  <c r="J8477" i="1"/>
  <c r="K8477" i="1"/>
  <c r="O8477" i="1" a="1"/>
  <c r="O8477" i="1" s="1"/>
  <c r="I8478" i="1"/>
  <c r="J8478" i="1"/>
  <c r="K8478" i="1"/>
  <c r="O8478" i="1" a="1"/>
  <c r="O8478" i="1" s="1"/>
  <c r="I8479" i="1"/>
  <c r="J8479" i="1"/>
  <c r="K8479" i="1"/>
  <c r="O8479" i="1" a="1"/>
  <c r="O8479" i="1" s="1"/>
  <c r="I8480" i="1"/>
  <c r="J8480" i="1"/>
  <c r="K8480" i="1"/>
  <c r="O8480" i="1" a="1"/>
  <c r="O8480" i="1" s="1"/>
  <c r="I8481" i="1"/>
  <c r="J8481" i="1"/>
  <c r="K8481" i="1"/>
  <c r="O8481" i="1" a="1"/>
  <c r="O8481" i="1" s="1"/>
  <c r="I8482" i="1"/>
  <c r="J8482" i="1"/>
  <c r="K8482" i="1"/>
  <c r="O8482" i="1" a="1"/>
  <c r="O8482" i="1" s="1"/>
  <c r="I8483" i="1"/>
  <c r="J8483" i="1"/>
  <c r="K8483" i="1"/>
  <c r="O8483" i="1" a="1"/>
  <c r="O8483" i="1" s="1"/>
  <c r="I8484" i="1"/>
  <c r="J8484" i="1"/>
  <c r="K8484" i="1"/>
  <c r="O8484" i="1" a="1"/>
  <c r="O8484" i="1" s="1"/>
  <c r="I8485" i="1"/>
  <c r="J8485" i="1"/>
  <c r="K8485" i="1"/>
  <c r="O8485" i="1" a="1"/>
  <c r="O8485" i="1" s="1"/>
  <c r="I8486" i="1"/>
  <c r="J8486" i="1"/>
  <c r="K8486" i="1"/>
  <c r="O8486" i="1" a="1"/>
  <c r="O8486" i="1" s="1"/>
  <c r="I8487" i="1"/>
  <c r="J8487" i="1"/>
  <c r="K8487" i="1"/>
  <c r="O8487" i="1" a="1"/>
  <c r="O8487" i="1" s="1"/>
  <c r="I8488" i="1"/>
  <c r="J8488" i="1"/>
  <c r="K8488" i="1"/>
  <c r="O8488" i="1" a="1"/>
  <c r="O8488" i="1" s="1"/>
  <c r="I8489" i="1"/>
  <c r="J8489" i="1"/>
  <c r="K8489" i="1"/>
  <c r="O8489" i="1" a="1"/>
  <c r="O8489" i="1"/>
  <c r="I8490" i="1"/>
  <c r="J8490" i="1"/>
  <c r="K8490" i="1"/>
  <c r="O8490" i="1" a="1"/>
  <c r="O8490" i="1" s="1"/>
  <c r="I8491" i="1"/>
  <c r="J8491" i="1"/>
  <c r="K8491" i="1"/>
  <c r="O8491" i="1" a="1"/>
  <c r="O8491" i="1" s="1"/>
  <c r="I8492" i="1"/>
  <c r="J8492" i="1"/>
  <c r="K8492" i="1"/>
  <c r="O8492" i="1" a="1"/>
  <c r="O8492" i="1" s="1"/>
  <c r="I8493" i="1"/>
  <c r="J8493" i="1"/>
  <c r="K8493" i="1"/>
  <c r="O8493" i="1" a="1"/>
  <c r="O8493" i="1" s="1"/>
  <c r="I8494" i="1"/>
  <c r="J8494" i="1"/>
  <c r="K8494" i="1"/>
  <c r="O8494" i="1" a="1"/>
  <c r="O8494" i="1" s="1"/>
  <c r="I8495" i="1"/>
  <c r="J8495" i="1"/>
  <c r="K8495" i="1"/>
  <c r="O8495" i="1" a="1"/>
  <c r="O8495" i="1" s="1"/>
  <c r="I8496" i="1"/>
  <c r="J8496" i="1"/>
  <c r="K8496" i="1"/>
  <c r="O8496" i="1" a="1"/>
  <c r="O8496" i="1" s="1"/>
  <c r="I8497" i="1"/>
  <c r="J8497" i="1"/>
  <c r="K8497" i="1"/>
  <c r="O8497" i="1" a="1"/>
  <c r="O8497" i="1" s="1"/>
  <c r="I8498" i="1"/>
  <c r="J8498" i="1"/>
  <c r="K8498" i="1"/>
  <c r="O8498" i="1" a="1"/>
  <c r="O8498" i="1" s="1"/>
  <c r="I8499" i="1"/>
  <c r="J8499" i="1"/>
  <c r="K8499" i="1"/>
  <c r="O8499" i="1" a="1"/>
  <c r="O8499" i="1" s="1"/>
  <c r="I8500" i="1"/>
  <c r="J8500" i="1"/>
  <c r="K8500" i="1"/>
  <c r="O8500" i="1" a="1"/>
  <c r="O8500" i="1" s="1"/>
  <c r="I8501" i="1"/>
  <c r="J8501" i="1"/>
  <c r="K8501" i="1"/>
  <c r="O8501" i="1" a="1"/>
  <c r="O8501" i="1" s="1"/>
  <c r="I8502" i="1"/>
  <c r="J8502" i="1"/>
  <c r="K8502" i="1"/>
  <c r="O8502" i="1" a="1"/>
  <c r="O8502" i="1" s="1"/>
  <c r="I8503" i="1"/>
  <c r="J8503" i="1"/>
  <c r="K8503" i="1"/>
  <c r="O8503" i="1" a="1"/>
  <c r="O8503" i="1" s="1"/>
  <c r="I8504" i="1"/>
  <c r="J8504" i="1"/>
  <c r="K8504" i="1"/>
  <c r="O8504" i="1" a="1"/>
  <c r="O8504" i="1" s="1"/>
  <c r="I8505" i="1"/>
  <c r="J8505" i="1"/>
  <c r="K8505" i="1"/>
  <c r="O8505" i="1" a="1"/>
  <c r="O8505" i="1" s="1"/>
  <c r="I8506" i="1"/>
  <c r="J8506" i="1"/>
  <c r="K8506" i="1"/>
  <c r="O8506" i="1" a="1"/>
  <c r="O8506" i="1" s="1"/>
  <c r="I8507" i="1"/>
  <c r="J8507" i="1"/>
  <c r="K8507" i="1"/>
  <c r="O8507" i="1" a="1"/>
  <c r="O8507" i="1" s="1"/>
  <c r="I8508" i="1"/>
  <c r="J8508" i="1"/>
  <c r="K8508" i="1"/>
  <c r="O8508" i="1" a="1"/>
  <c r="O8508" i="1" s="1"/>
  <c r="I8509" i="1"/>
  <c r="J8509" i="1"/>
  <c r="K8509" i="1"/>
  <c r="O8509" i="1" a="1"/>
  <c r="O8509" i="1" s="1"/>
  <c r="I8510" i="1"/>
  <c r="J8510" i="1"/>
  <c r="K8510" i="1"/>
  <c r="O8510" i="1" a="1"/>
  <c r="O8510" i="1"/>
  <c r="I8511" i="1"/>
  <c r="J8511" i="1"/>
  <c r="K8511" i="1"/>
  <c r="O8511" i="1" a="1"/>
  <c r="O8511" i="1"/>
  <c r="I8512" i="1"/>
  <c r="J8512" i="1"/>
  <c r="K8512" i="1"/>
  <c r="O8512" i="1" a="1"/>
  <c r="O8512" i="1" s="1"/>
  <c r="I8513" i="1"/>
  <c r="J8513" i="1"/>
  <c r="K8513" i="1"/>
  <c r="O8513" i="1" a="1"/>
  <c r="O8513" i="1" s="1"/>
  <c r="I8514" i="1"/>
  <c r="J8514" i="1"/>
  <c r="K8514" i="1"/>
  <c r="O8514" i="1" a="1"/>
  <c r="O8514" i="1" s="1"/>
  <c r="I8515" i="1"/>
  <c r="J8515" i="1"/>
  <c r="K8515" i="1"/>
  <c r="O8515" i="1" a="1"/>
  <c r="O8515" i="1" s="1"/>
  <c r="I8516" i="1"/>
  <c r="J8516" i="1"/>
  <c r="K8516" i="1"/>
  <c r="O8516" i="1" a="1"/>
  <c r="O8516" i="1" s="1"/>
  <c r="I8517" i="1"/>
  <c r="J8517" i="1"/>
  <c r="K8517" i="1"/>
  <c r="O8517" i="1" a="1"/>
  <c r="O8517" i="1" s="1"/>
  <c r="I8518" i="1"/>
  <c r="J8518" i="1"/>
  <c r="K8518" i="1"/>
  <c r="O8518" i="1" a="1"/>
  <c r="O8518" i="1" s="1"/>
  <c r="I8519" i="1"/>
  <c r="J8519" i="1"/>
  <c r="K8519" i="1"/>
  <c r="O8519" i="1" a="1"/>
  <c r="O8519" i="1" s="1"/>
  <c r="I8520" i="1"/>
  <c r="J8520" i="1"/>
  <c r="K8520" i="1"/>
  <c r="O8520" i="1" a="1"/>
  <c r="O8520" i="1" s="1"/>
  <c r="I8521" i="1"/>
  <c r="J8521" i="1"/>
  <c r="K8521" i="1"/>
  <c r="O8521" i="1" a="1"/>
  <c r="O8521" i="1" s="1"/>
  <c r="I8522" i="1"/>
  <c r="J8522" i="1"/>
  <c r="K8522" i="1"/>
  <c r="O8522" i="1" a="1"/>
  <c r="O8522" i="1" s="1"/>
  <c r="I8523" i="1"/>
  <c r="J8523" i="1"/>
  <c r="K8523" i="1"/>
  <c r="O8523" i="1" a="1"/>
  <c r="O8523" i="1" s="1"/>
  <c r="I8524" i="1"/>
  <c r="J8524" i="1"/>
  <c r="K8524" i="1"/>
  <c r="O8524" i="1" a="1"/>
  <c r="O8524" i="1" s="1"/>
  <c r="I8525" i="1"/>
  <c r="J8525" i="1"/>
  <c r="K8525" i="1"/>
  <c r="O8525" i="1" a="1"/>
  <c r="O8525" i="1" s="1"/>
  <c r="I8526" i="1"/>
  <c r="J8526" i="1"/>
  <c r="K8526" i="1"/>
  <c r="O8526" i="1" a="1"/>
  <c r="O8526" i="1" s="1"/>
  <c r="I8527" i="1"/>
  <c r="J8527" i="1"/>
  <c r="K8527" i="1"/>
  <c r="O8527" i="1" a="1"/>
  <c r="O8527" i="1" s="1"/>
  <c r="I8528" i="1"/>
  <c r="J8528" i="1"/>
  <c r="K8528" i="1"/>
  <c r="O8528" i="1" a="1"/>
  <c r="O8528" i="1" s="1"/>
  <c r="I8529" i="1"/>
  <c r="J8529" i="1"/>
  <c r="K8529" i="1"/>
  <c r="O8529" i="1" a="1"/>
  <c r="O8529" i="1" s="1"/>
  <c r="I8530" i="1"/>
  <c r="J8530" i="1"/>
  <c r="K8530" i="1"/>
  <c r="O8530" i="1" a="1"/>
  <c r="O8530" i="1" s="1"/>
  <c r="I8531" i="1"/>
  <c r="J8531" i="1"/>
  <c r="K8531" i="1"/>
  <c r="O8531" i="1" a="1"/>
  <c r="O8531" i="1" s="1"/>
  <c r="I8532" i="1"/>
  <c r="J8532" i="1"/>
  <c r="K8532" i="1"/>
  <c r="O8532" i="1" a="1"/>
  <c r="O8532" i="1" s="1"/>
  <c r="I8533" i="1"/>
  <c r="J8533" i="1"/>
  <c r="K8533" i="1"/>
  <c r="O8533" i="1" a="1"/>
  <c r="O8533" i="1" s="1"/>
  <c r="I8534" i="1"/>
  <c r="J8534" i="1"/>
  <c r="K8534" i="1"/>
  <c r="O8534" i="1" a="1"/>
  <c r="O8534" i="1" s="1"/>
  <c r="I8535" i="1"/>
  <c r="J8535" i="1"/>
  <c r="K8535" i="1"/>
  <c r="O8535" i="1" a="1"/>
  <c r="O8535" i="1" s="1"/>
  <c r="I8536" i="1"/>
  <c r="J8536" i="1"/>
  <c r="K8536" i="1"/>
  <c r="O8536" i="1" a="1"/>
  <c r="O8536" i="1" s="1"/>
  <c r="I8537" i="1"/>
  <c r="J8537" i="1"/>
  <c r="K8537" i="1"/>
  <c r="O8537" i="1" a="1"/>
  <c r="O8537" i="1" s="1"/>
  <c r="I8538" i="1"/>
  <c r="J8538" i="1"/>
  <c r="K8538" i="1"/>
  <c r="O8538" i="1" a="1"/>
  <c r="O8538" i="1" s="1"/>
  <c r="I8539" i="1"/>
  <c r="J8539" i="1"/>
  <c r="K8539" i="1"/>
  <c r="O8539" i="1" a="1"/>
  <c r="O8539" i="1" s="1"/>
  <c r="I8540" i="1"/>
  <c r="J8540" i="1"/>
  <c r="K8540" i="1"/>
  <c r="O8540" i="1" a="1"/>
  <c r="O8540" i="1" s="1"/>
  <c r="I8541" i="1"/>
  <c r="J8541" i="1"/>
  <c r="K8541" i="1"/>
  <c r="O8541" i="1" a="1"/>
  <c r="O8541" i="1" s="1"/>
  <c r="I8542" i="1"/>
  <c r="J8542" i="1"/>
  <c r="K8542" i="1"/>
  <c r="O8542" i="1" a="1"/>
  <c r="O8542" i="1" s="1"/>
  <c r="I8543" i="1"/>
  <c r="J8543" i="1"/>
  <c r="K8543" i="1"/>
  <c r="O8543" i="1" a="1"/>
  <c r="O8543" i="1" s="1"/>
  <c r="I8544" i="1"/>
  <c r="J8544" i="1"/>
  <c r="K8544" i="1"/>
  <c r="O8544" i="1" a="1"/>
  <c r="O8544" i="1" s="1"/>
  <c r="I8545" i="1"/>
  <c r="J8545" i="1"/>
  <c r="K8545" i="1"/>
  <c r="O8545" i="1" a="1"/>
  <c r="O8545" i="1" s="1"/>
  <c r="I8546" i="1"/>
  <c r="J8546" i="1"/>
  <c r="K8546" i="1"/>
  <c r="O8546" i="1" a="1"/>
  <c r="O8546" i="1" s="1"/>
  <c r="I8547" i="1"/>
  <c r="J8547" i="1"/>
  <c r="K8547" i="1"/>
  <c r="O8547" i="1" a="1"/>
  <c r="O8547" i="1" s="1"/>
  <c r="I8548" i="1"/>
  <c r="J8548" i="1"/>
  <c r="K8548" i="1"/>
  <c r="O8548" i="1" a="1"/>
  <c r="O8548" i="1" s="1"/>
  <c r="I8549" i="1"/>
  <c r="J8549" i="1"/>
  <c r="K8549" i="1"/>
  <c r="O8549" i="1" a="1"/>
  <c r="O8549" i="1" s="1"/>
  <c r="I8550" i="1"/>
  <c r="J8550" i="1"/>
  <c r="K8550" i="1"/>
  <c r="O8550" i="1" a="1"/>
  <c r="O8550" i="1"/>
  <c r="I8551" i="1"/>
  <c r="J8551" i="1"/>
  <c r="K8551" i="1"/>
  <c r="O8551" i="1" a="1"/>
  <c r="O8551" i="1" s="1"/>
  <c r="I8552" i="1"/>
  <c r="J8552" i="1"/>
  <c r="K8552" i="1"/>
  <c r="O8552" i="1" a="1"/>
  <c r="O8552" i="1" s="1"/>
  <c r="I8553" i="1"/>
  <c r="J8553" i="1"/>
  <c r="K8553" i="1"/>
  <c r="O8553" i="1" a="1"/>
  <c r="O8553" i="1"/>
  <c r="I8554" i="1"/>
  <c r="J8554" i="1"/>
  <c r="K8554" i="1"/>
  <c r="O8554" i="1" a="1"/>
  <c r="O8554" i="1" s="1"/>
  <c r="I8555" i="1"/>
  <c r="J8555" i="1"/>
  <c r="K8555" i="1"/>
  <c r="O8555" i="1" a="1"/>
  <c r="O8555" i="1" s="1"/>
  <c r="I8556" i="1"/>
  <c r="J8556" i="1"/>
  <c r="K8556" i="1"/>
  <c r="O8556" i="1" a="1"/>
  <c r="O8556" i="1" s="1"/>
  <c r="I8557" i="1"/>
  <c r="J8557" i="1"/>
  <c r="K8557" i="1"/>
  <c r="O8557" i="1" a="1"/>
  <c r="O8557" i="1" s="1"/>
  <c r="I8558" i="1"/>
  <c r="J8558" i="1"/>
  <c r="K8558" i="1"/>
  <c r="O8558" i="1" a="1"/>
  <c r="O8558" i="1" s="1"/>
  <c r="I8559" i="1"/>
  <c r="J8559" i="1"/>
  <c r="K8559" i="1"/>
  <c r="O8559" i="1" a="1"/>
  <c r="O8559" i="1" s="1"/>
  <c r="I8560" i="1"/>
  <c r="J8560" i="1"/>
  <c r="K8560" i="1"/>
  <c r="O8560" i="1" a="1"/>
  <c r="O8560" i="1" s="1"/>
  <c r="I8561" i="1"/>
  <c r="J8561" i="1"/>
  <c r="K8561" i="1"/>
  <c r="O8561" i="1" a="1"/>
  <c r="O8561" i="1"/>
  <c r="I8562" i="1"/>
  <c r="J8562" i="1"/>
  <c r="K8562" i="1"/>
  <c r="O8562" i="1" a="1"/>
  <c r="O8562" i="1" s="1"/>
  <c r="I8563" i="1"/>
  <c r="J8563" i="1"/>
  <c r="K8563" i="1"/>
  <c r="O8563" i="1" a="1"/>
  <c r="O8563" i="1"/>
  <c r="I8564" i="1"/>
  <c r="J8564" i="1"/>
  <c r="K8564" i="1"/>
  <c r="O8564" i="1" a="1"/>
  <c r="O8564" i="1"/>
  <c r="I8565" i="1"/>
  <c r="J8565" i="1"/>
  <c r="K8565" i="1"/>
  <c r="O8565" i="1" a="1"/>
  <c r="O8565" i="1" s="1"/>
  <c r="I8566" i="1"/>
  <c r="J8566" i="1"/>
  <c r="K8566" i="1"/>
  <c r="O8566" i="1" a="1"/>
  <c r="O8566" i="1" s="1"/>
  <c r="I8567" i="1"/>
  <c r="J8567" i="1"/>
  <c r="K8567" i="1"/>
  <c r="O8567" i="1" a="1"/>
  <c r="O8567" i="1" s="1"/>
  <c r="I8568" i="1"/>
  <c r="J8568" i="1"/>
  <c r="K8568" i="1"/>
  <c r="O8568" i="1" a="1"/>
  <c r="O8568" i="1" s="1"/>
  <c r="I8569" i="1"/>
  <c r="J8569" i="1"/>
  <c r="K8569" i="1"/>
  <c r="O8569" i="1" a="1"/>
  <c r="O8569" i="1" s="1"/>
  <c r="I8570" i="1"/>
  <c r="J8570" i="1"/>
  <c r="K8570" i="1"/>
  <c r="O8570" i="1" a="1"/>
  <c r="O8570" i="1" s="1"/>
  <c r="I8571" i="1"/>
  <c r="J8571" i="1"/>
  <c r="K8571" i="1"/>
  <c r="O8571" i="1" a="1"/>
  <c r="O8571" i="1" s="1"/>
  <c r="I8572" i="1"/>
  <c r="J8572" i="1"/>
  <c r="K8572" i="1"/>
  <c r="O8572" i="1" a="1"/>
  <c r="O8572" i="1" s="1"/>
  <c r="I8573" i="1"/>
  <c r="J8573" i="1"/>
  <c r="K8573" i="1"/>
  <c r="O8573" i="1" a="1"/>
  <c r="O8573" i="1" s="1"/>
  <c r="I8574" i="1"/>
  <c r="J8574" i="1"/>
  <c r="K8574" i="1"/>
  <c r="O8574" i="1" a="1"/>
  <c r="O8574" i="1"/>
  <c r="I8575" i="1"/>
  <c r="J8575" i="1"/>
  <c r="K8575" i="1"/>
  <c r="O8575" i="1" a="1"/>
  <c r="O8575" i="1" s="1"/>
  <c r="I8576" i="1"/>
  <c r="J8576" i="1"/>
  <c r="K8576" i="1"/>
  <c r="O8576" i="1" a="1"/>
  <c r="O8576" i="1" s="1"/>
  <c r="I8577" i="1"/>
  <c r="J8577" i="1"/>
  <c r="K8577" i="1"/>
  <c r="O8577" i="1" a="1"/>
  <c r="O8577" i="1" s="1"/>
  <c r="I8578" i="1"/>
  <c r="J8578" i="1"/>
  <c r="K8578" i="1"/>
  <c r="O8578" i="1" a="1"/>
  <c r="O8578" i="1" s="1"/>
  <c r="I8579" i="1"/>
  <c r="J8579" i="1"/>
  <c r="K8579" i="1"/>
  <c r="O8579" i="1" a="1"/>
  <c r="O8579" i="1" s="1"/>
  <c r="I8580" i="1"/>
  <c r="J8580" i="1"/>
  <c r="K8580" i="1"/>
  <c r="O8580" i="1" a="1"/>
  <c r="O8580" i="1" s="1"/>
  <c r="I8581" i="1"/>
  <c r="J8581" i="1"/>
  <c r="K8581" i="1"/>
  <c r="O8581" i="1" a="1"/>
  <c r="O8581" i="1" s="1"/>
  <c r="I8582" i="1"/>
  <c r="J8582" i="1"/>
  <c r="K8582" i="1"/>
  <c r="O8582" i="1" a="1"/>
  <c r="O8582" i="1" s="1"/>
  <c r="I8583" i="1"/>
  <c r="J8583" i="1"/>
  <c r="K8583" i="1"/>
  <c r="O8583" i="1" a="1"/>
  <c r="O8583" i="1"/>
  <c r="I8584" i="1"/>
  <c r="J8584" i="1"/>
  <c r="K8584" i="1"/>
  <c r="O8584" i="1" a="1"/>
  <c r="O8584" i="1" s="1"/>
  <c r="I8585" i="1"/>
  <c r="J8585" i="1"/>
  <c r="K8585" i="1"/>
  <c r="O8585" i="1" a="1"/>
  <c r="O8585" i="1" s="1"/>
  <c r="I8586" i="1"/>
  <c r="J8586" i="1"/>
  <c r="K8586" i="1"/>
  <c r="O8586" i="1" a="1"/>
  <c r="O8586" i="1" s="1"/>
  <c r="I8587" i="1"/>
  <c r="J8587" i="1"/>
  <c r="K8587" i="1"/>
  <c r="O8587" i="1" a="1"/>
  <c r="O8587" i="1" s="1"/>
  <c r="I8588" i="1"/>
  <c r="J8588" i="1"/>
  <c r="K8588" i="1"/>
  <c r="O8588" i="1" a="1"/>
  <c r="O8588" i="1" s="1"/>
  <c r="I8589" i="1"/>
  <c r="J8589" i="1"/>
  <c r="K8589" i="1"/>
  <c r="O8589" i="1" a="1"/>
  <c r="O8589" i="1" s="1"/>
  <c r="I8590" i="1"/>
  <c r="J8590" i="1"/>
  <c r="K8590" i="1"/>
  <c r="O8590" i="1" a="1"/>
  <c r="O8590" i="1" s="1"/>
  <c r="I8591" i="1"/>
  <c r="J8591" i="1"/>
  <c r="K8591" i="1"/>
  <c r="O8591" i="1" a="1"/>
  <c r="O8591" i="1"/>
  <c r="I8592" i="1"/>
  <c r="J8592" i="1"/>
  <c r="K8592" i="1"/>
  <c r="O8592" i="1" a="1"/>
  <c r="O8592" i="1" s="1"/>
  <c r="I8593" i="1"/>
  <c r="J8593" i="1"/>
  <c r="K8593" i="1"/>
  <c r="O8593" i="1" a="1"/>
  <c r="O8593" i="1"/>
  <c r="I8594" i="1"/>
  <c r="J8594" i="1"/>
  <c r="K8594" i="1"/>
  <c r="O8594" i="1" a="1"/>
  <c r="O8594" i="1" s="1"/>
  <c r="I8595" i="1"/>
  <c r="J8595" i="1"/>
  <c r="K8595" i="1"/>
  <c r="O8595" i="1" a="1"/>
  <c r="O8595" i="1" s="1"/>
  <c r="I8596" i="1"/>
  <c r="J8596" i="1"/>
  <c r="K8596" i="1"/>
  <c r="O8596" i="1" a="1"/>
  <c r="O8596" i="1" s="1"/>
  <c r="I8597" i="1"/>
  <c r="J8597" i="1"/>
  <c r="K8597" i="1"/>
  <c r="O8597" i="1" a="1"/>
  <c r="O8597" i="1" s="1"/>
  <c r="I8598" i="1"/>
  <c r="J8598" i="1"/>
  <c r="K8598" i="1"/>
  <c r="O8598" i="1" a="1"/>
  <c r="O8598" i="1" s="1"/>
  <c r="I8599" i="1"/>
  <c r="J8599" i="1"/>
  <c r="K8599" i="1"/>
  <c r="O8599" i="1" a="1"/>
  <c r="O8599" i="1"/>
  <c r="I8600" i="1"/>
  <c r="J8600" i="1"/>
  <c r="K8600" i="1"/>
  <c r="O8600" i="1" a="1"/>
  <c r="O8600" i="1" s="1"/>
  <c r="I8601" i="1"/>
  <c r="J8601" i="1"/>
  <c r="K8601" i="1"/>
  <c r="O8601" i="1" a="1"/>
  <c r="O8601" i="1" s="1"/>
  <c r="I8602" i="1"/>
  <c r="J8602" i="1"/>
  <c r="K8602" i="1"/>
  <c r="O8602" i="1" a="1"/>
  <c r="O8602" i="1" s="1"/>
  <c r="I8603" i="1"/>
  <c r="J8603" i="1"/>
  <c r="K8603" i="1"/>
  <c r="O8603" i="1" a="1"/>
  <c r="O8603" i="1" s="1"/>
  <c r="I8604" i="1"/>
  <c r="J8604" i="1"/>
  <c r="K8604" i="1"/>
  <c r="O8604" i="1" a="1"/>
  <c r="O8604" i="1" s="1"/>
  <c r="I8605" i="1"/>
  <c r="J8605" i="1"/>
  <c r="K8605" i="1"/>
  <c r="O8605" i="1" a="1"/>
  <c r="O8605" i="1" s="1"/>
  <c r="I8606" i="1"/>
  <c r="J8606" i="1"/>
  <c r="K8606" i="1"/>
  <c r="O8606" i="1" a="1"/>
  <c r="O8606" i="1" s="1"/>
  <c r="I8607" i="1"/>
  <c r="J8607" i="1"/>
  <c r="K8607" i="1"/>
  <c r="O8607" i="1" a="1"/>
  <c r="O8607" i="1" s="1"/>
  <c r="I8608" i="1"/>
  <c r="J8608" i="1"/>
  <c r="K8608" i="1"/>
  <c r="O8608" i="1" a="1"/>
  <c r="O8608" i="1" s="1"/>
  <c r="I8609" i="1"/>
  <c r="J8609" i="1"/>
  <c r="K8609" i="1"/>
  <c r="O8609" i="1" a="1"/>
  <c r="O8609" i="1" s="1"/>
  <c r="I8610" i="1"/>
  <c r="J8610" i="1"/>
  <c r="K8610" i="1"/>
  <c r="O8610" i="1" a="1"/>
  <c r="O8610" i="1" s="1"/>
  <c r="I8611" i="1"/>
  <c r="J8611" i="1"/>
  <c r="K8611" i="1"/>
  <c r="O8611" i="1" a="1"/>
  <c r="O8611" i="1" s="1"/>
  <c r="I8612" i="1"/>
  <c r="J8612" i="1"/>
  <c r="K8612" i="1"/>
  <c r="O8612" i="1" a="1"/>
  <c r="O8612" i="1" s="1"/>
  <c r="I8613" i="1"/>
  <c r="J8613" i="1"/>
  <c r="K8613" i="1"/>
  <c r="O8613" i="1" a="1"/>
  <c r="O8613" i="1" s="1"/>
  <c r="I8614" i="1"/>
  <c r="J8614" i="1"/>
  <c r="K8614" i="1"/>
  <c r="O8614" i="1" a="1"/>
  <c r="O8614" i="1" s="1"/>
  <c r="I8615" i="1"/>
  <c r="J8615" i="1"/>
  <c r="K8615" i="1"/>
  <c r="O8615" i="1" a="1"/>
  <c r="O8615" i="1" s="1"/>
  <c r="I8616" i="1"/>
  <c r="J8616" i="1"/>
  <c r="K8616" i="1"/>
  <c r="O8616" i="1" a="1"/>
  <c r="O8616" i="1" s="1"/>
  <c r="I8617" i="1"/>
  <c r="J8617" i="1"/>
  <c r="K8617" i="1"/>
  <c r="O8617" i="1" a="1"/>
  <c r="O8617" i="1" s="1"/>
  <c r="I8618" i="1"/>
  <c r="J8618" i="1"/>
  <c r="K8618" i="1"/>
  <c r="O8618" i="1" a="1"/>
  <c r="O8618" i="1" s="1"/>
  <c r="I8619" i="1"/>
  <c r="J8619" i="1"/>
  <c r="K8619" i="1"/>
  <c r="O8619" i="1" a="1"/>
  <c r="O8619" i="1"/>
  <c r="I8620" i="1"/>
  <c r="J8620" i="1"/>
  <c r="K8620" i="1"/>
  <c r="O8620" i="1" a="1"/>
  <c r="O8620" i="1"/>
  <c r="I8621" i="1"/>
  <c r="J8621" i="1"/>
  <c r="K8621" i="1"/>
  <c r="O8621" i="1" a="1"/>
  <c r="O8621" i="1" s="1"/>
  <c r="I8622" i="1"/>
  <c r="J8622" i="1"/>
  <c r="K8622" i="1"/>
  <c r="O8622" i="1" a="1"/>
  <c r="O8622" i="1" s="1"/>
  <c r="I8623" i="1"/>
  <c r="J8623" i="1"/>
  <c r="K8623" i="1"/>
  <c r="O8623" i="1" a="1"/>
  <c r="O8623" i="1" s="1"/>
  <c r="I8624" i="1"/>
  <c r="J8624" i="1"/>
  <c r="K8624" i="1"/>
  <c r="O8624" i="1" a="1"/>
  <c r="O8624" i="1" s="1"/>
  <c r="I8625" i="1"/>
  <c r="J8625" i="1"/>
  <c r="K8625" i="1"/>
  <c r="O8625" i="1" a="1"/>
  <c r="O8625" i="1" s="1"/>
  <c r="I8626" i="1"/>
  <c r="J8626" i="1"/>
  <c r="K8626" i="1"/>
  <c r="O8626" i="1" a="1"/>
  <c r="O8626" i="1" s="1"/>
  <c r="I8627" i="1"/>
  <c r="J8627" i="1"/>
  <c r="K8627" i="1"/>
  <c r="O8627" i="1" a="1"/>
  <c r="O8627" i="1" s="1"/>
  <c r="I8628" i="1"/>
  <c r="J8628" i="1"/>
  <c r="K8628" i="1"/>
  <c r="O8628" i="1" a="1"/>
  <c r="O8628" i="1" s="1"/>
  <c r="I8629" i="1"/>
  <c r="J8629" i="1"/>
  <c r="K8629" i="1"/>
  <c r="O8629" i="1" a="1"/>
  <c r="O8629" i="1" s="1"/>
  <c r="I8630" i="1"/>
  <c r="J8630" i="1"/>
  <c r="K8630" i="1"/>
  <c r="O8630" i="1" a="1"/>
  <c r="O8630" i="1"/>
  <c r="I8631" i="1"/>
  <c r="J8631" i="1"/>
  <c r="K8631" i="1"/>
  <c r="O8631" i="1" a="1"/>
  <c r="O8631" i="1" s="1"/>
  <c r="I8632" i="1"/>
  <c r="J8632" i="1"/>
  <c r="K8632" i="1"/>
  <c r="O8632" i="1" a="1"/>
  <c r="O8632" i="1" s="1"/>
  <c r="I8633" i="1"/>
  <c r="J8633" i="1"/>
  <c r="K8633" i="1"/>
  <c r="O8633" i="1" a="1"/>
  <c r="O8633" i="1" s="1"/>
  <c r="I8634" i="1"/>
  <c r="J8634" i="1"/>
  <c r="K8634" i="1"/>
  <c r="O8634" i="1" a="1"/>
  <c r="O8634" i="1" s="1"/>
  <c r="I8635" i="1"/>
  <c r="J8635" i="1"/>
  <c r="K8635" i="1"/>
  <c r="O8635" i="1" a="1"/>
  <c r="O8635" i="1" s="1"/>
  <c r="I8636" i="1"/>
  <c r="J8636" i="1"/>
  <c r="K8636" i="1"/>
  <c r="O8636" i="1" a="1"/>
  <c r="O8636" i="1" s="1"/>
  <c r="I8637" i="1"/>
  <c r="J8637" i="1"/>
  <c r="K8637" i="1"/>
  <c r="O8637" i="1" a="1"/>
  <c r="O8637" i="1" s="1"/>
  <c r="I8638" i="1"/>
  <c r="J8638" i="1"/>
  <c r="K8638" i="1"/>
  <c r="O8638" i="1" a="1"/>
  <c r="O8638" i="1" s="1"/>
  <c r="I8639" i="1"/>
  <c r="J8639" i="1"/>
  <c r="K8639" i="1"/>
  <c r="O8639" i="1" a="1"/>
  <c r="O8639" i="1" s="1"/>
  <c r="I8640" i="1"/>
  <c r="J8640" i="1"/>
  <c r="K8640" i="1"/>
  <c r="O8640" i="1" a="1"/>
  <c r="O8640" i="1" s="1"/>
  <c r="I8641" i="1"/>
  <c r="J8641" i="1"/>
  <c r="K8641" i="1"/>
  <c r="O8641" i="1" a="1"/>
  <c r="O8641" i="1" s="1"/>
  <c r="I8642" i="1"/>
  <c r="J8642" i="1"/>
  <c r="K8642" i="1"/>
  <c r="O8642" i="1" a="1"/>
  <c r="O8642" i="1" s="1"/>
  <c r="I8643" i="1"/>
  <c r="J8643" i="1"/>
  <c r="K8643" i="1"/>
  <c r="O8643" i="1" a="1"/>
  <c r="O8643" i="1" s="1"/>
  <c r="I8644" i="1"/>
  <c r="J8644" i="1"/>
  <c r="K8644" i="1"/>
  <c r="O8644" i="1" a="1"/>
  <c r="O8644" i="1" s="1"/>
  <c r="I8645" i="1"/>
  <c r="J8645" i="1"/>
  <c r="K8645" i="1"/>
  <c r="O8645" i="1" a="1"/>
  <c r="O8645" i="1" s="1"/>
  <c r="I8646" i="1"/>
  <c r="J8646" i="1"/>
  <c r="K8646" i="1"/>
  <c r="O8646" i="1" a="1"/>
  <c r="O8646" i="1" s="1"/>
  <c r="I8647" i="1"/>
  <c r="J8647" i="1"/>
  <c r="K8647" i="1"/>
  <c r="O8647" i="1" a="1"/>
  <c r="O8647" i="1" s="1"/>
  <c r="I8648" i="1"/>
  <c r="J8648" i="1"/>
  <c r="K8648" i="1"/>
  <c r="O8648" i="1" a="1"/>
  <c r="O8648" i="1" s="1"/>
  <c r="I8649" i="1"/>
  <c r="J8649" i="1"/>
  <c r="K8649" i="1"/>
  <c r="O8649" i="1" a="1"/>
  <c r="O8649" i="1" s="1"/>
  <c r="I8650" i="1"/>
  <c r="J8650" i="1"/>
  <c r="K8650" i="1"/>
  <c r="O8650" i="1" a="1"/>
  <c r="O8650" i="1" s="1"/>
  <c r="I8651" i="1"/>
  <c r="J8651" i="1"/>
  <c r="K8651" i="1"/>
  <c r="O8651" i="1" a="1"/>
  <c r="O8651" i="1"/>
  <c r="I8652" i="1"/>
  <c r="J8652" i="1"/>
  <c r="K8652" i="1"/>
  <c r="O8652" i="1" a="1"/>
  <c r="O8652" i="1" s="1"/>
  <c r="I8653" i="1"/>
  <c r="J8653" i="1"/>
  <c r="K8653" i="1"/>
  <c r="O8653" i="1" a="1"/>
  <c r="O8653" i="1" s="1"/>
  <c r="I8654" i="1"/>
  <c r="J8654" i="1"/>
  <c r="K8654" i="1"/>
  <c r="O8654" i="1" a="1"/>
  <c r="O8654" i="1"/>
  <c r="I8655" i="1"/>
  <c r="J8655" i="1"/>
  <c r="K8655" i="1"/>
  <c r="O8655" i="1" a="1"/>
  <c r="O8655" i="1" s="1"/>
  <c r="I8656" i="1"/>
  <c r="J8656" i="1"/>
  <c r="K8656" i="1"/>
  <c r="O8656" i="1" a="1"/>
  <c r="O8656" i="1" s="1"/>
  <c r="I8657" i="1"/>
  <c r="J8657" i="1"/>
  <c r="K8657" i="1"/>
  <c r="O8657" i="1" a="1"/>
  <c r="O8657" i="1"/>
  <c r="I8658" i="1"/>
  <c r="J8658" i="1"/>
  <c r="K8658" i="1"/>
  <c r="O8658" i="1" a="1"/>
  <c r="O8658" i="1" s="1"/>
  <c r="I8659" i="1"/>
  <c r="J8659" i="1"/>
  <c r="K8659" i="1"/>
  <c r="O8659" i="1" a="1"/>
  <c r="O8659" i="1" s="1"/>
  <c r="I8660" i="1"/>
  <c r="J8660" i="1"/>
  <c r="K8660" i="1"/>
  <c r="O8660" i="1" a="1"/>
  <c r="O8660" i="1" s="1"/>
  <c r="I8661" i="1"/>
  <c r="J8661" i="1"/>
  <c r="K8661" i="1"/>
  <c r="O8661" i="1" a="1"/>
  <c r="O8661" i="1" s="1"/>
  <c r="I8662" i="1"/>
  <c r="J8662" i="1"/>
  <c r="K8662" i="1"/>
  <c r="O8662" i="1" a="1"/>
  <c r="O8662" i="1" s="1"/>
  <c r="I8663" i="1"/>
  <c r="J8663" i="1"/>
  <c r="K8663" i="1"/>
  <c r="O8663" i="1" a="1"/>
  <c r="O8663" i="1" s="1"/>
  <c r="I8664" i="1"/>
  <c r="J8664" i="1"/>
  <c r="K8664" i="1"/>
  <c r="O8664" i="1" a="1"/>
  <c r="O8664" i="1" s="1"/>
  <c r="I8665" i="1"/>
  <c r="J8665" i="1"/>
  <c r="K8665" i="1"/>
  <c r="O8665" i="1" a="1"/>
  <c r="O8665" i="1" s="1"/>
  <c r="I8666" i="1"/>
  <c r="J8666" i="1"/>
  <c r="K8666" i="1"/>
  <c r="O8666" i="1" a="1"/>
  <c r="O8666" i="1" s="1"/>
  <c r="I8667" i="1"/>
  <c r="J8667" i="1"/>
  <c r="K8667" i="1"/>
  <c r="O8667" i="1" a="1"/>
  <c r="O8667" i="1" s="1"/>
  <c r="I8668" i="1"/>
  <c r="J8668" i="1"/>
  <c r="K8668" i="1"/>
  <c r="O8668" i="1" a="1"/>
  <c r="O8668" i="1" s="1"/>
  <c r="I8669" i="1"/>
  <c r="J8669" i="1"/>
  <c r="K8669" i="1"/>
  <c r="O8669" i="1" a="1"/>
  <c r="O8669" i="1" s="1"/>
  <c r="I8670" i="1"/>
  <c r="J8670" i="1"/>
  <c r="K8670" i="1"/>
  <c r="O8670" i="1" a="1"/>
  <c r="O8670" i="1" s="1"/>
  <c r="I8671" i="1"/>
  <c r="J8671" i="1"/>
  <c r="K8671" i="1"/>
  <c r="O8671" i="1" a="1"/>
  <c r="O8671" i="1" s="1"/>
  <c r="I8672" i="1"/>
  <c r="J8672" i="1"/>
  <c r="K8672" i="1"/>
  <c r="O8672" i="1" a="1"/>
  <c r="O8672" i="1" s="1"/>
  <c r="I8673" i="1"/>
  <c r="J8673" i="1"/>
  <c r="K8673" i="1"/>
  <c r="O8673" i="1" a="1"/>
  <c r="O8673" i="1" s="1"/>
  <c r="I8674" i="1"/>
  <c r="J8674" i="1"/>
  <c r="K8674" i="1"/>
  <c r="O8674" i="1" a="1"/>
  <c r="O8674" i="1" s="1"/>
  <c r="I8675" i="1"/>
  <c r="J8675" i="1"/>
  <c r="K8675" i="1"/>
  <c r="O8675" i="1" a="1"/>
  <c r="O8675" i="1" s="1"/>
  <c r="I8676" i="1"/>
  <c r="J8676" i="1"/>
  <c r="K8676" i="1"/>
  <c r="O8676" i="1" a="1"/>
  <c r="O8676" i="1" s="1"/>
  <c r="I8677" i="1"/>
  <c r="J8677" i="1"/>
  <c r="K8677" i="1"/>
  <c r="O8677" i="1" a="1"/>
  <c r="O8677" i="1" s="1"/>
  <c r="I8678" i="1"/>
  <c r="J8678" i="1"/>
  <c r="K8678" i="1"/>
  <c r="O8678" i="1" a="1"/>
  <c r="O8678" i="1"/>
  <c r="I8679" i="1"/>
  <c r="J8679" i="1"/>
  <c r="K8679" i="1"/>
  <c r="O8679" i="1" a="1"/>
  <c r="O8679" i="1" s="1"/>
  <c r="I8680" i="1"/>
  <c r="J8680" i="1"/>
  <c r="K8680" i="1"/>
  <c r="O8680" i="1" a="1"/>
  <c r="O8680" i="1" s="1"/>
  <c r="I8681" i="1"/>
  <c r="J8681" i="1"/>
  <c r="K8681" i="1"/>
  <c r="O8681" i="1" a="1"/>
  <c r="O8681" i="1" s="1"/>
  <c r="I8682" i="1"/>
  <c r="J8682" i="1"/>
  <c r="K8682" i="1"/>
  <c r="O8682" i="1" a="1"/>
  <c r="O8682" i="1" s="1"/>
  <c r="I8683" i="1"/>
  <c r="J8683" i="1"/>
  <c r="K8683" i="1"/>
  <c r="O8683" i="1" a="1"/>
  <c r="O8683" i="1" s="1"/>
  <c r="I8684" i="1"/>
  <c r="J8684" i="1"/>
  <c r="K8684" i="1"/>
  <c r="O8684" i="1" a="1"/>
  <c r="O8684" i="1" s="1"/>
  <c r="I8685" i="1"/>
  <c r="J8685" i="1"/>
  <c r="K8685" i="1"/>
  <c r="O8685" i="1" a="1"/>
  <c r="O8685" i="1"/>
  <c r="I8686" i="1"/>
  <c r="J8686" i="1"/>
  <c r="K8686" i="1"/>
  <c r="O8686" i="1" a="1"/>
  <c r="O8686" i="1" s="1"/>
  <c r="I8687" i="1"/>
  <c r="J8687" i="1"/>
  <c r="K8687" i="1"/>
  <c r="O8687" i="1" a="1"/>
  <c r="O8687" i="1" s="1"/>
  <c r="I8688" i="1"/>
  <c r="J8688" i="1"/>
  <c r="K8688" i="1"/>
  <c r="O8688" i="1" a="1"/>
  <c r="O8688" i="1" s="1"/>
  <c r="I8689" i="1"/>
  <c r="J8689" i="1"/>
  <c r="K8689" i="1"/>
  <c r="O8689" i="1" a="1"/>
  <c r="O8689" i="1" s="1"/>
  <c r="I8690" i="1"/>
  <c r="J8690" i="1"/>
  <c r="K8690" i="1"/>
  <c r="O8690" i="1" a="1"/>
  <c r="O8690" i="1" s="1"/>
  <c r="I8691" i="1"/>
  <c r="J8691" i="1"/>
  <c r="K8691" i="1"/>
  <c r="O8691" i="1" a="1"/>
  <c r="O8691" i="1" s="1"/>
  <c r="I8692" i="1"/>
  <c r="J8692" i="1"/>
  <c r="K8692" i="1"/>
  <c r="O8692" i="1" a="1"/>
  <c r="O8692" i="1" s="1"/>
  <c r="I8693" i="1"/>
  <c r="J8693" i="1"/>
  <c r="K8693" i="1"/>
  <c r="O8693" i="1" a="1"/>
  <c r="O8693" i="1" s="1"/>
  <c r="I8694" i="1"/>
  <c r="J8694" i="1"/>
  <c r="K8694" i="1"/>
  <c r="O8694" i="1" a="1"/>
  <c r="O8694" i="1" s="1"/>
  <c r="I8695" i="1"/>
  <c r="J8695" i="1"/>
  <c r="K8695" i="1"/>
  <c r="O8695" i="1" a="1"/>
  <c r="O8695" i="1" s="1"/>
  <c r="I8696" i="1"/>
  <c r="J8696" i="1"/>
  <c r="K8696" i="1"/>
  <c r="O8696" i="1" a="1"/>
  <c r="O8696" i="1" s="1"/>
  <c r="I8697" i="1"/>
  <c r="J8697" i="1"/>
  <c r="K8697" i="1"/>
  <c r="O8697" i="1" a="1"/>
  <c r="O8697" i="1" s="1"/>
  <c r="I8698" i="1"/>
  <c r="J8698" i="1"/>
  <c r="K8698" i="1"/>
  <c r="O8698" i="1" a="1"/>
  <c r="O8698" i="1" s="1"/>
  <c r="I8699" i="1"/>
  <c r="J8699" i="1"/>
  <c r="K8699" i="1"/>
  <c r="O8699" i="1" a="1"/>
  <c r="O8699" i="1" s="1"/>
  <c r="I8700" i="1"/>
  <c r="J8700" i="1"/>
  <c r="K8700" i="1"/>
  <c r="O8700" i="1" a="1"/>
  <c r="O8700" i="1" s="1"/>
  <c r="I8701" i="1"/>
  <c r="J8701" i="1"/>
  <c r="K8701" i="1"/>
  <c r="O8701" i="1" a="1"/>
  <c r="O8701" i="1" s="1"/>
  <c r="I8702" i="1"/>
  <c r="J8702" i="1"/>
  <c r="K8702" i="1"/>
  <c r="O8702" i="1" a="1"/>
  <c r="O8702" i="1" s="1"/>
  <c r="I8703" i="1"/>
  <c r="J8703" i="1"/>
  <c r="K8703" i="1"/>
  <c r="O8703" i="1" a="1"/>
  <c r="O8703" i="1"/>
  <c r="I8704" i="1"/>
  <c r="J8704" i="1"/>
  <c r="K8704" i="1"/>
  <c r="O8704" i="1" a="1"/>
  <c r="O8704" i="1" s="1"/>
  <c r="I8705" i="1"/>
  <c r="J8705" i="1"/>
  <c r="K8705" i="1"/>
  <c r="O8705" i="1" a="1"/>
  <c r="O8705" i="1" s="1"/>
  <c r="I8706" i="1"/>
  <c r="J8706" i="1"/>
  <c r="K8706" i="1"/>
  <c r="O8706" i="1" a="1"/>
  <c r="O8706" i="1" s="1"/>
  <c r="I8707" i="1"/>
  <c r="J8707" i="1"/>
  <c r="K8707" i="1"/>
  <c r="O8707" i="1" a="1"/>
  <c r="O8707" i="1" s="1"/>
  <c r="I8708" i="1"/>
  <c r="J8708" i="1"/>
  <c r="K8708" i="1"/>
  <c r="O8708" i="1" a="1"/>
  <c r="O8708" i="1" s="1"/>
  <c r="I8709" i="1"/>
  <c r="J8709" i="1"/>
  <c r="K8709" i="1"/>
  <c r="O8709" i="1" a="1"/>
  <c r="O8709" i="1" s="1"/>
  <c r="I8710" i="1"/>
  <c r="J8710" i="1"/>
  <c r="K8710" i="1"/>
  <c r="O8710" i="1" a="1"/>
  <c r="O8710" i="1" s="1"/>
  <c r="I8711" i="1"/>
  <c r="J8711" i="1"/>
  <c r="K8711" i="1"/>
  <c r="O8711" i="1" a="1"/>
  <c r="O8711" i="1" s="1"/>
  <c r="I8712" i="1"/>
  <c r="J8712" i="1"/>
  <c r="K8712" i="1"/>
  <c r="O8712" i="1" a="1"/>
  <c r="O8712" i="1" s="1"/>
  <c r="I8713" i="1"/>
  <c r="J8713" i="1"/>
  <c r="K8713" i="1"/>
  <c r="O8713" i="1" a="1"/>
  <c r="O8713" i="1" s="1"/>
  <c r="I8714" i="1"/>
  <c r="J8714" i="1"/>
  <c r="K8714" i="1"/>
  <c r="O8714" i="1" a="1"/>
  <c r="O8714" i="1" s="1"/>
  <c r="I8715" i="1"/>
  <c r="J8715" i="1"/>
  <c r="K8715" i="1"/>
  <c r="O8715" i="1" a="1"/>
  <c r="O8715" i="1" s="1"/>
  <c r="I8716" i="1"/>
  <c r="J8716" i="1"/>
  <c r="K8716" i="1"/>
  <c r="O8716" i="1" a="1"/>
  <c r="O8716" i="1" s="1"/>
  <c r="I8717" i="1"/>
  <c r="J8717" i="1"/>
  <c r="K8717" i="1"/>
  <c r="O8717" i="1" a="1"/>
  <c r="O8717" i="1" s="1"/>
  <c r="I8718" i="1"/>
  <c r="J8718" i="1"/>
  <c r="K8718" i="1"/>
  <c r="O8718" i="1" a="1"/>
  <c r="O8718" i="1" s="1"/>
  <c r="I8719" i="1"/>
  <c r="J8719" i="1"/>
  <c r="K8719" i="1"/>
  <c r="O8719" i="1" a="1"/>
  <c r="O8719" i="1" s="1"/>
  <c r="I8720" i="1"/>
  <c r="J8720" i="1"/>
  <c r="K8720" i="1"/>
  <c r="O8720" i="1" a="1"/>
  <c r="O8720" i="1" s="1"/>
  <c r="I8721" i="1"/>
  <c r="J8721" i="1"/>
  <c r="K8721" i="1"/>
  <c r="O8721" i="1" a="1"/>
  <c r="O8721" i="1" s="1"/>
  <c r="I8722" i="1"/>
  <c r="J8722" i="1"/>
  <c r="K8722" i="1"/>
  <c r="O8722" i="1" a="1"/>
  <c r="O8722" i="1" s="1"/>
  <c r="I8723" i="1"/>
  <c r="J8723" i="1"/>
  <c r="K8723" i="1"/>
  <c r="O8723" i="1" a="1"/>
  <c r="O8723" i="1" s="1"/>
  <c r="I8724" i="1"/>
  <c r="J8724" i="1"/>
  <c r="K8724" i="1"/>
  <c r="O8724" i="1" a="1"/>
  <c r="O8724" i="1" s="1"/>
  <c r="I8725" i="1"/>
  <c r="J8725" i="1"/>
  <c r="K8725" i="1"/>
  <c r="O8725" i="1" a="1"/>
  <c r="O8725" i="1" s="1"/>
  <c r="I8726" i="1"/>
  <c r="J8726" i="1"/>
  <c r="K8726" i="1"/>
  <c r="O8726" i="1" a="1"/>
  <c r="O8726" i="1" s="1"/>
  <c r="I8727" i="1"/>
  <c r="J8727" i="1"/>
  <c r="K8727" i="1"/>
  <c r="O8727" i="1" a="1"/>
  <c r="O8727" i="1" s="1"/>
  <c r="I8728" i="1"/>
  <c r="J8728" i="1"/>
  <c r="K8728" i="1"/>
  <c r="O8728" i="1" a="1"/>
  <c r="O8728" i="1" s="1"/>
  <c r="I8729" i="1"/>
  <c r="J8729" i="1"/>
  <c r="K8729" i="1"/>
  <c r="O8729" i="1" a="1"/>
  <c r="O8729" i="1" s="1"/>
  <c r="I8730" i="1"/>
  <c r="J8730" i="1"/>
  <c r="K8730" i="1"/>
  <c r="O8730" i="1" a="1"/>
  <c r="O8730" i="1" s="1"/>
  <c r="I8731" i="1"/>
  <c r="J8731" i="1"/>
  <c r="K8731" i="1"/>
  <c r="O8731" i="1" a="1"/>
  <c r="O8731" i="1" s="1"/>
  <c r="I8732" i="1"/>
  <c r="J8732" i="1"/>
  <c r="K8732" i="1"/>
  <c r="O8732" i="1" a="1"/>
  <c r="O8732" i="1" s="1"/>
  <c r="I8733" i="1"/>
  <c r="J8733" i="1"/>
  <c r="K8733" i="1"/>
  <c r="O8733" i="1" a="1"/>
  <c r="O8733" i="1" s="1"/>
  <c r="I8734" i="1"/>
  <c r="J8734" i="1"/>
  <c r="K8734" i="1"/>
  <c r="O8734" i="1" a="1"/>
  <c r="O8734" i="1" s="1"/>
  <c r="I8735" i="1"/>
  <c r="J8735" i="1"/>
  <c r="K8735" i="1"/>
  <c r="O8735" i="1" a="1"/>
  <c r="O8735" i="1" s="1"/>
  <c r="I8736" i="1"/>
  <c r="J8736" i="1"/>
  <c r="K8736" i="1"/>
  <c r="O8736" i="1" a="1"/>
  <c r="O8736" i="1" s="1"/>
  <c r="I8737" i="1"/>
  <c r="J8737" i="1"/>
  <c r="K8737" i="1"/>
  <c r="O8737" i="1" a="1"/>
  <c r="O8737" i="1" s="1"/>
  <c r="I8738" i="1"/>
  <c r="J8738" i="1"/>
  <c r="K8738" i="1"/>
  <c r="O8738" i="1" a="1"/>
  <c r="O8738" i="1"/>
  <c r="I8739" i="1"/>
  <c r="J8739" i="1"/>
  <c r="K8739" i="1"/>
  <c r="O8739" i="1" a="1"/>
  <c r="O8739" i="1" s="1"/>
  <c r="I8740" i="1"/>
  <c r="J8740" i="1"/>
  <c r="K8740" i="1"/>
  <c r="O8740" i="1" a="1"/>
  <c r="O8740" i="1" s="1"/>
  <c r="I8741" i="1"/>
  <c r="J8741" i="1"/>
  <c r="K8741" i="1"/>
  <c r="O8741" i="1" a="1"/>
  <c r="O8741" i="1" s="1"/>
  <c r="I8742" i="1"/>
  <c r="J8742" i="1"/>
  <c r="K8742" i="1"/>
  <c r="O8742" i="1" a="1"/>
  <c r="O8742" i="1" s="1"/>
  <c r="I8743" i="1"/>
  <c r="J8743" i="1"/>
  <c r="K8743" i="1"/>
  <c r="O8743" i="1" a="1"/>
  <c r="O8743" i="1" s="1"/>
  <c r="I8744" i="1"/>
  <c r="J8744" i="1"/>
  <c r="K8744" i="1"/>
  <c r="O8744" i="1" a="1"/>
  <c r="O8744" i="1" s="1"/>
  <c r="I8745" i="1"/>
  <c r="J8745" i="1"/>
  <c r="K8745" i="1"/>
  <c r="O8745" i="1" a="1"/>
  <c r="O8745" i="1" s="1"/>
  <c r="I8746" i="1"/>
  <c r="J8746" i="1"/>
  <c r="K8746" i="1"/>
  <c r="O8746" i="1" a="1"/>
  <c r="O8746" i="1" s="1"/>
  <c r="I8747" i="1"/>
  <c r="J8747" i="1"/>
  <c r="K8747" i="1"/>
  <c r="O8747" i="1" a="1"/>
  <c r="O8747" i="1" s="1"/>
  <c r="I8748" i="1"/>
  <c r="J8748" i="1"/>
  <c r="K8748" i="1"/>
  <c r="O8748" i="1" a="1"/>
  <c r="O8748" i="1" s="1"/>
  <c r="I8749" i="1"/>
  <c r="J8749" i="1"/>
  <c r="K8749" i="1"/>
  <c r="O8749" i="1" a="1"/>
  <c r="O8749" i="1"/>
  <c r="I8750" i="1"/>
  <c r="J8750" i="1"/>
  <c r="K8750" i="1"/>
  <c r="O8750" i="1" a="1"/>
  <c r="O8750" i="1" s="1"/>
  <c r="I8751" i="1"/>
  <c r="J8751" i="1"/>
  <c r="K8751" i="1"/>
  <c r="O8751" i="1" a="1"/>
  <c r="O8751" i="1" s="1"/>
  <c r="I8752" i="1"/>
  <c r="J8752" i="1"/>
  <c r="K8752" i="1"/>
  <c r="O8752" i="1" a="1"/>
  <c r="O8752" i="1" s="1"/>
  <c r="I8753" i="1"/>
  <c r="J8753" i="1"/>
  <c r="K8753" i="1"/>
  <c r="O8753" i="1" a="1"/>
  <c r="O8753" i="1" s="1"/>
  <c r="I8754" i="1"/>
  <c r="J8754" i="1"/>
  <c r="K8754" i="1"/>
  <c r="O8754" i="1" a="1"/>
  <c r="O8754" i="1" s="1"/>
  <c r="I8755" i="1"/>
  <c r="J8755" i="1"/>
  <c r="K8755" i="1"/>
  <c r="O8755" i="1" a="1"/>
  <c r="O8755" i="1" s="1"/>
  <c r="I8756" i="1"/>
  <c r="J8756" i="1"/>
  <c r="K8756" i="1"/>
  <c r="O8756" i="1" a="1"/>
  <c r="O8756" i="1" s="1"/>
  <c r="I8757" i="1"/>
  <c r="J8757" i="1"/>
  <c r="K8757" i="1"/>
  <c r="O8757" i="1" a="1"/>
  <c r="O8757" i="1" s="1"/>
  <c r="I8758" i="1"/>
  <c r="J8758" i="1"/>
  <c r="K8758" i="1"/>
  <c r="O8758" i="1" a="1"/>
  <c r="O8758" i="1" s="1"/>
  <c r="I8759" i="1"/>
  <c r="J8759" i="1"/>
  <c r="K8759" i="1"/>
  <c r="O8759" i="1" a="1"/>
  <c r="O8759" i="1" s="1"/>
  <c r="I8760" i="1"/>
  <c r="J8760" i="1"/>
  <c r="K8760" i="1"/>
  <c r="O8760" i="1" a="1"/>
  <c r="O8760" i="1" s="1"/>
  <c r="I8761" i="1"/>
  <c r="J8761" i="1"/>
  <c r="K8761" i="1"/>
  <c r="O8761" i="1" a="1"/>
  <c r="O8761" i="1" s="1"/>
  <c r="I8762" i="1"/>
  <c r="J8762" i="1"/>
  <c r="K8762" i="1"/>
  <c r="O8762" i="1" a="1"/>
  <c r="O8762" i="1" s="1"/>
  <c r="I8763" i="1"/>
  <c r="J8763" i="1"/>
  <c r="K8763" i="1"/>
  <c r="O8763" i="1" a="1"/>
  <c r="O8763" i="1" s="1"/>
  <c r="I8764" i="1"/>
  <c r="J8764" i="1"/>
  <c r="K8764" i="1"/>
  <c r="O8764" i="1" a="1"/>
  <c r="O8764" i="1" s="1"/>
  <c r="I8765" i="1"/>
  <c r="J8765" i="1"/>
  <c r="K8765" i="1"/>
  <c r="O8765" i="1" a="1"/>
  <c r="O8765" i="1" s="1"/>
  <c r="I8766" i="1"/>
  <c r="J8766" i="1"/>
  <c r="K8766" i="1"/>
  <c r="O8766" i="1" a="1"/>
  <c r="O8766" i="1" s="1"/>
  <c r="I8767" i="1"/>
  <c r="J8767" i="1"/>
  <c r="K8767" i="1"/>
  <c r="O8767" i="1" a="1"/>
  <c r="O8767" i="1"/>
  <c r="I8768" i="1"/>
  <c r="J8768" i="1"/>
  <c r="K8768" i="1"/>
  <c r="O8768" i="1" a="1"/>
  <c r="O8768" i="1" s="1"/>
  <c r="I8769" i="1"/>
  <c r="J8769" i="1"/>
  <c r="K8769" i="1"/>
  <c r="O8769" i="1" a="1"/>
  <c r="O8769" i="1" s="1"/>
  <c r="I8770" i="1"/>
  <c r="J8770" i="1"/>
  <c r="K8770" i="1"/>
  <c r="O8770" i="1" a="1"/>
  <c r="O8770" i="1"/>
  <c r="I8771" i="1"/>
  <c r="J8771" i="1"/>
  <c r="K8771" i="1"/>
  <c r="O8771" i="1" a="1"/>
  <c r="O8771" i="1" s="1"/>
  <c r="I8772" i="1"/>
  <c r="J8772" i="1"/>
  <c r="K8772" i="1"/>
  <c r="O8772" i="1" a="1"/>
  <c r="O8772" i="1" s="1"/>
  <c r="I8773" i="1"/>
  <c r="J8773" i="1"/>
  <c r="K8773" i="1"/>
  <c r="O8773" i="1" a="1"/>
  <c r="O8773" i="1" s="1"/>
  <c r="I8774" i="1"/>
  <c r="J8774" i="1"/>
  <c r="K8774" i="1"/>
  <c r="O8774" i="1" a="1"/>
  <c r="O8774" i="1" s="1"/>
  <c r="I8775" i="1"/>
  <c r="J8775" i="1"/>
  <c r="K8775" i="1"/>
  <c r="O8775" i="1" a="1"/>
  <c r="O8775" i="1" s="1"/>
  <c r="I8776" i="1"/>
  <c r="J8776" i="1"/>
  <c r="K8776" i="1"/>
  <c r="O8776" i="1" a="1"/>
  <c r="O8776" i="1" s="1"/>
  <c r="I8777" i="1"/>
  <c r="J8777" i="1"/>
  <c r="K8777" i="1"/>
  <c r="O8777" i="1" a="1"/>
  <c r="O8777" i="1" s="1"/>
  <c r="I8778" i="1"/>
  <c r="J8778" i="1"/>
  <c r="K8778" i="1"/>
  <c r="O8778" i="1" a="1"/>
  <c r="O8778" i="1" s="1"/>
  <c r="I8779" i="1"/>
  <c r="J8779" i="1"/>
  <c r="K8779" i="1"/>
  <c r="O8779" i="1" a="1"/>
  <c r="O8779" i="1" s="1"/>
  <c r="I8780" i="1"/>
  <c r="J8780" i="1"/>
  <c r="K8780" i="1"/>
  <c r="O8780" i="1" a="1"/>
  <c r="O8780" i="1" s="1"/>
  <c r="I8781" i="1"/>
  <c r="J8781" i="1"/>
  <c r="K8781" i="1"/>
  <c r="O8781" i="1" a="1"/>
  <c r="O8781" i="1"/>
  <c r="I8782" i="1"/>
  <c r="J8782" i="1"/>
  <c r="K8782" i="1"/>
  <c r="O8782" i="1" a="1"/>
  <c r="O8782" i="1" s="1"/>
  <c r="I8783" i="1"/>
  <c r="J8783" i="1"/>
  <c r="K8783" i="1"/>
  <c r="O8783" i="1" a="1"/>
  <c r="O8783" i="1"/>
  <c r="I8784" i="1"/>
  <c r="J8784" i="1"/>
  <c r="K8784" i="1"/>
  <c r="O8784" i="1" a="1"/>
  <c r="O8784" i="1" s="1"/>
  <c r="I8785" i="1"/>
  <c r="J8785" i="1"/>
  <c r="K8785" i="1"/>
  <c r="O8785" i="1" a="1"/>
  <c r="O8785" i="1" s="1"/>
  <c r="I8786" i="1"/>
  <c r="J8786" i="1"/>
  <c r="K8786" i="1"/>
  <c r="O8786" i="1" a="1"/>
  <c r="O8786" i="1" s="1"/>
  <c r="I8787" i="1"/>
  <c r="J8787" i="1"/>
  <c r="K8787" i="1"/>
  <c r="O8787" i="1" a="1"/>
  <c r="O8787" i="1" s="1"/>
  <c r="I8788" i="1"/>
  <c r="J8788" i="1"/>
  <c r="K8788" i="1"/>
  <c r="O8788" i="1" a="1"/>
  <c r="O8788" i="1" s="1"/>
  <c r="I8789" i="1"/>
  <c r="J8789" i="1"/>
  <c r="K8789" i="1"/>
  <c r="O8789" i="1" a="1"/>
  <c r="O8789" i="1"/>
  <c r="I8790" i="1"/>
  <c r="J8790" i="1"/>
  <c r="K8790" i="1"/>
  <c r="O8790" i="1" a="1"/>
  <c r="O8790" i="1" s="1"/>
  <c r="I8791" i="1"/>
  <c r="J8791" i="1"/>
  <c r="K8791" i="1"/>
  <c r="O8791" i="1" a="1"/>
  <c r="O8791" i="1" s="1"/>
  <c r="I8792" i="1"/>
  <c r="J8792" i="1"/>
  <c r="K8792" i="1"/>
  <c r="O8792" i="1" a="1"/>
  <c r="O8792" i="1" s="1"/>
  <c r="I8793" i="1"/>
  <c r="J8793" i="1"/>
  <c r="K8793" i="1"/>
  <c r="O8793" i="1" a="1"/>
  <c r="O8793" i="1" s="1"/>
  <c r="I8794" i="1"/>
  <c r="J8794" i="1"/>
  <c r="K8794" i="1"/>
  <c r="O8794" i="1" a="1"/>
  <c r="O8794" i="1"/>
  <c r="I8795" i="1"/>
  <c r="J8795" i="1"/>
  <c r="K8795" i="1"/>
  <c r="O8795" i="1" a="1"/>
  <c r="O8795" i="1" s="1"/>
  <c r="I8796" i="1"/>
  <c r="J8796" i="1"/>
  <c r="K8796" i="1"/>
  <c r="O8796" i="1" a="1"/>
  <c r="O8796" i="1" s="1"/>
  <c r="I8797" i="1"/>
  <c r="J8797" i="1"/>
  <c r="K8797" i="1"/>
  <c r="O8797" i="1" a="1"/>
  <c r="O8797" i="1" s="1"/>
  <c r="I8798" i="1"/>
  <c r="J8798" i="1"/>
  <c r="K8798" i="1"/>
  <c r="O8798" i="1" a="1"/>
  <c r="O8798" i="1" s="1"/>
  <c r="I8799" i="1"/>
  <c r="J8799" i="1"/>
  <c r="K8799" i="1"/>
  <c r="O8799" i="1" a="1"/>
  <c r="O8799" i="1"/>
  <c r="I8800" i="1"/>
  <c r="J8800" i="1"/>
  <c r="K8800" i="1"/>
  <c r="O8800" i="1" a="1"/>
  <c r="O8800" i="1" s="1"/>
  <c r="I8801" i="1"/>
  <c r="J8801" i="1"/>
  <c r="K8801" i="1"/>
  <c r="O8801" i="1" a="1"/>
  <c r="O8801" i="1" s="1"/>
  <c r="I8802" i="1"/>
  <c r="J8802" i="1"/>
  <c r="K8802" i="1"/>
  <c r="O8802" i="1" a="1"/>
  <c r="O8802" i="1"/>
  <c r="I8803" i="1"/>
  <c r="J8803" i="1"/>
  <c r="K8803" i="1"/>
  <c r="O8803" i="1" a="1"/>
  <c r="O8803" i="1" s="1"/>
  <c r="I8804" i="1"/>
  <c r="J8804" i="1"/>
  <c r="K8804" i="1"/>
  <c r="O8804" i="1" a="1"/>
  <c r="O8804" i="1" s="1"/>
  <c r="I8805" i="1"/>
  <c r="J8805" i="1"/>
  <c r="K8805" i="1"/>
  <c r="O8805" i="1" a="1"/>
  <c r="O8805" i="1" s="1"/>
  <c r="I8806" i="1"/>
  <c r="J8806" i="1"/>
  <c r="K8806" i="1"/>
  <c r="O8806" i="1" a="1"/>
  <c r="O8806" i="1" s="1"/>
  <c r="I8807" i="1"/>
  <c r="J8807" i="1"/>
  <c r="K8807" i="1"/>
  <c r="O8807" i="1" a="1"/>
  <c r="O8807" i="1" s="1"/>
  <c r="I8808" i="1"/>
  <c r="J8808" i="1"/>
  <c r="K8808" i="1"/>
  <c r="O8808" i="1" a="1"/>
  <c r="O8808" i="1" s="1"/>
  <c r="I8809" i="1"/>
  <c r="J8809" i="1"/>
  <c r="K8809" i="1"/>
  <c r="O8809" i="1" a="1"/>
  <c r="O8809" i="1" s="1"/>
  <c r="I8810" i="1"/>
  <c r="J8810" i="1"/>
  <c r="K8810" i="1"/>
  <c r="O8810" i="1" a="1"/>
  <c r="O8810" i="1"/>
  <c r="I8811" i="1"/>
  <c r="J8811" i="1"/>
  <c r="K8811" i="1"/>
  <c r="O8811" i="1" a="1"/>
  <c r="O8811" i="1" s="1"/>
  <c r="I8812" i="1"/>
  <c r="J8812" i="1"/>
  <c r="K8812" i="1"/>
  <c r="O8812" i="1" a="1"/>
  <c r="O8812" i="1" s="1"/>
  <c r="I8813" i="1"/>
  <c r="J8813" i="1"/>
  <c r="K8813" i="1"/>
  <c r="O8813" i="1" a="1"/>
  <c r="O8813" i="1"/>
  <c r="I8814" i="1"/>
  <c r="J8814" i="1"/>
  <c r="K8814" i="1"/>
  <c r="O8814" i="1" a="1"/>
  <c r="O8814" i="1" s="1"/>
  <c r="I8815" i="1"/>
  <c r="J8815" i="1"/>
  <c r="K8815" i="1"/>
  <c r="O8815" i="1" a="1"/>
  <c r="O8815" i="1"/>
  <c r="I8816" i="1"/>
  <c r="J8816" i="1"/>
  <c r="K8816" i="1"/>
  <c r="O8816" i="1" a="1"/>
  <c r="O8816" i="1" s="1"/>
  <c r="I8817" i="1"/>
  <c r="J8817" i="1"/>
  <c r="K8817" i="1"/>
  <c r="O8817" i="1" a="1"/>
  <c r="O8817" i="1" s="1"/>
  <c r="I8818" i="1"/>
  <c r="J8818" i="1"/>
  <c r="K8818" i="1"/>
  <c r="O8818" i="1" a="1"/>
  <c r="O8818" i="1" s="1"/>
  <c r="I8819" i="1"/>
  <c r="J8819" i="1"/>
  <c r="K8819" i="1"/>
  <c r="O8819" i="1" a="1"/>
  <c r="O8819" i="1" s="1"/>
  <c r="I8820" i="1"/>
  <c r="J8820" i="1"/>
  <c r="K8820" i="1"/>
  <c r="O8820" i="1" a="1"/>
  <c r="O8820" i="1" s="1"/>
  <c r="I8821" i="1"/>
  <c r="J8821" i="1"/>
  <c r="K8821" i="1"/>
  <c r="O8821" i="1" a="1"/>
  <c r="O8821" i="1" s="1"/>
  <c r="I8822" i="1"/>
  <c r="J8822" i="1"/>
  <c r="K8822" i="1"/>
  <c r="O8822" i="1" a="1"/>
  <c r="O8822" i="1" s="1"/>
  <c r="I8823" i="1"/>
  <c r="J8823" i="1"/>
  <c r="K8823" i="1"/>
  <c r="O8823" i="1" a="1"/>
  <c r="O8823" i="1" s="1"/>
  <c r="I8824" i="1"/>
  <c r="J8824" i="1"/>
  <c r="K8824" i="1"/>
  <c r="O8824" i="1" a="1"/>
  <c r="O8824" i="1" s="1"/>
  <c r="I8825" i="1"/>
  <c r="J8825" i="1"/>
  <c r="K8825" i="1"/>
  <c r="O8825" i="1" a="1"/>
  <c r="O8825" i="1" s="1"/>
  <c r="I8826" i="1"/>
  <c r="J8826" i="1"/>
  <c r="K8826" i="1"/>
  <c r="O8826" i="1" a="1"/>
  <c r="O8826" i="1"/>
  <c r="I8827" i="1"/>
  <c r="J8827" i="1"/>
  <c r="K8827" i="1"/>
  <c r="O8827" i="1" a="1"/>
  <c r="O8827" i="1" s="1"/>
  <c r="I8828" i="1"/>
  <c r="J8828" i="1"/>
  <c r="K8828" i="1"/>
  <c r="O8828" i="1" a="1"/>
  <c r="O8828" i="1" s="1"/>
  <c r="I8829" i="1"/>
  <c r="J8829" i="1"/>
  <c r="K8829" i="1"/>
  <c r="O8829" i="1" a="1"/>
  <c r="O8829" i="1"/>
  <c r="I8830" i="1"/>
  <c r="J8830" i="1"/>
  <c r="K8830" i="1"/>
  <c r="O8830" i="1" a="1"/>
  <c r="O8830" i="1" s="1"/>
  <c r="I8831" i="1"/>
  <c r="J8831" i="1"/>
  <c r="K8831" i="1"/>
  <c r="O8831" i="1" a="1"/>
  <c r="O8831" i="1" s="1"/>
  <c r="I8832" i="1"/>
  <c r="J8832" i="1"/>
  <c r="K8832" i="1"/>
  <c r="O8832" i="1" a="1"/>
  <c r="O8832" i="1" s="1"/>
  <c r="I8833" i="1"/>
  <c r="J8833" i="1"/>
  <c r="K8833" i="1"/>
  <c r="O8833" i="1" a="1"/>
  <c r="O8833" i="1" s="1"/>
  <c r="I8834" i="1"/>
  <c r="J8834" i="1"/>
  <c r="K8834" i="1"/>
  <c r="O8834" i="1" a="1"/>
  <c r="O8834" i="1"/>
  <c r="I8835" i="1"/>
  <c r="J8835" i="1"/>
  <c r="K8835" i="1"/>
  <c r="O8835" i="1" a="1"/>
  <c r="O8835" i="1" s="1"/>
  <c r="I8836" i="1"/>
  <c r="J8836" i="1"/>
  <c r="K8836" i="1"/>
  <c r="O8836" i="1" a="1"/>
  <c r="O8836" i="1" s="1"/>
  <c r="I8837" i="1"/>
  <c r="J8837" i="1"/>
  <c r="K8837" i="1"/>
  <c r="O8837" i="1" a="1"/>
  <c r="O8837" i="1"/>
  <c r="I8838" i="1"/>
  <c r="J8838" i="1"/>
  <c r="K8838" i="1"/>
  <c r="O8838" i="1" a="1"/>
  <c r="O8838" i="1" s="1"/>
  <c r="I8839" i="1"/>
  <c r="J8839" i="1"/>
  <c r="K8839" i="1"/>
  <c r="O8839" i="1" a="1"/>
  <c r="O8839" i="1" s="1"/>
  <c r="I8840" i="1"/>
  <c r="J8840" i="1"/>
  <c r="K8840" i="1"/>
  <c r="O8840" i="1" a="1"/>
  <c r="O8840" i="1" s="1"/>
  <c r="I8841" i="1"/>
  <c r="J8841" i="1"/>
  <c r="K8841" i="1"/>
  <c r="O8841" i="1" a="1"/>
  <c r="O8841" i="1" s="1"/>
  <c r="I8842" i="1"/>
  <c r="J8842" i="1"/>
  <c r="K8842" i="1"/>
  <c r="O8842" i="1" a="1"/>
  <c r="O8842" i="1" s="1"/>
  <c r="I8843" i="1"/>
  <c r="J8843" i="1"/>
  <c r="K8843" i="1"/>
  <c r="O8843" i="1" a="1"/>
  <c r="O8843" i="1"/>
  <c r="I8844" i="1"/>
  <c r="J8844" i="1"/>
  <c r="K8844" i="1"/>
  <c r="O8844" i="1" a="1"/>
  <c r="O8844" i="1" s="1"/>
  <c r="I8845" i="1"/>
  <c r="J8845" i="1"/>
  <c r="K8845" i="1"/>
  <c r="O8845" i="1" a="1"/>
  <c r="O8845" i="1" s="1"/>
  <c r="I8846" i="1"/>
  <c r="J8846" i="1"/>
  <c r="K8846" i="1"/>
  <c r="O8846" i="1" a="1"/>
  <c r="O8846" i="1" s="1"/>
  <c r="I8847" i="1"/>
  <c r="J8847" i="1"/>
  <c r="K8847" i="1"/>
  <c r="O8847" i="1" a="1"/>
  <c r="O8847" i="1" s="1"/>
  <c r="I8848" i="1"/>
  <c r="J8848" i="1"/>
  <c r="K8848" i="1"/>
  <c r="O8848" i="1" a="1"/>
  <c r="O8848" i="1" s="1"/>
  <c r="I8849" i="1"/>
  <c r="J8849" i="1"/>
  <c r="K8849" i="1"/>
  <c r="O8849" i="1" a="1"/>
  <c r="O8849" i="1" s="1"/>
  <c r="I8850" i="1"/>
  <c r="J8850" i="1"/>
  <c r="K8850" i="1"/>
  <c r="O8850" i="1" a="1"/>
  <c r="O8850" i="1" s="1"/>
  <c r="I8851" i="1"/>
  <c r="J8851" i="1"/>
  <c r="K8851" i="1"/>
  <c r="O8851" i="1" a="1"/>
  <c r="O8851" i="1" s="1"/>
  <c r="I8852" i="1"/>
  <c r="J8852" i="1"/>
  <c r="K8852" i="1"/>
  <c r="O8852" i="1" a="1"/>
  <c r="O8852" i="1" s="1"/>
  <c r="I8853" i="1"/>
  <c r="J8853" i="1"/>
  <c r="K8853" i="1"/>
  <c r="O8853" i="1" a="1"/>
  <c r="O8853" i="1"/>
  <c r="I8854" i="1"/>
  <c r="J8854" i="1"/>
  <c r="K8854" i="1"/>
  <c r="O8854" i="1" a="1"/>
  <c r="O8854" i="1" s="1"/>
  <c r="I8855" i="1"/>
  <c r="J8855" i="1"/>
  <c r="K8855" i="1"/>
  <c r="O8855" i="1" a="1"/>
  <c r="O8855" i="1"/>
  <c r="I8856" i="1"/>
  <c r="J8856" i="1"/>
  <c r="K8856" i="1"/>
  <c r="O8856" i="1" a="1"/>
  <c r="O8856" i="1" s="1"/>
  <c r="I8857" i="1"/>
  <c r="J8857" i="1"/>
  <c r="K8857" i="1"/>
  <c r="O8857" i="1" a="1"/>
  <c r="O8857" i="1" s="1"/>
  <c r="I8858" i="1"/>
  <c r="J8858" i="1"/>
  <c r="K8858" i="1"/>
  <c r="O8858" i="1" a="1"/>
  <c r="O8858" i="1" s="1"/>
  <c r="I8859" i="1"/>
  <c r="J8859" i="1"/>
  <c r="K8859" i="1"/>
  <c r="O8859" i="1" a="1"/>
  <c r="O8859" i="1" s="1"/>
  <c r="I8860" i="1"/>
  <c r="J8860" i="1"/>
  <c r="K8860" i="1"/>
  <c r="O8860" i="1" a="1"/>
  <c r="O8860" i="1" s="1"/>
  <c r="I8861" i="1"/>
  <c r="J8861" i="1"/>
  <c r="K8861" i="1"/>
  <c r="O8861" i="1" a="1"/>
  <c r="O8861" i="1" s="1"/>
  <c r="I8862" i="1"/>
  <c r="J8862" i="1"/>
  <c r="K8862" i="1"/>
  <c r="O8862" i="1" a="1"/>
  <c r="O8862" i="1" s="1"/>
  <c r="I8863" i="1"/>
  <c r="J8863" i="1"/>
  <c r="K8863" i="1"/>
  <c r="O8863" i="1" a="1"/>
  <c r="O8863" i="1" s="1"/>
  <c r="I8864" i="1"/>
  <c r="J8864" i="1"/>
  <c r="K8864" i="1"/>
  <c r="O8864" i="1" a="1"/>
  <c r="O8864" i="1" s="1"/>
  <c r="I8865" i="1"/>
  <c r="J8865" i="1"/>
  <c r="K8865" i="1"/>
  <c r="O8865" i="1" a="1"/>
  <c r="O8865" i="1" s="1"/>
  <c r="I8866" i="1"/>
  <c r="J8866" i="1"/>
  <c r="K8866" i="1"/>
  <c r="O8866" i="1" a="1"/>
  <c r="O8866" i="1" s="1"/>
  <c r="I8867" i="1"/>
  <c r="J8867" i="1"/>
  <c r="K8867" i="1"/>
  <c r="O8867" i="1" a="1"/>
  <c r="O8867" i="1" s="1"/>
  <c r="I8868" i="1"/>
  <c r="J8868" i="1"/>
  <c r="K8868" i="1"/>
  <c r="O8868" i="1" a="1"/>
  <c r="O8868" i="1" s="1"/>
  <c r="I8869" i="1"/>
  <c r="J8869" i="1"/>
  <c r="K8869" i="1"/>
  <c r="O8869" i="1" a="1"/>
  <c r="O8869" i="1" s="1"/>
  <c r="I8870" i="1"/>
  <c r="J8870" i="1"/>
  <c r="K8870" i="1"/>
  <c r="O8870" i="1" a="1"/>
  <c r="O8870" i="1" s="1"/>
  <c r="I8871" i="1"/>
  <c r="J8871" i="1"/>
  <c r="K8871" i="1"/>
  <c r="O8871" i="1" a="1"/>
  <c r="O8871" i="1" s="1"/>
  <c r="I8872" i="1"/>
  <c r="J8872" i="1"/>
  <c r="K8872" i="1"/>
  <c r="O8872" i="1" a="1"/>
  <c r="O8872" i="1" s="1"/>
  <c r="I8873" i="1"/>
  <c r="J8873" i="1"/>
  <c r="K8873" i="1"/>
  <c r="O8873" i="1" a="1"/>
  <c r="O8873" i="1" s="1"/>
  <c r="I8874" i="1"/>
  <c r="J8874" i="1"/>
  <c r="K8874" i="1"/>
  <c r="O8874" i="1" a="1"/>
  <c r="O8874" i="1" s="1"/>
  <c r="I8875" i="1"/>
  <c r="J8875" i="1"/>
  <c r="K8875" i="1"/>
  <c r="O8875" i="1" a="1"/>
  <c r="O8875" i="1"/>
  <c r="I8876" i="1"/>
  <c r="J8876" i="1"/>
  <c r="K8876" i="1"/>
  <c r="O8876" i="1" a="1"/>
  <c r="O8876" i="1" s="1"/>
  <c r="I8877" i="1"/>
  <c r="J8877" i="1"/>
  <c r="K8877" i="1"/>
  <c r="O8877" i="1" a="1"/>
  <c r="O8877" i="1"/>
  <c r="I8878" i="1"/>
  <c r="J8878" i="1"/>
  <c r="K8878" i="1"/>
  <c r="O8878" i="1" a="1"/>
  <c r="O8878" i="1"/>
  <c r="I8879" i="1"/>
  <c r="J8879" i="1"/>
  <c r="K8879" i="1"/>
  <c r="O8879" i="1" a="1"/>
  <c r="O8879" i="1" s="1"/>
  <c r="I8880" i="1"/>
  <c r="J8880" i="1"/>
  <c r="K8880" i="1"/>
  <c r="O8880" i="1" a="1"/>
  <c r="O8880" i="1" s="1"/>
  <c r="I8881" i="1"/>
  <c r="J8881" i="1"/>
  <c r="K8881" i="1"/>
  <c r="O8881" i="1" a="1"/>
  <c r="O8881" i="1" s="1"/>
  <c r="I8882" i="1"/>
  <c r="J8882" i="1"/>
  <c r="K8882" i="1"/>
  <c r="O8882" i="1" a="1"/>
  <c r="O8882" i="1" s="1"/>
  <c r="I8883" i="1"/>
  <c r="J8883" i="1"/>
  <c r="K8883" i="1"/>
  <c r="O8883" i="1" a="1"/>
  <c r="O8883" i="1"/>
  <c r="I8884" i="1"/>
  <c r="J8884" i="1"/>
  <c r="K8884" i="1"/>
  <c r="O8884" i="1" a="1"/>
  <c r="O8884" i="1" s="1"/>
  <c r="I8885" i="1"/>
  <c r="J8885" i="1"/>
  <c r="K8885" i="1"/>
  <c r="O8885" i="1" a="1"/>
  <c r="O8885" i="1" s="1"/>
  <c r="I8886" i="1"/>
  <c r="J8886" i="1"/>
  <c r="K8886" i="1"/>
  <c r="O8886" i="1" a="1"/>
  <c r="O8886" i="1" s="1"/>
  <c r="I8887" i="1"/>
  <c r="J8887" i="1"/>
  <c r="K8887" i="1"/>
  <c r="O8887" i="1" a="1"/>
  <c r="O8887" i="1" s="1"/>
  <c r="I8888" i="1"/>
  <c r="J8888" i="1"/>
  <c r="K8888" i="1"/>
  <c r="O8888" i="1" a="1"/>
  <c r="O8888" i="1" s="1"/>
  <c r="I8889" i="1"/>
  <c r="J8889" i="1"/>
  <c r="K8889" i="1"/>
  <c r="O8889" i="1" a="1"/>
  <c r="O8889" i="1" s="1"/>
  <c r="I8890" i="1"/>
  <c r="J8890" i="1"/>
  <c r="K8890" i="1"/>
  <c r="O8890" i="1" a="1"/>
  <c r="O8890" i="1" s="1"/>
  <c r="I8891" i="1"/>
  <c r="J8891" i="1"/>
  <c r="K8891" i="1"/>
  <c r="O8891" i="1" a="1"/>
  <c r="O8891" i="1" s="1"/>
  <c r="I8892" i="1"/>
  <c r="J8892" i="1"/>
  <c r="K8892" i="1"/>
  <c r="O8892" i="1" a="1"/>
  <c r="O8892" i="1" s="1"/>
  <c r="I8893" i="1"/>
  <c r="J8893" i="1"/>
  <c r="K8893" i="1"/>
  <c r="O8893" i="1" a="1"/>
  <c r="O8893" i="1"/>
  <c r="I8894" i="1"/>
  <c r="J8894" i="1"/>
  <c r="K8894" i="1"/>
  <c r="O8894" i="1" a="1"/>
  <c r="O8894" i="1"/>
  <c r="I8895" i="1"/>
  <c r="J8895" i="1"/>
  <c r="K8895" i="1"/>
  <c r="O8895" i="1" a="1"/>
  <c r="O8895" i="1" s="1"/>
  <c r="I8896" i="1"/>
  <c r="J8896" i="1"/>
  <c r="K8896" i="1"/>
  <c r="O8896" i="1" a="1"/>
  <c r="O8896" i="1" s="1"/>
  <c r="I8897" i="1"/>
  <c r="J8897" i="1"/>
  <c r="K8897" i="1"/>
  <c r="O8897" i="1" a="1"/>
  <c r="O8897" i="1" s="1"/>
  <c r="I8898" i="1"/>
  <c r="J8898" i="1"/>
  <c r="K8898" i="1"/>
  <c r="O8898" i="1" a="1"/>
  <c r="O8898" i="1" s="1"/>
  <c r="I8899" i="1"/>
  <c r="J8899" i="1"/>
  <c r="K8899" i="1"/>
  <c r="O8899" i="1" a="1"/>
  <c r="O8899" i="1" s="1"/>
  <c r="I8900" i="1"/>
  <c r="J8900" i="1"/>
  <c r="K8900" i="1"/>
  <c r="O8900" i="1" a="1"/>
  <c r="O8900" i="1" s="1"/>
  <c r="I8901" i="1"/>
  <c r="J8901" i="1"/>
  <c r="K8901" i="1"/>
  <c r="O8901" i="1" a="1"/>
  <c r="O8901" i="1" s="1"/>
  <c r="I8902" i="1"/>
  <c r="J8902" i="1"/>
  <c r="K8902" i="1"/>
  <c r="O8902" i="1" a="1"/>
  <c r="O8902" i="1" s="1"/>
  <c r="I8903" i="1"/>
  <c r="J8903" i="1"/>
  <c r="K8903" i="1"/>
  <c r="O8903" i="1" a="1"/>
  <c r="O8903" i="1" s="1"/>
  <c r="I8904" i="1"/>
  <c r="J8904" i="1"/>
  <c r="K8904" i="1"/>
  <c r="O8904" i="1" a="1"/>
  <c r="O8904" i="1" s="1"/>
  <c r="I8905" i="1"/>
  <c r="J8905" i="1"/>
  <c r="K8905" i="1"/>
  <c r="O8905" i="1" a="1"/>
  <c r="O8905" i="1" s="1"/>
  <c r="I8906" i="1"/>
  <c r="J8906" i="1"/>
  <c r="K8906" i="1"/>
  <c r="O8906" i="1" a="1"/>
  <c r="O8906" i="1" s="1"/>
  <c r="I8907" i="1"/>
  <c r="J8907" i="1"/>
  <c r="K8907" i="1"/>
  <c r="O8907" i="1" a="1"/>
  <c r="O8907" i="1"/>
  <c r="I8908" i="1"/>
  <c r="J8908" i="1"/>
  <c r="K8908" i="1"/>
  <c r="O8908" i="1" a="1"/>
  <c r="O8908" i="1"/>
  <c r="I8909" i="1"/>
  <c r="J8909" i="1"/>
  <c r="K8909" i="1"/>
  <c r="O8909" i="1" a="1"/>
  <c r="O8909" i="1" s="1"/>
  <c r="I8910" i="1"/>
  <c r="J8910" i="1"/>
  <c r="K8910" i="1"/>
  <c r="O8910" i="1" a="1"/>
  <c r="O8910" i="1" s="1"/>
  <c r="I8911" i="1"/>
  <c r="J8911" i="1"/>
  <c r="K8911" i="1"/>
  <c r="O8911" i="1" a="1"/>
  <c r="O8911" i="1" s="1"/>
  <c r="I8912" i="1"/>
  <c r="J8912" i="1"/>
  <c r="K8912" i="1"/>
  <c r="O8912" i="1" a="1"/>
  <c r="O8912" i="1" s="1"/>
  <c r="I8913" i="1"/>
  <c r="J8913" i="1"/>
  <c r="K8913" i="1"/>
  <c r="O8913" i="1" a="1"/>
  <c r="O8913" i="1" s="1"/>
  <c r="I8914" i="1"/>
  <c r="J8914" i="1"/>
  <c r="K8914" i="1"/>
  <c r="O8914" i="1" a="1"/>
  <c r="O8914" i="1" s="1"/>
  <c r="I8915" i="1"/>
  <c r="J8915" i="1"/>
  <c r="K8915" i="1"/>
  <c r="O8915" i="1" a="1"/>
  <c r="O8915" i="1"/>
  <c r="I8916" i="1"/>
  <c r="J8916" i="1"/>
  <c r="K8916" i="1"/>
  <c r="O8916" i="1" a="1"/>
  <c r="O8916" i="1"/>
  <c r="I8917" i="1"/>
  <c r="J8917" i="1"/>
  <c r="K8917" i="1"/>
  <c r="O8917" i="1" a="1"/>
  <c r="O8917" i="1" s="1"/>
  <c r="I8918" i="1"/>
  <c r="J8918" i="1"/>
  <c r="K8918" i="1"/>
  <c r="O8918" i="1" a="1"/>
  <c r="O8918" i="1" s="1"/>
  <c r="I8919" i="1"/>
  <c r="J8919" i="1"/>
  <c r="K8919" i="1"/>
  <c r="O8919" i="1" a="1"/>
  <c r="O8919" i="1" s="1"/>
  <c r="I8920" i="1"/>
  <c r="J8920" i="1"/>
  <c r="K8920" i="1"/>
  <c r="O8920" i="1" a="1"/>
  <c r="O8920" i="1" s="1"/>
  <c r="I8921" i="1"/>
  <c r="J8921" i="1"/>
  <c r="K8921" i="1"/>
  <c r="O8921" i="1" a="1"/>
  <c r="O8921" i="1" s="1"/>
  <c r="I8922" i="1"/>
  <c r="J8922" i="1"/>
  <c r="K8922" i="1"/>
  <c r="O8922" i="1" a="1"/>
  <c r="O8922" i="1" s="1"/>
  <c r="I8923" i="1"/>
  <c r="J8923" i="1"/>
  <c r="K8923" i="1"/>
  <c r="O8923" i="1" a="1"/>
  <c r="O8923" i="1"/>
  <c r="I8924" i="1"/>
  <c r="J8924" i="1"/>
  <c r="K8924" i="1"/>
  <c r="O8924" i="1" a="1"/>
  <c r="O8924" i="1"/>
  <c r="I8925" i="1"/>
  <c r="J8925" i="1"/>
  <c r="K8925" i="1"/>
  <c r="O8925" i="1" a="1"/>
  <c r="O8925" i="1" s="1"/>
  <c r="I8926" i="1"/>
  <c r="J8926" i="1"/>
  <c r="K8926" i="1"/>
  <c r="O8926" i="1" a="1"/>
  <c r="O8926" i="1" s="1"/>
  <c r="I8927" i="1"/>
  <c r="J8927" i="1"/>
  <c r="K8927" i="1"/>
  <c r="O8927" i="1" a="1"/>
  <c r="O8927" i="1" s="1"/>
  <c r="I8928" i="1"/>
  <c r="J8928" i="1"/>
  <c r="K8928" i="1"/>
  <c r="O8928" i="1" a="1"/>
  <c r="O8928" i="1" s="1"/>
  <c r="I8929" i="1"/>
  <c r="J8929" i="1"/>
  <c r="K8929" i="1"/>
  <c r="O8929" i="1" a="1"/>
  <c r="O8929" i="1" s="1"/>
  <c r="I8930" i="1"/>
  <c r="J8930" i="1"/>
  <c r="K8930" i="1"/>
  <c r="O8930" i="1" a="1"/>
  <c r="O8930" i="1" s="1"/>
  <c r="I8931" i="1"/>
  <c r="J8931" i="1"/>
  <c r="K8931" i="1"/>
  <c r="O8931" i="1" a="1"/>
  <c r="O8931" i="1"/>
  <c r="I8932" i="1"/>
  <c r="J8932" i="1"/>
  <c r="K8932" i="1"/>
  <c r="O8932" i="1" a="1"/>
  <c r="O8932" i="1"/>
  <c r="I8933" i="1"/>
  <c r="J8933" i="1"/>
  <c r="K8933" i="1"/>
  <c r="O8933" i="1" a="1"/>
  <c r="O8933" i="1" s="1"/>
  <c r="I8934" i="1"/>
  <c r="J8934" i="1"/>
  <c r="K8934" i="1"/>
  <c r="O8934" i="1" a="1"/>
  <c r="O8934" i="1" s="1"/>
  <c r="I8935" i="1"/>
  <c r="J8935" i="1"/>
  <c r="K8935" i="1"/>
  <c r="O8935" i="1" a="1"/>
  <c r="O8935" i="1" s="1"/>
  <c r="I8936" i="1"/>
  <c r="J8936" i="1"/>
  <c r="K8936" i="1"/>
  <c r="O8936" i="1" a="1"/>
  <c r="O8936" i="1" s="1"/>
  <c r="I8937" i="1"/>
  <c r="J8937" i="1"/>
  <c r="K8937" i="1"/>
  <c r="O8937" i="1" a="1"/>
  <c r="O8937" i="1" s="1"/>
  <c r="I8938" i="1"/>
  <c r="J8938" i="1"/>
  <c r="K8938" i="1"/>
  <c r="O8938" i="1" a="1"/>
  <c r="O8938" i="1" s="1"/>
  <c r="I8939" i="1"/>
  <c r="J8939" i="1"/>
  <c r="K8939" i="1"/>
  <c r="O8939" i="1" a="1"/>
  <c r="O8939" i="1"/>
  <c r="I8940" i="1"/>
  <c r="J8940" i="1"/>
  <c r="K8940" i="1"/>
  <c r="O8940" i="1" a="1"/>
  <c r="O8940" i="1"/>
  <c r="I8941" i="1"/>
  <c r="J8941" i="1"/>
  <c r="K8941" i="1"/>
  <c r="O8941" i="1" a="1"/>
  <c r="O8941" i="1" s="1"/>
  <c r="I8942" i="1"/>
  <c r="J8942" i="1"/>
  <c r="K8942" i="1"/>
  <c r="O8942" i="1" a="1"/>
  <c r="O8942" i="1" s="1"/>
  <c r="I8943" i="1"/>
  <c r="J8943" i="1"/>
  <c r="K8943" i="1"/>
  <c r="O8943" i="1" a="1"/>
  <c r="O8943" i="1" s="1"/>
  <c r="I8944" i="1"/>
  <c r="J8944" i="1"/>
  <c r="K8944" i="1"/>
  <c r="O8944" i="1" a="1"/>
  <c r="O8944" i="1" s="1"/>
  <c r="I8945" i="1"/>
  <c r="J8945" i="1"/>
  <c r="K8945" i="1"/>
  <c r="O8945" i="1" a="1"/>
  <c r="O8945" i="1" s="1"/>
  <c r="I8946" i="1"/>
  <c r="J8946" i="1"/>
  <c r="K8946" i="1"/>
  <c r="O8946" i="1" a="1"/>
  <c r="O8946" i="1" s="1"/>
  <c r="I8947" i="1"/>
  <c r="J8947" i="1"/>
  <c r="K8947" i="1"/>
  <c r="O8947" i="1" a="1"/>
  <c r="O8947" i="1"/>
  <c r="I8948" i="1"/>
  <c r="J8948" i="1"/>
  <c r="K8948" i="1"/>
  <c r="O8948" i="1" a="1"/>
  <c r="O8948" i="1"/>
  <c r="I8949" i="1"/>
  <c r="J8949" i="1"/>
  <c r="K8949" i="1"/>
  <c r="O8949" i="1" a="1"/>
  <c r="O8949" i="1" s="1"/>
  <c r="I8950" i="1"/>
  <c r="J8950" i="1"/>
  <c r="K8950" i="1"/>
  <c r="O8950" i="1" a="1"/>
  <c r="O8950" i="1" s="1"/>
  <c r="I8951" i="1"/>
  <c r="J8951" i="1"/>
  <c r="K8951" i="1"/>
  <c r="O8951" i="1" a="1"/>
  <c r="O8951" i="1" s="1"/>
  <c r="I8952" i="1"/>
  <c r="J8952" i="1"/>
  <c r="K8952" i="1"/>
  <c r="O8952" i="1" a="1"/>
  <c r="O8952" i="1" s="1"/>
  <c r="I8953" i="1"/>
  <c r="J8953" i="1"/>
  <c r="K8953" i="1"/>
  <c r="O8953" i="1" a="1"/>
  <c r="O8953" i="1" s="1"/>
  <c r="I8954" i="1"/>
  <c r="J8954" i="1"/>
  <c r="K8954" i="1"/>
  <c r="O8954" i="1" a="1"/>
  <c r="O8954" i="1" s="1"/>
  <c r="I8955" i="1"/>
  <c r="J8955" i="1"/>
  <c r="K8955" i="1"/>
  <c r="O8955" i="1" a="1"/>
  <c r="O8955" i="1"/>
  <c r="I8956" i="1"/>
  <c r="J8956" i="1"/>
  <c r="K8956" i="1"/>
  <c r="O8956" i="1" a="1"/>
  <c r="O8956" i="1"/>
  <c r="I8957" i="1"/>
  <c r="J8957" i="1"/>
  <c r="K8957" i="1"/>
  <c r="O8957" i="1" a="1"/>
  <c r="O8957" i="1" s="1"/>
  <c r="I8958" i="1"/>
  <c r="J8958" i="1"/>
  <c r="K8958" i="1"/>
  <c r="O8958" i="1" a="1"/>
  <c r="O8958" i="1" s="1"/>
  <c r="I8959" i="1"/>
  <c r="J8959" i="1"/>
  <c r="K8959" i="1"/>
  <c r="O8959" i="1" a="1"/>
  <c r="O8959" i="1" s="1"/>
  <c r="I8960" i="1"/>
  <c r="J8960" i="1"/>
  <c r="K8960" i="1"/>
  <c r="O8960" i="1" a="1"/>
  <c r="O8960" i="1" s="1"/>
  <c r="I8961" i="1"/>
  <c r="J8961" i="1"/>
  <c r="K8961" i="1"/>
  <c r="O8961" i="1" a="1"/>
  <c r="O8961" i="1" s="1"/>
  <c r="I8962" i="1"/>
  <c r="J8962" i="1"/>
  <c r="K8962" i="1"/>
  <c r="O8962" i="1" a="1"/>
  <c r="O8962" i="1" s="1"/>
  <c r="I5836" i="1"/>
  <c r="J5836" i="1"/>
  <c r="K5836" i="1"/>
  <c r="O5836" i="1" a="1"/>
  <c r="O5836" i="1" s="1"/>
  <c r="I5837" i="1"/>
  <c r="J5837" i="1"/>
  <c r="K5837" i="1"/>
  <c r="O5837" i="1" a="1"/>
  <c r="O5837" i="1" s="1"/>
  <c r="I5838" i="1"/>
  <c r="J5838" i="1"/>
  <c r="K5838" i="1"/>
  <c r="O5838" i="1" a="1"/>
  <c r="O5838" i="1" s="1"/>
  <c r="I5839" i="1"/>
  <c r="J5839" i="1"/>
  <c r="K5839" i="1"/>
  <c r="O5839" i="1" a="1"/>
  <c r="O5839" i="1"/>
  <c r="I5840" i="1"/>
  <c r="J5840" i="1"/>
  <c r="K5840" i="1"/>
  <c r="O5840" i="1" a="1"/>
  <c r="O5840" i="1" s="1"/>
  <c r="I5841" i="1"/>
  <c r="J5841" i="1"/>
  <c r="K5841" i="1"/>
  <c r="O5841" i="1" a="1"/>
  <c r="O5841" i="1"/>
  <c r="E183" i="16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" i="1"/>
  <c r="Y18" i="16" l="1"/>
  <c r="AM135" i="16" l="1"/>
  <c r="AN25" i="16"/>
  <c r="AM86" i="16"/>
  <c r="X18" i="16" a="1"/>
  <c r="X18" i="16" s="1"/>
  <c r="C2" i="18"/>
  <c r="C2" i="14"/>
  <c r="C2" i="1"/>
  <c r="E13" i="16" s="1"/>
  <c r="D371" i="14"/>
  <c r="D372" i="14"/>
  <c r="D373" i="14"/>
  <c r="D374" i="14"/>
  <c r="D375" i="14"/>
  <c r="D376" i="14"/>
  <c r="D377" i="14"/>
  <c r="D378" i="14"/>
  <c r="D379" i="14"/>
  <c r="D380" i="14"/>
  <c r="D381" i="14"/>
  <c r="D382" i="14"/>
  <c r="D383" i="14"/>
  <c r="D384" i="14"/>
  <c r="D385" i="14"/>
  <c r="D386" i="14"/>
  <c r="D387" i="14"/>
  <c r="D388" i="14"/>
  <c r="D389" i="14"/>
  <c r="D390" i="14"/>
  <c r="D391" i="14"/>
  <c r="D392" i="14"/>
  <c r="D393" i="14"/>
  <c r="D394" i="14"/>
  <c r="D395" i="14"/>
  <c r="D396" i="14"/>
  <c r="D397" i="14"/>
  <c r="D398" i="14"/>
  <c r="D399" i="14"/>
  <c r="D400" i="14"/>
  <c r="D401" i="14"/>
  <c r="D402" i="14"/>
  <c r="J27" i="22"/>
  <c r="J29" i="22"/>
  <c r="J31" i="22"/>
  <c r="J33" i="22"/>
  <c r="J35" i="22"/>
  <c r="J37" i="22"/>
  <c r="J25" i="22"/>
  <c r="K5" i="1"/>
  <c r="E29" i="16"/>
  <c r="D29" i="16"/>
  <c r="E28" i="16"/>
  <c r="D28" i="16"/>
  <c r="E27" i="16"/>
  <c r="D27" i="16"/>
  <c r="E26" i="16"/>
  <c r="D26" i="16"/>
  <c r="C29" i="16"/>
  <c r="C28" i="16"/>
  <c r="C27" i="16"/>
  <c r="C26" i="16"/>
  <c r="P2" i="16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O5" i="1" a="1"/>
  <c r="O5" i="1" s="1"/>
  <c r="G16" i="16"/>
  <c r="E16" i="16"/>
  <c r="E7" i="16"/>
  <c r="E6" i="16"/>
  <c r="E5" i="16"/>
  <c r="M5849" i="1" l="1" a="1"/>
  <c r="M5849" i="1" s="1"/>
  <c r="M5869" i="1" a="1"/>
  <c r="M5869" i="1" s="1"/>
  <c r="M5872" i="1" a="1"/>
  <c r="M5872" i="1" s="1"/>
  <c r="M5902" i="1" a="1"/>
  <c r="M5902" i="1" s="1"/>
  <c r="M5909" i="1" a="1"/>
  <c r="M5909" i="1" s="1"/>
  <c r="M5923" i="1" a="1"/>
  <c r="M5923" i="1" s="1"/>
  <c r="M5941" i="1" a="1"/>
  <c r="M5941" i="1" s="1"/>
  <c r="M5948" i="1" a="1"/>
  <c r="M5948" i="1" s="1"/>
  <c r="M5960" i="1" a="1"/>
  <c r="M5960" i="1" s="1"/>
  <c r="M5969" i="1" a="1"/>
  <c r="M5969" i="1" s="1"/>
  <c r="M5972" i="1" a="1"/>
  <c r="M5972" i="1" s="1"/>
  <c r="M5978" i="1" a="1"/>
  <c r="M5978" i="1" s="1"/>
  <c r="M5993" i="1" a="1"/>
  <c r="M5993" i="1" s="1"/>
  <c r="M5997" i="1" a="1"/>
  <c r="M5997" i="1" s="1"/>
  <c r="M6000" i="1" a="1"/>
  <c r="M6000" i="1" s="1"/>
  <c r="M6012" i="1" a="1"/>
  <c r="M6012" i="1" s="1"/>
  <c r="M6019" i="1" a="1"/>
  <c r="M6019" i="1" s="1"/>
  <c r="M6036" i="1" a="1"/>
  <c r="M6036" i="1" s="1"/>
  <c r="M6039" i="1" a="1"/>
  <c r="M6039" i="1" s="1"/>
  <c r="M6046" i="1" a="1"/>
  <c r="M6046" i="1" s="1"/>
  <c r="M6061" i="1" a="1"/>
  <c r="M6061" i="1" s="1"/>
  <c r="M6064" i="1" a="1"/>
  <c r="M6064" i="1" s="1"/>
  <c r="M6079" i="1" a="1"/>
  <c r="M6079" i="1" s="1"/>
  <c r="M6090" i="1" a="1"/>
  <c r="M6090" i="1" s="1"/>
  <c r="M6101" i="1" a="1"/>
  <c r="M6101" i="1" s="1"/>
  <c r="M6109" i="1" a="1"/>
  <c r="M6109" i="1" s="1"/>
  <c r="M6112" i="1" a="1"/>
  <c r="M6112" i="1" s="1"/>
  <c r="M6121" i="1" a="1"/>
  <c r="M6121" i="1" s="1"/>
  <c r="M6130" i="1" a="1"/>
  <c r="M6130" i="1" s="1"/>
  <c r="M6145" i="1" a="1"/>
  <c r="M6145" i="1" s="1"/>
  <c r="M6148" i="1" a="1"/>
  <c r="M6148" i="1" s="1"/>
  <c r="M6168" i="1" a="1"/>
  <c r="M6168" i="1" s="1"/>
  <c r="M6175" i="1" a="1"/>
  <c r="M6175" i="1" s="1"/>
  <c r="M6178" i="1" a="1"/>
  <c r="M6178" i="1" s="1"/>
  <c r="M6220" i="1" a="1"/>
  <c r="M6220" i="1" s="1"/>
  <c r="M6228" i="1" a="1"/>
  <c r="M6228" i="1" s="1"/>
  <c r="M6234" i="1" a="1"/>
  <c r="M6234" i="1" s="1"/>
  <c r="M6245" i="1" a="1"/>
  <c r="M6245" i="1" s="1"/>
  <c r="M6251" i="1" a="1"/>
  <c r="M6251" i="1" s="1"/>
  <c r="M6259" i="1" a="1"/>
  <c r="M6259" i="1" s="1"/>
  <c r="M6262" i="1" a="1"/>
  <c r="M6262" i="1" s="1"/>
  <c r="M6265" i="1" a="1"/>
  <c r="M6265" i="1" s="1"/>
  <c r="M6273" i="1" a="1"/>
  <c r="M6273" i="1" s="1"/>
  <c r="M6317" i="1" a="1"/>
  <c r="M6317" i="1" s="1"/>
  <c r="M6320" i="1" a="1"/>
  <c r="M6320" i="1" s="1"/>
  <c r="M6323" i="1" a="1"/>
  <c r="M6323" i="1" s="1"/>
  <c r="M6330" i="1" a="1"/>
  <c r="M6330" i="1" s="1"/>
  <c r="M6346" i="1" a="1"/>
  <c r="M6346" i="1" s="1"/>
  <c r="M6349" i="1" a="1"/>
  <c r="M6349" i="1" s="1"/>
  <c r="M6352" i="1" a="1"/>
  <c r="M6352" i="1" s="1"/>
  <c r="M6358" i="1" a="1"/>
  <c r="M6358" i="1" s="1"/>
  <c r="M6361" i="1" a="1"/>
  <c r="M6361" i="1" s="1"/>
  <c r="M6364" i="1" a="1"/>
  <c r="M6364" i="1" s="1"/>
  <c r="M6373" i="1" a="1"/>
  <c r="M6373" i="1" s="1"/>
  <c r="M5843" i="1" a="1"/>
  <c r="M5843" i="1" s="1"/>
  <c r="M5846" i="1" a="1"/>
  <c r="M5846" i="1" s="1"/>
  <c r="M5860" i="1" a="1"/>
  <c r="M5860" i="1" s="1"/>
  <c r="M5866" i="1" a="1"/>
  <c r="M5866" i="1" s="1"/>
  <c r="M5877" i="1" a="1"/>
  <c r="M5877" i="1" s="1"/>
  <c r="M5880" i="1" a="1"/>
  <c r="M5880" i="1" s="1"/>
  <c r="M5884" i="1" a="1"/>
  <c r="M5884" i="1" s="1"/>
  <c r="M5890" i="1" a="1"/>
  <c r="M5890" i="1" s="1"/>
  <c r="M5896" i="1" a="1"/>
  <c r="M5896" i="1" s="1"/>
  <c r="M5899" i="1" a="1"/>
  <c r="M5899" i="1" s="1"/>
  <c r="M5905" i="1" a="1"/>
  <c r="M5905" i="1" s="1"/>
  <c r="M5912" i="1" a="1"/>
  <c r="M5912" i="1" s="1"/>
  <c r="M5915" i="1" a="1"/>
  <c r="M5915" i="1" s="1"/>
  <c r="M5919" i="1" a="1"/>
  <c r="M5919" i="1" s="1"/>
  <c r="M5931" i="1" a="1"/>
  <c r="M5931" i="1" s="1"/>
  <c r="M5934" i="1" a="1"/>
  <c r="M5934" i="1" s="1"/>
  <c r="M5937" i="1" a="1"/>
  <c r="M5937" i="1" s="1"/>
  <c r="M5944" i="1" a="1"/>
  <c r="M5944" i="1" s="1"/>
  <c r="M5951" i="1" a="1"/>
  <c r="M5951" i="1" s="1"/>
  <c r="M5957" i="1" a="1"/>
  <c r="M5957" i="1" s="1"/>
  <c r="M5975" i="1" a="1"/>
  <c r="M5975" i="1" s="1"/>
  <c r="M5989" i="1" a="1"/>
  <c r="M5989" i="1" s="1"/>
  <c r="M6003" i="1" a="1"/>
  <c r="M6003" i="1" s="1"/>
  <c r="M6006" i="1" a="1"/>
  <c r="M6006" i="1" s="1"/>
  <c r="M6009" i="1" a="1"/>
  <c r="M6009" i="1" s="1"/>
  <c r="M6015" i="1" a="1"/>
  <c r="M6015" i="1" s="1"/>
  <c r="M6024" i="1" a="1"/>
  <c r="M6024" i="1" s="1"/>
  <c r="M6027" i="1" a="1"/>
  <c r="M6027" i="1" s="1"/>
  <c r="M6030" i="1" a="1"/>
  <c r="M6030" i="1" s="1"/>
  <c r="M6033" i="1" a="1"/>
  <c r="M6033" i="1" s="1"/>
  <c r="M6042" i="1" a="1"/>
  <c r="M6042" i="1" s="1"/>
  <c r="M6049" i="1" a="1"/>
  <c r="M6049" i="1" s="1"/>
  <c r="M6052" i="1" a="1"/>
  <c r="M6052" i="1" s="1"/>
  <c r="M6055" i="1" a="1"/>
  <c r="M6055" i="1" s="1"/>
  <c r="M6058" i="1" a="1"/>
  <c r="M6058" i="1" s="1"/>
  <c r="M6075" i="1" a="1"/>
  <c r="M6075" i="1" s="1"/>
  <c r="M6084" i="1" a="1"/>
  <c r="M6084" i="1" s="1"/>
  <c r="M6087" i="1" a="1"/>
  <c r="M6087" i="1" s="1"/>
  <c r="M6098" i="1" a="1"/>
  <c r="M6098" i="1" s="1"/>
  <c r="M6106" i="1" a="1"/>
  <c r="M6106" i="1" s="1"/>
  <c r="M6135" i="1" a="1"/>
  <c r="M6135" i="1" s="1"/>
  <c r="M6141" i="1" a="1"/>
  <c r="M6141" i="1" s="1"/>
  <c r="M6153" i="1" a="1"/>
  <c r="M6153" i="1" s="1"/>
  <c r="M6156" i="1" a="1"/>
  <c r="M6156" i="1" s="1"/>
  <c r="M6159" i="1" a="1"/>
  <c r="M6159" i="1" s="1"/>
  <c r="M6162" i="1" a="1"/>
  <c r="M6162" i="1" s="1"/>
  <c r="M6165" i="1" a="1"/>
  <c r="M6165" i="1" s="1"/>
  <c r="M6171" i="1" a="1"/>
  <c r="M6171" i="1" s="1"/>
  <c r="M6187" i="1" a="1"/>
  <c r="M6187" i="1" s="1"/>
  <c r="M6193" i="1" a="1"/>
  <c r="M6193" i="1" s="1"/>
  <c r="M6196" i="1" a="1"/>
  <c r="M6196" i="1" s="1"/>
  <c r="M6211" i="1" a="1"/>
  <c r="M6211" i="1" s="1"/>
  <c r="M6214" i="1" a="1"/>
  <c r="M6214" i="1" s="1"/>
  <c r="M6217" i="1" a="1"/>
  <c r="M6217" i="1" s="1"/>
  <c r="M6225" i="1" a="1"/>
  <c r="M6225" i="1" s="1"/>
  <c r="M6231" i="1" a="1"/>
  <c r="M6231" i="1" s="1"/>
  <c r="M6242" i="1" a="1"/>
  <c r="M6242" i="1" s="1"/>
  <c r="M6248" i="1" a="1"/>
  <c r="M6248" i="1" s="1"/>
  <c r="M6256" i="1" a="1"/>
  <c r="M6256" i="1" s="1"/>
  <c r="M6270" i="1" a="1"/>
  <c r="M6270" i="1" s="1"/>
  <c r="M6278" i="1" a="1"/>
  <c r="M6278" i="1" s="1"/>
  <c r="M6281" i="1" a="1"/>
  <c r="M6281" i="1" s="1"/>
  <c r="M6284" i="1" a="1"/>
  <c r="M6284" i="1" s="1"/>
  <c r="M6287" i="1" a="1"/>
  <c r="M6287" i="1" s="1"/>
  <c r="M6299" i="1" a="1"/>
  <c r="M6299" i="1" s="1"/>
  <c r="M6302" i="1" a="1"/>
  <c r="M6302" i="1" s="1"/>
  <c r="M6305" i="1" a="1"/>
  <c r="M6305" i="1" s="1"/>
  <c r="M6308" i="1" a="1"/>
  <c r="M6308" i="1" s="1"/>
  <c r="M6311" i="1" a="1"/>
  <c r="M6311" i="1" s="1"/>
  <c r="M6314" i="1" a="1"/>
  <c r="M6314" i="1" s="1"/>
  <c r="M6326" i="1" a="1"/>
  <c r="M6326" i="1" s="1"/>
  <c r="M6333" i="1" a="1"/>
  <c r="M6333" i="1" s="1"/>
  <c r="M6336" i="1" a="1"/>
  <c r="M6336" i="1" s="1"/>
  <c r="M6342" i="1" a="1"/>
  <c r="M6342" i="1" s="1"/>
  <c r="M6376" i="1" a="1"/>
  <c r="M6376" i="1" s="1"/>
  <c r="M6379" i="1" a="1"/>
  <c r="M6379" i="1" s="1"/>
  <c r="M6382" i="1" a="1"/>
  <c r="M6382" i="1" s="1"/>
  <c r="M5851" i="1" a="1"/>
  <c r="M5851" i="1" s="1"/>
  <c r="M5854" i="1" a="1"/>
  <c r="M5854" i="1" s="1"/>
  <c r="M5857" i="1" a="1"/>
  <c r="M5857" i="1" s="1"/>
  <c r="M5863" i="1" a="1"/>
  <c r="M5863" i="1" s="1"/>
  <c r="M5874" i="1" a="1"/>
  <c r="M5874" i="1" s="1"/>
  <c r="M5887" i="1" a="1"/>
  <c r="M5887" i="1" s="1"/>
  <c r="M5893" i="1" a="1"/>
  <c r="M5893" i="1" s="1"/>
  <c r="M5908" i="1" a="1"/>
  <c r="M5908" i="1" s="1"/>
  <c r="M5918" i="1" a="1"/>
  <c r="M5918" i="1" s="1"/>
  <c r="M5922" i="1" a="1"/>
  <c r="M5922" i="1" s="1"/>
  <c r="M5925" i="1" a="1"/>
  <c r="M5925" i="1" s="1"/>
  <c r="M5928" i="1" a="1"/>
  <c r="M5928" i="1" s="1"/>
  <c r="M5940" i="1" a="1"/>
  <c r="M5940" i="1" s="1"/>
  <c r="M5947" i="1" a="1"/>
  <c r="M5947" i="1" s="1"/>
  <c r="M5954" i="1" a="1"/>
  <c r="M5954" i="1" s="1"/>
  <c r="M5962" i="1" a="1"/>
  <c r="M5962" i="1" s="1"/>
  <c r="M5965" i="1" a="1"/>
  <c r="M5965" i="1" s="1"/>
  <c r="M5968" i="1" a="1"/>
  <c r="M5968" i="1" s="1"/>
  <c r="M5980" i="1" a="1"/>
  <c r="M5980" i="1" s="1"/>
  <c r="M5983" i="1" a="1"/>
  <c r="M5983" i="1" s="1"/>
  <c r="M5986" i="1" a="1"/>
  <c r="M5986" i="1" s="1"/>
  <c r="M5996" i="1" a="1"/>
  <c r="M5996" i="1" s="1"/>
  <c r="M6018" i="1" a="1"/>
  <c r="M6018" i="1" s="1"/>
  <c r="M6021" i="1" a="1"/>
  <c r="M6021" i="1" s="1"/>
  <c r="M6066" i="1" a="1"/>
  <c r="M6066" i="1" s="1"/>
  <c r="M6069" i="1" a="1"/>
  <c r="M6069" i="1" s="1"/>
  <c r="M6072" i="1" a="1"/>
  <c r="M6072" i="1" s="1"/>
  <c r="M6078" i="1" a="1"/>
  <c r="M6078" i="1" s="1"/>
  <c r="M6081" i="1" a="1"/>
  <c r="M6081" i="1" s="1"/>
  <c r="M6092" i="1" a="1"/>
  <c r="M6092" i="1" s="1"/>
  <c r="M6095" i="1" a="1"/>
  <c r="M6095" i="1" s="1"/>
  <c r="M6103" i="1" a="1"/>
  <c r="M6103" i="1" s="1"/>
  <c r="M6114" i="1" a="1"/>
  <c r="M6114" i="1" s="1"/>
  <c r="M6117" i="1" a="1"/>
  <c r="M6117" i="1" s="1"/>
  <c r="M6120" i="1" a="1"/>
  <c r="M6120" i="1" s="1"/>
  <c r="M6123" i="1" a="1"/>
  <c r="M6123" i="1" s="1"/>
  <c r="M6126" i="1" a="1"/>
  <c r="M6126" i="1" s="1"/>
  <c r="M6129" i="1" a="1"/>
  <c r="M6129" i="1" s="1"/>
  <c r="M6132" i="1" a="1"/>
  <c r="M6132" i="1" s="1"/>
  <c r="M6138" i="1" a="1"/>
  <c r="M6138" i="1" s="1"/>
  <c r="M6144" i="1" a="1"/>
  <c r="M6144" i="1" s="1"/>
  <c r="M6150" i="1" a="1"/>
  <c r="M6150" i="1" s="1"/>
  <c r="M6174" i="1" a="1"/>
  <c r="M6174" i="1" s="1"/>
  <c r="M6180" i="1" a="1"/>
  <c r="M6180" i="1" s="1"/>
  <c r="M6183" i="1" a="1"/>
  <c r="M6183" i="1" s="1"/>
  <c r="M6190" i="1" a="1"/>
  <c r="M6190" i="1" s="1"/>
  <c r="M6199" i="1" a="1"/>
  <c r="M6199" i="1" s="1"/>
  <c r="M6202" i="1" a="1"/>
  <c r="M6202" i="1" s="1"/>
  <c r="M6205" i="1" a="1"/>
  <c r="M6205" i="1" s="1"/>
  <c r="M6208" i="1" a="1"/>
  <c r="M6208" i="1" s="1"/>
  <c r="M6222" i="1" a="1"/>
  <c r="M6222" i="1" s="1"/>
  <c r="M6236" i="1" a="1"/>
  <c r="M6236" i="1" s="1"/>
  <c r="M6239" i="1" a="1"/>
  <c r="M6239" i="1" s="1"/>
  <c r="M6253" i="1" a="1"/>
  <c r="M6253" i="1" s="1"/>
  <c r="M6261" i="1" a="1"/>
  <c r="M6261" i="1" s="1"/>
  <c r="M6267" i="1" a="1"/>
  <c r="M6267" i="1" s="1"/>
  <c r="M6275" i="1" a="1"/>
  <c r="M6275" i="1" s="1"/>
  <c r="M6290" i="1" a="1"/>
  <c r="M6290" i="1" s="1"/>
  <c r="M6293" i="1" a="1"/>
  <c r="M6293" i="1" s="1"/>
  <c r="M6296" i="1" a="1"/>
  <c r="M6296" i="1" s="1"/>
  <c r="M6322" i="1" a="1"/>
  <c r="M6322" i="1" s="1"/>
  <c r="M6329" i="1" a="1"/>
  <c r="M6329" i="1" s="1"/>
  <c r="M6339" i="1" a="1"/>
  <c r="M6339" i="1" s="1"/>
  <c r="M6345" i="1" a="1"/>
  <c r="M6345" i="1" s="1"/>
  <c r="M6354" i="1" a="1"/>
  <c r="M6354" i="1" s="1"/>
  <c r="M6363" i="1" a="1"/>
  <c r="M6363" i="1" s="1"/>
  <c r="M6366" i="1" a="1"/>
  <c r="M6366" i="1" s="1"/>
  <c r="M6369" i="1" a="1"/>
  <c r="M6369" i="1" s="1"/>
  <c r="M6372" i="1" a="1"/>
  <c r="M6372" i="1" s="1"/>
  <c r="M5848" i="1" a="1"/>
  <c r="M5848" i="1" s="1"/>
  <c r="M5868" i="1" a="1"/>
  <c r="M5868" i="1" s="1"/>
  <c r="M5871" i="1" a="1"/>
  <c r="M5871" i="1" s="1"/>
  <c r="M5883" i="1" a="1"/>
  <c r="M5883" i="1" s="1"/>
  <c r="M5901" i="1" a="1"/>
  <c r="M5901" i="1" s="1"/>
  <c r="M5936" i="1" a="1"/>
  <c r="M5936" i="1" s="1"/>
  <c r="M5943" i="1" a="1"/>
  <c r="M5943" i="1" s="1"/>
  <c r="M5950" i="1" a="1"/>
  <c r="M5950" i="1" s="1"/>
  <c r="M5959" i="1" a="1"/>
  <c r="M5959" i="1" s="1"/>
  <c r="M5971" i="1" a="1"/>
  <c r="M5971" i="1" s="1"/>
  <c r="M5974" i="1" a="1"/>
  <c r="M5974" i="1" s="1"/>
  <c r="M5977" i="1" a="1"/>
  <c r="M5977" i="1" s="1"/>
  <c r="M5992" i="1" a="1"/>
  <c r="M5992" i="1" s="1"/>
  <c r="M5999" i="1" a="1"/>
  <c r="M5999" i="1" s="1"/>
  <c r="M6005" i="1" a="1"/>
  <c r="M6005" i="1" s="1"/>
  <c r="M6008" i="1" a="1"/>
  <c r="M6008" i="1" s="1"/>
  <c r="M6011" i="1" a="1"/>
  <c r="M6011" i="1" s="1"/>
  <c r="M6014" i="1" a="1"/>
  <c r="M6014" i="1" s="1"/>
  <c r="M6035" i="1" a="1"/>
  <c r="M6035" i="1" s="1"/>
  <c r="M6038" i="1" a="1"/>
  <c r="M6038" i="1" s="1"/>
  <c r="M6041" i="1" a="1"/>
  <c r="M6041" i="1" s="1"/>
  <c r="M6045" i="1" a="1"/>
  <c r="M6045" i="1" s="1"/>
  <c r="M6048" i="1" a="1"/>
  <c r="M6048" i="1" s="1"/>
  <c r="M6060" i="1" a="1"/>
  <c r="M6060" i="1" s="1"/>
  <c r="M6063" i="1" a="1"/>
  <c r="M6063" i="1" s="1"/>
  <c r="M6089" i="1" a="1"/>
  <c r="M6089" i="1" s="1"/>
  <c r="M6100" i="1" a="1"/>
  <c r="M6100" i="1" s="1"/>
  <c r="M6108" i="1" a="1"/>
  <c r="M6108" i="1" s="1"/>
  <c r="M6111" i="1" a="1"/>
  <c r="M6111" i="1" s="1"/>
  <c r="M6147" i="1" a="1"/>
  <c r="M6147" i="1" s="1"/>
  <c r="M6155" i="1" a="1"/>
  <c r="M6155" i="1" s="1"/>
  <c r="M6158" i="1" a="1"/>
  <c r="M6158" i="1" s="1"/>
  <c r="M6167" i="1" a="1"/>
  <c r="M6167" i="1" s="1"/>
  <c r="M6170" i="1" a="1"/>
  <c r="M6170" i="1" s="1"/>
  <c r="M6177" i="1" a="1"/>
  <c r="M6177" i="1" s="1"/>
  <c r="M6186" i="1" a="1"/>
  <c r="M6186" i="1" s="1"/>
  <c r="M6219" i="1" a="1"/>
  <c r="M6219" i="1" s="1"/>
  <c r="M6227" i="1" a="1"/>
  <c r="M6227" i="1" s="1"/>
  <c r="M6230" i="1" a="1"/>
  <c r="M6230" i="1" s="1"/>
  <c r="M6233" i="1" a="1"/>
  <c r="M6233" i="1" s="1"/>
  <c r="M6244" i="1" a="1"/>
  <c r="M6244" i="1" s="1"/>
  <c r="M6247" i="1" a="1"/>
  <c r="M6247" i="1" s="1"/>
  <c r="M6250" i="1" a="1"/>
  <c r="M6250" i="1" s="1"/>
  <c r="M6258" i="1" a="1"/>
  <c r="M6258" i="1" s="1"/>
  <c r="M6264" i="1" a="1"/>
  <c r="M6264" i="1" s="1"/>
  <c r="M6272" i="1" a="1"/>
  <c r="M6272" i="1" s="1"/>
  <c r="M6280" i="1" a="1"/>
  <c r="M6280" i="1" s="1"/>
  <c r="M6283" i="1" a="1"/>
  <c r="M6283" i="1" s="1"/>
  <c r="M6307" i="1" a="1"/>
  <c r="M6307" i="1" s="1"/>
  <c r="M6310" i="1" a="1"/>
  <c r="M6310" i="1" s="1"/>
  <c r="M6316" i="1" a="1"/>
  <c r="M6316" i="1" s="1"/>
  <c r="M6319" i="1" a="1"/>
  <c r="M6319" i="1" s="1"/>
  <c r="M6325" i="1" a="1"/>
  <c r="M6325" i="1" s="1"/>
  <c r="M6332" i="1" a="1"/>
  <c r="M6332" i="1" s="1"/>
  <c r="M6335" i="1" a="1"/>
  <c r="M6335" i="1" s="1"/>
  <c r="M6348" i="1" a="1"/>
  <c r="M6348" i="1" s="1"/>
  <c r="M6351" i="1" a="1"/>
  <c r="M6351" i="1" s="1"/>
  <c r="M6357" i="1" a="1"/>
  <c r="M6357" i="1" s="1"/>
  <c r="M6360" i="1" a="1"/>
  <c r="M6360" i="1" s="1"/>
  <c r="M6375" i="1" a="1"/>
  <c r="M6375" i="1" s="1"/>
  <c r="M5842" i="1" a="1"/>
  <c r="M5842" i="1" s="1"/>
  <c r="M5845" i="1" a="1"/>
  <c r="M5845" i="1" s="1"/>
  <c r="M5856" i="1" a="1"/>
  <c r="M5856" i="1" s="1"/>
  <c r="M5859" i="1" a="1"/>
  <c r="M5859" i="1" s="1"/>
  <c r="M5865" i="1" a="1"/>
  <c r="M5865" i="1" s="1"/>
  <c r="M5876" i="1" a="1"/>
  <c r="M5876" i="1" s="1"/>
  <c r="M5879" i="1" a="1"/>
  <c r="M5879" i="1" s="1"/>
  <c r="M5886" i="1" a="1"/>
  <c r="M5886" i="1" s="1"/>
  <c r="M5889" i="1" a="1"/>
  <c r="M5889" i="1" s="1"/>
  <c r="M5892" i="1" a="1"/>
  <c r="M5892" i="1" s="1"/>
  <c r="M5895" i="1" a="1"/>
  <c r="M5895" i="1" s="1"/>
  <c r="M5898" i="1" a="1"/>
  <c r="M5898" i="1" s="1"/>
  <c r="M5904" i="1" a="1"/>
  <c r="M5904" i="1" s="1"/>
  <c r="M5907" i="1" a="1"/>
  <c r="M5907" i="1" s="1"/>
  <c r="M5911" i="1" a="1"/>
  <c r="M5911" i="1" s="1"/>
  <c r="M5914" i="1" a="1"/>
  <c r="M5914" i="1" s="1"/>
  <c r="M5921" i="1" a="1"/>
  <c r="M5921" i="1" s="1"/>
  <c r="M5930" i="1" a="1"/>
  <c r="M5930" i="1" s="1"/>
  <c r="M5933" i="1" a="1"/>
  <c r="M5933" i="1" s="1"/>
  <c r="M5939" i="1" a="1"/>
  <c r="M5939" i="1" s="1"/>
  <c r="M5953" i="1" a="1"/>
  <c r="M5953" i="1" s="1"/>
  <c r="M5956" i="1" a="1"/>
  <c r="M5956" i="1" s="1"/>
  <c r="M5964" i="1" a="1"/>
  <c r="M5964" i="1" s="1"/>
  <c r="M5982" i="1" a="1"/>
  <c r="M5982" i="1" s="1"/>
  <c r="M5985" i="1" a="1"/>
  <c r="M5985" i="1" s="1"/>
  <c r="M5988" i="1" a="1"/>
  <c r="M5988" i="1" s="1"/>
  <c r="M5995" i="1" a="1"/>
  <c r="M5995" i="1" s="1"/>
  <c r="M6002" i="1" a="1"/>
  <c r="M6002" i="1" s="1"/>
  <c r="M6017" i="1" a="1"/>
  <c r="M6017" i="1" s="1"/>
  <c r="M6023" i="1" a="1"/>
  <c r="M6023" i="1" s="1"/>
  <c r="M6026" i="1" a="1"/>
  <c r="M6026" i="1" s="1"/>
  <c r="M6029" i="1" a="1"/>
  <c r="M6029" i="1" s="1"/>
  <c r="M6032" i="1" a="1"/>
  <c r="M6032" i="1" s="1"/>
  <c r="M6044" i="1" a="1"/>
  <c r="M6044" i="1" s="1"/>
  <c r="M6051" i="1" a="1"/>
  <c r="M6051" i="1" s="1"/>
  <c r="M6054" i="1" a="1"/>
  <c r="M6054" i="1" s="1"/>
  <c r="M6057" i="1" a="1"/>
  <c r="M6057" i="1" s="1"/>
  <c r="M6068" i="1" a="1"/>
  <c r="M6068" i="1" s="1"/>
  <c r="M6074" i="1" a="1"/>
  <c r="M6074" i="1" s="1"/>
  <c r="M6077" i="1" a="1"/>
  <c r="M6077" i="1" s="1"/>
  <c r="M6083" i="1" a="1"/>
  <c r="M6083" i="1" s="1"/>
  <c r="M6086" i="1" a="1"/>
  <c r="M6086" i="1" s="1"/>
  <c r="M6097" i="1" a="1"/>
  <c r="M6097" i="1" s="1"/>
  <c r="M6105" i="1" a="1"/>
  <c r="M6105" i="1" s="1"/>
  <c r="M6116" i="1" a="1"/>
  <c r="M6116" i="1" s="1"/>
  <c r="M6125" i="1" a="1"/>
  <c r="M6125" i="1" s="1"/>
  <c r="M6128" i="1" a="1"/>
  <c r="M6128" i="1" s="1"/>
  <c r="M6134" i="1" a="1"/>
  <c r="M6134" i="1" s="1"/>
  <c r="M6140" i="1" a="1"/>
  <c r="M6140" i="1" s="1"/>
  <c r="M6152" i="1" a="1"/>
  <c r="M6152" i="1" s="1"/>
  <c r="M6161" i="1" a="1"/>
  <c r="M6161" i="1" s="1"/>
  <c r="M6164" i="1" a="1"/>
  <c r="M6164" i="1" s="1"/>
  <c r="M6173" i="1" a="1"/>
  <c r="M6173" i="1" s="1"/>
  <c r="M6189" i="1" a="1"/>
  <c r="M6189" i="1" s="1"/>
  <c r="M6192" i="1" a="1"/>
  <c r="M6192" i="1" s="1"/>
  <c r="M6195" i="1" a="1"/>
  <c r="M6195" i="1" s="1"/>
  <c r="M6198" i="1" a="1"/>
  <c r="M6198" i="1" s="1"/>
  <c r="M6204" i="1" a="1"/>
  <c r="M6204" i="1" s="1"/>
  <c r="M6210" i="1" a="1"/>
  <c r="M6210" i="1" s="1"/>
  <c r="M6213" i="1" a="1"/>
  <c r="M6213" i="1" s="1"/>
  <c r="M6216" i="1" a="1"/>
  <c r="M6216" i="1" s="1"/>
  <c r="M6224" i="1" a="1"/>
  <c r="M6224" i="1" s="1"/>
  <c r="M6238" i="1" a="1"/>
  <c r="M6238" i="1" s="1"/>
  <c r="M6241" i="1" a="1"/>
  <c r="M6241" i="1" s="1"/>
  <c r="M6255" i="1" a="1"/>
  <c r="M6255" i="1" s="1"/>
  <c r="M6269" i="1" a="1"/>
  <c r="M6269" i="1" s="1"/>
  <c r="M6277" i="1" a="1"/>
  <c r="M6277" i="1" s="1"/>
  <c r="M6286" i="1" a="1"/>
  <c r="M6286" i="1" s="1"/>
  <c r="M6289" i="1" a="1"/>
  <c r="M6289" i="1" s="1"/>
  <c r="M6292" i="1" a="1"/>
  <c r="M6292" i="1" s="1"/>
  <c r="M6298" i="1" a="1"/>
  <c r="M6298" i="1" s="1"/>
  <c r="M6301" i="1" a="1"/>
  <c r="M6301" i="1" s="1"/>
  <c r="M6304" i="1" a="1"/>
  <c r="M6304" i="1" s="1"/>
  <c r="M6313" i="1" a="1"/>
  <c r="M6313" i="1" s="1"/>
  <c r="M6338" i="1" a="1"/>
  <c r="M6338" i="1" s="1"/>
  <c r="M6341" i="1" a="1"/>
  <c r="M6341" i="1" s="1"/>
  <c r="M6381" i="1" a="1"/>
  <c r="M6381" i="1" s="1"/>
  <c r="M5850" i="1" a="1"/>
  <c r="M5850" i="1" s="1"/>
  <c r="M5853" i="1" a="1"/>
  <c r="M5853" i="1" s="1"/>
  <c r="M5862" i="1" a="1"/>
  <c r="M5862" i="1" s="1"/>
  <c r="M5873" i="1" a="1"/>
  <c r="M5873" i="1" s="1"/>
  <c r="M5910" i="1" a="1"/>
  <c r="M5910" i="1" s="1"/>
  <c r="M5917" i="1" a="1"/>
  <c r="M5917" i="1" s="1"/>
  <c r="M5924" i="1" a="1"/>
  <c r="M5924" i="1" s="1"/>
  <c r="M5927" i="1" a="1"/>
  <c r="M5927" i="1" s="1"/>
  <c r="M5942" i="1" a="1"/>
  <c r="M5942" i="1" s="1"/>
  <c r="M5946" i="1" a="1"/>
  <c r="M5946" i="1" s="1"/>
  <c r="M5961" i="1" a="1"/>
  <c r="M5961" i="1" s="1"/>
  <c r="M5967" i="1" a="1"/>
  <c r="M5967" i="1" s="1"/>
  <c r="M5973" i="1" a="1"/>
  <c r="M5973" i="1" s="1"/>
  <c r="M5979" i="1" a="1"/>
  <c r="M5979" i="1" s="1"/>
  <c r="M5991" i="1" a="1"/>
  <c r="M5991" i="1" s="1"/>
  <c r="M5998" i="1" a="1"/>
  <c r="M5998" i="1" s="1"/>
  <c r="M6001" i="1" a="1"/>
  <c r="M6001" i="1" s="1"/>
  <c r="M6013" i="1" a="1"/>
  <c r="M6013" i="1" s="1"/>
  <c r="M6020" i="1" a="1"/>
  <c r="M6020" i="1" s="1"/>
  <c r="M6047" i="1" a="1"/>
  <c r="M6047" i="1" s="1"/>
  <c r="M6062" i="1" a="1"/>
  <c r="M6062" i="1" s="1"/>
  <c r="M6065" i="1" a="1"/>
  <c r="M6065" i="1" s="1"/>
  <c r="M6071" i="1" a="1"/>
  <c r="M6071" i="1" s="1"/>
  <c r="M6080" i="1" a="1"/>
  <c r="M6080" i="1" s="1"/>
  <c r="M6091" i="1" a="1"/>
  <c r="M6091" i="1" s="1"/>
  <c r="M6094" i="1" a="1"/>
  <c r="M6094" i="1" s="1"/>
  <c r="M6102" i="1" a="1"/>
  <c r="M6102" i="1" s="1"/>
  <c r="M6113" i="1" a="1"/>
  <c r="M6113" i="1" s="1"/>
  <c r="M6119" i="1" a="1"/>
  <c r="M6119" i="1" s="1"/>
  <c r="M6122" i="1" a="1"/>
  <c r="M6122" i="1" s="1"/>
  <c r="M6131" i="1" a="1"/>
  <c r="M6131" i="1" s="1"/>
  <c r="M6137" i="1" a="1"/>
  <c r="M6137" i="1" s="1"/>
  <c r="M6143" i="1" a="1"/>
  <c r="M6143" i="1" s="1"/>
  <c r="M6146" i="1" a="1"/>
  <c r="M6146" i="1" s="1"/>
  <c r="M6149" i="1" a="1"/>
  <c r="M6149" i="1" s="1"/>
  <c r="M6176" i="1" a="1"/>
  <c r="M6176" i="1" s="1"/>
  <c r="M6179" i="1" a="1"/>
  <c r="M6179" i="1" s="1"/>
  <c r="M6182" i="1" a="1"/>
  <c r="M6182" i="1" s="1"/>
  <c r="M6185" i="1" a="1"/>
  <c r="M6185" i="1" s="1"/>
  <c r="M6201" i="1" a="1"/>
  <c r="M6201" i="1" s="1"/>
  <c r="M6207" i="1" a="1"/>
  <c r="M6207" i="1" s="1"/>
  <c r="M6221" i="1" a="1"/>
  <c r="M6221" i="1" s="1"/>
  <c r="M6229" i="1" a="1"/>
  <c r="M6229" i="1" s="1"/>
  <c r="M6235" i="1" a="1"/>
  <c r="M6235" i="1" s="1"/>
  <c r="M6252" i="1" a="1"/>
  <c r="M6252" i="1" s="1"/>
  <c r="M6260" i="1" a="1"/>
  <c r="M6260" i="1" s="1"/>
  <c r="M6266" i="1" a="1"/>
  <c r="M6266" i="1" s="1"/>
  <c r="M6274" i="1" a="1"/>
  <c r="M6274" i="1" s="1"/>
  <c r="M6295" i="1" a="1"/>
  <c r="M6295" i="1" s="1"/>
  <c r="M6318" i="1" a="1"/>
  <c r="M6318" i="1" s="1"/>
  <c r="M6321" i="1" a="1"/>
  <c r="M6321" i="1" s="1"/>
  <c r="M6328" i="1" a="1"/>
  <c r="M6328" i="1" s="1"/>
  <c r="M6331" i="1" a="1"/>
  <c r="M6331" i="1" s="1"/>
  <c r="M6344" i="1" a="1"/>
  <c r="M6344" i="1" s="1"/>
  <c r="M6347" i="1" a="1"/>
  <c r="M6347" i="1" s="1"/>
  <c r="M6350" i="1" a="1"/>
  <c r="M6350" i="1" s="1"/>
  <c r="M6353" i="1" a="1"/>
  <c r="M6353" i="1" s="1"/>
  <c r="M6356" i="1" a="1"/>
  <c r="M6356" i="1" s="1"/>
  <c r="M6362" i="1" a="1"/>
  <c r="M6362" i="1" s="1"/>
  <c r="M6365" i="1" a="1"/>
  <c r="M6365" i="1" s="1"/>
  <c r="M6368" i="1" a="1"/>
  <c r="M6368" i="1" s="1"/>
  <c r="M6371" i="1" a="1"/>
  <c r="M6371" i="1" s="1"/>
  <c r="M5844" i="1" a="1"/>
  <c r="M5844" i="1" s="1"/>
  <c r="M5847" i="1" a="1"/>
  <c r="M5847" i="1" s="1"/>
  <c r="M5867" i="1" a="1"/>
  <c r="M5867" i="1" s="1"/>
  <c r="M5870" i="1" a="1"/>
  <c r="M5870" i="1" s="1"/>
  <c r="M5878" i="1" a="1"/>
  <c r="M5878" i="1" s="1"/>
  <c r="M5882" i="1" a="1"/>
  <c r="M5882" i="1" s="1"/>
  <c r="M5885" i="1" a="1"/>
  <c r="M5885" i="1" s="1"/>
  <c r="M5891" i="1" a="1"/>
  <c r="M5891" i="1" s="1"/>
  <c r="M5897" i="1" a="1"/>
  <c r="M5897" i="1" s="1"/>
  <c r="M5900" i="1" a="1"/>
  <c r="M5900" i="1" s="1"/>
  <c r="M5903" i="1" a="1"/>
  <c r="M5903" i="1" s="1"/>
  <c r="M5913" i="1" a="1"/>
  <c r="M5913" i="1" s="1"/>
  <c r="M5935" i="1" a="1"/>
  <c r="M5935" i="1" s="1"/>
  <c r="M5938" i="1" a="1"/>
  <c r="M5938" i="1" s="1"/>
  <c r="M5945" i="1" a="1"/>
  <c r="M5945" i="1" s="1"/>
  <c r="M5949" i="1" a="1"/>
  <c r="M5949" i="1" s="1"/>
  <c r="M5958" i="1" a="1"/>
  <c r="M5958" i="1" s="1"/>
  <c r="M5970" i="1" a="1"/>
  <c r="M5970" i="1" s="1"/>
  <c r="M5976" i="1" a="1"/>
  <c r="M5976" i="1" s="1"/>
  <c r="M5994" i="1" a="1"/>
  <c r="M5994" i="1" s="1"/>
  <c r="M6004" i="1" a="1"/>
  <c r="M6004" i="1" s="1"/>
  <c r="M6007" i="1" a="1"/>
  <c r="M6007" i="1" s="1"/>
  <c r="M6010" i="1" a="1"/>
  <c r="M6010" i="1" s="1"/>
  <c r="M6016" i="1" a="1"/>
  <c r="M6016" i="1" s="1"/>
  <c r="M6025" i="1" a="1"/>
  <c r="M6025" i="1" s="1"/>
  <c r="M6028" i="1" a="1"/>
  <c r="M6028" i="1" s="1"/>
  <c r="M6034" i="1" a="1"/>
  <c r="M6034" i="1" s="1"/>
  <c r="M6037" i="1" a="1"/>
  <c r="M6037" i="1" s="1"/>
  <c r="M6040" i="1" a="1"/>
  <c r="M6040" i="1" s="1"/>
  <c r="M6043" i="1" a="1"/>
  <c r="M6043" i="1" s="1"/>
  <c r="M6059" i="1" a="1"/>
  <c r="M6059" i="1" s="1"/>
  <c r="M6076" i="1" a="1"/>
  <c r="M6076" i="1" s="1"/>
  <c r="M6088" i="1" a="1"/>
  <c r="M6088" i="1" s="1"/>
  <c r="M6099" i="1" a="1"/>
  <c r="M6099" i="1" s="1"/>
  <c r="M6107" i="1" a="1"/>
  <c r="M6107" i="1" s="1"/>
  <c r="M6110" i="1" a="1"/>
  <c r="M6110" i="1" s="1"/>
  <c r="M6154" i="1" a="1"/>
  <c r="M6154" i="1" s="1"/>
  <c r="M6157" i="1" a="1"/>
  <c r="M6157" i="1" s="1"/>
  <c r="M6160" i="1" a="1"/>
  <c r="M6160" i="1" s="1"/>
  <c r="M6166" i="1" a="1"/>
  <c r="M6166" i="1" s="1"/>
  <c r="M6169" i="1" a="1"/>
  <c r="M6169" i="1" s="1"/>
  <c r="M6172" i="1" a="1"/>
  <c r="M6172" i="1" s="1"/>
  <c r="M6188" i="1" a="1"/>
  <c r="M6188" i="1" s="1"/>
  <c r="M6194" i="1" a="1"/>
  <c r="M6194" i="1" s="1"/>
  <c r="M6197" i="1" a="1"/>
  <c r="M6197" i="1" s="1"/>
  <c r="M6218" i="1" a="1"/>
  <c r="M6218" i="1" s="1"/>
  <c r="M6226" i="1" a="1"/>
  <c r="M6226" i="1" s="1"/>
  <c r="M6232" i="1" a="1"/>
  <c r="M6232" i="1" s="1"/>
  <c r="M6243" i="1" a="1"/>
  <c r="M6243" i="1" s="1"/>
  <c r="M6246" i="1" a="1"/>
  <c r="M6246" i="1" s="1"/>
  <c r="M6249" i="1" a="1"/>
  <c r="M6249" i="1" s="1"/>
  <c r="M6257" i="1" a="1"/>
  <c r="M6257" i="1" s="1"/>
  <c r="M6263" i="1" a="1"/>
  <c r="M6263" i="1" s="1"/>
  <c r="M6271" i="1" a="1"/>
  <c r="M6271" i="1" s="1"/>
  <c r="M6279" i="1" a="1"/>
  <c r="M6279" i="1" s="1"/>
  <c r="M6282" i="1" a="1"/>
  <c r="M6282" i="1" s="1"/>
  <c r="M6285" i="1" a="1"/>
  <c r="M6285" i="1" s="1"/>
  <c r="M6306" i="1" a="1"/>
  <c r="M6306" i="1" s="1"/>
  <c r="M6309" i="1" a="1"/>
  <c r="M6309" i="1" s="1"/>
  <c r="M6315" i="1" a="1"/>
  <c r="M6315" i="1" s="1"/>
  <c r="M6324" i="1" a="1"/>
  <c r="M6324" i="1" s="1"/>
  <c r="M6334" i="1" a="1"/>
  <c r="M6334" i="1" s="1"/>
  <c r="M6359" i="1" a="1"/>
  <c r="M6359" i="1" s="1"/>
  <c r="M6377" i="1" a="1"/>
  <c r="M6377" i="1" s="1"/>
  <c r="M6380" i="1" a="1"/>
  <c r="M6380" i="1" s="1"/>
  <c r="M5875" i="1" a="1"/>
  <c r="M5875" i="1" s="1"/>
  <c r="M5952" i="1" a="1"/>
  <c r="M5952" i="1" s="1"/>
  <c r="M5987" i="1" a="1"/>
  <c r="M5987" i="1" s="1"/>
  <c r="M6022" i="1" a="1"/>
  <c r="M6022" i="1" s="1"/>
  <c r="M6031" i="1" a="1"/>
  <c r="M6031" i="1" s="1"/>
  <c r="M6053" i="1" a="1"/>
  <c r="M6053" i="1" s="1"/>
  <c r="M6070" i="1" a="1"/>
  <c r="M6070" i="1" s="1"/>
  <c r="M6124" i="1" a="1"/>
  <c r="M6124" i="1" s="1"/>
  <c r="M6133" i="1" a="1"/>
  <c r="M6133" i="1" s="1"/>
  <c r="M6151" i="1" a="1"/>
  <c r="M6151" i="1" s="1"/>
  <c r="M6181" i="1" a="1"/>
  <c r="M6181" i="1" s="1"/>
  <c r="M6206" i="1" a="1"/>
  <c r="M6206" i="1" s="1"/>
  <c r="M6300" i="1" a="1"/>
  <c r="M6300" i="1" s="1"/>
  <c r="M6385" i="1" a="1"/>
  <c r="M6385" i="1" s="1"/>
  <c r="M6388" i="1" a="1"/>
  <c r="M6388" i="1" s="1"/>
  <c r="M6403" i="1" a="1"/>
  <c r="M6403" i="1" s="1"/>
  <c r="M6414" i="1" a="1"/>
  <c r="M6414" i="1" s="1"/>
  <c r="M6423" i="1" a="1"/>
  <c r="M6423" i="1" s="1"/>
  <c r="M6426" i="1" a="1"/>
  <c r="M6426" i="1" s="1"/>
  <c r="M6439" i="1" a="1"/>
  <c r="M6439" i="1" s="1"/>
  <c r="M6442" i="1" a="1"/>
  <c r="M6442" i="1" s="1"/>
  <c r="M6449" i="1" a="1"/>
  <c r="M6449" i="1" s="1"/>
  <c r="M6452" i="1" a="1"/>
  <c r="M6452" i="1" s="1"/>
  <c r="M6459" i="1" a="1"/>
  <c r="M6459" i="1" s="1"/>
  <c r="M6468" i="1" a="1"/>
  <c r="M6468" i="1" s="1"/>
  <c r="M6471" i="1" a="1"/>
  <c r="M6471" i="1" s="1"/>
  <c r="M6480" i="1" a="1"/>
  <c r="M6480" i="1" s="1"/>
  <c r="M6497" i="1" a="1"/>
  <c r="M6497" i="1" s="1"/>
  <c r="M6500" i="1" a="1"/>
  <c r="M6500" i="1" s="1"/>
  <c r="M6514" i="1" a="1"/>
  <c r="M6514" i="1" s="1"/>
  <c r="M6517" i="1" a="1"/>
  <c r="M6517" i="1" s="1"/>
  <c r="M6531" i="1" a="1"/>
  <c r="M6531" i="1" s="1"/>
  <c r="M6534" i="1" a="1"/>
  <c r="M6534" i="1" s="1"/>
  <c r="M6545" i="1" a="1"/>
  <c r="M6545" i="1" s="1"/>
  <c r="M6548" i="1" a="1"/>
  <c r="M6548" i="1" s="1"/>
  <c r="M6551" i="1" a="1"/>
  <c r="M6551" i="1" s="1"/>
  <c r="M6562" i="1" a="1"/>
  <c r="M6562" i="1" s="1"/>
  <c r="M6570" i="1" a="1"/>
  <c r="M6570" i="1" s="1"/>
  <c r="M6573" i="1" a="1"/>
  <c r="M6573" i="1" s="1"/>
  <c r="M6576" i="1" a="1"/>
  <c r="M6576" i="1" s="1"/>
  <c r="M6590" i="1" a="1"/>
  <c r="M6590" i="1" s="1"/>
  <c r="M6601" i="1" a="1"/>
  <c r="M6601" i="1" s="1"/>
  <c r="M6609" i="1" a="1"/>
  <c r="M6609" i="1" s="1"/>
  <c r="M6626" i="1" a="1"/>
  <c r="M6626" i="1" s="1"/>
  <c r="M6640" i="1" a="1"/>
  <c r="M6640" i="1" s="1"/>
  <c r="M6648" i="1" a="1"/>
  <c r="M6648" i="1" s="1"/>
  <c r="M6651" i="1" a="1"/>
  <c r="M6651" i="1" s="1"/>
  <c r="M6654" i="1" a="1"/>
  <c r="M6654" i="1" s="1"/>
  <c r="M6657" i="1" a="1"/>
  <c r="M6657" i="1" s="1"/>
  <c r="M6669" i="1" a="1"/>
  <c r="M6669" i="1" s="1"/>
  <c r="M6677" i="1" a="1"/>
  <c r="M6677" i="1" s="1"/>
  <c r="M6688" i="1" a="1"/>
  <c r="M6688" i="1" s="1"/>
  <c r="M6691" i="1" a="1"/>
  <c r="M6691" i="1" s="1"/>
  <c r="M6699" i="1" a="1"/>
  <c r="M6699" i="1" s="1"/>
  <c r="M6730" i="1" a="1"/>
  <c r="M6730" i="1" s="1"/>
  <c r="M6742" i="1" a="1"/>
  <c r="M6742" i="1" s="1"/>
  <c r="M6748" i="1" a="1"/>
  <c r="M6748" i="1" s="1"/>
  <c r="M6754" i="1" a="1"/>
  <c r="M6754" i="1" s="1"/>
  <c r="M6757" i="1" a="1"/>
  <c r="M6757" i="1" s="1"/>
  <c r="M6765" i="1" a="1"/>
  <c r="M6765" i="1" s="1"/>
  <c r="M6776" i="1" a="1"/>
  <c r="M6776" i="1" s="1"/>
  <c r="M6779" i="1" a="1"/>
  <c r="M6779" i="1" s="1"/>
  <c r="M6788" i="1" a="1"/>
  <c r="M6788" i="1" s="1"/>
  <c r="M6799" i="1" a="1"/>
  <c r="M6799" i="1" s="1"/>
  <c r="M6808" i="1" a="1"/>
  <c r="M6808" i="1" s="1"/>
  <c r="M6822" i="1" a="1"/>
  <c r="M6822" i="1" s="1"/>
  <c r="M6839" i="1" a="1"/>
  <c r="M6839" i="1" s="1"/>
  <c r="M6850" i="1" a="1"/>
  <c r="M6850" i="1" s="1"/>
  <c r="M5906" i="1" a="1"/>
  <c r="M5906" i="1" s="1"/>
  <c r="M5929" i="1" a="1"/>
  <c r="M5929" i="1" s="1"/>
  <c r="M6115" i="1" a="1"/>
  <c r="M6115" i="1" s="1"/>
  <c r="M6142" i="1" a="1"/>
  <c r="M6142" i="1" s="1"/>
  <c r="M6215" i="1" a="1"/>
  <c r="M6215" i="1" s="1"/>
  <c r="M6240" i="1" a="1"/>
  <c r="M6240" i="1" s="1"/>
  <c r="M6288" i="1" a="1"/>
  <c r="M6288" i="1" s="1"/>
  <c r="M6343" i="1" a="1"/>
  <c r="M6343" i="1" s="1"/>
  <c r="M6370" i="1" a="1"/>
  <c r="M6370" i="1" s="1"/>
  <c r="M6391" i="1" a="1"/>
  <c r="M6391" i="1" s="1"/>
  <c r="M6394" i="1" a="1"/>
  <c r="M6394" i="1" s="1"/>
  <c r="M6397" i="1" a="1"/>
  <c r="M6397" i="1" s="1"/>
  <c r="M6400" i="1" a="1"/>
  <c r="M6400" i="1" s="1"/>
  <c r="M6408" i="1" a="1"/>
  <c r="M6408" i="1" s="1"/>
  <c r="M6411" i="1" a="1"/>
  <c r="M6411" i="1" s="1"/>
  <c r="M6420" i="1" a="1"/>
  <c r="M6420" i="1" s="1"/>
  <c r="M6445" i="1" a="1"/>
  <c r="M6445" i="1" s="1"/>
  <c r="M6455" i="1" a="1"/>
  <c r="M6455" i="1" s="1"/>
  <c r="M6477" i="1" a="1"/>
  <c r="M6477" i="1" s="1"/>
  <c r="M6485" i="1" a="1"/>
  <c r="M6485" i="1" s="1"/>
  <c r="M6488" i="1" a="1"/>
  <c r="M6488" i="1" s="1"/>
  <c r="M6491" i="1" a="1"/>
  <c r="M6491" i="1" s="1"/>
  <c r="M6494" i="1" a="1"/>
  <c r="M6494" i="1" s="1"/>
  <c r="M6508" i="1" a="1"/>
  <c r="M6508" i="1" s="1"/>
  <c r="M6511" i="1" a="1"/>
  <c r="M6511" i="1" s="1"/>
  <c r="M6525" i="1" a="1"/>
  <c r="M6525" i="1" s="1"/>
  <c r="M6528" i="1" a="1"/>
  <c r="M6528" i="1" s="1"/>
  <c r="M6539" i="1" a="1"/>
  <c r="M6539" i="1" s="1"/>
  <c r="M6542" i="1" a="1"/>
  <c r="M6542" i="1" s="1"/>
  <c r="M6556" i="1" a="1"/>
  <c r="M6556" i="1" s="1"/>
  <c r="M6559" i="1" a="1"/>
  <c r="M6559" i="1" s="1"/>
  <c r="M6567" i="1" a="1"/>
  <c r="M6567" i="1" s="1"/>
  <c r="M6584" i="1" a="1"/>
  <c r="M6584" i="1" s="1"/>
  <c r="M6587" i="1" a="1"/>
  <c r="M6587" i="1" s="1"/>
  <c r="M6598" i="1" a="1"/>
  <c r="M6598" i="1" s="1"/>
  <c r="M6606" i="1" a="1"/>
  <c r="M6606" i="1" s="1"/>
  <c r="M6617" i="1" a="1"/>
  <c r="M6617" i="1" s="1"/>
  <c r="M6620" i="1" a="1"/>
  <c r="M6620" i="1" s="1"/>
  <c r="M6623" i="1" a="1"/>
  <c r="M6623" i="1" s="1"/>
  <c r="M6631" i="1" a="1"/>
  <c r="M6631" i="1" s="1"/>
  <c r="M6634" i="1" a="1"/>
  <c r="M6634" i="1" s="1"/>
  <c r="M6637" i="1" a="1"/>
  <c r="M6637" i="1" s="1"/>
  <c r="M6645" i="1" a="1"/>
  <c r="M6645" i="1" s="1"/>
  <c r="M6665" i="1" a="1"/>
  <c r="M6665" i="1" s="1"/>
  <c r="M6674" i="1" a="1"/>
  <c r="M6674" i="1" s="1"/>
  <c r="M6682" i="1" a="1"/>
  <c r="M6682" i="1" s="1"/>
  <c r="M6685" i="1" a="1"/>
  <c r="M6685" i="1" s="1"/>
  <c r="M6696" i="1" a="1"/>
  <c r="M6696" i="1" s="1"/>
  <c r="M6704" i="1" a="1"/>
  <c r="M6704" i="1" s="1"/>
  <c r="M6707" i="1" a="1"/>
  <c r="M6707" i="1" s="1"/>
  <c r="M6717" i="1" a="1"/>
  <c r="M6717" i="1" s="1"/>
  <c r="M6720" i="1" a="1"/>
  <c r="M6720" i="1" s="1"/>
  <c r="M6723" i="1" a="1"/>
  <c r="M6723" i="1" s="1"/>
  <c r="M6726" i="1" a="1"/>
  <c r="M6726" i="1" s="1"/>
  <c r="M6733" i="1" a="1"/>
  <c r="M6733" i="1" s="1"/>
  <c r="M6736" i="1" a="1"/>
  <c r="M6736" i="1" s="1"/>
  <c r="M6739" i="1" a="1"/>
  <c r="M6739" i="1" s="1"/>
  <c r="M6745" i="1" a="1"/>
  <c r="M6745" i="1" s="1"/>
  <c r="M6762" i="1" a="1"/>
  <c r="M6762" i="1" s="1"/>
  <c r="M6770" i="1" a="1"/>
  <c r="M6770" i="1" s="1"/>
  <c r="M6773" i="1" a="1"/>
  <c r="M6773" i="1" s="1"/>
  <c r="M6784" i="1" a="1"/>
  <c r="M6784" i="1" s="1"/>
  <c r="M6796" i="1" a="1"/>
  <c r="M6796" i="1" s="1"/>
  <c r="M6802" i="1" a="1"/>
  <c r="M6802" i="1" s="1"/>
  <c r="M6805" i="1" a="1"/>
  <c r="M6805" i="1" s="1"/>
  <c r="M6813" i="1" a="1"/>
  <c r="M6813" i="1" s="1"/>
  <c r="M6816" i="1" a="1"/>
  <c r="M6816" i="1" s="1"/>
  <c r="M6819" i="1" a="1"/>
  <c r="M6819" i="1" s="1"/>
  <c r="M6830" i="1" a="1"/>
  <c r="M6830" i="1" s="1"/>
  <c r="M6836" i="1" a="1"/>
  <c r="M6836" i="1" s="1"/>
  <c r="M5855" i="1" a="1"/>
  <c r="M5855" i="1" s="1"/>
  <c r="M5864" i="1" a="1"/>
  <c r="M5864" i="1" s="1"/>
  <c r="M5881" i="1" a="1"/>
  <c r="M5881" i="1" s="1"/>
  <c r="M5888" i="1" a="1"/>
  <c r="M5888" i="1" s="1"/>
  <c r="M6050" i="1" a="1"/>
  <c r="M6050" i="1" s="1"/>
  <c r="M6096" i="1" a="1"/>
  <c r="M6096" i="1" s="1"/>
  <c r="M6203" i="1" a="1"/>
  <c r="M6203" i="1" s="1"/>
  <c r="M6223" i="1" a="1"/>
  <c r="M6223" i="1" s="1"/>
  <c r="M6297" i="1" a="1"/>
  <c r="M6297" i="1" s="1"/>
  <c r="M6355" i="1" a="1"/>
  <c r="M6355" i="1" s="1"/>
  <c r="M6405" i="1" a="1"/>
  <c r="M6405" i="1" s="1"/>
  <c r="M6416" i="1" a="1"/>
  <c r="M6416" i="1" s="1"/>
  <c r="M6429" i="1" a="1"/>
  <c r="M6429" i="1" s="1"/>
  <c r="M6432" i="1" a="1"/>
  <c r="M6432" i="1" s="1"/>
  <c r="M6435" i="1" a="1"/>
  <c r="M6435" i="1" s="1"/>
  <c r="M6438" i="1" a="1"/>
  <c r="M6438" i="1" s="1"/>
  <c r="M6448" i="1" a="1"/>
  <c r="M6448" i="1" s="1"/>
  <c r="M6451" i="1" a="1"/>
  <c r="M6451" i="1" s="1"/>
  <c r="M6458" i="1" a="1"/>
  <c r="M6458" i="1" s="1"/>
  <c r="M6461" i="1" a="1"/>
  <c r="M6461" i="1" s="1"/>
  <c r="M6464" i="1" a="1"/>
  <c r="M6464" i="1" s="1"/>
  <c r="M6474" i="1" a="1"/>
  <c r="M6474" i="1" s="1"/>
  <c r="M6482" i="1" a="1"/>
  <c r="M6482" i="1" s="1"/>
  <c r="M6499" i="1" a="1"/>
  <c r="M6499" i="1" s="1"/>
  <c r="M6502" i="1" a="1"/>
  <c r="M6502" i="1" s="1"/>
  <c r="M6505" i="1" a="1"/>
  <c r="M6505" i="1" s="1"/>
  <c r="M6519" i="1" a="1"/>
  <c r="M6519" i="1" s="1"/>
  <c r="M6522" i="1" a="1"/>
  <c r="M6522" i="1" s="1"/>
  <c r="M6536" i="1" a="1"/>
  <c r="M6536" i="1" s="1"/>
  <c r="M6547" i="1" a="1"/>
  <c r="M6547" i="1" s="1"/>
  <c r="M6553" i="1" a="1"/>
  <c r="M6553" i="1" s="1"/>
  <c r="M6564" i="1" a="1"/>
  <c r="M6564" i="1" s="1"/>
  <c r="M6578" i="1" a="1"/>
  <c r="M6578" i="1" s="1"/>
  <c r="M6581" i="1" a="1"/>
  <c r="M6581" i="1" s="1"/>
  <c r="M6592" i="1" a="1"/>
  <c r="M6592" i="1" s="1"/>
  <c r="M6595" i="1" a="1"/>
  <c r="M6595" i="1" s="1"/>
  <c r="M6603" i="1" a="1"/>
  <c r="M6603" i="1" s="1"/>
  <c r="M6611" i="1" a="1"/>
  <c r="M6611" i="1" s="1"/>
  <c r="M6614" i="1" a="1"/>
  <c r="M6614" i="1" s="1"/>
  <c r="M6628" i="1" a="1"/>
  <c r="M6628" i="1" s="1"/>
  <c r="M6642" i="1" a="1"/>
  <c r="M6642" i="1" s="1"/>
  <c r="M6659" i="1" a="1"/>
  <c r="M6659" i="1" s="1"/>
  <c r="M6662" i="1" a="1"/>
  <c r="M6662" i="1" s="1"/>
  <c r="M6668" i="1" a="1"/>
  <c r="M6668" i="1" s="1"/>
  <c r="M6671" i="1" a="1"/>
  <c r="M6671" i="1" s="1"/>
  <c r="M6679" i="1" a="1"/>
  <c r="M6679" i="1" s="1"/>
  <c r="M6690" i="1" a="1"/>
  <c r="M6690" i="1" s="1"/>
  <c r="M6693" i="1" a="1"/>
  <c r="M6693" i="1" s="1"/>
  <c r="M6701" i="1" a="1"/>
  <c r="M6701" i="1" s="1"/>
  <c r="M6710" i="1" a="1"/>
  <c r="M6710" i="1" s="1"/>
  <c r="M6714" i="1" a="1"/>
  <c r="M6714" i="1" s="1"/>
  <c r="M6729" i="1" a="1"/>
  <c r="M6729" i="1" s="1"/>
  <c r="M6750" i="1" a="1"/>
  <c r="M6750" i="1" s="1"/>
  <c r="M6759" i="1" a="1"/>
  <c r="M6759" i="1" s="1"/>
  <c r="M6767" i="1" a="1"/>
  <c r="M6767" i="1" s="1"/>
  <c r="M6778" i="1" a="1"/>
  <c r="M6778" i="1" s="1"/>
  <c r="M6781" i="1" a="1"/>
  <c r="M6781" i="1" s="1"/>
  <c r="M6790" i="1" a="1"/>
  <c r="M6790" i="1" s="1"/>
  <c r="M6793" i="1" a="1"/>
  <c r="M6793" i="1" s="1"/>
  <c r="M6810" i="1" a="1"/>
  <c r="M6810" i="1" s="1"/>
  <c r="M6824" i="1" a="1"/>
  <c r="M6824" i="1" s="1"/>
  <c r="M6827" i="1" a="1"/>
  <c r="M6827" i="1" s="1"/>
  <c r="M6833" i="1" a="1"/>
  <c r="M6833" i="1" s="1"/>
  <c r="M6841" i="1" a="1"/>
  <c r="M6841" i="1" s="1"/>
  <c r="M6852" i="1" a="1"/>
  <c r="M6852" i="1" s="1"/>
  <c r="M5920" i="1" a="1"/>
  <c r="M5920" i="1" s="1"/>
  <c r="M5966" i="1" a="1"/>
  <c r="M5966" i="1" s="1"/>
  <c r="M5984" i="1" a="1"/>
  <c r="M5984" i="1" s="1"/>
  <c r="M6067" i="1" a="1"/>
  <c r="M6067" i="1" s="1"/>
  <c r="M6085" i="1" a="1"/>
  <c r="M6085" i="1" s="1"/>
  <c r="M6104" i="1" a="1"/>
  <c r="M6104" i="1" s="1"/>
  <c r="M6139" i="1" a="1"/>
  <c r="M6139" i="1" s="1"/>
  <c r="M6163" i="1" a="1"/>
  <c r="M6163" i="1" s="1"/>
  <c r="M6254" i="1" a="1"/>
  <c r="M6254" i="1" s="1"/>
  <c r="M6327" i="1" a="1"/>
  <c r="M6327" i="1" s="1"/>
  <c r="M6374" i="1" a="1"/>
  <c r="M6374" i="1" s="1"/>
  <c r="M6384" i="1" a="1"/>
  <c r="M6384" i="1" s="1"/>
  <c r="M6387" i="1" a="1"/>
  <c r="M6387" i="1" s="1"/>
  <c r="M6402" i="1" a="1"/>
  <c r="M6402" i="1" s="1"/>
  <c r="M6413" i="1" a="1"/>
  <c r="M6413" i="1" s="1"/>
  <c r="M6419" i="1" a="1"/>
  <c r="M6419" i="1" s="1"/>
  <c r="M6422" i="1" a="1"/>
  <c r="M6422" i="1" s="1"/>
  <c r="M6425" i="1" a="1"/>
  <c r="M6425" i="1" s="1"/>
  <c r="M6441" i="1" a="1"/>
  <c r="M6441" i="1" s="1"/>
  <c r="M6444" i="1" a="1"/>
  <c r="M6444" i="1" s="1"/>
  <c r="M6467" i="1" a="1"/>
  <c r="M6467" i="1" s="1"/>
  <c r="M6470" i="1" a="1"/>
  <c r="M6470" i="1" s="1"/>
  <c r="M6479" i="1" a="1"/>
  <c r="M6479" i="1" s="1"/>
  <c r="M6487" i="1" a="1"/>
  <c r="M6487" i="1" s="1"/>
  <c r="M6490" i="1" a="1"/>
  <c r="M6490" i="1" s="1"/>
  <c r="M6496" i="1" a="1"/>
  <c r="M6496" i="1" s="1"/>
  <c r="M6510" i="1" a="1"/>
  <c r="M6510" i="1" s="1"/>
  <c r="M6513" i="1" a="1"/>
  <c r="M6513" i="1" s="1"/>
  <c r="M6516" i="1" a="1"/>
  <c r="M6516" i="1" s="1"/>
  <c r="M6530" i="1" a="1"/>
  <c r="M6530" i="1" s="1"/>
  <c r="M6533" i="1" a="1"/>
  <c r="M6533" i="1" s="1"/>
  <c r="M6544" i="1" a="1"/>
  <c r="M6544" i="1" s="1"/>
  <c r="M6550" i="1" a="1"/>
  <c r="M6550" i="1" s="1"/>
  <c r="M6558" i="1" a="1"/>
  <c r="M6558" i="1" s="1"/>
  <c r="M6561" i="1" a="1"/>
  <c r="M6561" i="1" s="1"/>
  <c r="M6569" i="1" a="1"/>
  <c r="M6569" i="1" s="1"/>
  <c r="M6572" i="1" a="1"/>
  <c r="M6572" i="1" s="1"/>
  <c r="M6575" i="1" a="1"/>
  <c r="M6575" i="1" s="1"/>
  <c r="M6586" i="1" a="1"/>
  <c r="M6586" i="1" s="1"/>
  <c r="M6589" i="1" a="1"/>
  <c r="M6589" i="1" s="1"/>
  <c r="M6600" i="1" a="1"/>
  <c r="M6600" i="1" s="1"/>
  <c r="M6608" i="1" a="1"/>
  <c r="M6608" i="1" s="1"/>
  <c r="M6622" i="1" a="1"/>
  <c r="M6622" i="1" s="1"/>
  <c r="M6625" i="1" a="1"/>
  <c r="M6625" i="1" s="1"/>
  <c r="M6636" i="1" a="1"/>
  <c r="M6636" i="1" s="1"/>
  <c r="M6639" i="1" a="1"/>
  <c r="M6639" i="1" s="1"/>
  <c r="M6647" i="1" a="1"/>
  <c r="M6647" i="1" s="1"/>
  <c r="M6650" i="1" a="1"/>
  <c r="M6650" i="1" s="1"/>
  <c r="M6653" i="1" a="1"/>
  <c r="M6653" i="1" s="1"/>
  <c r="M6656" i="1" a="1"/>
  <c r="M6656" i="1" s="1"/>
  <c r="M6676" i="1" a="1"/>
  <c r="M6676" i="1" s="1"/>
  <c r="M6684" i="1" a="1"/>
  <c r="M6684" i="1" s="1"/>
  <c r="M6687" i="1" a="1"/>
  <c r="M6687" i="1" s="1"/>
  <c r="M6698" i="1" a="1"/>
  <c r="M6698" i="1" s="1"/>
  <c r="M6719" i="1" a="1"/>
  <c r="M6719" i="1" s="1"/>
  <c r="M6732" i="1" a="1"/>
  <c r="M6732" i="1" s="1"/>
  <c r="M6738" i="1" a="1"/>
  <c r="M6738" i="1" s="1"/>
  <c r="M6741" i="1" a="1"/>
  <c r="M6741" i="1" s="1"/>
  <c r="M6744" i="1" a="1"/>
  <c r="M6744" i="1" s="1"/>
  <c r="M6747" i="1" a="1"/>
  <c r="M6747" i="1" s="1"/>
  <c r="M6753" i="1" a="1"/>
  <c r="M6753" i="1" s="1"/>
  <c r="M6756" i="1" a="1"/>
  <c r="M6756" i="1" s="1"/>
  <c r="M6764" i="1" a="1"/>
  <c r="M6764" i="1" s="1"/>
  <c r="M6775" i="1" a="1"/>
  <c r="M6775" i="1" s="1"/>
  <c r="M6787" i="1" a="1"/>
  <c r="M6787" i="1" s="1"/>
  <c r="M6798" i="1" a="1"/>
  <c r="M6798" i="1" s="1"/>
  <c r="M6801" i="1" a="1"/>
  <c r="M6801" i="1" s="1"/>
  <c r="M6804" i="1" a="1"/>
  <c r="M6804" i="1" s="1"/>
  <c r="M6807" i="1" a="1"/>
  <c r="M6807" i="1" s="1"/>
  <c r="M6821" i="1" a="1"/>
  <c r="M6821" i="1" s="1"/>
  <c r="M6838" i="1" a="1"/>
  <c r="M6838" i="1" s="1"/>
  <c r="M6849" i="1" a="1"/>
  <c r="M6849" i="1" s="1"/>
  <c r="M5861" i="1" a="1"/>
  <c r="M5861" i="1" s="1"/>
  <c r="M5926" i="1" a="1"/>
  <c r="M5926" i="1" s="1"/>
  <c r="M6093" i="1" a="1"/>
  <c r="M6093" i="1" s="1"/>
  <c r="M6212" i="1" a="1"/>
  <c r="M6212" i="1" s="1"/>
  <c r="M6237" i="1" a="1"/>
  <c r="M6237" i="1" s="1"/>
  <c r="M6294" i="1" a="1"/>
  <c r="M6294" i="1" s="1"/>
  <c r="M6312" i="1" a="1"/>
  <c r="M6312" i="1" s="1"/>
  <c r="M6340" i="1" a="1"/>
  <c r="M6340" i="1" s="1"/>
  <c r="M6367" i="1" a="1"/>
  <c r="M6367" i="1" s="1"/>
  <c r="M6390" i="1" a="1"/>
  <c r="M6390" i="1" s="1"/>
  <c r="M6393" i="1" a="1"/>
  <c r="M6393" i="1" s="1"/>
  <c r="M6396" i="1" a="1"/>
  <c r="M6396" i="1" s="1"/>
  <c r="M6399" i="1" a="1"/>
  <c r="M6399" i="1" s="1"/>
  <c r="M6407" i="1" a="1"/>
  <c r="M6407" i="1" s="1"/>
  <c r="M6410" i="1" a="1"/>
  <c r="M6410" i="1" s="1"/>
  <c r="M6428" i="1" a="1"/>
  <c r="M6428" i="1" s="1"/>
  <c r="M6431" i="1" a="1"/>
  <c r="M6431" i="1" s="1"/>
  <c r="M6434" i="1" a="1"/>
  <c r="M6434" i="1" s="1"/>
  <c r="M6447" i="1" a="1"/>
  <c r="M6447" i="1" s="1"/>
  <c r="M6454" i="1" a="1"/>
  <c r="M6454" i="1" s="1"/>
  <c r="M6473" i="1" a="1"/>
  <c r="M6473" i="1" s="1"/>
  <c r="M6476" i="1" a="1"/>
  <c r="M6476" i="1" s="1"/>
  <c r="M6484" i="1" a="1"/>
  <c r="M6484" i="1" s="1"/>
  <c r="M6493" i="1" a="1"/>
  <c r="M6493" i="1" s="1"/>
  <c r="M6504" i="1" a="1"/>
  <c r="M6504" i="1" s="1"/>
  <c r="M6507" i="1" a="1"/>
  <c r="M6507" i="1" s="1"/>
  <c r="M6524" i="1" a="1"/>
  <c r="M6524" i="1" s="1"/>
  <c r="M6527" i="1" a="1"/>
  <c r="M6527" i="1" s="1"/>
  <c r="M6538" i="1" a="1"/>
  <c r="M6538" i="1" s="1"/>
  <c r="M6541" i="1" a="1"/>
  <c r="M6541" i="1" s="1"/>
  <c r="M6555" i="1" a="1"/>
  <c r="M6555" i="1" s="1"/>
  <c r="M6566" i="1" a="1"/>
  <c r="M6566" i="1" s="1"/>
  <c r="M6580" i="1" a="1"/>
  <c r="M6580" i="1" s="1"/>
  <c r="M6583" i="1" a="1"/>
  <c r="M6583" i="1" s="1"/>
  <c r="M6597" i="1" a="1"/>
  <c r="M6597" i="1" s="1"/>
  <c r="M6605" i="1" a="1"/>
  <c r="M6605" i="1" s="1"/>
  <c r="M6613" i="1" a="1"/>
  <c r="M6613" i="1" s="1"/>
  <c r="M6616" i="1" a="1"/>
  <c r="M6616" i="1" s="1"/>
  <c r="M6619" i="1" a="1"/>
  <c r="M6619" i="1" s="1"/>
  <c r="M6630" i="1" a="1"/>
  <c r="M6630" i="1" s="1"/>
  <c r="M6633" i="1" a="1"/>
  <c r="M6633" i="1" s="1"/>
  <c r="M6644" i="1" a="1"/>
  <c r="M6644" i="1" s="1"/>
  <c r="M6661" i="1" a="1"/>
  <c r="M6661" i="1" s="1"/>
  <c r="M6664" i="1" a="1"/>
  <c r="M6664" i="1" s="1"/>
  <c r="M6673" i="1" a="1"/>
  <c r="M6673" i="1" s="1"/>
  <c r="M6681" i="1" a="1"/>
  <c r="M6681" i="1" s="1"/>
  <c r="M6695" i="1" a="1"/>
  <c r="M6695" i="1" s="1"/>
  <c r="M6703" i="1" a="1"/>
  <c r="M6703" i="1" s="1"/>
  <c r="M6706" i="1" a="1"/>
  <c r="M6706" i="1" s="1"/>
  <c r="M6713" i="1" a="1"/>
  <c r="M6713" i="1" s="1"/>
  <c r="M6716" i="1" a="1"/>
  <c r="M6716" i="1" s="1"/>
  <c r="M6722" i="1" a="1"/>
  <c r="M6722" i="1" s="1"/>
  <c r="M6725" i="1" a="1"/>
  <c r="M6725" i="1" s="1"/>
  <c r="M6728" i="1" a="1"/>
  <c r="M6728" i="1" s="1"/>
  <c r="M6735" i="1" a="1"/>
  <c r="M6735" i="1" s="1"/>
  <c r="M6761" i="1" a="1"/>
  <c r="M6761" i="1" s="1"/>
  <c r="M6769" i="1" a="1"/>
  <c r="M6769" i="1" s="1"/>
  <c r="M6772" i="1" a="1"/>
  <c r="M6772" i="1" s="1"/>
  <c r="M6783" i="1" a="1"/>
  <c r="M6783" i="1" s="1"/>
  <c r="M6795" i="1" a="1"/>
  <c r="M6795" i="1" s="1"/>
  <c r="M6812" i="1" a="1"/>
  <c r="M6812" i="1" s="1"/>
  <c r="M6815" i="1" a="1"/>
  <c r="M6815" i="1" s="1"/>
  <c r="M6818" i="1" a="1"/>
  <c r="M6818" i="1" s="1"/>
  <c r="M6826" i="1" a="1"/>
  <c r="M6826" i="1" s="1"/>
  <c r="M6829" i="1" a="1"/>
  <c r="M6829" i="1" s="1"/>
  <c r="M6832" i="1" a="1"/>
  <c r="M6832" i="1" s="1"/>
  <c r="M6835" i="1" a="1"/>
  <c r="M6835" i="1" s="1"/>
  <c r="M6843" i="1" a="1"/>
  <c r="M6843" i="1" s="1"/>
  <c r="M5852" i="1" a="1"/>
  <c r="M5852" i="1" s="1"/>
  <c r="M5894" i="1" a="1"/>
  <c r="M5894" i="1" s="1"/>
  <c r="M5955" i="1" a="1"/>
  <c r="M5955" i="1" s="1"/>
  <c r="M5981" i="1" a="1"/>
  <c r="M5981" i="1" s="1"/>
  <c r="M6056" i="1" a="1"/>
  <c r="M6056" i="1" s="1"/>
  <c r="M6082" i="1" a="1"/>
  <c r="M6082" i="1" s="1"/>
  <c r="M6200" i="1" a="1"/>
  <c r="M6200" i="1" s="1"/>
  <c r="M6268" i="1" a="1"/>
  <c r="M6268" i="1" s="1"/>
  <c r="M6303" i="1" a="1"/>
  <c r="M6303" i="1" s="1"/>
  <c r="M6378" i="1" a="1"/>
  <c r="M6378" i="1" s="1"/>
  <c r="M6383" i="1" a="1"/>
  <c r="M6383" i="1" s="1"/>
  <c r="M6404" i="1" a="1"/>
  <c r="M6404" i="1" s="1"/>
  <c r="M6415" i="1" a="1"/>
  <c r="M6415" i="1" s="1"/>
  <c r="M6418" i="1" a="1"/>
  <c r="M6418" i="1" s="1"/>
  <c r="M6437" i="1" a="1"/>
  <c r="M6437" i="1" s="1"/>
  <c r="M6450" i="1" a="1"/>
  <c r="M6450" i="1" s="1"/>
  <c r="M6457" i="1" a="1"/>
  <c r="M6457" i="1" s="1"/>
  <c r="M6460" i="1" a="1"/>
  <c r="M6460" i="1" s="1"/>
  <c r="M6463" i="1" a="1"/>
  <c r="M6463" i="1" s="1"/>
  <c r="M6466" i="1" a="1"/>
  <c r="M6466" i="1" s="1"/>
  <c r="M6481" i="1" a="1"/>
  <c r="M6481" i="1" s="1"/>
  <c r="M6498" i="1" a="1"/>
  <c r="M6498" i="1" s="1"/>
  <c r="M6501" i="1" a="1"/>
  <c r="M6501" i="1" s="1"/>
  <c r="M6518" i="1" a="1"/>
  <c r="M6518" i="1" s="1"/>
  <c r="M6521" i="1" a="1"/>
  <c r="M6521" i="1" s="1"/>
  <c r="M6535" i="1" a="1"/>
  <c r="M6535" i="1" s="1"/>
  <c r="M6546" i="1" a="1"/>
  <c r="M6546" i="1" s="1"/>
  <c r="M6552" i="1" a="1"/>
  <c r="M6552" i="1" s="1"/>
  <c r="M6563" i="1" a="1"/>
  <c r="M6563" i="1" s="1"/>
  <c r="M6571" i="1" a="1"/>
  <c r="M6571" i="1" s="1"/>
  <c r="M6577" i="1" a="1"/>
  <c r="M6577" i="1" s="1"/>
  <c r="M6591" i="1" a="1"/>
  <c r="M6591" i="1" s="1"/>
  <c r="M6594" i="1" a="1"/>
  <c r="M6594" i="1" s="1"/>
  <c r="M6602" i="1" a="1"/>
  <c r="M6602" i="1" s="1"/>
  <c r="M6610" i="1" a="1"/>
  <c r="M6610" i="1" s="1"/>
  <c r="M6627" i="1" a="1"/>
  <c r="M6627" i="1" s="1"/>
  <c r="M6641" i="1" a="1"/>
  <c r="M6641" i="1" s="1"/>
  <c r="M6649" i="1" a="1"/>
  <c r="M6649" i="1" s="1"/>
  <c r="M6655" i="1" a="1"/>
  <c r="M6655" i="1" s="1"/>
  <c r="M6658" i="1" a="1"/>
  <c r="M6658" i="1" s="1"/>
  <c r="M6667" i="1" a="1"/>
  <c r="M6667" i="1" s="1"/>
  <c r="M6670" i="1" a="1"/>
  <c r="M6670" i="1" s="1"/>
  <c r="M6678" i="1" a="1"/>
  <c r="M6678" i="1" s="1"/>
  <c r="M6689" i="1" a="1"/>
  <c r="M6689" i="1" s="1"/>
  <c r="M6692" i="1" a="1"/>
  <c r="M6692" i="1" s="1"/>
  <c r="M6700" i="1" a="1"/>
  <c r="M6700" i="1" s="1"/>
  <c r="M6709" i="1" a="1"/>
  <c r="M6709" i="1" s="1"/>
  <c r="M6731" i="1" a="1"/>
  <c r="M6731" i="1" s="1"/>
  <c r="M6743" i="1" a="1"/>
  <c r="M6743" i="1" s="1"/>
  <c r="M6749" i="1" a="1"/>
  <c r="M6749" i="1" s="1"/>
  <c r="M6752" i="1" a="1"/>
  <c r="M6752" i="1" s="1"/>
  <c r="M6755" i="1" a="1"/>
  <c r="M6755" i="1" s="1"/>
  <c r="M6758" i="1" a="1"/>
  <c r="M6758" i="1" s="1"/>
  <c r="M6766" i="1" a="1"/>
  <c r="M6766" i="1" s="1"/>
  <c r="M6777" i="1" a="1"/>
  <c r="M6777" i="1" s="1"/>
  <c r="M6780" i="1" a="1"/>
  <c r="M6780" i="1" s="1"/>
  <c r="M6786" i="1" a="1"/>
  <c r="M6786" i="1" s="1"/>
  <c r="M6789" i="1" a="1"/>
  <c r="M6789" i="1" s="1"/>
  <c r="M6792" i="1" a="1"/>
  <c r="M6792" i="1" s="1"/>
  <c r="M6809" i="1" a="1"/>
  <c r="M6809" i="1" s="1"/>
  <c r="M6823" i="1" a="1"/>
  <c r="M6823" i="1" s="1"/>
  <c r="M6840" i="1" a="1"/>
  <c r="M6840" i="1" s="1"/>
  <c r="M6851" i="1" a="1"/>
  <c r="M6851" i="1" s="1"/>
  <c r="M5963" i="1" a="1"/>
  <c r="M5963" i="1" s="1"/>
  <c r="M5990" i="1" a="1"/>
  <c r="M5990" i="1" s="1"/>
  <c r="M6073" i="1" a="1"/>
  <c r="M6073" i="1" s="1"/>
  <c r="M6118" i="1" a="1"/>
  <c r="M6118" i="1" s="1"/>
  <c r="M6127" i="1" a="1"/>
  <c r="M6127" i="1" s="1"/>
  <c r="M6136" i="1" a="1"/>
  <c r="M6136" i="1" s="1"/>
  <c r="M6184" i="1" a="1"/>
  <c r="M6184" i="1" s="1"/>
  <c r="M6191" i="1" a="1"/>
  <c r="M6191" i="1" s="1"/>
  <c r="M6209" i="1" a="1"/>
  <c r="M6209" i="1" s="1"/>
  <c r="M6276" i="1" a="1"/>
  <c r="M6276" i="1" s="1"/>
  <c r="M6291" i="1" a="1"/>
  <c r="M6291" i="1" s="1"/>
  <c r="M6337" i="1" a="1"/>
  <c r="M6337" i="1" s="1"/>
  <c r="M6386" i="1" a="1"/>
  <c r="M6386" i="1" s="1"/>
  <c r="M6389" i="1" a="1"/>
  <c r="M6389" i="1" s="1"/>
  <c r="M6392" i="1" a="1"/>
  <c r="M6392" i="1" s="1"/>
  <c r="M6401" i="1" a="1"/>
  <c r="M6401" i="1" s="1"/>
  <c r="M6409" i="1" a="1"/>
  <c r="M6409" i="1" s="1"/>
  <c r="M6412" i="1" a="1"/>
  <c r="M6412" i="1" s="1"/>
  <c r="M6421" i="1" a="1"/>
  <c r="M6421" i="1" s="1"/>
  <c r="M6424" i="1" a="1"/>
  <c r="M6424" i="1" s="1"/>
  <c r="M6427" i="1" a="1"/>
  <c r="M6427" i="1" s="1"/>
  <c r="M6440" i="1" a="1"/>
  <c r="M6440" i="1" s="1"/>
  <c r="M6443" i="1" a="1"/>
  <c r="M6443" i="1" s="1"/>
  <c r="M6446" i="1" a="1"/>
  <c r="M6446" i="1" s="1"/>
  <c r="M6453" i="1" a="1"/>
  <c r="M6453" i="1" s="1"/>
  <c r="M6469" i="1" a="1"/>
  <c r="M6469" i="1" s="1"/>
  <c r="M6472" i="1" a="1"/>
  <c r="M6472" i="1" s="1"/>
  <c r="M6478" i="1" a="1"/>
  <c r="M6478" i="1" s="1"/>
  <c r="M6486" i="1" a="1"/>
  <c r="M6486" i="1" s="1"/>
  <c r="M6489" i="1" a="1"/>
  <c r="M6489" i="1" s="1"/>
  <c r="M6492" i="1" a="1"/>
  <c r="M6492" i="1" s="1"/>
  <c r="M6495" i="1" a="1"/>
  <c r="M6495" i="1" s="1"/>
  <c r="M6509" i="1" a="1"/>
  <c r="M6509" i="1" s="1"/>
  <c r="M6512" i="1" a="1"/>
  <c r="M6512" i="1" s="1"/>
  <c r="M6515" i="1" a="1"/>
  <c r="M6515" i="1" s="1"/>
  <c r="M6526" i="1" a="1"/>
  <c r="M6526" i="1" s="1"/>
  <c r="M6529" i="1" a="1"/>
  <c r="M6529" i="1" s="1"/>
  <c r="M6532" i="1" a="1"/>
  <c r="M6532" i="1" s="1"/>
  <c r="M6543" i="1" a="1"/>
  <c r="M6543" i="1" s="1"/>
  <c r="M6549" i="1" a="1"/>
  <c r="M6549" i="1" s="1"/>
  <c r="M6557" i="1" a="1"/>
  <c r="M6557" i="1" s="1"/>
  <c r="M6560" i="1" a="1"/>
  <c r="M6560" i="1" s="1"/>
  <c r="M6568" i="1" a="1"/>
  <c r="M6568" i="1" s="1"/>
  <c r="M6574" i="1" a="1"/>
  <c r="M6574" i="1" s="1"/>
  <c r="M6585" i="1" a="1"/>
  <c r="M6585" i="1" s="1"/>
  <c r="M6588" i="1" a="1"/>
  <c r="M6588" i="1" s="1"/>
  <c r="M6599" i="1" a="1"/>
  <c r="M6599" i="1" s="1"/>
  <c r="M6607" i="1" a="1"/>
  <c r="M6607" i="1" s="1"/>
  <c r="M6621" i="1" a="1"/>
  <c r="M6621" i="1" s="1"/>
  <c r="M6624" i="1" a="1"/>
  <c r="M6624" i="1" s="1"/>
  <c r="M6632" i="1" a="1"/>
  <c r="M6632" i="1" s="1"/>
  <c r="M6635" i="1" a="1"/>
  <c r="M6635" i="1" s="1"/>
  <c r="M6638" i="1" a="1"/>
  <c r="M6638" i="1" s="1"/>
  <c r="M6646" i="1" a="1"/>
  <c r="M6646" i="1" s="1"/>
  <c r="M6652" i="1" a="1"/>
  <c r="M6652" i="1" s="1"/>
  <c r="M6675" i="1" a="1"/>
  <c r="M6675" i="1" s="1"/>
  <c r="M6683" i="1" a="1"/>
  <c r="M6683" i="1" s="1"/>
  <c r="M6686" i="1" a="1"/>
  <c r="M6686" i="1" s="1"/>
  <c r="M6697" i="1" a="1"/>
  <c r="M6697" i="1" s="1"/>
  <c r="M6705" i="1" a="1"/>
  <c r="M6705" i="1" s="1"/>
  <c r="M6712" i="1" a="1"/>
  <c r="M6712" i="1" s="1"/>
  <c r="M6718" i="1" a="1"/>
  <c r="M6718" i="1" s="1"/>
  <c r="M6721" i="1" a="1"/>
  <c r="M6721" i="1" s="1"/>
  <c r="M6724" i="1" a="1"/>
  <c r="M6724" i="1" s="1"/>
  <c r="M6727" i="1" a="1"/>
  <c r="M6727" i="1" s="1"/>
  <c r="M6737" i="1" a="1"/>
  <c r="M6737" i="1" s="1"/>
  <c r="M6740" i="1" a="1"/>
  <c r="M6740" i="1" s="1"/>
  <c r="M6746" i="1" a="1"/>
  <c r="M6746" i="1" s="1"/>
  <c r="M6763" i="1" a="1"/>
  <c r="M6763" i="1" s="1"/>
  <c r="M6774" i="1" a="1"/>
  <c r="M6774" i="1" s="1"/>
  <c r="M6785" i="1" a="1"/>
  <c r="M6785" i="1" s="1"/>
  <c r="M6797" i="1" a="1"/>
  <c r="M6797" i="1" s="1"/>
  <c r="M6800" i="1" a="1"/>
  <c r="M6800" i="1" s="1"/>
  <c r="M6803" i="1" a="1"/>
  <c r="M6803" i="1" s="1"/>
  <c r="M6806" i="1" a="1"/>
  <c r="M6806" i="1" s="1"/>
  <c r="M6814" i="1" a="1"/>
  <c r="M6814" i="1" s="1"/>
  <c r="M6820" i="1" a="1"/>
  <c r="M6820" i="1" s="1"/>
  <c r="M6831" i="1" a="1"/>
  <c r="M6831" i="1" s="1"/>
  <c r="M6837" i="1" a="1"/>
  <c r="M6837" i="1" s="1"/>
  <c r="M6848" i="1" a="1"/>
  <c r="M6848" i="1" s="1"/>
  <c r="M5932" i="1" a="1"/>
  <c r="M5932" i="1" s="1"/>
  <c r="M6406" i="1" a="1"/>
  <c r="M6406" i="1" s="1"/>
  <c r="M6465" i="1" a="1"/>
  <c r="M6465" i="1" s="1"/>
  <c r="M6520" i="1" a="1"/>
  <c r="M6520" i="1" s="1"/>
  <c r="M6537" i="1" a="1"/>
  <c r="M6537" i="1" s="1"/>
  <c r="M6554" i="1" a="1"/>
  <c r="M6554" i="1" s="1"/>
  <c r="M6596" i="1" a="1"/>
  <c r="M6596" i="1" s="1"/>
  <c r="M6615" i="1" a="1"/>
  <c r="M6615" i="1" s="1"/>
  <c r="M6666" i="1" a="1"/>
  <c r="M6666" i="1" s="1"/>
  <c r="M6708" i="1" a="1"/>
  <c r="M6708" i="1" s="1"/>
  <c r="M6751" i="1" a="1"/>
  <c r="M6751" i="1" s="1"/>
  <c r="M6791" i="1" a="1"/>
  <c r="M6791" i="1" s="1"/>
  <c r="M6844" i="1" a="1"/>
  <c r="M6844" i="1" s="1"/>
  <c r="M6857" i="1" a="1"/>
  <c r="M6857" i="1" s="1"/>
  <c r="M6865" i="1" a="1"/>
  <c r="M6865" i="1" s="1"/>
  <c r="M6868" i="1" a="1"/>
  <c r="M6868" i="1" s="1"/>
  <c r="M6879" i="1" a="1"/>
  <c r="M6879" i="1" s="1"/>
  <c r="M6886" i="1" a="1"/>
  <c r="M6886" i="1" s="1"/>
  <c r="M6894" i="1" a="1"/>
  <c r="M6894" i="1" s="1"/>
  <c r="M6900" i="1" a="1"/>
  <c r="M6900" i="1" s="1"/>
  <c r="M6917" i="1" a="1"/>
  <c r="M6917" i="1" s="1"/>
  <c r="M6931" i="1" a="1"/>
  <c r="M6931" i="1" s="1"/>
  <c r="M6939" i="1" a="1"/>
  <c r="M6939" i="1" s="1"/>
  <c r="M6947" i="1" a="1"/>
  <c r="M6947" i="1" s="1"/>
  <c r="M6953" i="1" a="1"/>
  <c r="M6953" i="1" s="1"/>
  <c r="M6956" i="1" a="1"/>
  <c r="M6956" i="1" s="1"/>
  <c r="M6964" i="1" a="1"/>
  <c r="M6964" i="1" s="1"/>
  <c r="M6972" i="1" a="1"/>
  <c r="M6972" i="1" s="1"/>
  <c r="M6980" i="1" a="1"/>
  <c r="M6980" i="1" s="1"/>
  <c r="M6991" i="1" a="1"/>
  <c r="M6991" i="1" s="1"/>
  <c r="M7020" i="1" a="1"/>
  <c r="M7020" i="1" s="1"/>
  <c r="M7023" i="1" a="1"/>
  <c r="M7023" i="1" s="1"/>
  <c r="M7034" i="1" a="1"/>
  <c r="M7034" i="1" s="1"/>
  <c r="M7037" i="1" a="1"/>
  <c r="M7037" i="1" s="1"/>
  <c r="M7051" i="1" a="1"/>
  <c r="M7051" i="1" s="1"/>
  <c r="M7057" i="1" a="1"/>
  <c r="M7057" i="1" s="1"/>
  <c r="M7065" i="1" a="1"/>
  <c r="M7065" i="1" s="1"/>
  <c r="M7068" i="1" a="1"/>
  <c r="M7068" i="1" s="1"/>
  <c r="M7071" i="1" a="1"/>
  <c r="M7071" i="1" s="1"/>
  <c r="M7077" i="1" a="1"/>
  <c r="M7077" i="1" s="1"/>
  <c r="M7080" i="1" a="1"/>
  <c r="M7080" i="1" s="1"/>
  <c r="M7112" i="1" a="1"/>
  <c r="M7112" i="1" s="1"/>
  <c r="M7115" i="1" a="1"/>
  <c r="M7115" i="1" s="1"/>
  <c r="M7129" i="1" a="1"/>
  <c r="M7129" i="1" s="1"/>
  <c r="M7135" i="1" a="1"/>
  <c r="M7135" i="1" s="1"/>
  <c r="M7146" i="1" a="1"/>
  <c r="M7146" i="1" s="1"/>
  <c r="M7163" i="1" a="1"/>
  <c r="M7163" i="1" s="1"/>
  <c r="M7177" i="1" a="1"/>
  <c r="M7177" i="1" s="1"/>
  <c r="M7183" i="1" a="1"/>
  <c r="M7183" i="1" s="1"/>
  <c r="M7186" i="1" a="1"/>
  <c r="M7186" i="1" s="1"/>
  <c r="M7189" i="1" a="1"/>
  <c r="M7189" i="1" s="1"/>
  <c r="M7192" i="1" a="1"/>
  <c r="M7192" i="1" s="1"/>
  <c r="M7198" i="1" a="1"/>
  <c r="M7198" i="1" s="1"/>
  <c r="M7202" i="1" a="1"/>
  <c r="M7202" i="1" s="1"/>
  <c r="M7205" i="1" a="1"/>
  <c r="M7205" i="1" s="1"/>
  <c r="M7211" i="1" a="1"/>
  <c r="M7211" i="1" s="1"/>
  <c r="M7214" i="1" a="1"/>
  <c r="M7214" i="1" s="1"/>
  <c r="M7217" i="1" a="1"/>
  <c r="M7217" i="1" s="1"/>
  <c r="M7220" i="1" a="1"/>
  <c r="M7220" i="1" s="1"/>
  <c r="M7223" i="1" a="1"/>
  <c r="M7223" i="1" s="1"/>
  <c r="M7226" i="1" a="1"/>
  <c r="M7226" i="1" s="1"/>
  <c r="M7232" i="1" a="1"/>
  <c r="M7232" i="1" s="1"/>
  <c r="M7238" i="1" a="1"/>
  <c r="M7238" i="1" s="1"/>
  <c r="M7252" i="1" a="1"/>
  <c r="M7252" i="1" s="1"/>
  <c r="M7258" i="1" a="1"/>
  <c r="M7258" i="1" s="1"/>
  <c r="M7261" i="1" a="1"/>
  <c r="M7261" i="1" s="1"/>
  <c r="M7264" i="1" a="1"/>
  <c r="M7264" i="1" s="1"/>
  <c r="M7267" i="1" a="1"/>
  <c r="M7267" i="1" s="1"/>
  <c r="M7288" i="1" a="1"/>
  <c r="M7288" i="1" s="1"/>
  <c r="M7291" i="1" a="1"/>
  <c r="M7291" i="1" s="1"/>
  <c r="M7297" i="1" a="1"/>
  <c r="M7297" i="1" s="1"/>
  <c r="M7313" i="1" a="1"/>
  <c r="M7313" i="1" s="1"/>
  <c r="M7316" i="1" a="1"/>
  <c r="M7316" i="1" s="1"/>
  <c r="M7325" i="1" a="1"/>
  <c r="M7325" i="1" s="1"/>
  <c r="M7336" i="1" a="1"/>
  <c r="M7336" i="1" s="1"/>
  <c r="M6436" i="1" a="1"/>
  <c r="M6436" i="1" s="1"/>
  <c r="M6604" i="1" a="1"/>
  <c r="M6604" i="1" s="1"/>
  <c r="M6672" i="1" a="1"/>
  <c r="M6672" i="1" s="1"/>
  <c r="M6715" i="1" a="1"/>
  <c r="M6715" i="1" s="1"/>
  <c r="M6782" i="1" a="1"/>
  <c r="M6782" i="1" s="1"/>
  <c r="M6862" i="1" a="1"/>
  <c r="M6862" i="1" s="1"/>
  <c r="M6876" i="1" a="1"/>
  <c r="M6876" i="1" s="1"/>
  <c r="M6882" i="1" a="1"/>
  <c r="M6882" i="1" s="1"/>
  <c r="M6891" i="1" a="1"/>
  <c r="M6891" i="1" s="1"/>
  <c r="M6897" i="1" a="1"/>
  <c r="M6897" i="1" s="1"/>
  <c r="M6905" i="1" a="1"/>
  <c r="M6905" i="1" s="1"/>
  <c r="M6908" i="1" a="1"/>
  <c r="M6908" i="1" s="1"/>
  <c r="M6914" i="1" a="1"/>
  <c r="M6914" i="1" s="1"/>
  <c r="M6925" i="1" a="1"/>
  <c r="M6925" i="1" s="1"/>
  <c r="M6928" i="1" a="1"/>
  <c r="M6928" i="1" s="1"/>
  <c r="M6936" i="1" a="1"/>
  <c r="M6936" i="1" s="1"/>
  <c r="M6944" i="1" a="1"/>
  <c r="M6944" i="1" s="1"/>
  <c r="M6961" i="1" a="1"/>
  <c r="M6961" i="1" s="1"/>
  <c r="M6969" i="1" a="1"/>
  <c r="M6969" i="1" s="1"/>
  <c r="M6977" i="1" a="1"/>
  <c r="M6977" i="1" s="1"/>
  <c r="M6988" i="1" a="1"/>
  <c r="M6988" i="1" s="1"/>
  <c r="M6996" i="1" a="1"/>
  <c r="M6996" i="1" s="1"/>
  <c r="M6999" i="1" a="1"/>
  <c r="M6999" i="1" s="1"/>
  <c r="M7008" i="1" a="1"/>
  <c r="M7008" i="1" s="1"/>
  <c r="M7011" i="1" a="1"/>
  <c r="M7011" i="1" s="1"/>
  <c r="M7014" i="1" a="1"/>
  <c r="M7014" i="1" s="1"/>
  <c r="M7017" i="1" a="1"/>
  <c r="M7017" i="1" s="1"/>
  <c r="M7028" i="1" a="1"/>
  <c r="M7028" i="1" s="1"/>
  <c r="M7031" i="1" a="1"/>
  <c r="M7031" i="1" s="1"/>
  <c r="M7042" i="1" a="1"/>
  <c r="M7042" i="1" s="1"/>
  <c r="M7045" i="1" a="1"/>
  <c r="M7045" i="1" s="1"/>
  <c r="M7048" i="1" a="1"/>
  <c r="M7048" i="1" s="1"/>
  <c r="M7054" i="1" a="1"/>
  <c r="M7054" i="1" s="1"/>
  <c r="M7062" i="1" a="1"/>
  <c r="M7062" i="1" s="1"/>
  <c r="M7074" i="1" a="1"/>
  <c r="M7074" i="1" s="1"/>
  <c r="M7088" i="1" a="1"/>
  <c r="M7088" i="1" s="1"/>
  <c r="M7091" i="1" a="1"/>
  <c r="M7091" i="1" s="1"/>
  <c r="M7094" i="1" a="1"/>
  <c r="M7094" i="1" s="1"/>
  <c r="M7097" i="1" a="1"/>
  <c r="M7097" i="1" s="1"/>
  <c r="M7103" i="1" a="1"/>
  <c r="M7103" i="1" s="1"/>
  <c r="M7106" i="1" a="1"/>
  <c r="M7106" i="1" s="1"/>
  <c r="M7109" i="1" a="1"/>
  <c r="M7109" i="1" s="1"/>
  <c r="M7123" i="1" a="1"/>
  <c r="M7123" i="1" s="1"/>
  <c r="M7126" i="1" a="1"/>
  <c r="M7126" i="1" s="1"/>
  <c r="M7140" i="1" a="1"/>
  <c r="M7140" i="1" s="1"/>
  <c r="M7143" i="1" a="1"/>
  <c r="M7143" i="1" s="1"/>
  <c r="M7154" i="1" a="1"/>
  <c r="M7154" i="1" s="1"/>
  <c r="M7157" i="1" a="1"/>
  <c r="M7157" i="1" s="1"/>
  <c r="M7160" i="1" a="1"/>
  <c r="M7160" i="1" s="1"/>
  <c r="M7168" i="1" a="1"/>
  <c r="M7168" i="1" s="1"/>
  <c r="M7171" i="1" a="1"/>
  <c r="M7171" i="1" s="1"/>
  <c r="M7174" i="1" a="1"/>
  <c r="M7174" i="1" s="1"/>
  <c r="M7229" i="1" a="1"/>
  <c r="M7229" i="1" s="1"/>
  <c r="M7235" i="1" a="1"/>
  <c r="M7235" i="1" s="1"/>
  <c r="M7243" i="1" a="1"/>
  <c r="M7243" i="1" s="1"/>
  <c r="M7246" i="1" a="1"/>
  <c r="M7246" i="1" s="1"/>
  <c r="M7249" i="1" a="1"/>
  <c r="M7249" i="1" s="1"/>
  <c r="M7272" i="1" a="1"/>
  <c r="M7272" i="1" s="1"/>
  <c r="M7300" i="1" a="1"/>
  <c r="M7300" i="1" s="1"/>
  <c r="M7303" i="1" a="1"/>
  <c r="M7303" i="1" s="1"/>
  <c r="M7307" i="1" a="1"/>
  <c r="M7307" i="1" s="1"/>
  <c r="M7310" i="1" a="1"/>
  <c r="M7310" i="1" s="1"/>
  <c r="M7322" i="1" a="1"/>
  <c r="M7322" i="1" s="1"/>
  <c r="M7333" i="1" a="1"/>
  <c r="M7333" i="1" s="1"/>
  <c r="M7343" i="1" a="1"/>
  <c r="M7343" i="1" s="1"/>
  <c r="M7354" i="1" a="1"/>
  <c r="M7354" i="1" s="1"/>
  <c r="M7366" i="1" a="1"/>
  <c r="M7366" i="1" s="1"/>
  <c r="M6395" i="1" a="1"/>
  <c r="M6395" i="1" s="1"/>
  <c r="M6456" i="1" a="1"/>
  <c r="M6456" i="1" s="1"/>
  <c r="M6503" i="1" a="1"/>
  <c r="M6503" i="1" s="1"/>
  <c r="M6593" i="1" a="1"/>
  <c r="M6593" i="1" s="1"/>
  <c r="M6612" i="1" a="1"/>
  <c r="M6612" i="1" s="1"/>
  <c r="M6663" i="1" a="1"/>
  <c r="M6663" i="1" s="1"/>
  <c r="M6680" i="1" a="1"/>
  <c r="M6680" i="1" s="1"/>
  <c r="M6734" i="1" a="1"/>
  <c r="M6734" i="1" s="1"/>
  <c r="M6846" i="1" a="1"/>
  <c r="M6846" i="1" s="1"/>
  <c r="M6853" i="1" a="1"/>
  <c r="M6853" i="1" s="1"/>
  <c r="M6859" i="1" a="1"/>
  <c r="M6859" i="1" s="1"/>
  <c r="M6870" i="1" a="1"/>
  <c r="M6870" i="1" s="1"/>
  <c r="M6873" i="1" a="1"/>
  <c r="M6873" i="1" s="1"/>
  <c r="M6888" i="1" a="1"/>
  <c r="M6888" i="1" s="1"/>
  <c r="M6902" i="1" a="1"/>
  <c r="M6902" i="1" s="1"/>
  <c r="M6911" i="1" a="1"/>
  <c r="M6911" i="1" s="1"/>
  <c r="M6919" i="1" a="1"/>
  <c r="M6919" i="1" s="1"/>
  <c r="M6922" i="1" a="1"/>
  <c r="M6922" i="1" s="1"/>
  <c r="M6933" i="1" a="1"/>
  <c r="M6933" i="1" s="1"/>
  <c r="M6941" i="1" a="1"/>
  <c r="M6941" i="1" s="1"/>
  <c r="M6949" i="1" a="1"/>
  <c r="M6949" i="1" s="1"/>
  <c r="M6952" i="1" a="1"/>
  <c r="M6952" i="1" s="1"/>
  <c r="M6958" i="1" a="1"/>
  <c r="M6958" i="1" s="1"/>
  <c r="M6966" i="1" a="1"/>
  <c r="M6966" i="1" s="1"/>
  <c r="M6974" i="1" a="1"/>
  <c r="M6974" i="1" s="1"/>
  <c r="M6982" i="1" a="1"/>
  <c r="M6982" i="1" s="1"/>
  <c r="M6985" i="1" a="1"/>
  <c r="M6985" i="1" s="1"/>
  <c r="M6993" i="1" a="1"/>
  <c r="M6993" i="1" s="1"/>
  <c r="M7002" i="1" a="1"/>
  <c r="M7002" i="1" s="1"/>
  <c r="M7005" i="1" a="1"/>
  <c r="M7005" i="1" s="1"/>
  <c r="M7025" i="1" a="1"/>
  <c r="M7025" i="1" s="1"/>
  <c r="M7036" i="1" a="1"/>
  <c r="M7036" i="1" s="1"/>
  <c r="M7039" i="1" a="1"/>
  <c r="M7039" i="1" s="1"/>
  <c r="M7059" i="1" a="1"/>
  <c r="M7059" i="1" s="1"/>
  <c r="M7079" i="1" a="1"/>
  <c r="M7079" i="1" s="1"/>
  <c r="M7082" i="1" a="1"/>
  <c r="M7082" i="1" s="1"/>
  <c r="M7085" i="1" a="1"/>
  <c r="M7085" i="1" s="1"/>
  <c r="M7100" i="1" a="1"/>
  <c r="M7100" i="1" s="1"/>
  <c r="M7117" i="1" a="1"/>
  <c r="M7117" i="1" s="1"/>
  <c r="M7120" i="1" a="1"/>
  <c r="M7120" i="1" s="1"/>
  <c r="M7131" i="1" a="1"/>
  <c r="M7131" i="1" s="1"/>
  <c r="M7134" i="1" a="1"/>
  <c r="M7134" i="1" s="1"/>
  <c r="M7137" i="1" a="1"/>
  <c r="M7137" i="1" s="1"/>
  <c r="M7148" i="1" a="1"/>
  <c r="M7148" i="1" s="1"/>
  <c r="M7151" i="1" a="1"/>
  <c r="M7151" i="1" s="1"/>
  <c r="M7165" i="1" a="1"/>
  <c r="M7165" i="1" s="1"/>
  <c r="M7179" i="1" a="1"/>
  <c r="M7179" i="1" s="1"/>
  <c r="M7182" i="1" a="1"/>
  <c r="M7182" i="1" s="1"/>
  <c r="M7188" i="1" a="1"/>
  <c r="M7188" i="1" s="1"/>
  <c r="M7191" i="1" a="1"/>
  <c r="M7191" i="1" s="1"/>
  <c r="M7194" i="1" a="1"/>
  <c r="M7194" i="1" s="1"/>
  <c r="M7197" i="1" a="1"/>
  <c r="M7197" i="1" s="1"/>
  <c r="M7201" i="1" a="1"/>
  <c r="M7201" i="1" s="1"/>
  <c r="M7207" i="1" a="1"/>
  <c r="M7207" i="1" s="1"/>
  <c r="M7210" i="1" a="1"/>
  <c r="M7210" i="1" s="1"/>
  <c r="M7216" i="1" a="1"/>
  <c r="M7216" i="1" s="1"/>
  <c r="M7240" i="1" a="1"/>
  <c r="M7240" i="1" s="1"/>
  <c r="M7254" i="1" a="1"/>
  <c r="M7254" i="1" s="1"/>
  <c r="M7257" i="1" a="1"/>
  <c r="M7257" i="1" s="1"/>
  <c r="M7260" i="1" a="1"/>
  <c r="M7260" i="1" s="1"/>
  <c r="M7266" i="1" a="1"/>
  <c r="M7266" i="1" s="1"/>
  <c r="M7269" i="1" a="1"/>
  <c r="M7269" i="1" s="1"/>
  <c r="M7275" i="1" a="1"/>
  <c r="M7275" i="1" s="1"/>
  <c r="M7278" i="1" a="1"/>
  <c r="M7278" i="1" s="1"/>
  <c r="M7281" i="1" a="1"/>
  <c r="M7281" i="1" s="1"/>
  <c r="M7284" i="1" a="1"/>
  <c r="M7284" i="1" s="1"/>
  <c r="M7287" i="1" a="1"/>
  <c r="M7287" i="1" s="1"/>
  <c r="M7290" i="1" a="1"/>
  <c r="M7290" i="1" s="1"/>
  <c r="M7293" i="1" a="1"/>
  <c r="M7293" i="1" s="1"/>
  <c r="M7296" i="1" a="1"/>
  <c r="M7296" i="1" s="1"/>
  <c r="M7315" i="1" a="1"/>
  <c r="M7315" i="1" s="1"/>
  <c r="M5916" i="1" a="1"/>
  <c r="M5916" i="1" s="1"/>
  <c r="M6433" i="1" a="1"/>
  <c r="M6433" i="1" s="1"/>
  <c r="M6462" i="1" a="1"/>
  <c r="M6462" i="1" s="1"/>
  <c r="M6629" i="1" a="1"/>
  <c r="M6629" i="1" s="1"/>
  <c r="M6856" i="1" a="1"/>
  <c r="M6856" i="1" s="1"/>
  <c r="M6864" i="1" a="1"/>
  <c r="M6864" i="1" s="1"/>
  <c r="M6867" i="1" a="1"/>
  <c r="M6867" i="1" s="1"/>
  <c r="M6878" i="1" a="1"/>
  <c r="M6878" i="1" s="1"/>
  <c r="M6881" i="1" a="1"/>
  <c r="M6881" i="1" s="1"/>
  <c r="M6885" i="1" a="1"/>
  <c r="M6885" i="1" s="1"/>
  <c r="M6893" i="1" a="1"/>
  <c r="M6893" i="1" s="1"/>
  <c r="M6896" i="1" a="1"/>
  <c r="M6896" i="1" s="1"/>
  <c r="M6899" i="1" a="1"/>
  <c r="M6899" i="1" s="1"/>
  <c r="M6916" i="1" a="1"/>
  <c r="M6916" i="1" s="1"/>
  <c r="M6930" i="1" a="1"/>
  <c r="M6930" i="1" s="1"/>
  <c r="M6938" i="1" a="1"/>
  <c r="M6938" i="1" s="1"/>
  <c r="M6946" i="1" a="1"/>
  <c r="M6946" i="1" s="1"/>
  <c r="M6955" i="1" a="1"/>
  <c r="M6955" i="1" s="1"/>
  <c r="M6963" i="1" a="1"/>
  <c r="M6963" i="1" s="1"/>
  <c r="M6971" i="1" a="1"/>
  <c r="M6971" i="1" s="1"/>
  <c r="M6979" i="1" a="1"/>
  <c r="M6979" i="1" s="1"/>
  <c r="M6990" i="1" a="1"/>
  <c r="M6990" i="1" s="1"/>
  <c r="M7019" i="1" a="1"/>
  <c r="M7019" i="1" s="1"/>
  <c r="M7022" i="1" a="1"/>
  <c r="M7022" i="1" s="1"/>
  <c r="M7033" i="1" a="1"/>
  <c r="M7033" i="1" s="1"/>
  <c r="M7044" i="1" a="1"/>
  <c r="M7044" i="1" s="1"/>
  <c r="M7047" i="1" a="1"/>
  <c r="M7047" i="1" s="1"/>
  <c r="M7050" i="1" a="1"/>
  <c r="M7050" i="1" s="1"/>
  <c r="M7056" i="1" a="1"/>
  <c r="M7056" i="1" s="1"/>
  <c r="M7064" i="1" a="1"/>
  <c r="M7064" i="1" s="1"/>
  <c r="M7067" i="1" a="1"/>
  <c r="M7067" i="1" s="1"/>
  <c r="M7070" i="1" a="1"/>
  <c r="M7070" i="1" s="1"/>
  <c r="M7073" i="1" a="1"/>
  <c r="M7073" i="1" s="1"/>
  <c r="M7076" i="1" a="1"/>
  <c r="M7076" i="1" s="1"/>
  <c r="M7105" i="1" a="1"/>
  <c r="M7105" i="1" s="1"/>
  <c r="M7111" i="1" a="1"/>
  <c r="M7111" i="1" s="1"/>
  <c r="M7114" i="1" a="1"/>
  <c r="M7114" i="1" s="1"/>
  <c r="M7128" i="1" a="1"/>
  <c r="M7128" i="1" s="1"/>
  <c r="M7145" i="1" a="1"/>
  <c r="M7145" i="1" s="1"/>
  <c r="M7156" i="1" a="1"/>
  <c r="M7156" i="1" s="1"/>
  <c r="M7159" i="1" a="1"/>
  <c r="M7159" i="1" s="1"/>
  <c r="M7162" i="1" a="1"/>
  <c r="M7162" i="1" s="1"/>
  <c r="M7176" i="1" a="1"/>
  <c r="M7176" i="1" s="1"/>
  <c r="M7185" i="1" a="1"/>
  <c r="M7185" i="1" s="1"/>
  <c r="M7204" i="1" a="1"/>
  <c r="M7204" i="1" s="1"/>
  <c r="M7213" i="1" a="1"/>
  <c r="M7213" i="1" s="1"/>
  <c r="M7219" i="1" a="1"/>
  <c r="M7219" i="1" s="1"/>
  <c r="M7222" i="1" a="1"/>
  <c r="M7222" i="1" s="1"/>
  <c r="M7225" i="1" a="1"/>
  <c r="M7225" i="1" s="1"/>
  <c r="M7228" i="1" a="1"/>
  <c r="M7228" i="1" s="1"/>
  <c r="M7231" i="1" a="1"/>
  <c r="M7231" i="1" s="1"/>
  <c r="M7234" i="1" a="1"/>
  <c r="M7234" i="1" s="1"/>
  <c r="M7237" i="1" a="1"/>
  <c r="M7237" i="1" s="1"/>
  <c r="M7248" i="1" a="1"/>
  <c r="M7248" i="1" s="1"/>
  <c r="M7251" i="1" a="1"/>
  <c r="M7251" i="1" s="1"/>
  <c r="M5858" i="1" a="1"/>
  <c r="M5858" i="1" s="1"/>
  <c r="M6582" i="1" a="1"/>
  <c r="M6582" i="1" s="1"/>
  <c r="M6694" i="1" a="1"/>
  <c r="M6694" i="1" s="1"/>
  <c r="M6771" i="1" a="1"/>
  <c r="M6771" i="1" s="1"/>
  <c r="M6811" i="1" a="1"/>
  <c r="M6811" i="1" s="1"/>
  <c r="M6828" i="1" a="1"/>
  <c r="M6828" i="1" s="1"/>
  <c r="M6861" i="1" a="1"/>
  <c r="M6861" i="1" s="1"/>
  <c r="M6875" i="1" a="1"/>
  <c r="M6875" i="1" s="1"/>
  <c r="M6884" i="1" a="1"/>
  <c r="M6884" i="1" s="1"/>
  <c r="M6890" i="1" a="1"/>
  <c r="M6890" i="1" s="1"/>
  <c r="M6904" i="1" a="1"/>
  <c r="M6904" i="1" s="1"/>
  <c r="M6907" i="1" a="1"/>
  <c r="M6907" i="1" s="1"/>
  <c r="M6913" i="1" a="1"/>
  <c r="M6913" i="1" s="1"/>
  <c r="M6921" i="1" a="1"/>
  <c r="M6921" i="1" s="1"/>
  <c r="M6924" i="1" a="1"/>
  <c r="M6924" i="1" s="1"/>
  <c r="M6927" i="1" a="1"/>
  <c r="M6927" i="1" s="1"/>
  <c r="M6935" i="1" a="1"/>
  <c r="M6935" i="1" s="1"/>
  <c r="M6943" i="1" a="1"/>
  <c r="M6943" i="1" s="1"/>
  <c r="M6951" i="1" a="1"/>
  <c r="M6951" i="1" s="1"/>
  <c r="M6960" i="1" a="1"/>
  <c r="M6960" i="1" s="1"/>
  <c r="M6968" i="1" a="1"/>
  <c r="M6968" i="1" s="1"/>
  <c r="M6976" i="1" a="1"/>
  <c r="M6976" i="1" s="1"/>
  <c r="M6984" i="1" a="1"/>
  <c r="M6984" i="1" s="1"/>
  <c r="M6987" i="1" a="1"/>
  <c r="M6987" i="1" s="1"/>
  <c r="M6995" i="1" a="1"/>
  <c r="M6995" i="1" s="1"/>
  <c r="M6998" i="1" a="1"/>
  <c r="M6998" i="1" s="1"/>
  <c r="M7001" i="1" a="1"/>
  <c r="M7001" i="1" s="1"/>
  <c r="M7004" i="1" a="1"/>
  <c r="M7004" i="1" s="1"/>
  <c r="M7007" i="1" a="1"/>
  <c r="M7007" i="1" s="1"/>
  <c r="M7010" i="1" a="1"/>
  <c r="M7010" i="1" s="1"/>
  <c r="M7013" i="1" a="1"/>
  <c r="M7013" i="1" s="1"/>
  <c r="M7016" i="1" a="1"/>
  <c r="M7016" i="1" s="1"/>
  <c r="M7027" i="1" a="1"/>
  <c r="M7027" i="1" s="1"/>
  <c r="M7030" i="1" a="1"/>
  <c r="M7030" i="1" s="1"/>
  <c r="M7041" i="1" a="1"/>
  <c r="M7041" i="1" s="1"/>
  <c r="M7053" i="1" a="1"/>
  <c r="M7053" i="1" s="1"/>
  <c r="M7061" i="1" a="1"/>
  <c r="M7061" i="1" s="1"/>
  <c r="M7084" i="1" a="1"/>
  <c r="M7084" i="1" s="1"/>
  <c r="M7087" i="1" a="1"/>
  <c r="M7087" i="1" s="1"/>
  <c r="M7090" i="1" a="1"/>
  <c r="M7090" i="1" s="1"/>
  <c r="M7093" i="1" a="1"/>
  <c r="M7093" i="1" s="1"/>
  <c r="M7096" i="1" a="1"/>
  <c r="M7096" i="1" s="1"/>
  <c r="M7102" i="1" a="1"/>
  <c r="M7102" i="1" s="1"/>
  <c r="M7108" i="1" a="1"/>
  <c r="M7108" i="1" s="1"/>
  <c r="M7122" i="1" a="1"/>
  <c r="M7122" i="1" s="1"/>
  <c r="M7125" i="1" a="1"/>
  <c r="M7125" i="1" s="1"/>
  <c r="M7133" i="1" a="1"/>
  <c r="M7133" i="1" s="1"/>
  <c r="M7139" i="1" a="1"/>
  <c r="M7139" i="1" s="1"/>
  <c r="M7142" i="1" a="1"/>
  <c r="M7142" i="1" s="1"/>
  <c r="M7153" i="1" a="1"/>
  <c r="M7153" i="1" s="1"/>
  <c r="M7167" i="1" a="1"/>
  <c r="M7167" i="1" s="1"/>
  <c r="M7170" i="1" a="1"/>
  <c r="M7170" i="1" s="1"/>
  <c r="M7173" i="1" a="1"/>
  <c r="M7173" i="1" s="1"/>
  <c r="M7242" i="1" a="1"/>
  <c r="M7242" i="1" s="1"/>
  <c r="M7245" i="1" a="1"/>
  <c r="M7245" i="1" s="1"/>
  <c r="M7271" i="1" a="1"/>
  <c r="M7271" i="1" s="1"/>
  <c r="M7283" i="1" a="1"/>
  <c r="M7283" i="1" s="1"/>
  <c r="M7286" i="1" a="1"/>
  <c r="M7286" i="1" s="1"/>
  <c r="M7302" i="1" a="1"/>
  <c r="M7302" i="1" s="1"/>
  <c r="M7306" i="1" a="1"/>
  <c r="M7306" i="1" s="1"/>
  <c r="M7321" i="1" a="1"/>
  <c r="M7321" i="1" s="1"/>
  <c r="M7329" i="1" a="1"/>
  <c r="M7329" i="1" s="1"/>
  <c r="M7332" i="1" a="1"/>
  <c r="M7332" i="1" s="1"/>
  <c r="M7345" i="1" a="1"/>
  <c r="M7345" i="1" s="1"/>
  <c r="M7352" i="1" a="1"/>
  <c r="M7352" i="1" s="1"/>
  <c r="M7365" i="1" a="1"/>
  <c r="M7365" i="1" s="1"/>
  <c r="M6475" i="1" a="1"/>
  <c r="M6475" i="1" s="1"/>
  <c r="M6523" i="1" a="1"/>
  <c r="M6523" i="1" s="1"/>
  <c r="M6565" i="1" a="1"/>
  <c r="M6565" i="1" s="1"/>
  <c r="M6618" i="1" a="1"/>
  <c r="M6618" i="1" s="1"/>
  <c r="M6660" i="1" a="1"/>
  <c r="M6660" i="1" s="1"/>
  <c r="M6702" i="1" a="1"/>
  <c r="M6702" i="1" s="1"/>
  <c r="M6794" i="1" a="1"/>
  <c r="M6794" i="1" s="1"/>
  <c r="M6845" i="1" a="1"/>
  <c r="M6845" i="1" s="1"/>
  <c r="M6855" i="1" a="1"/>
  <c r="M6855" i="1" s="1"/>
  <c r="M6858" i="1" a="1"/>
  <c r="M6858" i="1" s="1"/>
  <c r="M6866" i="1" a="1"/>
  <c r="M6866" i="1" s="1"/>
  <c r="M6869" i="1" a="1"/>
  <c r="M6869" i="1" s="1"/>
  <c r="M6872" i="1" a="1"/>
  <c r="M6872" i="1" s="1"/>
  <c r="M6880" i="1" a="1"/>
  <c r="M6880" i="1" s="1"/>
  <c r="M6887" i="1" a="1"/>
  <c r="M6887" i="1" s="1"/>
  <c r="M6901" i="1" a="1"/>
  <c r="M6901" i="1" s="1"/>
  <c r="M6910" i="1" a="1"/>
  <c r="M6910" i="1" s="1"/>
  <c r="M6918" i="1" a="1"/>
  <c r="M6918" i="1" s="1"/>
  <c r="M6932" i="1" a="1"/>
  <c r="M6932" i="1" s="1"/>
  <c r="M6940" i="1" a="1"/>
  <c r="M6940" i="1" s="1"/>
  <c r="M6948" i="1" a="1"/>
  <c r="M6948" i="1" s="1"/>
  <c r="M6957" i="1" a="1"/>
  <c r="M6957" i="1" s="1"/>
  <c r="M6965" i="1" a="1"/>
  <c r="M6965" i="1" s="1"/>
  <c r="M6973" i="1" a="1"/>
  <c r="M6973" i="1" s="1"/>
  <c r="M6981" i="1" a="1"/>
  <c r="M6981" i="1" s="1"/>
  <c r="M6992" i="1" a="1"/>
  <c r="M6992" i="1" s="1"/>
  <c r="M7024" i="1" a="1"/>
  <c r="M7024" i="1" s="1"/>
  <c r="M7035" i="1" a="1"/>
  <c r="M7035" i="1" s="1"/>
  <c r="M7038" i="1" a="1"/>
  <c r="M7038" i="1" s="1"/>
  <c r="M7052" i="1" a="1"/>
  <c r="M7052" i="1" s="1"/>
  <c r="M7058" i="1" a="1"/>
  <c r="M7058" i="1" s="1"/>
  <c r="M7078" i="1" a="1"/>
  <c r="M7078" i="1" s="1"/>
  <c r="M7081" i="1" a="1"/>
  <c r="M7081" i="1" s="1"/>
  <c r="M7099" i="1" a="1"/>
  <c r="M7099" i="1" s="1"/>
  <c r="M7116" i="1" a="1"/>
  <c r="M7116" i="1" s="1"/>
  <c r="M7119" i="1" a="1"/>
  <c r="M7119" i="1" s="1"/>
  <c r="M7130" i="1" a="1"/>
  <c r="M7130" i="1" s="1"/>
  <c r="M7136" i="1" a="1"/>
  <c r="M7136" i="1" s="1"/>
  <c r="M7147" i="1" a="1"/>
  <c r="M7147" i="1" s="1"/>
  <c r="M7150" i="1" a="1"/>
  <c r="M7150" i="1" s="1"/>
  <c r="M7164" i="1" a="1"/>
  <c r="M7164" i="1" s="1"/>
  <c r="M7178" i="1" a="1"/>
  <c r="M7178" i="1" s="1"/>
  <c r="M7181" i="1" a="1"/>
  <c r="M7181" i="1" s="1"/>
  <c r="M7187" i="1" a="1"/>
  <c r="M7187" i="1" s="1"/>
  <c r="M7190" i="1" a="1"/>
  <c r="M7190" i="1" s="1"/>
  <c r="M7193" i="1" a="1"/>
  <c r="M7193" i="1" s="1"/>
  <c r="M7196" i="1" a="1"/>
  <c r="M7196" i="1" s="1"/>
  <c r="M7200" i="1" a="1"/>
  <c r="M7200" i="1" s="1"/>
  <c r="M7206" i="1" a="1"/>
  <c r="M7206" i="1" s="1"/>
  <c r="M7209" i="1" a="1"/>
  <c r="M7209" i="1" s="1"/>
  <c r="M7212" i="1" a="1"/>
  <c r="M7212" i="1" s="1"/>
  <c r="M7215" i="1" a="1"/>
  <c r="M7215" i="1" s="1"/>
  <c r="M7224" i="1" a="1"/>
  <c r="M7224" i="1" s="1"/>
  <c r="M7233" i="1" a="1"/>
  <c r="M7233" i="1" s="1"/>
  <c r="M7239" i="1" a="1"/>
  <c r="M7239" i="1" s="1"/>
  <c r="M7253" i="1" a="1"/>
  <c r="M7253" i="1" s="1"/>
  <c r="M7256" i="1" a="1"/>
  <c r="M7256" i="1" s="1"/>
  <c r="M7259" i="1" a="1"/>
  <c r="M7259" i="1" s="1"/>
  <c r="M7262" i="1" a="1"/>
  <c r="M7262" i="1" s="1"/>
  <c r="M7265" i="1" a="1"/>
  <c r="M7265" i="1" s="1"/>
  <c r="M7268" i="1" a="1"/>
  <c r="M7268" i="1" s="1"/>
  <c r="M7274" i="1" a="1"/>
  <c r="M7274" i="1" s="1"/>
  <c r="M7277" i="1" a="1"/>
  <c r="M7277" i="1" s="1"/>
  <c r="M7280" i="1" a="1"/>
  <c r="M7280" i="1" s="1"/>
  <c r="M7289" i="1" a="1"/>
  <c r="M7289" i="1" s="1"/>
  <c r="M7292" i="1" a="1"/>
  <c r="M7292" i="1" s="1"/>
  <c r="M7295" i="1" a="1"/>
  <c r="M7295" i="1" s="1"/>
  <c r="M7314" i="1" a="1"/>
  <c r="M7314" i="1" s="1"/>
  <c r="M7318" i="1" a="1"/>
  <c r="M7318" i="1" s="1"/>
  <c r="M7326" i="1" a="1"/>
  <c r="M7326" i="1" s="1"/>
  <c r="M6417" i="1" a="1"/>
  <c r="M6417" i="1" s="1"/>
  <c r="M6430" i="1" a="1"/>
  <c r="M6430" i="1" s="1"/>
  <c r="M6483" i="1" a="1"/>
  <c r="M6483" i="1" s="1"/>
  <c r="M6540" i="1" a="1"/>
  <c r="M6540" i="1" s="1"/>
  <c r="M6643" i="1" a="1"/>
  <c r="M6643" i="1" s="1"/>
  <c r="M6711" i="1" a="1"/>
  <c r="M6711" i="1" s="1"/>
  <c r="M6760" i="1" a="1"/>
  <c r="M6760" i="1" s="1"/>
  <c r="M6817" i="1" a="1"/>
  <c r="M6817" i="1" s="1"/>
  <c r="M6834" i="1" a="1"/>
  <c r="M6834" i="1" s="1"/>
  <c r="M6863" i="1" a="1"/>
  <c r="M6863" i="1" s="1"/>
  <c r="M6877" i="1" a="1"/>
  <c r="M6877" i="1" s="1"/>
  <c r="M6892" i="1" a="1"/>
  <c r="M6892" i="1" s="1"/>
  <c r="M6895" i="1" a="1"/>
  <c r="M6895" i="1" s="1"/>
  <c r="M6898" i="1" a="1"/>
  <c r="M6898" i="1" s="1"/>
  <c r="M6915" i="1" a="1"/>
  <c r="M6915" i="1" s="1"/>
  <c r="M6929" i="1" a="1"/>
  <c r="M6929" i="1" s="1"/>
  <c r="M6937" i="1" a="1"/>
  <c r="M6937" i="1" s="1"/>
  <c r="M6945" i="1" a="1"/>
  <c r="M6945" i="1" s="1"/>
  <c r="M6954" i="1" a="1"/>
  <c r="M6954" i="1" s="1"/>
  <c r="M6962" i="1" a="1"/>
  <c r="M6962" i="1" s="1"/>
  <c r="M6970" i="1" a="1"/>
  <c r="M6970" i="1" s="1"/>
  <c r="M6978" i="1" a="1"/>
  <c r="M6978" i="1" s="1"/>
  <c r="M6989" i="1" a="1"/>
  <c r="M6989" i="1" s="1"/>
  <c r="M7009" i="1" a="1"/>
  <c r="M7009" i="1" s="1"/>
  <c r="M7012" i="1" a="1"/>
  <c r="M7012" i="1" s="1"/>
  <c r="M7015" i="1" a="1"/>
  <c r="M7015" i="1" s="1"/>
  <c r="M7018" i="1" a="1"/>
  <c r="M7018" i="1" s="1"/>
  <c r="M7021" i="1" a="1"/>
  <c r="M7021" i="1" s="1"/>
  <c r="M7032" i="1" a="1"/>
  <c r="M7032" i="1" s="1"/>
  <c r="M7043" i="1" a="1"/>
  <c r="M7043" i="1" s="1"/>
  <c r="M7046" i="1" a="1"/>
  <c r="M7046" i="1" s="1"/>
  <c r="M7049" i="1" a="1"/>
  <c r="M7049" i="1" s="1"/>
  <c r="M7055" i="1" a="1"/>
  <c r="M7055" i="1" s="1"/>
  <c r="M7063" i="1" a="1"/>
  <c r="M7063" i="1" s="1"/>
  <c r="M7066" i="1" a="1"/>
  <c r="M7066" i="1" s="1"/>
  <c r="M7069" i="1" a="1"/>
  <c r="M7069" i="1" s="1"/>
  <c r="M7072" i="1" a="1"/>
  <c r="M7072" i="1" s="1"/>
  <c r="M7075" i="1" a="1"/>
  <c r="M7075" i="1" s="1"/>
  <c r="M7089" i="1" a="1"/>
  <c r="M7089" i="1" s="1"/>
  <c r="M7092" i="1" a="1"/>
  <c r="M7092" i="1" s="1"/>
  <c r="M7095" i="1" a="1"/>
  <c r="M7095" i="1" s="1"/>
  <c r="M7104" i="1" a="1"/>
  <c r="M7104" i="1" s="1"/>
  <c r="M7110" i="1" a="1"/>
  <c r="M7110" i="1" s="1"/>
  <c r="M7113" i="1" a="1"/>
  <c r="M7113" i="1" s="1"/>
  <c r="M7124" i="1" a="1"/>
  <c r="M7124" i="1" s="1"/>
  <c r="M7127" i="1" a="1"/>
  <c r="M7127" i="1" s="1"/>
  <c r="M7144" i="1" a="1"/>
  <c r="M7144" i="1" s="1"/>
  <c r="M7155" i="1" a="1"/>
  <c r="M7155" i="1" s="1"/>
  <c r="M7158" i="1" a="1"/>
  <c r="M7158" i="1" s="1"/>
  <c r="M7161" i="1" a="1"/>
  <c r="M7161" i="1" s="1"/>
  <c r="M7175" i="1" a="1"/>
  <c r="M7175" i="1" s="1"/>
  <c r="M7184" i="1" a="1"/>
  <c r="M7184" i="1" s="1"/>
  <c r="M7199" i="1" a="1"/>
  <c r="M7199" i="1" s="1"/>
  <c r="M7203" i="1" a="1"/>
  <c r="M7203" i="1" s="1"/>
  <c r="M7218" i="1" a="1"/>
  <c r="M7218" i="1" s="1"/>
  <c r="M7221" i="1" a="1"/>
  <c r="M7221" i="1" s="1"/>
  <c r="M7227" i="1" a="1"/>
  <c r="M7227" i="1" s="1"/>
  <c r="M7230" i="1" a="1"/>
  <c r="M7230" i="1" s="1"/>
  <c r="M7236" i="1" a="1"/>
  <c r="M7236" i="1" s="1"/>
  <c r="M7247" i="1" a="1"/>
  <c r="M7247" i="1" s="1"/>
  <c r="M7250" i="1" a="1"/>
  <c r="M7250" i="1" s="1"/>
  <c r="M7298" i="1" a="1"/>
  <c r="M7298" i="1" s="1"/>
  <c r="M7305" i="1" a="1"/>
  <c r="M7305" i="1" s="1"/>
  <c r="M7308" i="1" a="1"/>
  <c r="M7308" i="1" s="1"/>
  <c r="M7311" i="1" a="1"/>
  <c r="M7311" i="1" s="1"/>
  <c r="M7323" i="1" a="1"/>
  <c r="M7323" i="1" s="1"/>
  <c r="M7334" i="1" a="1"/>
  <c r="M7334" i="1" s="1"/>
  <c r="M7340" i="1" a="1"/>
  <c r="M7340" i="1" s="1"/>
  <c r="M7344" i="1" a="1"/>
  <c r="M7344" i="1" s="1"/>
  <c r="M7351" i="1" a="1"/>
  <c r="M7351" i="1" s="1"/>
  <c r="M7355" i="1" a="1"/>
  <c r="M7355" i="1" s="1"/>
  <c r="M7367" i="1" a="1"/>
  <c r="M7367" i="1" s="1"/>
  <c r="M6398" i="1" a="1"/>
  <c r="M6398" i="1" s="1"/>
  <c r="M6506" i="1" a="1"/>
  <c r="M6506" i="1" s="1"/>
  <c r="M6579" i="1" a="1"/>
  <c r="M6579" i="1" s="1"/>
  <c r="M6768" i="1" a="1"/>
  <c r="M6768" i="1" s="1"/>
  <c r="M6825" i="1" a="1"/>
  <c r="M6825" i="1" s="1"/>
  <c r="M6842" i="1" a="1"/>
  <c r="M6842" i="1" s="1"/>
  <c r="M6847" i="1" a="1"/>
  <c r="M6847" i="1" s="1"/>
  <c r="M6854" i="1" a="1"/>
  <c r="M6854" i="1" s="1"/>
  <c r="M6860" i="1" a="1"/>
  <c r="M6860" i="1" s="1"/>
  <c r="M6871" i="1" a="1"/>
  <c r="M6871" i="1" s="1"/>
  <c r="M6874" i="1" a="1"/>
  <c r="M6874" i="1" s="1"/>
  <c r="M6883" i="1" a="1"/>
  <c r="M6883" i="1" s="1"/>
  <c r="M6889" i="1" a="1"/>
  <c r="M6889" i="1" s="1"/>
  <c r="M6903" i="1" a="1"/>
  <c r="M6903" i="1" s="1"/>
  <c r="M6906" i="1" a="1"/>
  <c r="M6906" i="1" s="1"/>
  <c r="M6909" i="1" a="1"/>
  <c r="M6909" i="1" s="1"/>
  <c r="M6912" i="1" a="1"/>
  <c r="M6912" i="1" s="1"/>
  <c r="M6920" i="1" a="1"/>
  <c r="M6920" i="1" s="1"/>
  <c r="M6923" i="1" a="1"/>
  <c r="M6923" i="1" s="1"/>
  <c r="M6926" i="1" a="1"/>
  <c r="M6926" i="1" s="1"/>
  <c r="M6934" i="1" a="1"/>
  <c r="M6934" i="1" s="1"/>
  <c r="M6942" i="1" a="1"/>
  <c r="M6942" i="1" s="1"/>
  <c r="M6950" i="1" a="1"/>
  <c r="M6950" i="1" s="1"/>
  <c r="M6959" i="1" a="1"/>
  <c r="M6959" i="1" s="1"/>
  <c r="M6967" i="1" a="1"/>
  <c r="M6967" i="1" s="1"/>
  <c r="M6975" i="1" a="1"/>
  <c r="M6975" i="1" s="1"/>
  <c r="M6983" i="1" a="1"/>
  <c r="M6983" i="1" s="1"/>
  <c r="M6986" i="1" a="1"/>
  <c r="M6986" i="1" s="1"/>
  <c r="M6994" i="1" a="1"/>
  <c r="M6994" i="1" s="1"/>
  <c r="M6997" i="1" a="1"/>
  <c r="M6997" i="1" s="1"/>
  <c r="M7000" i="1" a="1"/>
  <c r="M7000" i="1" s="1"/>
  <c r="M7003" i="1" a="1"/>
  <c r="M7003" i="1" s="1"/>
  <c r="M7006" i="1" a="1"/>
  <c r="M7006" i="1" s="1"/>
  <c r="M7026" i="1" a="1"/>
  <c r="M7026" i="1" s="1"/>
  <c r="M7029" i="1" a="1"/>
  <c r="M7029" i="1" s="1"/>
  <c r="M7040" i="1" a="1"/>
  <c r="M7040" i="1" s="1"/>
  <c r="M7060" i="1" a="1"/>
  <c r="M7060" i="1" s="1"/>
  <c r="M7083" i="1" a="1"/>
  <c r="M7083" i="1" s="1"/>
  <c r="M7086" i="1" a="1"/>
  <c r="M7086" i="1" s="1"/>
  <c r="M7098" i="1" a="1"/>
  <c r="M7098" i="1" s="1"/>
  <c r="M7101" i="1" a="1"/>
  <c r="M7101" i="1" s="1"/>
  <c r="M7107" i="1" a="1"/>
  <c r="M7107" i="1" s="1"/>
  <c r="M7118" i="1" a="1"/>
  <c r="M7118" i="1" s="1"/>
  <c r="M7121" i="1" a="1"/>
  <c r="M7121" i="1" s="1"/>
  <c r="M7132" i="1" a="1"/>
  <c r="M7132" i="1" s="1"/>
  <c r="M7138" i="1" a="1"/>
  <c r="M7138" i="1" s="1"/>
  <c r="M7141" i="1" a="1"/>
  <c r="M7141" i="1" s="1"/>
  <c r="M7149" i="1" a="1"/>
  <c r="M7149" i="1" s="1"/>
  <c r="M7152" i="1" a="1"/>
  <c r="M7152" i="1" s="1"/>
  <c r="M7166" i="1" a="1"/>
  <c r="M7166" i="1" s="1"/>
  <c r="M7169" i="1" a="1"/>
  <c r="M7169" i="1" s="1"/>
  <c r="M7172" i="1" a="1"/>
  <c r="M7172" i="1" s="1"/>
  <c r="M7180" i="1" a="1"/>
  <c r="M7180" i="1" s="1"/>
  <c r="M7195" i="1" a="1"/>
  <c r="M7195" i="1" s="1"/>
  <c r="M7208" i="1" a="1"/>
  <c r="M7208" i="1" s="1"/>
  <c r="M7241" i="1" a="1"/>
  <c r="M7241" i="1" s="1"/>
  <c r="M7244" i="1" a="1"/>
  <c r="M7244" i="1" s="1"/>
  <c r="M7255" i="1" a="1"/>
  <c r="M7255" i="1" s="1"/>
  <c r="M7270" i="1" a="1"/>
  <c r="M7270" i="1" s="1"/>
  <c r="M7273" i="1" a="1"/>
  <c r="M7273" i="1" s="1"/>
  <c r="M7276" i="1" a="1"/>
  <c r="M7276" i="1" s="1"/>
  <c r="M7279" i="1" a="1"/>
  <c r="M7279" i="1" s="1"/>
  <c r="M7263" i="1" a="1"/>
  <c r="M7263" i="1" s="1"/>
  <c r="M7282" i="1" a="1"/>
  <c r="M7282" i="1" s="1"/>
  <c r="M7312" i="1" a="1"/>
  <c r="M7312" i="1" s="1"/>
  <c r="M7331" i="1" a="1"/>
  <c r="M7331" i="1" s="1"/>
  <c r="M7346" i="1" a="1"/>
  <c r="M7346" i="1" s="1"/>
  <c r="M7349" i="1" a="1"/>
  <c r="M7349" i="1" s="1"/>
  <c r="M7357" i="1" a="1"/>
  <c r="M7357" i="1" s="1"/>
  <c r="M7360" i="1" a="1"/>
  <c r="M7360" i="1" s="1"/>
  <c r="M7371" i="1" a="1"/>
  <c r="M7371" i="1" s="1"/>
  <c r="M7381" i="1" a="1"/>
  <c r="M7381" i="1" s="1"/>
  <c r="M7384" i="1" a="1"/>
  <c r="M7384" i="1" s="1"/>
  <c r="M7399" i="1" a="1"/>
  <c r="M7399" i="1" s="1"/>
  <c r="M7402" i="1" a="1"/>
  <c r="M7402" i="1" s="1"/>
  <c r="M7414" i="1" a="1"/>
  <c r="M7414" i="1" s="1"/>
  <c r="M7421" i="1" a="1"/>
  <c r="M7421" i="1" s="1"/>
  <c r="M7453" i="1" a="1"/>
  <c r="M7453" i="1" s="1"/>
  <c r="M7464" i="1" a="1"/>
  <c r="M7464" i="1" s="1"/>
  <c r="M7470" i="1" a="1"/>
  <c r="M7470" i="1" s="1"/>
  <c r="M7478" i="1" a="1"/>
  <c r="M7478" i="1" s="1"/>
  <c r="M7503" i="1" a="1"/>
  <c r="M7503" i="1" s="1"/>
  <c r="M7506" i="1" a="1"/>
  <c r="M7506" i="1" s="1"/>
  <c r="M7509" i="1" a="1"/>
  <c r="M7509" i="1" s="1"/>
  <c r="M7520" i="1" a="1"/>
  <c r="M7520" i="1" s="1"/>
  <c r="M7529" i="1" a="1"/>
  <c r="M7529" i="1" s="1"/>
  <c r="M7532" i="1" a="1"/>
  <c r="M7532" i="1" s="1"/>
  <c r="M7541" i="1" a="1"/>
  <c r="M7541" i="1" s="1"/>
  <c r="M7549" i="1" a="1"/>
  <c r="M7549" i="1" s="1"/>
  <c r="M7569" i="1" a="1"/>
  <c r="M7569" i="1" s="1"/>
  <c r="M7589" i="1" a="1"/>
  <c r="M7589" i="1" s="1"/>
  <c r="M7592" i="1" a="1"/>
  <c r="M7592" i="1" s="1"/>
  <c r="M7606" i="1" a="1"/>
  <c r="M7606" i="1" s="1"/>
  <c r="M7609" i="1" a="1"/>
  <c r="M7609" i="1" s="1"/>
  <c r="M7632" i="1" a="1"/>
  <c r="M7632" i="1" s="1"/>
  <c r="M7640" i="1" a="1"/>
  <c r="M7640" i="1" s="1"/>
  <c r="M7654" i="1" a="1"/>
  <c r="M7654" i="1" s="1"/>
  <c r="M7657" i="1" a="1"/>
  <c r="M7657" i="1" s="1"/>
  <c r="M7674" i="1" a="1"/>
  <c r="M7674" i="1" s="1"/>
  <c r="M7680" i="1" a="1"/>
  <c r="M7680" i="1" s="1"/>
  <c r="M7683" i="1" a="1"/>
  <c r="M7683" i="1" s="1"/>
  <c r="M7686" i="1" a="1"/>
  <c r="M7686" i="1" s="1"/>
  <c r="M7689" i="1" a="1"/>
  <c r="M7689" i="1" s="1"/>
  <c r="M7695" i="1" a="1"/>
  <c r="M7695" i="1" s="1"/>
  <c r="M7703" i="1" a="1"/>
  <c r="M7703" i="1" s="1"/>
  <c r="M7726" i="1" a="1"/>
  <c r="M7726" i="1" s="1"/>
  <c r="M7729" i="1" a="1"/>
  <c r="M7729" i="1" s="1"/>
  <c r="M7732" i="1" a="1"/>
  <c r="M7732" i="1" s="1"/>
  <c r="M7735" i="1" a="1"/>
  <c r="M7735" i="1" s="1"/>
  <c r="M7738" i="1" a="1"/>
  <c r="M7738" i="1" s="1"/>
  <c r="M7749" i="1" a="1"/>
  <c r="M7749" i="1" s="1"/>
  <c r="M7752" i="1" a="1"/>
  <c r="M7752" i="1" s="1"/>
  <c r="M7772" i="1" a="1"/>
  <c r="M7772" i="1" s="1"/>
  <c r="M7775" i="1" a="1"/>
  <c r="M7775" i="1" s="1"/>
  <c r="M7778" i="1" a="1"/>
  <c r="M7778" i="1" s="1"/>
  <c r="M7784" i="1" a="1"/>
  <c r="M7784" i="1" s="1"/>
  <c r="M7787" i="1" a="1"/>
  <c r="M7787" i="1" s="1"/>
  <c r="M7790" i="1" a="1"/>
  <c r="M7790" i="1" s="1"/>
  <c r="M7831" i="1" a="1"/>
  <c r="M7831" i="1" s="1"/>
  <c r="M7843" i="1" a="1"/>
  <c r="M7843" i="1" s="1"/>
  <c r="M7851" i="1" a="1"/>
  <c r="M7851" i="1" s="1"/>
  <c r="M7854" i="1" a="1"/>
  <c r="M7854" i="1" s="1"/>
  <c r="M7319" i="1" a="1"/>
  <c r="M7319" i="1" s="1"/>
  <c r="M7328" i="1" a="1"/>
  <c r="M7328" i="1" s="1"/>
  <c r="M7335" i="1" a="1"/>
  <c r="M7335" i="1" s="1"/>
  <c r="M7374" i="1" a="1"/>
  <c r="M7374" i="1" s="1"/>
  <c r="M7378" i="1" a="1"/>
  <c r="M7378" i="1" s="1"/>
  <c r="M7392" i="1" a="1"/>
  <c r="M7392" i="1" s="1"/>
  <c r="M7395" i="1" a="1"/>
  <c r="M7395" i="1" s="1"/>
  <c r="M7407" i="1" a="1"/>
  <c r="M7407" i="1" s="1"/>
  <c r="M7410" i="1" a="1"/>
  <c r="M7410" i="1" s="1"/>
  <c r="M7413" i="1" a="1"/>
  <c r="M7413" i="1" s="1"/>
  <c r="M7417" i="1" a="1"/>
  <c r="M7417" i="1" s="1"/>
  <c r="M7420" i="1" a="1"/>
  <c r="M7420" i="1" s="1"/>
  <c r="M7424" i="1" a="1"/>
  <c r="M7424" i="1" s="1"/>
  <c r="M7430" i="1" a="1"/>
  <c r="M7430" i="1" s="1"/>
  <c r="M7433" i="1" a="1"/>
  <c r="M7433" i="1" s="1"/>
  <c r="M7436" i="1" a="1"/>
  <c r="M7436" i="1" s="1"/>
  <c r="M7439" i="1" a="1"/>
  <c r="M7439" i="1" s="1"/>
  <c r="M7443" i="1" a="1"/>
  <c r="M7443" i="1" s="1"/>
  <c r="M7446" i="1" a="1"/>
  <c r="M7446" i="1" s="1"/>
  <c r="M7461" i="1" a="1"/>
  <c r="M7461" i="1" s="1"/>
  <c r="M7475" i="1" a="1"/>
  <c r="M7475" i="1" s="1"/>
  <c r="M7484" i="1" a="1"/>
  <c r="M7484" i="1" s="1"/>
  <c r="M7487" i="1" a="1"/>
  <c r="M7487" i="1" s="1"/>
  <c r="M7493" i="1" a="1"/>
  <c r="M7493" i="1" s="1"/>
  <c r="M7499" i="1" a="1"/>
  <c r="M7499" i="1" s="1"/>
  <c r="M7514" i="1" a="1"/>
  <c r="M7514" i="1" s="1"/>
  <c r="M7517" i="1" a="1"/>
  <c r="M7517" i="1" s="1"/>
  <c r="M7525" i="1" a="1"/>
  <c r="M7525" i="1" s="1"/>
  <c r="M7537" i="1" a="1"/>
  <c r="M7537" i="1" s="1"/>
  <c r="M7540" i="1" a="1"/>
  <c r="M7540" i="1" s="1"/>
  <c r="M7546" i="1" a="1"/>
  <c r="M7546" i="1" s="1"/>
  <c r="M7560" i="1" a="1"/>
  <c r="M7560" i="1" s="1"/>
  <c r="M7566" i="1" a="1"/>
  <c r="M7566" i="1" s="1"/>
  <c r="M7574" i="1" a="1"/>
  <c r="M7574" i="1" s="1"/>
  <c r="M7580" i="1" a="1"/>
  <c r="M7580" i="1" s="1"/>
  <c r="M7583" i="1" a="1"/>
  <c r="M7583" i="1" s="1"/>
  <c r="M7586" i="1" a="1"/>
  <c r="M7586" i="1" s="1"/>
  <c r="M7597" i="1" a="1"/>
  <c r="M7597" i="1" s="1"/>
  <c r="M7600" i="1" a="1"/>
  <c r="M7600" i="1" s="1"/>
  <c r="M7603" i="1" a="1"/>
  <c r="M7603" i="1" s="1"/>
  <c r="M7614" i="1" a="1"/>
  <c r="M7614" i="1" s="1"/>
  <c r="M7629" i="1" a="1"/>
  <c r="M7629" i="1" s="1"/>
  <c r="M7637" i="1" a="1"/>
  <c r="M7637" i="1" s="1"/>
  <c r="M7645" i="1" a="1"/>
  <c r="M7645" i="1" s="1"/>
  <c r="M7648" i="1" a="1"/>
  <c r="M7648" i="1" s="1"/>
  <c r="M7651" i="1" a="1"/>
  <c r="M7651" i="1" s="1"/>
  <c r="M7662" i="1" a="1"/>
  <c r="M7662" i="1" s="1"/>
  <c r="M7665" i="1" a="1"/>
  <c r="M7665" i="1" s="1"/>
  <c r="M7668" i="1" a="1"/>
  <c r="M7668" i="1" s="1"/>
  <c r="M7671" i="1" a="1"/>
  <c r="M7671" i="1" s="1"/>
  <c r="M7700" i="1" a="1"/>
  <c r="M7700" i="1" s="1"/>
  <c r="M7708" i="1" a="1"/>
  <c r="M7708" i="1" s="1"/>
  <c r="M7717" i="1" a="1"/>
  <c r="M7717" i="1" s="1"/>
  <c r="M7720" i="1" a="1"/>
  <c r="M7720" i="1" s="1"/>
  <c r="M7723" i="1" a="1"/>
  <c r="M7723" i="1" s="1"/>
  <c r="M7309" i="1" a="1"/>
  <c r="M7309" i="1" s="1"/>
  <c r="M7337" i="1" a="1"/>
  <c r="M7337" i="1" s="1"/>
  <c r="M7359" i="1" a="1"/>
  <c r="M7359" i="1" s="1"/>
  <c r="M7362" i="1" a="1"/>
  <c r="M7362" i="1" s="1"/>
  <c r="M7383" i="1" a="1"/>
  <c r="M7383" i="1" s="1"/>
  <c r="M7386" i="1" a="1"/>
  <c r="M7386" i="1" s="1"/>
  <c r="M7389" i="1" a="1"/>
  <c r="M7389" i="1" s="1"/>
  <c r="M7398" i="1" a="1"/>
  <c r="M7398" i="1" s="1"/>
  <c r="M7404" i="1" a="1"/>
  <c r="M7404" i="1" s="1"/>
  <c r="M7427" i="1" a="1"/>
  <c r="M7427" i="1" s="1"/>
  <c r="M7449" i="1" a="1"/>
  <c r="M7449" i="1" s="1"/>
  <c r="M7452" i="1" a="1"/>
  <c r="M7452" i="1" s="1"/>
  <c r="M7455" i="1" a="1"/>
  <c r="M7455" i="1" s="1"/>
  <c r="M7458" i="1" a="1"/>
  <c r="M7458" i="1" s="1"/>
  <c r="M7466" i="1" a="1"/>
  <c r="M7466" i="1" s="1"/>
  <c r="M7469" i="1" a="1"/>
  <c r="M7469" i="1" s="1"/>
  <c r="M7472" i="1" a="1"/>
  <c r="M7472" i="1" s="1"/>
  <c r="M7481" i="1" a="1"/>
  <c r="M7481" i="1" s="1"/>
  <c r="M7490" i="1" a="1"/>
  <c r="M7490" i="1" s="1"/>
  <c r="M7496" i="1" a="1"/>
  <c r="M7496" i="1" s="1"/>
  <c r="M7502" i="1" a="1"/>
  <c r="M7502" i="1" s="1"/>
  <c r="M7505" i="1" a="1"/>
  <c r="M7505" i="1" s="1"/>
  <c r="M7508" i="1" a="1"/>
  <c r="M7508" i="1" s="1"/>
  <c r="M7511" i="1" a="1"/>
  <c r="M7511" i="1" s="1"/>
  <c r="M7522" i="1" a="1"/>
  <c r="M7522" i="1" s="1"/>
  <c r="M7528" i="1" a="1"/>
  <c r="M7528" i="1" s="1"/>
  <c r="M7534" i="1" a="1"/>
  <c r="M7534" i="1" s="1"/>
  <c r="M7543" i="1" a="1"/>
  <c r="M7543" i="1" s="1"/>
  <c r="M7551" i="1" a="1"/>
  <c r="M7551" i="1" s="1"/>
  <c r="M7554" i="1" a="1"/>
  <c r="M7554" i="1" s="1"/>
  <c r="M7557" i="1" a="1"/>
  <c r="M7557" i="1" s="1"/>
  <c r="M7563" i="1" a="1"/>
  <c r="M7563" i="1" s="1"/>
  <c r="M7571" i="1" a="1"/>
  <c r="M7571" i="1" s="1"/>
  <c r="M7577" i="1" a="1"/>
  <c r="M7577" i="1" s="1"/>
  <c r="M7594" i="1" a="1"/>
  <c r="M7594" i="1" s="1"/>
  <c r="M7611" i="1" a="1"/>
  <c r="M7611" i="1" s="1"/>
  <c r="M7617" i="1" a="1"/>
  <c r="M7617" i="1" s="1"/>
  <c r="M7620" i="1" a="1"/>
  <c r="M7620" i="1" s="1"/>
  <c r="M7623" i="1" a="1"/>
  <c r="M7623" i="1" s="1"/>
  <c r="M7626" i="1" a="1"/>
  <c r="M7626" i="1" s="1"/>
  <c r="M7634" i="1" a="1"/>
  <c r="M7634" i="1" s="1"/>
  <c r="M7642" i="1" a="1"/>
  <c r="M7642" i="1" s="1"/>
  <c r="M7659" i="1" a="1"/>
  <c r="M7659" i="1" s="1"/>
  <c r="M7676" i="1" a="1"/>
  <c r="M7676" i="1" s="1"/>
  <c r="M7679" i="1" a="1"/>
  <c r="M7679" i="1" s="1"/>
  <c r="M7682" i="1" a="1"/>
  <c r="M7682" i="1" s="1"/>
  <c r="M7685" i="1" a="1"/>
  <c r="M7685" i="1" s="1"/>
  <c r="M7688" i="1" a="1"/>
  <c r="M7688" i="1" s="1"/>
  <c r="M7691" i="1" a="1"/>
  <c r="M7691" i="1" s="1"/>
  <c r="M7694" i="1" a="1"/>
  <c r="M7694" i="1" s="1"/>
  <c r="M7697" i="1" a="1"/>
  <c r="M7697" i="1" s="1"/>
  <c r="M7705" i="1" a="1"/>
  <c r="M7705" i="1" s="1"/>
  <c r="M7711" i="1" a="1"/>
  <c r="M7711" i="1" s="1"/>
  <c r="M7714" i="1" a="1"/>
  <c r="M7714" i="1" s="1"/>
  <c r="M7728" i="1" a="1"/>
  <c r="M7728" i="1" s="1"/>
  <c r="M7734" i="1" a="1"/>
  <c r="M7734" i="1" s="1"/>
  <c r="M7740" i="1" a="1"/>
  <c r="M7740" i="1" s="1"/>
  <c r="M7743" i="1" a="1"/>
  <c r="M7743" i="1" s="1"/>
  <c r="M7754" i="1" a="1"/>
  <c r="M7754" i="1" s="1"/>
  <c r="M7774" i="1" a="1"/>
  <c r="M7774" i="1" s="1"/>
  <c r="M7780" i="1" a="1"/>
  <c r="M7780" i="1" s="1"/>
  <c r="M7786" i="1" a="1"/>
  <c r="M7786" i="1" s="1"/>
  <c r="M7789" i="1" a="1"/>
  <c r="M7789" i="1" s="1"/>
  <c r="M7792" i="1" a="1"/>
  <c r="M7792" i="1" s="1"/>
  <c r="M7795" i="1" a="1"/>
  <c r="M7795" i="1" s="1"/>
  <c r="M7798" i="1" a="1"/>
  <c r="M7798" i="1" s="1"/>
  <c r="M7801" i="1" a="1"/>
  <c r="M7801" i="1" s="1"/>
  <c r="M7807" i="1" a="1"/>
  <c r="M7807" i="1" s="1"/>
  <c r="M7810" i="1" a="1"/>
  <c r="M7810" i="1" s="1"/>
  <c r="M7813" i="1" a="1"/>
  <c r="M7813" i="1" s="1"/>
  <c r="M7833" i="1" a="1"/>
  <c r="M7833" i="1" s="1"/>
  <c r="M7836" i="1" a="1"/>
  <c r="M7836" i="1" s="1"/>
  <c r="M7839" i="1" a="1"/>
  <c r="M7839" i="1" s="1"/>
  <c r="M7845" i="1" a="1"/>
  <c r="M7845" i="1" s="1"/>
  <c r="M7304" i="1" a="1"/>
  <c r="M7304" i="1" s="1"/>
  <c r="M7330" i="1" a="1"/>
  <c r="M7330" i="1" s="1"/>
  <c r="M7348" i="1" a="1"/>
  <c r="M7348" i="1" s="1"/>
  <c r="M7356" i="1" a="1"/>
  <c r="M7356" i="1" s="1"/>
  <c r="M7370" i="1" a="1"/>
  <c r="M7370" i="1" s="1"/>
  <c r="M7380" i="1" a="1"/>
  <c r="M7380" i="1" s="1"/>
  <c r="M7401" i="1" a="1"/>
  <c r="M7401" i="1" s="1"/>
  <c r="M7412" i="1" a="1"/>
  <c r="M7412" i="1" s="1"/>
  <c r="M7416" i="1" a="1"/>
  <c r="M7416" i="1" s="1"/>
  <c r="M7419" i="1" a="1"/>
  <c r="M7419" i="1" s="1"/>
  <c r="M7423" i="1" a="1"/>
  <c r="M7423" i="1" s="1"/>
  <c r="M7463" i="1" a="1"/>
  <c r="M7463" i="1" s="1"/>
  <c r="M7477" i="1" a="1"/>
  <c r="M7477" i="1" s="1"/>
  <c r="M7480" i="1" a="1"/>
  <c r="M7480" i="1" s="1"/>
  <c r="M7486" i="1" a="1"/>
  <c r="M7486" i="1" s="1"/>
  <c r="M7501" i="1" a="1"/>
  <c r="M7501" i="1" s="1"/>
  <c r="M7519" i="1" a="1"/>
  <c r="M7519" i="1" s="1"/>
  <c r="M7531" i="1" a="1"/>
  <c r="M7531" i="1" s="1"/>
  <c r="M7539" i="1" a="1"/>
  <c r="M7539" i="1" s="1"/>
  <c r="M7548" i="1" a="1"/>
  <c r="M7548" i="1" s="1"/>
  <c r="M7568" i="1" a="1"/>
  <c r="M7568" i="1" s="1"/>
  <c r="M7588" i="1" a="1"/>
  <c r="M7588" i="1" s="1"/>
  <c r="M7591" i="1" a="1"/>
  <c r="M7591" i="1" s="1"/>
  <c r="M7599" i="1" a="1"/>
  <c r="M7599" i="1" s="1"/>
  <c r="M7602" i="1" a="1"/>
  <c r="M7602" i="1" s="1"/>
  <c r="M7605" i="1" a="1"/>
  <c r="M7605" i="1" s="1"/>
  <c r="M7608" i="1" a="1"/>
  <c r="M7608" i="1" s="1"/>
  <c r="M7631" i="1" a="1"/>
  <c r="M7631" i="1" s="1"/>
  <c r="M7639" i="1" a="1"/>
  <c r="M7639" i="1" s="1"/>
  <c r="M7647" i="1" a="1"/>
  <c r="M7647" i="1" s="1"/>
  <c r="M7653" i="1" a="1"/>
  <c r="M7653" i="1" s="1"/>
  <c r="M7656" i="1" a="1"/>
  <c r="M7656" i="1" s="1"/>
  <c r="M7670" i="1" a="1"/>
  <c r="M7670" i="1" s="1"/>
  <c r="M7673" i="1" a="1"/>
  <c r="M7673" i="1" s="1"/>
  <c r="M7702" i="1" a="1"/>
  <c r="M7702" i="1" s="1"/>
  <c r="M7722" i="1" a="1"/>
  <c r="M7722" i="1" s="1"/>
  <c r="M7725" i="1" a="1"/>
  <c r="M7725" i="1" s="1"/>
  <c r="M7731" i="1" a="1"/>
  <c r="M7731" i="1" s="1"/>
  <c r="M7737" i="1" a="1"/>
  <c r="M7737" i="1" s="1"/>
  <c r="M7748" i="1" a="1"/>
  <c r="M7748" i="1" s="1"/>
  <c r="M7751" i="1" a="1"/>
  <c r="M7751" i="1" s="1"/>
  <c r="M7759" i="1" a="1"/>
  <c r="M7759" i="1" s="1"/>
  <c r="M7762" i="1" a="1"/>
  <c r="M7762" i="1" s="1"/>
  <c r="M7765" i="1" a="1"/>
  <c r="M7765" i="1" s="1"/>
  <c r="M7768" i="1" a="1"/>
  <c r="M7768" i="1" s="1"/>
  <c r="M7771" i="1" a="1"/>
  <c r="M7771" i="1" s="1"/>
  <c r="M7777" i="1" a="1"/>
  <c r="M7777" i="1" s="1"/>
  <c r="M7783" i="1" a="1"/>
  <c r="M7783" i="1" s="1"/>
  <c r="M7818" i="1" a="1"/>
  <c r="M7818" i="1" s="1"/>
  <c r="M7821" i="1" a="1"/>
  <c r="M7821" i="1" s="1"/>
  <c r="M7824" i="1" a="1"/>
  <c r="M7824" i="1" s="1"/>
  <c r="M7827" i="1" a="1"/>
  <c r="M7827" i="1" s="1"/>
  <c r="M7830" i="1" a="1"/>
  <c r="M7830" i="1" s="1"/>
  <c r="M7842" i="1" a="1"/>
  <c r="M7842" i="1" s="1"/>
  <c r="M7850" i="1" a="1"/>
  <c r="M7850" i="1" s="1"/>
  <c r="M7870" i="1" a="1"/>
  <c r="M7870" i="1" s="1"/>
  <c r="M7876" i="1" a="1"/>
  <c r="M7876" i="1" s="1"/>
  <c r="M7879" i="1" a="1"/>
  <c r="M7879" i="1" s="1"/>
  <c r="M7882" i="1" a="1"/>
  <c r="M7882" i="1" s="1"/>
  <c r="M7327" i="1" a="1"/>
  <c r="M7327" i="1" s="1"/>
  <c r="M7339" i="1" a="1"/>
  <c r="M7339" i="1" s="1"/>
  <c r="M7342" i="1" a="1"/>
  <c r="M7342" i="1" s="1"/>
  <c r="M7373" i="1" a="1"/>
  <c r="M7373" i="1" s="1"/>
  <c r="M7377" i="1" a="1"/>
  <c r="M7377" i="1" s="1"/>
  <c r="M7388" i="1" a="1"/>
  <c r="M7388" i="1" s="1"/>
  <c r="M7391" i="1" a="1"/>
  <c r="M7391" i="1" s="1"/>
  <c r="M7394" i="1" a="1"/>
  <c r="M7394" i="1" s="1"/>
  <c r="M7397" i="1" a="1"/>
  <c r="M7397" i="1" s="1"/>
  <c r="M7406" i="1" a="1"/>
  <c r="M7406" i="1" s="1"/>
  <c r="M7409" i="1" a="1"/>
  <c r="M7409" i="1" s="1"/>
  <c r="M7429" i="1" a="1"/>
  <c r="M7429" i="1" s="1"/>
  <c r="M7432" i="1" a="1"/>
  <c r="M7432" i="1" s="1"/>
  <c r="M7435" i="1" a="1"/>
  <c r="M7435" i="1" s="1"/>
  <c r="M7438" i="1" a="1"/>
  <c r="M7438" i="1" s="1"/>
  <c r="M7442" i="1" a="1"/>
  <c r="M7442" i="1" s="1"/>
  <c r="M7445" i="1" a="1"/>
  <c r="M7445" i="1" s="1"/>
  <c r="M7448" i="1" a="1"/>
  <c r="M7448" i="1" s="1"/>
  <c r="M7451" i="1" a="1"/>
  <c r="M7451" i="1" s="1"/>
  <c r="M7457" i="1" a="1"/>
  <c r="M7457" i="1" s="1"/>
  <c r="M7460" i="1" a="1"/>
  <c r="M7460" i="1" s="1"/>
  <c r="M7474" i="1" a="1"/>
  <c r="M7474" i="1" s="1"/>
  <c r="M7483" i="1" a="1"/>
  <c r="M7483" i="1" s="1"/>
  <c r="M7492" i="1" a="1"/>
  <c r="M7492" i="1" s="1"/>
  <c r="M7498" i="1" a="1"/>
  <c r="M7498" i="1" s="1"/>
  <c r="M7513" i="1" a="1"/>
  <c r="M7513" i="1" s="1"/>
  <c r="M7516" i="1" a="1"/>
  <c r="M7516" i="1" s="1"/>
  <c r="M7524" i="1" a="1"/>
  <c r="M7524" i="1" s="1"/>
  <c r="M7527" i="1" a="1"/>
  <c r="M7527" i="1" s="1"/>
  <c r="M7536" i="1" a="1"/>
  <c r="M7536" i="1" s="1"/>
  <c r="M7545" i="1" a="1"/>
  <c r="M7545" i="1" s="1"/>
  <c r="M7553" i="1" a="1"/>
  <c r="M7553" i="1" s="1"/>
  <c r="M7556" i="1" a="1"/>
  <c r="M7556" i="1" s="1"/>
  <c r="M7559" i="1" a="1"/>
  <c r="M7559" i="1" s="1"/>
  <c r="M7565" i="1" a="1"/>
  <c r="M7565" i="1" s="1"/>
  <c r="M7573" i="1" a="1"/>
  <c r="M7573" i="1" s="1"/>
  <c r="M7576" i="1" a="1"/>
  <c r="M7576" i="1" s="1"/>
  <c r="M7579" i="1" a="1"/>
  <c r="M7579" i="1" s="1"/>
  <c r="M7582" i="1" a="1"/>
  <c r="M7582" i="1" s="1"/>
  <c r="M7585" i="1" a="1"/>
  <c r="M7585" i="1" s="1"/>
  <c r="M7596" i="1" a="1"/>
  <c r="M7596" i="1" s="1"/>
  <c r="M7613" i="1" a="1"/>
  <c r="M7613" i="1" s="1"/>
  <c r="M7628" i="1" a="1"/>
  <c r="M7628" i="1" s="1"/>
  <c r="M7636" i="1" a="1"/>
  <c r="M7636" i="1" s="1"/>
  <c r="M7644" i="1" a="1"/>
  <c r="M7644" i="1" s="1"/>
  <c r="M7650" i="1" a="1"/>
  <c r="M7650" i="1" s="1"/>
  <c r="M7661" i="1" a="1"/>
  <c r="M7661" i="1" s="1"/>
  <c r="M7664" i="1" a="1"/>
  <c r="M7664" i="1" s="1"/>
  <c r="M7667" i="1" a="1"/>
  <c r="M7667" i="1" s="1"/>
  <c r="M7678" i="1" a="1"/>
  <c r="M7678" i="1" s="1"/>
  <c r="M7693" i="1" a="1"/>
  <c r="M7693" i="1" s="1"/>
  <c r="M7699" i="1" a="1"/>
  <c r="M7699" i="1" s="1"/>
  <c r="M7707" i="1" a="1"/>
  <c r="M7707" i="1" s="1"/>
  <c r="M7710" i="1" a="1"/>
  <c r="M7710" i="1" s="1"/>
  <c r="M7716" i="1" a="1"/>
  <c r="M7716" i="1" s="1"/>
  <c r="M7719" i="1" a="1"/>
  <c r="M7719" i="1" s="1"/>
  <c r="M7745" i="1" a="1"/>
  <c r="M7745" i="1" s="1"/>
  <c r="M7756" i="1" a="1"/>
  <c r="M7756" i="1" s="1"/>
  <c r="M7797" i="1" a="1"/>
  <c r="M7797" i="1" s="1"/>
  <c r="M7800" i="1" a="1"/>
  <c r="M7800" i="1" s="1"/>
  <c r="M7803" i="1" a="1"/>
  <c r="M7803" i="1" s="1"/>
  <c r="M7815" i="1" a="1"/>
  <c r="M7815" i="1" s="1"/>
  <c r="M7847" i="1" a="1"/>
  <c r="M7847" i="1" s="1"/>
  <c r="M7858" i="1" a="1"/>
  <c r="M7858" i="1" s="1"/>
  <c r="M7861" i="1" a="1"/>
  <c r="M7861" i="1" s="1"/>
  <c r="M7864" i="1" a="1"/>
  <c r="M7864" i="1" s="1"/>
  <c r="M7867" i="1" a="1"/>
  <c r="M7867" i="1" s="1"/>
  <c r="M7887" i="1" a="1"/>
  <c r="M7887" i="1" s="1"/>
  <c r="M7285" i="1" a="1"/>
  <c r="M7285" i="1" s="1"/>
  <c r="M7294" i="1" a="1"/>
  <c r="M7294" i="1" s="1"/>
  <c r="M7299" i="1" a="1"/>
  <c r="M7299" i="1" s="1"/>
  <c r="M7347" i="1" a="1"/>
  <c r="M7347" i="1" s="1"/>
  <c r="M7350" i="1" a="1"/>
  <c r="M7350" i="1" s="1"/>
  <c r="M7358" i="1" a="1"/>
  <c r="M7358" i="1" s="1"/>
  <c r="M7361" i="1" a="1"/>
  <c r="M7361" i="1" s="1"/>
  <c r="M7364" i="1" a="1"/>
  <c r="M7364" i="1" s="1"/>
  <c r="M7369" i="1" a="1"/>
  <c r="M7369" i="1" s="1"/>
  <c r="M7376" i="1" a="1"/>
  <c r="M7376" i="1" s="1"/>
  <c r="M7382" i="1" a="1"/>
  <c r="M7382" i="1" s="1"/>
  <c r="M7385" i="1" a="1"/>
  <c r="M7385" i="1" s="1"/>
  <c r="M7400" i="1" a="1"/>
  <c r="M7400" i="1" s="1"/>
  <c r="M7403" i="1" a="1"/>
  <c r="M7403" i="1" s="1"/>
  <c r="M7426" i="1" a="1"/>
  <c r="M7426" i="1" s="1"/>
  <c r="M7454" i="1" a="1"/>
  <c r="M7454" i="1" s="1"/>
  <c r="M7465" i="1" a="1"/>
  <c r="M7465" i="1" s="1"/>
  <c r="M7468" i="1" a="1"/>
  <c r="M7468" i="1" s="1"/>
  <c r="M7471" i="1" a="1"/>
  <c r="M7471" i="1" s="1"/>
  <c r="M7479" i="1" a="1"/>
  <c r="M7479" i="1" s="1"/>
  <c r="M7489" i="1" a="1"/>
  <c r="M7489" i="1" s="1"/>
  <c r="M7495" i="1" a="1"/>
  <c r="M7495" i="1" s="1"/>
  <c r="M7504" i="1" a="1"/>
  <c r="M7504" i="1" s="1"/>
  <c r="M7507" i="1" a="1"/>
  <c r="M7507" i="1" s="1"/>
  <c r="M7510" i="1" a="1"/>
  <c r="M7510" i="1" s="1"/>
  <c r="M7521" i="1" a="1"/>
  <c r="M7521" i="1" s="1"/>
  <c r="M7530" i="1" a="1"/>
  <c r="M7530" i="1" s="1"/>
  <c r="M7533" i="1" a="1"/>
  <c r="M7533" i="1" s="1"/>
  <c r="M7542" i="1" a="1"/>
  <c r="M7542" i="1" s="1"/>
  <c r="M7550" i="1" a="1"/>
  <c r="M7550" i="1" s="1"/>
  <c r="M7562" i="1" a="1"/>
  <c r="M7562" i="1" s="1"/>
  <c r="M7570" i="1" a="1"/>
  <c r="M7570" i="1" s="1"/>
  <c r="M7593" i="1" a="1"/>
  <c r="M7593" i="1" s="1"/>
  <c r="M7610" i="1" a="1"/>
  <c r="M7610" i="1" s="1"/>
  <c r="M7616" i="1" a="1"/>
  <c r="M7616" i="1" s="1"/>
  <c r="M7619" i="1" a="1"/>
  <c r="M7619" i="1" s="1"/>
  <c r="M7622" i="1" a="1"/>
  <c r="M7622" i="1" s="1"/>
  <c r="M7625" i="1" a="1"/>
  <c r="M7625" i="1" s="1"/>
  <c r="M7633" i="1" a="1"/>
  <c r="M7633" i="1" s="1"/>
  <c r="M7641" i="1" a="1"/>
  <c r="M7641" i="1" s="1"/>
  <c r="M7655" i="1" a="1"/>
  <c r="M7655" i="1" s="1"/>
  <c r="M7658" i="1" a="1"/>
  <c r="M7658" i="1" s="1"/>
  <c r="M7675" i="1" a="1"/>
  <c r="M7675" i="1" s="1"/>
  <c r="M7681" i="1" a="1"/>
  <c r="M7681" i="1" s="1"/>
  <c r="M7684" i="1" a="1"/>
  <c r="M7684" i="1" s="1"/>
  <c r="M7687" i="1" a="1"/>
  <c r="M7687" i="1" s="1"/>
  <c r="M7690" i="1" a="1"/>
  <c r="M7690" i="1" s="1"/>
  <c r="M7696" i="1" a="1"/>
  <c r="M7696" i="1" s="1"/>
  <c r="M7704" i="1" a="1"/>
  <c r="M7704" i="1" s="1"/>
  <c r="M7713" i="1" a="1"/>
  <c r="M7713" i="1" s="1"/>
  <c r="M7727" i="1" a="1"/>
  <c r="M7727" i="1" s="1"/>
  <c r="M7730" i="1" a="1"/>
  <c r="M7730" i="1" s="1"/>
  <c r="M7733" i="1" a="1"/>
  <c r="M7733" i="1" s="1"/>
  <c r="M7739" i="1" a="1"/>
  <c r="M7739" i="1" s="1"/>
  <c r="M7742" i="1" a="1"/>
  <c r="M7742" i="1" s="1"/>
  <c r="M7753" i="1" a="1"/>
  <c r="M7753" i="1" s="1"/>
  <c r="M7773" i="1" a="1"/>
  <c r="M7773" i="1" s="1"/>
  <c r="M7779" i="1" a="1"/>
  <c r="M7779" i="1" s="1"/>
  <c r="M7785" i="1" a="1"/>
  <c r="M7785" i="1" s="1"/>
  <c r="M7788" i="1" a="1"/>
  <c r="M7788" i="1" s="1"/>
  <c r="M7791" i="1" a="1"/>
  <c r="M7791" i="1" s="1"/>
  <c r="M7794" i="1" a="1"/>
  <c r="M7794" i="1" s="1"/>
  <c r="M7806" i="1" a="1"/>
  <c r="M7806" i="1" s="1"/>
  <c r="M7809" i="1" a="1"/>
  <c r="M7809" i="1" s="1"/>
  <c r="M7812" i="1" a="1"/>
  <c r="M7812" i="1" s="1"/>
  <c r="M7832" i="1" a="1"/>
  <c r="M7832" i="1" s="1"/>
  <c r="M7835" i="1" a="1"/>
  <c r="M7835" i="1" s="1"/>
  <c r="M7838" i="1" a="1"/>
  <c r="M7838" i="1" s="1"/>
  <c r="M7841" i="1" a="1"/>
  <c r="M7841" i="1" s="1"/>
  <c r="M7844" i="1" a="1"/>
  <c r="M7844" i="1" s="1"/>
  <c r="M7852" i="1" a="1"/>
  <c r="M7852" i="1" s="1"/>
  <c r="M7855" i="1" a="1"/>
  <c r="M7855" i="1" s="1"/>
  <c r="M7872" i="1" a="1"/>
  <c r="M7872" i="1" s="1"/>
  <c r="M7875" i="1" a="1"/>
  <c r="M7875" i="1" s="1"/>
  <c r="M7884" i="1" a="1"/>
  <c r="M7884" i="1" s="1"/>
  <c r="M7301" i="1" a="1"/>
  <c r="M7301" i="1" s="1"/>
  <c r="M7320" i="1" a="1"/>
  <c r="M7320" i="1" s="1"/>
  <c r="M7353" i="1" a="1"/>
  <c r="M7353" i="1" s="1"/>
  <c r="M7372" i="1" a="1"/>
  <c r="M7372" i="1" s="1"/>
  <c r="M7379" i="1" a="1"/>
  <c r="M7379" i="1" s="1"/>
  <c r="M7393" i="1" a="1"/>
  <c r="M7393" i="1" s="1"/>
  <c r="M7396" i="1" a="1"/>
  <c r="M7396" i="1" s="1"/>
  <c r="M7408" i="1" a="1"/>
  <c r="M7408" i="1" s="1"/>
  <c r="M7411" i="1" a="1"/>
  <c r="M7411" i="1" s="1"/>
  <c r="M7415" i="1" a="1"/>
  <c r="M7415" i="1" s="1"/>
  <c r="M7418" i="1" a="1"/>
  <c r="M7418" i="1" s="1"/>
  <c r="M7422" i="1" a="1"/>
  <c r="M7422" i="1" s="1"/>
  <c r="M7437" i="1" a="1"/>
  <c r="M7437" i="1" s="1"/>
  <c r="M7441" i="1" a="1"/>
  <c r="M7441" i="1" s="1"/>
  <c r="M7444" i="1" a="1"/>
  <c r="M7444" i="1" s="1"/>
  <c r="M7447" i="1" a="1"/>
  <c r="M7447" i="1" s="1"/>
  <c r="M7462" i="1" a="1"/>
  <c r="M7462" i="1" s="1"/>
  <c r="M7476" i="1" a="1"/>
  <c r="M7476" i="1" s="1"/>
  <c r="M7485" i="1" a="1"/>
  <c r="M7485" i="1" s="1"/>
  <c r="M7500" i="1" a="1"/>
  <c r="M7500" i="1" s="1"/>
  <c r="M7518" i="1" a="1"/>
  <c r="M7518" i="1" s="1"/>
  <c r="M7526" i="1" a="1"/>
  <c r="M7526" i="1" s="1"/>
  <c r="M7538" i="1" a="1"/>
  <c r="M7538" i="1" s="1"/>
  <c r="M7547" i="1" a="1"/>
  <c r="M7547" i="1" s="1"/>
  <c r="M7561" i="1" a="1"/>
  <c r="M7561" i="1" s="1"/>
  <c r="M7567" i="1" a="1"/>
  <c r="M7567" i="1" s="1"/>
  <c r="M7581" i="1" a="1"/>
  <c r="M7581" i="1" s="1"/>
  <c r="M7587" i="1" a="1"/>
  <c r="M7587" i="1" s="1"/>
  <c r="M7590" i="1" a="1"/>
  <c r="M7590" i="1" s="1"/>
  <c r="M7598" i="1" a="1"/>
  <c r="M7598" i="1" s="1"/>
  <c r="M7601" i="1" a="1"/>
  <c r="M7601" i="1" s="1"/>
  <c r="M7604" i="1" a="1"/>
  <c r="M7604" i="1" s="1"/>
  <c r="M7607" i="1" a="1"/>
  <c r="M7607" i="1" s="1"/>
  <c r="M7630" i="1" a="1"/>
  <c r="M7630" i="1" s="1"/>
  <c r="M7638" i="1" a="1"/>
  <c r="M7638" i="1" s="1"/>
  <c r="M7646" i="1" a="1"/>
  <c r="M7646" i="1" s="1"/>
  <c r="M7652" i="1" a="1"/>
  <c r="M7652" i="1" s="1"/>
  <c r="M7663" i="1" a="1"/>
  <c r="M7663" i="1" s="1"/>
  <c r="M7666" i="1" a="1"/>
  <c r="M7666" i="1" s="1"/>
  <c r="M7669" i="1" a="1"/>
  <c r="M7669" i="1" s="1"/>
  <c r="M7672" i="1" a="1"/>
  <c r="M7672" i="1" s="1"/>
  <c r="M7701" i="1" a="1"/>
  <c r="M7701" i="1" s="1"/>
  <c r="M7709" i="1" a="1"/>
  <c r="M7709" i="1" s="1"/>
  <c r="M7721" i="1" a="1"/>
  <c r="M7721" i="1" s="1"/>
  <c r="M7724" i="1" a="1"/>
  <c r="M7724" i="1" s="1"/>
  <c r="M7736" i="1" a="1"/>
  <c r="M7736" i="1" s="1"/>
  <c r="M7747" i="1" a="1"/>
  <c r="M7747" i="1" s="1"/>
  <c r="M7750" i="1" a="1"/>
  <c r="M7750" i="1" s="1"/>
  <c r="M7758" i="1" a="1"/>
  <c r="M7758" i="1" s="1"/>
  <c r="M7761" i="1" a="1"/>
  <c r="M7761" i="1" s="1"/>
  <c r="M7764" i="1" a="1"/>
  <c r="M7764" i="1" s="1"/>
  <c r="M7767" i="1" a="1"/>
  <c r="M7767" i="1" s="1"/>
  <c r="M7770" i="1" a="1"/>
  <c r="M7770" i="1" s="1"/>
  <c r="M7776" i="1" a="1"/>
  <c r="M7776" i="1" s="1"/>
  <c r="M7782" i="1" a="1"/>
  <c r="M7782" i="1" s="1"/>
  <c r="M7805" i="1" a="1"/>
  <c r="M7805" i="1" s="1"/>
  <c r="M7817" i="1" a="1"/>
  <c r="M7817" i="1" s="1"/>
  <c r="M7820" i="1" a="1"/>
  <c r="M7820" i="1" s="1"/>
  <c r="M7823" i="1" a="1"/>
  <c r="M7823" i="1" s="1"/>
  <c r="M7826" i="1" a="1"/>
  <c r="M7826" i="1" s="1"/>
  <c r="M7829" i="1" a="1"/>
  <c r="M7829" i="1" s="1"/>
  <c r="M7849" i="1" a="1"/>
  <c r="M7849" i="1" s="1"/>
  <c r="M7866" i="1" a="1"/>
  <c r="M7866" i="1" s="1"/>
  <c r="M7869" i="1" a="1"/>
  <c r="M7869" i="1" s="1"/>
  <c r="M7878" i="1" a="1"/>
  <c r="M7878" i="1" s="1"/>
  <c r="M7881" i="1" a="1"/>
  <c r="M7881" i="1" s="1"/>
  <c r="M7387" i="1" a="1"/>
  <c r="M7387" i="1" s="1"/>
  <c r="M7649" i="1" a="1"/>
  <c r="M7649" i="1" s="1"/>
  <c r="M7744" i="1" a="1"/>
  <c r="M7744" i="1" s="1"/>
  <c r="M7757" i="1" a="1"/>
  <c r="M7757" i="1" s="1"/>
  <c r="M7811" i="1" a="1"/>
  <c r="M7811" i="1" s="1"/>
  <c r="M7840" i="1" a="1"/>
  <c r="M7840" i="1" s="1"/>
  <c r="M7860" i="1" a="1"/>
  <c r="M7860" i="1" s="1"/>
  <c r="M7874" i="1" a="1"/>
  <c r="M7874" i="1" s="1"/>
  <c r="M7886" i="1" a="1"/>
  <c r="M7886" i="1" s="1"/>
  <c r="M7900" i="1" a="1"/>
  <c r="M7900" i="1" s="1"/>
  <c r="M7911" i="1" a="1"/>
  <c r="M7911" i="1" s="1"/>
  <c r="M7922" i="1" a="1"/>
  <c r="M7922" i="1" s="1"/>
  <c r="M7925" i="1" a="1"/>
  <c r="M7925" i="1" s="1"/>
  <c r="M7933" i="1" a="1"/>
  <c r="M7933" i="1" s="1"/>
  <c r="M7944" i="1" a="1"/>
  <c r="M7944" i="1" s="1"/>
  <c r="M7947" i="1" a="1"/>
  <c r="M7947" i="1" s="1"/>
  <c r="M7950" i="1" a="1"/>
  <c r="M7950" i="1" s="1"/>
  <c r="M7971" i="1" a="1"/>
  <c r="M7971" i="1" s="1"/>
  <c r="M7974" i="1" a="1"/>
  <c r="M7974" i="1" s="1"/>
  <c r="M7980" i="1" a="1"/>
  <c r="M7980" i="1" s="1"/>
  <c r="M7983" i="1" a="1"/>
  <c r="M7983" i="1" s="1"/>
  <c r="M7986" i="1" a="1"/>
  <c r="M7986" i="1" s="1"/>
  <c r="M7989" i="1" a="1"/>
  <c r="M7989" i="1" s="1"/>
  <c r="M7992" i="1" a="1"/>
  <c r="M7992" i="1" s="1"/>
  <c r="M8001" i="1" a="1"/>
  <c r="M8001" i="1" s="1"/>
  <c r="M8007" i="1" a="1"/>
  <c r="M8007" i="1" s="1"/>
  <c r="M8021" i="1" a="1"/>
  <c r="M8021" i="1" s="1"/>
  <c r="M8030" i="1" a="1"/>
  <c r="M8030" i="1" s="1"/>
  <c r="M8033" i="1" a="1"/>
  <c r="M8033" i="1" s="1"/>
  <c r="M8036" i="1" a="1"/>
  <c r="M8036" i="1" s="1"/>
  <c r="M8039" i="1" a="1"/>
  <c r="M8039" i="1" s="1"/>
  <c r="M8042" i="1" a="1"/>
  <c r="M8042" i="1" s="1"/>
  <c r="M8054" i="1" a="1"/>
  <c r="M8054" i="1" s="1"/>
  <c r="M8057" i="1" a="1"/>
  <c r="M8057" i="1" s="1"/>
  <c r="M8071" i="1" a="1"/>
  <c r="M8071" i="1" s="1"/>
  <c r="M8089" i="1" a="1"/>
  <c r="M8089" i="1" s="1"/>
  <c r="M8092" i="1" a="1"/>
  <c r="M8092" i="1" s="1"/>
  <c r="M8095" i="1" a="1"/>
  <c r="M8095" i="1" s="1"/>
  <c r="M8098" i="1" a="1"/>
  <c r="M8098" i="1" s="1"/>
  <c r="M8106" i="1" a="1"/>
  <c r="M8106" i="1" s="1"/>
  <c r="M8114" i="1" a="1"/>
  <c r="M8114" i="1" s="1"/>
  <c r="M8120" i="1" a="1"/>
  <c r="M8120" i="1" s="1"/>
  <c r="M8137" i="1" a="1"/>
  <c r="M8137" i="1" s="1"/>
  <c r="M8145" i="1" a="1"/>
  <c r="M8145" i="1" s="1"/>
  <c r="M8148" i="1" a="1"/>
  <c r="M8148" i="1" s="1"/>
  <c r="M8159" i="1" a="1"/>
  <c r="M8159" i="1" s="1"/>
  <c r="M8167" i="1" a="1"/>
  <c r="M8167" i="1" s="1"/>
  <c r="M8193" i="1" a="1"/>
  <c r="M8193" i="1" s="1"/>
  <c r="M8196" i="1" a="1"/>
  <c r="M8196" i="1" s="1"/>
  <c r="M8199" i="1" a="1"/>
  <c r="M8199" i="1" s="1"/>
  <c r="M8208" i="1" a="1"/>
  <c r="M8208" i="1" s="1"/>
  <c r="M8211" i="1" a="1"/>
  <c r="M8211" i="1" s="1"/>
  <c r="M8217" i="1" a="1"/>
  <c r="M8217" i="1" s="1"/>
  <c r="M8220" i="1" a="1"/>
  <c r="M8220" i="1" s="1"/>
  <c r="M8231" i="1" a="1"/>
  <c r="M8231" i="1" s="1"/>
  <c r="M8242" i="1" a="1"/>
  <c r="M8242" i="1" s="1"/>
  <c r="M8250" i="1" a="1"/>
  <c r="M8250" i="1" s="1"/>
  <c r="M8258" i="1" a="1"/>
  <c r="M8258" i="1" s="1"/>
  <c r="M8261" i="1" a="1"/>
  <c r="M8261" i="1" s="1"/>
  <c r="M8264" i="1" a="1"/>
  <c r="M8264" i="1" s="1"/>
  <c r="M8281" i="1" a="1"/>
  <c r="M8281" i="1" s="1"/>
  <c r="M8295" i="1" a="1"/>
  <c r="M8295" i="1" s="1"/>
  <c r="M8312" i="1" a="1"/>
  <c r="M8312" i="1" s="1"/>
  <c r="M8315" i="1" a="1"/>
  <c r="M8315" i="1" s="1"/>
  <c r="M8318" i="1" a="1"/>
  <c r="M8318" i="1" s="1"/>
  <c r="M8329" i="1" a="1"/>
  <c r="M8329" i="1" s="1"/>
  <c r="M8343" i="1" a="1"/>
  <c r="M8343" i="1" s="1"/>
  <c r="M8351" i="1" a="1"/>
  <c r="M8351" i="1" s="1"/>
  <c r="M8354" i="1" a="1"/>
  <c r="M8354" i="1" s="1"/>
  <c r="M7324" i="1" a="1"/>
  <c r="M7324" i="1" s="1"/>
  <c r="M7341" i="1" a="1"/>
  <c r="M7341" i="1" s="1"/>
  <c r="M7440" i="1" a="1"/>
  <c r="M7440" i="1" s="1"/>
  <c r="M7456" i="1" a="1"/>
  <c r="M7456" i="1" s="1"/>
  <c r="M7473" i="1" a="1"/>
  <c r="M7473" i="1" s="1"/>
  <c r="M7488" i="1" a="1"/>
  <c r="M7488" i="1" s="1"/>
  <c r="M7515" i="1" a="1"/>
  <c r="M7515" i="1" s="1"/>
  <c r="M7555" i="1" a="1"/>
  <c r="M7555" i="1" s="1"/>
  <c r="M7575" i="1" a="1"/>
  <c r="M7575" i="1" s="1"/>
  <c r="M7584" i="1" a="1"/>
  <c r="M7584" i="1" s="1"/>
  <c r="M7621" i="1" a="1"/>
  <c r="M7621" i="1" s="1"/>
  <c r="M7718" i="1" a="1"/>
  <c r="M7718" i="1" s="1"/>
  <c r="M7746" i="1" a="1"/>
  <c r="M7746" i="1" s="1"/>
  <c r="M7799" i="1" a="1"/>
  <c r="M7799" i="1" s="1"/>
  <c r="M7846" i="1" a="1"/>
  <c r="M7846" i="1" s="1"/>
  <c r="M7857" i="1" a="1"/>
  <c r="M7857" i="1" s="1"/>
  <c r="M7862" i="1" a="1"/>
  <c r="M7862" i="1" s="1"/>
  <c r="M7888" i="1" a="1"/>
  <c r="M7888" i="1" s="1"/>
  <c r="M7891" i="1" a="1"/>
  <c r="M7891" i="1" s="1"/>
  <c r="M7894" i="1" a="1"/>
  <c r="M7894" i="1" s="1"/>
  <c r="M7897" i="1" a="1"/>
  <c r="M7897" i="1" s="1"/>
  <c r="M7908" i="1" a="1"/>
  <c r="M7908" i="1" s="1"/>
  <c r="M7916" i="1" a="1"/>
  <c r="M7916" i="1" s="1"/>
  <c r="M7919" i="1" a="1"/>
  <c r="M7919" i="1" s="1"/>
  <c r="M7930" i="1" a="1"/>
  <c r="M7930" i="1" s="1"/>
  <c r="M7941" i="1" a="1"/>
  <c r="M7941" i="1" s="1"/>
  <c r="M7964" i="1" a="1"/>
  <c r="M7964" i="1" s="1"/>
  <c r="M7967" i="1" a="1"/>
  <c r="M7967" i="1" s="1"/>
  <c r="M7977" i="1" a="1"/>
  <c r="M7977" i="1" s="1"/>
  <c r="M8004" i="1" a="1"/>
  <c r="M8004" i="1" s="1"/>
  <c r="M8012" i="1" a="1"/>
  <c r="M8012" i="1" s="1"/>
  <c r="M8018" i="1" a="1"/>
  <c r="M8018" i="1" s="1"/>
  <c r="M8024" i="1" a="1"/>
  <c r="M8024" i="1" s="1"/>
  <c r="M8027" i="1" a="1"/>
  <c r="M8027" i="1" s="1"/>
  <c r="M8051" i="1" a="1"/>
  <c r="M8051" i="1" s="1"/>
  <c r="M8062" i="1" a="1"/>
  <c r="M8062" i="1" s="1"/>
  <c r="M8065" i="1" a="1"/>
  <c r="M8065" i="1" s="1"/>
  <c r="M8068" i="1" a="1"/>
  <c r="M8068" i="1" s="1"/>
  <c r="M8074" i="1" a="1"/>
  <c r="M8074" i="1" s="1"/>
  <c r="M8077" i="1" a="1"/>
  <c r="M8077" i="1" s="1"/>
  <c r="M8080" i="1" a="1"/>
  <c r="M8080" i="1" s="1"/>
  <c r="M8083" i="1" a="1"/>
  <c r="M8083" i="1" s="1"/>
  <c r="M8086" i="1" a="1"/>
  <c r="M8086" i="1" s="1"/>
  <c r="M8103" i="1" a="1"/>
  <c r="M8103" i="1" s="1"/>
  <c r="M8111" i="1" a="1"/>
  <c r="M8111" i="1" s="1"/>
  <c r="M8117" i="1" a="1"/>
  <c r="M8117" i="1" s="1"/>
  <c r="M8134" i="1" a="1"/>
  <c r="M8134" i="1" s="1"/>
  <c r="M8142" i="1" a="1"/>
  <c r="M8142" i="1" s="1"/>
  <c r="M8153" i="1" a="1"/>
  <c r="M8153" i="1" s="1"/>
  <c r="M8156" i="1" a="1"/>
  <c r="M8156" i="1" s="1"/>
  <c r="M8164" i="1" a="1"/>
  <c r="M8164" i="1" s="1"/>
  <c r="M8184" i="1" a="1"/>
  <c r="M8184" i="1" s="1"/>
  <c r="M8187" i="1" a="1"/>
  <c r="M8187" i="1" s="1"/>
  <c r="M8190" i="1" a="1"/>
  <c r="M8190" i="1" s="1"/>
  <c r="M8214" i="1" a="1"/>
  <c r="M8214" i="1" s="1"/>
  <c r="M8225" i="1" a="1"/>
  <c r="M8225" i="1" s="1"/>
  <c r="M8228" i="1" a="1"/>
  <c r="M8228" i="1" s="1"/>
  <c r="M8239" i="1" a="1"/>
  <c r="M8239" i="1" s="1"/>
  <c r="M8247" i="1" a="1"/>
  <c r="M8247" i="1" s="1"/>
  <c r="M8255" i="1" a="1"/>
  <c r="M8255" i="1" s="1"/>
  <c r="M8272" i="1" a="1"/>
  <c r="M8272" i="1" s="1"/>
  <c r="M8278" i="1" a="1"/>
  <c r="M8278" i="1" s="1"/>
  <c r="M8289" i="1" a="1"/>
  <c r="M8289" i="1" s="1"/>
  <c r="M8292" i="1" a="1"/>
  <c r="M8292" i="1" s="1"/>
  <c r="M8306" i="1" a="1"/>
  <c r="M8306" i="1" s="1"/>
  <c r="M8309" i="1" a="1"/>
  <c r="M8309" i="1" s="1"/>
  <c r="M8323" i="1" a="1"/>
  <c r="M8323" i="1" s="1"/>
  <c r="M8326" i="1" a="1"/>
  <c r="M8326" i="1" s="1"/>
  <c r="M8334" i="1" a="1"/>
  <c r="M8334" i="1" s="1"/>
  <c r="M8337" i="1" a="1"/>
  <c r="M8337" i="1" s="1"/>
  <c r="M8340" i="1" a="1"/>
  <c r="M8340" i="1" s="1"/>
  <c r="M8348" i="1" a="1"/>
  <c r="M8348" i="1" s="1"/>
  <c r="M7431" i="1" a="1"/>
  <c r="M7431" i="1" s="1"/>
  <c r="M7523" i="1" a="1"/>
  <c r="M7523" i="1" s="1"/>
  <c r="M7564" i="1" a="1"/>
  <c r="M7564" i="1" s="1"/>
  <c r="M7698" i="1" a="1"/>
  <c r="M7698" i="1" s="1"/>
  <c r="M7741" i="1" a="1"/>
  <c r="M7741" i="1" s="1"/>
  <c r="M7766" i="1" a="1"/>
  <c r="M7766" i="1" s="1"/>
  <c r="M7781" i="1" a="1"/>
  <c r="M7781" i="1" s="1"/>
  <c r="M7808" i="1" a="1"/>
  <c r="M7808" i="1" s="1"/>
  <c r="M7822" i="1" a="1"/>
  <c r="M7822" i="1" s="1"/>
  <c r="M7848" i="1" a="1"/>
  <c r="M7848" i="1" s="1"/>
  <c r="M7859" i="1" a="1"/>
  <c r="M7859" i="1" s="1"/>
  <c r="M7871" i="1" a="1"/>
  <c r="M7871" i="1" s="1"/>
  <c r="M7883" i="1" a="1"/>
  <c r="M7883" i="1" s="1"/>
  <c r="M7902" i="1" a="1"/>
  <c r="M7902" i="1" s="1"/>
  <c r="M7905" i="1" a="1"/>
  <c r="M7905" i="1" s="1"/>
  <c r="M7913" i="1" a="1"/>
  <c r="M7913" i="1" s="1"/>
  <c r="M7924" i="1" a="1"/>
  <c r="M7924" i="1" s="1"/>
  <c r="M7927" i="1" a="1"/>
  <c r="M7927" i="1" s="1"/>
  <c r="M7935" i="1" a="1"/>
  <c r="M7935" i="1" s="1"/>
  <c r="M7938" i="1" a="1"/>
  <c r="M7938" i="1" s="1"/>
  <c r="M7952" i="1" a="1"/>
  <c r="M7952" i="1" s="1"/>
  <c r="M7955" i="1" a="1"/>
  <c r="M7955" i="1" s="1"/>
  <c r="M7958" i="1" a="1"/>
  <c r="M7958" i="1" s="1"/>
  <c r="M7961" i="1" a="1"/>
  <c r="M7961" i="1" s="1"/>
  <c r="M7970" i="1" a="1"/>
  <c r="M7970" i="1" s="1"/>
  <c r="M7973" i="1" a="1"/>
  <c r="M7973" i="1" s="1"/>
  <c r="M7994" i="1" a="1"/>
  <c r="M7994" i="1" s="1"/>
  <c r="M7997" i="1" a="1"/>
  <c r="M7997" i="1" s="1"/>
  <c r="M8000" i="1" a="1"/>
  <c r="M8000" i="1" s="1"/>
  <c r="M8009" i="1" a="1"/>
  <c r="M8009" i="1" s="1"/>
  <c r="M8015" i="1" a="1"/>
  <c r="M8015" i="1" s="1"/>
  <c r="M8032" i="1" a="1"/>
  <c r="M8032" i="1" s="1"/>
  <c r="M8035" i="1" a="1"/>
  <c r="M8035" i="1" s="1"/>
  <c r="M8038" i="1" a="1"/>
  <c r="M8038" i="1" s="1"/>
  <c r="M8044" i="1" a="1"/>
  <c r="M8044" i="1" s="1"/>
  <c r="M8047" i="1" a="1"/>
  <c r="M8047" i="1" s="1"/>
  <c r="M8056" i="1" a="1"/>
  <c r="M8056" i="1" s="1"/>
  <c r="M8059" i="1" a="1"/>
  <c r="M8059" i="1" s="1"/>
  <c r="M8091" i="1" a="1"/>
  <c r="M8091" i="1" s="1"/>
  <c r="M8094" i="1" a="1"/>
  <c r="M8094" i="1" s="1"/>
  <c r="M8097" i="1" a="1"/>
  <c r="M8097" i="1" s="1"/>
  <c r="M8100" i="1" a="1"/>
  <c r="M8100" i="1" s="1"/>
  <c r="M8108" i="1" a="1"/>
  <c r="M8108" i="1" s="1"/>
  <c r="M8122" i="1" a="1"/>
  <c r="M8122" i="1" s="1"/>
  <c r="M8125" i="1" a="1"/>
  <c r="M8125" i="1" s="1"/>
  <c r="M8128" i="1" a="1"/>
  <c r="M8128" i="1" s="1"/>
  <c r="M8131" i="1" a="1"/>
  <c r="M8131" i="1" s="1"/>
  <c r="M8139" i="1" a="1"/>
  <c r="M8139" i="1" s="1"/>
  <c r="M8150" i="1" a="1"/>
  <c r="M8150" i="1" s="1"/>
  <c r="M8161" i="1" a="1"/>
  <c r="M8161" i="1" s="1"/>
  <c r="M8169" i="1" a="1"/>
  <c r="M8169" i="1" s="1"/>
  <c r="M8172" i="1" a="1"/>
  <c r="M8172" i="1" s="1"/>
  <c r="M8175" i="1" a="1"/>
  <c r="M8175" i="1" s="1"/>
  <c r="M8178" i="1" a="1"/>
  <c r="M8178" i="1" s="1"/>
  <c r="M8181" i="1" a="1"/>
  <c r="M8181" i="1" s="1"/>
  <c r="M8201" i="1" a="1"/>
  <c r="M8201" i="1" s="1"/>
  <c r="M8204" i="1" a="1"/>
  <c r="M8204" i="1" s="1"/>
  <c r="M8219" i="1" a="1"/>
  <c r="M8219" i="1" s="1"/>
  <c r="M8222" i="1" a="1"/>
  <c r="M8222" i="1" s="1"/>
  <c r="M8233" i="1" a="1"/>
  <c r="M8233" i="1" s="1"/>
  <c r="M8236" i="1" a="1"/>
  <c r="M8236" i="1" s="1"/>
  <c r="M8244" i="1" a="1"/>
  <c r="M8244" i="1" s="1"/>
  <c r="M8252" i="1" a="1"/>
  <c r="M8252" i="1" s="1"/>
  <c r="M8260" i="1" a="1"/>
  <c r="M8260" i="1" s="1"/>
  <c r="M8266" i="1" a="1"/>
  <c r="M8266" i="1" s="1"/>
  <c r="M8269" i="1" a="1"/>
  <c r="M8269" i="1" s="1"/>
  <c r="M8275" i="1" a="1"/>
  <c r="M8275" i="1" s="1"/>
  <c r="M8283" i="1" a="1"/>
  <c r="M8283" i="1" s="1"/>
  <c r="M8286" i="1" a="1"/>
  <c r="M8286" i="1" s="1"/>
  <c r="M8297" i="1" a="1"/>
  <c r="M8297" i="1" s="1"/>
  <c r="M8300" i="1" a="1"/>
  <c r="M8300" i="1" s="1"/>
  <c r="M8303" i="1" a="1"/>
  <c r="M8303" i="1" s="1"/>
  <c r="M8317" i="1" a="1"/>
  <c r="M8317" i="1" s="1"/>
  <c r="M8320" i="1" a="1"/>
  <c r="M8320" i="1" s="1"/>
  <c r="M8331" i="1" a="1"/>
  <c r="M8331" i="1" s="1"/>
  <c r="M8345" i="1" a="1"/>
  <c r="M8345" i="1" s="1"/>
  <c r="M8353" i="1" a="1"/>
  <c r="M8353" i="1" s="1"/>
  <c r="M8356" i="1" a="1"/>
  <c r="M8356" i="1" s="1"/>
  <c r="M7317" i="1" a="1"/>
  <c r="M7317" i="1" s="1"/>
  <c r="M7338" i="1" a="1"/>
  <c r="M7338" i="1" s="1"/>
  <c r="M7497" i="1" a="1"/>
  <c r="M7497" i="1" s="1"/>
  <c r="M7544" i="1" a="1"/>
  <c r="M7544" i="1" s="1"/>
  <c r="M7572" i="1" a="1"/>
  <c r="M7572" i="1" s="1"/>
  <c r="M7618" i="1" a="1"/>
  <c r="M7618" i="1" s="1"/>
  <c r="M7706" i="1" a="1"/>
  <c r="M7706" i="1" s="1"/>
  <c r="M7715" i="1" a="1"/>
  <c r="M7715" i="1" s="1"/>
  <c r="M7796" i="1" a="1"/>
  <c r="M7796" i="1" s="1"/>
  <c r="M7837" i="1" a="1"/>
  <c r="M7837" i="1" s="1"/>
  <c r="M7873" i="1" a="1"/>
  <c r="M7873" i="1" s="1"/>
  <c r="M7885" i="1" a="1"/>
  <c r="M7885" i="1" s="1"/>
  <c r="M7893" i="1" a="1"/>
  <c r="M7893" i="1" s="1"/>
  <c r="M7896" i="1" a="1"/>
  <c r="M7896" i="1" s="1"/>
  <c r="M7899" i="1" a="1"/>
  <c r="M7899" i="1" s="1"/>
  <c r="M7910" i="1" a="1"/>
  <c r="M7910" i="1" s="1"/>
  <c r="M7918" i="1" a="1"/>
  <c r="M7918" i="1" s="1"/>
  <c r="M7921" i="1" a="1"/>
  <c r="M7921" i="1" s="1"/>
  <c r="M7932" i="1" a="1"/>
  <c r="M7932" i="1" s="1"/>
  <c r="M7943" i="1" a="1"/>
  <c r="M7943" i="1" s="1"/>
  <c r="M7946" i="1" a="1"/>
  <c r="M7946" i="1" s="1"/>
  <c r="M7949" i="1" a="1"/>
  <c r="M7949" i="1" s="1"/>
  <c r="M7979" i="1" a="1"/>
  <c r="M7979" i="1" s="1"/>
  <c r="M7982" i="1" a="1"/>
  <c r="M7982" i="1" s="1"/>
  <c r="M7985" i="1" a="1"/>
  <c r="M7985" i="1" s="1"/>
  <c r="M7988" i="1" a="1"/>
  <c r="M7988" i="1" s="1"/>
  <c r="M7991" i="1" a="1"/>
  <c r="M7991" i="1" s="1"/>
  <c r="M8003" i="1" a="1"/>
  <c r="M8003" i="1" s="1"/>
  <c r="M8006" i="1" a="1"/>
  <c r="M8006" i="1" s="1"/>
  <c r="M8020" i="1" a="1"/>
  <c r="M8020" i="1" s="1"/>
  <c r="M8026" i="1" a="1"/>
  <c r="M8026" i="1" s="1"/>
  <c r="M8029" i="1" a="1"/>
  <c r="M8029" i="1" s="1"/>
  <c r="M8041" i="1" a="1"/>
  <c r="M8041" i="1" s="1"/>
  <c r="M8050" i="1" a="1"/>
  <c r="M8050" i="1" s="1"/>
  <c r="M8053" i="1" a="1"/>
  <c r="M8053" i="1" s="1"/>
  <c r="M8070" i="1" a="1"/>
  <c r="M8070" i="1" s="1"/>
  <c r="M8073" i="1" a="1"/>
  <c r="M8073" i="1" s="1"/>
  <c r="M8088" i="1" a="1"/>
  <c r="M8088" i="1" s="1"/>
  <c r="M8105" i="1" a="1"/>
  <c r="M8105" i="1" s="1"/>
  <c r="M8113" i="1" a="1"/>
  <c r="M8113" i="1" s="1"/>
  <c r="M8116" i="1" a="1"/>
  <c r="M8116" i="1" s="1"/>
  <c r="M8119" i="1" a="1"/>
  <c r="M8119" i="1" s="1"/>
  <c r="M8136" i="1" a="1"/>
  <c r="M8136" i="1" s="1"/>
  <c r="M8144" i="1" a="1"/>
  <c r="M8144" i="1" s="1"/>
  <c r="M8147" i="1" a="1"/>
  <c r="M8147" i="1" s="1"/>
  <c r="M8158" i="1" a="1"/>
  <c r="M8158" i="1" s="1"/>
  <c r="M8166" i="1" a="1"/>
  <c r="M8166" i="1" s="1"/>
  <c r="M8186" i="1" a="1"/>
  <c r="M8186" i="1" s="1"/>
  <c r="M8192" i="1" a="1"/>
  <c r="M8192" i="1" s="1"/>
  <c r="M8195" i="1" a="1"/>
  <c r="M8195" i="1" s="1"/>
  <c r="M8198" i="1" a="1"/>
  <c r="M8198" i="1" s="1"/>
  <c r="M8207" i="1" a="1"/>
  <c r="M8207" i="1" s="1"/>
  <c r="M8210" i="1" a="1"/>
  <c r="M8210" i="1" s="1"/>
  <c r="M8216" i="1" a="1"/>
  <c r="M8216" i="1" s="1"/>
  <c r="M8230" i="1" a="1"/>
  <c r="M8230" i="1" s="1"/>
  <c r="M8241" i="1" a="1"/>
  <c r="M8241" i="1" s="1"/>
  <c r="M8249" i="1" a="1"/>
  <c r="M8249" i="1" s="1"/>
  <c r="M8257" i="1" a="1"/>
  <c r="M8257" i="1" s="1"/>
  <c r="M8263" i="1" a="1"/>
  <c r="M8263" i="1" s="1"/>
  <c r="M8280" i="1" a="1"/>
  <c r="M8280" i="1" s="1"/>
  <c r="M8294" i="1" a="1"/>
  <c r="M8294" i="1" s="1"/>
  <c r="M8311" i="1" a="1"/>
  <c r="M8311" i="1" s="1"/>
  <c r="M8314" i="1" a="1"/>
  <c r="M8314" i="1" s="1"/>
  <c r="M8328" i="1" a="1"/>
  <c r="M8328" i="1" s="1"/>
  <c r="M8342" i="1" a="1"/>
  <c r="M8342" i="1" s="1"/>
  <c r="M8350" i="1" a="1"/>
  <c r="M8350" i="1" s="1"/>
  <c r="M7428" i="1" a="1"/>
  <c r="M7428" i="1" s="1"/>
  <c r="M7512" i="1" a="1"/>
  <c r="M7512" i="1" s="1"/>
  <c r="M7552" i="1" a="1"/>
  <c r="M7552" i="1" s="1"/>
  <c r="M7627" i="1" a="1"/>
  <c r="M7627" i="1" s="1"/>
  <c r="M7763" i="1" a="1"/>
  <c r="M7763" i="1" s="1"/>
  <c r="M7819" i="1" a="1"/>
  <c r="M7819" i="1" s="1"/>
  <c r="M7828" i="1" a="1"/>
  <c r="M7828" i="1" s="1"/>
  <c r="M7856" i="1" a="1"/>
  <c r="M7856" i="1" s="1"/>
  <c r="M7880" i="1" a="1"/>
  <c r="M7880" i="1" s="1"/>
  <c r="M7890" i="1" a="1"/>
  <c r="M7890" i="1" s="1"/>
  <c r="M7904" i="1" a="1"/>
  <c r="M7904" i="1" s="1"/>
  <c r="M7907" i="1" a="1"/>
  <c r="M7907" i="1" s="1"/>
  <c r="M7915" i="1" a="1"/>
  <c r="M7915" i="1" s="1"/>
  <c r="M7929" i="1" a="1"/>
  <c r="M7929" i="1" s="1"/>
  <c r="M7940" i="1" a="1"/>
  <c r="M7940" i="1" s="1"/>
  <c r="M7957" i="1" a="1"/>
  <c r="M7957" i="1" s="1"/>
  <c r="M7960" i="1" a="1"/>
  <c r="M7960" i="1" s="1"/>
  <c r="M7963" i="1" a="1"/>
  <c r="M7963" i="1" s="1"/>
  <c r="M7966" i="1" a="1"/>
  <c r="M7966" i="1" s="1"/>
  <c r="M7976" i="1" a="1"/>
  <c r="M7976" i="1" s="1"/>
  <c r="M7999" i="1" a="1"/>
  <c r="M7999" i="1" s="1"/>
  <c r="M8011" i="1" a="1"/>
  <c r="M8011" i="1" s="1"/>
  <c r="M8017" i="1" a="1"/>
  <c r="M8017" i="1" s="1"/>
  <c r="M8023" i="1" a="1"/>
  <c r="M8023" i="1" s="1"/>
  <c r="M8046" i="1" a="1"/>
  <c r="M8046" i="1" s="1"/>
  <c r="M8061" i="1" a="1"/>
  <c r="M8061" i="1" s="1"/>
  <c r="M8064" i="1" a="1"/>
  <c r="M8064" i="1" s="1"/>
  <c r="M8067" i="1" a="1"/>
  <c r="M8067" i="1" s="1"/>
  <c r="M8076" i="1" a="1"/>
  <c r="M8076" i="1" s="1"/>
  <c r="M8079" i="1" a="1"/>
  <c r="M8079" i="1" s="1"/>
  <c r="M8082" i="1" a="1"/>
  <c r="M8082" i="1" s="1"/>
  <c r="M8085" i="1" a="1"/>
  <c r="M8085" i="1" s="1"/>
  <c r="M8102" i="1" a="1"/>
  <c r="M8102" i="1" s="1"/>
  <c r="M8110" i="1" a="1"/>
  <c r="M8110" i="1" s="1"/>
  <c r="M8133" i="1" a="1"/>
  <c r="M8133" i="1" s="1"/>
  <c r="M8141" i="1" a="1"/>
  <c r="M8141" i="1" s="1"/>
  <c r="M8152" i="1" a="1"/>
  <c r="M8152" i="1" s="1"/>
  <c r="M8155" i="1" a="1"/>
  <c r="M8155" i="1" s="1"/>
  <c r="M8163" i="1" a="1"/>
  <c r="M8163" i="1" s="1"/>
  <c r="M8171" i="1" a="1"/>
  <c r="M8171" i="1" s="1"/>
  <c r="M8174" i="1" a="1"/>
  <c r="M8174" i="1" s="1"/>
  <c r="M8177" i="1" a="1"/>
  <c r="M8177" i="1" s="1"/>
  <c r="M8180" i="1" a="1"/>
  <c r="M8180" i="1" s="1"/>
  <c r="M8183" i="1" a="1"/>
  <c r="M8183" i="1" s="1"/>
  <c r="M8189" i="1" a="1"/>
  <c r="M8189" i="1" s="1"/>
  <c r="M8213" i="1" a="1"/>
  <c r="M8213" i="1" s="1"/>
  <c r="M8224" i="1" a="1"/>
  <c r="M8224" i="1" s="1"/>
  <c r="M8227" i="1" a="1"/>
  <c r="M8227" i="1" s="1"/>
  <c r="M8238" i="1" a="1"/>
  <c r="M8238" i="1" s="1"/>
  <c r="M8246" i="1" a="1"/>
  <c r="M8246" i="1" s="1"/>
  <c r="M8254" i="1" a="1"/>
  <c r="M8254" i="1" s="1"/>
  <c r="M8271" i="1" a="1"/>
  <c r="M8271" i="1" s="1"/>
  <c r="M8274" i="1" a="1"/>
  <c r="M8274" i="1" s="1"/>
  <c r="M8277" i="1" a="1"/>
  <c r="M8277" i="1" s="1"/>
  <c r="M8285" i="1" a="1"/>
  <c r="M8285" i="1" s="1"/>
  <c r="M8288" i="1" a="1"/>
  <c r="M8288" i="1" s="1"/>
  <c r="M8291" i="1" a="1"/>
  <c r="M8291" i="1" s="1"/>
  <c r="M8302" i="1" a="1"/>
  <c r="M8302" i="1" s="1"/>
  <c r="M8305" i="1" a="1"/>
  <c r="M8305" i="1" s="1"/>
  <c r="M8308" i="1" a="1"/>
  <c r="M8308" i="1" s="1"/>
  <c r="M8322" i="1" a="1"/>
  <c r="M8322" i="1" s="1"/>
  <c r="M8325" i="1" a="1"/>
  <c r="M8325" i="1" s="1"/>
  <c r="M8333" i="1" a="1"/>
  <c r="M8333" i="1" s="1"/>
  <c r="M8336" i="1" a="1"/>
  <c r="M8336" i="1" s="1"/>
  <c r="M8339" i="1" a="1"/>
  <c r="M8339" i="1" s="1"/>
  <c r="M8347" i="1" a="1"/>
  <c r="M8347" i="1" s="1"/>
  <c r="M8358" i="1" a="1"/>
  <c r="M8358" i="1" s="1"/>
  <c r="M7375" i="1" a="1"/>
  <c r="M7375" i="1" s="1"/>
  <c r="M7425" i="1" a="1"/>
  <c r="M7425" i="1" s="1"/>
  <c r="M7459" i="1" a="1"/>
  <c r="M7459" i="1" s="1"/>
  <c r="M7578" i="1" a="1"/>
  <c r="M7578" i="1" s="1"/>
  <c r="M7643" i="1" a="1"/>
  <c r="M7643" i="1" s="1"/>
  <c r="M7660" i="1" a="1"/>
  <c r="M7660" i="1" s="1"/>
  <c r="M7677" i="1" a="1"/>
  <c r="M7677" i="1" s="1"/>
  <c r="M7712" i="1" a="1"/>
  <c r="M7712" i="1" s="1"/>
  <c r="M7760" i="1" a="1"/>
  <c r="M7760" i="1" s="1"/>
  <c r="M7793" i="1" a="1"/>
  <c r="M7793" i="1" s="1"/>
  <c r="M7802" i="1" a="1"/>
  <c r="M7802" i="1" s="1"/>
  <c r="M7816" i="1" a="1"/>
  <c r="M7816" i="1" s="1"/>
  <c r="M7863" i="1" a="1"/>
  <c r="M7863" i="1" s="1"/>
  <c r="M7877" i="1" a="1"/>
  <c r="M7877" i="1" s="1"/>
  <c r="M7892" i="1" a="1"/>
  <c r="M7892" i="1" s="1"/>
  <c r="M7895" i="1" a="1"/>
  <c r="M7895" i="1" s="1"/>
  <c r="M7898" i="1" a="1"/>
  <c r="M7898" i="1" s="1"/>
  <c r="M7909" i="1" a="1"/>
  <c r="M7909" i="1" s="1"/>
  <c r="M7917" i="1" a="1"/>
  <c r="M7917" i="1" s="1"/>
  <c r="M7920" i="1" a="1"/>
  <c r="M7920" i="1" s="1"/>
  <c r="M7931" i="1" a="1"/>
  <c r="M7931" i="1" s="1"/>
  <c r="M7942" i="1" a="1"/>
  <c r="M7942" i="1" s="1"/>
  <c r="M7978" i="1" a="1"/>
  <c r="M7978" i="1" s="1"/>
  <c r="M7987" i="1" a="1"/>
  <c r="M7987" i="1" s="1"/>
  <c r="M7990" i="1" a="1"/>
  <c r="M7990" i="1" s="1"/>
  <c r="M8002" i="1" a="1"/>
  <c r="M8002" i="1" s="1"/>
  <c r="M8005" i="1" a="1"/>
  <c r="M8005" i="1" s="1"/>
  <c r="M8019" i="1" a="1"/>
  <c r="M8019" i="1" s="1"/>
  <c r="M8022" i="1" a="1"/>
  <c r="M8022" i="1" s="1"/>
  <c r="M8025" i="1" a="1"/>
  <c r="M8025" i="1" s="1"/>
  <c r="M8028" i="1" a="1"/>
  <c r="M8028" i="1" s="1"/>
  <c r="M8049" i="1" a="1"/>
  <c r="M8049" i="1" s="1"/>
  <c r="M8052" i="1" a="1"/>
  <c r="M8052" i="1" s="1"/>
  <c r="M8069" i="1" a="1"/>
  <c r="M8069" i="1" s="1"/>
  <c r="M8075" i="1" a="1"/>
  <c r="M8075" i="1" s="1"/>
  <c r="M8078" i="1" a="1"/>
  <c r="M8078" i="1" s="1"/>
  <c r="M8081" i="1" a="1"/>
  <c r="M8081" i="1" s="1"/>
  <c r="M8084" i="1" a="1"/>
  <c r="M8084" i="1" s="1"/>
  <c r="M8087" i="1" a="1"/>
  <c r="M8087" i="1" s="1"/>
  <c r="M8104" i="1" a="1"/>
  <c r="M8104" i="1" s="1"/>
  <c r="M8112" i="1" a="1"/>
  <c r="M8112" i="1" s="1"/>
  <c r="M8115" i="1" a="1"/>
  <c r="M8115" i="1" s="1"/>
  <c r="M8118" i="1" a="1"/>
  <c r="M8118" i="1" s="1"/>
  <c r="M8135" i="1" a="1"/>
  <c r="M8135" i="1" s="1"/>
  <c r="M8143" i="1" a="1"/>
  <c r="M8143" i="1" s="1"/>
  <c r="M8154" i="1" a="1"/>
  <c r="M8154" i="1" s="1"/>
  <c r="M8157" i="1" a="1"/>
  <c r="M8157" i="1" s="1"/>
  <c r="M8165" i="1" a="1"/>
  <c r="M8165" i="1" s="1"/>
  <c r="M8185" i="1" a="1"/>
  <c r="M8185" i="1" s="1"/>
  <c r="M8188" i="1" a="1"/>
  <c r="M8188" i="1" s="1"/>
  <c r="M8191" i="1" a="1"/>
  <c r="M8191" i="1" s="1"/>
  <c r="M8194" i="1" a="1"/>
  <c r="M8194" i="1" s="1"/>
  <c r="M8197" i="1" a="1"/>
  <c r="M8197" i="1" s="1"/>
  <c r="M8212" i="1" a="1"/>
  <c r="M8212" i="1" s="1"/>
  <c r="M8215" i="1" a="1"/>
  <c r="M8215" i="1" s="1"/>
  <c r="M8229" i="1" a="1"/>
  <c r="M8229" i="1" s="1"/>
  <c r="M8240" i="1" a="1"/>
  <c r="M8240" i="1" s="1"/>
  <c r="M8248" i="1" a="1"/>
  <c r="M8248" i="1" s="1"/>
  <c r="M8256" i="1" a="1"/>
  <c r="M8256" i="1" s="1"/>
  <c r="M8273" i="1" a="1"/>
  <c r="M8273" i="1" s="1"/>
  <c r="M8279" i="1" a="1"/>
  <c r="M8279" i="1" s="1"/>
  <c r="M8293" i="1" a="1"/>
  <c r="M8293" i="1" s="1"/>
  <c r="M8310" i="1" a="1"/>
  <c r="M8310" i="1" s="1"/>
  <c r="M8324" i="1" a="1"/>
  <c r="M8324" i="1" s="1"/>
  <c r="M8327" i="1" a="1"/>
  <c r="M8327" i="1" s="1"/>
  <c r="M8338" i="1" a="1"/>
  <c r="M8338" i="1" s="1"/>
  <c r="M8341" i="1" a="1"/>
  <c r="M8341" i="1" s="1"/>
  <c r="M8349" i="1" a="1"/>
  <c r="M8349" i="1" s="1"/>
  <c r="M7363" i="1" a="1"/>
  <c r="M7363" i="1" s="1"/>
  <c r="M7434" i="1" a="1"/>
  <c r="M7434" i="1" s="1"/>
  <c r="M7450" i="1" a="1"/>
  <c r="M7450" i="1" s="1"/>
  <c r="M7467" i="1" a="1"/>
  <c r="M7467" i="1" s="1"/>
  <c r="M7482" i="1" a="1"/>
  <c r="M7482" i="1" s="1"/>
  <c r="M7491" i="1" a="1"/>
  <c r="M7491" i="1" s="1"/>
  <c r="M7558" i="1" a="1"/>
  <c r="M7558" i="1" s="1"/>
  <c r="M7595" i="1" a="1"/>
  <c r="M7595" i="1" s="1"/>
  <c r="M7612" i="1" a="1"/>
  <c r="M7612" i="1" s="1"/>
  <c r="M7624" i="1" a="1"/>
  <c r="M7624" i="1" s="1"/>
  <c r="M7692" i="1" a="1"/>
  <c r="M7692" i="1" s="1"/>
  <c r="M7755" i="1" a="1"/>
  <c r="M7755" i="1" s="1"/>
  <c r="M7769" i="1" a="1"/>
  <c r="M7769" i="1" s="1"/>
  <c r="M7804" i="1" a="1"/>
  <c r="M7804" i="1" s="1"/>
  <c r="M7825" i="1" a="1"/>
  <c r="M7825" i="1" s="1"/>
  <c r="M7853" i="1" a="1"/>
  <c r="M7853" i="1" s="1"/>
  <c r="M7865" i="1" a="1"/>
  <c r="M7865" i="1" s="1"/>
  <c r="M7889" i="1" a="1"/>
  <c r="M7889" i="1" s="1"/>
  <c r="M7903" i="1" a="1"/>
  <c r="M7903" i="1" s="1"/>
  <c r="M7906" i="1" a="1"/>
  <c r="M7906" i="1" s="1"/>
  <c r="M7914" i="1" a="1"/>
  <c r="M7914" i="1" s="1"/>
  <c r="M7928" i="1" a="1"/>
  <c r="M7928" i="1" s="1"/>
  <c r="M7936" i="1" a="1"/>
  <c r="M7936" i="1" s="1"/>
  <c r="M7939" i="1" a="1"/>
  <c r="M7939" i="1" s="1"/>
  <c r="M7953" i="1" a="1"/>
  <c r="M7953" i="1" s="1"/>
  <c r="M7956" i="1" a="1"/>
  <c r="M7956" i="1" s="1"/>
  <c r="M7959" i="1" a="1"/>
  <c r="M7959" i="1" s="1"/>
  <c r="M7962" i="1" a="1"/>
  <c r="M7962" i="1" s="1"/>
  <c r="M7965" i="1" a="1"/>
  <c r="M7965" i="1" s="1"/>
  <c r="M7968" i="1" a="1"/>
  <c r="M7968" i="1" s="1"/>
  <c r="M7975" i="1" a="1"/>
  <c r="M7975" i="1" s="1"/>
  <c r="M7995" i="1" a="1"/>
  <c r="M7995" i="1" s="1"/>
  <c r="M7998" i="1" a="1"/>
  <c r="M7998" i="1" s="1"/>
  <c r="M8010" i="1" a="1"/>
  <c r="M8010" i="1" s="1"/>
  <c r="M8013" i="1" a="1"/>
  <c r="M8013" i="1" s="1"/>
  <c r="M7368" i="1" a="1"/>
  <c r="M7368" i="1" s="1"/>
  <c r="M7951" i="1" a="1"/>
  <c r="M7951" i="1" s="1"/>
  <c r="M7993" i="1" a="1"/>
  <c r="M7993" i="1" s="1"/>
  <c r="M8034" i="1" a="1"/>
  <c r="M8034" i="1" s="1"/>
  <c r="M8043" i="1" a="1"/>
  <c r="M8043" i="1" s="1"/>
  <c r="M8066" i="1" a="1"/>
  <c r="M8066" i="1" s="1"/>
  <c r="M8099" i="1" a="1"/>
  <c r="M8099" i="1" s="1"/>
  <c r="M8179" i="1" a="1"/>
  <c r="M8179" i="1" s="1"/>
  <c r="M8259" i="1" a="1"/>
  <c r="M8259" i="1" s="1"/>
  <c r="M8284" i="1" a="1"/>
  <c r="M8284" i="1" s="1"/>
  <c r="M8307" i="1" a="1"/>
  <c r="M8307" i="1" s="1"/>
  <c r="M8346" i="1" a="1"/>
  <c r="M8346" i="1" s="1"/>
  <c r="M8368" i="1" a="1"/>
  <c r="M8368" i="1" s="1"/>
  <c r="M8371" i="1" a="1"/>
  <c r="M8371" i="1" s="1"/>
  <c r="M8377" i="1" a="1"/>
  <c r="M8377" i="1" s="1"/>
  <c r="M8383" i="1" a="1"/>
  <c r="M8383" i="1" s="1"/>
  <c r="M8386" i="1" a="1"/>
  <c r="M8386" i="1" s="1"/>
  <c r="M8389" i="1" a="1"/>
  <c r="M8389" i="1" s="1"/>
  <c r="M8400" i="1" a="1"/>
  <c r="M8400" i="1" s="1"/>
  <c r="M8403" i="1" a="1"/>
  <c r="M8403" i="1" s="1"/>
  <c r="M8406" i="1" a="1"/>
  <c r="M8406" i="1" s="1"/>
  <c r="M8409" i="1" a="1"/>
  <c r="M8409" i="1" s="1"/>
  <c r="M8435" i="1" a="1"/>
  <c r="M8435" i="1" s="1"/>
  <c r="M8438" i="1" a="1"/>
  <c r="M8438" i="1" s="1"/>
  <c r="M8455" i="1" a="1"/>
  <c r="M8455" i="1" s="1"/>
  <c r="M8458" i="1" a="1"/>
  <c r="M8458" i="1" s="1"/>
  <c r="M8466" i="1" a="1"/>
  <c r="M8466" i="1" s="1"/>
  <c r="M8469" i="1" a="1"/>
  <c r="M8469" i="1" s="1"/>
  <c r="M8477" i="1" a="1"/>
  <c r="M8477" i="1" s="1"/>
  <c r="M8483" i="1" a="1"/>
  <c r="M8483" i="1" s="1"/>
  <c r="M8486" i="1" a="1"/>
  <c r="M8486" i="1" s="1"/>
  <c r="M8489" i="1" a="1"/>
  <c r="M8489" i="1" s="1"/>
  <c r="M8492" i="1" a="1"/>
  <c r="M8492" i="1" s="1"/>
  <c r="M8495" i="1" a="1"/>
  <c r="M8495" i="1" s="1"/>
  <c r="M8506" i="1" a="1"/>
  <c r="M8506" i="1" s="1"/>
  <c r="M8512" i="1" a="1"/>
  <c r="M8512" i="1" s="1"/>
  <c r="M8520" i="1" a="1"/>
  <c r="M8520" i="1" s="1"/>
  <c r="M8556" i="1" a="1"/>
  <c r="M8556" i="1" s="1"/>
  <c r="M8562" i="1" a="1"/>
  <c r="M8562" i="1" s="1"/>
  <c r="M8584" i="1" a="1"/>
  <c r="M8584" i="1" s="1"/>
  <c r="M8587" i="1" a="1"/>
  <c r="M8587" i="1" s="1"/>
  <c r="M8590" i="1" a="1"/>
  <c r="M8590" i="1" s="1"/>
  <c r="M8593" i="1" a="1"/>
  <c r="M8593" i="1" s="1"/>
  <c r="M8596" i="1" a="1"/>
  <c r="M8596" i="1" s="1"/>
  <c r="M8599" i="1" a="1"/>
  <c r="M8599" i="1" s="1"/>
  <c r="M8602" i="1" a="1"/>
  <c r="M8602" i="1" s="1"/>
  <c r="M8616" i="1" a="1"/>
  <c r="M8616" i="1" s="1"/>
  <c r="M8619" i="1" a="1"/>
  <c r="M8619" i="1" s="1"/>
  <c r="M8626" i="1" a="1"/>
  <c r="M8626" i="1" s="1"/>
  <c r="M8629" i="1" a="1"/>
  <c r="M8629" i="1" s="1"/>
  <c r="M8632" i="1" a="1"/>
  <c r="M8632" i="1" s="1"/>
  <c r="M8664" i="1" a="1"/>
  <c r="M8664" i="1" s="1"/>
  <c r="M8667" i="1" a="1"/>
  <c r="M8667" i="1" s="1"/>
  <c r="M8684" i="1" a="1"/>
  <c r="M8684" i="1" s="1"/>
  <c r="M8690" i="1" a="1"/>
  <c r="M8690" i="1" s="1"/>
  <c r="M8693" i="1" a="1"/>
  <c r="M8693" i="1" s="1"/>
  <c r="M8699" i="1" a="1"/>
  <c r="M8699" i="1" s="1"/>
  <c r="M8716" i="1" a="1"/>
  <c r="M8716" i="1" s="1"/>
  <c r="M8719" i="1" a="1"/>
  <c r="M8719" i="1" s="1"/>
  <c r="M8742" i="1" a="1"/>
  <c r="M8742" i="1" s="1"/>
  <c r="M8759" i="1" a="1"/>
  <c r="M8759" i="1" s="1"/>
  <c r="M8762" i="1" a="1"/>
  <c r="M8762" i="1" s="1"/>
  <c r="M8765" i="1" a="1"/>
  <c r="M8765" i="1" s="1"/>
  <c r="M8768" i="1" a="1"/>
  <c r="M8768" i="1" s="1"/>
  <c r="M8771" i="1" a="1"/>
  <c r="M8771" i="1" s="1"/>
  <c r="M8774" i="1" a="1"/>
  <c r="M8774" i="1" s="1"/>
  <c r="M8777" i="1" a="1"/>
  <c r="M8777" i="1" s="1"/>
  <c r="M8783" i="1" a="1"/>
  <c r="M8783" i="1" s="1"/>
  <c r="M8786" i="1" a="1"/>
  <c r="M8786" i="1" s="1"/>
  <c r="M8789" i="1" a="1"/>
  <c r="M8789" i="1" s="1"/>
  <c r="M8792" i="1" a="1"/>
  <c r="M8792" i="1" s="1"/>
  <c r="M8834" i="1" a="1"/>
  <c r="M8834" i="1" s="1"/>
  <c r="M8837" i="1" a="1"/>
  <c r="M8837" i="1" s="1"/>
  <c r="M8840" i="1" a="1"/>
  <c r="M8840" i="1" s="1"/>
  <c r="M8843" i="1" a="1"/>
  <c r="M8843" i="1" s="1"/>
  <c r="M8849" i="1" a="1"/>
  <c r="M8849" i="1" s="1"/>
  <c r="M7814" i="1" a="1"/>
  <c r="M7814" i="1" s="1"/>
  <c r="M7923" i="1" a="1"/>
  <c r="M7923" i="1" s="1"/>
  <c r="M7984" i="1" a="1"/>
  <c r="M7984" i="1" s="1"/>
  <c r="M8045" i="1" a="1"/>
  <c r="M8045" i="1" s="1"/>
  <c r="M8072" i="1" a="1"/>
  <c r="M8072" i="1" s="1"/>
  <c r="M8101" i="1" a="1"/>
  <c r="M8101" i="1" s="1"/>
  <c r="M8203" i="1" a="1"/>
  <c r="M8203" i="1" s="1"/>
  <c r="M8313" i="1" a="1"/>
  <c r="M8313" i="1" s="1"/>
  <c r="M8335" i="1" a="1"/>
  <c r="M8335" i="1" s="1"/>
  <c r="M8352" i="1" a="1"/>
  <c r="M8352" i="1" s="1"/>
  <c r="M8359" i="1" a="1"/>
  <c r="M8359" i="1" s="1"/>
  <c r="M8362" i="1" a="1"/>
  <c r="M8362" i="1" s="1"/>
  <c r="M8365" i="1" a="1"/>
  <c r="M8365" i="1" s="1"/>
  <c r="M8374" i="1" a="1"/>
  <c r="M8374" i="1" s="1"/>
  <c r="M8380" i="1" a="1"/>
  <c r="M8380" i="1" s="1"/>
  <c r="M8394" i="1" a="1"/>
  <c r="M8394" i="1" s="1"/>
  <c r="M8397" i="1" a="1"/>
  <c r="M8397" i="1" s="1"/>
  <c r="M8417" i="1" a="1"/>
  <c r="M8417" i="1" s="1"/>
  <c r="M8420" i="1" a="1"/>
  <c r="M8420" i="1" s="1"/>
  <c r="M8426" i="1" a="1"/>
  <c r="M8426" i="1" s="1"/>
  <c r="M8429" i="1" a="1"/>
  <c r="M8429" i="1" s="1"/>
  <c r="M8432" i="1" a="1"/>
  <c r="M8432" i="1" s="1"/>
  <c r="M8443" i="1" a="1"/>
  <c r="M8443" i="1" s="1"/>
  <c r="M8446" i="1" a="1"/>
  <c r="M8446" i="1" s="1"/>
  <c r="M8449" i="1" a="1"/>
  <c r="M8449" i="1" s="1"/>
  <c r="M8452" i="1" a="1"/>
  <c r="M8452" i="1" s="1"/>
  <c r="M8463" i="1" a="1"/>
  <c r="M8463" i="1" s="1"/>
  <c r="M8474" i="1" a="1"/>
  <c r="M8474" i="1" s="1"/>
  <c r="M8503" i="1" a="1"/>
  <c r="M8503" i="1" s="1"/>
  <c r="M8517" i="1" a="1"/>
  <c r="M8517" i="1" s="1"/>
  <c r="M8528" i="1" a="1"/>
  <c r="M8528" i="1" s="1"/>
  <c r="M8531" i="1" a="1"/>
  <c r="M8531" i="1" s="1"/>
  <c r="M8537" i="1" a="1"/>
  <c r="M8537" i="1" s="1"/>
  <c r="M8546" i="1" a="1"/>
  <c r="M8546" i="1" s="1"/>
  <c r="M8549" i="1" a="1"/>
  <c r="M8549" i="1" s="1"/>
  <c r="M8565" i="1" a="1"/>
  <c r="M8565" i="1" s="1"/>
  <c r="M8574" i="1" a="1"/>
  <c r="M8574" i="1" s="1"/>
  <c r="M8577" i="1" a="1"/>
  <c r="M8577" i="1" s="1"/>
  <c r="M8580" i="1" a="1"/>
  <c r="M8580" i="1" s="1"/>
  <c r="M8583" i="1" a="1"/>
  <c r="M8583" i="1" s="1"/>
  <c r="M8610" i="1" a="1"/>
  <c r="M8610" i="1" s="1"/>
  <c r="M8613" i="1" a="1"/>
  <c r="M8613" i="1" s="1"/>
  <c r="M8622" i="1" a="1"/>
  <c r="M8622" i="1" s="1"/>
  <c r="M8643" i="1" a="1"/>
  <c r="M8643" i="1" s="1"/>
  <c r="M8646" i="1" a="1"/>
  <c r="M8646" i="1" s="1"/>
  <c r="M8649" i="1" a="1"/>
  <c r="M8649" i="1" s="1"/>
  <c r="M8652" i="1" a="1"/>
  <c r="M8652" i="1" s="1"/>
  <c r="M8655" i="1" a="1"/>
  <c r="M8655" i="1" s="1"/>
  <c r="M8658" i="1" a="1"/>
  <c r="M8658" i="1" s="1"/>
  <c r="M8661" i="1" a="1"/>
  <c r="M8661" i="1" s="1"/>
  <c r="M8675" i="1" a="1"/>
  <c r="M8675" i="1" s="1"/>
  <c r="M8678" i="1" a="1"/>
  <c r="M8678" i="1" s="1"/>
  <c r="M8681" i="1" a="1"/>
  <c r="M8681" i="1" s="1"/>
  <c r="M8687" i="1" a="1"/>
  <c r="M8687" i="1" s="1"/>
  <c r="M8707" i="1" a="1"/>
  <c r="M8707" i="1" s="1"/>
  <c r="M8710" i="1" a="1"/>
  <c r="M8710" i="1" s="1"/>
  <c r="M8713" i="1" a="1"/>
  <c r="M8713" i="1" s="1"/>
  <c r="M8727" i="1" a="1"/>
  <c r="M8727" i="1" s="1"/>
  <c r="M8730" i="1" a="1"/>
  <c r="M8730" i="1" s="1"/>
  <c r="M8733" i="1" a="1"/>
  <c r="M8733" i="1" s="1"/>
  <c r="M8736" i="1" a="1"/>
  <c r="M8736" i="1" s="1"/>
  <c r="M8739" i="1" a="1"/>
  <c r="M8739" i="1" s="1"/>
  <c r="M8747" i="1" a="1"/>
  <c r="M8747" i="1" s="1"/>
  <c r="M8753" i="1" a="1"/>
  <c r="M8753" i="1" s="1"/>
  <c r="M8756" i="1" a="1"/>
  <c r="M8756" i="1" s="1"/>
  <c r="M8798" i="1" a="1"/>
  <c r="M8798" i="1" s="1"/>
  <c r="M8801" i="1" a="1"/>
  <c r="M8801" i="1" s="1"/>
  <c r="M8804" i="1" a="1"/>
  <c r="M8804" i="1" s="1"/>
  <c r="M8807" i="1" a="1"/>
  <c r="M8807" i="1" s="1"/>
  <c r="M8810" i="1" a="1"/>
  <c r="M8810" i="1" s="1"/>
  <c r="M8813" i="1" a="1"/>
  <c r="M8813" i="1" s="1"/>
  <c r="M8825" i="1" a="1"/>
  <c r="M8825" i="1" s="1"/>
  <c r="M8828" i="1" a="1"/>
  <c r="M8828" i="1" s="1"/>
  <c r="M8831" i="1" a="1"/>
  <c r="M8831" i="1" s="1"/>
  <c r="M8846" i="1" a="1"/>
  <c r="M8846" i="1" s="1"/>
  <c r="M8852" i="1" a="1"/>
  <c r="M8852" i="1" s="1"/>
  <c r="M7615" i="1" a="1"/>
  <c r="M7615" i="1" s="1"/>
  <c r="M8008" i="1" a="1"/>
  <c r="M8008" i="1" s="1"/>
  <c r="M8096" i="1" a="1"/>
  <c r="M8096" i="1" s="1"/>
  <c r="M8107" i="1" a="1"/>
  <c r="M8107" i="1" s="1"/>
  <c r="M8130" i="1" a="1"/>
  <c r="M8130" i="1" s="1"/>
  <c r="M8176" i="1" a="1"/>
  <c r="M8176" i="1" s="1"/>
  <c r="M8200" i="1" a="1"/>
  <c r="M8200" i="1" s="1"/>
  <c r="M8205" i="1" a="1"/>
  <c r="M8205" i="1" s="1"/>
  <c r="M8226" i="1" a="1"/>
  <c r="M8226" i="1" s="1"/>
  <c r="M8235" i="1" a="1"/>
  <c r="M8235" i="1" s="1"/>
  <c r="M8268" i="1" a="1"/>
  <c r="M8268" i="1" s="1"/>
  <c r="M8304" i="1" a="1"/>
  <c r="M8304" i="1" s="1"/>
  <c r="M8385" i="1" a="1"/>
  <c r="M8385" i="1" s="1"/>
  <c r="M8388" i="1" a="1"/>
  <c r="M8388" i="1" s="1"/>
  <c r="M8391" i="1" a="1"/>
  <c r="M8391" i="1" s="1"/>
  <c r="M8408" i="1" a="1"/>
  <c r="M8408" i="1" s="1"/>
  <c r="M8411" i="1" a="1"/>
  <c r="M8411" i="1" s="1"/>
  <c r="M8414" i="1" a="1"/>
  <c r="M8414" i="1" s="1"/>
  <c r="M8423" i="1" a="1"/>
  <c r="M8423" i="1" s="1"/>
  <c r="M8440" i="1" a="1"/>
  <c r="M8440" i="1" s="1"/>
  <c r="M8457" i="1" a="1"/>
  <c r="M8457" i="1" s="1"/>
  <c r="M8460" i="1" a="1"/>
  <c r="M8460" i="1" s="1"/>
  <c r="M8468" i="1" a="1"/>
  <c r="M8468" i="1" s="1"/>
  <c r="M8471" i="1" a="1"/>
  <c r="M8471" i="1" s="1"/>
  <c r="M8479" i="1" a="1"/>
  <c r="M8479" i="1" s="1"/>
  <c r="M8482" i="1" a="1"/>
  <c r="M8482" i="1" s="1"/>
  <c r="M8485" i="1" a="1"/>
  <c r="M8485" i="1" s="1"/>
  <c r="M8497" i="1" a="1"/>
  <c r="M8497" i="1" s="1"/>
  <c r="M8500" i="1" a="1"/>
  <c r="M8500" i="1" s="1"/>
  <c r="M8508" i="1" a="1"/>
  <c r="M8508" i="1" s="1"/>
  <c r="M8511" i="1" a="1"/>
  <c r="M8511" i="1" s="1"/>
  <c r="M8514" i="1" a="1"/>
  <c r="M8514" i="1" s="1"/>
  <c r="M8522" i="1" a="1"/>
  <c r="M8522" i="1" s="1"/>
  <c r="M8525" i="1" a="1"/>
  <c r="M8525" i="1" s="1"/>
  <c r="M8534" i="1" a="1"/>
  <c r="M8534" i="1" s="1"/>
  <c r="M8540" i="1" a="1"/>
  <c r="M8540" i="1" s="1"/>
  <c r="M8543" i="1" a="1"/>
  <c r="M8543" i="1" s="1"/>
  <c r="M8552" i="1" a="1"/>
  <c r="M8552" i="1" s="1"/>
  <c r="M8558" i="1" a="1"/>
  <c r="M8558" i="1" s="1"/>
  <c r="M8561" i="1" a="1"/>
  <c r="M8561" i="1" s="1"/>
  <c r="M8568" i="1" a="1"/>
  <c r="M8568" i="1" s="1"/>
  <c r="M8571" i="1" a="1"/>
  <c r="M8571" i="1" s="1"/>
  <c r="M7494" i="1" a="1"/>
  <c r="M7494" i="1" s="1"/>
  <c r="M7948" i="1" a="1"/>
  <c r="M7948" i="1" s="1"/>
  <c r="M7981" i="1" a="1"/>
  <c r="M7981" i="1" s="1"/>
  <c r="M8031" i="1" a="1"/>
  <c r="M8031" i="1" s="1"/>
  <c r="M8040" i="1" a="1"/>
  <c r="M8040" i="1" s="1"/>
  <c r="M8063" i="1" a="1"/>
  <c r="M8063" i="1" s="1"/>
  <c r="M8109" i="1" a="1"/>
  <c r="M8109" i="1" s="1"/>
  <c r="M8127" i="1" a="1"/>
  <c r="M8127" i="1" s="1"/>
  <c r="M8132" i="1" a="1"/>
  <c r="M8132" i="1" s="1"/>
  <c r="M8160" i="1" a="1"/>
  <c r="M8160" i="1" s="1"/>
  <c r="M8202" i="1" a="1"/>
  <c r="M8202" i="1" s="1"/>
  <c r="M8221" i="1" a="1"/>
  <c r="M8221" i="1" s="1"/>
  <c r="M8232" i="1" a="1"/>
  <c r="M8232" i="1" s="1"/>
  <c r="M8237" i="1" a="1"/>
  <c r="M8237" i="1" s="1"/>
  <c r="M8265" i="1" a="1"/>
  <c r="M8265" i="1" s="1"/>
  <c r="M8270" i="1" a="1"/>
  <c r="M8270" i="1" s="1"/>
  <c r="M8290" i="1" a="1"/>
  <c r="M8290" i="1" s="1"/>
  <c r="M8299" i="1" a="1"/>
  <c r="M8299" i="1" s="1"/>
  <c r="M8330" i="1" a="1"/>
  <c r="M8330" i="1" s="1"/>
  <c r="M8361" i="1" a="1"/>
  <c r="M8361" i="1" s="1"/>
  <c r="M8367" i="1" a="1"/>
  <c r="M8367" i="1" s="1"/>
  <c r="M8370" i="1" a="1"/>
  <c r="M8370" i="1" s="1"/>
  <c r="M8373" i="1" a="1"/>
  <c r="M8373" i="1" s="1"/>
  <c r="M8376" i="1" a="1"/>
  <c r="M8376" i="1" s="1"/>
  <c r="M8379" i="1" a="1"/>
  <c r="M8379" i="1" s="1"/>
  <c r="M8382" i="1" a="1"/>
  <c r="M8382" i="1" s="1"/>
  <c r="M8399" i="1" a="1"/>
  <c r="M8399" i="1" s="1"/>
  <c r="M8402" i="1" a="1"/>
  <c r="M8402" i="1" s="1"/>
  <c r="M8405" i="1" a="1"/>
  <c r="M8405" i="1" s="1"/>
  <c r="M8428" i="1" a="1"/>
  <c r="M8428" i="1" s="1"/>
  <c r="M8434" i="1" a="1"/>
  <c r="M8434" i="1" s="1"/>
  <c r="M8437" i="1" a="1"/>
  <c r="M8437" i="1" s="1"/>
  <c r="M8445" i="1" a="1"/>
  <c r="M8445" i="1" s="1"/>
  <c r="M8448" i="1" a="1"/>
  <c r="M8448" i="1" s="1"/>
  <c r="M8454" i="1" a="1"/>
  <c r="M8454" i="1" s="1"/>
  <c r="M8465" i="1" a="1"/>
  <c r="M8465" i="1" s="1"/>
  <c r="M8476" i="1" a="1"/>
  <c r="M8476" i="1" s="1"/>
  <c r="M8488" i="1" a="1"/>
  <c r="M8488" i="1" s="1"/>
  <c r="M8491" i="1" a="1"/>
  <c r="M8491" i="1" s="1"/>
  <c r="M8494" i="1" a="1"/>
  <c r="M8494" i="1" s="1"/>
  <c r="M8505" i="1" a="1"/>
  <c r="M8505" i="1" s="1"/>
  <c r="M8519" i="1" a="1"/>
  <c r="M8519" i="1" s="1"/>
  <c r="M8555" i="1" a="1"/>
  <c r="M8555" i="1" s="1"/>
  <c r="M8564" i="1" a="1"/>
  <c r="M8564" i="1" s="1"/>
  <c r="M8586" i="1" a="1"/>
  <c r="M8586" i="1" s="1"/>
  <c r="M8592" i="1" a="1"/>
  <c r="M8592" i="1" s="1"/>
  <c r="M8595" i="1" a="1"/>
  <c r="M8595" i="1" s="1"/>
  <c r="M8598" i="1" a="1"/>
  <c r="M8598" i="1" s="1"/>
  <c r="M7405" i="1" a="1"/>
  <c r="M7405" i="1" s="1"/>
  <c r="M7834" i="1" a="1"/>
  <c r="M7834" i="1" s="1"/>
  <c r="M7912" i="1" a="1"/>
  <c r="M7912" i="1" s="1"/>
  <c r="M7937" i="1" a="1"/>
  <c r="M7937" i="1" s="1"/>
  <c r="M7972" i="1" a="1"/>
  <c r="M7972" i="1" s="1"/>
  <c r="M8014" i="1" a="1"/>
  <c r="M8014" i="1" s="1"/>
  <c r="M8058" i="1" a="1"/>
  <c r="M8058" i="1" s="1"/>
  <c r="M8093" i="1" a="1"/>
  <c r="M8093" i="1" s="1"/>
  <c r="M8124" i="1" a="1"/>
  <c r="M8124" i="1" s="1"/>
  <c r="M8129" i="1" a="1"/>
  <c r="M8129" i="1" s="1"/>
  <c r="M8138" i="1" a="1"/>
  <c r="M8138" i="1" s="1"/>
  <c r="M8149" i="1" a="1"/>
  <c r="M8149" i="1" s="1"/>
  <c r="M8162" i="1" a="1"/>
  <c r="M8162" i="1" s="1"/>
  <c r="M8173" i="1" a="1"/>
  <c r="M8173" i="1" s="1"/>
  <c r="M8223" i="1" a="1"/>
  <c r="M8223" i="1" s="1"/>
  <c r="M8234" i="1" a="1"/>
  <c r="M8234" i="1" s="1"/>
  <c r="M8243" i="1" a="1"/>
  <c r="M8243" i="1" s="1"/>
  <c r="M8267" i="1" a="1"/>
  <c r="M8267" i="1" s="1"/>
  <c r="M8296" i="1" a="1"/>
  <c r="M8296" i="1" s="1"/>
  <c r="M8301" i="1" a="1"/>
  <c r="M8301" i="1" s="1"/>
  <c r="M8319" i="1" a="1"/>
  <c r="M8319" i="1" s="1"/>
  <c r="M8332" i="1" a="1"/>
  <c r="M8332" i="1" s="1"/>
  <c r="M8364" i="1" a="1"/>
  <c r="M8364" i="1" s="1"/>
  <c r="M8393" i="1" a="1"/>
  <c r="M8393" i="1" s="1"/>
  <c r="M8396" i="1" a="1"/>
  <c r="M8396" i="1" s="1"/>
  <c r="M8413" i="1" a="1"/>
  <c r="M8413" i="1" s="1"/>
  <c r="M8416" i="1" a="1"/>
  <c r="M8416" i="1" s="1"/>
  <c r="M8419" i="1" a="1"/>
  <c r="M8419" i="1" s="1"/>
  <c r="M8422" i="1" a="1"/>
  <c r="M8422" i="1" s="1"/>
  <c r="M8425" i="1" a="1"/>
  <c r="M8425" i="1" s="1"/>
  <c r="M8431" i="1" a="1"/>
  <c r="M8431" i="1" s="1"/>
  <c r="M8442" i="1" a="1"/>
  <c r="M8442" i="1" s="1"/>
  <c r="M8451" i="1" a="1"/>
  <c r="M8451" i="1" s="1"/>
  <c r="M8462" i="1" a="1"/>
  <c r="M8462" i="1" s="1"/>
  <c r="M8473" i="1" a="1"/>
  <c r="M8473" i="1" s="1"/>
  <c r="M8481" i="1" a="1"/>
  <c r="M8481" i="1" s="1"/>
  <c r="M8502" i="1" a="1"/>
  <c r="M8502" i="1" s="1"/>
  <c r="M8510" i="1" a="1"/>
  <c r="M8510" i="1" s="1"/>
  <c r="M8516" i="1" a="1"/>
  <c r="M8516" i="1" s="1"/>
  <c r="M8524" i="1" a="1"/>
  <c r="M8524" i="1" s="1"/>
  <c r="M8527" i="1" a="1"/>
  <c r="M8527" i="1" s="1"/>
  <c r="M8530" i="1" a="1"/>
  <c r="M8530" i="1" s="1"/>
  <c r="M8533" i="1" a="1"/>
  <c r="M8533" i="1" s="1"/>
  <c r="M8536" i="1" a="1"/>
  <c r="M8536" i="1" s="1"/>
  <c r="M8539" i="1" a="1"/>
  <c r="M8539" i="1" s="1"/>
  <c r="M8545" i="1" a="1"/>
  <c r="M8545" i="1" s="1"/>
  <c r="M8548" i="1" a="1"/>
  <c r="M8548" i="1" s="1"/>
  <c r="M8567" i="1" a="1"/>
  <c r="M8567" i="1" s="1"/>
  <c r="M8570" i="1" a="1"/>
  <c r="M8570" i="1" s="1"/>
  <c r="M8573" i="1" a="1"/>
  <c r="M8573" i="1" s="1"/>
  <c r="M8576" i="1" a="1"/>
  <c r="M8576" i="1" s="1"/>
  <c r="M7390" i="1" a="1"/>
  <c r="M7390" i="1" s="1"/>
  <c r="M7945" i="1" a="1"/>
  <c r="M7945" i="1" s="1"/>
  <c r="M8016" i="1" a="1"/>
  <c r="M8016" i="1" s="1"/>
  <c r="M8060" i="1" a="1"/>
  <c r="M8060" i="1" s="1"/>
  <c r="M8121" i="1" a="1"/>
  <c r="M8121" i="1" s="1"/>
  <c r="M8126" i="1" a="1"/>
  <c r="M8126" i="1" s="1"/>
  <c r="M8140" i="1" a="1"/>
  <c r="M8140" i="1" s="1"/>
  <c r="M8151" i="1" a="1"/>
  <c r="M8151" i="1" s="1"/>
  <c r="M8168" i="1" a="1"/>
  <c r="M8168" i="1" s="1"/>
  <c r="M8209" i="1" a="1"/>
  <c r="M8209" i="1" s="1"/>
  <c r="M8218" i="1" a="1"/>
  <c r="M8218" i="1" s="1"/>
  <c r="M8245" i="1" a="1"/>
  <c r="M8245" i="1" s="1"/>
  <c r="M8262" i="1" a="1"/>
  <c r="M8262" i="1" s="1"/>
  <c r="M8298" i="1" a="1"/>
  <c r="M8298" i="1" s="1"/>
  <c r="M8321" i="1" a="1"/>
  <c r="M8321" i="1" s="1"/>
  <c r="M8369" i="1" a="1"/>
  <c r="M8369" i="1" s="1"/>
  <c r="M8372" i="1" a="1"/>
  <c r="M8372" i="1" s="1"/>
  <c r="M8384" i="1" a="1"/>
  <c r="M8384" i="1" s="1"/>
  <c r="M8387" i="1" a="1"/>
  <c r="M8387" i="1" s="1"/>
  <c r="M8390" i="1" a="1"/>
  <c r="M8390" i="1" s="1"/>
  <c r="M8401" i="1" a="1"/>
  <c r="M8401" i="1" s="1"/>
  <c r="M8404" i="1" a="1"/>
  <c r="M8404" i="1" s="1"/>
  <c r="M8407" i="1" a="1"/>
  <c r="M8407" i="1" s="1"/>
  <c r="M8410" i="1" a="1"/>
  <c r="M8410" i="1" s="1"/>
  <c r="M8436" i="1" a="1"/>
  <c r="M8436" i="1" s="1"/>
  <c r="M8439" i="1" a="1"/>
  <c r="M8439" i="1" s="1"/>
  <c r="M8456" i="1" a="1"/>
  <c r="M8456" i="1" s="1"/>
  <c r="M8459" i="1" a="1"/>
  <c r="M8459" i="1" s="1"/>
  <c r="M8467" i="1" a="1"/>
  <c r="M8467" i="1" s="1"/>
  <c r="M8470" i="1" a="1"/>
  <c r="M8470" i="1" s="1"/>
  <c r="M8478" i="1" a="1"/>
  <c r="M8478" i="1" s="1"/>
  <c r="M8484" i="1" a="1"/>
  <c r="M8484" i="1" s="1"/>
  <c r="M8496" i="1" a="1"/>
  <c r="M8496" i="1" s="1"/>
  <c r="M8499" i="1" a="1"/>
  <c r="M8499" i="1" s="1"/>
  <c r="M8507" i="1" a="1"/>
  <c r="M8507" i="1" s="1"/>
  <c r="M8513" i="1" a="1"/>
  <c r="M8513" i="1" s="1"/>
  <c r="M8521" i="1" a="1"/>
  <c r="M8521" i="1" s="1"/>
  <c r="M8542" i="1" a="1"/>
  <c r="M8542" i="1" s="1"/>
  <c r="M8551" i="1" a="1"/>
  <c r="M8551" i="1" s="1"/>
  <c r="M8554" i="1" a="1"/>
  <c r="M8554" i="1" s="1"/>
  <c r="M8557" i="1" a="1"/>
  <c r="M8557" i="1" s="1"/>
  <c r="M8560" i="1" a="1"/>
  <c r="M8560" i="1" s="1"/>
  <c r="M8563" i="1" a="1"/>
  <c r="M8563" i="1" s="1"/>
  <c r="M8588" i="1" a="1"/>
  <c r="M8588" i="1" s="1"/>
  <c r="M8591" i="1" a="1"/>
  <c r="M8591" i="1" s="1"/>
  <c r="M8597" i="1" a="1"/>
  <c r="M8597" i="1" s="1"/>
  <c r="M7635" i="1" a="1"/>
  <c r="M7635" i="1" s="1"/>
  <c r="M7901" i="1" a="1"/>
  <c r="M7901" i="1" s="1"/>
  <c r="M7926" i="1" a="1"/>
  <c r="M7926" i="1" s="1"/>
  <c r="M7954" i="1" a="1"/>
  <c r="M7954" i="1" s="1"/>
  <c r="M7969" i="1" a="1"/>
  <c r="M7969" i="1" s="1"/>
  <c r="M7996" i="1" a="1"/>
  <c r="M7996" i="1" s="1"/>
  <c r="M8037" i="1" a="1"/>
  <c r="M8037" i="1" s="1"/>
  <c r="M8055" i="1" a="1"/>
  <c r="M8055" i="1" s="1"/>
  <c r="M8090" i="1" a="1"/>
  <c r="M8090" i="1" s="1"/>
  <c r="M8123" i="1" a="1"/>
  <c r="M8123" i="1" s="1"/>
  <c r="M8146" i="1" a="1"/>
  <c r="M8146" i="1" s="1"/>
  <c r="M8170" i="1" a="1"/>
  <c r="M8170" i="1" s="1"/>
  <c r="M8182" i="1" a="1"/>
  <c r="M8182" i="1" s="1"/>
  <c r="M8251" i="1" a="1"/>
  <c r="M8251" i="1" s="1"/>
  <c r="M8276" i="1" a="1"/>
  <c r="M8276" i="1" s="1"/>
  <c r="M8287" i="1" a="1"/>
  <c r="M8287" i="1" s="1"/>
  <c r="M8355" i="1" a="1"/>
  <c r="M8355" i="1" s="1"/>
  <c r="M8360" i="1" a="1"/>
  <c r="M8360" i="1" s="1"/>
  <c r="M8363" i="1" a="1"/>
  <c r="M8363" i="1" s="1"/>
  <c r="M8366" i="1" a="1"/>
  <c r="M8366" i="1" s="1"/>
  <c r="M8375" i="1" a="1"/>
  <c r="M8375" i="1" s="1"/>
  <c r="M8378" i="1" a="1"/>
  <c r="M8378" i="1" s="1"/>
  <c r="M8381" i="1" a="1"/>
  <c r="M8381" i="1" s="1"/>
  <c r="M8395" i="1" a="1"/>
  <c r="M8395" i="1" s="1"/>
  <c r="M8398" i="1" a="1"/>
  <c r="M8398" i="1" s="1"/>
  <c r="M8427" i="1" a="1"/>
  <c r="M8427" i="1" s="1"/>
  <c r="M8430" i="1" a="1"/>
  <c r="M8430" i="1" s="1"/>
  <c r="M8433" i="1" a="1"/>
  <c r="M8433" i="1" s="1"/>
  <c r="M8444" i="1" a="1"/>
  <c r="M8444" i="1" s="1"/>
  <c r="M8447" i="1" a="1"/>
  <c r="M8447" i="1" s="1"/>
  <c r="M8453" i="1" a="1"/>
  <c r="M8453" i="1" s="1"/>
  <c r="M8464" i="1" a="1"/>
  <c r="M8464" i="1" s="1"/>
  <c r="M8475" i="1" a="1"/>
  <c r="M8475" i="1" s="1"/>
  <c r="M8487" i="1" a="1"/>
  <c r="M8487" i="1" s="1"/>
  <c r="M8490" i="1" a="1"/>
  <c r="M8490" i="1" s="1"/>
  <c r="M8493" i="1" a="1"/>
  <c r="M8493" i="1" s="1"/>
  <c r="M8504" i="1" a="1"/>
  <c r="M8504" i="1" s="1"/>
  <c r="M8518" i="1" a="1"/>
  <c r="M8518" i="1" s="1"/>
  <c r="M8529" i="1" a="1"/>
  <c r="M8529" i="1" s="1"/>
  <c r="M8532" i="1" a="1"/>
  <c r="M8532" i="1" s="1"/>
  <c r="M8550" i="1" a="1"/>
  <c r="M8550" i="1" s="1"/>
  <c r="M8566" i="1" a="1"/>
  <c r="M8566" i="1" s="1"/>
  <c r="M8585" i="1" a="1"/>
  <c r="M8585" i="1" s="1"/>
  <c r="M8594" i="1" a="1"/>
  <c r="M8594" i="1" s="1"/>
  <c r="M8600" i="1" a="1"/>
  <c r="M8600" i="1" s="1"/>
  <c r="M8418" i="1" a="1"/>
  <c r="M8418" i="1" s="1"/>
  <c r="M8450" i="1" a="1"/>
  <c r="M8450" i="1" s="1"/>
  <c r="M8515" i="1" a="1"/>
  <c r="M8515" i="1" s="1"/>
  <c r="M8608" i="1" a="1"/>
  <c r="M8608" i="1" s="1"/>
  <c r="M8618" i="1" a="1"/>
  <c r="M8618" i="1" s="1"/>
  <c r="M8624" i="1" a="1"/>
  <c r="M8624" i="1" s="1"/>
  <c r="M8656" i="1" a="1"/>
  <c r="M8656" i="1" s="1"/>
  <c r="M8669" i="1" a="1"/>
  <c r="M8669" i="1" s="1"/>
  <c r="M8677" i="1" a="1"/>
  <c r="M8677" i="1" s="1"/>
  <c r="M8682" i="1" a="1"/>
  <c r="M8682" i="1" s="1"/>
  <c r="M8700" i="1" a="1"/>
  <c r="M8700" i="1" s="1"/>
  <c r="M8708" i="1" a="1"/>
  <c r="M8708" i="1" s="1"/>
  <c r="M8721" i="1" a="1"/>
  <c r="M8721" i="1" s="1"/>
  <c r="M8729" i="1" a="1"/>
  <c r="M8729" i="1" s="1"/>
  <c r="M8734" i="1" a="1"/>
  <c r="M8734" i="1" s="1"/>
  <c r="M8750" i="1" a="1"/>
  <c r="M8750" i="1" s="1"/>
  <c r="M8760" i="1" a="1"/>
  <c r="M8760" i="1" s="1"/>
  <c r="M8773" i="1" a="1"/>
  <c r="M8773" i="1" s="1"/>
  <c r="M8781" i="1" a="1"/>
  <c r="M8781" i="1" s="1"/>
  <c r="M8795" i="1" a="1"/>
  <c r="M8795" i="1" s="1"/>
  <c r="M8803" i="1" a="1"/>
  <c r="M8803" i="1" s="1"/>
  <c r="M8808" i="1" a="1"/>
  <c r="M8808" i="1" s="1"/>
  <c r="M8811" i="1" a="1"/>
  <c r="M8811" i="1" s="1"/>
  <c r="M8833" i="1" a="1"/>
  <c r="M8833" i="1" s="1"/>
  <c r="M8883" i="1" a="1"/>
  <c r="M8883" i="1" s="1"/>
  <c r="M8886" i="1" a="1"/>
  <c r="M8886" i="1" s="1"/>
  <c r="M8889" i="1" a="1"/>
  <c r="M8889" i="1" s="1"/>
  <c r="M8892" i="1" a="1"/>
  <c r="M8892" i="1" s="1"/>
  <c r="M8901" i="1" a="1"/>
  <c r="M8901" i="1" s="1"/>
  <c r="M8907" i="1" a="1"/>
  <c r="M8907" i="1" s="1"/>
  <c r="M8917" i="1" a="1"/>
  <c r="M8917" i="1" s="1"/>
  <c r="M8923" i="1" a="1"/>
  <c r="M8923" i="1" s="1"/>
  <c r="M8933" i="1" a="1"/>
  <c r="M8933" i="1" s="1"/>
  <c r="M8939" i="1" a="1"/>
  <c r="M8939" i="1" s="1"/>
  <c r="M8949" i="1" a="1"/>
  <c r="M8949" i="1" s="1"/>
  <c r="M8955" i="1" a="1"/>
  <c r="M8955" i="1" s="1"/>
  <c r="M8948" i="1" a="1"/>
  <c r="M8948" i="1" s="1"/>
  <c r="M8961" i="1" a="1"/>
  <c r="M8961" i="1" s="1"/>
  <c r="M8888" i="1" a="1"/>
  <c r="M8888" i="1" s="1"/>
  <c r="M8951" i="1" a="1"/>
  <c r="M8951" i="1" s="1"/>
  <c r="M8863" i="1" a="1"/>
  <c r="M8863" i="1" s="1"/>
  <c r="M8897" i="1" a="1"/>
  <c r="M8897" i="1" s="1"/>
  <c r="M8931" i="1" a="1"/>
  <c r="M8931" i="1" s="1"/>
  <c r="M5839" i="1" a="1"/>
  <c r="M5839" i="1" s="1"/>
  <c r="M8953" i="1" a="1"/>
  <c r="M8953" i="1" s="1"/>
  <c r="M8441" i="1" a="1"/>
  <c r="M8441" i="1" s="1"/>
  <c r="M8523" i="1" a="1"/>
  <c r="M8523" i="1" s="1"/>
  <c r="M8541" i="1" a="1"/>
  <c r="M8541" i="1" s="1"/>
  <c r="M8559" i="1" a="1"/>
  <c r="M8559" i="1" s="1"/>
  <c r="M8575" i="1" a="1"/>
  <c r="M8575" i="1" s="1"/>
  <c r="M8605" i="1" a="1"/>
  <c r="M8605" i="1" s="1"/>
  <c r="M8621" i="1" a="1"/>
  <c r="M8621" i="1" s="1"/>
  <c r="M8640" i="1" a="1"/>
  <c r="M8640" i="1" s="1"/>
  <c r="M8648" i="1" a="1"/>
  <c r="M8648" i="1" s="1"/>
  <c r="M8653" i="1" a="1"/>
  <c r="M8653" i="1" s="1"/>
  <c r="M8666" i="1" a="1"/>
  <c r="M8666" i="1" s="1"/>
  <c r="M8674" i="1" a="1"/>
  <c r="M8674" i="1" s="1"/>
  <c r="M8692" i="1" a="1"/>
  <c r="M8692" i="1" s="1"/>
  <c r="M8697" i="1" a="1"/>
  <c r="M8697" i="1" s="1"/>
  <c r="M8726" i="1" a="1"/>
  <c r="M8726" i="1" s="1"/>
  <c r="M8744" i="1" a="1"/>
  <c r="M8744" i="1" s="1"/>
  <c r="M8749" i="1" a="1"/>
  <c r="M8749" i="1" s="1"/>
  <c r="M8755" i="1" a="1"/>
  <c r="M8755" i="1" s="1"/>
  <c r="M8770" i="1" a="1"/>
  <c r="M8770" i="1" s="1"/>
  <c r="M8778" i="1" a="1"/>
  <c r="M8778" i="1" s="1"/>
  <c r="M8784" i="1" a="1"/>
  <c r="M8784" i="1" s="1"/>
  <c r="M8794" i="1" a="1"/>
  <c r="M8794" i="1" s="1"/>
  <c r="M8800" i="1" a="1"/>
  <c r="M8800" i="1" s="1"/>
  <c r="M8805" i="1" a="1"/>
  <c r="M8805" i="1" s="1"/>
  <c r="M8838" i="1" a="1"/>
  <c r="M8838" i="1" s="1"/>
  <c r="M8855" i="1" a="1"/>
  <c r="M8855" i="1" s="1"/>
  <c r="M8858" i="1" a="1"/>
  <c r="M8858" i="1" s="1"/>
  <c r="M8861" i="1" a="1"/>
  <c r="M8861" i="1" s="1"/>
  <c r="M8864" i="1" a="1"/>
  <c r="M8864" i="1" s="1"/>
  <c r="M8867" i="1" a="1"/>
  <c r="M8867" i="1" s="1"/>
  <c r="M8870" i="1" a="1"/>
  <c r="M8870" i="1" s="1"/>
  <c r="M8873" i="1" a="1"/>
  <c r="M8873" i="1" s="1"/>
  <c r="M8876" i="1" a="1"/>
  <c r="M8876" i="1" s="1"/>
  <c r="M8895" i="1" a="1"/>
  <c r="M8895" i="1" s="1"/>
  <c r="M8898" i="1" a="1"/>
  <c r="M8898" i="1" s="1"/>
  <c r="M8904" i="1" a="1"/>
  <c r="M8904" i="1" s="1"/>
  <c r="M8910" i="1" a="1"/>
  <c r="M8910" i="1" s="1"/>
  <c r="M8920" i="1" a="1"/>
  <c r="M8920" i="1" s="1"/>
  <c r="M8926" i="1" a="1"/>
  <c r="M8926" i="1" s="1"/>
  <c r="M8936" i="1" a="1"/>
  <c r="M8936" i="1" s="1"/>
  <c r="M8942" i="1" a="1"/>
  <c r="M8942" i="1" s="1"/>
  <c r="M8952" i="1" a="1"/>
  <c r="M8952" i="1" s="1"/>
  <c r="M8958" i="1" a="1"/>
  <c r="M8958" i="1" s="1"/>
  <c r="M5837" i="1" a="1"/>
  <c r="M5837" i="1" s="1"/>
  <c r="M8932" i="1" a="1"/>
  <c r="M8932" i="1" s="1"/>
  <c r="M8945" i="1" a="1"/>
  <c r="M8945" i="1" s="1"/>
  <c r="M5840" i="1" a="1"/>
  <c r="M5840" i="1" s="1"/>
  <c r="M8885" i="1" a="1"/>
  <c r="M8885" i="1" s="1"/>
  <c r="M8903" i="1" a="1"/>
  <c r="M8903" i="1" s="1"/>
  <c r="M8954" i="1" a="1"/>
  <c r="M8954" i="1" s="1"/>
  <c r="M8915" i="1" a="1"/>
  <c r="M8915" i="1" s="1"/>
  <c r="M8957" i="1" a="1"/>
  <c r="M8957" i="1" s="1"/>
  <c r="M8940" i="1" a="1"/>
  <c r="M8940" i="1" s="1"/>
  <c r="M8357" i="1" a="1"/>
  <c r="M8357" i="1" s="1"/>
  <c r="M8424" i="1" a="1"/>
  <c r="M8424" i="1" s="1"/>
  <c r="M8589" i="1" a="1"/>
  <c r="M8589" i="1" s="1"/>
  <c r="M8615" i="1" a="1"/>
  <c r="M8615" i="1" s="1"/>
  <c r="M8634" i="1" a="1"/>
  <c r="M8634" i="1" s="1"/>
  <c r="M8637" i="1" a="1"/>
  <c r="M8637" i="1" s="1"/>
  <c r="M8645" i="1" a="1"/>
  <c r="M8645" i="1" s="1"/>
  <c r="M8650" i="1" a="1"/>
  <c r="M8650" i="1" s="1"/>
  <c r="M8671" i="1" a="1"/>
  <c r="M8671" i="1" s="1"/>
  <c r="M8676" i="1" a="1"/>
  <c r="M8676" i="1" s="1"/>
  <c r="M8679" i="1" a="1"/>
  <c r="M8679" i="1" s="1"/>
  <c r="M8694" i="1" a="1"/>
  <c r="M8694" i="1" s="1"/>
  <c r="M8702" i="1" a="1"/>
  <c r="M8702" i="1" s="1"/>
  <c r="M8705" i="1" a="1"/>
  <c r="M8705" i="1" s="1"/>
  <c r="M8718" i="1" a="1"/>
  <c r="M8718" i="1" s="1"/>
  <c r="M8723" i="1" a="1"/>
  <c r="M8723" i="1" s="1"/>
  <c r="M8728" i="1" a="1"/>
  <c r="M8728" i="1" s="1"/>
  <c r="M8731" i="1" a="1"/>
  <c r="M8731" i="1" s="1"/>
  <c r="M8752" i="1" a="1"/>
  <c r="M8752" i="1" s="1"/>
  <c r="M8757" i="1" a="1"/>
  <c r="M8757" i="1" s="1"/>
  <c r="M8767" i="1" a="1"/>
  <c r="M8767" i="1" s="1"/>
  <c r="M8775" i="1" a="1"/>
  <c r="M8775" i="1" s="1"/>
  <c r="M8797" i="1" a="1"/>
  <c r="M8797" i="1" s="1"/>
  <c r="M8802" i="1" a="1"/>
  <c r="M8802" i="1" s="1"/>
  <c r="M8816" i="1" a="1"/>
  <c r="M8816" i="1" s="1"/>
  <c r="M8819" i="1" a="1"/>
  <c r="M8819" i="1" s="1"/>
  <c r="M8822" i="1" a="1"/>
  <c r="M8822" i="1" s="1"/>
  <c r="M8830" i="1" a="1"/>
  <c r="M8830" i="1" s="1"/>
  <c r="M8835" i="1" a="1"/>
  <c r="M8835" i="1" s="1"/>
  <c r="M8851" i="1" a="1"/>
  <c r="M8851" i="1" s="1"/>
  <c r="M8879" i="1" a="1"/>
  <c r="M8879" i="1" s="1"/>
  <c r="M8913" i="1" a="1"/>
  <c r="M8913" i="1" s="1"/>
  <c r="M8916" i="1" a="1"/>
  <c r="M8916" i="1" s="1"/>
  <c r="M8929" i="1" a="1"/>
  <c r="M8929" i="1" s="1"/>
  <c r="M8620" i="1" a="1"/>
  <c r="M8620" i="1" s="1"/>
  <c r="M8772" i="1" a="1"/>
  <c r="M8772" i="1" s="1"/>
  <c r="M8791" i="1" a="1"/>
  <c r="M8791" i="1" s="1"/>
  <c r="M8827" i="1" a="1"/>
  <c r="M8827" i="1" s="1"/>
  <c r="M8854" i="1" a="1"/>
  <c r="M8854" i="1" s="1"/>
  <c r="M8882" i="1" a="1"/>
  <c r="M8882" i="1" s="1"/>
  <c r="M8894" i="1" a="1"/>
  <c r="M8894" i="1" s="1"/>
  <c r="M8906" i="1" a="1"/>
  <c r="M8906" i="1" s="1"/>
  <c r="M8922" i="1" a="1"/>
  <c r="M8922" i="1" s="1"/>
  <c r="M8938" i="1" a="1"/>
  <c r="M8938" i="1" s="1"/>
  <c r="M8947" i="1" a="1"/>
  <c r="M8947" i="1" s="1"/>
  <c r="M8956" i="1" a="1"/>
  <c r="M8956" i="1" s="1"/>
  <c r="M7535" i="1" a="1"/>
  <c r="M7535" i="1" s="1"/>
  <c r="M7934" i="1" a="1"/>
  <c r="M7934" i="1" s="1"/>
  <c r="M8316" i="1" a="1"/>
  <c r="M8316" i="1" s="1"/>
  <c r="M8392" i="1" a="1"/>
  <c r="M8392" i="1" s="1"/>
  <c r="M8415" i="1" a="1"/>
  <c r="M8415" i="1" s="1"/>
  <c r="M8472" i="1" a="1"/>
  <c r="M8472" i="1" s="1"/>
  <c r="M8538" i="1" a="1"/>
  <c r="M8538" i="1" s="1"/>
  <c r="M8547" i="1" a="1"/>
  <c r="M8547" i="1" s="1"/>
  <c r="M8572" i="1" a="1"/>
  <c r="M8572" i="1" s="1"/>
  <c r="M8582" i="1" a="1"/>
  <c r="M8582" i="1" s="1"/>
  <c r="M8607" i="1" a="1"/>
  <c r="M8607" i="1" s="1"/>
  <c r="M8617" i="1" a="1"/>
  <c r="M8617" i="1" s="1"/>
  <c r="M8623" i="1" a="1"/>
  <c r="M8623" i="1" s="1"/>
  <c r="M8642" i="1" a="1"/>
  <c r="M8642" i="1" s="1"/>
  <c r="M8663" i="1" a="1"/>
  <c r="M8663" i="1" s="1"/>
  <c r="M8668" i="1" a="1"/>
  <c r="M8668" i="1" s="1"/>
  <c r="M8689" i="1" a="1"/>
  <c r="M8689" i="1" s="1"/>
  <c r="M8715" i="1" a="1"/>
  <c r="M8715" i="1" s="1"/>
  <c r="M8720" i="1" a="1"/>
  <c r="M8720" i="1" s="1"/>
  <c r="M8741" i="1" a="1"/>
  <c r="M8741" i="1" s="1"/>
  <c r="M8746" i="1" a="1"/>
  <c r="M8746" i="1" s="1"/>
  <c r="M8754" i="1" a="1"/>
  <c r="M8754" i="1" s="1"/>
  <c r="M8799" i="1" a="1"/>
  <c r="M8799" i="1" s="1"/>
  <c r="M8848" i="1" a="1"/>
  <c r="M8848" i="1" s="1"/>
  <c r="M8900" i="1" a="1"/>
  <c r="M8900" i="1" s="1"/>
  <c r="M8206" i="1" a="1"/>
  <c r="M8206" i="1" s="1"/>
  <c r="M8480" i="1" a="1"/>
  <c r="M8480" i="1" s="1"/>
  <c r="M8501" i="1" a="1"/>
  <c r="M8501" i="1" s="1"/>
  <c r="M8579" i="1" a="1"/>
  <c r="M8579" i="1" s="1"/>
  <c r="M8604" i="1" a="1"/>
  <c r="M8604" i="1" s="1"/>
  <c r="M8612" i="1" a="1"/>
  <c r="M8612" i="1" s="1"/>
  <c r="M8628" i="1" a="1"/>
  <c r="M8628" i="1" s="1"/>
  <c r="M8631" i="1" a="1"/>
  <c r="M8631" i="1" s="1"/>
  <c r="M8636" i="1" a="1"/>
  <c r="M8636" i="1" s="1"/>
  <c r="M8639" i="1" a="1"/>
  <c r="M8639" i="1" s="1"/>
  <c r="M8644" i="1" a="1"/>
  <c r="M8644" i="1" s="1"/>
  <c r="M8647" i="1" a="1"/>
  <c r="M8647" i="1" s="1"/>
  <c r="M8660" i="1" a="1"/>
  <c r="M8660" i="1" s="1"/>
  <c r="M8665" i="1" a="1"/>
  <c r="M8665" i="1" s="1"/>
  <c r="M8673" i="1" a="1"/>
  <c r="M8673" i="1" s="1"/>
  <c r="M8691" i="1" a="1"/>
  <c r="M8691" i="1" s="1"/>
  <c r="M8696" i="1" a="1"/>
  <c r="M8696" i="1" s="1"/>
  <c r="M8712" i="1" a="1"/>
  <c r="M8712" i="1" s="1"/>
  <c r="M8717" i="1" a="1"/>
  <c r="M8717" i="1" s="1"/>
  <c r="M8725" i="1" a="1"/>
  <c r="M8725" i="1" s="1"/>
  <c r="M8738" i="1" a="1"/>
  <c r="M8738" i="1" s="1"/>
  <c r="M8743" i="1" a="1"/>
  <c r="M8743" i="1" s="1"/>
  <c r="M8748" i="1" a="1"/>
  <c r="M8748" i="1" s="1"/>
  <c r="M8764" i="1" a="1"/>
  <c r="M8764" i="1" s="1"/>
  <c r="M8769" i="1" a="1"/>
  <c r="M8769" i="1" s="1"/>
  <c r="M8788" i="1" a="1"/>
  <c r="M8788" i="1" s="1"/>
  <c r="M8793" i="1" a="1"/>
  <c r="M8793" i="1" s="1"/>
  <c r="M8815" i="1" a="1"/>
  <c r="M8815" i="1" s="1"/>
  <c r="M8818" i="1" a="1"/>
  <c r="M8818" i="1" s="1"/>
  <c r="M8821" i="1" a="1"/>
  <c r="M8821" i="1" s="1"/>
  <c r="M8824" i="1" a="1"/>
  <c r="M8824" i="1" s="1"/>
  <c r="M8829" i="1" a="1"/>
  <c r="M8829" i="1" s="1"/>
  <c r="M8842" i="1" a="1"/>
  <c r="M8842" i="1" s="1"/>
  <c r="M8845" i="1" a="1"/>
  <c r="M8845" i="1" s="1"/>
  <c r="M8850" i="1" a="1"/>
  <c r="M8850" i="1" s="1"/>
  <c r="M8853" i="1" a="1"/>
  <c r="M8853" i="1" s="1"/>
  <c r="M8857" i="1" a="1"/>
  <c r="M8857" i="1" s="1"/>
  <c r="M8869" i="1" a="1"/>
  <c r="M8869" i="1" s="1"/>
  <c r="M8872" i="1" a="1"/>
  <c r="M8872" i="1" s="1"/>
  <c r="M8878" i="1" a="1"/>
  <c r="M8878" i="1" s="1"/>
  <c r="M8909" i="1" a="1"/>
  <c r="M8909" i="1" s="1"/>
  <c r="M8048" i="1" a="1"/>
  <c r="M8048" i="1" s="1"/>
  <c r="M8344" i="1" a="1"/>
  <c r="M8344" i="1" s="1"/>
  <c r="M8412" i="1" a="1"/>
  <c r="M8412" i="1" s="1"/>
  <c r="M8421" i="1" a="1"/>
  <c r="M8421" i="1" s="1"/>
  <c r="M8509" i="1" a="1"/>
  <c r="M8509" i="1" s="1"/>
  <c r="M8609" i="1" a="1"/>
  <c r="M8609" i="1" s="1"/>
  <c r="M8614" i="1" a="1"/>
  <c r="M8614" i="1" s="1"/>
  <c r="M8625" i="1" a="1"/>
  <c r="M8625" i="1" s="1"/>
  <c r="M8633" i="1" a="1"/>
  <c r="M8633" i="1" s="1"/>
  <c r="M8657" i="1" a="1"/>
  <c r="M8657" i="1" s="1"/>
  <c r="M8670" i="1" a="1"/>
  <c r="M8670" i="1" s="1"/>
  <c r="M8683" i="1" a="1"/>
  <c r="M8683" i="1" s="1"/>
  <c r="M8686" i="1" a="1"/>
  <c r="M8686" i="1" s="1"/>
  <c r="M8701" i="1" a="1"/>
  <c r="M8701" i="1" s="1"/>
  <c r="M8704" i="1" a="1"/>
  <c r="M8704" i="1" s="1"/>
  <c r="M8709" i="1" a="1"/>
  <c r="M8709" i="1" s="1"/>
  <c r="M8722" i="1" a="1"/>
  <c r="M8722" i="1" s="1"/>
  <c r="M8735" i="1" a="1"/>
  <c r="M8735" i="1" s="1"/>
  <c r="M8751" i="1" a="1"/>
  <c r="M8751" i="1" s="1"/>
  <c r="M8766" i="1" a="1"/>
  <c r="M8766" i="1" s="1"/>
  <c r="M8796" i="1" a="1"/>
  <c r="M8796" i="1" s="1"/>
  <c r="M8812" i="1" a="1"/>
  <c r="M8812" i="1" s="1"/>
  <c r="M8826" i="1" a="1"/>
  <c r="M8826" i="1" s="1"/>
  <c r="M8881" i="1" a="1"/>
  <c r="M8881" i="1" s="1"/>
  <c r="M8893" i="1" a="1"/>
  <c r="M8893" i="1" s="1"/>
  <c r="M8902" i="1" a="1"/>
  <c r="M8902" i="1" s="1"/>
  <c r="M8912" i="1" a="1"/>
  <c r="M8912" i="1" s="1"/>
  <c r="M8918" i="1" a="1"/>
  <c r="M8918" i="1" s="1"/>
  <c r="M8928" i="1" a="1"/>
  <c r="M8928" i="1" s="1"/>
  <c r="M8934" i="1" a="1"/>
  <c r="M8934" i="1" s="1"/>
  <c r="M8944" i="1" a="1"/>
  <c r="M8944" i="1" s="1"/>
  <c r="M8950" i="1" a="1"/>
  <c r="M8950" i="1" s="1"/>
  <c r="M8960" i="1" a="1"/>
  <c r="M8960" i="1" s="1"/>
  <c r="M8461" i="1" a="1"/>
  <c r="M8461" i="1" s="1"/>
  <c r="M8526" i="1" a="1"/>
  <c r="M8526" i="1" s="1"/>
  <c r="M8535" i="1" a="1"/>
  <c r="M8535" i="1" s="1"/>
  <c r="M8544" i="1" a="1"/>
  <c r="M8544" i="1" s="1"/>
  <c r="M8553" i="1" a="1"/>
  <c r="M8553" i="1" s="1"/>
  <c r="M8569" i="1" a="1"/>
  <c r="M8569" i="1" s="1"/>
  <c r="M8581" i="1" a="1"/>
  <c r="M8581" i="1" s="1"/>
  <c r="M8601" i="1" a="1"/>
  <c r="M8601" i="1" s="1"/>
  <c r="M8606" i="1" a="1"/>
  <c r="M8606" i="1" s="1"/>
  <c r="M8630" i="1" a="1"/>
  <c r="M8630" i="1" s="1"/>
  <c r="M8641" i="1" a="1"/>
  <c r="M8641" i="1" s="1"/>
  <c r="M8654" i="1" a="1"/>
  <c r="M8654" i="1" s="1"/>
  <c r="M8662" i="1" a="1"/>
  <c r="M8662" i="1" s="1"/>
  <c r="M8685" i="1" a="1"/>
  <c r="M8685" i="1" s="1"/>
  <c r="M8688" i="1" a="1"/>
  <c r="M8688" i="1" s="1"/>
  <c r="M8698" i="1" a="1"/>
  <c r="M8698" i="1" s="1"/>
  <c r="M8714" i="1" a="1"/>
  <c r="M8714" i="1" s="1"/>
  <c r="M8740" i="1" a="1"/>
  <c r="M8740" i="1" s="1"/>
  <c r="M8745" i="1" a="1"/>
  <c r="M8745" i="1" s="1"/>
  <c r="M8761" i="1" a="1"/>
  <c r="M8761" i="1" s="1"/>
  <c r="M8779" i="1" a="1"/>
  <c r="M8779" i="1" s="1"/>
  <c r="M8785" i="1" a="1"/>
  <c r="M8785" i="1" s="1"/>
  <c r="M8790" i="1" a="1"/>
  <c r="M8790" i="1" s="1"/>
  <c r="M8809" i="1" a="1"/>
  <c r="M8809" i="1" s="1"/>
  <c r="M8839" i="1" a="1"/>
  <c r="M8839" i="1" s="1"/>
  <c r="M8847" i="1" a="1"/>
  <c r="M8847" i="1" s="1"/>
  <c r="M8865" i="1" a="1"/>
  <c r="M8865" i="1" s="1"/>
  <c r="M8874" i="1" a="1"/>
  <c r="M8874" i="1" s="1"/>
  <c r="M8877" i="1" a="1"/>
  <c r="M8877" i="1" s="1"/>
  <c r="M8884" i="1" a="1"/>
  <c r="M8884" i="1" s="1"/>
  <c r="M8887" i="1" a="1"/>
  <c r="M8887" i="1" s="1"/>
  <c r="M8890" i="1" a="1"/>
  <c r="M8890" i="1" s="1"/>
  <c r="M8896" i="1" a="1"/>
  <c r="M8896" i="1" s="1"/>
  <c r="M8899" i="1" a="1"/>
  <c r="M8899" i="1" s="1"/>
  <c r="M8905" i="1" a="1"/>
  <c r="M8905" i="1" s="1"/>
  <c r="M8908" i="1" a="1"/>
  <c r="M8908" i="1" s="1"/>
  <c r="M8921" i="1" a="1"/>
  <c r="M8921" i="1" s="1"/>
  <c r="M8924" i="1" a="1"/>
  <c r="M8924" i="1" s="1"/>
  <c r="M8937" i="1" a="1"/>
  <c r="M8937" i="1" s="1"/>
  <c r="M5838" i="1" a="1"/>
  <c r="M5838" i="1" s="1"/>
  <c r="M7868" i="1" a="1"/>
  <c r="M7868" i="1" s="1"/>
  <c r="M8253" i="1" a="1"/>
  <c r="M8253" i="1" s="1"/>
  <c r="M8282" i="1" a="1"/>
  <c r="M8282" i="1" s="1"/>
  <c r="M8498" i="1" a="1"/>
  <c r="M8498" i="1" s="1"/>
  <c r="M8578" i="1" a="1"/>
  <c r="M8578" i="1" s="1"/>
  <c r="M8603" i="1" a="1"/>
  <c r="M8603" i="1" s="1"/>
  <c r="M8611" i="1" a="1"/>
  <c r="M8611" i="1" s="1"/>
  <c r="M8627" i="1" a="1"/>
  <c r="M8627" i="1" s="1"/>
  <c r="M8635" i="1" a="1"/>
  <c r="M8635" i="1" s="1"/>
  <c r="M8638" i="1" a="1"/>
  <c r="M8638" i="1" s="1"/>
  <c r="M8651" i="1" a="1"/>
  <c r="M8651" i="1" s="1"/>
  <c r="M8659" i="1" a="1"/>
  <c r="M8659" i="1" s="1"/>
  <c r="M8672" i="1" a="1"/>
  <c r="M8672" i="1" s="1"/>
  <c r="M8680" i="1" a="1"/>
  <c r="M8680" i="1" s="1"/>
  <c r="M8695" i="1" a="1"/>
  <c r="M8695" i="1" s="1"/>
  <c r="M8703" i="1" a="1"/>
  <c r="M8703" i="1" s="1"/>
  <c r="M8706" i="1" a="1"/>
  <c r="M8706" i="1" s="1"/>
  <c r="M8711" i="1" a="1"/>
  <c r="M8711" i="1" s="1"/>
  <c r="M8724" i="1" a="1"/>
  <c r="M8724" i="1" s="1"/>
  <c r="M8732" i="1" a="1"/>
  <c r="M8732" i="1" s="1"/>
  <c r="M8737" i="1" a="1"/>
  <c r="M8737" i="1" s="1"/>
  <c r="M8758" i="1" a="1"/>
  <c r="M8758" i="1" s="1"/>
  <c r="M8763" i="1" a="1"/>
  <c r="M8763" i="1" s="1"/>
  <c r="M8776" i="1" a="1"/>
  <c r="M8776" i="1" s="1"/>
  <c r="M8782" i="1" a="1"/>
  <c r="M8782" i="1" s="1"/>
  <c r="M8787" i="1" a="1"/>
  <c r="M8787" i="1" s="1"/>
  <c r="M8806" i="1" a="1"/>
  <c r="M8806" i="1" s="1"/>
  <c r="M8814" i="1" a="1"/>
  <c r="M8814" i="1" s="1"/>
  <c r="M8817" i="1" a="1"/>
  <c r="M8817" i="1" s="1"/>
  <c r="M8820" i="1" a="1"/>
  <c r="M8820" i="1" s="1"/>
  <c r="M8823" i="1" a="1"/>
  <c r="M8823" i="1" s="1"/>
  <c r="M8836" i="1" a="1"/>
  <c r="M8836" i="1" s="1"/>
  <c r="M8841" i="1" a="1"/>
  <c r="M8841" i="1" s="1"/>
  <c r="M8844" i="1" a="1"/>
  <c r="M8844" i="1" s="1"/>
  <c r="M8856" i="1" a="1"/>
  <c r="M8856" i="1" s="1"/>
  <c r="M8859" i="1" a="1"/>
  <c r="M8859" i="1" s="1"/>
  <c r="M8862" i="1" a="1"/>
  <c r="M8862" i="1" s="1"/>
  <c r="M8868" i="1" a="1"/>
  <c r="M8868" i="1" s="1"/>
  <c r="M8871" i="1" a="1"/>
  <c r="M8871" i="1" s="1"/>
  <c r="M8880" i="1" a="1"/>
  <c r="M8880" i="1" s="1"/>
  <c r="M8911" i="1" a="1"/>
  <c r="M8911" i="1" s="1"/>
  <c r="M8914" i="1" a="1"/>
  <c r="M8914" i="1" s="1"/>
  <c r="M8927" i="1" a="1"/>
  <c r="M8927" i="1" s="1"/>
  <c r="M8930" i="1" a="1"/>
  <c r="M8930" i="1" s="1"/>
  <c r="M8943" i="1" a="1"/>
  <c r="M8943" i="1" s="1"/>
  <c r="M8946" i="1" a="1"/>
  <c r="M8946" i="1" s="1"/>
  <c r="M8959" i="1" a="1"/>
  <c r="M8959" i="1" s="1"/>
  <c r="M8962" i="1" a="1"/>
  <c r="M8962" i="1" s="1"/>
  <c r="M5841" i="1" a="1"/>
  <c r="M5841" i="1" s="1"/>
  <c r="M8780" i="1" a="1"/>
  <c r="M8780" i="1" s="1"/>
  <c r="M8832" i="1" a="1"/>
  <c r="M8832" i="1" s="1"/>
  <c r="M8866" i="1" a="1"/>
  <c r="M8866" i="1" s="1"/>
  <c r="M8875" i="1" a="1"/>
  <c r="M8875" i="1" s="1"/>
  <c r="M8891" i="1" a="1"/>
  <c r="M8891" i="1" s="1"/>
  <c r="M8919" i="1" a="1"/>
  <c r="M8919" i="1" s="1"/>
  <c r="M8935" i="1" a="1"/>
  <c r="M8935" i="1" s="1"/>
  <c r="M8860" i="1" a="1"/>
  <c r="M8860" i="1" s="1"/>
  <c r="M8925" i="1" a="1"/>
  <c r="M8925" i="1" s="1"/>
  <c r="M8941" i="1" a="1"/>
  <c r="M8941" i="1" s="1"/>
  <c r="M5836" i="1" a="1"/>
  <c r="M5836" i="1" s="1"/>
  <c r="L5846" i="1"/>
  <c r="L5847" i="1"/>
  <c r="L5857" i="1"/>
  <c r="L5858" i="1"/>
  <c r="L5870" i="1"/>
  <c r="L5871" i="1"/>
  <c r="L5877" i="1"/>
  <c r="L5892" i="1"/>
  <c r="L5899" i="1"/>
  <c r="L5913" i="1"/>
  <c r="L5914" i="1"/>
  <c r="L5921" i="1"/>
  <c r="L5941" i="1"/>
  <c r="L5949" i="1"/>
  <c r="L5960" i="1"/>
  <c r="L5974" i="1"/>
  <c r="L5980" i="1"/>
  <c r="L5986" i="1"/>
  <c r="L5995" i="1"/>
  <c r="L6003" i="1"/>
  <c r="L6008" i="1"/>
  <c r="L6009" i="1"/>
  <c r="L6014" i="1"/>
  <c r="L6021" i="1"/>
  <c r="L6027" i="1"/>
  <c r="L6035" i="1"/>
  <c r="L6050" i="1"/>
  <c r="L6055" i="1"/>
  <c r="L6061" i="1"/>
  <c r="L6067" i="1"/>
  <c r="L6075" i="1"/>
  <c r="L6087" i="1"/>
  <c r="L6098" i="1"/>
  <c r="L6103" i="1"/>
  <c r="L6115" i="1"/>
  <c r="L6123" i="1"/>
  <c r="L6130" i="1"/>
  <c r="L6136" i="1"/>
  <c r="L6142" i="1"/>
  <c r="L6150" i="1"/>
  <c r="L6156" i="1"/>
  <c r="L6164" i="1"/>
  <c r="L6170" i="1"/>
  <c r="L6187" i="1"/>
  <c r="L6194" i="1"/>
  <c r="L6215" i="1"/>
  <c r="L6222" i="1"/>
  <c r="L6223" i="1"/>
  <c r="L6228" i="1"/>
  <c r="L6235" i="1"/>
  <c r="L6242" i="1"/>
  <c r="L6254" i="1"/>
  <c r="L6255" i="1"/>
  <c r="L6260" i="1"/>
  <c r="L6267" i="1"/>
  <c r="L6274" i="1"/>
  <c r="L6280" i="1"/>
  <c r="L6290" i="1"/>
  <c r="L6304" i="1"/>
  <c r="L6309" i="1"/>
  <c r="L6315" i="1"/>
  <c r="L6324" i="1"/>
  <c r="L6334" i="1"/>
  <c r="L6341" i="1"/>
  <c r="L6349" i="1"/>
  <c r="L6361" i="1"/>
  <c r="L6370" i="1"/>
  <c r="L6371" i="1"/>
  <c r="L6383" i="1"/>
  <c r="L6384" i="1"/>
  <c r="L6396" i="1"/>
  <c r="L6397" i="1"/>
  <c r="L6409" i="1"/>
  <c r="L6422" i="1"/>
  <c r="L6434" i="1"/>
  <c r="L6435" i="1"/>
  <c r="L6447" i="1"/>
  <c r="L6448" i="1"/>
  <c r="L6460" i="1"/>
  <c r="L6473" i="1"/>
  <c r="L6478" i="1"/>
  <c r="L6482" i="1"/>
  <c r="L6494" i="1"/>
  <c r="L6506" i="1"/>
  <c r="L5856" i="1"/>
  <c r="L5869" i="1"/>
  <c r="L5884" i="1"/>
  <c r="L5891" i="1"/>
  <c r="L5905" i="1"/>
  <c r="L5906" i="1"/>
  <c r="L5926" i="1"/>
  <c r="L5927" i="1"/>
  <c r="L5932" i="1"/>
  <c r="L5939" i="1"/>
  <c r="L5940" i="1"/>
  <c r="L5948" i="1"/>
  <c r="L5955" i="1"/>
  <c r="L5967" i="1"/>
  <c r="L5973" i="1"/>
  <c r="L5985" i="1"/>
  <c r="L5993" i="1"/>
  <c r="L5994" i="1"/>
  <c r="L6013" i="1"/>
  <c r="L6020" i="1"/>
  <c r="L6026" i="1"/>
  <c r="L6040" i="1"/>
  <c r="L6049" i="1"/>
  <c r="L6054" i="1"/>
  <c r="L6060" i="1"/>
  <c r="L6066" i="1"/>
  <c r="L6074" i="1"/>
  <c r="L6081" i="1"/>
  <c r="L6086" i="1"/>
  <c r="L6092" i="1"/>
  <c r="L6102" i="1"/>
  <c r="L6108" i="1"/>
  <c r="L6114" i="1"/>
  <c r="L6128" i="1"/>
  <c r="L6129" i="1"/>
  <c r="L6135" i="1"/>
  <c r="L6141" i="1"/>
  <c r="L6149" i="1"/>
  <c r="L6155" i="1"/>
  <c r="L6163" i="1"/>
  <c r="L6168" i="1"/>
  <c r="L6169" i="1"/>
  <c r="L6178" i="1"/>
  <c r="L6184" i="1"/>
  <c r="L6185" i="1"/>
  <c r="L6186" i="1"/>
  <c r="L6193" i="1"/>
  <c r="L6202" i="1"/>
  <c r="L6209" i="1"/>
  <c r="L6214" i="1"/>
  <c r="L6221" i="1"/>
  <c r="L6227" i="1"/>
  <c r="L6248" i="1"/>
  <c r="L6253" i="1"/>
  <c r="L6259" i="1"/>
  <c r="L6279" i="1"/>
  <c r="L6289" i="1"/>
  <c r="L6297" i="1"/>
  <c r="L6302" i="1"/>
  <c r="L6303" i="1"/>
  <c r="L6308" i="1"/>
  <c r="L6323" i="1"/>
  <c r="L6333" i="1"/>
  <c r="L6358" i="1"/>
  <c r="L6359" i="1"/>
  <c r="L6360" i="1"/>
  <c r="L6369" i="1"/>
  <c r="L6382" i="1"/>
  <c r="L6394" i="1"/>
  <c r="L6395" i="1"/>
  <c r="L6407" i="1"/>
  <c r="L6408" i="1"/>
  <c r="L6420" i="1"/>
  <c r="L6421" i="1"/>
  <c r="L6433" i="1"/>
  <c r="L6446" i="1"/>
  <c r="L6458" i="1"/>
  <c r="L6459" i="1"/>
  <c r="L6467" i="1"/>
  <c r="L6472" i="1"/>
  <c r="L6486" i="1"/>
  <c r="L6498" i="1"/>
  <c r="L6510" i="1"/>
  <c r="L5845" i="1"/>
  <c r="L5854" i="1"/>
  <c r="L5855" i="1"/>
  <c r="L5867" i="1"/>
  <c r="L5868" i="1"/>
  <c r="L5876" i="1"/>
  <c r="L5883" i="1"/>
  <c r="L5897" i="1"/>
  <c r="L5898" i="1"/>
  <c r="L5912" i="1"/>
  <c r="L5920" i="1"/>
  <c r="L5931" i="1"/>
  <c r="L5938" i="1"/>
  <c r="L5947" i="1"/>
  <c r="L5959" i="1"/>
  <c r="L5966" i="1"/>
  <c r="L5979" i="1"/>
  <c r="L5984" i="1"/>
  <c r="L5992" i="1"/>
  <c r="L6000" i="1"/>
  <c r="L6001" i="1"/>
  <c r="L6002" i="1"/>
  <c r="L6007" i="1"/>
  <c r="L6019" i="1"/>
  <c r="L6025" i="1"/>
  <c r="L6034" i="1"/>
  <c r="L6039" i="1"/>
  <c r="L6047" i="1"/>
  <c r="L6048" i="1"/>
  <c r="L6065" i="1"/>
  <c r="L6073" i="1"/>
  <c r="L6085" i="1"/>
  <c r="L6096" i="1"/>
  <c r="L6097" i="1"/>
  <c r="L6101" i="1"/>
  <c r="L6112" i="1"/>
  <c r="L6113" i="1"/>
  <c r="L6122" i="1"/>
  <c r="L6127" i="1"/>
  <c r="L6134" i="1"/>
  <c r="L6154" i="1"/>
  <c r="L6162" i="1"/>
  <c r="L6177" i="1"/>
  <c r="L6183" i="1"/>
  <c r="L6192" i="1"/>
  <c r="L6201" i="1"/>
  <c r="L6220" i="1"/>
  <c r="L6234" i="1"/>
  <c r="L6241" i="1"/>
  <c r="L6247" i="1"/>
  <c r="L6252" i="1"/>
  <c r="L6266" i="1"/>
  <c r="L6273" i="1"/>
  <c r="L6278" i="1"/>
  <c r="L6286" i="1"/>
  <c r="L6287" i="1"/>
  <c r="L6288" i="1"/>
  <c r="L6307" i="1"/>
  <c r="L6314" i="1"/>
  <c r="L6322" i="1"/>
  <c r="L6331" i="1"/>
  <c r="L6332" i="1"/>
  <c r="L6340" i="1"/>
  <c r="L6347" i="1"/>
  <c r="L6348" i="1"/>
  <c r="L6357" i="1"/>
  <c r="L6367" i="1"/>
  <c r="L6368" i="1"/>
  <c r="L6380" i="1"/>
  <c r="L6381" i="1"/>
  <c r="L6393" i="1"/>
  <c r="L6406" i="1"/>
  <c r="L6418" i="1"/>
  <c r="L6419" i="1"/>
  <c r="L6431" i="1"/>
  <c r="L6432" i="1"/>
  <c r="L6444" i="1"/>
  <c r="L6445" i="1"/>
  <c r="L6457" i="1"/>
  <c r="L6466" i="1"/>
  <c r="L6471" i="1"/>
  <c r="L6477" i="1"/>
  <c r="L6481" i="1"/>
  <c r="L6485" i="1"/>
  <c r="L6493" i="1"/>
  <c r="L5843" i="1"/>
  <c r="L5844" i="1"/>
  <c r="L5865" i="1"/>
  <c r="L5866" i="1"/>
  <c r="L5875" i="1"/>
  <c r="L5889" i="1"/>
  <c r="L5890" i="1"/>
  <c r="L5904" i="1"/>
  <c r="L5910" i="1"/>
  <c r="L5911" i="1"/>
  <c r="L5918" i="1"/>
  <c r="L5919" i="1"/>
  <c r="L5925" i="1"/>
  <c r="L5937" i="1"/>
  <c r="L5954" i="1"/>
  <c r="L5958" i="1"/>
  <c r="L5965" i="1"/>
  <c r="L5972" i="1"/>
  <c r="L5991" i="1"/>
  <c r="L6006" i="1"/>
  <c r="L6012" i="1"/>
  <c r="L6018" i="1"/>
  <c r="L6033" i="1"/>
  <c r="L6038" i="1"/>
  <c r="L6046" i="1"/>
  <c r="L6053" i="1"/>
  <c r="L6059" i="1"/>
  <c r="L6080" i="1"/>
  <c r="L6084" i="1"/>
  <c r="L6091" i="1"/>
  <c r="L6107" i="1"/>
  <c r="L6120" i="1"/>
  <c r="L6121" i="1"/>
  <c r="L6126" i="1"/>
  <c r="L6133" i="1"/>
  <c r="L6140" i="1"/>
  <c r="L6148" i="1"/>
  <c r="L6160" i="1"/>
  <c r="L6161" i="1"/>
  <c r="L6167" i="1"/>
  <c r="L6176" i="1"/>
  <c r="L6182" i="1"/>
  <c r="L6200" i="1"/>
  <c r="L6208" i="1"/>
  <c r="L6213" i="1"/>
  <c r="L6219" i="1"/>
  <c r="L6226" i="1"/>
  <c r="L6233" i="1"/>
  <c r="L6246" i="1"/>
  <c r="L6251" i="1"/>
  <c r="L6258" i="1"/>
  <c r="L6265" i="1"/>
  <c r="L6285" i="1"/>
  <c r="L6294" i="1"/>
  <c r="L6295" i="1"/>
  <c r="L6296" i="1"/>
  <c r="L6301" i="1"/>
  <c r="L6321" i="1"/>
  <c r="L6330" i="1"/>
  <c r="L6339" i="1"/>
  <c r="L6346" i="1"/>
  <c r="L6355" i="1"/>
  <c r="L6356" i="1"/>
  <c r="L6366" i="1"/>
  <c r="L6378" i="1"/>
  <c r="L6379" i="1"/>
  <c r="L6391" i="1"/>
  <c r="L6392" i="1"/>
  <c r="L6404" i="1"/>
  <c r="L6405" i="1"/>
  <c r="L6417" i="1"/>
  <c r="L6430" i="1"/>
  <c r="L6442" i="1"/>
  <c r="L6443" i="1"/>
  <c r="L6455" i="1"/>
  <c r="L6456" i="1"/>
  <c r="L6465" i="1"/>
  <c r="L6476" i="1"/>
  <c r="L6492" i="1"/>
  <c r="L6497" i="1"/>
  <c r="L6503" i="1"/>
  <c r="L6504" i="1"/>
  <c r="L5842" i="1"/>
  <c r="L5853" i="1"/>
  <c r="L5864" i="1"/>
  <c r="L5881" i="1"/>
  <c r="L5882" i="1"/>
  <c r="L5888" i="1"/>
  <c r="L5896" i="1"/>
  <c r="L5902" i="1"/>
  <c r="L5903" i="1"/>
  <c r="L5930" i="1"/>
  <c r="L5936" i="1"/>
  <c r="L5945" i="1"/>
  <c r="L5946" i="1"/>
  <c r="L5953" i="1"/>
  <c r="L5964" i="1"/>
  <c r="L5978" i="1"/>
  <c r="L5983" i="1"/>
  <c r="L5990" i="1"/>
  <c r="L5999" i="1"/>
  <c r="L6005" i="1"/>
  <c r="L6017" i="1"/>
  <c r="L6024" i="1"/>
  <c r="L6031" i="1"/>
  <c r="L6032" i="1"/>
  <c r="L6052" i="1"/>
  <c r="L6064" i="1"/>
  <c r="L6071" i="1"/>
  <c r="L6072" i="1"/>
  <c r="L6079" i="1"/>
  <c r="L6095" i="1"/>
  <c r="L6100" i="1"/>
  <c r="L6111" i="1"/>
  <c r="L6119" i="1"/>
  <c r="L6125" i="1"/>
  <c r="L6147" i="1"/>
  <c r="L5849" i="1"/>
  <c r="L5850" i="1"/>
  <c r="L5878" i="1"/>
  <c r="L5879" i="1"/>
  <c r="L5916" i="1"/>
  <c r="L5929" i="1"/>
  <c r="L5942" i="1"/>
  <c r="L5943" i="1"/>
  <c r="L5971" i="1"/>
  <c r="L5987" i="1"/>
  <c r="L5998" i="1"/>
  <c r="L6010" i="1"/>
  <c r="L6022" i="1"/>
  <c r="L6088" i="1"/>
  <c r="L6089" i="1"/>
  <c r="L6137" i="1"/>
  <c r="L6165" i="1"/>
  <c r="L6196" i="1"/>
  <c r="L6217" i="1"/>
  <c r="L6230" i="1"/>
  <c r="L6262" i="1"/>
  <c r="L6282" i="1"/>
  <c r="L6306" i="1"/>
  <c r="L6310" i="1"/>
  <c r="L6311" i="1"/>
  <c r="L6328" i="1"/>
  <c r="L6344" i="1"/>
  <c r="L6374" i="1"/>
  <c r="L6388" i="1"/>
  <c r="L6389" i="1"/>
  <c r="L6402" i="1"/>
  <c r="L6403" i="1"/>
  <c r="L6438" i="1"/>
  <c r="L6452" i="1"/>
  <c r="L6453" i="1"/>
  <c r="L6469" i="1"/>
  <c r="L6480" i="1"/>
  <c r="L6483" i="1"/>
  <c r="L6502" i="1"/>
  <c r="L6515" i="1"/>
  <c r="L6522" i="1"/>
  <c r="L6527" i="1"/>
  <c r="L6532" i="1"/>
  <c r="L6536" i="1"/>
  <c r="L6541" i="1"/>
  <c r="L6545" i="1"/>
  <c r="L6550" i="1"/>
  <c r="L6554" i="1"/>
  <c r="L6558" i="1"/>
  <c r="L6571" i="1"/>
  <c r="L6577" i="1"/>
  <c r="L6588" i="1"/>
  <c r="L6593" i="1"/>
  <c r="L6602" i="1"/>
  <c r="L6607" i="1"/>
  <c r="L6612" i="1"/>
  <c r="L6624" i="1"/>
  <c r="L6628" i="1"/>
  <c r="L6632" i="1"/>
  <c r="L6637" i="1"/>
  <c r="L6641" i="1"/>
  <c r="L6646" i="1"/>
  <c r="L6651" i="1"/>
  <c r="L6661" i="1"/>
  <c r="L6662" i="1"/>
  <c r="L6673" i="1"/>
  <c r="L6678" i="1"/>
  <c r="L6700" i="1"/>
  <c r="L6705" i="1"/>
  <c r="L6711" i="1"/>
  <c r="L6712" i="1"/>
  <c r="L6723" i="1"/>
  <c r="L6728" i="1"/>
  <c r="L6741" i="1"/>
  <c r="L6756" i="1"/>
  <c r="L6761" i="1"/>
  <c r="L6767" i="1"/>
  <c r="L6772" i="1"/>
  <c r="L6797" i="1"/>
  <c r="L6803" i="1"/>
  <c r="L6808" i="1"/>
  <c r="L6813" i="1"/>
  <c r="L6823" i="1"/>
  <c r="L6834" i="1"/>
  <c r="L6839" i="1"/>
  <c r="L5848" i="1"/>
  <c r="L5862" i="1"/>
  <c r="L5863" i="1"/>
  <c r="L5873" i="1"/>
  <c r="L5874" i="1"/>
  <c r="L5915" i="1"/>
  <c r="L5956" i="1"/>
  <c r="L5997" i="1"/>
  <c r="L6057" i="1"/>
  <c r="L6058" i="1"/>
  <c r="L6099" i="1"/>
  <c r="L6124" i="1"/>
  <c r="L6151" i="1"/>
  <c r="L6180" i="1"/>
  <c r="L6191" i="1"/>
  <c r="L6195" i="1"/>
  <c r="L6212" i="1"/>
  <c r="L6216" i="1"/>
  <c r="L6229" i="1"/>
  <c r="L6245" i="1"/>
  <c r="L6249" i="1"/>
  <c r="L6261" i="1"/>
  <c r="L6277" i="1"/>
  <c r="L6281" i="1"/>
  <c r="L6293" i="1"/>
  <c r="L6326" i="1"/>
  <c r="L6327" i="1"/>
  <c r="L6342" i="1"/>
  <c r="L6343" i="1"/>
  <c r="L6372" i="1"/>
  <c r="L6373" i="1"/>
  <c r="L6386" i="1"/>
  <c r="L6387" i="1"/>
  <c r="L6401" i="1"/>
  <c r="L6436" i="1"/>
  <c r="L6437" i="1"/>
  <c r="L6450" i="1"/>
  <c r="L6451" i="1"/>
  <c r="L6464" i="1"/>
  <c r="L6468" i="1"/>
  <c r="L6500" i="1"/>
  <c r="L6501" i="1"/>
  <c r="L6514" i="1"/>
  <c r="L6521" i="1"/>
  <c r="L6526" i="1"/>
  <c r="L6531" i="1"/>
  <c r="L6540" i="1"/>
  <c r="L6562" i="1"/>
  <c r="L6566" i="1"/>
  <c r="L6583" i="1"/>
  <c r="L6592" i="1"/>
  <c r="L6597" i="1"/>
  <c r="L6601" i="1"/>
  <c r="L6617" i="1"/>
  <c r="L6618" i="1"/>
  <c r="L6636" i="1"/>
  <c r="L6656" i="1"/>
  <c r="L6667" i="1"/>
  <c r="L6672" i="1"/>
  <c r="L6677" i="1"/>
  <c r="L6682" i="1"/>
  <c r="L6683" i="1"/>
  <c r="L6688" i="1"/>
  <c r="L6695" i="1"/>
  <c r="L6717" i="1"/>
  <c r="L6727" i="1"/>
  <c r="L6736" i="1"/>
  <c r="L6746" i="1"/>
  <c r="L6750" i="1"/>
  <c r="L6755" i="1"/>
  <c r="L6760" i="1"/>
  <c r="L6776" i="1"/>
  <c r="L6781" i="1"/>
  <c r="L6787" i="1"/>
  <c r="L6792" i="1"/>
  <c r="L6807" i="1"/>
  <c r="L6818" i="1"/>
  <c r="L6827" i="1"/>
  <c r="L6843" i="1"/>
  <c r="L6867" i="1"/>
  <c r="L6872" i="1"/>
  <c r="L6876" i="1"/>
  <c r="L6881" i="1"/>
  <c r="L5861" i="1"/>
  <c r="L5872" i="1"/>
  <c r="L5901" i="1"/>
  <c r="L5928" i="1"/>
  <c r="L5952" i="1"/>
  <c r="L5968" i="1"/>
  <c r="L5969" i="1"/>
  <c r="L5970" i="1"/>
  <c r="L5982" i="1"/>
  <c r="L5996" i="1"/>
  <c r="L6030" i="1"/>
  <c r="L6044" i="1"/>
  <c r="L6045" i="1"/>
  <c r="L6070" i="1"/>
  <c r="L6083" i="1"/>
  <c r="L6132" i="1"/>
  <c r="L6179" i="1"/>
  <c r="L6211" i="1"/>
  <c r="L6225" i="1"/>
  <c r="L6244" i="1"/>
  <c r="L6257" i="1"/>
  <c r="L6276" i="1"/>
  <c r="L6292" i="1"/>
  <c r="L6305" i="1"/>
  <c r="L6325" i="1"/>
  <c r="L6338" i="1"/>
  <c r="L6385" i="1"/>
  <c r="L6399" i="1"/>
  <c r="L6400" i="1"/>
  <c r="L6415" i="1"/>
  <c r="L6416" i="1"/>
  <c r="L6449" i="1"/>
  <c r="L6463" i="1"/>
  <c r="L6479" i="1"/>
  <c r="L6496" i="1"/>
  <c r="L6499" i="1"/>
  <c r="L6520" i="1"/>
  <c r="L6535" i="1"/>
  <c r="L6539" i="1"/>
  <c r="L6544" i="1"/>
  <c r="L6549" i="1"/>
  <c r="L6553" i="1"/>
  <c r="L6557" i="1"/>
  <c r="L6570" i="1"/>
  <c r="L6576" i="1"/>
  <c r="L6587" i="1"/>
  <c r="L6606" i="1"/>
  <c r="L6611" i="1"/>
  <c r="L6623" i="1"/>
  <c r="L6627" i="1"/>
  <c r="L6631" i="1"/>
  <c r="L6640" i="1"/>
  <c r="L6645" i="1"/>
  <c r="L6649" i="1"/>
  <c r="L6650" i="1"/>
  <c r="L6655" i="1"/>
  <c r="L6660" i="1"/>
  <c r="L6665" i="1"/>
  <c r="L6666" i="1"/>
  <c r="L6681" i="1"/>
  <c r="L6693" i="1"/>
  <c r="L6694" i="1"/>
  <c r="L6699" i="1"/>
  <c r="L6704" i="1"/>
  <c r="L6710" i="1"/>
  <c r="L6722" i="1"/>
  <c r="L6735" i="1"/>
  <c r="L6740" i="1"/>
  <c r="L6759" i="1"/>
  <c r="L6765" i="1"/>
  <c r="L6766" i="1"/>
  <c r="L6771" i="1"/>
  <c r="L6775" i="1"/>
  <c r="L6785" i="1"/>
  <c r="L6786" i="1"/>
  <c r="L6791" i="1"/>
  <c r="L6796" i="1"/>
  <c r="L6802" i="1"/>
  <c r="L6812" i="1"/>
  <c r="L6822" i="1"/>
  <c r="L6826" i="1"/>
  <c r="L6833" i="1"/>
  <c r="L6838" i="1"/>
  <c r="L6848" i="1"/>
  <c r="L6852" i="1"/>
  <c r="L6853" i="1"/>
  <c r="L6858" i="1"/>
  <c r="L6862" i="1"/>
  <c r="L6866" i="1"/>
  <c r="L6871" i="1"/>
  <c r="L6880" i="1"/>
  <c r="L5859" i="1"/>
  <c r="L5860" i="1"/>
  <c r="L5886" i="1"/>
  <c r="L5887" i="1"/>
  <c r="L5900" i="1"/>
  <c r="L5924" i="1"/>
  <c r="L5950" i="1"/>
  <c r="L5951" i="1"/>
  <c r="L5981" i="1"/>
  <c r="L6016" i="1"/>
  <c r="L6043" i="1"/>
  <c r="L6056" i="1"/>
  <c r="L6110" i="1"/>
  <c r="L6146" i="1"/>
  <c r="L6175" i="1"/>
  <c r="L6189" i="1"/>
  <c r="L6190" i="1"/>
  <c r="L6206" i="1"/>
  <c r="L6207" i="1"/>
  <c r="L6240" i="1"/>
  <c r="L6243" i="1"/>
  <c r="L6272" i="1"/>
  <c r="L6275" i="1"/>
  <c r="L6291" i="1"/>
  <c r="L6320" i="1"/>
  <c r="L6354" i="1"/>
  <c r="L6398" i="1"/>
  <c r="L6414" i="1"/>
  <c r="L6462" i="1"/>
  <c r="L6505" i="1"/>
  <c r="L6509" i="1"/>
  <c r="L6513" i="1"/>
  <c r="L6519" i="1"/>
  <c r="L6525" i="1"/>
  <c r="L6530" i="1"/>
  <c r="L6548" i="1"/>
  <c r="L6561" i="1"/>
  <c r="L6565" i="1"/>
  <c r="L6569" i="1"/>
  <c r="L6580" i="1"/>
  <c r="L5893" i="1"/>
  <c r="L5963" i="1"/>
  <c r="L6117" i="1"/>
  <c r="L6173" i="1"/>
  <c r="L6174" i="1"/>
  <c r="L6181" i="1"/>
  <c r="L6205" i="1"/>
  <c r="L6237" i="1"/>
  <c r="L6269" i="1"/>
  <c r="L6329" i="1"/>
  <c r="L6375" i="1"/>
  <c r="L6376" i="1"/>
  <c r="L6426" i="1"/>
  <c r="L6427" i="1"/>
  <c r="L6490" i="1"/>
  <c r="L6516" i="1"/>
  <c r="L6517" i="1"/>
  <c r="L6542" i="1"/>
  <c r="L6559" i="1"/>
  <c r="L6574" i="1"/>
  <c r="L6598" i="1"/>
  <c r="L6610" i="1"/>
  <c r="L6619" i="1"/>
  <c r="L6634" i="1"/>
  <c r="L6653" i="1"/>
  <c r="L6669" i="1"/>
  <c r="L6690" i="1"/>
  <c r="L6691" i="1"/>
  <c r="L6703" i="1"/>
  <c r="L6707" i="1"/>
  <c r="L6726" i="1"/>
  <c r="L6731" i="1"/>
  <c r="L6737" i="1"/>
  <c r="L6754" i="1"/>
  <c r="L6770" i="1"/>
  <c r="L6777" i="1"/>
  <c r="L6798" i="1"/>
  <c r="L6815" i="1"/>
  <c r="L6837" i="1"/>
  <c r="L6840" i="1"/>
  <c r="L6844" i="1"/>
  <c r="L6845" i="1"/>
  <c r="L6849" i="1"/>
  <c r="L6865" i="1"/>
  <c r="L6869" i="1"/>
  <c r="L6886" i="1"/>
  <c r="L6896" i="1"/>
  <c r="L6905" i="1"/>
  <c r="L6911" i="1"/>
  <c r="L6915" i="1"/>
  <c r="L6920" i="1"/>
  <c r="L6930" i="1"/>
  <c r="L6934" i="1"/>
  <c r="L6956" i="1"/>
  <c r="L6960" i="1"/>
  <c r="L6964" i="1"/>
  <c r="L6968" i="1"/>
  <c r="L6972" i="1"/>
  <c r="L6976" i="1"/>
  <c r="L6980" i="1"/>
  <c r="L6984" i="1"/>
  <c r="L7003" i="1"/>
  <c r="L7008" i="1"/>
  <c r="L7028" i="1"/>
  <c r="L7029" i="1"/>
  <c r="L7033" i="1"/>
  <c r="L7038" i="1"/>
  <c r="L7054" i="1"/>
  <c r="L5880" i="1"/>
  <c r="L5923" i="1"/>
  <c r="L5933" i="1"/>
  <c r="L5961" i="1"/>
  <c r="L5962" i="1"/>
  <c r="L6051" i="1"/>
  <c r="L6094" i="1"/>
  <c r="L6104" i="1"/>
  <c r="L6105" i="1"/>
  <c r="L6116" i="1"/>
  <c r="L6158" i="1"/>
  <c r="L6159" i="1"/>
  <c r="L6171" i="1"/>
  <c r="L6172" i="1"/>
  <c r="L6204" i="1"/>
  <c r="L6232" i="1"/>
  <c r="L6236" i="1"/>
  <c r="L6264" i="1"/>
  <c r="L6268" i="1"/>
  <c r="L6298" i="1"/>
  <c r="L6353" i="1"/>
  <c r="L6365" i="1"/>
  <c r="L6425" i="1"/>
  <c r="L6484" i="1"/>
  <c r="L6489" i="1"/>
  <c r="L6512" i="1"/>
  <c r="L6528" i="1"/>
  <c r="L6538" i="1"/>
  <c r="L6552" i="1"/>
  <c r="L6555" i="1"/>
  <c r="L6572" i="1"/>
  <c r="L6573" i="1"/>
  <c r="L6586" i="1"/>
  <c r="L6590" i="1"/>
  <c r="L6594" i="1"/>
  <c r="L6614" i="1"/>
  <c r="L6630" i="1"/>
  <c r="L6648" i="1"/>
  <c r="L6652" i="1"/>
  <c r="L6664" i="1"/>
  <c r="L6668" i="1"/>
  <c r="L6685" i="1"/>
  <c r="L6689" i="1"/>
  <c r="L6730" i="1"/>
  <c r="L6749" i="1"/>
  <c r="L6757" i="1"/>
  <c r="L6773" i="1"/>
  <c r="L6790" i="1"/>
  <c r="L6794" i="1"/>
  <c r="L6811" i="1"/>
  <c r="L6814" i="1"/>
  <c r="L6819" i="1"/>
  <c r="L6831" i="1"/>
  <c r="L6832" i="1"/>
  <c r="L6836" i="1"/>
  <c r="L6861" i="1"/>
  <c r="L6868" i="1"/>
  <c r="L6890" i="1"/>
  <c r="L6891" i="1"/>
  <c r="L6900" i="1"/>
  <c r="L6924" i="1"/>
  <c r="L6929" i="1"/>
  <c r="L6938" i="1"/>
  <c r="L6942" i="1"/>
  <c r="L6946" i="1"/>
  <c r="L6950" i="1"/>
  <c r="L6988" i="1"/>
  <c r="L6992" i="1"/>
  <c r="L6996" i="1"/>
  <c r="L6997" i="1"/>
  <c r="L7007" i="1"/>
  <c r="L7013" i="1"/>
  <c r="L7018" i="1"/>
  <c r="L7023" i="1"/>
  <c r="L7043" i="1"/>
  <c r="L7048" i="1"/>
  <c r="L7068" i="1"/>
  <c r="L7073" i="1"/>
  <c r="L7074" i="1"/>
  <c r="L7078" i="1"/>
  <c r="L7083" i="1"/>
  <c r="L5922" i="1"/>
  <c r="L6041" i="1"/>
  <c r="L6042" i="1"/>
  <c r="L6090" i="1"/>
  <c r="L6093" i="1"/>
  <c r="L6157" i="1"/>
  <c r="L6199" i="1"/>
  <c r="L6203" i="1"/>
  <c r="L6224" i="1"/>
  <c r="L6231" i="1"/>
  <c r="L6256" i="1"/>
  <c r="L6263" i="1"/>
  <c r="L6318" i="1"/>
  <c r="L6319" i="1"/>
  <c r="L6350" i="1"/>
  <c r="L6351" i="1"/>
  <c r="L6352" i="1"/>
  <c r="L6363" i="1"/>
  <c r="L6364" i="1"/>
  <c r="L6412" i="1"/>
  <c r="L6413" i="1"/>
  <c r="L6423" i="1"/>
  <c r="L6424" i="1"/>
  <c r="L6454" i="1"/>
  <c r="L6475" i="1"/>
  <c r="L6487" i="1"/>
  <c r="L6488" i="1"/>
  <c r="L6508" i="1"/>
  <c r="L6524" i="1"/>
  <c r="L6568" i="1"/>
  <c r="L6581" i="1"/>
  <c r="L6582" i="1"/>
  <c r="L6609" i="1"/>
  <c r="L6613" i="1"/>
  <c r="L6633" i="1"/>
  <c r="L6644" i="1"/>
  <c r="L6680" i="1"/>
  <c r="L6684" i="1"/>
  <c r="L6702" i="1"/>
  <c r="L6706" i="1"/>
  <c r="L6721" i="1"/>
  <c r="L6725" i="1"/>
  <c r="L6729" i="1"/>
  <c r="L6744" i="1"/>
  <c r="L6745" i="1"/>
  <c r="L6753" i="1"/>
  <c r="L6769" i="1"/>
  <c r="L6793" i="1"/>
  <c r="L6806" i="1"/>
  <c r="L6830" i="1"/>
  <c r="L6857" i="1"/>
  <c r="L6864" i="1"/>
  <c r="L6879" i="1"/>
  <c r="L6884" i="1"/>
  <c r="L6885" i="1"/>
  <c r="L6895" i="1"/>
  <c r="L6904" i="1"/>
  <c r="L6910" i="1"/>
  <c r="L6914" i="1"/>
  <c r="L6919" i="1"/>
  <c r="L6928" i="1"/>
  <c r="L6933" i="1"/>
  <c r="L6955" i="1"/>
  <c r="L6959" i="1"/>
  <c r="L6963" i="1"/>
  <c r="L6967" i="1"/>
  <c r="L6971" i="1"/>
  <c r="L6975" i="1"/>
  <c r="L6979" i="1"/>
  <c r="L6983" i="1"/>
  <c r="L5909" i="1"/>
  <c r="L5957" i="1"/>
  <c r="L5989" i="1"/>
  <c r="L6028" i="1"/>
  <c r="L6029" i="1"/>
  <c r="L6037" i="1"/>
  <c r="L6082" i="1"/>
  <c r="L6144" i="1"/>
  <c r="L6145" i="1"/>
  <c r="L6153" i="1"/>
  <c r="L6166" i="1"/>
  <c r="L6197" i="1"/>
  <c r="L6198" i="1"/>
  <c r="L6284" i="1"/>
  <c r="L6313" i="1"/>
  <c r="L6317" i="1"/>
  <c r="L6362" i="1"/>
  <c r="L6390" i="1"/>
  <c r="L6410" i="1"/>
  <c r="L6411" i="1"/>
  <c r="L6511" i="1"/>
  <c r="L6534" i="1"/>
  <c r="L6537" i="1"/>
  <c r="L6551" i="1"/>
  <c r="L6585" i="1"/>
  <c r="L6589" i="1"/>
  <c r="L6605" i="1"/>
  <c r="L6626" i="1"/>
  <c r="L6629" i="1"/>
  <c r="L6647" i="1"/>
  <c r="L6663" i="1"/>
  <c r="L6676" i="1"/>
  <c r="L6698" i="1"/>
  <c r="L6716" i="1"/>
  <c r="L6720" i="1"/>
  <c r="L6724" i="1"/>
  <c r="L6743" i="1"/>
  <c r="L6748" i="1"/>
  <c r="L6752" i="1"/>
  <c r="L6768" i="1"/>
  <c r="L6789" i="1"/>
  <c r="L6809" i="1"/>
  <c r="L6810" i="1"/>
  <c r="L6835" i="1"/>
  <c r="L6860" i="1"/>
  <c r="L6875" i="1"/>
  <c r="L6889" i="1"/>
  <c r="L6894" i="1"/>
  <c r="L6899" i="1"/>
  <c r="L6903" i="1"/>
  <c r="L6909" i="1"/>
  <c r="L6923" i="1"/>
  <c r="L6937" i="1"/>
  <c r="L6941" i="1"/>
  <c r="L6945" i="1"/>
  <c r="L6949" i="1"/>
  <c r="L6987" i="1"/>
  <c r="L6991" i="1"/>
  <c r="L6995" i="1"/>
  <c r="L7006" i="1"/>
  <c r="L7022" i="1"/>
  <c r="L7036" i="1"/>
  <c r="L7041" i="1"/>
  <c r="L7042" i="1"/>
  <c r="L7057" i="1"/>
  <c r="L7067" i="1"/>
  <c r="L7072" i="1"/>
  <c r="L7077" i="1"/>
  <c r="L7082" i="1"/>
  <c r="L7091" i="1"/>
  <c r="L7112" i="1"/>
  <c r="L7118" i="1"/>
  <c r="L7129" i="1"/>
  <c r="L7134" i="1"/>
  <c r="L7139" i="1"/>
  <c r="L7150" i="1"/>
  <c r="L7155" i="1"/>
  <c r="L7160" i="1"/>
  <c r="L7170" i="1"/>
  <c r="L7175" i="1"/>
  <c r="L7181" i="1"/>
  <c r="L7192" i="1"/>
  <c r="L7198" i="1"/>
  <c r="L7212" i="1"/>
  <c r="L7218" i="1"/>
  <c r="L5851" i="1"/>
  <c r="L5852" i="1"/>
  <c r="L5908" i="1"/>
  <c r="L5917" i="1"/>
  <c r="L5988" i="1"/>
  <c r="L6036" i="1"/>
  <c r="L6068" i="1"/>
  <c r="L6069" i="1"/>
  <c r="L6077" i="1"/>
  <c r="L6078" i="1"/>
  <c r="L6143" i="1"/>
  <c r="L6152" i="1"/>
  <c r="L6283" i="1"/>
  <c r="L6316" i="1"/>
  <c r="L6345" i="1"/>
  <c r="L6470" i="1"/>
  <c r="L6474" i="1"/>
  <c r="L6507" i="1"/>
  <c r="L6523" i="1"/>
  <c r="L6547" i="1"/>
  <c r="L6564" i="1"/>
  <c r="L6567" i="1"/>
  <c r="L6600" i="1"/>
  <c r="L6604" i="1"/>
  <c r="L6608" i="1"/>
  <c r="L6622" i="1"/>
  <c r="L6643" i="1"/>
  <c r="L6659" i="1"/>
  <c r="L6679" i="1"/>
  <c r="L6697" i="1"/>
  <c r="L6701" i="1"/>
  <c r="L6719" i="1"/>
  <c r="L6751" i="1"/>
  <c r="L6764" i="1"/>
  <c r="L6780" i="1"/>
  <c r="L6784" i="1"/>
  <c r="L6788" i="1"/>
  <c r="L6801" i="1"/>
  <c r="L6805" i="1"/>
  <c r="L6825" i="1"/>
  <c r="L6829" i="1"/>
  <c r="L6851" i="1"/>
  <c r="L6856" i="1"/>
  <c r="L6863" i="1"/>
  <c r="L6878" i="1"/>
  <c r="L6883" i="1"/>
  <c r="L6908" i="1"/>
  <c r="L6913" i="1"/>
  <c r="L6918" i="1"/>
  <c r="L6927" i="1"/>
  <c r="L6932" i="1"/>
  <c r="L6936" i="1"/>
  <c r="L6954" i="1"/>
  <c r="L6958" i="1"/>
  <c r="L6962" i="1"/>
  <c r="L6966" i="1"/>
  <c r="L6970" i="1"/>
  <c r="L6974" i="1"/>
  <c r="L6978" i="1"/>
  <c r="L6982" i="1"/>
  <c r="L7000" i="1"/>
  <c r="L7011" i="1"/>
  <c r="L7016" i="1"/>
  <c r="L7026" i="1"/>
  <c r="L7031" i="1"/>
  <c r="L6062" i="1"/>
  <c r="L6428" i="1"/>
  <c r="L6429" i="1"/>
  <c r="L6439" i="1"/>
  <c r="L6440" i="1"/>
  <c r="L6518" i="1"/>
  <c r="L6595" i="1"/>
  <c r="L6638" i="1"/>
  <c r="L6658" i="1"/>
  <c r="L6686" i="1"/>
  <c r="L6762" i="1"/>
  <c r="L6783" i="1"/>
  <c r="L6804" i="1"/>
  <c r="L6821" i="1"/>
  <c r="L6893" i="1"/>
  <c r="L6907" i="1"/>
  <c r="L6944" i="1"/>
  <c r="L6947" i="1"/>
  <c r="L6981" i="1"/>
  <c r="L6994" i="1"/>
  <c r="L7014" i="1"/>
  <c r="L7030" i="1"/>
  <c r="L7050" i="1"/>
  <c r="L7059" i="1"/>
  <c r="L7064" i="1"/>
  <c r="L7076" i="1"/>
  <c r="L7079" i="1"/>
  <c r="L7097" i="1"/>
  <c r="L7098" i="1"/>
  <c r="L7103" i="1"/>
  <c r="L7108" i="1"/>
  <c r="L7123" i="1"/>
  <c r="L7128" i="1"/>
  <c r="L7132" i="1"/>
  <c r="L7137" i="1"/>
  <c r="L7142" i="1"/>
  <c r="L7147" i="1"/>
  <c r="L7152" i="1"/>
  <c r="L7156" i="1"/>
  <c r="L7165" i="1"/>
  <c r="L7180" i="1"/>
  <c r="L7195" i="1"/>
  <c r="L7203" i="1"/>
  <c r="L7208" i="1"/>
  <c r="L7225" i="1"/>
  <c r="L7237" i="1"/>
  <c r="L7247" i="1"/>
  <c r="L7257" i="1"/>
  <c r="L7264" i="1"/>
  <c r="L7269" i="1"/>
  <c r="L7276" i="1"/>
  <c r="L7282" i="1"/>
  <c r="L7289" i="1"/>
  <c r="L7295" i="1"/>
  <c r="L7301" i="1"/>
  <c r="L7309" i="1"/>
  <c r="L7322" i="1"/>
  <c r="L7343" i="1"/>
  <c r="L7349" i="1"/>
  <c r="L7357" i="1"/>
  <c r="L7379" i="1"/>
  <c r="L7384" i="1"/>
  <c r="L7392" i="1"/>
  <c r="L7399" i="1"/>
  <c r="L7412" i="1"/>
  <c r="L7427" i="1"/>
  <c r="L7432" i="1"/>
  <c r="L7433" i="1"/>
  <c r="L7438" i="1"/>
  <c r="L7444" i="1"/>
  <c r="L7451" i="1"/>
  <c r="L7457" i="1"/>
  <c r="L7464" i="1"/>
  <c r="L7469" i="1"/>
  <c r="L7478" i="1"/>
  <c r="L7496" i="1"/>
  <c r="L7501" i="1"/>
  <c r="L7502" i="1"/>
  <c r="L7508" i="1"/>
  <c r="L7524" i="1"/>
  <c r="L7530" i="1"/>
  <c r="L7539" i="1"/>
  <c r="L7545" i="1"/>
  <c r="L7560" i="1"/>
  <c r="L7565" i="1"/>
  <c r="L7570" i="1"/>
  <c r="L7574" i="1"/>
  <c r="L7579" i="1"/>
  <c r="L7602" i="1"/>
  <c r="L7607" i="1"/>
  <c r="L7617" i="1"/>
  <c r="L7622" i="1"/>
  <c r="L5907" i="1"/>
  <c r="L5975" i="1"/>
  <c r="L6250" i="1"/>
  <c r="L6312" i="1"/>
  <c r="L6543" i="1"/>
  <c r="L6546" i="1"/>
  <c r="L6591" i="1"/>
  <c r="L6654" i="1"/>
  <c r="L6739" i="1"/>
  <c r="L6742" i="1"/>
  <c r="L6758" i="1"/>
  <c r="L6779" i="1"/>
  <c r="L6800" i="1"/>
  <c r="L6824" i="1"/>
  <c r="L6841" i="1"/>
  <c r="L6859" i="1"/>
  <c r="L6931" i="1"/>
  <c r="L6969" i="1"/>
  <c r="L7001" i="1"/>
  <c r="L7002" i="1"/>
  <c r="L7009" i="1"/>
  <c r="L7010" i="1"/>
  <c r="L7037" i="1"/>
  <c r="L7045" i="1"/>
  <c r="L7049" i="1"/>
  <c r="L7087" i="1"/>
  <c r="L7151" i="1"/>
  <c r="L7179" i="1"/>
  <c r="L7185" i="1"/>
  <c r="L7190" i="1"/>
  <c r="L7202" i="1"/>
  <c r="L7207" i="1"/>
  <c r="L7214" i="1"/>
  <c r="L7219" i="1"/>
  <c r="L7224" i="1"/>
  <c r="L7231" i="1"/>
  <c r="L7236" i="1"/>
  <c r="L7241" i="1"/>
  <c r="L7252" i="1"/>
  <c r="L7263" i="1"/>
  <c r="L7281" i="1"/>
  <c r="L7294" i="1"/>
  <c r="L7300" i="1"/>
  <c r="L7308" i="1"/>
  <c r="L7314" i="1"/>
  <c r="L7321" i="1"/>
  <c r="L7328" i="1"/>
  <c r="L7329" i="1"/>
  <c r="L7330" i="1"/>
  <c r="L7334" i="1"/>
  <c r="L7340" i="1"/>
  <c r="L7341" i="1"/>
  <c r="L7342" i="1"/>
  <c r="L7348" i="1"/>
  <c r="L7356" i="1"/>
  <c r="L7362" i="1"/>
  <c r="L7370" i="1"/>
  <c r="L7383" i="1"/>
  <c r="L7398" i="1"/>
  <c r="L7406" i="1"/>
  <c r="L7411" i="1"/>
  <c r="L7418" i="1"/>
  <c r="L7426" i="1"/>
  <c r="L7431" i="1"/>
  <c r="L7437" i="1"/>
  <c r="L7450" i="1"/>
  <c r="L7456" i="1"/>
  <c r="L7468" i="1"/>
  <c r="L7473" i="1"/>
  <c r="L7483" i="1"/>
  <c r="L7490" i="1"/>
  <c r="L7495" i="1"/>
  <c r="L7500" i="1"/>
  <c r="L7513" i="1"/>
  <c r="L7518" i="1"/>
  <c r="L7534" i="1"/>
  <c r="L7550" i="1"/>
  <c r="L7555" i="1"/>
  <c r="L7569" i="1"/>
  <c r="L7584" i="1"/>
  <c r="L7588" i="1"/>
  <c r="L7593" i="1"/>
  <c r="L7597" i="1"/>
  <c r="L7606" i="1"/>
  <c r="L7611" i="1"/>
  <c r="L5894" i="1"/>
  <c r="L5895" i="1"/>
  <c r="L6131" i="1"/>
  <c r="L6139" i="1"/>
  <c r="L6300" i="1"/>
  <c r="L6377" i="1"/>
  <c r="L6657" i="1"/>
  <c r="L6738" i="1"/>
  <c r="L6778" i="1"/>
  <c r="L6782" i="1"/>
  <c r="L6799" i="1"/>
  <c r="L6816" i="1"/>
  <c r="L6817" i="1"/>
  <c r="L6820" i="1"/>
  <c r="L6874" i="1"/>
  <c r="L6877" i="1"/>
  <c r="L6892" i="1"/>
  <c r="L6906" i="1"/>
  <c r="L6916" i="1"/>
  <c r="L6917" i="1"/>
  <c r="L6940" i="1"/>
  <c r="L6943" i="1"/>
  <c r="L6957" i="1"/>
  <c r="L6990" i="1"/>
  <c r="L6993" i="1"/>
  <c r="L7017" i="1"/>
  <c r="L7025" i="1"/>
  <c r="L7044" i="1"/>
  <c r="L7058" i="1"/>
  <c r="L7063" i="1"/>
  <c r="L7071" i="1"/>
  <c r="L7075" i="1"/>
  <c r="L7096" i="1"/>
  <c r="L7102" i="1"/>
  <c r="L7107" i="1"/>
  <c r="L7117" i="1"/>
  <c r="L7122" i="1"/>
  <c r="L7127" i="1"/>
  <c r="L7131" i="1"/>
  <c r="L7136" i="1"/>
  <c r="L7140" i="1"/>
  <c r="L7141" i="1"/>
  <c r="L7146" i="1"/>
  <c r="L7164" i="1"/>
  <c r="L7169" i="1"/>
  <c r="L7174" i="1"/>
  <c r="L7194" i="1"/>
  <c r="L7201" i="1"/>
  <c r="L7213" i="1"/>
  <c r="L7223" i="1"/>
  <c r="L7246" i="1"/>
  <c r="L7256" i="1"/>
  <c r="L7262" i="1"/>
  <c r="L7268" i="1"/>
  <c r="L7275" i="1"/>
  <c r="L7280" i="1"/>
  <c r="L7288" i="1"/>
  <c r="L7293" i="1"/>
  <c r="L7299" i="1"/>
  <c r="L7313" i="1"/>
  <c r="L7320" i="1"/>
  <c r="L7327" i="1"/>
  <c r="L7339" i="1"/>
  <c r="L7347" i="1"/>
  <c r="L7361" i="1"/>
  <c r="L7369" i="1"/>
  <c r="L7376" i="1"/>
  <c r="L7377" i="1"/>
  <c r="L7378" i="1"/>
  <c r="L7391" i="1"/>
  <c r="L7397" i="1"/>
  <c r="L7405" i="1"/>
  <c r="L7425" i="1"/>
  <c r="L7430" i="1"/>
  <c r="L7443" i="1"/>
  <c r="L7448" i="1"/>
  <c r="L7449" i="1"/>
  <c r="L7463" i="1"/>
  <c r="L7467" i="1"/>
  <c r="L7477" i="1"/>
  <c r="L7489" i="1"/>
  <c r="L7494" i="1"/>
  <c r="L7507" i="1"/>
  <c r="L7523" i="1"/>
  <c r="L7529" i="1"/>
  <c r="L7538" i="1"/>
  <c r="L7544" i="1"/>
  <c r="L7549" i="1"/>
  <c r="L7559" i="1"/>
  <c r="L7564" i="1"/>
  <c r="L7568" i="1"/>
  <c r="L7573" i="1"/>
  <c r="L7578" i="1"/>
  <c r="L7583" i="1"/>
  <c r="L7592" i="1"/>
  <c r="L7601" i="1"/>
  <c r="L7616" i="1"/>
  <c r="L7639" i="1"/>
  <c r="L7665" i="1"/>
  <c r="L7680" i="1"/>
  <c r="L7694" i="1"/>
  <c r="L7699" i="1"/>
  <c r="L7704" i="1"/>
  <c r="L7709" i="1"/>
  <c r="L7715" i="1"/>
  <c r="L7720" i="1"/>
  <c r="L7729" i="1"/>
  <c r="L7734" i="1"/>
  <c r="L7750" i="1"/>
  <c r="L7759" i="1"/>
  <c r="L7764" i="1"/>
  <c r="L7774" i="1"/>
  <c r="L7780" i="1"/>
  <c r="L7785" i="1"/>
  <c r="L7790" i="1"/>
  <c r="L7796" i="1"/>
  <c r="L7801" i="1"/>
  <c r="L7805" i="1"/>
  <c r="L7806" i="1"/>
  <c r="L7811" i="1"/>
  <c r="L7820" i="1"/>
  <c r="L7825" i="1"/>
  <c r="L7831" i="1"/>
  <c r="L7836" i="1"/>
  <c r="L7843" i="1"/>
  <c r="L7852" i="1"/>
  <c r="L7863" i="1"/>
  <c r="L7878" i="1"/>
  <c r="L7883" i="1"/>
  <c r="L7889" i="1"/>
  <c r="L7899" i="1"/>
  <c r="L7905" i="1"/>
  <c r="L7909" i="1"/>
  <c r="L7914" i="1"/>
  <c r="L7918" i="1"/>
  <c r="L7928" i="1"/>
  <c r="L7933" i="1"/>
  <c r="L6138" i="1"/>
  <c r="L6238" i="1"/>
  <c r="L6239" i="1"/>
  <c r="L6299" i="1"/>
  <c r="L6337" i="1"/>
  <c r="L6584" i="1"/>
  <c r="L6625" i="1"/>
  <c r="L6671" i="1"/>
  <c r="L6675" i="1"/>
  <c r="L6734" i="1"/>
  <c r="L6855" i="1"/>
  <c r="L6870" i="1"/>
  <c r="L6888" i="1"/>
  <c r="L6902" i="1"/>
  <c r="L6977" i="1"/>
  <c r="L7005" i="1"/>
  <c r="L7032" i="1"/>
  <c r="L7040" i="1"/>
  <c r="L7086" i="1"/>
  <c r="L7095" i="1"/>
  <c r="L7101" i="1"/>
  <c r="L7106" i="1"/>
  <c r="L7111" i="1"/>
  <c r="L7116" i="1"/>
  <c r="L7121" i="1"/>
  <c r="L7126" i="1"/>
  <c r="L7145" i="1"/>
  <c r="L7159" i="1"/>
  <c r="L7168" i="1"/>
  <c r="L7178" i="1"/>
  <c r="L7184" i="1"/>
  <c r="L7189" i="1"/>
  <c r="L7199" i="1"/>
  <c r="L7200" i="1"/>
  <c r="L7206" i="1"/>
  <c r="L7230" i="1"/>
  <c r="L7235" i="1"/>
  <c r="L7240" i="1"/>
  <c r="L7245" i="1"/>
  <c r="L7251" i="1"/>
  <c r="L7255" i="1"/>
  <c r="L7279" i="1"/>
  <c r="L7287" i="1"/>
  <c r="L7292" i="1"/>
  <c r="L7307" i="1"/>
  <c r="L7312" i="1"/>
  <c r="L7326" i="1"/>
  <c r="L7333" i="1"/>
  <c r="L7355" i="1"/>
  <c r="L7360" i="1"/>
  <c r="L7368" i="1"/>
  <c r="L7375" i="1"/>
  <c r="L7382" i="1"/>
  <c r="L6747" i="1"/>
  <c r="L6795" i="1"/>
  <c r="L6847" i="1"/>
  <c r="L6850" i="1"/>
  <c r="L6898" i="1"/>
  <c r="L6901" i="1"/>
  <c r="L7027" i="1"/>
  <c r="L7051" i="1"/>
  <c r="L7084" i="1"/>
  <c r="L7120" i="1"/>
  <c r="L7149" i="1"/>
  <c r="L7172" i="1"/>
  <c r="L7176" i="1"/>
  <c r="L7196" i="1"/>
  <c r="L7209" i="1"/>
  <c r="L7228" i="1"/>
  <c r="L7232" i="1"/>
  <c r="L7244" i="1"/>
  <c r="L7248" i="1"/>
  <c r="L7260" i="1"/>
  <c r="L7261" i="1"/>
  <c r="L7283" i="1"/>
  <c r="L7296" i="1"/>
  <c r="L7315" i="1"/>
  <c r="L7331" i="1"/>
  <c r="L7344" i="1"/>
  <c r="L7359" i="1"/>
  <c r="L7363" i="1"/>
  <c r="L7395" i="1"/>
  <c r="L7400" i="1"/>
  <c r="L7401" i="1"/>
  <c r="L7402" i="1"/>
  <c r="L7417" i="1"/>
  <c r="L7423" i="1"/>
  <c r="L7436" i="1"/>
  <c r="L7440" i="1"/>
  <c r="L7441" i="1"/>
  <c r="L7445" i="1"/>
  <c r="L7455" i="1"/>
  <c r="L7459" i="1"/>
  <c r="L7476" i="1"/>
  <c r="L7480" i="1"/>
  <c r="L7481" i="1"/>
  <c r="L7485" i="1"/>
  <c r="L7499" i="1"/>
  <c r="L7504" i="1"/>
  <c r="L7526" i="1"/>
  <c r="L7535" i="1"/>
  <c r="L7548" i="1"/>
  <c r="L7557" i="1"/>
  <c r="L7575" i="1"/>
  <c r="L7587" i="1"/>
  <c r="L7591" i="1"/>
  <c r="L7598" i="1"/>
  <c r="L7610" i="1"/>
  <c r="L7614" i="1"/>
  <c r="L7618" i="1"/>
  <c r="L7627" i="1"/>
  <c r="L7631" i="1"/>
  <c r="L7640" i="1"/>
  <c r="L7656" i="1"/>
  <c r="L7670" i="1"/>
  <c r="L7675" i="1"/>
  <c r="L7698" i="1"/>
  <c r="L7703" i="1"/>
  <c r="L7713" i="1"/>
  <c r="L7721" i="1"/>
  <c r="L7754" i="1"/>
  <c r="L7763" i="1"/>
  <c r="L7772" i="1"/>
  <c r="L7777" i="1"/>
  <c r="L7786" i="1"/>
  <c r="L6106" i="1"/>
  <c r="L6109" i="1"/>
  <c r="L6529" i="1"/>
  <c r="L6939" i="1"/>
  <c r="L6986" i="1"/>
  <c r="L6989" i="1"/>
  <c r="L6998" i="1"/>
  <c r="L7012" i="1"/>
  <c r="L7019" i="1"/>
  <c r="L7047" i="1"/>
  <c r="L7055" i="1"/>
  <c r="L7080" i="1"/>
  <c r="L7100" i="1"/>
  <c r="L7119" i="1"/>
  <c r="L7130" i="1"/>
  <c r="L7148" i="1"/>
  <c r="L7167" i="1"/>
  <c r="L7171" i="1"/>
  <c r="L7188" i="1"/>
  <c r="L7205" i="1"/>
  <c r="L7227" i="1"/>
  <c r="L7243" i="1"/>
  <c r="L7311" i="1"/>
  <c r="L7388" i="1"/>
  <c r="L7389" i="1"/>
  <c r="L7390" i="1"/>
  <c r="L7416" i="1"/>
  <c r="L7422" i="1"/>
  <c r="L7439" i="1"/>
  <c r="L7472" i="1"/>
  <c r="L7479" i="1"/>
  <c r="L7484" i="1"/>
  <c r="L7503" i="1"/>
  <c r="L7522" i="1"/>
  <c r="L7531" i="1"/>
  <c r="L7547" i="1"/>
  <c r="L7552" i="1"/>
  <c r="L7556" i="1"/>
  <c r="L7571" i="1"/>
  <c r="L7594" i="1"/>
  <c r="L7613" i="1"/>
  <c r="L7635" i="1"/>
  <c r="L7644" i="1"/>
  <c r="L7650" i="1"/>
  <c r="L7655" i="1"/>
  <c r="L7660" i="1"/>
  <c r="L7684" i="1"/>
  <c r="L7689" i="1"/>
  <c r="L7693" i="1"/>
  <c r="L7702" i="1"/>
  <c r="L7707" i="1"/>
  <c r="L7712" i="1"/>
  <c r="L7716" i="1"/>
  <c r="L7725" i="1"/>
  <c r="L7739" i="1"/>
  <c r="L7745" i="1"/>
  <c r="L7749" i="1"/>
  <c r="L7758" i="1"/>
  <c r="L7762" i="1"/>
  <c r="L7767" i="1"/>
  <c r="L7781" i="1"/>
  <c r="L7782" i="1"/>
  <c r="L7800" i="1"/>
  <c r="L7804" i="1"/>
  <c r="L7808" i="1"/>
  <c r="L7813" i="1"/>
  <c r="L7817" i="1"/>
  <c r="L7821" i="1"/>
  <c r="L7842" i="1"/>
  <c r="L7851" i="1"/>
  <c r="L5934" i="1"/>
  <c r="L5935" i="1"/>
  <c r="L5944" i="1"/>
  <c r="L6004" i="1"/>
  <c r="L6015" i="1"/>
  <c r="L6023" i="1"/>
  <c r="L6063" i="1"/>
  <c r="L6603" i="1"/>
  <c r="L6639" i="1"/>
  <c r="L6642" i="1"/>
  <c r="L6692" i="1"/>
  <c r="L6696" i="1"/>
  <c r="L6715" i="1"/>
  <c r="L6718" i="1"/>
  <c r="L6732" i="1"/>
  <c r="L6733" i="1"/>
  <c r="L6842" i="1"/>
  <c r="L6846" i="1"/>
  <c r="L6887" i="1"/>
  <c r="L6897" i="1"/>
  <c r="L7015" i="1"/>
  <c r="L7070" i="1"/>
  <c r="L7115" i="1"/>
  <c r="L7133" i="1"/>
  <c r="L7187" i="1"/>
  <c r="L7191" i="1"/>
  <c r="L7204" i="1"/>
  <c r="L7222" i="1"/>
  <c r="L7226" i="1"/>
  <c r="L7259" i="1"/>
  <c r="L7278" i="1"/>
  <c r="L7325" i="1"/>
  <c r="L7358" i="1"/>
  <c r="L7374" i="1"/>
  <c r="L7387" i="1"/>
  <c r="L7394" i="1"/>
  <c r="L7410" i="1"/>
  <c r="L7420" i="1"/>
  <c r="L7421" i="1"/>
  <c r="L7435" i="1"/>
  <c r="L7454" i="1"/>
  <c r="L7458" i="1"/>
  <c r="L7475" i="1"/>
  <c r="L7498" i="1"/>
  <c r="L7517" i="1"/>
  <c r="L7525" i="1"/>
  <c r="L7551" i="1"/>
  <c r="L7567" i="1"/>
  <c r="L7582" i="1"/>
  <c r="L7586" i="1"/>
  <c r="L7590" i="1"/>
  <c r="L7605" i="1"/>
  <c r="L7609" i="1"/>
  <c r="L7626" i="1"/>
  <c r="L7630" i="1"/>
  <c r="L7634" i="1"/>
  <c r="L7669" i="1"/>
  <c r="L7674" i="1"/>
  <c r="L7679" i="1"/>
  <c r="L7688" i="1"/>
  <c r="L7697" i="1"/>
  <c r="L7701" i="1"/>
  <c r="L7706" i="1"/>
  <c r="L7711" i="1"/>
  <c r="L7733" i="1"/>
  <c r="L7753" i="1"/>
  <c r="L7757" i="1"/>
  <c r="L7766" i="1"/>
  <c r="L7771" i="1"/>
  <c r="L7776" i="1"/>
  <c r="L5976" i="1"/>
  <c r="L5977" i="1"/>
  <c r="L6011" i="1"/>
  <c r="L6270" i="1"/>
  <c r="L6271" i="1"/>
  <c r="L6441" i="1"/>
  <c r="L6461" i="1"/>
  <c r="L6491" i="1"/>
  <c r="L6495" i="1"/>
  <c r="L6621" i="1"/>
  <c r="L6709" i="1"/>
  <c r="L6714" i="1"/>
  <c r="L6828" i="1"/>
  <c r="L6926" i="1"/>
  <c r="L6935" i="1"/>
  <c r="L6985" i="1"/>
  <c r="L7039" i="1"/>
  <c r="L7046" i="1"/>
  <c r="L7066" i="1"/>
  <c r="L7099" i="1"/>
  <c r="L7110" i="1"/>
  <c r="L7114" i="1"/>
  <c r="L7144" i="1"/>
  <c r="L7163" i="1"/>
  <c r="L7166" i="1"/>
  <c r="L7183" i="1"/>
  <c r="L7217" i="1"/>
  <c r="L7239" i="1"/>
  <c r="L7242" i="1"/>
  <c r="L7258" i="1"/>
  <c r="L7272" i="1"/>
  <c r="L7273" i="1"/>
  <c r="L7274" i="1"/>
  <c r="L7291" i="1"/>
  <c r="L7310" i="1"/>
  <c r="L7324" i="1"/>
  <c r="L7338" i="1"/>
  <c r="L7373" i="1"/>
  <c r="L7393" i="1"/>
  <c r="L7409" i="1"/>
  <c r="L7415" i="1"/>
  <c r="L7419" i="1"/>
  <c r="L7453" i="1"/>
  <c r="L7471" i="1"/>
  <c r="L7493" i="1"/>
  <c r="L7497" i="1"/>
  <c r="L7512" i="1"/>
  <c r="L7516" i="1"/>
  <c r="L7521" i="1"/>
  <c r="L7543" i="1"/>
  <c r="L7546" i="1"/>
  <c r="L7581" i="1"/>
  <c r="L7589" i="1"/>
  <c r="L7608" i="1"/>
  <c r="L7612" i="1"/>
  <c r="L7621" i="1"/>
  <c r="L7643" i="1"/>
  <c r="L7649" i="1"/>
  <c r="L7653" i="1"/>
  <c r="L7654" i="1"/>
  <c r="L7659" i="1"/>
  <c r="L7678" i="1"/>
  <c r="L7683" i="1"/>
  <c r="L7692" i="1"/>
  <c r="L7710" i="1"/>
  <c r="L7724" i="1"/>
  <c r="L7728" i="1"/>
  <c r="L7738" i="1"/>
  <c r="L7744" i="1"/>
  <c r="L7748" i="1"/>
  <c r="L7752" i="1"/>
  <c r="L7761" i="1"/>
  <c r="L7765" i="1"/>
  <c r="L7775" i="1"/>
  <c r="L7789" i="1"/>
  <c r="L7794" i="1"/>
  <c r="L7799" i="1"/>
  <c r="L7803" i="1"/>
  <c r="L7807" i="1"/>
  <c r="L7812" i="1"/>
  <c r="L7816" i="1"/>
  <c r="L7835" i="1"/>
  <c r="L7840" i="1"/>
  <c r="L7845" i="1"/>
  <c r="L7850" i="1"/>
  <c r="L7859" i="1"/>
  <c r="L7864" i="1"/>
  <c r="L7873" i="1"/>
  <c r="L7894" i="1"/>
  <c r="L7903" i="1"/>
  <c r="L7912" i="1"/>
  <c r="L7924" i="1"/>
  <c r="L7929" i="1"/>
  <c r="L5885" i="1"/>
  <c r="L6188" i="1"/>
  <c r="L6596" i="1"/>
  <c r="L6599" i="1"/>
  <c r="L6616" i="1"/>
  <c r="L6620" i="1"/>
  <c r="L6635" i="1"/>
  <c r="L6674" i="1"/>
  <c r="L6708" i="1"/>
  <c r="L6713" i="1"/>
  <c r="L6774" i="1"/>
  <c r="L6873" i="1"/>
  <c r="L6922" i="1"/>
  <c r="L6925" i="1"/>
  <c r="L6965" i="1"/>
  <c r="L7004" i="1"/>
  <c r="L7062" i="1"/>
  <c r="L7065" i="1"/>
  <c r="L7069" i="1"/>
  <c r="L7090" i="1"/>
  <c r="L7109" i="1"/>
  <c r="L7113" i="1"/>
  <c r="L7182" i="1"/>
  <c r="L7186" i="1"/>
  <c r="L7216" i="1"/>
  <c r="L7221" i="1"/>
  <c r="L7254" i="1"/>
  <c r="L7277" i="1"/>
  <c r="L7290" i="1"/>
  <c r="L7304" i="1"/>
  <c r="L7305" i="1"/>
  <c r="L7306" i="1"/>
  <c r="L7323" i="1"/>
  <c r="L7337" i="1"/>
  <c r="L7352" i="1"/>
  <c r="L7353" i="1"/>
  <c r="L7354" i="1"/>
  <c r="L7372" i="1"/>
  <c r="L7386" i="1"/>
  <c r="L7404" i="1"/>
  <c r="L7408" i="1"/>
  <c r="L7413" i="1"/>
  <c r="L7414" i="1"/>
  <c r="L7434" i="1"/>
  <c r="L7447" i="1"/>
  <c r="L7452" i="1"/>
  <c r="L7474" i="1"/>
  <c r="L7511" i="1"/>
  <c r="L7563" i="1"/>
  <c r="L7566" i="1"/>
  <c r="L7585" i="1"/>
  <c r="L7604" i="1"/>
  <c r="L7625" i="1"/>
  <c r="L7629" i="1"/>
  <c r="L7633" i="1"/>
  <c r="L7638" i="1"/>
  <c r="L7648" i="1"/>
  <c r="L7664" i="1"/>
  <c r="L7668" i="1"/>
  <c r="L7673" i="1"/>
  <c r="L7677" i="1"/>
  <c r="L7682" i="1"/>
  <c r="L7687" i="1"/>
  <c r="L7696" i="1"/>
  <c r="L7700" i="1"/>
  <c r="L7705" i="1"/>
  <c r="L7732" i="1"/>
  <c r="L7743" i="1"/>
  <c r="L7756" i="1"/>
  <c r="L7770" i="1"/>
  <c r="L7793" i="1"/>
  <c r="L7824" i="1"/>
  <c r="L7830" i="1"/>
  <c r="L7834" i="1"/>
  <c r="L7839" i="1"/>
  <c r="L7853" i="1"/>
  <c r="L7854" i="1"/>
  <c r="L7868" i="1"/>
  <c r="L7872" i="1"/>
  <c r="L7888" i="1"/>
  <c r="L7893" i="1"/>
  <c r="L7898" i="1"/>
  <c r="L7907" i="1"/>
  <c r="L7911" i="1"/>
  <c r="L7915" i="1"/>
  <c r="L6560" i="1"/>
  <c r="L6563" i="1"/>
  <c r="L6615" i="1"/>
  <c r="L6687" i="1"/>
  <c r="L6882" i="1"/>
  <c r="L6912" i="1"/>
  <c r="L6921" i="1"/>
  <c r="L6953" i="1"/>
  <c r="L6973" i="1"/>
  <c r="L7035" i="1"/>
  <c r="L6218" i="1"/>
  <c r="L6575" i="1"/>
  <c r="L6578" i="1"/>
  <c r="L7125" i="1"/>
  <c r="L7135" i="1"/>
  <c r="L7138" i="1"/>
  <c r="L7173" i="1"/>
  <c r="L7197" i="1"/>
  <c r="L7249" i="1"/>
  <c r="L7303" i="1"/>
  <c r="L7403" i="1"/>
  <c r="L7624" i="1"/>
  <c r="L7652" i="1"/>
  <c r="L7671" i="1"/>
  <c r="L7708" i="1"/>
  <c r="L7723" i="1"/>
  <c r="L7726" i="1"/>
  <c r="L7746" i="1"/>
  <c r="L7784" i="1"/>
  <c r="L7791" i="1"/>
  <c r="L7829" i="1"/>
  <c r="L7833" i="1"/>
  <c r="L7841" i="1"/>
  <c r="L7882" i="1"/>
  <c r="L7887" i="1"/>
  <c r="L7892" i="1"/>
  <c r="L7904" i="1"/>
  <c r="L7922" i="1"/>
  <c r="L7927" i="1"/>
  <c r="L7940" i="1"/>
  <c r="L7944" i="1"/>
  <c r="L7949" i="1"/>
  <c r="L7954" i="1"/>
  <c r="L7959" i="1"/>
  <c r="L7965" i="1"/>
  <c r="L7982" i="1"/>
  <c r="L7987" i="1"/>
  <c r="L8003" i="1"/>
  <c r="L8013" i="1"/>
  <c r="L8023" i="1"/>
  <c r="L8028" i="1"/>
  <c r="L8032" i="1"/>
  <c r="L8048" i="1"/>
  <c r="L8049" i="1"/>
  <c r="L8074" i="1"/>
  <c r="L8085" i="1"/>
  <c r="L8089" i="1"/>
  <c r="L8095" i="1"/>
  <c r="L8113" i="1"/>
  <c r="L8118" i="1"/>
  <c r="L8123" i="1"/>
  <c r="L8128" i="1"/>
  <c r="L8141" i="1"/>
  <c r="L8151" i="1"/>
  <c r="L8161" i="1"/>
  <c r="L8166" i="1"/>
  <c r="L8171" i="1"/>
  <c r="L8176" i="1"/>
  <c r="L8186" i="1"/>
  <c r="L8202" i="1"/>
  <c r="L8208" i="1"/>
  <c r="L8214" i="1"/>
  <c r="L8219" i="1"/>
  <c r="L8229" i="1"/>
  <c r="L8233" i="1"/>
  <c r="L8245" i="1"/>
  <c r="L8250" i="1"/>
  <c r="L8267" i="1"/>
  <c r="L8273" i="1"/>
  <c r="L8279" i="1"/>
  <c r="L8289" i="1"/>
  <c r="L8290" i="1"/>
  <c r="L8295" i="1"/>
  <c r="L8300" i="1"/>
  <c r="L8305" i="1"/>
  <c r="L8311" i="1"/>
  <c r="L8327" i="1"/>
  <c r="L8332" i="1"/>
  <c r="L8338" i="1"/>
  <c r="L8343" i="1"/>
  <c r="L8358" i="1"/>
  <c r="L8364" i="1"/>
  <c r="L6210" i="1"/>
  <c r="L6763" i="1"/>
  <c r="L7034" i="1"/>
  <c r="L7094" i="1"/>
  <c r="L7104" i="1"/>
  <c r="L7124" i="1"/>
  <c r="L7193" i="1"/>
  <c r="L7220" i="1"/>
  <c r="L7267" i="1"/>
  <c r="L7271" i="1"/>
  <c r="L7298" i="1"/>
  <c r="L7302" i="1"/>
  <c r="L7429" i="1"/>
  <c r="L7487" i="1"/>
  <c r="L7488" i="1"/>
  <c r="L7492" i="1"/>
  <c r="L7515" i="1"/>
  <c r="L7537" i="1"/>
  <c r="L7542" i="1"/>
  <c r="L7620" i="1"/>
  <c r="L7636" i="1"/>
  <c r="L7681" i="1"/>
  <c r="L7695" i="1"/>
  <c r="L7719" i="1"/>
  <c r="L7722" i="1"/>
  <c r="L7741" i="1"/>
  <c r="L7742" i="1"/>
  <c r="L7769" i="1"/>
  <c r="L7787" i="1"/>
  <c r="L7795" i="1"/>
  <c r="L7809" i="1"/>
  <c r="L7832" i="1"/>
  <c r="L7849" i="1"/>
  <c r="L7856" i="1"/>
  <c r="L7860" i="1"/>
  <c r="L7877" i="1"/>
  <c r="L7886" i="1"/>
  <c r="L7895" i="1"/>
  <c r="L7930" i="1"/>
  <c r="L7934" i="1"/>
  <c r="L7939" i="1"/>
  <c r="L7948" i="1"/>
  <c r="L7953" i="1"/>
  <c r="L7964" i="1"/>
  <c r="L7971" i="1"/>
  <c r="L7977" i="1"/>
  <c r="L7981" i="1"/>
  <c r="L7986" i="1"/>
  <c r="L7991" i="1"/>
  <c r="L7996" i="1"/>
  <c r="L8002" i="1"/>
  <c r="L8007" i="1"/>
  <c r="L8012" i="1"/>
  <c r="L8017" i="1"/>
  <c r="L8022" i="1"/>
  <c r="L8037" i="1"/>
  <c r="L8042" i="1"/>
  <c r="L8043" i="1"/>
  <c r="L8053" i="1"/>
  <c r="L8058" i="1"/>
  <c r="L8063" i="1"/>
  <c r="L8068" i="1"/>
  <c r="L8073" i="1"/>
  <c r="L8079" i="1"/>
  <c r="L8084" i="1"/>
  <c r="L8094" i="1"/>
  <c r="L8099" i="1"/>
  <c r="L8103" i="1"/>
  <c r="L8108" i="1"/>
  <c r="L8122" i="1"/>
  <c r="L8132" i="1"/>
  <c r="L8136" i="1"/>
  <c r="L8145" i="1"/>
  <c r="L8150" i="1"/>
  <c r="L8156" i="1"/>
  <c r="L8181" i="1"/>
  <c r="L8185" i="1"/>
  <c r="L8191" i="1"/>
  <c r="L8197" i="1"/>
  <c r="L8201" i="1"/>
  <c r="L8223" i="1"/>
  <c r="L8238" i="1"/>
  <c r="L8239" i="1"/>
  <c r="L8244" i="1"/>
  <c r="L8249" i="1"/>
  <c r="L8254" i="1"/>
  <c r="L8255" i="1"/>
  <c r="L8261" i="1"/>
  <c r="L8284" i="1"/>
  <c r="L8294" i="1"/>
  <c r="L8310" i="1"/>
  <c r="L8316" i="1"/>
  <c r="L8321" i="1"/>
  <c r="L8326" i="1"/>
  <c r="L8337" i="1"/>
  <c r="L8347" i="1"/>
  <c r="L8352" i="1"/>
  <c r="L8357" i="1"/>
  <c r="L8363" i="1"/>
  <c r="L8368" i="1"/>
  <c r="L8374" i="1"/>
  <c r="L8379" i="1"/>
  <c r="L8384" i="1"/>
  <c r="L8405" i="1"/>
  <c r="L8411" i="1"/>
  <c r="L8416" i="1"/>
  <c r="L6118" i="1"/>
  <c r="L6533" i="1"/>
  <c r="L6556" i="1"/>
  <c r="L6854" i="1"/>
  <c r="L7020" i="1"/>
  <c r="L7021" i="1"/>
  <c r="L7024" i="1"/>
  <c r="L7060" i="1"/>
  <c r="L7061" i="1"/>
  <c r="L7089" i="1"/>
  <c r="L7266" i="1"/>
  <c r="L7270" i="1"/>
  <c r="L7297" i="1"/>
  <c r="L7319" i="1"/>
  <c r="L7385" i="1"/>
  <c r="L7486" i="1"/>
  <c r="L7514" i="1"/>
  <c r="L7533" i="1"/>
  <c r="L7536" i="1"/>
  <c r="L7540" i="1"/>
  <c r="L7541" i="1"/>
  <c r="L7558" i="1"/>
  <c r="L7561" i="1"/>
  <c r="L7562" i="1"/>
  <c r="L7600" i="1"/>
  <c r="L7623" i="1"/>
  <c r="L7651" i="1"/>
  <c r="L7663" i="1"/>
  <c r="L7667" i="1"/>
  <c r="L7691" i="1"/>
  <c r="L7755" i="1"/>
  <c r="L7768" i="1"/>
  <c r="L7779" i="1"/>
  <c r="L7783" i="1"/>
  <c r="L7802" i="1"/>
  <c r="L7823" i="1"/>
  <c r="L7828" i="1"/>
  <c r="L7844" i="1"/>
  <c r="L7848" i="1"/>
  <c r="L7855" i="1"/>
  <c r="L7881" i="1"/>
  <c r="L7885" i="1"/>
  <c r="L7891" i="1"/>
  <c r="L7910" i="1"/>
  <c r="L7917" i="1"/>
  <c r="L7921" i="1"/>
  <c r="L7926" i="1"/>
  <c r="L7943" i="1"/>
  <c r="L7957" i="1"/>
  <c r="L7958" i="1"/>
  <c r="L7970" i="1"/>
  <c r="L7976" i="1"/>
  <c r="L7995" i="1"/>
  <c r="L8000" i="1"/>
  <c r="L8001" i="1"/>
  <c r="L8021" i="1"/>
  <c r="L8027" i="1"/>
  <c r="L8031" i="1"/>
  <c r="L8047" i="1"/>
  <c r="L8062" i="1"/>
  <c r="L8072" i="1"/>
  <c r="L8078" i="1"/>
  <c r="L8088" i="1"/>
  <c r="L8112" i="1"/>
  <c r="L8117" i="1"/>
  <c r="L8121" i="1"/>
  <c r="L8127" i="1"/>
  <c r="L8140" i="1"/>
  <c r="L8155" i="1"/>
  <c r="L8160" i="1"/>
  <c r="L8165" i="1"/>
  <c r="L8169" i="1"/>
  <c r="L8170" i="1"/>
  <c r="L8175" i="1"/>
  <c r="L8180" i="1"/>
  <c r="L8196" i="1"/>
  <c r="L8207" i="1"/>
  <c r="L8213" i="1"/>
  <c r="L8217" i="1"/>
  <c r="L8218" i="1"/>
  <c r="L8228" i="1"/>
  <c r="L8232" i="1"/>
  <c r="L8260" i="1"/>
  <c r="L8265" i="1"/>
  <c r="L8266" i="1"/>
  <c r="L8272" i="1"/>
  <c r="L8278" i="1"/>
  <c r="L8283" i="1"/>
  <c r="L8288" i="1"/>
  <c r="L8299" i="1"/>
  <c r="L8304" i="1"/>
  <c r="L8325" i="1"/>
  <c r="L8331" i="1"/>
  <c r="L8342" i="1"/>
  <c r="L8351" i="1"/>
  <c r="L8362" i="1"/>
  <c r="L8372" i="1"/>
  <c r="L8373" i="1"/>
  <c r="L8389" i="1"/>
  <c r="L8394" i="1"/>
  <c r="L8399" i="1"/>
  <c r="L8404" i="1"/>
  <c r="L8420" i="1"/>
  <c r="L7052" i="1"/>
  <c r="L7053" i="1"/>
  <c r="L7056" i="1"/>
  <c r="L7092" i="1"/>
  <c r="L7093" i="1"/>
  <c r="L7154" i="1"/>
  <c r="L7158" i="1"/>
  <c r="L7162" i="1"/>
  <c r="L7234" i="1"/>
  <c r="L7238" i="1"/>
  <c r="L7265" i="1"/>
  <c r="L7286" i="1"/>
  <c r="L7318" i="1"/>
  <c r="L7351" i="1"/>
  <c r="L7381" i="1"/>
  <c r="L7424" i="1"/>
  <c r="L7428" i="1"/>
  <c r="L7446" i="1"/>
  <c r="L7466" i="1"/>
  <c r="L7470" i="1"/>
  <c r="L7491" i="1"/>
  <c r="L7596" i="1"/>
  <c r="L7599" i="1"/>
  <c r="L7603" i="1"/>
  <c r="L7619" i="1"/>
  <c r="L7632" i="1"/>
  <c r="L7647" i="1"/>
  <c r="L7662" i="1"/>
  <c r="L7666" i="1"/>
  <c r="L7714" i="1"/>
  <c r="L7717" i="1"/>
  <c r="L7718" i="1"/>
  <c r="L7737" i="1"/>
  <c r="L7740" i="1"/>
  <c r="L7778" i="1"/>
  <c r="L7819" i="1"/>
  <c r="L7826" i="1"/>
  <c r="L7827" i="1"/>
  <c r="L7871" i="1"/>
  <c r="L7876" i="1"/>
  <c r="L7880" i="1"/>
  <c r="L7890" i="1"/>
  <c r="L7925" i="1"/>
  <c r="L7938" i="1"/>
  <c r="L7947" i="1"/>
  <c r="L7952" i="1"/>
  <c r="L7963" i="1"/>
  <c r="L7980" i="1"/>
  <c r="L7985" i="1"/>
  <c r="L7990" i="1"/>
  <c r="L7999" i="1"/>
  <c r="L8006" i="1"/>
  <c r="L8011" i="1"/>
  <c r="L8016" i="1"/>
  <c r="L8020" i="1"/>
  <c r="L8026" i="1"/>
  <c r="L8036" i="1"/>
  <c r="L8041" i="1"/>
  <c r="L8046" i="1"/>
  <c r="L8052" i="1"/>
  <c r="L8056" i="1"/>
  <c r="L8057" i="1"/>
  <c r="L8061" i="1"/>
  <c r="L8067" i="1"/>
  <c r="L8083" i="1"/>
  <c r="L8093" i="1"/>
  <c r="L8098" i="1"/>
  <c r="L8102" i="1"/>
  <c r="L8107" i="1"/>
  <c r="L8116" i="1"/>
  <c r="L8126" i="1"/>
  <c r="L8131" i="1"/>
  <c r="L8135" i="1"/>
  <c r="L8139" i="1"/>
  <c r="L8144" i="1"/>
  <c r="L8149" i="1"/>
  <c r="L8154" i="1"/>
  <c r="L8174" i="1"/>
  <c r="L8184" i="1"/>
  <c r="L8190" i="1"/>
  <c r="L8195" i="1"/>
  <c r="L8200" i="1"/>
  <c r="L8206" i="1"/>
  <c r="L8212" i="1"/>
  <c r="L8222" i="1"/>
  <c r="L8227" i="1"/>
  <c r="L8237" i="1"/>
  <c r="L8243" i="1"/>
  <c r="L8248" i="1"/>
  <c r="L8253" i="1"/>
  <c r="L8259" i="1"/>
  <c r="L8293" i="1"/>
  <c r="L8298" i="1"/>
  <c r="L8309" i="1"/>
  <c r="L8315" i="1"/>
  <c r="L8320" i="1"/>
  <c r="L8324" i="1"/>
  <c r="L8336" i="1"/>
  <c r="L8346" i="1"/>
  <c r="L8350" i="1"/>
  <c r="L8356" i="1"/>
  <c r="L8361" i="1"/>
  <c r="L8367" i="1"/>
  <c r="L8377" i="1"/>
  <c r="L8378" i="1"/>
  <c r="L8383" i="1"/>
  <c r="L8388" i="1"/>
  <c r="L8393" i="1"/>
  <c r="L8410" i="1"/>
  <c r="L8415" i="1"/>
  <c r="L8425" i="1"/>
  <c r="L8430" i="1"/>
  <c r="L8439" i="1"/>
  <c r="L8444" i="1"/>
  <c r="L8464" i="1"/>
  <c r="L8468" i="1"/>
  <c r="L8469" i="1"/>
  <c r="L8474" i="1"/>
  <c r="L8479" i="1"/>
  <c r="L8486" i="1"/>
  <c r="L8496" i="1"/>
  <c r="L8501" i="1"/>
  <c r="L8506" i="1"/>
  <c r="L8511" i="1"/>
  <c r="L8512" i="1"/>
  <c r="L8517" i="1"/>
  <c r="L8537" i="1"/>
  <c r="L8544" i="1"/>
  <c r="L8550" i="1"/>
  <c r="L8551" i="1"/>
  <c r="L8556" i="1"/>
  <c r="L8561" i="1"/>
  <c r="L8568" i="1"/>
  <c r="L8577" i="1"/>
  <c r="L8589" i="1"/>
  <c r="L8595" i="1"/>
  <c r="L8605" i="1"/>
  <c r="L8606" i="1"/>
  <c r="L8611" i="1"/>
  <c r="L8616" i="1"/>
  <c r="L8622" i="1"/>
  <c r="L8638" i="1"/>
  <c r="L8643" i="1"/>
  <c r="L8654" i="1"/>
  <c r="L8659" i="1"/>
  <c r="L8669" i="1"/>
  <c r="L8674" i="1"/>
  <c r="L8679" i="1"/>
  <c r="L8689" i="1"/>
  <c r="L8694" i="1"/>
  <c r="L8704" i="1"/>
  <c r="L8728" i="1"/>
  <c r="L8738" i="1"/>
  <c r="L8743" i="1"/>
  <c r="L8753" i="1"/>
  <c r="L8758" i="1"/>
  <c r="L8768" i="1"/>
  <c r="L8792" i="1"/>
  <c r="L8802" i="1"/>
  <c r="L8807" i="1"/>
  <c r="L8812" i="1"/>
  <c r="L8817" i="1"/>
  <c r="L8822" i="1"/>
  <c r="L8826" i="1"/>
  <c r="L8831" i="1"/>
  <c r="L8840" i="1"/>
  <c r="L8845" i="1"/>
  <c r="L8861" i="1"/>
  <c r="L8871" i="1"/>
  <c r="L8875" i="1"/>
  <c r="L6076" i="1"/>
  <c r="L6952" i="1"/>
  <c r="L6961" i="1"/>
  <c r="L7085" i="1"/>
  <c r="L7088" i="1"/>
  <c r="L7161" i="1"/>
  <c r="L7211" i="1"/>
  <c r="L7215" i="1"/>
  <c r="L7233" i="1"/>
  <c r="L7285" i="1"/>
  <c r="L7316" i="1"/>
  <c r="L7317" i="1"/>
  <c r="L7346" i="1"/>
  <c r="L7350" i="1"/>
  <c r="L7380" i="1"/>
  <c r="L7396" i="1"/>
  <c r="L7462" i="1"/>
  <c r="L7482" i="1"/>
  <c r="L7506" i="1"/>
  <c r="L7510" i="1"/>
  <c r="L7532" i="1"/>
  <c r="L7554" i="1"/>
  <c r="L7577" i="1"/>
  <c r="L7580" i="1"/>
  <c r="L7615" i="1"/>
  <c r="L7646" i="1"/>
  <c r="L7658" i="1"/>
  <c r="L7661" i="1"/>
  <c r="L7676" i="1"/>
  <c r="L7690" i="1"/>
  <c r="L7736" i="1"/>
  <c r="L7751" i="1"/>
  <c r="L7798" i="1"/>
  <c r="L7815" i="1"/>
  <c r="L7818" i="1"/>
  <c r="L7822" i="1"/>
  <c r="L7847" i="1"/>
  <c r="L7867" i="1"/>
  <c r="L7874" i="1"/>
  <c r="L7875" i="1"/>
  <c r="L7884" i="1"/>
  <c r="L7901" i="1"/>
  <c r="L7902" i="1"/>
  <c r="L7906" i="1"/>
  <c r="L7913" i="1"/>
  <c r="L7916" i="1"/>
  <c r="L7920" i="1"/>
  <c r="L7937" i="1"/>
  <c r="L7942" i="1"/>
  <c r="L7956" i="1"/>
  <c r="L7969" i="1"/>
  <c r="L7974" i="1"/>
  <c r="L7975" i="1"/>
  <c r="L7984" i="1"/>
  <c r="L7989" i="1"/>
  <c r="L7994" i="1"/>
  <c r="L8030" i="1"/>
  <c r="L8035" i="1"/>
  <c r="L8040" i="1"/>
  <c r="L8071" i="1"/>
  <c r="L8077" i="1"/>
  <c r="L8082" i="1"/>
  <c r="L8087" i="1"/>
  <c r="L8097" i="1"/>
  <c r="L8106" i="1"/>
  <c r="L8111" i="1"/>
  <c r="L8120" i="1"/>
  <c r="L8148" i="1"/>
  <c r="L8153" i="1"/>
  <c r="L8159" i="1"/>
  <c r="L8164" i="1"/>
  <c r="L8168" i="1"/>
  <c r="L8179" i="1"/>
  <c r="L8205" i="1"/>
  <c r="L8211" i="1"/>
  <c r="L8216" i="1"/>
  <c r="L8231" i="1"/>
  <c r="L8236" i="1"/>
  <c r="L8242" i="1"/>
  <c r="L8252" i="1"/>
  <c r="L8258" i="1"/>
  <c r="L8264" i="1"/>
  <c r="L8271" i="1"/>
  <c r="L8277" i="1"/>
  <c r="L8281" i="1"/>
  <c r="L8282" i="1"/>
  <c r="L8287" i="1"/>
  <c r="L8297" i="1"/>
  <c r="L8303" i="1"/>
  <c r="L8308" i="1"/>
  <c r="L8329" i="1"/>
  <c r="L8330" i="1"/>
  <c r="L8341" i="1"/>
  <c r="L8345" i="1"/>
  <c r="L8371" i="1"/>
  <c r="L8398" i="1"/>
  <c r="L8403" i="1"/>
  <c r="L8409" i="1"/>
  <c r="L8419" i="1"/>
  <c r="L7250" i="1"/>
  <c r="L7253" i="1"/>
  <c r="L7336" i="1"/>
  <c r="L7519" i="1"/>
  <c r="L7520" i="1"/>
  <c r="L7637" i="1"/>
  <c r="L7641" i="1"/>
  <c r="L7730" i="1"/>
  <c r="L7792" i="1"/>
  <c r="L7837" i="1"/>
  <c r="L7858" i="1"/>
  <c r="L7869" i="1"/>
  <c r="L7896" i="1"/>
  <c r="L7932" i="1"/>
  <c r="L7935" i="1"/>
  <c r="L7945" i="1"/>
  <c r="L7997" i="1"/>
  <c r="L8009" i="1"/>
  <c r="L8024" i="1"/>
  <c r="L8034" i="1"/>
  <c r="L8060" i="1"/>
  <c r="L8076" i="1"/>
  <c r="L8114" i="1"/>
  <c r="L8125" i="1"/>
  <c r="L8177" i="1"/>
  <c r="L8256" i="1"/>
  <c r="L8268" i="1"/>
  <c r="L8292" i="1"/>
  <c r="L8306" i="1"/>
  <c r="L8319" i="1"/>
  <c r="L8322" i="1"/>
  <c r="L8333" i="1"/>
  <c r="L8387" i="1"/>
  <c r="L8391" i="1"/>
  <c r="L8424" i="1"/>
  <c r="L8428" i="1"/>
  <c r="L8437" i="1"/>
  <c r="L8441" i="1"/>
  <c r="L8446" i="1"/>
  <c r="L8473" i="1"/>
  <c r="L8478" i="1"/>
  <c r="L8483" i="1"/>
  <c r="L8494" i="1"/>
  <c r="L8502" i="1"/>
  <c r="L8516" i="1"/>
  <c r="L8525" i="1"/>
  <c r="L8542" i="1"/>
  <c r="L8547" i="1"/>
  <c r="L8552" i="1"/>
  <c r="L8572" i="1"/>
  <c r="L8581" i="1"/>
  <c r="L8593" i="1"/>
  <c r="L8597" i="1"/>
  <c r="L8598" i="1"/>
  <c r="L8607" i="1"/>
  <c r="L8612" i="1"/>
  <c r="L8627" i="1"/>
  <c r="L8633" i="1"/>
  <c r="L8642" i="1"/>
  <c r="L8648" i="1"/>
  <c r="L8661" i="1"/>
  <c r="L8665" i="1"/>
  <c r="L8670" i="1"/>
  <c r="L8693" i="1"/>
  <c r="L8707" i="1"/>
  <c r="L8716" i="1"/>
  <c r="L8736" i="1"/>
  <c r="L8740" i="1"/>
  <c r="L8744" i="1"/>
  <c r="L8772" i="1"/>
  <c r="L8777" i="1"/>
  <c r="L8781" i="1"/>
  <c r="L8782" i="1"/>
  <c r="L8787" i="1"/>
  <c r="L8801" i="1"/>
  <c r="L8805" i="1"/>
  <c r="L8814" i="1"/>
  <c r="L8818" i="1"/>
  <c r="L8835" i="1"/>
  <c r="L8844" i="1"/>
  <c r="L8848" i="1"/>
  <c r="L8853" i="1"/>
  <c r="L8854" i="1"/>
  <c r="L8892" i="1"/>
  <c r="L8887" i="1"/>
  <c r="L8897" i="1"/>
  <c r="L8901" i="1"/>
  <c r="L8912" i="1"/>
  <c r="L8917" i="1"/>
  <c r="L8922" i="1"/>
  <c r="L8933" i="1"/>
  <c r="L8938" i="1"/>
  <c r="L8949" i="1"/>
  <c r="L8954" i="1"/>
  <c r="L8960" i="1"/>
  <c r="L5837" i="1"/>
  <c r="L8417" i="1"/>
  <c r="L8421" i="1"/>
  <c r="L8426" i="1"/>
  <c r="L8458" i="1"/>
  <c r="L8463" i="1"/>
  <c r="L8475" i="1"/>
  <c r="L8509" i="1"/>
  <c r="L8518" i="1"/>
  <c r="L8533" i="1"/>
  <c r="L8559" i="1"/>
  <c r="L8574" i="1"/>
  <c r="L8590" i="1"/>
  <c r="L8614" i="1"/>
  <c r="L8619" i="1"/>
  <c r="L8640" i="1"/>
  <c r="L8644" i="1"/>
  <c r="L8663" i="1"/>
  <c r="L8695" i="1"/>
  <c r="L8709" i="1"/>
  <c r="L8719" i="1"/>
  <c r="L8756" i="1"/>
  <c r="L8779" i="1"/>
  <c r="L8841" i="1"/>
  <c r="L8850" i="1"/>
  <c r="L8885" i="1"/>
  <c r="L8890" i="1"/>
  <c r="L8221" i="1"/>
  <c r="L8274" i="1"/>
  <c r="L8349" i="1"/>
  <c r="L8365" i="1"/>
  <c r="L8380" i="1"/>
  <c r="L8400" i="1"/>
  <c r="L8443" i="1"/>
  <c r="L8448" i="1"/>
  <c r="L8457" i="1"/>
  <c r="L8466" i="1"/>
  <c r="L8500" i="1"/>
  <c r="L8508" i="1"/>
  <c r="L8527" i="1"/>
  <c r="L8532" i="1"/>
  <c r="L8554" i="1"/>
  <c r="L8558" i="1"/>
  <c r="L8578" i="1"/>
  <c r="L8584" i="1"/>
  <c r="L8624" i="1"/>
  <c r="L8639" i="1"/>
  <c r="L8668" i="1"/>
  <c r="L8681" i="1"/>
  <c r="L8686" i="1"/>
  <c r="L8700" i="1"/>
  <c r="L8742" i="1"/>
  <c r="L8751" i="1"/>
  <c r="L8765" i="1"/>
  <c r="L8774" i="1"/>
  <c r="L8784" i="1"/>
  <c r="L8798" i="1"/>
  <c r="L8820" i="1"/>
  <c r="L8828" i="1"/>
  <c r="L8865" i="1"/>
  <c r="L8879" i="1"/>
  <c r="L8889" i="1"/>
  <c r="L8899" i="1"/>
  <c r="L8909" i="1"/>
  <c r="L8920" i="1"/>
  <c r="L8936" i="1"/>
  <c r="L8946" i="1"/>
  <c r="L8957" i="1"/>
  <c r="L5840" i="1"/>
  <c r="L8490" i="1"/>
  <c r="L8499" i="1"/>
  <c r="L8548" i="1"/>
  <c r="L8573" i="1"/>
  <c r="L8599" i="1"/>
  <c r="L8608" i="1"/>
  <c r="L6335" i="1"/>
  <c r="L6336" i="1"/>
  <c r="L6999" i="1"/>
  <c r="L7177" i="1"/>
  <c r="L7284" i="1"/>
  <c r="L7332" i="1"/>
  <c r="L7335" i="1"/>
  <c r="L7407" i="1"/>
  <c r="L7509" i="1"/>
  <c r="L7595" i="1"/>
  <c r="L7628" i="1"/>
  <c r="L7747" i="1"/>
  <c r="L7788" i="1"/>
  <c r="L7861" i="1"/>
  <c r="L7862" i="1"/>
  <c r="L7865" i="1"/>
  <c r="L7879" i="1"/>
  <c r="L7931" i="1"/>
  <c r="L7972" i="1"/>
  <c r="L7983" i="1"/>
  <c r="L8005" i="1"/>
  <c r="L8008" i="1"/>
  <c r="L8045" i="1"/>
  <c r="L8075" i="1"/>
  <c r="L8086" i="1"/>
  <c r="L8100" i="1"/>
  <c r="L8138" i="1"/>
  <c r="L8152" i="1"/>
  <c r="L8163" i="1"/>
  <c r="L8189" i="1"/>
  <c r="L8192" i="1"/>
  <c r="L8230" i="1"/>
  <c r="L8241" i="1"/>
  <c r="L8280" i="1"/>
  <c r="L8291" i="1"/>
  <c r="L8302" i="1"/>
  <c r="L8318" i="1"/>
  <c r="L8344" i="1"/>
  <c r="L8359" i="1"/>
  <c r="L8386" i="1"/>
  <c r="L8390" i="1"/>
  <c r="L8407" i="1"/>
  <c r="L8432" i="1"/>
  <c r="L8436" i="1"/>
  <c r="L8440" i="1"/>
  <c r="L8445" i="1"/>
  <c r="L8451" i="1"/>
  <c r="L8455" i="1"/>
  <c r="L8460" i="1"/>
  <c r="L8477" i="1"/>
  <c r="L8482" i="1"/>
  <c r="L8488" i="1"/>
  <c r="L8497" i="1"/>
  <c r="L8520" i="1"/>
  <c r="L8524" i="1"/>
  <c r="L8530" i="1"/>
  <c r="L8535" i="1"/>
  <c r="L8541" i="1"/>
  <c r="L8546" i="1"/>
  <c r="L8567" i="1"/>
  <c r="L8576" i="1"/>
  <c r="L8580" i="1"/>
  <c r="L8587" i="1"/>
  <c r="L8602" i="1"/>
  <c r="L8637" i="1"/>
  <c r="L8647" i="1"/>
  <c r="L8652" i="1"/>
  <c r="L8656" i="1"/>
  <c r="L8660" i="1"/>
  <c r="L8683" i="1"/>
  <c r="L8697" i="1"/>
  <c r="L8702" i="1"/>
  <c r="L8706" i="1"/>
  <c r="L8711" i="1"/>
  <c r="L8721" i="1"/>
  <c r="L8726" i="1"/>
  <c r="L8730" i="1"/>
  <c r="L8731" i="1"/>
  <c r="L8735" i="1"/>
  <c r="L8748" i="1"/>
  <c r="L8762" i="1"/>
  <c r="L8763" i="1"/>
  <c r="L8767" i="1"/>
  <c r="L8776" i="1"/>
  <c r="L8786" i="1"/>
  <c r="L8791" i="1"/>
  <c r="L8796" i="1"/>
  <c r="L8809" i="1"/>
  <c r="L8813" i="1"/>
  <c r="L8834" i="1"/>
  <c r="L8839" i="1"/>
  <c r="L8843" i="1"/>
  <c r="L8859" i="1"/>
  <c r="L8863" i="1"/>
  <c r="L8868" i="1"/>
  <c r="L8872" i="1"/>
  <c r="L8876" i="1"/>
  <c r="L8882" i="1"/>
  <c r="L8906" i="1"/>
  <c r="L8928" i="1"/>
  <c r="L8944" i="1"/>
  <c r="L8932" i="1"/>
  <c r="L8959" i="1"/>
  <c r="L8414" i="1"/>
  <c r="L8449" i="1"/>
  <c r="L8471" i="1"/>
  <c r="L8514" i="1"/>
  <c r="L8528" i="1"/>
  <c r="L8538" i="1"/>
  <c r="L8555" i="1"/>
  <c r="L8565" i="1"/>
  <c r="L8585" i="1"/>
  <c r="L8609" i="1"/>
  <c r="L8635" i="1"/>
  <c r="L8645" i="1"/>
  <c r="L8650" i="1"/>
  <c r="L8677" i="1"/>
  <c r="L8691" i="1"/>
  <c r="L8714" i="1"/>
  <c r="L8724" i="1"/>
  <c r="L8752" i="1"/>
  <c r="L8760" i="1"/>
  <c r="L8789" i="1"/>
  <c r="L8803" i="1"/>
  <c r="L8837" i="1"/>
  <c r="L8846" i="1"/>
  <c r="L8857" i="1"/>
  <c r="L8895" i="1"/>
  <c r="L5841" i="1"/>
  <c r="L6948" i="1"/>
  <c r="L6951" i="1"/>
  <c r="L7105" i="1"/>
  <c r="L7465" i="1"/>
  <c r="L7505" i="1"/>
  <c r="L7686" i="1"/>
  <c r="L7857" i="1"/>
  <c r="L7955" i="1"/>
  <c r="L7968" i="1"/>
  <c r="L7993" i="1"/>
  <c r="L8019" i="1"/>
  <c r="L8033" i="1"/>
  <c r="L8059" i="1"/>
  <c r="L8110" i="1"/>
  <c r="L8124" i="1"/>
  <c r="L8173" i="1"/>
  <c r="L8188" i="1"/>
  <c r="L8204" i="1"/>
  <c r="L8215" i="1"/>
  <c r="L8301" i="1"/>
  <c r="L8313" i="1"/>
  <c r="L8314" i="1"/>
  <c r="L8317" i="1"/>
  <c r="L8355" i="1"/>
  <c r="L8370" i="1"/>
  <c r="L8382" i="1"/>
  <c r="L8385" i="1"/>
  <c r="L8406" i="1"/>
  <c r="L8423" i="1"/>
  <c r="L8427" i="1"/>
  <c r="L8472" i="1"/>
  <c r="L8476" i="1"/>
  <c r="L8481" i="1"/>
  <c r="L8493" i="1"/>
  <c r="L8510" i="1"/>
  <c r="L8515" i="1"/>
  <c r="L8519" i="1"/>
  <c r="L8529" i="1"/>
  <c r="L8540" i="1"/>
  <c r="L8545" i="1"/>
  <c r="L8566" i="1"/>
  <c r="L8571" i="1"/>
  <c r="L8591" i="1"/>
  <c r="L8592" i="1"/>
  <c r="L8596" i="1"/>
  <c r="L8621" i="1"/>
  <c r="L8626" i="1"/>
  <c r="L8632" i="1"/>
  <c r="L8636" i="1"/>
  <c r="L8641" i="1"/>
  <c r="L8646" i="1"/>
  <c r="L8651" i="1"/>
  <c r="L8664" i="1"/>
  <c r="L8678" i="1"/>
  <c r="L8688" i="1"/>
  <c r="L8692" i="1"/>
  <c r="L8696" i="1"/>
  <c r="L8715" i="1"/>
  <c r="L8725" i="1"/>
  <c r="L8739" i="1"/>
  <c r="L8757" i="1"/>
  <c r="L8771" i="1"/>
  <c r="L8780" i="1"/>
  <c r="L8800" i="1"/>
  <c r="L8804" i="1"/>
  <c r="L8808" i="1"/>
  <c r="L8830" i="1"/>
  <c r="L8842" i="1"/>
  <c r="L8847" i="1"/>
  <c r="L8852" i="1"/>
  <c r="L8858" i="1"/>
  <c r="L8867" i="1"/>
  <c r="L8881" i="1"/>
  <c r="L8886" i="1"/>
  <c r="L8891" i="1"/>
  <c r="L8896" i="1"/>
  <c r="L8911" i="1"/>
  <c r="L8916" i="1"/>
  <c r="L8927" i="1"/>
  <c r="L8943" i="1"/>
  <c r="L8948" i="1"/>
  <c r="L6670" i="1"/>
  <c r="L7153" i="1"/>
  <c r="L7371" i="1"/>
  <c r="L7442" i="1"/>
  <c r="L7672" i="1"/>
  <c r="L7143" i="1"/>
  <c r="L7210" i="1"/>
  <c r="L7367" i="1"/>
  <c r="L7572" i="1"/>
  <c r="L7773" i="1"/>
  <c r="L7797" i="1"/>
  <c r="L7962" i="1"/>
  <c r="L7978" i="1"/>
  <c r="L7988" i="1"/>
  <c r="L8051" i="1"/>
  <c r="L8054" i="1"/>
  <c r="L8066" i="1"/>
  <c r="L8069" i="1"/>
  <c r="L8092" i="1"/>
  <c r="L8105" i="1"/>
  <c r="L8119" i="1"/>
  <c r="L8130" i="1"/>
  <c r="L8133" i="1"/>
  <c r="L8147" i="1"/>
  <c r="L8224" i="1"/>
  <c r="L8247" i="1"/>
  <c r="L8286" i="1"/>
  <c r="L8339" i="1"/>
  <c r="L8376" i="1"/>
  <c r="L8397" i="1"/>
  <c r="L8413" i="1"/>
  <c r="L8434" i="1"/>
  <c r="L8462" i="1"/>
  <c r="L8470" i="1"/>
  <c r="L8491" i="1"/>
  <c r="L8504" i="1"/>
  <c r="L8513" i="1"/>
  <c r="L8522" i="1"/>
  <c r="L8549" i="1"/>
  <c r="L8564" i="1"/>
  <c r="L8569" i="1"/>
  <c r="L8583" i="1"/>
  <c r="L8600" i="1"/>
  <c r="L8618" i="1"/>
  <c r="L8629" i="1"/>
  <c r="L8672" i="1"/>
  <c r="L8676" i="1"/>
  <c r="L8685" i="1"/>
  <c r="L8690" i="1"/>
  <c r="L8733" i="1"/>
  <c r="L8746" i="1"/>
  <c r="L8769" i="1"/>
  <c r="L8793" i="1"/>
  <c r="L8816" i="1"/>
  <c r="L8824" i="1"/>
  <c r="L8832" i="1"/>
  <c r="L8870" i="1"/>
  <c r="L8874" i="1"/>
  <c r="L8894" i="1"/>
  <c r="L8904" i="1"/>
  <c r="L8914" i="1"/>
  <c r="L8925" i="1"/>
  <c r="L8930" i="1"/>
  <c r="L8941" i="1"/>
  <c r="L8952" i="1"/>
  <c r="L8962" i="1"/>
  <c r="L8485" i="1"/>
  <c r="L8495" i="1"/>
  <c r="L8553" i="1"/>
  <c r="L8563" i="1"/>
  <c r="L8604" i="1"/>
  <c r="L8613" i="1"/>
  <c r="L8617" i="1"/>
  <c r="L7157" i="1"/>
  <c r="L7229" i="1"/>
  <c r="L7460" i="1"/>
  <c r="L7461" i="1"/>
  <c r="L7576" i="1"/>
  <c r="L7657" i="1"/>
  <c r="L7685" i="1"/>
  <c r="L7814" i="1"/>
  <c r="L7941" i="1"/>
  <c r="L7967" i="1"/>
  <c r="L7979" i="1"/>
  <c r="L7992" i="1"/>
  <c r="L8004" i="1"/>
  <c r="L8044" i="1"/>
  <c r="L8055" i="1"/>
  <c r="L8096" i="1"/>
  <c r="L8134" i="1"/>
  <c r="L8137" i="1"/>
  <c r="L8162" i="1"/>
  <c r="L8187" i="1"/>
  <c r="L8203" i="1"/>
  <c r="L8225" i="1"/>
  <c r="L8226" i="1"/>
  <c r="L8240" i="1"/>
  <c r="L8251" i="1"/>
  <c r="L8263" i="1"/>
  <c r="L8276" i="1"/>
  <c r="L8328" i="1"/>
  <c r="L8340" i="1"/>
  <c r="L8366" i="1"/>
  <c r="L8369" i="1"/>
  <c r="L8381" i="1"/>
  <c r="L8402" i="1"/>
  <c r="L8418" i="1"/>
  <c r="L8422" i="1"/>
  <c r="L8431" i="1"/>
  <c r="L8435" i="1"/>
  <c r="L8450" i="1"/>
  <c r="L8454" i="1"/>
  <c r="L8459" i="1"/>
  <c r="L8467" i="1"/>
  <c r="L8480" i="1"/>
  <c r="L8487" i="1"/>
  <c r="L8492" i="1"/>
  <c r="L8505" i="1"/>
  <c r="L8523" i="1"/>
  <c r="L8534" i="1"/>
  <c r="L8539" i="1"/>
  <c r="L8560" i="1"/>
  <c r="L8570" i="1"/>
  <c r="L8575" i="1"/>
  <c r="L8579" i="1"/>
  <c r="L8586" i="1"/>
  <c r="L8601" i="1"/>
  <c r="L8610" i="1"/>
  <c r="L8615" i="1"/>
  <c r="L8620" i="1"/>
  <c r="L8625" i="1"/>
  <c r="L8630" i="1"/>
  <c r="L8631" i="1"/>
  <c r="L8655" i="1"/>
  <c r="L8673" i="1"/>
  <c r="L8682" i="1"/>
  <c r="L8687" i="1"/>
  <c r="L8701" i="1"/>
  <c r="L8705" i="1"/>
  <c r="L8710" i="1"/>
  <c r="L8720" i="1"/>
  <c r="L8729" i="1"/>
  <c r="L8734" i="1"/>
  <c r="L8747" i="1"/>
  <c r="L8761" i="1"/>
  <c r="L8766" i="1"/>
  <c r="L8770" i="1"/>
  <c r="L8775" i="1"/>
  <c r="L8785" i="1"/>
  <c r="L8790" i="1"/>
  <c r="L8794" i="1"/>
  <c r="L8795" i="1"/>
  <c r="L8799" i="1"/>
  <c r="L8821" i="1"/>
  <c r="L8825" i="1"/>
  <c r="L8829" i="1"/>
  <c r="L8833" i="1"/>
  <c r="L8838" i="1"/>
  <c r="L8851" i="1"/>
  <c r="L8862" i="1"/>
  <c r="L8866" i="1"/>
  <c r="L8880" i="1"/>
  <c r="L8900" i="1"/>
  <c r="L8905" i="1"/>
  <c r="L8910" i="1"/>
  <c r="L8915" i="1"/>
  <c r="L8921" i="1"/>
  <c r="L8926" i="1"/>
  <c r="L8931" i="1"/>
  <c r="L8937" i="1"/>
  <c r="L8942" i="1"/>
  <c r="L8947" i="1"/>
  <c r="L8953" i="1"/>
  <c r="L8958" i="1"/>
  <c r="L5836" i="1"/>
  <c r="L7810" i="1"/>
  <c r="L7908" i="1"/>
  <c r="L7923" i="1"/>
  <c r="L7951" i="1"/>
  <c r="L7966" i="1"/>
  <c r="L8015" i="1"/>
  <c r="L8018" i="1"/>
  <c r="L8029" i="1"/>
  <c r="L8070" i="1"/>
  <c r="L8081" i="1"/>
  <c r="L8109" i="1"/>
  <c r="L8158" i="1"/>
  <c r="L8172" i="1"/>
  <c r="L8183" i="1"/>
  <c r="L8199" i="1"/>
  <c r="L8262" i="1"/>
  <c r="L8275" i="1"/>
  <c r="L8312" i="1"/>
  <c r="L8353" i="1"/>
  <c r="L8354" i="1"/>
  <c r="L8401" i="1"/>
  <c r="L8453" i="1"/>
  <c r="L6579" i="1"/>
  <c r="L7364" i="1"/>
  <c r="L7365" i="1"/>
  <c r="L7366" i="1"/>
  <c r="L7527" i="1"/>
  <c r="L7528" i="1"/>
  <c r="L7642" i="1"/>
  <c r="L7645" i="1"/>
  <c r="L7735" i="1"/>
  <c r="L7846" i="1"/>
  <c r="L7870" i="1"/>
  <c r="L7936" i="1"/>
  <c r="L7950" i="1"/>
  <c r="L7961" i="1"/>
  <c r="L7998" i="1"/>
  <c r="L8014" i="1"/>
  <c r="L8025" i="1"/>
  <c r="L8039" i="1"/>
  <c r="L8050" i="1"/>
  <c r="L8065" i="1"/>
  <c r="L8080" i="1"/>
  <c r="L8091" i="1"/>
  <c r="L8129" i="1"/>
  <c r="L8143" i="1"/>
  <c r="L8146" i="1"/>
  <c r="L8157" i="1"/>
  <c r="L8182" i="1"/>
  <c r="L8198" i="1"/>
  <c r="L8209" i="1"/>
  <c r="L8210" i="1"/>
  <c r="L8235" i="1"/>
  <c r="L8246" i="1"/>
  <c r="L8257" i="1"/>
  <c r="L8270" i="1"/>
  <c r="L8285" i="1"/>
  <c r="L8296" i="1"/>
  <c r="L8323" i="1"/>
  <c r="L8334" i="1"/>
  <c r="L8335" i="1"/>
  <c r="L8392" i="1"/>
  <c r="L8396" i="1"/>
  <c r="L8412" i="1"/>
  <c r="L8438" i="1"/>
  <c r="L8447" i="1"/>
  <c r="L7727" i="1"/>
  <c r="L7866" i="1"/>
  <c r="L8101" i="1"/>
  <c r="L8104" i="1"/>
  <c r="L8178" i="1"/>
  <c r="L8442" i="1"/>
  <c r="L8452" i="1"/>
  <c r="L8521" i="1"/>
  <c r="L8531" i="1"/>
  <c r="L8698" i="1"/>
  <c r="L8699" i="1"/>
  <c r="L8723" i="1"/>
  <c r="L8749" i="1"/>
  <c r="L8750" i="1"/>
  <c r="L8764" i="1"/>
  <c r="L8773" i="1"/>
  <c r="L8783" i="1"/>
  <c r="L8902" i="1"/>
  <c r="L8961" i="1"/>
  <c r="L7081" i="1"/>
  <c r="L7960" i="1"/>
  <c r="L8429" i="1"/>
  <c r="L8461" i="1"/>
  <c r="L8484" i="1"/>
  <c r="L8594" i="1"/>
  <c r="L8658" i="1"/>
  <c r="L8675" i="1"/>
  <c r="L8708" i="1"/>
  <c r="L8722" i="1"/>
  <c r="L8819" i="1"/>
  <c r="L8878" i="1"/>
  <c r="L8913" i="1"/>
  <c r="L8924" i="1"/>
  <c r="L8935" i="1"/>
  <c r="L8193" i="1"/>
  <c r="L8194" i="1"/>
  <c r="L8360" i="1"/>
  <c r="L8507" i="1"/>
  <c r="L8582" i="1"/>
  <c r="L8603" i="1"/>
  <c r="L8634" i="1"/>
  <c r="L8657" i="1"/>
  <c r="L8815" i="1"/>
  <c r="L8864" i="1"/>
  <c r="L8877" i="1"/>
  <c r="L8923" i="1"/>
  <c r="L8934" i="1"/>
  <c r="L7919" i="1"/>
  <c r="L7973" i="1"/>
  <c r="L8142" i="1"/>
  <c r="L8167" i="1"/>
  <c r="L8220" i="1"/>
  <c r="L8269" i="1"/>
  <c r="L8562" i="1"/>
  <c r="L8623" i="1"/>
  <c r="L8671" i="1"/>
  <c r="L8684" i="1"/>
  <c r="L8717" i="1"/>
  <c r="L8718" i="1"/>
  <c r="L7345" i="1"/>
  <c r="L7553" i="1"/>
  <c r="L7897" i="1"/>
  <c r="L7900" i="1"/>
  <c r="L7946" i="1"/>
  <c r="L8090" i="1"/>
  <c r="L8115" i="1"/>
  <c r="L8395" i="1"/>
  <c r="L8503" i="1"/>
  <c r="L8526" i="1"/>
  <c r="L8536" i="1"/>
  <c r="L8653" i="1"/>
  <c r="L8667" i="1"/>
  <c r="L8741" i="1"/>
  <c r="L8778" i="1"/>
  <c r="L8788" i="1"/>
  <c r="L8811" i="1"/>
  <c r="L8860" i="1"/>
  <c r="L8873" i="1"/>
  <c r="L8908" i="1"/>
  <c r="L8919" i="1"/>
  <c r="L8955" i="1"/>
  <c r="L5839" i="1"/>
  <c r="L7760" i="1"/>
  <c r="L8064" i="1"/>
  <c r="L8408" i="1"/>
  <c r="L8456" i="1"/>
  <c r="L8588" i="1"/>
  <c r="L8666" i="1"/>
  <c r="L8703" i="1"/>
  <c r="L8755" i="1"/>
  <c r="L8810" i="1"/>
  <c r="L8827" i="1"/>
  <c r="L8836" i="1"/>
  <c r="L8884" i="1"/>
  <c r="L8907" i="1"/>
  <c r="L8918" i="1"/>
  <c r="L5838" i="1"/>
  <c r="L8893" i="1"/>
  <c r="L8940" i="1"/>
  <c r="L7731" i="1"/>
  <c r="L8010" i="1"/>
  <c r="L8498" i="1"/>
  <c r="L8628" i="1"/>
  <c r="L8855" i="1"/>
  <c r="L8903" i="1"/>
  <c r="L8939" i="1"/>
  <c r="L8950" i="1"/>
  <c r="L8732" i="1"/>
  <c r="L8745" i="1"/>
  <c r="L8849" i="1"/>
  <c r="L8888" i="1"/>
  <c r="L8898" i="1"/>
  <c r="L8945" i="1"/>
  <c r="L8956" i="1"/>
  <c r="L7838" i="1"/>
  <c r="L8038" i="1"/>
  <c r="L8234" i="1"/>
  <c r="L8307" i="1"/>
  <c r="L8375" i="1"/>
  <c r="L8489" i="1"/>
  <c r="L8557" i="1"/>
  <c r="L8649" i="1"/>
  <c r="L8680" i="1"/>
  <c r="L8713" i="1"/>
  <c r="L8727" i="1"/>
  <c r="L8737" i="1"/>
  <c r="L8754" i="1"/>
  <c r="L8797" i="1"/>
  <c r="L8856" i="1"/>
  <c r="L8869" i="1"/>
  <c r="L8883" i="1"/>
  <c r="L8929" i="1"/>
  <c r="L8951" i="1"/>
  <c r="L8348" i="1"/>
  <c r="L8433" i="1"/>
  <c r="L8465" i="1"/>
  <c r="L8543" i="1"/>
  <c r="L8662" i="1"/>
  <c r="L8712" i="1"/>
  <c r="L8806" i="1"/>
  <c r="L8823" i="1"/>
  <c r="L8759" i="1"/>
  <c r="BI135" i="16"/>
  <c r="X19" i="16"/>
  <c r="AE19" i="16" s="1"/>
  <c r="Q19" i="16" s="1"/>
  <c r="K18" i="16"/>
  <c r="H80" i="16"/>
  <c r="H182" i="16"/>
  <c r="J80" i="16"/>
  <c r="J182" i="16"/>
  <c r="BI86" i="16"/>
  <c r="AA18" i="16"/>
  <c r="M18" i="16" s="1"/>
  <c r="AF18" i="16"/>
  <c r="R18" i="16" s="1"/>
  <c r="M5" i="1" a="1"/>
  <c r="M5" i="1" s="1"/>
  <c r="L5" i="1"/>
  <c r="Y19" i="16"/>
  <c r="Z18" i="16"/>
  <c r="L18" i="16" s="1"/>
  <c r="AB18" i="16"/>
  <c r="N18" i="16" s="1"/>
  <c r="AC18" i="16"/>
  <c r="O18" i="16" s="1"/>
  <c r="AD18" i="16"/>
  <c r="P18" i="16" s="1"/>
  <c r="AE18" i="16"/>
  <c r="Q18" i="16" s="1"/>
  <c r="AA19" i="16" l="1"/>
  <c r="M19" i="16" s="1"/>
  <c r="X20" i="16"/>
  <c r="AB20" i="16" s="1"/>
  <c r="AC19" i="16"/>
  <c r="O19" i="16" s="1"/>
  <c r="AF19" i="16"/>
  <c r="R19" i="16" s="1"/>
  <c r="Z19" i="16"/>
  <c r="L19" i="16" s="1"/>
  <c r="AB19" i="16"/>
  <c r="N19" i="16" s="1"/>
  <c r="AD19" i="16"/>
  <c r="P19" i="16" s="1"/>
  <c r="K19" i="16"/>
  <c r="Y20" i="16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286" i="1"/>
  <c r="L3287" i="1"/>
  <c r="L3288" i="1"/>
  <c r="L3289" i="1"/>
  <c r="L3290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8" i="1"/>
  <c r="L3419" i="1"/>
  <c r="L3420" i="1"/>
  <c r="L3421" i="1"/>
  <c r="L3422" i="1"/>
  <c r="L3423" i="1"/>
  <c r="L3424" i="1"/>
  <c r="L3425" i="1"/>
  <c r="L3426" i="1"/>
  <c r="L3427" i="1"/>
  <c r="L3428" i="1"/>
  <c r="L3429" i="1"/>
  <c r="L3430" i="1"/>
  <c r="L3431" i="1"/>
  <c r="L3432" i="1"/>
  <c r="L3433" i="1"/>
  <c r="L3434" i="1"/>
  <c r="L3435" i="1"/>
  <c r="L3436" i="1"/>
  <c r="L3437" i="1"/>
  <c r="L3438" i="1"/>
  <c r="L3439" i="1"/>
  <c r="L3440" i="1"/>
  <c r="L3441" i="1"/>
  <c r="L3442" i="1"/>
  <c r="L3443" i="1"/>
  <c r="L3444" i="1"/>
  <c r="L3445" i="1"/>
  <c r="L3446" i="1"/>
  <c r="L3447" i="1"/>
  <c r="L3448" i="1"/>
  <c r="L3449" i="1"/>
  <c r="L3450" i="1"/>
  <c r="L3451" i="1"/>
  <c r="L3452" i="1"/>
  <c r="L3453" i="1"/>
  <c r="L3454" i="1"/>
  <c r="L3455" i="1"/>
  <c r="L3456" i="1"/>
  <c r="L3457" i="1"/>
  <c r="L3458" i="1"/>
  <c r="L3459" i="1"/>
  <c r="L3460" i="1"/>
  <c r="L3461" i="1"/>
  <c r="L3462" i="1"/>
  <c r="L3463" i="1"/>
  <c r="L3464" i="1"/>
  <c r="L3465" i="1"/>
  <c r="L3466" i="1"/>
  <c r="L3467" i="1"/>
  <c r="L3468" i="1"/>
  <c r="L3469" i="1"/>
  <c r="L3470" i="1"/>
  <c r="L3471" i="1"/>
  <c r="L3472" i="1"/>
  <c r="L3473" i="1"/>
  <c r="L3474" i="1"/>
  <c r="L3475" i="1"/>
  <c r="L3476" i="1"/>
  <c r="L3477" i="1"/>
  <c r="L3478" i="1"/>
  <c r="L3479" i="1"/>
  <c r="L3480" i="1"/>
  <c r="L3481" i="1"/>
  <c r="L3482" i="1"/>
  <c r="L3483" i="1"/>
  <c r="L3484" i="1"/>
  <c r="L3485" i="1"/>
  <c r="L3486" i="1"/>
  <c r="L3487" i="1"/>
  <c r="L3488" i="1"/>
  <c r="L3489" i="1"/>
  <c r="L3490" i="1"/>
  <c r="L3491" i="1"/>
  <c r="L3492" i="1"/>
  <c r="L3493" i="1"/>
  <c r="L3494" i="1"/>
  <c r="L3495" i="1"/>
  <c r="L3496" i="1"/>
  <c r="L3497" i="1"/>
  <c r="L3498" i="1"/>
  <c r="L3499" i="1"/>
  <c r="L3500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18" i="1"/>
  <c r="L3519" i="1"/>
  <c r="L3520" i="1"/>
  <c r="L3521" i="1"/>
  <c r="L3522" i="1"/>
  <c r="L3523" i="1"/>
  <c r="L3524" i="1"/>
  <c r="L3525" i="1"/>
  <c r="L3526" i="1"/>
  <c r="L3527" i="1"/>
  <c r="L3528" i="1"/>
  <c r="L3529" i="1"/>
  <c r="L3530" i="1"/>
  <c r="L3531" i="1"/>
  <c r="L3532" i="1"/>
  <c r="L3533" i="1"/>
  <c r="L3534" i="1"/>
  <c r="L3535" i="1"/>
  <c r="L3536" i="1"/>
  <c r="L3537" i="1"/>
  <c r="L3538" i="1"/>
  <c r="L3539" i="1"/>
  <c r="L3540" i="1"/>
  <c r="L3541" i="1"/>
  <c r="L3542" i="1"/>
  <c r="L3543" i="1"/>
  <c r="L3544" i="1"/>
  <c r="L3545" i="1"/>
  <c r="L3546" i="1"/>
  <c r="L3547" i="1"/>
  <c r="L3548" i="1"/>
  <c r="L3549" i="1"/>
  <c r="L3550" i="1"/>
  <c r="L3551" i="1"/>
  <c r="L3552" i="1"/>
  <c r="L3553" i="1"/>
  <c r="L3554" i="1"/>
  <c r="L3555" i="1"/>
  <c r="L3556" i="1"/>
  <c r="L3557" i="1"/>
  <c r="L3558" i="1"/>
  <c r="L3559" i="1"/>
  <c r="L3560" i="1"/>
  <c r="L3561" i="1"/>
  <c r="L3562" i="1"/>
  <c r="L3563" i="1"/>
  <c r="L3564" i="1"/>
  <c r="L3565" i="1"/>
  <c r="L3566" i="1"/>
  <c r="L3567" i="1"/>
  <c r="L3568" i="1"/>
  <c r="L3569" i="1"/>
  <c r="L3570" i="1"/>
  <c r="L3571" i="1"/>
  <c r="L3572" i="1"/>
  <c r="L3573" i="1"/>
  <c r="L3574" i="1"/>
  <c r="L3575" i="1"/>
  <c r="L3576" i="1"/>
  <c r="L3577" i="1"/>
  <c r="L3578" i="1"/>
  <c r="L3579" i="1"/>
  <c r="L3580" i="1"/>
  <c r="L3581" i="1"/>
  <c r="L3582" i="1"/>
  <c r="L3583" i="1"/>
  <c r="L3584" i="1"/>
  <c r="L3585" i="1"/>
  <c r="L3586" i="1"/>
  <c r="L3587" i="1"/>
  <c r="L3588" i="1"/>
  <c r="L3589" i="1"/>
  <c r="L3590" i="1"/>
  <c r="L3591" i="1"/>
  <c r="L3592" i="1"/>
  <c r="L3593" i="1"/>
  <c r="L3594" i="1"/>
  <c r="L3595" i="1"/>
  <c r="L3596" i="1"/>
  <c r="L3597" i="1"/>
  <c r="L3598" i="1"/>
  <c r="L3599" i="1"/>
  <c r="L3600" i="1"/>
  <c r="L3601" i="1"/>
  <c r="L3602" i="1"/>
  <c r="L3603" i="1"/>
  <c r="L3604" i="1"/>
  <c r="L3605" i="1"/>
  <c r="L3606" i="1"/>
  <c r="L3607" i="1"/>
  <c r="L3608" i="1"/>
  <c r="L3609" i="1"/>
  <c r="L3610" i="1"/>
  <c r="L3611" i="1"/>
  <c r="L3612" i="1"/>
  <c r="L3613" i="1"/>
  <c r="L3614" i="1"/>
  <c r="L3615" i="1"/>
  <c r="L3616" i="1"/>
  <c r="L3617" i="1"/>
  <c r="L3618" i="1"/>
  <c r="L3619" i="1"/>
  <c r="L3620" i="1"/>
  <c r="L3621" i="1"/>
  <c r="L3622" i="1"/>
  <c r="L3623" i="1"/>
  <c r="L3624" i="1"/>
  <c r="L3625" i="1"/>
  <c r="L3626" i="1"/>
  <c r="L3627" i="1"/>
  <c r="L3628" i="1"/>
  <c r="L3629" i="1"/>
  <c r="L3630" i="1"/>
  <c r="L3631" i="1"/>
  <c r="L3632" i="1"/>
  <c r="L3633" i="1"/>
  <c r="L3634" i="1"/>
  <c r="L3635" i="1"/>
  <c r="L3636" i="1"/>
  <c r="L3637" i="1"/>
  <c r="L3638" i="1"/>
  <c r="L3639" i="1"/>
  <c r="L3640" i="1"/>
  <c r="L3641" i="1"/>
  <c r="L3642" i="1"/>
  <c r="L3643" i="1"/>
  <c r="L3644" i="1"/>
  <c r="L3645" i="1"/>
  <c r="L3646" i="1"/>
  <c r="L3647" i="1"/>
  <c r="L3648" i="1"/>
  <c r="L3649" i="1"/>
  <c r="L3650" i="1"/>
  <c r="L3651" i="1"/>
  <c r="L3652" i="1"/>
  <c r="L3653" i="1"/>
  <c r="L3654" i="1"/>
  <c r="L3655" i="1"/>
  <c r="L3656" i="1"/>
  <c r="L3657" i="1"/>
  <c r="L3658" i="1"/>
  <c r="L3659" i="1"/>
  <c r="L3660" i="1"/>
  <c r="L3661" i="1"/>
  <c r="L3662" i="1"/>
  <c r="L3663" i="1"/>
  <c r="L3664" i="1"/>
  <c r="L3665" i="1"/>
  <c r="L3666" i="1"/>
  <c r="L3667" i="1"/>
  <c r="L3668" i="1"/>
  <c r="L3669" i="1"/>
  <c r="L3670" i="1"/>
  <c r="L3671" i="1"/>
  <c r="L3672" i="1"/>
  <c r="L3673" i="1"/>
  <c r="L3674" i="1"/>
  <c r="L3675" i="1"/>
  <c r="L3676" i="1"/>
  <c r="L3677" i="1"/>
  <c r="L3678" i="1"/>
  <c r="L3679" i="1"/>
  <c r="L3680" i="1"/>
  <c r="L3681" i="1"/>
  <c r="L3682" i="1"/>
  <c r="L3683" i="1"/>
  <c r="L3684" i="1"/>
  <c r="L3685" i="1"/>
  <c r="L3686" i="1"/>
  <c r="L3687" i="1"/>
  <c r="L3688" i="1"/>
  <c r="L3689" i="1"/>
  <c r="L3690" i="1"/>
  <c r="L3691" i="1"/>
  <c r="L3692" i="1"/>
  <c r="L3693" i="1"/>
  <c r="L3694" i="1"/>
  <c r="L3695" i="1"/>
  <c r="L3696" i="1"/>
  <c r="L3697" i="1"/>
  <c r="L3698" i="1"/>
  <c r="L3699" i="1"/>
  <c r="L3700" i="1"/>
  <c r="L3701" i="1"/>
  <c r="L3702" i="1"/>
  <c r="L3703" i="1"/>
  <c r="L3704" i="1"/>
  <c r="L3705" i="1"/>
  <c r="L3706" i="1"/>
  <c r="L3707" i="1"/>
  <c r="L3708" i="1"/>
  <c r="L3709" i="1"/>
  <c r="L3710" i="1"/>
  <c r="L3711" i="1"/>
  <c r="L3712" i="1"/>
  <c r="L3713" i="1"/>
  <c r="L3714" i="1"/>
  <c r="L3715" i="1"/>
  <c r="L3716" i="1"/>
  <c r="L3717" i="1"/>
  <c r="L3718" i="1"/>
  <c r="L3719" i="1"/>
  <c r="L3720" i="1"/>
  <c r="L3721" i="1"/>
  <c r="L3722" i="1"/>
  <c r="L3723" i="1"/>
  <c r="L3724" i="1"/>
  <c r="L3725" i="1"/>
  <c r="L3726" i="1"/>
  <c r="L3727" i="1"/>
  <c r="L3728" i="1"/>
  <c r="L3729" i="1"/>
  <c r="L3730" i="1"/>
  <c r="L3731" i="1"/>
  <c r="L3732" i="1"/>
  <c r="L3733" i="1"/>
  <c r="L3734" i="1"/>
  <c r="L3735" i="1"/>
  <c r="L3736" i="1"/>
  <c r="L3737" i="1"/>
  <c r="L3738" i="1"/>
  <c r="L3739" i="1"/>
  <c r="L3740" i="1"/>
  <c r="L3741" i="1"/>
  <c r="L3742" i="1"/>
  <c r="L3743" i="1"/>
  <c r="L3744" i="1"/>
  <c r="L3745" i="1"/>
  <c r="L3746" i="1"/>
  <c r="L3747" i="1"/>
  <c r="L3748" i="1"/>
  <c r="L3749" i="1"/>
  <c r="L3750" i="1"/>
  <c r="L3751" i="1"/>
  <c r="L3752" i="1"/>
  <c r="L3753" i="1"/>
  <c r="L3754" i="1"/>
  <c r="L3755" i="1"/>
  <c r="L3756" i="1"/>
  <c r="L3757" i="1"/>
  <c r="L3758" i="1"/>
  <c r="L3759" i="1"/>
  <c r="L3760" i="1"/>
  <c r="L3761" i="1"/>
  <c r="L3762" i="1"/>
  <c r="L3763" i="1"/>
  <c r="L3764" i="1"/>
  <c r="L3765" i="1"/>
  <c r="L3766" i="1"/>
  <c r="L3767" i="1"/>
  <c r="L3768" i="1"/>
  <c r="L3769" i="1"/>
  <c r="L3770" i="1"/>
  <c r="L3771" i="1"/>
  <c r="L3772" i="1"/>
  <c r="L3773" i="1"/>
  <c r="L3774" i="1"/>
  <c r="L3775" i="1"/>
  <c r="L3776" i="1"/>
  <c r="L3777" i="1"/>
  <c r="L3778" i="1"/>
  <c r="L3779" i="1"/>
  <c r="L3780" i="1"/>
  <c r="L3781" i="1"/>
  <c r="L3782" i="1"/>
  <c r="L3783" i="1"/>
  <c r="L3784" i="1"/>
  <c r="L3785" i="1"/>
  <c r="L3786" i="1"/>
  <c r="L3787" i="1"/>
  <c r="L3788" i="1"/>
  <c r="L3789" i="1"/>
  <c r="L3790" i="1"/>
  <c r="L3791" i="1"/>
  <c r="L3792" i="1"/>
  <c r="L3793" i="1"/>
  <c r="L3794" i="1"/>
  <c r="L3795" i="1"/>
  <c r="L3796" i="1"/>
  <c r="L3797" i="1"/>
  <c r="L3798" i="1"/>
  <c r="L3799" i="1"/>
  <c r="L3800" i="1"/>
  <c r="L3801" i="1"/>
  <c r="L3802" i="1"/>
  <c r="L3803" i="1"/>
  <c r="L3804" i="1"/>
  <c r="L3805" i="1"/>
  <c r="L3806" i="1"/>
  <c r="L3807" i="1"/>
  <c r="L3808" i="1"/>
  <c r="L3809" i="1"/>
  <c r="L3810" i="1"/>
  <c r="L3811" i="1"/>
  <c r="L3812" i="1"/>
  <c r="L3813" i="1"/>
  <c r="L3814" i="1"/>
  <c r="L3815" i="1"/>
  <c r="L3816" i="1"/>
  <c r="L3817" i="1"/>
  <c r="L3818" i="1"/>
  <c r="L3819" i="1"/>
  <c r="L3820" i="1"/>
  <c r="L3821" i="1"/>
  <c r="L3822" i="1"/>
  <c r="L3823" i="1"/>
  <c r="L3824" i="1"/>
  <c r="L3825" i="1"/>
  <c r="L3826" i="1"/>
  <c r="L3827" i="1"/>
  <c r="L3828" i="1"/>
  <c r="L3829" i="1"/>
  <c r="L3830" i="1"/>
  <c r="L3831" i="1"/>
  <c r="L3832" i="1"/>
  <c r="L3833" i="1"/>
  <c r="L3834" i="1"/>
  <c r="L3835" i="1"/>
  <c r="L3836" i="1"/>
  <c r="L3837" i="1"/>
  <c r="L3838" i="1"/>
  <c r="L3839" i="1"/>
  <c r="L3840" i="1"/>
  <c r="L3841" i="1"/>
  <c r="L3842" i="1"/>
  <c r="L3843" i="1"/>
  <c r="L3844" i="1"/>
  <c r="L3845" i="1"/>
  <c r="L3846" i="1"/>
  <c r="L3847" i="1"/>
  <c r="L3848" i="1"/>
  <c r="L3849" i="1"/>
  <c r="L3850" i="1"/>
  <c r="L3851" i="1"/>
  <c r="L3852" i="1"/>
  <c r="L3853" i="1"/>
  <c r="L3854" i="1"/>
  <c r="L3855" i="1"/>
  <c r="L3856" i="1"/>
  <c r="L3857" i="1"/>
  <c r="L3858" i="1"/>
  <c r="L3859" i="1"/>
  <c r="L3860" i="1"/>
  <c r="L3861" i="1"/>
  <c r="L3862" i="1"/>
  <c r="L3863" i="1"/>
  <c r="L3864" i="1"/>
  <c r="L3865" i="1"/>
  <c r="L3866" i="1"/>
  <c r="L3867" i="1"/>
  <c r="L3868" i="1"/>
  <c r="L3869" i="1"/>
  <c r="L3870" i="1"/>
  <c r="L3871" i="1"/>
  <c r="L3872" i="1"/>
  <c r="L3873" i="1"/>
  <c r="L3874" i="1"/>
  <c r="L3875" i="1"/>
  <c r="L3876" i="1"/>
  <c r="L3877" i="1"/>
  <c r="L3878" i="1"/>
  <c r="L3879" i="1"/>
  <c r="L3880" i="1"/>
  <c r="L3881" i="1"/>
  <c r="L3882" i="1"/>
  <c r="L3883" i="1"/>
  <c r="L3884" i="1"/>
  <c r="L3885" i="1"/>
  <c r="L3886" i="1"/>
  <c r="L3887" i="1"/>
  <c r="L3888" i="1"/>
  <c r="L3889" i="1"/>
  <c r="L3890" i="1"/>
  <c r="L3891" i="1"/>
  <c r="L3892" i="1"/>
  <c r="L3893" i="1"/>
  <c r="L3894" i="1"/>
  <c r="L3895" i="1"/>
  <c r="L3896" i="1"/>
  <c r="L3897" i="1"/>
  <c r="L3898" i="1"/>
  <c r="L3899" i="1"/>
  <c r="L3900" i="1"/>
  <c r="L3901" i="1"/>
  <c r="L3902" i="1"/>
  <c r="L3903" i="1"/>
  <c r="L3904" i="1"/>
  <c r="L3905" i="1"/>
  <c r="L3906" i="1"/>
  <c r="L3907" i="1"/>
  <c r="L3908" i="1"/>
  <c r="L3909" i="1"/>
  <c r="L3910" i="1"/>
  <c r="L3911" i="1"/>
  <c r="L3912" i="1"/>
  <c r="L3913" i="1"/>
  <c r="L3914" i="1"/>
  <c r="L3915" i="1"/>
  <c r="L3916" i="1"/>
  <c r="L3917" i="1"/>
  <c r="L3918" i="1"/>
  <c r="L3919" i="1"/>
  <c r="L3920" i="1"/>
  <c r="L3921" i="1"/>
  <c r="L3922" i="1"/>
  <c r="L3923" i="1"/>
  <c r="L3924" i="1"/>
  <c r="L3925" i="1"/>
  <c r="L3926" i="1"/>
  <c r="L3927" i="1"/>
  <c r="L3928" i="1"/>
  <c r="L3929" i="1"/>
  <c r="L3930" i="1"/>
  <c r="L3931" i="1"/>
  <c r="L3932" i="1"/>
  <c r="L3933" i="1"/>
  <c r="L3934" i="1"/>
  <c r="L3935" i="1"/>
  <c r="L3936" i="1"/>
  <c r="L3937" i="1"/>
  <c r="L3938" i="1"/>
  <c r="L3939" i="1"/>
  <c r="L3940" i="1"/>
  <c r="L3941" i="1"/>
  <c r="L3942" i="1"/>
  <c r="L3943" i="1"/>
  <c r="L3944" i="1"/>
  <c r="L3945" i="1"/>
  <c r="L3946" i="1"/>
  <c r="L3947" i="1"/>
  <c r="L3948" i="1"/>
  <c r="L3949" i="1"/>
  <c r="L3950" i="1"/>
  <c r="L3951" i="1"/>
  <c r="L3952" i="1"/>
  <c r="L3953" i="1"/>
  <c r="L3954" i="1"/>
  <c r="L3955" i="1"/>
  <c r="L3956" i="1"/>
  <c r="L3957" i="1"/>
  <c r="L3958" i="1"/>
  <c r="L3959" i="1"/>
  <c r="L3960" i="1"/>
  <c r="L3961" i="1"/>
  <c r="L3962" i="1"/>
  <c r="L3963" i="1"/>
  <c r="L3964" i="1"/>
  <c r="L3965" i="1"/>
  <c r="L3966" i="1"/>
  <c r="L3967" i="1"/>
  <c r="L3968" i="1"/>
  <c r="L3969" i="1"/>
  <c r="L3970" i="1"/>
  <c r="L3971" i="1"/>
  <c r="L3972" i="1"/>
  <c r="L3973" i="1"/>
  <c r="L3974" i="1"/>
  <c r="L3975" i="1"/>
  <c r="L3976" i="1"/>
  <c r="L3977" i="1"/>
  <c r="L3978" i="1"/>
  <c r="L3979" i="1"/>
  <c r="L3980" i="1"/>
  <c r="L3981" i="1"/>
  <c r="L3982" i="1"/>
  <c r="L3983" i="1"/>
  <c r="L3984" i="1"/>
  <c r="L3985" i="1"/>
  <c r="L3986" i="1"/>
  <c r="L3987" i="1"/>
  <c r="L3988" i="1"/>
  <c r="L3989" i="1"/>
  <c r="L3990" i="1"/>
  <c r="L3991" i="1"/>
  <c r="L3992" i="1"/>
  <c r="L3993" i="1"/>
  <c r="L3994" i="1"/>
  <c r="L3995" i="1"/>
  <c r="L3996" i="1"/>
  <c r="L3997" i="1"/>
  <c r="L3998" i="1"/>
  <c r="L3999" i="1"/>
  <c r="L4000" i="1"/>
  <c r="L4001" i="1"/>
  <c r="L4002" i="1"/>
  <c r="L4003" i="1"/>
  <c r="L4004" i="1"/>
  <c r="L4005" i="1"/>
  <c r="L4006" i="1"/>
  <c r="L4007" i="1"/>
  <c r="L4008" i="1"/>
  <c r="L4009" i="1"/>
  <c r="L4010" i="1"/>
  <c r="L4011" i="1"/>
  <c r="L4012" i="1"/>
  <c r="L4013" i="1"/>
  <c r="L4014" i="1"/>
  <c r="L4015" i="1"/>
  <c r="L4016" i="1"/>
  <c r="L4017" i="1"/>
  <c r="L4018" i="1"/>
  <c r="L4019" i="1"/>
  <c r="L4020" i="1"/>
  <c r="L4021" i="1"/>
  <c r="L4022" i="1"/>
  <c r="L4023" i="1"/>
  <c r="L4024" i="1"/>
  <c r="L4025" i="1"/>
  <c r="L4026" i="1"/>
  <c r="L4027" i="1"/>
  <c r="L4028" i="1"/>
  <c r="L4029" i="1"/>
  <c r="L4030" i="1"/>
  <c r="L4031" i="1"/>
  <c r="L4032" i="1"/>
  <c r="L4033" i="1"/>
  <c r="L4034" i="1"/>
  <c r="L4035" i="1"/>
  <c r="L4036" i="1"/>
  <c r="L4037" i="1"/>
  <c r="L4038" i="1"/>
  <c r="L4039" i="1"/>
  <c r="L4040" i="1"/>
  <c r="L4041" i="1"/>
  <c r="L4042" i="1"/>
  <c r="L4043" i="1"/>
  <c r="L4044" i="1"/>
  <c r="L4045" i="1"/>
  <c r="L4046" i="1"/>
  <c r="L4047" i="1"/>
  <c r="L4048" i="1"/>
  <c r="L4049" i="1"/>
  <c r="L4050" i="1"/>
  <c r="L4051" i="1"/>
  <c r="L4052" i="1"/>
  <c r="L4053" i="1"/>
  <c r="L4054" i="1"/>
  <c r="L4055" i="1"/>
  <c r="L4056" i="1"/>
  <c r="L4057" i="1"/>
  <c r="L4058" i="1"/>
  <c r="L4059" i="1"/>
  <c r="L4060" i="1"/>
  <c r="L4061" i="1"/>
  <c r="L4062" i="1"/>
  <c r="L4063" i="1"/>
  <c r="L4064" i="1"/>
  <c r="L4065" i="1"/>
  <c r="L4066" i="1"/>
  <c r="L4067" i="1"/>
  <c r="L4068" i="1"/>
  <c r="L4069" i="1"/>
  <c r="L4070" i="1"/>
  <c r="L4071" i="1"/>
  <c r="L4072" i="1"/>
  <c r="L4073" i="1"/>
  <c r="L4074" i="1"/>
  <c r="L4075" i="1"/>
  <c r="L4076" i="1"/>
  <c r="L4077" i="1"/>
  <c r="L4078" i="1"/>
  <c r="L4079" i="1"/>
  <c r="L4080" i="1"/>
  <c r="L4081" i="1"/>
  <c r="L4082" i="1"/>
  <c r="L4083" i="1"/>
  <c r="L4084" i="1"/>
  <c r="L4085" i="1"/>
  <c r="L4086" i="1"/>
  <c r="L4087" i="1"/>
  <c r="L4088" i="1"/>
  <c r="L4089" i="1"/>
  <c r="L4090" i="1"/>
  <c r="L4091" i="1"/>
  <c r="L4092" i="1"/>
  <c r="L4093" i="1"/>
  <c r="L4094" i="1"/>
  <c r="L4095" i="1"/>
  <c r="L4096" i="1"/>
  <c r="L4097" i="1"/>
  <c r="L4098" i="1"/>
  <c r="L4099" i="1"/>
  <c r="L4100" i="1"/>
  <c r="L4101" i="1"/>
  <c r="L4102" i="1"/>
  <c r="L4103" i="1"/>
  <c r="L4104" i="1"/>
  <c r="L4105" i="1"/>
  <c r="L4106" i="1"/>
  <c r="L4107" i="1"/>
  <c r="L4108" i="1"/>
  <c r="L4109" i="1"/>
  <c r="L4110" i="1"/>
  <c r="L4111" i="1"/>
  <c r="L4112" i="1"/>
  <c r="L4113" i="1"/>
  <c r="L4114" i="1"/>
  <c r="L4115" i="1"/>
  <c r="L4116" i="1"/>
  <c r="L4117" i="1"/>
  <c r="L4118" i="1"/>
  <c r="L4119" i="1"/>
  <c r="L4120" i="1"/>
  <c r="L4121" i="1"/>
  <c r="L4122" i="1"/>
  <c r="L4123" i="1"/>
  <c r="L4124" i="1"/>
  <c r="L4125" i="1"/>
  <c r="L4126" i="1"/>
  <c r="L4127" i="1"/>
  <c r="L4128" i="1"/>
  <c r="L4129" i="1"/>
  <c r="L4130" i="1"/>
  <c r="L4131" i="1"/>
  <c r="L4132" i="1"/>
  <c r="L4133" i="1"/>
  <c r="L4134" i="1"/>
  <c r="L4135" i="1"/>
  <c r="L4136" i="1"/>
  <c r="L4137" i="1"/>
  <c r="L4138" i="1"/>
  <c r="L4139" i="1"/>
  <c r="L4140" i="1"/>
  <c r="L4141" i="1"/>
  <c r="L4142" i="1"/>
  <c r="L4143" i="1"/>
  <c r="L4144" i="1"/>
  <c r="L4145" i="1"/>
  <c r="L4146" i="1"/>
  <c r="L4147" i="1"/>
  <c r="L4148" i="1"/>
  <c r="L4149" i="1"/>
  <c r="L4150" i="1"/>
  <c r="L4151" i="1"/>
  <c r="L4152" i="1"/>
  <c r="L4153" i="1"/>
  <c r="L4154" i="1"/>
  <c r="L4155" i="1"/>
  <c r="L4156" i="1"/>
  <c r="L4157" i="1"/>
  <c r="L4158" i="1"/>
  <c r="L4159" i="1"/>
  <c r="L4160" i="1"/>
  <c r="L4161" i="1"/>
  <c r="L4162" i="1"/>
  <c r="L4163" i="1"/>
  <c r="L4164" i="1"/>
  <c r="L4165" i="1"/>
  <c r="L4166" i="1"/>
  <c r="L4167" i="1"/>
  <c r="L4168" i="1"/>
  <c r="L4169" i="1"/>
  <c r="L4170" i="1"/>
  <c r="L4171" i="1"/>
  <c r="L4172" i="1"/>
  <c r="L4173" i="1"/>
  <c r="L4174" i="1"/>
  <c r="L4175" i="1"/>
  <c r="L4176" i="1"/>
  <c r="L4177" i="1"/>
  <c r="L4178" i="1"/>
  <c r="L4179" i="1"/>
  <c r="L4180" i="1"/>
  <c r="L4181" i="1"/>
  <c r="L4182" i="1"/>
  <c r="L4183" i="1"/>
  <c r="L4184" i="1"/>
  <c r="L4185" i="1"/>
  <c r="L4186" i="1"/>
  <c r="L4187" i="1"/>
  <c r="L4188" i="1"/>
  <c r="L4189" i="1"/>
  <c r="L4190" i="1"/>
  <c r="L4191" i="1"/>
  <c r="L4192" i="1"/>
  <c r="L4193" i="1"/>
  <c r="L4194" i="1"/>
  <c r="L4195" i="1"/>
  <c r="L4196" i="1"/>
  <c r="L4197" i="1"/>
  <c r="L4198" i="1"/>
  <c r="L4199" i="1"/>
  <c r="L4200" i="1"/>
  <c r="L4201" i="1"/>
  <c r="L4202" i="1"/>
  <c r="L4203" i="1"/>
  <c r="L4204" i="1"/>
  <c r="L4205" i="1"/>
  <c r="L4206" i="1"/>
  <c r="L4207" i="1"/>
  <c r="L4208" i="1"/>
  <c r="L4209" i="1"/>
  <c r="L4210" i="1"/>
  <c r="L4211" i="1"/>
  <c r="L4212" i="1"/>
  <c r="L4213" i="1"/>
  <c r="L4214" i="1"/>
  <c r="L4215" i="1"/>
  <c r="L4216" i="1"/>
  <c r="L4217" i="1"/>
  <c r="L4218" i="1"/>
  <c r="L4219" i="1"/>
  <c r="L4220" i="1"/>
  <c r="L4221" i="1"/>
  <c r="L4222" i="1"/>
  <c r="L4223" i="1"/>
  <c r="L4224" i="1"/>
  <c r="L4225" i="1"/>
  <c r="L4226" i="1"/>
  <c r="L4227" i="1"/>
  <c r="L4228" i="1"/>
  <c r="L4229" i="1"/>
  <c r="L4230" i="1"/>
  <c r="L4231" i="1"/>
  <c r="L4232" i="1"/>
  <c r="L4233" i="1"/>
  <c r="L4234" i="1"/>
  <c r="L4235" i="1"/>
  <c r="L4236" i="1"/>
  <c r="L4237" i="1"/>
  <c r="L4238" i="1"/>
  <c r="L4239" i="1"/>
  <c r="L4240" i="1"/>
  <c r="L4241" i="1"/>
  <c r="L4242" i="1"/>
  <c r="L4243" i="1"/>
  <c r="L4244" i="1"/>
  <c r="L4245" i="1"/>
  <c r="L4246" i="1"/>
  <c r="L4247" i="1"/>
  <c r="L4248" i="1"/>
  <c r="L4249" i="1"/>
  <c r="L4250" i="1"/>
  <c r="L4251" i="1"/>
  <c r="L4252" i="1"/>
  <c r="L4253" i="1"/>
  <c r="L4254" i="1"/>
  <c r="L4255" i="1"/>
  <c r="L4256" i="1"/>
  <c r="L4257" i="1"/>
  <c r="L4258" i="1"/>
  <c r="L4259" i="1"/>
  <c r="L4260" i="1"/>
  <c r="L4261" i="1"/>
  <c r="L4262" i="1"/>
  <c r="L4263" i="1"/>
  <c r="L4264" i="1"/>
  <c r="L4265" i="1"/>
  <c r="L4266" i="1"/>
  <c r="L4267" i="1"/>
  <c r="L4268" i="1"/>
  <c r="L4269" i="1"/>
  <c r="L4270" i="1"/>
  <c r="L4271" i="1"/>
  <c r="L4272" i="1"/>
  <c r="L4273" i="1"/>
  <c r="L4274" i="1"/>
  <c r="L4275" i="1"/>
  <c r="L4276" i="1"/>
  <c r="L4277" i="1"/>
  <c r="L4278" i="1"/>
  <c r="L4279" i="1"/>
  <c r="L4280" i="1"/>
  <c r="L4281" i="1"/>
  <c r="L4282" i="1"/>
  <c r="L4283" i="1"/>
  <c r="L4284" i="1"/>
  <c r="L4285" i="1"/>
  <c r="L4286" i="1"/>
  <c r="L4287" i="1"/>
  <c r="L4288" i="1"/>
  <c r="L4289" i="1"/>
  <c r="L4290" i="1"/>
  <c r="L4291" i="1"/>
  <c r="L4292" i="1"/>
  <c r="L4293" i="1"/>
  <c r="L4294" i="1"/>
  <c r="L4295" i="1"/>
  <c r="L4296" i="1"/>
  <c r="L4297" i="1"/>
  <c r="L4298" i="1"/>
  <c r="L4299" i="1"/>
  <c r="L4300" i="1"/>
  <c r="L4301" i="1"/>
  <c r="L4302" i="1"/>
  <c r="L4303" i="1"/>
  <c r="L4304" i="1"/>
  <c r="L4305" i="1"/>
  <c r="L4306" i="1"/>
  <c r="L4307" i="1"/>
  <c r="L4308" i="1"/>
  <c r="L4309" i="1"/>
  <c r="L4310" i="1"/>
  <c r="L4311" i="1"/>
  <c r="L4312" i="1"/>
  <c r="L4313" i="1"/>
  <c r="L4314" i="1"/>
  <c r="L4315" i="1"/>
  <c r="L4316" i="1"/>
  <c r="L4317" i="1"/>
  <c r="L4318" i="1"/>
  <c r="L4319" i="1"/>
  <c r="L4320" i="1"/>
  <c r="L4321" i="1"/>
  <c r="L4322" i="1"/>
  <c r="L4323" i="1"/>
  <c r="L4324" i="1"/>
  <c r="L4325" i="1"/>
  <c r="L4326" i="1"/>
  <c r="L4327" i="1"/>
  <c r="L4328" i="1"/>
  <c r="L4329" i="1"/>
  <c r="L4330" i="1"/>
  <c r="L4331" i="1"/>
  <c r="L4332" i="1"/>
  <c r="L4333" i="1"/>
  <c r="L4334" i="1"/>
  <c r="L4335" i="1"/>
  <c r="L4336" i="1"/>
  <c r="L4337" i="1"/>
  <c r="L4338" i="1"/>
  <c r="L4339" i="1"/>
  <c r="L4340" i="1"/>
  <c r="L4341" i="1"/>
  <c r="L4342" i="1"/>
  <c r="L4343" i="1"/>
  <c r="L4344" i="1"/>
  <c r="L4345" i="1"/>
  <c r="L4346" i="1"/>
  <c r="L4347" i="1"/>
  <c r="L4348" i="1"/>
  <c r="L4349" i="1"/>
  <c r="L4350" i="1"/>
  <c r="L4351" i="1"/>
  <c r="L4352" i="1"/>
  <c r="L4353" i="1"/>
  <c r="L4354" i="1"/>
  <c r="L4355" i="1"/>
  <c r="L4356" i="1"/>
  <c r="L4357" i="1"/>
  <c r="L4358" i="1"/>
  <c r="L4359" i="1"/>
  <c r="L4360" i="1"/>
  <c r="L4361" i="1"/>
  <c r="L4362" i="1"/>
  <c r="L4363" i="1"/>
  <c r="L4364" i="1"/>
  <c r="L4365" i="1"/>
  <c r="L4366" i="1"/>
  <c r="L4367" i="1"/>
  <c r="L4368" i="1"/>
  <c r="L4369" i="1"/>
  <c r="L4370" i="1"/>
  <c r="L4371" i="1"/>
  <c r="L4372" i="1"/>
  <c r="L4373" i="1"/>
  <c r="L4374" i="1"/>
  <c r="L4375" i="1"/>
  <c r="L4376" i="1"/>
  <c r="L4377" i="1"/>
  <c r="L4378" i="1"/>
  <c r="L4379" i="1"/>
  <c r="L4380" i="1"/>
  <c r="L4381" i="1"/>
  <c r="L4382" i="1"/>
  <c r="L4383" i="1"/>
  <c r="L4384" i="1"/>
  <c r="L4385" i="1"/>
  <c r="L4386" i="1"/>
  <c r="L4387" i="1"/>
  <c r="L4388" i="1"/>
  <c r="L4389" i="1"/>
  <c r="L4390" i="1"/>
  <c r="L4391" i="1"/>
  <c r="L4392" i="1"/>
  <c r="L4393" i="1"/>
  <c r="L4394" i="1"/>
  <c r="L4395" i="1"/>
  <c r="L4396" i="1"/>
  <c r="L4397" i="1"/>
  <c r="L4398" i="1"/>
  <c r="L4399" i="1"/>
  <c r="L4400" i="1"/>
  <c r="L4401" i="1"/>
  <c r="L4402" i="1"/>
  <c r="L4403" i="1"/>
  <c r="L4404" i="1"/>
  <c r="L4405" i="1"/>
  <c r="L4406" i="1"/>
  <c r="L4407" i="1"/>
  <c r="L4408" i="1"/>
  <c r="L4409" i="1"/>
  <c r="L4410" i="1"/>
  <c r="L4411" i="1"/>
  <c r="L4412" i="1"/>
  <c r="L4413" i="1"/>
  <c r="L4414" i="1"/>
  <c r="L4415" i="1"/>
  <c r="L4416" i="1"/>
  <c r="L4417" i="1"/>
  <c r="L4418" i="1"/>
  <c r="L4419" i="1"/>
  <c r="L4420" i="1"/>
  <c r="L4421" i="1"/>
  <c r="L4422" i="1"/>
  <c r="L4423" i="1"/>
  <c r="L4424" i="1"/>
  <c r="L4425" i="1"/>
  <c r="L4426" i="1"/>
  <c r="L4427" i="1"/>
  <c r="L4428" i="1"/>
  <c r="L4429" i="1"/>
  <c r="L4430" i="1"/>
  <c r="L4431" i="1"/>
  <c r="L4432" i="1"/>
  <c r="L4433" i="1"/>
  <c r="L4434" i="1"/>
  <c r="L4435" i="1"/>
  <c r="L4436" i="1"/>
  <c r="L4437" i="1"/>
  <c r="L4438" i="1"/>
  <c r="L4439" i="1"/>
  <c r="L4440" i="1"/>
  <c r="L4441" i="1"/>
  <c r="L4442" i="1"/>
  <c r="L4443" i="1"/>
  <c r="L4444" i="1"/>
  <c r="L4445" i="1"/>
  <c r="L4446" i="1"/>
  <c r="L4447" i="1"/>
  <c r="L4448" i="1"/>
  <c r="L4449" i="1"/>
  <c r="L4450" i="1"/>
  <c r="L4451" i="1"/>
  <c r="L4452" i="1"/>
  <c r="L4453" i="1"/>
  <c r="L4454" i="1"/>
  <c r="L4455" i="1"/>
  <c r="L4456" i="1"/>
  <c r="L4457" i="1"/>
  <c r="L4458" i="1"/>
  <c r="L4459" i="1"/>
  <c r="L4460" i="1"/>
  <c r="L4461" i="1"/>
  <c r="L4462" i="1"/>
  <c r="L4463" i="1"/>
  <c r="L4464" i="1"/>
  <c r="L4465" i="1"/>
  <c r="L4466" i="1"/>
  <c r="L4467" i="1"/>
  <c r="L4468" i="1"/>
  <c r="L4469" i="1"/>
  <c r="L4470" i="1"/>
  <c r="L4471" i="1"/>
  <c r="L4472" i="1"/>
  <c r="L4473" i="1"/>
  <c r="L4474" i="1"/>
  <c r="L4475" i="1"/>
  <c r="L4476" i="1"/>
  <c r="L4477" i="1"/>
  <c r="L4478" i="1"/>
  <c r="L4479" i="1"/>
  <c r="L4480" i="1"/>
  <c r="L4481" i="1"/>
  <c r="L4482" i="1"/>
  <c r="L4483" i="1"/>
  <c r="L4484" i="1"/>
  <c r="L4485" i="1"/>
  <c r="L4486" i="1"/>
  <c r="L4487" i="1"/>
  <c r="L4488" i="1"/>
  <c r="L4489" i="1"/>
  <c r="L4490" i="1"/>
  <c r="L4491" i="1"/>
  <c r="L4492" i="1"/>
  <c r="L4493" i="1"/>
  <c r="L4494" i="1"/>
  <c r="L4495" i="1"/>
  <c r="L4496" i="1"/>
  <c r="L4497" i="1"/>
  <c r="L4498" i="1"/>
  <c r="L4499" i="1"/>
  <c r="L4500" i="1"/>
  <c r="L4501" i="1"/>
  <c r="L4502" i="1"/>
  <c r="L4503" i="1"/>
  <c r="L4504" i="1"/>
  <c r="L4505" i="1"/>
  <c r="L4506" i="1"/>
  <c r="L4507" i="1"/>
  <c r="L4508" i="1"/>
  <c r="L4509" i="1"/>
  <c r="L4510" i="1"/>
  <c r="L4511" i="1"/>
  <c r="L4512" i="1"/>
  <c r="L4513" i="1"/>
  <c r="L4514" i="1"/>
  <c r="L4515" i="1"/>
  <c r="L4516" i="1"/>
  <c r="L4517" i="1"/>
  <c r="L4518" i="1"/>
  <c r="L4519" i="1"/>
  <c r="L4520" i="1"/>
  <c r="L4521" i="1"/>
  <c r="L4522" i="1"/>
  <c r="L4523" i="1"/>
  <c r="L4524" i="1"/>
  <c r="L4525" i="1"/>
  <c r="L4526" i="1"/>
  <c r="L4527" i="1"/>
  <c r="L4528" i="1"/>
  <c r="L4529" i="1"/>
  <c r="L4530" i="1"/>
  <c r="L4531" i="1"/>
  <c r="L4532" i="1"/>
  <c r="L4533" i="1"/>
  <c r="L4534" i="1"/>
  <c r="L4535" i="1"/>
  <c r="L4536" i="1"/>
  <c r="L4537" i="1"/>
  <c r="L4538" i="1"/>
  <c r="L4539" i="1"/>
  <c r="L4540" i="1"/>
  <c r="L4541" i="1"/>
  <c r="L4542" i="1"/>
  <c r="L4543" i="1"/>
  <c r="L4544" i="1"/>
  <c r="L4545" i="1"/>
  <c r="L4546" i="1"/>
  <c r="L4547" i="1"/>
  <c r="L4548" i="1"/>
  <c r="L4549" i="1"/>
  <c r="L4550" i="1"/>
  <c r="L4551" i="1"/>
  <c r="L4552" i="1"/>
  <c r="L4553" i="1"/>
  <c r="L4554" i="1"/>
  <c r="L4555" i="1"/>
  <c r="L4556" i="1"/>
  <c r="L4557" i="1"/>
  <c r="L4558" i="1"/>
  <c r="L4559" i="1"/>
  <c r="L4560" i="1"/>
  <c r="L4561" i="1"/>
  <c r="L4562" i="1"/>
  <c r="L4563" i="1"/>
  <c r="L4564" i="1"/>
  <c r="L4565" i="1"/>
  <c r="L4566" i="1"/>
  <c r="L4567" i="1"/>
  <c r="L4568" i="1"/>
  <c r="L4569" i="1"/>
  <c r="L4570" i="1"/>
  <c r="L4571" i="1"/>
  <c r="L4572" i="1"/>
  <c r="L4573" i="1"/>
  <c r="L4574" i="1"/>
  <c r="L4575" i="1"/>
  <c r="L4576" i="1"/>
  <c r="L4577" i="1"/>
  <c r="L4578" i="1"/>
  <c r="L4579" i="1"/>
  <c r="L4580" i="1"/>
  <c r="L4581" i="1"/>
  <c r="L4582" i="1"/>
  <c r="L4583" i="1"/>
  <c r="L4584" i="1"/>
  <c r="L4585" i="1"/>
  <c r="L4586" i="1"/>
  <c r="L4587" i="1"/>
  <c r="L4588" i="1"/>
  <c r="L4589" i="1"/>
  <c r="L4590" i="1"/>
  <c r="L4591" i="1"/>
  <c r="L4592" i="1"/>
  <c r="L4593" i="1"/>
  <c r="L4594" i="1"/>
  <c r="L4595" i="1"/>
  <c r="L4596" i="1"/>
  <c r="L4597" i="1"/>
  <c r="L4598" i="1"/>
  <c r="L4599" i="1"/>
  <c r="L4600" i="1"/>
  <c r="L4601" i="1"/>
  <c r="L4602" i="1"/>
  <c r="L4603" i="1"/>
  <c r="L4604" i="1"/>
  <c r="L4605" i="1"/>
  <c r="L4606" i="1"/>
  <c r="L4607" i="1"/>
  <c r="L4608" i="1"/>
  <c r="L4609" i="1"/>
  <c r="L4610" i="1"/>
  <c r="L4611" i="1"/>
  <c r="L4612" i="1"/>
  <c r="L4613" i="1"/>
  <c r="L4614" i="1"/>
  <c r="L4615" i="1"/>
  <c r="L4616" i="1"/>
  <c r="L4617" i="1"/>
  <c r="L4618" i="1"/>
  <c r="L4619" i="1"/>
  <c r="L4620" i="1"/>
  <c r="L4621" i="1"/>
  <c r="L4622" i="1"/>
  <c r="L4623" i="1"/>
  <c r="L4624" i="1"/>
  <c r="L4625" i="1"/>
  <c r="L4626" i="1"/>
  <c r="L4627" i="1"/>
  <c r="L4628" i="1"/>
  <c r="L4629" i="1"/>
  <c r="L4630" i="1"/>
  <c r="L4631" i="1"/>
  <c r="L4632" i="1"/>
  <c r="L4633" i="1"/>
  <c r="L4634" i="1"/>
  <c r="L4635" i="1"/>
  <c r="L4636" i="1"/>
  <c r="L4637" i="1"/>
  <c r="L4638" i="1"/>
  <c r="L4639" i="1"/>
  <c r="L4640" i="1"/>
  <c r="L4641" i="1"/>
  <c r="L4642" i="1"/>
  <c r="L4643" i="1"/>
  <c r="L4644" i="1"/>
  <c r="L4645" i="1"/>
  <c r="L4646" i="1"/>
  <c r="L4647" i="1"/>
  <c r="L4648" i="1"/>
  <c r="L4649" i="1"/>
  <c r="L4650" i="1"/>
  <c r="L4651" i="1"/>
  <c r="L4652" i="1"/>
  <c r="L4653" i="1"/>
  <c r="L4654" i="1"/>
  <c r="L4655" i="1"/>
  <c r="L4656" i="1"/>
  <c r="L4657" i="1"/>
  <c r="L4658" i="1"/>
  <c r="L4659" i="1"/>
  <c r="L4660" i="1"/>
  <c r="L4661" i="1"/>
  <c r="L4662" i="1"/>
  <c r="L4663" i="1"/>
  <c r="L4664" i="1"/>
  <c r="L4665" i="1"/>
  <c r="L4666" i="1"/>
  <c r="L4667" i="1"/>
  <c r="L4668" i="1"/>
  <c r="L4669" i="1"/>
  <c r="L4670" i="1"/>
  <c r="L4671" i="1"/>
  <c r="L4672" i="1"/>
  <c r="L4673" i="1"/>
  <c r="L4674" i="1"/>
  <c r="L4675" i="1"/>
  <c r="L4676" i="1"/>
  <c r="L4677" i="1"/>
  <c r="L4678" i="1"/>
  <c r="L4679" i="1"/>
  <c r="L4680" i="1"/>
  <c r="L4681" i="1"/>
  <c r="L4682" i="1"/>
  <c r="L4683" i="1"/>
  <c r="L4684" i="1"/>
  <c r="L4685" i="1"/>
  <c r="L4686" i="1"/>
  <c r="L4687" i="1"/>
  <c r="L4688" i="1"/>
  <c r="L4689" i="1"/>
  <c r="L4690" i="1"/>
  <c r="L4691" i="1"/>
  <c r="L4692" i="1"/>
  <c r="L4693" i="1"/>
  <c r="L4694" i="1"/>
  <c r="L4695" i="1"/>
  <c r="L4696" i="1"/>
  <c r="L4697" i="1"/>
  <c r="L4698" i="1"/>
  <c r="L4699" i="1"/>
  <c r="L4700" i="1"/>
  <c r="L4701" i="1"/>
  <c r="L4702" i="1"/>
  <c r="L4703" i="1"/>
  <c r="L4704" i="1"/>
  <c r="L4705" i="1"/>
  <c r="L4706" i="1"/>
  <c r="L4707" i="1"/>
  <c r="L4708" i="1"/>
  <c r="L4709" i="1"/>
  <c r="L4710" i="1"/>
  <c r="L4711" i="1"/>
  <c r="L4712" i="1"/>
  <c r="L4713" i="1"/>
  <c r="L4714" i="1"/>
  <c r="L4715" i="1"/>
  <c r="L4716" i="1"/>
  <c r="L4717" i="1"/>
  <c r="L4718" i="1"/>
  <c r="L4719" i="1"/>
  <c r="L4720" i="1"/>
  <c r="L4721" i="1"/>
  <c r="L4722" i="1"/>
  <c r="L4723" i="1"/>
  <c r="L4724" i="1"/>
  <c r="L4725" i="1"/>
  <c r="L4726" i="1"/>
  <c r="L4727" i="1"/>
  <c r="L4728" i="1"/>
  <c r="L4729" i="1"/>
  <c r="L4730" i="1"/>
  <c r="L4731" i="1"/>
  <c r="L4732" i="1"/>
  <c r="L4733" i="1"/>
  <c r="L4734" i="1"/>
  <c r="L4735" i="1"/>
  <c r="L4736" i="1"/>
  <c r="L4737" i="1"/>
  <c r="L4738" i="1"/>
  <c r="L4739" i="1"/>
  <c r="L4740" i="1"/>
  <c r="L4741" i="1"/>
  <c r="L4742" i="1"/>
  <c r="L4743" i="1"/>
  <c r="L4744" i="1"/>
  <c r="L4745" i="1"/>
  <c r="L4746" i="1"/>
  <c r="L4747" i="1"/>
  <c r="L4748" i="1"/>
  <c r="L4749" i="1"/>
  <c r="L4750" i="1"/>
  <c r="L4751" i="1"/>
  <c r="L4752" i="1"/>
  <c r="L4753" i="1"/>
  <c r="L4754" i="1"/>
  <c r="L4755" i="1"/>
  <c r="L4756" i="1"/>
  <c r="L4757" i="1"/>
  <c r="L4758" i="1"/>
  <c r="L4759" i="1"/>
  <c r="L4760" i="1"/>
  <c r="L4761" i="1"/>
  <c r="L4762" i="1"/>
  <c r="L4763" i="1"/>
  <c r="L4764" i="1"/>
  <c r="L4765" i="1"/>
  <c r="L4766" i="1"/>
  <c r="L4767" i="1"/>
  <c r="L4768" i="1"/>
  <c r="L4769" i="1"/>
  <c r="L4770" i="1"/>
  <c r="L4771" i="1"/>
  <c r="L4772" i="1"/>
  <c r="L4773" i="1"/>
  <c r="L4774" i="1"/>
  <c r="L4775" i="1"/>
  <c r="L4776" i="1"/>
  <c r="L4777" i="1"/>
  <c r="L4778" i="1"/>
  <c r="L4779" i="1"/>
  <c r="L4780" i="1"/>
  <c r="L4781" i="1"/>
  <c r="L4782" i="1"/>
  <c r="L4783" i="1"/>
  <c r="L4784" i="1"/>
  <c r="L4785" i="1"/>
  <c r="L4786" i="1"/>
  <c r="L4787" i="1"/>
  <c r="L4788" i="1"/>
  <c r="L4789" i="1"/>
  <c r="L4790" i="1"/>
  <c r="L4791" i="1"/>
  <c r="L4792" i="1"/>
  <c r="L4793" i="1"/>
  <c r="L4794" i="1"/>
  <c r="L4795" i="1"/>
  <c r="L4796" i="1"/>
  <c r="L4797" i="1"/>
  <c r="L4798" i="1"/>
  <c r="L4799" i="1"/>
  <c r="L4800" i="1"/>
  <c r="L4801" i="1"/>
  <c r="L4802" i="1"/>
  <c r="L4803" i="1"/>
  <c r="L4804" i="1"/>
  <c r="L4805" i="1"/>
  <c r="L4806" i="1"/>
  <c r="L4807" i="1"/>
  <c r="L4808" i="1"/>
  <c r="L4809" i="1"/>
  <c r="L4810" i="1"/>
  <c r="L4811" i="1"/>
  <c r="L4812" i="1"/>
  <c r="L4813" i="1"/>
  <c r="L4814" i="1"/>
  <c r="L4815" i="1"/>
  <c r="L4816" i="1"/>
  <c r="L4817" i="1"/>
  <c r="L4818" i="1"/>
  <c r="L4819" i="1"/>
  <c r="L4820" i="1"/>
  <c r="L4821" i="1"/>
  <c r="L4822" i="1"/>
  <c r="L4823" i="1"/>
  <c r="L4824" i="1"/>
  <c r="L4825" i="1"/>
  <c r="L4826" i="1"/>
  <c r="L4827" i="1"/>
  <c r="L4828" i="1"/>
  <c r="L4829" i="1"/>
  <c r="L4830" i="1"/>
  <c r="L4831" i="1"/>
  <c r="L4832" i="1"/>
  <c r="L4833" i="1"/>
  <c r="L4834" i="1"/>
  <c r="L4835" i="1"/>
  <c r="L4836" i="1"/>
  <c r="L4837" i="1"/>
  <c r="L4838" i="1"/>
  <c r="L4839" i="1"/>
  <c r="L4840" i="1"/>
  <c r="L4841" i="1"/>
  <c r="L4842" i="1"/>
  <c r="L4843" i="1"/>
  <c r="L4844" i="1"/>
  <c r="L4845" i="1"/>
  <c r="L4846" i="1"/>
  <c r="L4847" i="1"/>
  <c r="L4848" i="1"/>
  <c r="L4849" i="1"/>
  <c r="L4850" i="1"/>
  <c r="L4851" i="1"/>
  <c r="L4852" i="1"/>
  <c r="L4853" i="1"/>
  <c r="L4854" i="1"/>
  <c r="L4855" i="1"/>
  <c r="L4856" i="1"/>
  <c r="L4857" i="1"/>
  <c r="L4858" i="1"/>
  <c r="L4859" i="1"/>
  <c r="L4860" i="1"/>
  <c r="L4861" i="1"/>
  <c r="L4862" i="1"/>
  <c r="L4863" i="1"/>
  <c r="L4864" i="1"/>
  <c r="L4865" i="1"/>
  <c r="L4866" i="1"/>
  <c r="L4867" i="1"/>
  <c r="L4868" i="1"/>
  <c r="L4869" i="1"/>
  <c r="L4870" i="1"/>
  <c r="L4871" i="1"/>
  <c r="L4872" i="1"/>
  <c r="L4873" i="1"/>
  <c r="L4874" i="1"/>
  <c r="L4875" i="1"/>
  <c r="L4876" i="1"/>
  <c r="L4877" i="1"/>
  <c r="L4878" i="1"/>
  <c r="L4879" i="1"/>
  <c r="L4880" i="1"/>
  <c r="L4881" i="1"/>
  <c r="L4882" i="1"/>
  <c r="L4883" i="1"/>
  <c r="L4884" i="1"/>
  <c r="L4885" i="1"/>
  <c r="L4886" i="1"/>
  <c r="L4887" i="1"/>
  <c r="L4888" i="1"/>
  <c r="L4889" i="1"/>
  <c r="L4890" i="1"/>
  <c r="L4891" i="1"/>
  <c r="L4892" i="1"/>
  <c r="L4893" i="1"/>
  <c r="L4894" i="1"/>
  <c r="L4895" i="1"/>
  <c r="L4896" i="1"/>
  <c r="L4897" i="1"/>
  <c r="L4898" i="1"/>
  <c r="L4899" i="1"/>
  <c r="L4900" i="1"/>
  <c r="L4901" i="1"/>
  <c r="L4902" i="1"/>
  <c r="L4903" i="1"/>
  <c r="L4904" i="1"/>
  <c r="L4905" i="1"/>
  <c r="L4906" i="1"/>
  <c r="L4907" i="1"/>
  <c r="L4908" i="1"/>
  <c r="L4909" i="1"/>
  <c r="L4910" i="1"/>
  <c r="L4911" i="1"/>
  <c r="L4912" i="1"/>
  <c r="L4913" i="1"/>
  <c r="L4914" i="1"/>
  <c r="L4915" i="1"/>
  <c r="L4916" i="1"/>
  <c r="L4917" i="1"/>
  <c r="L4918" i="1"/>
  <c r="L4919" i="1"/>
  <c r="L4920" i="1"/>
  <c r="L4921" i="1"/>
  <c r="L4922" i="1"/>
  <c r="L4923" i="1"/>
  <c r="L4924" i="1"/>
  <c r="L4925" i="1"/>
  <c r="L4926" i="1"/>
  <c r="L4927" i="1"/>
  <c r="L4928" i="1"/>
  <c r="L4929" i="1"/>
  <c r="L4930" i="1"/>
  <c r="L4931" i="1"/>
  <c r="L4932" i="1"/>
  <c r="L4933" i="1"/>
  <c r="L4934" i="1"/>
  <c r="L4935" i="1"/>
  <c r="L4936" i="1"/>
  <c r="L4937" i="1"/>
  <c r="L4938" i="1"/>
  <c r="L4939" i="1"/>
  <c r="L4940" i="1"/>
  <c r="L4941" i="1"/>
  <c r="L4942" i="1"/>
  <c r="L4943" i="1"/>
  <c r="L4944" i="1"/>
  <c r="L4945" i="1"/>
  <c r="L4946" i="1"/>
  <c r="L4947" i="1"/>
  <c r="L4948" i="1"/>
  <c r="L4949" i="1"/>
  <c r="L4950" i="1"/>
  <c r="L4951" i="1"/>
  <c r="L4952" i="1"/>
  <c r="L4953" i="1"/>
  <c r="L4954" i="1"/>
  <c r="L4955" i="1"/>
  <c r="L4956" i="1"/>
  <c r="L4957" i="1"/>
  <c r="L4958" i="1"/>
  <c r="L4959" i="1"/>
  <c r="L4960" i="1"/>
  <c r="L4961" i="1"/>
  <c r="L4962" i="1"/>
  <c r="L4963" i="1"/>
  <c r="L4964" i="1"/>
  <c r="L4965" i="1"/>
  <c r="L4966" i="1"/>
  <c r="L4967" i="1"/>
  <c r="L4968" i="1"/>
  <c r="L4969" i="1"/>
  <c r="L4970" i="1"/>
  <c r="L4971" i="1"/>
  <c r="L4972" i="1"/>
  <c r="L4973" i="1"/>
  <c r="L4974" i="1"/>
  <c r="L4975" i="1"/>
  <c r="L4976" i="1"/>
  <c r="L4977" i="1"/>
  <c r="L4978" i="1"/>
  <c r="L4979" i="1"/>
  <c r="L4980" i="1"/>
  <c r="L4981" i="1"/>
  <c r="L4982" i="1"/>
  <c r="L4983" i="1"/>
  <c r="L4984" i="1"/>
  <c r="L4985" i="1"/>
  <c r="L4986" i="1"/>
  <c r="L4987" i="1"/>
  <c r="L4988" i="1"/>
  <c r="L4989" i="1"/>
  <c r="L4990" i="1"/>
  <c r="L4991" i="1"/>
  <c r="L4992" i="1"/>
  <c r="L4993" i="1"/>
  <c r="L4994" i="1"/>
  <c r="L4995" i="1"/>
  <c r="L4996" i="1"/>
  <c r="L4997" i="1"/>
  <c r="L4998" i="1"/>
  <c r="L4999" i="1"/>
  <c r="L5000" i="1"/>
  <c r="L5001" i="1"/>
  <c r="L5002" i="1"/>
  <c r="L5003" i="1"/>
  <c r="L5004" i="1"/>
  <c r="L5005" i="1"/>
  <c r="L5006" i="1"/>
  <c r="L5007" i="1"/>
  <c r="L5008" i="1"/>
  <c r="L5009" i="1"/>
  <c r="L5010" i="1"/>
  <c r="L5011" i="1"/>
  <c r="L5012" i="1"/>
  <c r="L5013" i="1"/>
  <c r="L5014" i="1"/>
  <c r="L5015" i="1"/>
  <c r="L5016" i="1"/>
  <c r="L5017" i="1"/>
  <c r="L5018" i="1"/>
  <c r="L5019" i="1"/>
  <c r="L5020" i="1"/>
  <c r="L5021" i="1"/>
  <c r="L5022" i="1"/>
  <c r="L5023" i="1"/>
  <c r="L5024" i="1"/>
  <c r="L5025" i="1"/>
  <c r="L5026" i="1"/>
  <c r="L5027" i="1"/>
  <c r="L5028" i="1"/>
  <c r="L5029" i="1"/>
  <c r="L5030" i="1"/>
  <c r="L5031" i="1"/>
  <c r="L5032" i="1"/>
  <c r="L5033" i="1"/>
  <c r="L5034" i="1"/>
  <c r="L5035" i="1"/>
  <c r="L5036" i="1"/>
  <c r="L5037" i="1"/>
  <c r="L5038" i="1"/>
  <c r="L5039" i="1"/>
  <c r="L5040" i="1"/>
  <c r="L5041" i="1"/>
  <c r="L5042" i="1"/>
  <c r="L5043" i="1"/>
  <c r="L5044" i="1"/>
  <c r="L5045" i="1"/>
  <c r="L5046" i="1"/>
  <c r="L5047" i="1"/>
  <c r="L5048" i="1"/>
  <c r="L5049" i="1"/>
  <c r="L5050" i="1"/>
  <c r="L5051" i="1"/>
  <c r="L5052" i="1"/>
  <c r="L5053" i="1"/>
  <c r="L5054" i="1"/>
  <c r="L5055" i="1"/>
  <c r="L5056" i="1"/>
  <c r="L5057" i="1"/>
  <c r="L5058" i="1"/>
  <c r="L5059" i="1"/>
  <c r="L5060" i="1"/>
  <c r="L5061" i="1"/>
  <c r="L5062" i="1"/>
  <c r="L5063" i="1"/>
  <c r="L5064" i="1"/>
  <c r="L5065" i="1"/>
  <c r="L5066" i="1"/>
  <c r="L5067" i="1"/>
  <c r="L5068" i="1"/>
  <c r="L5069" i="1"/>
  <c r="L5070" i="1"/>
  <c r="L5071" i="1"/>
  <c r="L5072" i="1"/>
  <c r="L5073" i="1"/>
  <c r="L5074" i="1"/>
  <c r="L5075" i="1"/>
  <c r="L5076" i="1"/>
  <c r="L5077" i="1"/>
  <c r="L5078" i="1"/>
  <c r="L5079" i="1"/>
  <c r="L5080" i="1"/>
  <c r="L5081" i="1"/>
  <c r="L5082" i="1"/>
  <c r="L5083" i="1"/>
  <c r="L5084" i="1"/>
  <c r="L5085" i="1"/>
  <c r="L5086" i="1"/>
  <c r="L5087" i="1"/>
  <c r="L5088" i="1"/>
  <c r="L5089" i="1"/>
  <c r="L5090" i="1"/>
  <c r="L5091" i="1"/>
  <c r="L5092" i="1"/>
  <c r="L5093" i="1"/>
  <c r="L5094" i="1"/>
  <c r="L5095" i="1"/>
  <c r="L5096" i="1"/>
  <c r="L5097" i="1"/>
  <c r="L5098" i="1"/>
  <c r="L5099" i="1"/>
  <c r="L5100" i="1"/>
  <c r="L5101" i="1"/>
  <c r="L5102" i="1"/>
  <c r="L5103" i="1"/>
  <c r="L5104" i="1"/>
  <c r="L5105" i="1"/>
  <c r="L5106" i="1"/>
  <c r="L5107" i="1"/>
  <c r="L5108" i="1"/>
  <c r="L5109" i="1"/>
  <c r="L5110" i="1"/>
  <c r="L5111" i="1"/>
  <c r="L5112" i="1"/>
  <c r="L5113" i="1"/>
  <c r="L5114" i="1"/>
  <c r="L5115" i="1"/>
  <c r="L5116" i="1"/>
  <c r="L5117" i="1"/>
  <c r="L5118" i="1"/>
  <c r="L5119" i="1"/>
  <c r="L5120" i="1"/>
  <c r="L5121" i="1"/>
  <c r="L5122" i="1"/>
  <c r="L5123" i="1"/>
  <c r="L5124" i="1"/>
  <c r="L5125" i="1"/>
  <c r="L5126" i="1"/>
  <c r="L5127" i="1"/>
  <c r="L5128" i="1"/>
  <c r="L5129" i="1"/>
  <c r="L5130" i="1"/>
  <c r="L5131" i="1"/>
  <c r="L5132" i="1"/>
  <c r="L5133" i="1"/>
  <c r="L5134" i="1"/>
  <c r="L5135" i="1"/>
  <c r="L5136" i="1"/>
  <c r="L5137" i="1"/>
  <c r="L5138" i="1"/>
  <c r="L5139" i="1"/>
  <c r="L5140" i="1"/>
  <c r="L5141" i="1"/>
  <c r="L5142" i="1"/>
  <c r="L5143" i="1"/>
  <c r="L5144" i="1"/>
  <c r="L5145" i="1"/>
  <c r="L5146" i="1"/>
  <c r="L5147" i="1"/>
  <c r="L5148" i="1"/>
  <c r="L5149" i="1"/>
  <c r="L5150" i="1"/>
  <c r="L5151" i="1"/>
  <c r="L5152" i="1"/>
  <c r="L5153" i="1"/>
  <c r="L5154" i="1"/>
  <c r="L5155" i="1"/>
  <c r="L5156" i="1"/>
  <c r="L5157" i="1"/>
  <c r="L5158" i="1"/>
  <c r="L5159" i="1"/>
  <c r="L5160" i="1"/>
  <c r="L5161" i="1"/>
  <c r="L5162" i="1"/>
  <c r="L5163" i="1"/>
  <c r="L5164" i="1"/>
  <c r="L5165" i="1"/>
  <c r="L5166" i="1"/>
  <c r="L5167" i="1"/>
  <c r="L5168" i="1"/>
  <c r="L5169" i="1"/>
  <c r="L5170" i="1"/>
  <c r="L5171" i="1"/>
  <c r="L5172" i="1"/>
  <c r="L5173" i="1"/>
  <c r="L5174" i="1"/>
  <c r="L5175" i="1"/>
  <c r="L5176" i="1"/>
  <c r="L5177" i="1"/>
  <c r="L5178" i="1"/>
  <c r="L5179" i="1"/>
  <c r="L5180" i="1"/>
  <c r="L5181" i="1"/>
  <c r="L5182" i="1"/>
  <c r="L5183" i="1"/>
  <c r="L5184" i="1"/>
  <c r="L5185" i="1"/>
  <c r="L5186" i="1"/>
  <c r="L5187" i="1"/>
  <c r="L5188" i="1"/>
  <c r="L5189" i="1"/>
  <c r="L5190" i="1"/>
  <c r="L5191" i="1"/>
  <c r="L5192" i="1"/>
  <c r="L5193" i="1"/>
  <c r="L5194" i="1"/>
  <c r="L5195" i="1"/>
  <c r="L5196" i="1"/>
  <c r="L5197" i="1"/>
  <c r="L5198" i="1"/>
  <c r="L5199" i="1"/>
  <c r="L5200" i="1"/>
  <c r="L5201" i="1"/>
  <c r="L5202" i="1"/>
  <c r="L5203" i="1"/>
  <c r="L5204" i="1"/>
  <c r="L5205" i="1"/>
  <c r="L5206" i="1"/>
  <c r="L5207" i="1"/>
  <c r="L5208" i="1"/>
  <c r="L5209" i="1"/>
  <c r="L5210" i="1"/>
  <c r="L5211" i="1"/>
  <c r="L5212" i="1"/>
  <c r="L5213" i="1"/>
  <c r="L5214" i="1"/>
  <c r="L5215" i="1"/>
  <c r="L5216" i="1"/>
  <c r="L5217" i="1"/>
  <c r="L5218" i="1"/>
  <c r="L5219" i="1"/>
  <c r="L5220" i="1"/>
  <c r="L5221" i="1"/>
  <c r="L5222" i="1"/>
  <c r="L5223" i="1"/>
  <c r="L5224" i="1"/>
  <c r="L5225" i="1"/>
  <c r="L5226" i="1"/>
  <c r="L5227" i="1"/>
  <c r="L5228" i="1"/>
  <c r="L5229" i="1"/>
  <c r="L5230" i="1"/>
  <c r="L5231" i="1"/>
  <c r="L5232" i="1"/>
  <c r="L5233" i="1"/>
  <c r="L5234" i="1"/>
  <c r="L5235" i="1"/>
  <c r="L5236" i="1"/>
  <c r="L5237" i="1"/>
  <c r="L5238" i="1"/>
  <c r="L5239" i="1"/>
  <c r="L5240" i="1"/>
  <c r="L5241" i="1"/>
  <c r="L5242" i="1"/>
  <c r="L5243" i="1"/>
  <c r="L5244" i="1"/>
  <c r="L5245" i="1"/>
  <c r="L5246" i="1"/>
  <c r="L5247" i="1"/>
  <c r="L5248" i="1"/>
  <c r="L5249" i="1"/>
  <c r="L5250" i="1"/>
  <c r="L5251" i="1"/>
  <c r="L5252" i="1"/>
  <c r="L5253" i="1"/>
  <c r="L5254" i="1"/>
  <c r="L5255" i="1"/>
  <c r="L5256" i="1"/>
  <c r="L5257" i="1"/>
  <c r="L5258" i="1"/>
  <c r="L5259" i="1"/>
  <c r="L5260" i="1"/>
  <c r="L5261" i="1"/>
  <c r="L5262" i="1"/>
  <c r="L5263" i="1"/>
  <c r="L5264" i="1"/>
  <c r="L5265" i="1"/>
  <c r="L5266" i="1"/>
  <c r="L5267" i="1"/>
  <c r="L5268" i="1"/>
  <c r="L5269" i="1"/>
  <c r="L5270" i="1"/>
  <c r="L5271" i="1"/>
  <c r="L5272" i="1"/>
  <c r="L5273" i="1"/>
  <c r="L5274" i="1"/>
  <c r="L5275" i="1"/>
  <c r="L5276" i="1"/>
  <c r="L5277" i="1"/>
  <c r="L5278" i="1"/>
  <c r="L5279" i="1"/>
  <c r="L5280" i="1"/>
  <c r="L5281" i="1"/>
  <c r="L5282" i="1"/>
  <c r="L5283" i="1"/>
  <c r="L5284" i="1"/>
  <c r="L5285" i="1"/>
  <c r="L5286" i="1"/>
  <c r="L5287" i="1"/>
  <c r="L5288" i="1"/>
  <c r="L5289" i="1"/>
  <c r="L5290" i="1"/>
  <c r="L5291" i="1"/>
  <c r="L5292" i="1"/>
  <c r="L5293" i="1"/>
  <c r="L5294" i="1"/>
  <c r="L5295" i="1"/>
  <c r="L5296" i="1"/>
  <c r="L5297" i="1"/>
  <c r="L5298" i="1"/>
  <c r="L5299" i="1"/>
  <c r="L5300" i="1"/>
  <c r="L5301" i="1"/>
  <c r="L5302" i="1"/>
  <c r="L5303" i="1"/>
  <c r="L5304" i="1"/>
  <c r="L5305" i="1"/>
  <c r="L5306" i="1"/>
  <c r="L5307" i="1"/>
  <c r="L5308" i="1"/>
  <c r="L5309" i="1"/>
  <c r="L5310" i="1"/>
  <c r="L5311" i="1"/>
  <c r="L5312" i="1"/>
  <c r="L5313" i="1"/>
  <c r="L5314" i="1"/>
  <c r="L5315" i="1"/>
  <c r="L5316" i="1"/>
  <c r="L5317" i="1"/>
  <c r="L5318" i="1"/>
  <c r="L5319" i="1"/>
  <c r="L5320" i="1"/>
  <c r="L5321" i="1"/>
  <c r="L5322" i="1"/>
  <c r="L5323" i="1"/>
  <c r="L5324" i="1"/>
  <c r="L5325" i="1"/>
  <c r="L5326" i="1"/>
  <c r="L5327" i="1"/>
  <c r="L5328" i="1"/>
  <c r="L5329" i="1"/>
  <c r="L5330" i="1"/>
  <c r="L5331" i="1"/>
  <c r="L5332" i="1"/>
  <c r="L5333" i="1"/>
  <c r="L5334" i="1"/>
  <c r="L5335" i="1"/>
  <c r="L5336" i="1"/>
  <c r="L5337" i="1"/>
  <c r="L5338" i="1"/>
  <c r="L5339" i="1"/>
  <c r="L5340" i="1"/>
  <c r="L5341" i="1"/>
  <c r="L5342" i="1"/>
  <c r="L5343" i="1"/>
  <c r="L5344" i="1"/>
  <c r="L5345" i="1"/>
  <c r="L5346" i="1"/>
  <c r="L5347" i="1"/>
  <c r="L5348" i="1"/>
  <c r="L5349" i="1"/>
  <c r="L5350" i="1"/>
  <c r="L5351" i="1"/>
  <c r="L5352" i="1"/>
  <c r="L5353" i="1"/>
  <c r="L5354" i="1"/>
  <c r="L5355" i="1"/>
  <c r="L5356" i="1"/>
  <c r="L5357" i="1"/>
  <c r="L5358" i="1"/>
  <c r="L5359" i="1"/>
  <c r="L5360" i="1"/>
  <c r="L5361" i="1"/>
  <c r="L5362" i="1"/>
  <c r="L5363" i="1"/>
  <c r="L5364" i="1"/>
  <c r="L5365" i="1"/>
  <c r="L5366" i="1"/>
  <c r="L5367" i="1"/>
  <c r="L5368" i="1"/>
  <c r="L5369" i="1"/>
  <c r="L5370" i="1"/>
  <c r="L5371" i="1"/>
  <c r="L5372" i="1"/>
  <c r="L5373" i="1"/>
  <c r="L5374" i="1"/>
  <c r="L5375" i="1"/>
  <c r="L5376" i="1"/>
  <c r="L5377" i="1"/>
  <c r="L5378" i="1"/>
  <c r="L5379" i="1"/>
  <c r="L5380" i="1"/>
  <c r="L5381" i="1"/>
  <c r="L5382" i="1"/>
  <c r="L5383" i="1"/>
  <c r="L5384" i="1"/>
  <c r="L5385" i="1"/>
  <c r="L5386" i="1"/>
  <c r="L5387" i="1"/>
  <c r="L5388" i="1"/>
  <c r="L5389" i="1"/>
  <c r="L5390" i="1"/>
  <c r="L5391" i="1"/>
  <c r="L5392" i="1"/>
  <c r="L5393" i="1"/>
  <c r="L5394" i="1"/>
  <c r="L5395" i="1"/>
  <c r="L5396" i="1"/>
  <c r="L5397" i="1"/>
  <c r="L5398" i="1"/>
  <c r="L5399" i="1"/>
  <c r="L5400" i="1"/>
  <c r="L5401" i="1"/>
  <c r="L5402" i="1"/>
  <c r="L5403" i="1"/>
  <c r="L5404" i="1"/>
  <c r="L5405" i="1"/>
  <c r="L5406" i="1"/>
  <c r="L5407" i="1"/>
  <c r="L5408" i="1"/>
  <c r="L5409" i="1"/>
  <c r="L5410" i="1"/>
  <c r="L5411" i="1"/>
  <c r="L5412" i="1"/>
  <c r="L5413" i="1"/>
  <c r="L5414" i="1"/>
  <c r="L5415" i="1"/>
  <c r="L5416" i="1"/>
  <c r="L5417" i="1"/>
  <c r="L5418" i="1"/>
  <c r="L5419" i="1"/>
  <c r="L5420" i="1"/>
  <c r="L5421" i="1"/>
  <c r="L5422" i="1"/>
  <c r="L5423" i="1"/>
  <c r="L5424" i="1"/>
  <c r="L5425" i="1"/>
  <c r="L5426" i="1"/>
  <c r="L5427" i="1"/>
  <c r="L5428" i="1"/>
  <c r="L5429" i="1"/>
  <c r="L5430" i="1"/>
  <c r="L5431" i="1"/>
  <c r="L5432" i="1"/>
  <c r="L5433" i="1"/>
  <c r="L5434" i="1"/>
  <c r="L5435" i="1"/>
  <c r="L5436" i="1"/>
  <c r="L5437" i="1"/>
  <c r="L5438" i="1"/>
  <c r="L5439" i="1"/>
  <c r="L5440" i="1"/>
  <c r="L5441" i="1"/>
  <c r="L5442" i="1"/>
  <c r="L5443" i="1"/>
  <c r="L5444" i="1"/>
  <c r="L5445" i="1"/>
  <c r="L5446" i="1"/>
  <c r="L5447" i="1"/>
  <c r="L5448" i="1"/>
  <c r="L5449" i="1"/>
  <c r="L5450" i="1"/>
  <c r="L5451" i="1"/>
  <c r="L5452" i="1"/>
  <c r="L5453" i="1"/>
  <c r="L5454" i="1"/>
  <c r="L5455" i="1"/>
  <c r="L5456" i="1"/>
  <c r="L5457" i="1"/>
  <c r="L5458" i="1"/>
  <c r="L5459" i="1"/>
  <c r="L5460" i="1"/>
  <c r="L5461" i="1"/>
  <c r="L5462" i="1"/>
  <c r="L5463" i="1"/>
  <c r="L5464" i="1"/>
  <c r="L5465" i="1"/>
  <c r="L5466" i="1"/>
  <c r="L5467" i="1"/>
  <c r="L5468" i="1"/>
  <c r="L5469" i="1"/>
  <c r="L5470" i="1"/>
  <c r="L5471" i="1"/>
  <c r="L5472" i="1"/>
  <c r="L5473" i="1"/>
  <c r="L5474" i="1"/>
  <c r="L5475" i="1"/>
  <c r="L5476" i="1"/>
  <c r="L5477" i="1"/>
  <c r="L5478" i="1"/>
  <c r="L5479" i="1"/>
  <c r="L5480" i="1"/>
  <c r="L5481" i="1"/>
  <c r="L5482" i="1"/>
  <c r="L5483" i="1"/>
  <c r="L5484" i="1"/>
  <c r="L5485" i="1"/>
  <c r="L5486" i="1"/>
  <c r="L5487" i="1"/>
  <c r="L5488" i="1"/>
  <c r="L5489" i="1"/>
  <c r="L5490" i="1"/>
  <c r="L5491" i="1"/>
  <c r="L5492" i="1"/>
  <c r="L5493" i="1"/>
  <c r="L5494" i="1"/>
  <c r="L5495" i="1"/>
  <c r="L5496" i="1"/>
  <c r="L5497" i="1"/>
  <c r="L5498" i="1"/>
  <c r="L5499" i="1"/>
  <c r="L5500" i="1"/>
  <c r="L5501" i="1"/>
  <c r="L5502" i="1"/>
  <c r="L5503" i="1"/>
  <c r="L5504" i="1"/>
  <c r="L5505" i="1"/>
  <c r="L5506" i="1"/>
  <c r="L5507" i="1"/>
  <c r="L5508" i="1"/>
  <c r="L5509" i="1"/>
  <c r="L5510" i="1"/>
  <c r="L5511" i="1"/>
  <c r="L5512" i="1"/>
  <c r="L5513" i="1"/>
  <c r="L5514" i="1"/>
  <c r="L5515" i="1"/>
  <c r="L5516" i="1"/>
  <c r="L5517" i="1"/>
  <c r="L5518" i="1"/>
  <c r="L5519" i="1"/>
  <c r="L5520" i="1"/>
  <c r="L5521" i="1"/>
  <c r="L5522" i="1"/>
  <c r="L5523" i="1"/>
  <c r="L5524" i="1"/>
  <c r="L5525" i="1"/>
  <c r="L5526" i="1"/>
  <c r="L5527" i="1"/>
  <c r="L5528" i="1"/>
  <c r="L5529" i="1"/>
  <c r="L5530" i="1"/>
  <c r="L5531" i="1"/>
  <c r="L5532" i="1"/>
  <c r="L5533" i="1"/>
  <c r="L5534" i="1"/>
  <c r="L5535" i="1"/>
  <c r="L5536" i="1"/>
  <c r="L5537" i="1"/>
  <c r="L5538" i="1"/>
  <c r="L5539" i="1"/>
  <c r="L5540" i="1"/>
  <c r="L5541" i="1"/>
  <c r="L5542" i="1"/>
  <c r="L5543" i="1"/>
  <c r="L5544" i="1"/>
  <c r="L5545" i="1"/>
  <c r="L5546" i="1"/>
  <c r="L5547" i="1"/>
  <c r="L5548" i="1"/>
  <c r="L5549" i="1"/>
  <c r="L5550" i="1"/>
  <c r="L5551" i="1"/>
  <c r="L5552" i="1"/>
  <c r="L5553" i="1"/>
  <c r="L5554" i="1"/>
  <c r="L5555" i="1"/>
  <c r="L5556" i="1"/>
  <c r="L5557" i="1"/>
  <c r="L5558" i="1"/>
  <c r="L5559" i="1"/>
  <c r="L5560" i="1"/>
  <c r="L5561" i="1"/>
  <c r="L5562" i="1"/>
  <c r="L5563" i="1"/>
  <c r="L5564" i="1"/>
  <c r="L5565" i="1"/>
  <c r="L5566" i="1"/>
  <c r="L5567" i="1"/>
  <c r="L5568" i="1"/>
  <c r="L5569" i="1"/>
  <c r="L5570" i="1"/>
  <c r="L5571" i="1"/>
  <c r="L5572" i="1"/>
  <c r="L5573" i="1"/>
  <c r="L5574" i="1"/>
  <c r="L5575" i="1"/>
  <c r="L5576" i="1"/>
  <c r="L5577" i="1"/>
  <c r="L5578" i="1"/>
  <c r="L5579" i="1"/>
  <c r="L5580" i="1"/>
  <c r="L5581" i="1"/>
  <c r="L5582" i="1"/>
  <c r="L5583" i="1"/>
  <c r="L5584" i="1"/>
  <c r="L5585" i="1"/>
  <c r="L5586" i="1"/>
  <c r="L5587" i="1"/>
  <c r="L5588" i="1"/>
  <c r="L5589" i="1"/>
  <c r="L5590" i="1"/>
  <c r="L5591" i="1"/>
  <c r="L5592" i="1"/>
  <c r="L5593" i="1"/>
  <c r="L5594" i="1"/>
  <c r="L5595" i="1"/>
  <c r="L5596" i="1"/>
  <c r="L5597" i="1"/>
  <c r="L5598" i="1"/>
  <c r="L5599" i="1"/>
  <c r="L5600" i="1"/>
  <c r="L5601" i="1"/>
  <c r="L5602" i="1"/>
  <c r="L5603" i="1"/>
  <c r="L5604" i="1"/>
  <c r="L5605" i="1"/>
  <c r="L5606" i="1"/>
  <c r="L5607" i="1"/>
  <c r="L5608" i="1"/>
  <c r="L5609" i="1"/>
  <c r="L5610" i="1"/>
  <c r="L5611" i="1"/>
  <c r="L5612" i="1"/>
  <c r="L5613" i="1"/>
  <c r="L5614" i="1"/>
  <c r="L5615" i="1"/>
  <c r="L5616" i="1"/>
  <c r="L5617" i="1"/>
  <c r="L5618" i="1"/>
  <c r="L5619" i="1"/>
  <c r="L5620" i="1"/>
  <c r="L5621" i="1"/>
  <c r="L5622" i="1"/>
  <c r="L5623" i="1"/>
  <c r="L5624" i="1"/>
  <c r="L5625" i="1"/>
  <c r="L5626" i="1"/>
  <c r="L5627" i="1"/>
  <c r="L5628" i="1"/>
  <c r="L5629" i="1"/>
  <c r="L5630" i="1"/>
  <c r="L5631" i="1"/>
  <c r="L5632" i="1"/>
  <c r="L5633" i="1"/>
  <c r="L5634" i="1"/>
  <c r="L5635" i="1"/>
  <c r="L5636" i="1"/>
  <c r="L5637" i="1"/>
  <c r="L5638" i="1"/>
  <c r="L5639" i="1"/>
  <c r="L5640" i="1"/>
  <c r="L5641" i="1"/>
  <c r="L5642" i="1"/>
  <c r="L5643" i="1"/>
  <c r="L5644" i="1"/>
  <c r="L5645" i="1"/>
  <c r="L5646" i="1"/>
  <c r="L5647" i="1"/>
  <c r="L5648" i="1"/>
  <c r="L5649" i="1"/>
  <c r="L5650" i="1"/>
  <c r="L5651" i="1"/>
  <c r="L5652" i="1"/>
  <c r="L5653" i="1"/>
  <c r="L5654" i="1"/>
  <c r="L5655" i="1"/>
  <c r="L5656" i="1"/>
  <c r="L5657" i="1"/>
  <c r="L5658" i="1"/>
  <c r="L5659" i="1"/>
  <c r="L5660" i="1"/>
  <c r="L5661" i="1"/>
  <c r="L5662" i="1"/>
  <c r="L5663" i="1"/>
  <c r="L5664" i="1"/>
  <c r="L5665" i="1"/>
  <c r="L5666" i="1"/>
  <c r="L5667" i="1"/>
  <c r="L5668" i="1"/>
  <c r="L5669" i="1"/>
  <c r="L5670" i="1"/>
  <c r="L5671" i="1"/>
  <c r="L5672" i="1"/>
  <c r="L5673" i="1"/>
  <c r="L5674" i="1"/>
  <c r="L5675" i="1"/>
  <c r="L5676" i="1"/>
  <c r="L5677" i="1"/>
  <c r="L5678" i="1"/>
  <c r="L5679" i="1"/>
  <c r="L5680" i="1"/>
  <c r="L5681" i="1"/>
  <c r="L5682" i="1"/>
  <c r="L5683" i="1"/>
  <c r="L5684" i="1"/>
  <c r="L5685" i="1"/>
  <c r="L5686" i="1"/>
  <c r="L5687" i="1"/>
  <c r="L5688" i="1"/>
  <c r="L5689" i="1"/>
  <c r="L5690" i="1"/>
  <c r="L5691" i="1"/>
  <c r="L5692" i="1"/>
  <c r="L5693" i="1"/>
  <c r="L5694" i="1"/>
  <c r="L5695" i="1"/>
  <c r="L5696" i="1"/>
  <c r="L5697" i="1"/>
  <c r="L5698" i="1"/>
  <c r="L5699" i="1"/>
  <c r="L5700" i="1"/>
  <c r="L5701" i="1"/>
  <c r="L5702" i="1"/>
  <c r="L5703" i="1"/>
  <c r="L5704" i="1"/>
  <c r="L5705" i="1"/>
  <c r="L5706" i="1"/>
  <c r="L5707" i="1"/>
  <c r="L5708" i="1"/>
  <c r="L5709" i="1"/>
  <c r="L5710" i="1"/>
  <c r="L5711" i="1"/>
  <c r="L5712" i="1"/>
  <c r="L5713" i="1"/>
  <c r="L5714" i="1"/>
  <c r="L5715" i="1"/>
  <c r="L5716" i="1"/>
  <c r="L5717" i="1"/>
  <c r="L5718" i="1"/>
  <c r="L5719" i="1"/>
  <c r="L5720" i="1"/>
  <c r="L5721" i="1"/>
  <c r="L5722" i="1"/>
  <c r="L5723" i="1"/>
  <c r="L5724" i="1"/>
  <c r="L5725" i="1"/>
  <c r="L5726" i="1"/>
  <c r="L5727" i="1"/>
  <c r="L5728" i="1"/>
  <c r="L5729" i="1"/>
  <c r="L5730" i="1"/>
  <c r="L5731" i="1"/>
  <c r="L5732" i="1"/>
  <c r="L5733" i="1"/>
  <c r="L5734" i="1"/>
  <c r="L5735" i="1"/>
  <c r="L5736" i="1"/>
  <c r="L5737" i="1"/>
  <c r="L5738" i="1"/>
  <c r="L5739" i="1"/>
  <c r="L5740" i="1"/>
  <c r="L5741" i="1"/>
  <c r="L5742" i="1"/>
  <c r="L5743" i="1"/>
  <c r="L5744" i="1"/>
  <c r="L5745" i="1"/>
  <c r="L5746" i="1"/>
  <c r="L5747" i="1"/>
  <c r="L5748" i="1"/>
  <c r="L5749" i="1"/>
  <c r="L5750" i="1"/>
  <c r="L5751" i="1"/>
  <c r="L5752" i="1"/>
  <c r="L5753" i="1"/>
  <c r="L5754" i="1"/>
  <c r="L5755" i="1"/>
  <c r="L5756" i="1"/>
  <c r="L5757" i="1"/>
  <c r="L5758" i="1"/>
  <c r="L5759" i="1"/>
  <c r="L5760" i="1"/>
  <c r="L5761" i="1"/>
  <c r="L5762" i="1"/>
  <c r="L5763" i="1"/>
  <c r="L5764" i="1"/>
  <c r="L5765" i="1"/>
  <c r="L5766" i="1"/>
  <c r="L5767" i="1"/>
  <c r="L5768" i="1"/>
  <c r="L5769" i="1"/>
  <c r="L5770" i="1"/>
  <c r="L5771" i="1"/>
  <c r="L5772" i="1"/>
  <c r="L5773" i="1"/>
  <c r="L5774" i="1"/>
  <c r="L5775" i="1"/>
  <c r="L5776" i="1"/>
  <c r="L5777" i="1"/>
  <c r="L5778" i="1"/>
  <c r="L5779" i="1"/>
  <c r="L5780" i="1"/>
  <c r="L5781" i="1"/>
  <c r="L5782" i="1"/>
  <c r="L5783" i="1"/>
  <c r="L5784" i="1"/>
  <c r="L5785" i="1"/>
  <c r="L5786" i="1"/>
  <c r="L5787" i="1"/>
  <c r="L5788" i="1"/>
  <c r="L5789" i="1"/>
  <c r="L5790" i="1"/>
  <c r="L5791" i="1"/>
  <c r="L5792" i="1"/>
  <c r="L5793" i="1"/>
  <c r="L5794" i="1"/>
  <c r="L5795" i="1"/>
  <c r="L5796" i="1"/>
  <c r="L5797" i="1"/>
  <c r="L5798" i="1"/>
  <c r="L5799" i="1"/>
  <c r="L5800" i="1"/>
  <c r="L5801" i="1"/>
  <c r="L5802" i="1"/>
  <c r="L5803" i="1"/>
  <c r="L5804" i="1"/>
  <c r="L5805" i="1"/>
  <c r="L5806" i="1"/>
  <c r="L5807" i="1"/>
  <c r="L5808" i="1"/>
  <c r="L5809" i="1"/>
  <c r="L5810" i="1"/>
  <c r="L5811" i="1"/>
  <c r="L5812" i="1"/>
  <c r="L5813" i="1"/>
  <c r="L5814" i="1"/>
  <c r="L5815" i="1"/>
  <c r="L5816" i="1"/>
  <c r="L5817" i="1"/>
  <c r="L5818" i="1"/>
  <c r="L5819" i="1"/>
  <c r="L5820" i="1"/>
  <c r="L5821" i="1"/>
  <c r="L5822" i="1"/>
  <c r="L5823" i="1"/>
  <c r="L5824" i="1"/>
  <c r="L5825" i="1"/>
  <c r="L5826" i="1"/>
  <c r="L5827" i="1"/>
  <c r="L5828" i="1"/>
  <c r="L5829" i="1"/>
  <c r="L5830" i="1"/>
  <c r="L5831" i="1"/>
  <c r="L5832" i="1"/>
  <c r="L5833" i="1"/>
  <c r="L5834" i="1"/>
  <c r="L5835" i="1"/>
  <c r="D249" i="14"/>
  <c r="D250" i="14"/>
  <c r="D251" i="14"/>
  <c r="D252" i="14"/>
  <c r="D253" i="14"/>
  <c r="D254" i="14"/>
  <c r="D255" i="14"/>
  <c r="D256" i="14"/>
  <c r="D257" i="14"/>
  <c r="D258" i="14"/>
  <c r="D259" i="14"/>
  <c r="D260" i="14"/>
  <c r="D261" i="14"/>
  <c r="D262" i="14"/>
  <c r="D263" i="14"/>
  <c r="D264" i="14"/>
  <c r="D265" i="14"/>
  <c r="D266" i="14"/>
  <c r="D267" i="14"/>
  <c r="D268" i="14"/>
  <c r="D269" i="14"/>
  <c r="D270" i="14"/>
  <c r="D271" i="14"/>
  <c r="D272" i="14"/>
  <c r="D273" i="14"/>
  <c r="D274" i="14"/>
  <c r="D275" i="14"/>
  <c r="D276" i="14"/>
  <c r="D277" i="14"/>
  <c r="D278" i="14"/>
  <c r="D279" i="14"/>
  <c r="D280" i="14"/>
  <c r="D281" i="14"/>
  <c r="D282" i="14"/>
  <c r="D283" i="14"/>
  <c r="D284" i="14"/>
  <c r="D285" i="14"/>
  <c r="D286" i="14"/>
  <c r="D287" i="14"/>
  <c r="D288" i="14"/>
  <c r="D289" i="14"/>
  <c r="D290" i="14"/>
  <c r="D291" i="14"/>
  <c r="D292" i="14"/>
  <c r="D293" i="14"/>
  <c r="D294" i="14"/>
  <c r="D295" i="14"/>
  <c r="D296" i="14"/>
  <c r="D297" i="14"/>
  <c r="D298" i="14"/>
  <c r="D299" i="14"/>
  <c r="D300" i="14"/>
  <c r="D301" i="14"/>
  <c r="D302" i="14"/>
  <c r="D303" i="14"/>
  <c r="D304" i="14"/>
  <c r="D305" i="14"/>
  <c r="D306" i="14"/>
  <c r="D307" i="14"/>
  <c r="D308" i="14"/>
  <c r="D309" i="14"/>
  <c r="D310" i="14"/>
  <c r="D311" i="14"/>
  <c r="D312" i="14"/>
  <c r="D313" i="14"/>
  <c r="D314" i="14"/>
  <c r="D315" i="14"/>
  <c r="D316" i="14"/>
  <c r="D317" i="14"/>
  <c r="D318" i="14"/>
  <c r="D319" i="14"/>
  <c r="D320" i="14"/>
  <c r="D321" i="14"/>
  <c r="D322" i="14"/>
  <c r="D323" i="14"/>
  <c r="D324" i="14"/>
  <c r="D325" i="14"/>
  <c r="D326" i="14"/>
  <c r="D327" i="14"/>
  <c r="D328" i="14"/>
  <c r="D329" i="14"/>
  <c r="D330" i="14"/>
  <c r="D331" i="14"/>
  <c r="D332" i="14"/>
  <c r="D333" i="14"/>
  <c r="D334" i="14"/>
  <c r="D335" i="14"/>
  <c r="D336" i="14"/>
  <c r="D337" i="14"/>
  <c r="D338" i="14"/>
  <c r="D339" i="14"/>
  <c r="D340" i="14"/>
  <c r="D341" i="14"/>
  <c r="D342" i="14"/>
  <c r="D343" i="14"/>
  <c r="D344" i="14"/>
  <c r="D345" i="14"/>
  <c r="D346" i="14"/>
  <c r="D347" i="14"/>
  <c r="D348" i="14"/>
  <c r="D349" i="14"/>
  <c r="D350" i="14"/>
  <c r="D351" i="14"/>
  <c r="D352" i="14"/>
  <c r="D353" i="14"/>
  <c r="D354" i="14"/>
  <c r="D355" i="14"/>
  <c r="D356" i="14"/>
  <c r="D357" i="14"/>
  <c r="D358" i="14"/>
  <c r="D359" i="14"/>
  <c r="D360" i="14"/>
  <c r="D361" i="14"/>
  <c r="D362" i="14"/>
  <c r="D363" i="14"/>
  <c r="D364" i="14"/>
  <c r="D365" i="14"/>
  <c r="D366" i="14"/>
  <c r="D367" i="14"/>
  <c r="D368" i="14"/>
  <c r="D369" i="14"/>
  <c r="D370" i="14"/>
  <c r="AQ17" i="16"/>
  <c r="G26" i="16"/>
  <c r="G27" i="16"/>
  <c r="G28" i="16"/>
  <c r="E10" i="16"/>
  <c r="E17" i="16"/>
  <c r="E18" i="16" s="1"/>
  <c r="J45" i="16"/>
  <c r="H45" i="16"/>
  <c r="AO17" i="16"/>
  <c r="AO18" i="16"/>
  <c r="AO19" i="16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N30" i="1" s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N78" i="1" s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N126" i="1" s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N198" i="1" s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N246" i="1" s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N294" i="1" s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N366" i="1" s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N414" i="1" s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N462" i="1" s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N534" i="1" s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N582" i="1" s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N630" i="1" s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N702" i="1" s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N750" i="1" s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N798" i="1" s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N870" i="1" s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N918" i="1" s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N966" i="1" s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N1038" i="1" s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N1086" i="1" s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N1134" i="1" s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N1206" i="1" s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N1254" i="1" s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N1302" i="1" s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N1374" i="1" s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N1470" i="1" s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N1638" i="1" s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N1806" i="1" s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N1974" i="1" s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5001" i="1"/>
  <c r="K5002" i="1"/>
  <c r="K5003" i="1"/>
  <c r="K5004" i="1"/>
  <c r="K5005" i="1"/>
  <c r="K5006" i="1"/>
  <c r="K5007" i="1"/>
  <c r="K5008" i="1"/>
  <c r="K5009" i="1"/>
  <c r="K5010" i="1"/>
  <c r="K5011" i="1"/>
  <c r="K5012" i="1"/>
  <c r="K5013" i="1"/>
  <c r="K5014" i="1"/>
  <c r="K5015" i="1"/>
  <c r="K5016" i="1"/>
  <c r="K5017" i="1"/>
  <c r="K5018" i="1"/>
  <c r="K5019" i="1"/>
  <c r="K5020" i="1"/>
  <c r="K5021" i="1"/>
  <c r="K5022" i="1"/>
  <c r="K5023" i="1"/>
  <c r="K5024" i="1"/>
  <c r="K5025" i="1"/>
  <c r="K5026" i="1"/>
  <c r="K5027" i="1"/>
  <c r="K5028" i="1"/>
  <c r="K5029" i="1"/>
  <c r="K5030" i="1"/>
  <c r="K5031" i="1"/>
  <c r="K5032" i="1"/>
  <c r="K5033" i="1"/>
  <c r="K5034" i="1"/>
  <c r="K5035" i="1"/>
  <c r="K5036" i="1"/>
  <c r="K5037" i="1"/>
  <c r="K5038" i="1"/>
  <c r="K5039" i="1"/>
  <c r="K5040" i="1"/>
  <c r="K5041" i="1"/>
  <c r="K5042" i="1"/>
  <c r="K5043" i="1"/>
  <c r="K5044" i="1"/>
  <c r="K5045" i="1"/>
  <c r="K5046" i="1"/>
  <c r="K5047" i="1"/>
  <c r="K5048" i="1"/>
  <c r="K5049" i="1"/>
  <c r="K5050" i="1"/>
  <c r="K5051" i="1"/>
  <c r="K5052" i="1"/>
  <c r="K5053" i="1"/>
  <c r="K5054" i="1"/>
  <c r="K5055" i="1"/>
  <c r="K5056" i="1"/>
  <c r="K5057" i="1"/>
  <c r="K5058" i="1"/>
  <c r="K5059" i="1"/>
  <c r="K5060" i="1"/>
  <c r="K5061" i="1"/>
  <c r="K5062" i="1"/>
  <c r="K5063" i="1"/>
  <c r="K5064" i="1"/>
  <c r="K5065" i="1"/>
  <c r="K5066" i="1"/>
  <c r="K5067" i="1"/>
  <c r="K5068" i="1"/>
  <c r="K5069" i="1"/>
  <c r="K5070" i="1"/>
  <c r="K5071" i="1"/>
  <c r="K5072" i="1"/>
  <c r="K5073" i="1"/>
  <c r="K5074" i="1"/>
  <c r="K5075" i="1"/>
  <c r="K5076" i="1"/>
  <c r="K5077" i="1"/>
  <c r="K5078" i="1"/>
  <c r="K5079" i="1"/>
  <c r="K5080" i="1"/>
  <c r="K5081" i="1"/>
  <c r="K5082" i="1"/>
  <c r="K5083" i="1"/>
  <c r="K5084" i="1"/>
  <c r="K5085" i="1"/>
  <c r="K5086" i="1"/>
  <c r="K5087" i="1"/>
  <c r="K5088" i="1"/>
  <c r="K5089" i="1"/>
  <c r="K5090" i="1"/>
  <c r="K5091" i="1"/>
  <c r="K5092" i="1"/>
  <c r="K5093" i="1"/>
  <c r="K5094" i="1"/>
  <c r="K5095" i="1"/>
  <c r="K5096" i="1"/>
  <c r="K5097" i="1"/>
  <c r="K5098" i="1"/>
  <c r="K5099" i="1"/>
  <c r="K5100" i="1"/>
  <c r="K5101" i="1"/>
  <c r="K5102" i="1"/>
  <c r="K5103" i="1"/>
  <c r="K5104" i="1"/>
  <c r="K5105" i="1"/>
  <c r="K5106" i="1"/>
  <c r="K5107" i="1"/>
  <c r="K5108" i="1"/>
  <c r="K5109" i="1"/>
  <c r="K5110" i="1"/>
  <c r="K5111" i="1"/>
  <c r="K5112" i="1"/>
  <c r="K5113" i="1"/>
  <c r="K5114" i="1"/>
  <c r="K5115" i="1"/>
  <c r="K5116" i="1"/>
  <c r="K5117" i="1"/>
  <c r="K5118" i="1"/>
  <c r="K5119" i="1"/>
  <c r="K5120" i="1"/>
  <c r="K5121" i="1"/>
  <c r="K5122" i="1"/>
  <c r="K5123" i="1"/>
  <c r="K5124" i="1"/>
  <c r="K5125" i="1"/>
  <c r="K5126" i="1"/>
  <c r="K5127" i="1"/>
  <c r="K5128" i="1"/>
  <c r="K5129" i="1"/>
  <c r="K5130" i="1"/>
  <c r="K5131" i="1"/>
  <c r="K5132" i="1"/>
  <c r="K5133" i="1"/>
  <c r="K5134" i="1"/>
  <c r="K5135" i="1"/>
  <c r="K5136" i="1"/>
  <c r="K5137" i="1"/>
  <c r="K5138" i="1"/>
  <c r="K5139" i="1"/>
  <c r="K5140" i="1"/>
  <c r="K5141" i="1"/>
  <c r="K5142" i="1"/>
  <c r="K5143" i="1"/>
  <c r="K5144" i="1"/>
  <c r="K5145" i="1"/>
  <c r="K5146" i="1"/>
  <c r="K5147" i="1"/>
  <c r="K5148" i="1"/>
  <c r="K5149" i="1"/>
  <c r="K5150" i="1"/>
  <c r="K5151" i="1"/>
  <c r="K5152" i="1"/>
  <c r="K5153" i="1"/>
  <c r="K5154" i="1"/>
  <c r="K5155" i="1"/>
  <c r="K5156" i="1"/>
  <c r="K5157" i="1"/>
  <c r="K5158" i="1"/>
  <c r="K5159" i="1"/>
  <c r="K5160" i="1"/>
  <c r="K5161" i="1"/>
  <c r="K5162" i="1"/>
  <c r="K5163" i="1"/>
  <c r="K5164" i="1"/>
  <c r="K5165" i="1"/>
  <c r="K5166" i="1"/>
  <c r="K5167" i="1"/>
  <c r="K5168" i="1"/>
  <c r="K5169" i="1"/>
  <c r="K5170" i="1"/>
  <c r="K5171" i="1"/>
  <c r="K5172" i="1"/>
  <c r="K5173" i="1"/>
  <c r="K5174" i="1"/>
  <c r="K5175" i="1"/>
  <c r="K5176" i="1"/>
  <c r="K5177" i="1"/>
  <c r="K5178" i="1"/>
  <c r="K5179" i="1"/>
  <c r="K5180" i="1"/>
  <c r="K5181" i="1"/>
  <c r="K5182" i="1"/>
  <c r="K5183" i="1"/>
  <c r="K5184" i="1"/>
  <c r="K5185" i="1"/>
  <c r="K5186" i="1"/>
  <c r="K5187" i="1"/>
  <c r="K5188" i="1"/>
  <c r="K5189" i="1"/>
  <c r="K5190" i="1"/>
  <c r="K5191" i="1"/>
  <c r="K5192" i="1"/>
  <c r="K5193" i="1"/>
  <c r="K5194" i="1"/>
  <c r="K5195" i="1"/>
  <c r="K5196" i="1"/>
  <c r="K5197" i="1"/>
  <c r="K5198" i="1"/>
  <c r="K5199" i="1"/>
  <c r="K5200" i="1"/>
  <c r="K5201" i="1"/>
  <c r="K5202" i="1"/>
  <c r="K5203" i="1"/>
  <c r="K5204" i="1"/>
  <c r="K5205" i="1"/>
  <c r="K5206" i="1"/>
  <c r="K5207" i="1"/>
  <c r="K5208" i="1"/>
  <c r="K5209" i="1"/>
  <c r="K5210" i="1"/>
  <c r="K5211" i="1"/>
  <c r="K5212" i="1"/>
  <c r="K5213" i="1"/>
  <c r="K5214" i="1"/>
  <c r="K5215" i="1"/>
  <c r="K5216" i="1"/>
  <c r="K5217" i="1"/>
  <c r="K5218" i="1"/>
  <c r="K5219" i="1"/>
  <c r="K5220" i="1"/>
  <c r="K5221" i="1"/>
  <c r="K5222" i="1"/>
  <c r="K5223" i="1"/>
  <c r="K5224" i="1"/>
  <c r="K5225" i="1"/>
  <c r="K5226" i="1"/>
  <c r="K5227" i="1"/>
  <c r="K5228" i="1"/>
  <c r="K5229" i="1"/>
  <c r="K5230" i="1"/>
  <c r="K5231" i="1"/>
  <c r="K5232" i="1"/>
  <c r="K5233" i="1"/>
  <c r="K5234" i="1"/>
  <c r="K5235" i="1"/>
  <c r="K5236" i="1"/>
  <c r="K5237" i="1"/>
  <c r="K5238" i="1"/>
  <c r="K5239" i="1"/>
  <c r="K5240" i="1"/>
  <c r="K5241" i="1"/>
  <c r="K5242" i="1"/>
  <c r="K5243" i="1"/>
  <c r="K5244" i="1"/>
  <c r="K5245" i="1"/>
  <c r="K5246" i="1"/>
  <c r="K5247" i="1"/>
  <c r="K5248" i="1"/>
  <c r="K5249" i="1"/>
  <c r="K5250" i="1"/>
  <c r="K5251" i="1"/>
  <c r="K5252" i="1"/>
  <c r="K5253" i="1"/>
  <c r="K5254" i="1"/>
  <c r="K5255" i="1"/>
  <c r="K5256" i="1"/>
  <c r="K5257" i="1"/>
  <c r="K5258" i="1"/>
  <c r="K5259" i="1"/>
  <c r="K5260" i="1"/>
  <c r="K5261" i="1"/>
  <c r="K5262" i="1"/>
  <c r="K5263" i="1"/>
  <c r="K5264" i="1"/>
  <c r="K5265" i="1"/>
  <c r="K5266" i="1"/>
  <c r="K5267" i="1"/>
  <c r="K5268" i="1"/>
  <c r="K5269" i="1"/>
  <c r="K5270" i="1"/>
  <c r="K5271" i="1"/>
  <c r="K5272" i="1"/>
  <c r="K5273" i="1"/>
  <c r="K5274" i="1"/>
  <c r="K5275" i="1"/>
  <c r="K5276" i="1"/>
  <c r="K5277" i="1"/>
  <c r="K5278" i="1"/>
  <c r="K5279" i="1"/>
  <c r="K5280" i="1"/>
  <c r="K5281" i="1"/>
  <c r="K5282" i="1"/>
  <c r="K5283" i="1"/>
  <c r="K5284" i="1"/>
  <c r="K5285" i="1"/>
  <c r="K5286" i="1"/>
  <c r="K5287" i="1"/>
  <c r="K5288" i="1"/>
  <c r="K5289" i="1"/>
  <c r="K5290" i="1"/>
  <c r="K5291" i="1"/>
  <c r="K5292" i="1"/>
  <c r="K5293" i="1"/>
  <c r="K5294" i="1"/>
  <c r="K5295" i="1"/>
  <c r="K5296" i="1"/>
  <c r="K5297" i="1"/>
  <c r="K5298" i="1"/>
  <c r="K5299" i="1"/>
  <c r="K5300" i="1"/>
  <c r="K5301" i="1"/>
  <c r="K5302" i="1"/>
  <c r="K5303" i="1"/>
  <c r="K5304" i="1"/>
  <c r="K5305" i="1"/>
  <c r="K5306" i="1"/>
  <c r="K5307" i="1"/>
  <c r="K5308" i="1"/>
  <c r="K5309" i="1"/>
  <c r="K5310" i="1"/>
  <c r="K5311" i="1"/>
  <c r="K5312" i="1"/>
  <c r="K5313" i="1"/>
  <c r="K5314" i="1"/>
  <c r="K5315" i="1"/>
  <c r="K5316" i="1"/>
  <c r="K5317" i="1"/>
  <c r="K5318" i="1"/>
  <c r="K5319" i="1"/>
  <c r="K5320" i="1"/>
  <c r="K5321" i="1"/>
  <c r="K5322" i="1"/>
  <c r="K5323" i="1"/>
  <c r="K5324" i="1"/>
  <c r="K5325" i="1"/>
  <c r="K5326" i="1"/>
  <c r="K5327" i="1"/>
  <c r="K5328" i="1"/>
  <c r="K5329" i="1"/>
  <c r="K5330" i="1"/>
  <c r="K5331" i="1"/>
  <c r="K5332" i="1"/>
  <c r="K5333" i="1"/>
  <c r="K5334" i="1"/>
  <c r="K5335" i="1"/>
  <c r="K5336" i="1"/>
  <c r="K5337" i="1"/>
  <c r="K5338" i="1"/>
  <c r="K5339" i="1"/>
  <c r="K5340" i="1"/>
  <c r="K5341" i="1"/>
  <c r="K5342" i="1"/>
  <c r="K5343" i="1"/>
  <c r="K5344" i="1"/>
  <c r="K5345" i="1"/>
  <c r="K5346" i="1"/>
  <c r="K5347" i="1"/>
  <c r="K5348" i="1"/>
  <c r="K5349" i="1"/>
  <c r="K5350" i="1"/>
  <c r="K5351" i="1"/>
  <c r="K5352" i="1"/>
  <c r="K5353" i="1"/>
  <c r="K5354" i="1"/>
  <c r="K5355" i="1"/>
  <c r="K5356" i="1"/>
  <c r="K5357" i="1"/>
  <c r="K5358" i="1"/>
  <c r="K5359" i="1"/>
  <c r="K5360" i="1"/>
  <c r="K5361" i="1"/>
  <c r="K5362" i="1"/>
  <c r="K5363" i="1"/>
  <c r="K5364" i="1"/>
  <c r="K5365" i="1"/>
  <c r="K5366" i="1"/>
  <c r="K5367" i="1"/>
  <c r="K5368" i="1"/>
  <c r="K5369" i="1"/>
  <c r="K5370" i="1"/>
  <c r="K5371" i="1"/>
  <c r="K5372" i="1"/>
  <c r="K5373" i="1"/>
  <c r="K5374" i="1"/>
  <c r="K5375" i="1"/>
  <c r="K5376" i="1"/>
  <c r="K5377" i="1"/>
  <c r="K5378" i="1"/>
  <c r="K5379" i="1"/>
  <c r="K5380" i="1"/>
  <c r="K5381" i="1"/>
  <c r="K5382" i="1"/>
  <c r="K5383" i="1"/>
  <c r="K5384" i="1"/>
  <c r="K5385" i="1"/>
  <c r="K5386" i="1"/>
  <c r="K5387" i="1"/>
  <c r="K5388" i="1"/>
  <c r="K5389" i="1"/>
  <c r="K5390" i="1"/>
  <c r="K5391" i="1"/>
  <c r="K5392" i="1"/>
  <c r="K5393" i="1"/>
  <c r="K5394" i="1"/>
  <c r="K5395" i="1"/>
  <c r="K5396" i="1"/>
  <c r="K5397" i="1"/>
  <c r="K5398" i="1"/>
  <c r="K5399" i="1"/>
  <c r="K5400" i="1"/>
  <c r="K5401" i="1"/>
  <c r="K5402" i="1"/>
  <c r="K5403" i="1"/>
  <c r="K5404" i="1"/>
  <c r="K5405" i="1"/>
  <c r="K5406" i="1"/>
  <c r="K5407" i="1"/>
  <c r="K5408" i="1"/>
  <c r="K5409" i="1"/>
  <c r="K5410" i="1"/>
  <c r="K5411" i="1"/>
  <c r="K5412" i="1"/>
  <c r="K5413" i="1"/>
  <c r="K5414" i="1"/>
  <c r="K5415" i="1"/>
  <c r="K5416" i="1"/>
  <c r="K5417" i="1"/>
  <c r="K5418" i="1"/>
  <c r="K5419" i="1"/>
  <c r="K5420" i="1"/>
  <c r="K5421" i="1"/>
  <c r="K5422" i="1"/>
  <c r="K5423" i="1"/>
  <c r="K5424" i="1"/>
  <c r="K5425" i="1"/>
  <c r="K5426" i="1"/>
  <c r="K5427" i="1"/>
  <c r="K5428" i="1"/>
  <c r="K5429" i="1"/>
  <c r="K5430" i="1"/>
  <c r="K5431" i="1"/>
  <c r="K5432" i="1"/>
  <c r="K5433" i="1"/>
  <c r="K5434" i="1"/>
  <c r="K5435" i="1"/>
  <c r="K5436" i="1"/>
  <c r="K5437" i="1"/>
  <c r="K5438" i="1"/>
  <c r="K5439" i="1"/>
  <c r="K5440" i="1"/>
  <c r="K5441" i="1"/>
  <c r="K5442" i="1"/>
  <c r="K5443" i="1"/>
  <c r="K5444" i="1"/>
  <c r="K5445" i="1"/>
  <c r="K5446" i="1"/>
  <c r="K5447" i="1"/>
  <c r="K5448" i="1"/>
  <c r="K5449" i="1"/>
  <c r="K5450" i="1"/>
  <c r="K5451" i="1"/>
  <c r="K5452" i="1"/>
  <c r="K5453" i="1"/>
  <c r="K5454" i="1"/>
  <c r="K5455" i="1"/>
  <c r="K5456" i="1"/>
  <c r="K5457" i="1"/>
  <c r="K5458" i="1"/>
  <c r="K5459" i="1"/>
  <c r="K5460" i="1"/>
  <c r="K5461" i="1"/>
  <c r="K5462" i="1"/>
  <c r="K5463" i="1"/>
  <c r="K5464" i="1"/>
  <c r="K5465" i="1"/>
  <c r="K5466" i="1"/>
  <c r="K5467" i="1"/>
  <c r="K5468" i="1"/>
  <c r="K5469" i="1"/>
  <c r="K5470" i="1"/>
  <c r="K5471" i="1"/>
  <c r="K5472" i="1"/>
  <c r="K5473" i="1"/>
  <c r="K5474" i="1"/>
  <c r="K5475" i="1"/>
  <c r="K5476" i="1"/>
  <c r="K5477" i="1"/>
  <c r="K5478" i="1"/>
  <c r="K5479" i="1"/>
  <c r="K5480" i="1"/>
  <c r="K5481" i="1"/>
  <c r="K5482" i="1"/>
  <c r="K5483" i="1"/>
  <c r="K5484" i="1"/>
  <c r="K5485" i="1"/>
  <c r="K5486" i="1"/>
  <c r="K5487" i="1"/>
  <c r="K5488" i="1"/>
  <c r="K5489" i="1"/>
  <c r="K5490" i="1"/>
  <c r="K5491" i="1"/>
  <c r="K5492" i="1"/>
  <c r="K5493" i="1"/>
  <c r="K5494" i="1"/>
  <c r="K5495" i="1"/>
  <c r="K5496" i="1"/>
  <c r="K5497" i="1"/>
  <c r="K5498" i="1"/>
  <c r="K5499" i="1"/>
  <c r="K5500" i="1"/>
  <c r="K5501" i="1"/>
  <c r="K5502" i="1"/>
  <c r="K5503" i="1"/>
  <c r="K5504" i="1"/>
  <c r="K5505" i="1"/>
  <c r="K5506" i="1"/>
  <c r="K5507" i="1"/>
  <c r="K5508" i="1"/>
  <c r="K5509" i="1"/>
  <c r="K5510" i="1"/>
  <c r="K5511" i="1"/>
  <c r="K5512" i="1"/>
  <c r="K5513" i="1"/>
  <c r="K5514" i="1"/>
  <c r="K5515" i="1"/>
  <c r="K5516" i="1"/>
  <c r="K5517" i="1"/>
  <c r="K5518" i="1"/>
  <c r="K5519" i="1"/>
  <c r="K5520" i="1"/>
  <c r="K5521" i="1"/>
  <c r="K5522" i="1"/>
  <c r="K5523" i="1"/>
  <c r="K5524" i="1"/>
  <c r="K5525" i="1"/>
  <c r="K5526" i="1"/>
  <c r="K5527" i="1"/>
  <c r="K5528" i="1"/>
  <c r="K5529" i="1"/>
  <c r="K5530" i="1"/>
  <c r="K5531" i="1"/>
  <c r="K5532" i="1"/>
  <c r="K5533" i="1"/>
  <c r="K5534" i="1"/>
  <c r="K5535" i="1"/>
  <c r="K5536" i="1"/>
  <c r="K5537" i="1"/>
  <c r="K5538" i="1"/>
  <c r="K5539" i="1"/>
  <c r="K5540" i="1"/>
  <c r="K5541" i="1"/>
  <c r="K5542" i="1"/>
  <c r="K5543" i="1"/>
  <c r="K5544" i="1"/>
  <c r="K5545" i="1"/>
  <c r="K5546" i="1"/>
  <c r="K5547" i="1"/>
  <c r="K5548" i="1"/>
  <c r="K5549" i="1"/>
  <c r="K5550" i="1"/>
  <c r="K5551" i="1"/>
  <c r="K5552" i="1"/>
  <c r="K5553" i="1"/>
  <c r="K5554" i="1"/>
  <c r="K5555" i="1"/>
  <c r="K5556" i="1"/>
  <c r="K5557" i="1"/>
  <c r="K5558" i="1"/>
  <c r="K5559" i="1"/>
  <c r="K5560" i="1"/>
  <c r="K5561" i="1"/>
  <c r="K5562" i="1"/>
  <c r="K5563" i="1"/>
  <c r="K5564" i="1"/>
  <c r="K5565" i="1"/>
  <c r="K5566" i="1"/>
  <c r="K5567" i="1"/>
  <c r="K5568" i="1"/>
  <c r="K5569" i="1"/>
  <c r="K5570" i="1"/>
  <c r="K5571" i="1"/>
  <c r="K5572" i="1"/>
  <c r="K5573" i="1"/>
  <c r="K5574" i="1"/>
  <c r="K5575" i="1"/>
  <c r="K5576" i="1"/>
  <c r="K5577" i="1"/>
  <c r="K5578" i="1"/>
  <c r="K5579" i="1"/>
  <c r="K5580" i="1"/>
  <c r="K5581" i="1"/>
  <c r="K5582" i="1"/>
  <c r="K5583" i="1"/>
  <c r="K5584" i="1"/>
  <c r="K5585" i="1"/>
  <c r="K5586" i="1"/>
  <c r="K5587" i="1"/>
  <c r="K5588" i="1"/>
  <c r="K5589" i="1"/>
  <c r="K5590" i="1"/>
  <c r="K5591" i="1"/>
  <c r="K5592" i="1"/>
  <c r="K5593" i="1"/>
  <c r="K5594" i="1"/>
  <c r="K5595" i="1"/>
  <c r="K5596" i="1"/>
  <c r="K5597" i="1"/>
  <c r="K5598" i="1"/>
  <c r="K5599" i="1"/>
  <c r="K5600" i="1"/>
  <c r="K5601" i="1"/>
  <c r="K5602" i="1"/>
  <c r="K5603" i="1"/>
  <c r="K5604" i="1"/>
  <c r="K5605" i="1"/>
  <c r="K5606" i="1"/>
  <c r="K5607" i="1"/>
  <c r="K5608" i="1"/>
  <c r="K5609" i="1"/>
  <c r="K5610" i="1"/>
  <c r="K5611" i="1"/>
  <c r="K5612" i="1"/>
  <c r="K5613" i="1"/>
  <c r="K5614" i="1"/>
  <c r="K5615" i="1"/>
  <c r="K5616" i="1"/>
  <c r="K5617" i="1"/>
  <c r="K5618" i="1"/>
  <c r="K5619" i="1"/>
  <c r="K5620" i="1"/>
  <c r="K5621" i="1"/>
  <c r="K5622" i="1"/>
  <c r="K5623" i="1"/>
  <c r="K5624" i="1"/>
  <c r="K5625" i="1"/>
  <c r="K5626" i="1"/>
  <c r="K5627" i="1"/>
  <c r="K5628" i="1"/>
  <c r="K5629" i="1"/>
  <c r="K5630" i="1"/>
  <c r="K5631" i="1"/>
  <c r="K5632" i="1"/>
  <c r="K5633" i="1"/>
  <c r="K5634" i="1"/>
  <c r="K5635" i="1"/>
  <c r="K5636" i="1"/>
  <c r="K5637" i="1"/>
  <c r="K5638" i="1"/>
  <c r="K5639" i="1"/>
  <c r="K5640" i="1"/>
  <c r="K5641" i="1"/>
  <c r="K5642" i="1"/>
  <c r="K5643" i="1"/>
  <c r="K5644" i="1"/>
  <c r="K5645" i="1"/>
  <c r="K5646" i="1"/>
  <c r="K5647" i="1"/>
  <c r="K5648" i="1"/>
  <c r="K5649" i="1"/>
  <c r="K5650" i="1"/>
  <c r="K5651" i="1"/>
  <c r="K5652" i="1"/>
  <c r="K5653" i="1"/>
  <c r="K5654" i="1"/>
  <c r="K5655" i="1"/>
  <c r="K5656" i="1"/>
  <c r="K5657" i="1"/>
  <c r="K5658" i="1"/>
  <c r="K5659" i="1"/>
  <c r="K5660" i="1"/>
  <c r="K5661" i="1"/>
  <c r="K5662" i="1"/>
  <c r="K5663" i="1"/>
  <c r="K5664" i="1"/>
  <c r="K5665" i="1"/>
  <c r="K5666" i="1"/>
  <c r="K5667" i="1"/>
  <c r="K5668" i="1"/>
  <c r="K5669" i="1"/>
  <c r="K5670" i="1"/>
  <c r="K5671" i="1"/>
  <c r="K5672" i="1"/>
  <c r="K5673" i="1"/>
  <c r="K5674" i="1"/>
  <c r="K5675" i="1"/>
  <c r="K5676" i="1"/>
  <c r="K5677" i="1"/>
  <c r="K5678" i="1"/>
  <c r="K5679" i="1"/>
  <c r="K5680" i="1"/>
  <c r="K5681" i="1"/>
  <c r="K5682" i="1"/>
  <c r="K5683" i="1"/>
  <c r="K5684" i="1"/>
  <c r="K5685" i="1"/>
  <c r="K5686" i="1"/>
  <c r="K5687" i="1"/>
  <c r="K5688" i="1"/>
  <c r="K5689" i="1"/>
  <c r="K5690" i="1"/>
  <c r="K5691" i="1"/>
  <c r="K5692" i="1"/>
  <c r="K5693" i="1"/>
  <c r="K5694" i="1"/>
  <c r="K5695" i="1"/>
  <c r="K5696" i="1"/>
  <c r="K5697" i="1"/>
  <c r="K5698" i="1"/>
  <c r="K5699" i="1"/>
  <c r="K5700" i="1"/>
  <c r="K5701" i="1"/>
  <c r="K5702" i="1"/>
  <c r="K5703" i="1"/>
  <c r="K5704" i="1"/>
  <c r="K5705" i="1"/>
  <c r="K5706" i="1"/>
  <c r="K5707" i="1"/>
  <c r="K5708" i="1"/>
  <c r="K5709" i="1"/>
  <c r="K5710" i="1"/>
  <c r="K5711" i="1"/>
  <c r="K5712" i="1"/>
  <c r="K5713" i="1"/>
  <c r="K5714" i="1"/>
  <c r="K5715" i="1"/>
  <c r="K5716" i="1"/>
  <c r="K5717" i="1"/>
  <c r="K5718" i="1"/>
  <c r="K5719" i="1"/>
  <c r="K5720" i="1"/>
  <c r="K5721" i="1"/>
  <c r="K5722" i="1"/>
  <c r="K5723" i="1"/>
  <c r="K5724" i="1"/>
  <c r="K5725" i="1"/>
  <c r="K5726" i="1"/>
  <c r="K5727" i="1"/>
  <c r="K5728" i="1"/>
  <c r="K5729" i="1"/>
  <c r="K5730" i="1"/>
  <c r="K5731" i="1"/>
  <c r="K5732" i="1"/>
  <c r="K5733" i="1"/>
  <c r="K5734" i="1"/>
  <c r="K5735" i="1"/>
  <c r="K5736" i="1"/>
  <c r="K5737" i="1"/>
  <c r="K5738" i="1"/>
  <c r="K5739" i="1"/>
  <c r="K5740" i="1"/>
  <c r="K5741" i="1"/>
  <c r="K5742" i="1"/>
  <c r="K5743" i="1"/>
  <c r="K5744" i="1"/>
  <c r="K5745" i="1"/>
  <c r="K5746" i="1"/>
  <c r="K5747" i="1"/>
  <c r="K5748" i="1"/>
  <c r="K5749" i="1"/>
  <c r="K5750" i="1"/>
  <c r="K5751" i="1"/>
  <c r="K5752" i="1"/>
  <c r="K5753" i="1"/>
  <c r="K5754" i="1"/>
  <c r="K5755" i="1"/>
  <c r="K5756" i="1"/>
  <c r="K5757" i="1"/>
  <c r="K5758" i="1"/>
  <c r="K5759" i="1"/>
  <c r="K5760" i="1"/>
  <c r="K5761" i="1"/>
  <c r="K5762" i="1"/>
  <c r="K5763" i="1"/>
  <c r="K5764" i="1"/>
  <c r="K5765" i="1"/>
  <c r="K5766" i="1"/>
  <c r="K5767" i="1"/>
  <c r="K5768" i="1"/>
  <c r="K5769" i="1"/>
  <c r="K5770" i="1"/>
  <c r="K5771" i="1"/>
  <c r="K5772" i="1"/>
  <c r="K5773" i="1"/>
  <c r="K5774" i="1"/>
  <c r="K5775" i="1"/>
  <c r="K5776" i="1"/>
  <c r="K5777" i="1"/>
  <c r="K5778" i="1"/>
  <c r="K5779" i="1"/>
  <c r="K5780" i="1"/>
  <c r="K5781" i="1"/>
  <c r="K5782" i="1"/>
  <c r="K5783" i="1"/>
  <c r="K5784" i="1"/>
  <c r="K5785" i="1"/>
  <c r="K5786" i="1"/>
  <c r="K5787" i="1"/>
  <c r="K5788" i="1"/>
  <c r="K5789" i="1"/>
  <c r="K5790" i="1"/>
  <c r="K5791" i="1"/>
  <c r="K5792" i="1"/>
  <c r="K5793" i="1"/>
  <c r="K5794" i="1"/>
  <c r="K5795" i="1"/>
  <c r="K5796" i="1"/>
  <c r="K5797" i="1"/>
  <c r="K5798" i="1"/>
  <c r="K5799" i="1"/>
  <c r="K5800" i="1"/>
  <c r="K5801" i="1"/>
  <c r="K5802" i="1"/>
  <c r="K5803" i="1"/>
  <c r="K5804" i="1"/>
  <c r="K5805" i="1"/>
  <c r="K5806" i="1"/>
  <c r="K5807" i="1"/>
  <c r="K5808" i="1"/>
  <c r="K5809" i="1"/>
  <c r="K5810" i="1"/>
  <c r="K5811" i="1"/>
  <c r="K5812" i="1"/>
  <c r="K5813" i="1"/>
  <c r="K5814" i="1"/>
  <c r="K5815" i="1"/>
  <c r="K5816" i="1"/>
  <c r="K5817" i="1"/>
  <c r="K5818" i="1"/>
  <c r="K5819" i="1"/>
  <c r="K5820" i="1"/>
  <c r="K5821" i="1"/>
  <c r="K5822" i="1"/>
  <c r="K5823" i="1"/>
  <c r="K5824" i="1"/>
  <c r="K5825" i="1"/>
  <c r="K5826" i="1"/>
  <c r="K5827" i="1"/>
  <c r="K5828" i="1"/>
  <c r="K5829" i="1"/>
  <c r="K5830" i="1"/>
  <c r="K5831" i="1"/>
  <c r="K5832" i="1"/>
  <c r="K5833" i="1"/>
  <c r="K5834" i="1"/>
  <c r="K5835" i="1"/>
  <c r="O6" i="1" a="1"/>
  <c r="O6" i="1" s="1"/>
  <c r="O7" i="1" a="1"/>
  <c r="O7" i="1" s="1"/>
  <c r="O8" i="1" a="1"/>
  <c r="O8" i="1" s="1"/>
  <c r="O9" i="1" a="1"/>
  <c r="O9" i="1" s="1"/>
  <c r="O10" i="1" a="1"/>
  <c r="O10" i="1" s="1"/>
  <c r="O11" i="1" a="1"/>
  <c r="O11" i="1" s="1"/>
  <c r="O12" i="1" a="1"/>
  <c r="O12" i="1" s="1"/>
  <c r="O13" i="1" a="1"/>
  <c r="O14" i="1" a="1"/>
  <c r="O14" i="1" s="1"/>
  <c r="O15" i="1" a="1"/>
  <c r="O15" i="1" s="1"/>
  <c r="O16" i="1" a="1"/>
  <c r="O16" i="1" s="1"/>
  <c r="O17" i="1" a="1"/>
  <c r="O17" i="1" s="1"/>
  <c r="O18" i="1" a="1"/>
  <c r="O18" i="1" s="1"/>
  <c r="O19" i="1" a="1"/>
  <c r="O19" i="1" s="1"/>
  <c r="O20" i="1" a="1"/>
  <c r="O20" i="1" s="1"/>
  <c r="O21" i="1" a="1"/>
  <c r="O21" i="1" s="1"/>
  <c r="O22" i="1" a="1"/>
  <c r="O22" i="1" s="1"/>
  <c r="O23" i="1" a="1"/>
  <c r="O23" i="1" s="1"/>
  <c r="O24" i="1" a="1"/>
  <c r="O24" i="1" s="1"/>
  <c r="O25" i="1" a="1"/>
  <c r="O25" i="1" s="1"/>
  <c r="O26" i="1" a="1"/>
  <c r="O26" i="1" s="1"/>
  <c r="O27" i="1" a="1"/>
  <c r="O27" i="1" s="1"/>
  <c r="O28" i="1" a="1"/>
  <c r="O28" i="1" s="1"/>
  <c r="O29" i="1" a="1"/>
  <c r="O29" i="1" s="1"/>
  <c r="O30" i="1" a="1"/>
  <c r="O30" i="1" s="1"/>
  <c r="O31" i="1" a="1"/>
  <c r="O31" i="1" s="1"/>
  <c r="O32" i="1" a="1"/>
  <c r="O32" i="1" s="1"/>
  <c r="O33" i="1" a="1"/>
  <c r="O33" i="1" s="1"/>
  <c r="O34" i="1" a="1"/>
  <c r="O34" i="1" s="1"/>
  <c r="O35" i="1" a="1"/>
  <c r="O35" i="1" s="1"/>
  <c r="O36" i="1" a="1"/>
  <c r="O36" i="1" s="1"/>
  <c r="O37" i="1" a="1"/>
  <c r="O37" i="1" s="1"/>
  <c r="O38" i="1" a="1"/>
  <c r="O39" i="1" a="1"/>
  <c r="O39" i="1" s="1"/>
  <c r="O40" i="1" a="1"/>
  <c r="O40" i="1" s="1"/>
  <c r="O41" i="1" a="1"/>
  <c r="O41" i="1" s="1"/>
  <c r="O42" i="1" a="1"/>
  <c r="O42" i="1" s="1"/>
  <c r="O43" i="1" a="1"/>
  <c r="O43" i="1" s="1"/>
  <c r="O44" i="1" a="1"/>
  <c r="O44" i="1" s="1"/>
  <c r="O45" i="1" a="1"/>
  <c r="O45" i="1" s="1"/>
  <c r="O46" i="1" a="1"/>
  <c r="O46" i="1" s="1"/>
  <c r="O47" i="1" a="1"/>
  <c r="O47" i="1" s="1"/>
  <c r="O48" i="1" a="1"/>
  <c r="O48" i="1" s="1"/>
  <c r="O49" i="1" a="1"/>
  <c r="O49" i="1" s="1"/>
  <c r="O50" i="1" a="1"/>
  <c r="O50" i="1" s="1"/>
  <c r="O51" i="1" a="1"/>
  <c r="O51" i="1" s="1"/>
  <c r="O52" i="1" a="1"/>
  <c r="O52" i="1" s="1"/>
  <c r="O53" i="1" a="1"/>
  <c r="O53" i="1" s="1"/>
  <c r="O54" i="1" a="1"/>
  <c r="O54" i="1" s="1"/>
  <c r="O55" i="1" a="1"/>
  <c r="O55" i="1" s="1"/>
  <c r="O56" i="1" a="1"/>
  <c r="O56" i="1" s="1"/>
  <c r="O57" i="1" a="1"/>
  <c r="O57" i="1" s="1"/>
  <c r="O58" i="1" a="1"/>
  <c r="O58" i="1" s="1"/>
  <c r="O59" i="1" a="1"/>
  <c r="O59" i="1" s="1"/>
  <c r="O60" i="1" a="1"/>
  <c r="O60" i="1" s="1"/>
  <c r="O61" i="1" a="1"/>
  <c r="O61" i="1" s="1"/>
  <c r="O62" i="1" a="1"/>
  <c r="O62" i="1" s="1"/>
  <c r="O63" i="1" a="1"/>
  <c r="O63" i="1" s="1"/>
  <c r="O64" i="1" a="1"/>
  <c r="O64" i="1" s="1"/>
  <c r="O65" i="1" a="1"/>
  <c r="O65" i="1" s="1"/>
  <c r="O66" i="1" a="1"/>
  <c r="O66" i="1" s="1"/>
  <c r="O67" i="1" a="1"/>
  <c r="O67" i="1" s="1"/>
  <c r="O68" i="1" a="1"/>
  <c r="O68" i="1" s="1"/>
  <c r="O69" i="1" a="1"/>
  <c r="O69" i="1" s="1"/>
  <c r="O70" i="1" a="1"/>
  <c r="O70" i="1" s="1"/>
  <c r="O71" i="1" a="1"/>
  <c r="O71" i="1" s="1"/>
  <c r="O72" i="1" a="1"/>
  <c r="O72" i="1" s="1"/>
  <c r="O73" i="1" a="1"/>
  <c r="O73" i="1" s="1"/>
  <c r="O74" i="1" a="1"/>
  <c r="O74" i="1" s="1"/>
  <c r="O75" i="1" a="1"/>
  <c r="O75" i="1" s="1"/>
  <c r="O76" i="1" a="1"/>
  <c r="O76" i="1" s="1"/>
  <c r="O77" i="1" a="1"/>
  <c r="O77" i="1" s="1"/>
  <c r="O78" i="1" a="1"/>
  <c r="O78" i="1" s="1"/>
  <c r="O79" i="1" a="1"/>
  <c r="O79" i="1" s="1"/>
  <c r="O80" i="1" a="1"/>
  <c r="O80" i="1" s="1"/>
  <c r="O81" i="1" a="1"/>
  <c r="O81" i="1" s="1"/>
  <c r="O82" i="1" a="1"/>
  <c r="O82" i="1" s="1"/>
  <c r="O83" i="1" a="1"/>
  <c r="O83" i="1" s="1"/>
  <c r="O84" i="1" a="1"/>
  <c r="O84" i="1" s="1"/>
  <c r="O85" i="1" a="1"/>
  <c r="O85" i="1" s="1"/>
  <c r="O86" i="1" a="1"/>
  <c r="O86" i="1" s="1"/>
  <c r="O87" i="1" a="1"/>
  <c r="O87" i="1" s="1"/>
  <c r="O88" i="1" a="1"/>
  <c r="O88" i="1" s="1"/>
  <c r="O89" i="1" a="1"/>
  <c r="O89" i="1" s="1"/>
  <c r="O90" i="1" a="1"/>
  <c r="O90" i="1" s="1"/>
  <c r="O91" i="1" a="1"/>
  <c r="O91" i="1" s="1"/>
  <c r="O92" i="1" a="1"/>
  <c r="O92" i="1" s="1"/>
  <c r="O93" i="1" a="1"/>
  <c r="O93" i="1" s="1"/>
  <c r="O94" i="1" a="1"/>
  <c r="O94" i="1" s="1"/>
  <c r="O95" i="1" a="1"/>
  <c r="O95" i="1" s="1"/>
  <c r="O96" i="1" a="1"/>
  <c r="O96" i="1" s="1"/>
  <c r="O97" i="1" a="1"/>
  <c r="O97" i="1" s="1"/>
  <c r="O98" i="1" a="1"/>
  <c r="O98" i="1" s="1"/>
  <c r="O99" i="1" a="1"/>
  <c r="O99" i="1" s="1"/>
  <c r="O100" i="1" a="1"/>
  <c r="O100" i="1" s="1"/>
  <c r="O101" i="1" a="1"/>
  <c r="O101" i="1" s="1"/>
  <c r="O102" i="1" a="1"/>
  <c r="O102" i="1" s="1"/>
  <c r="O103" i="1" a="1"/>
  <c r="O103" i="1" s="1"/>
  <c r="O104" i="1" a="1"/>
  <c r="O104" i="1" s="1"/>
  <c r="O105" i="1" a="1"/>
  <c r="O105" i="1" s="1"/>
  <c r="O106" i="1" a="1"/>
  <c r="O106" i="1" s="1"/>
  <c r="O107" i="1" a="1"/>
  <c r="O107" i="1" s="1"/>
  <c r="O108" i="1" a="1"/>
  <c r="O108" i="1" s="1"/>
  <c r="O109" i="1" a="1"/>
  <c r="O109" i="1" s="1"/>
  <c r="O110" i="1" a="1"/>
  <c r="O110" i="1" s="1"/>
  <c r="O111" i="1" a="1"/>
  <c r="O111" i="1" s="1"/>
  <c r="O112" i="1" a="1"/>
  <c r="O112" i="1" s="1"/>
  <c r="O113" i="1" a="1"/>
  <c r="O113" i="1" s="1"/>
  <c r="O114" i="1" a="1"/>
  <c r="O114" i="1" s="1"/>
  <c r="O115" i="1" a="1"/>
  <c r="O115" i="1" s="1"/>
  <c r="O116" i="1" a="1"/>
  <c r="O116" i="1" s="1"/>
  <c r="O117" i="1" a="1"/>
  <c r="O117" i="1" s="1"/>
  <c r="O118" i="1" a="1"/>
  <c r="O118" i="1" s="1"/>
  <c r="O119" i="1" a="1"/>
  <c r="O119" i="1" s="1"/>
  <c r="O120" i="1" a="1"/>
  <c r="O120" i="1" s="1"/>
  <c r="O121" i="1" a="1"/>
  <c r="O121" i="1" s="1"/>
  <c r="O122" i="1" a="1"/>
  <c r="O122" i="1" s="1"/>
  <c r="O123" i="1" a="1"/>
  <c r="O123" i="1" s="1"/>
  <c r="O124" i="1" a="1"/>
  <c r="O124" i="1" s="1"/>
  <c r="O125" i="1" a="1"/>
  <c r="O125" i="1" s="1"/>
  <c r="O126" i="1" a="1"/>
  <c r="O126" i="1" s="1"/>
  <c r="O127" i="1" a="1"/>
  <c r="O127" i="1" s="1"/>
  <c r="O128" i="1" a="1"/>
  <c r="O128" i="1" s="1"/>
  <c r="O129" i="1" a="1"/>
  <c r="O129" i="1" s="1"/>
  <c r="O130" i="1" a="1"/>
  <c r="O130" i="1" s="1"/>
  <c r="O131" i="1" a="1"/>
  <c r="O131" i="1" s="1"/>
  <c r="O132" i="1" a="1"/>
  <c r="O132" i="1" s="1"/>
  <c r="O133" i="1" a="1"/>
  <c r="O133" i="1" s="1"/>
  <c r="O134" i="1" a="1"/>
  <c r="O134" i="1" s="1"/>
  <c r="O135" i="1" a="1"/>
  <c r="O135" i="1" s="1"/>
  <c r="O136" i="1" a="1"/>
  <c r="O136" i="1" s="1"/>
  <c r="O137" i="1" a="1"/>
  <c r="O137" i="1" s="1"/>
  <c r="O138" i="1" a="1"/>
  <c r="O138" i="1" s="1"/>
  <c r="O139" i="1" a="1"/>
  <c r="O139" i="1" s="1"/>
  <c r="O140" i="1" a="1"/>
  <c r="O140" i="1" s="1"/>
  <c r="O141" i="1" a="1"/>
  <c r="O141" i="1" s="1"/>
  <c r="O142" i="1" a="1"/>
  <c r="O142" i="1" s="1"/>
  <c r="O143" i="1" a="1"/>
  <c r="O143" i="1" s="1"/>
  <c r="O144" i="1" a="1"/>
  <c r="O144" i="1" s="1"/>
  <c r="O145" i="1" a="1"/>
  <c r="O145" i="1" s="1"/>
  <c r="O146" i="1" a="1"/>
  <c r="O146" i="1" s="1"/>
  <c r="O147" i="1" a="1"/>
  <c r="O147" i="1" s="1"/>
  <c r="O148" i="1" a="1"/>
  <c r="O148" i="1" s="1"/>
  <c r="O149" i="1" a="1"/>
  <c r="O149" i="1" s="1"/>
  <c r="O150" i="1" a="1"/>
  <c r="O150" i="1" s="1"/>
  <c r="O151" i="1" a="1"/>
  <c r="O151" i="1" s="1"/>
  <c r="O152" i="1" a="1"/>
  <c r="O152" i="1" s="1"/>
  <c r="O153" i="1" a="1"/>
  <c r="O153" i="1" s="1"/>
  <c r="O154" i="1" a="1"/>
  <c r="O154" i="1" s="1"/>
  <c r="O155" i="1" a="1"/>
  <c r="O155" i="1" s="1"/>
  <c r="O156" i="1" a="1"/>
  <c r="O156" i="1" s="1"/>
  <c r="O157" i="1" a="1"/>
  <c r="O157" i="1" s="1"/>
  <c r="O158" i="1" a="1"/>
  <c r="O158" i="1" s="1"/>
  <c r="O159" i="1" a="1"/>
  <c r="O159" i="1" s="1"/>
  <c r="O160" i="1" a="1"/>
  <c r="O160" i="1" s="1"/>
  <c r="O161" i="1" a="1"/>
  <c r="O161" i="1" s="1"/>
  <c r="O162" i="1" a="1"/>
  <c r="O162" i="1" s="1"/>
  <c r="O163" i="1" a="1"/>
  <c r="O163" i="1" s="1"/>
  <c r="O164" i="1" a="1"/>
  <c r="O164" i="1" s="1"/>
  <c r="O165" i="1" a="1"/>
  <c r="O165" i="1" s="1"/>
  <c r="O166" i="1" a="1"/>
  <c r="O166" i="1" s="1"/>
  <c r="O167" i="1" a="1"/>
  <c r="O167" i="1" s="1"/>
  <c r="O168" i="1" a="1"/>
  <c r="O168" i="1" s="1"/>
  <c r="O169" i="1" a="1"/>
  <c r="O169" i="1" s="1"/>
  <c r="O170" i="1" a="1"/>
  <c r="O170" i="1" s="1"/>
  <c r="O171" i="1" a="1"/>
  <c r="O171" i="1" s="1"/>
  <c r="O172" i="1" a="1"/>
  <c r="O172" i="1" s="1"/>
  <c r="O173" i="1" a="1"/>
  <c r="O173" i="1" s="1"/>
  <c r="O174" i="1" a="1"/>
  <c r="O174" i="1" s="1"/>
  <c r="O175" i="1" a="1"/>
  <c r="O175" i="1" s="1"/>
  <c r="O176" i="1" a="1"/>
  <c r="O176" i="1" s="1"/>
  <c r="O177" i="1" a="1"/>
  <c r="O177" i="1" s="1"/>
  <c r="O178" i="1" a="1"/>
  <c r="O178" i="1" s="1"/>
  <c r="O179" i="1" a="1"/>
  <c r="O179" i="1" s="1"/>
  <c r="O180" i="1" a="1"/>
  <c r="O180" i="1" s="1"/>
  <c r="O181" i="1" a="1"/>
  <c r="O181" i="1" s="1"/>
  <c r="O182" i="1" a="1"/>
  <c r="O182" i="1" s="1"/>
  <c r="O183" i="1" a="1"/>
  <c r="O183" i="1" s="1"/>
  <c r="O184" i="1" a="1"/>
  <c r="O184" i="1" s="1"/>
  <c r="O185" i="1" a="1"/>
  <c r="O185" i="1" s="1"/>
  <c r="O186" i="1" a="1"/>
  <c r="O186" i="1" s="1"/>
  <c r="O187" i="1" a="1"/>
  <c r="O187" i="1" s="1"/>
  <c r="O188" i="1" a="1"/>
  <c r="O188" i="1" s="1"/>
  <c r="O189" i="1" a="1"/>
  <c r="O189" i="1" s="1"/>
  <c r="O190" i="1" a="1"/>
  <c r="O190" i="1" s="1"/>
  <c r="O191" i="1" a="1"/>
  <c r="O191" i="1" s="1"/>
  <c r="O192" i="1" a="1"/>
  <c r="O192" i="1" s="1"/>
  <c r="O193" i="1" a="1"/>
  <c r="O193" i="1" s="1"/>
  <c r="O194" i="1" a="1"/>
  <c r="O194" i="1" s="1"/>
  <c r="O195" i="1" a="1"/>
  <c r="O195" i="1" s="1"/>
  <c r="O196" i="1" a="1"/>
  <c r="O196" i="1" s="1"/>
  <c r="O197" i="1" a="1"/>
  <c r="O197" i="1" s="1"/>
  <c r="O198" i="1" a="1"/>
  <c r="O198" i="1" s="1"/>
  <c r="O199" i="1" a="1"/>
  <c r="O199" i="1" s="1"/>
  <c r="O200" i="1" a="1"/>
  <c r="O200" i="1" s="1"/>
  <c r="O201" i="1" a="1"/>
  <c r="O201" i="1" s="1"/>
  <c r="O202" i="1" a="1"/>
  <c r="O202" i="1" s="1"/>
  <c r="O203" i="1" a="1"/>
  <c r="O203" i="1" s="1"/>
  <c r="O204" i="1" a="1"/>
  <c r="O204" i="1" s="1"/>
  <c r="O205" i="1" a="1"/>
  <c r="O205" i="1" s="1"/>
  <c r="O206" i="1" a="1"/>
  <c r="O206" i="1" s="1"/>
  <c r="O207" i="1" a="1"/>
  <c r="O207" i="1" s="1"/>
  <c r="O208" i="1" a="1"/>
  <c r="O208" i="1" s="1"/>
  <c r="O209" i="1" a="1"/>
  <c r="O209" i="1" s="1"/>
  <c r="O210" i="1" a="1"/>
  <c r="O210" i="1" s="1"/>
  <c r="O211" i="1" a="1"/>
  <c r="O211" i="1" s="1"/>
  <c r="O212" i="1" a="1"/>
  <c r="O212" i="1" s="1"/>
  <c r="O213" i="1" a="1"/>
  <c r="O213" i="1" s="1"/>
  <c r="O214" i="1" a="1"/>
  <c r="O214" i="1" s="1"/>
  <c r="O215" i="1" a="1"/>
  <c r="O215" i="1" s="1"/>
  <c r="O216" i="1" a="1"/>
  <c r="O216" i="1" s="1"/>
  <c r="O217" i="1" a="1"/>
  <c r="O217" i="1" s="1"/>
  <c r="O218" i="1" a="1"/>
  <c r="O218" i="1" s="1"/>
  <c r="O219" i="1" a="1"/>
  <c r="O219" i="1" s="1"/>
  <c r="O220" i="1" a="1"/>
  <c r="O220" i="1" s="1"/>
  <c r="O221" i="1" a="1"/>
  <c r="O221" i="1" s="1"/>
  <c r="O222" i="1" a="1"/>
  <c r="O222" i="1" s="1"/>
  <c r="O223" i="1" a="1"/>
  <c r="O223" i="1" s="1"/>
  <c r="O224" i="1" a="1"/>
  <c r="O224" i="1" s="1"/>
  <c r="O225" i="1" a="1"/>
  <c r="O225" i="1" s="1"/>
  <c r="O226" i="1" a="1"/>
  <c r="O226" i="1" s="1"/>
  <c r="O227" i="1" a="1"/>
  <c r="O227" i="1" s="1"/>
  <c r="O228" i="1" a="1"/>
  <c r="O228" i="1" s="1"/>
  <c r="O229" i="1" a="1"/>
  <c r="O229" i="1" s="1"/>
  <c r="O230" i="1" a="1"/>
  <c r="O230" i="1" s="1"/>
  <c r="O231" i="1" a="1"/>
  <c r="O231" i="1" s="1"/>
  <c r="O232" i="1" a="1"/>
  <c r="O232" i="1" s="1"/>
  <c r="O233" i="1" a="1"/>
  <c r="O233" i="1" s="1"/>
  <c r="O234" i="1" a="1"/>
  <c r="O234" i="1" s="1"/>
  <c r="O235" i="1" a="1"/>
  <c r="O235" i="1" s="1"/>
  <c r="O236" i="1" a="1"/>
  <c r="O236" i="1" s="1"/>
  <c r="O237" i="1" a="1"/>
  <c r="O237" i="1" s="1"/>
  <c r="O238" i="1" a="1"/>
  <c r="O238" i="1" s="1"/>
  <c r="O239" i="1" a="1"/>
  <c r="O239" i="1" s="1"/>
  <c r="O240" i="1" a="1"/>
  <c r="O240" i="1" s="1"/>
  <c r="O241" i="1" a="1"/>
  <c r="O241" i="1" s="1"/>
  <c r="O242" i="1" a="1"/>
  <c r="O242" i="1" s="1"/>
  <c r="O243" i="1" a="1"/>
  <c r="O243" i="1" s="1"/>
  <c r="O244" i="1" a="1"/>
  <c r="O244" i="1" s="1"/>
  <c r="O245" i="1" a="1"/>
  <c r="O245" i="1" s="1"/>
  <c r="O246" i="1" a="1"/>
  <c r="O246" i="1" s="1"/>
  <c r="O247" i="1" a="1"/>
  <c r="O247" i="1" s="1"/>
  <c r="O248" i="1" a="1"/>
  <c r="O248" i="1" s="1"/>
  <c r="O249" i="1" a="1"/>
  <c r="O249" i="1" s="1"/>
  <c r="O250" i="1" a="1"/>
  <c r="O250" i="1" s="1"/>
  <c r="O251" i="1" a="1"/>
  <c r="O251" i="1" s="1"/>
  <c r="O252" i="1" a="1"/>
  <c r="O252" i="1" s="1"/>
  <c r="O253" i="1" a="1"/>
  <c r="O253" i="1" s="1"/>
  <c r="O254" i="1" a="1"/>
  <c r="O254" i="1" s="1"/>
  <c r="O255" i="1" a="1"/>
  <c r="O255" i="1" s="1"/>
  <c r="O256" i="1" a="1"/>
  <c r="O256" i="1" s="1"/>
  <c r="O257" i="1" a="1"/>
  <c r="O257" i="1" s="1"/>
  <c r="O258" i="1" a="1"/>
  <c r="O258" i="1" s="1"/>
  <c r="O259" i="1" a="1"/>
  <c r="O259" i="1" s="1"/>
  <c r="O260" i="1" a="1"/>
  <c r="O260" i="1" s="1"/>
  <c r="O261" i="1" a="1"/>
  <c r="O261" i="1" s="1"/>
  <c r="O262" i="1" a="1"/>
  <c r="O262" i="1" s="1"/>
  <c r="O263" i="1" a="1"/>
  <c r="O263" i="1" s="1"/>
  <c r="O264" i="1" a="1"/>
  <c r="O264" i="1" s="1"/>
  <c r="O265" i="1" a="1"/>
  <c r="O265" i="1" s="1"/>
  <c r="O266" i="1" a="1"/>
  <c r="O266" i="1" s="1"/>
  <c r="O267" i="1" a="1"/>
  <c r="O267" i="1" s="1"/>
  <c r="O268" i="1" a="1"/>
  <c r="O268" i="1" s="1"/>
  <c r="O269" i="1" a="1"/>
  <c r="O269" i="1" s="1"/>
  <c r="O270" i="1" a="1"/>
  <c r="O270" i="1" s="1"/>
  <c r="O271" i="1" a="1"/>
  <c r="O271" i="1" s="1"/>
  <c r="O272" i="1" a="1"/>
  <c r="O272" i="1" s="1"/>
  <c r="O273" i="1" a="1"/>
  <c r="O273" i="1" s="1"/>
  <c r="O274" i="1" a="1"/>
  <c r="O274" i="1" s="1"/>
  <c r="O275" i="1" a="1"/>
  <c r="O275" i="1" s="1"/>
  <c r="O276" i="1" a="1"/>
  <c r="O276" i="1" s="1"/>
  <c r="O277" i="1" a="1"/>
  <c r="O277" i="1" s="1"/>
  <c r="O278" i="1" a="1"/>
  <c r="O278" i="1" s="1"/>
  <c r="O279" i="1" a="1"/>
  <c r="O279" i="1" s="1"/>
  <c r="O280" i="1" a="1"/>
  <c r="O280" i="1" s="1"/>
  <c r="O281" i="1" a="1"/>
  <c r="O281" i="1" s="1"/>
  <c r="O282" i="1" a="1"/>
  <c r="O282" i="1" s="1"/>
  <c r="O283" i="1" a="1"/>
  <c r="O283" i="1" s="1"/>
  <c r="O284" i="1" a="1"/>
  <c r="O284" i="1" s="1"/>
  <c r="O285" i="1" a="1"/>
  <c r="O285" i="1" s="1"/>
  <c r="O286" i="1" a="1"/>
  <c r="O286" i="1" s="1"/>
  <c r="O287" i="1" a="1"/>
  <c r="O287" i="1" s="1"/>
  <c r="O288" i="1" a="1"/>
  <c r="O288" i="1" s="1"/>
  <c r="O289" i="1" a="1"/>
  <c r="O289" i="1" s="1"/>
  <c r="O290" i="1" a="1"/>
  <c r="O290" i="1" s="1"/>
  <c r="O291" i="1" a="1"/>
  <c r="O291" i="1" s="1"/>
  <c r="O292" i="1" a="1"/>
  <c r="O292" i="1" s="1"/>
  <c r="O293" i="1" a="1"/>
  <c r="O293" i="1" s="1"/>
  <c r="O294" i="1" a="1"/>
  <c r="O294" i="1" s="1"/>
  <c r="O295" i="1" a="1"/>
  <c r="O295" i="1" s="1"/>
  <c r="O296" i="1" a="1"/>
  <c r="O296" i="1" s="1"/>
  <c r="O297" i="1" a="1"/>
  <c r="O297" i="1" s="1"/>
  <c r="O298" i="1" a="1"/>
  <c r="O298" i="1" s="1"/>
  <c r="O299" i="1" a="1"/>
  <c r="O299" i="1" s="1"/>
  <c r="O300" i="1" a="1"/>
  <c r="O300" i="1" s="1"/>
  <c r="O301" i="1" a="1"/>
  <c r="O301" i="1" s="1"/>
  <c r="O302" i="1" a="1"/>
  <c r="O302" i="1" s="1"/>
  <c r="O303" i="1" a="1"/>
  <c r="O303" i="1" s="1"/>
  <c r="O304" i="1" a="1"/>
  <c r="O304" i="1" s="1"/>
  <c r="O305" i="1" a="1"/>
  <c r="O305" i="1" s="1"/>
  <c r="O306" i="1" a="1"/>
  <c r="O306" i="1" s="1"/>
  <c r="O307" i="1" a="1"/>
  <c r="O307" i="1" s="1"/>
  <c r="O308" i="1" a="1"/>
  <c r="O308" i="1" s="1"/>
  <c r="O309" i="1" a="1"/>
  <c r="O309" i="1" s="1"/>
  <c r="O310" i="1" a="1"/>
  <c r="O310" i="1" s="1"/>
  <c r="O311" i="1" a="1"/>
  <c r="O311" i="1" s="1"/>
  <c r="O312" i="1" a="1"/>
  <c r="O312" i="1" s="1"/>
  <c r="O313" i="1" a="1"/>
  <c r="O313" i="1" s="1"/>
  <c r="O314" i="1" a="1"/>
  <c r="O314" i="1" s="1"/>
  <c r="O315" i="1" a="1"/>
  <c r="O315" i="1" s="1"/>
  <c r="O316" i="1" a="1"/>
  <c r="O316" i="1" s="1"/>
  <c r="O317" i="1" a="1"/>
  <c r="O317" i="1" s="1"/>
  <c r="O318" i="1" a="1"/>
  <c r="O318" i="1" s="1"/>
  <c r="O319" i="1" a="1"/>
  <c r="O319" i="1" s="1"/>
  <c r="O320" i="1" a="1"/>
  <c r="O320" i="1" s="1"/>
  <c r="O321" i="1" a="1"/>
  <c r="O321" i="1" s="1"/>
  <c r="O322" i="1" a="1"/>
  <c r="O322" i="1" s="1"/>
  <c r="O323" i="1" a="1"/>
  <c r="O323" i="1" s="1"/>
  <c r="O324" i="1" a="1"/>
  <c r="O324" i="1" s="1"/>
  <c r="O325" i="1" a="1"/>
  <c r="O325" i="1" s="1"/>
  <c r="O326" i="1" a="1"/>
  <c r="O326" i="1" s="1"/>
  <c r="O327" i="1" a="1"/>
  <c r="O327" i="1" s="1"/>
  <c r="O328" i="1" a="1"/>
  <c r="O328" i="1" s="1"/>
  <c r="O329" i="1" a="1"/>
  <c r="O329" i="1" s="1"/>
  <c r="O330" i="1" a="1"/>
  <c r="O330" i="1" s="1"/>
  <c r="O331" i="1" a="1"/>
  <c r="O331" i="1" s="1"/>
  <c r="O332" i="1" a="1"/>
  <c r="O332" i="1" s="1"/>
  <c r="O333" i="1" a="1"/>
  <c r="O333" i="1" s="1"/>
  <c r="O334" i="1" a="1"/>
  <c r="O334" i="1" s="1"/>
  <c r="O335" i="1" a="1"/>
  <c r="O335" i="1" s="1"/>
  <c r="O336" i="1" a="1"/>
  <c r="O336" i="1" s="1"/>
  <c r="O337" i="1" a="1"/>
  <c r="O337" i="1" s="1"/>
  <c r="O338" i="1" a="1"/>
  <c r="O338" i="1" s="1"/>
  <c r="O339" i="1" a="1"/>
  <c r="O339" i="1" s="1"/>
  <c r="O340" i="1" a="1"/>
  <c r="O340" i="1" s="1"/>
  <c r="O341" i="1" a="1"/>
  <c r="O341" i="1" s="1"/>
  <c r="O342" i="1" a="1"/>
  <c r="O342" i="1" s="1"/>
  <c r="O343" i="1" a="1"/>
  <c r="O343" i="1" s="1"/>
  <c r="O344" i="1" a="1"/>
  <c r="O344" i="1" s="1"/>
  <c r="O345" i="1" a="1"/>
  <c r="O345" i="1" s="1"/>
  <c r="O346" i="1" a="1"/>
  <c r="O346" i="1" s="1"/>
  <c r="O347" i="1" a="1"/>
  <c r="O347" i="1" s="1"/>
  <c r="O348" i="1" a="1"/>
  <c r="O348" i="1" s="1"/>
  <c r="O349" i="1" a="1"/>
  <c r="O349" i="1" s="1"/>
  <c r="O350" i="1" a="1"/>
  <c r="O350" i="1" s="1"/>
  <c r="O351" i="1" a="1"/>
  <c r="O351" i="1" s="1"/>
  <c r="O352" i="1" a="1"/>
  <c r="O352" i="1" s="1"/>
  <c r="O353" i="1" a="1"/>
  <c r="O353" i="1" s="1"/>
  <c r="O354" i="1" a="1"/>
  <c r="O354" i="1" s="1"/>
  <c r="O355" i="1" a="1"/>
  <c r="O355" i="1" s="1"/>
  <c r="O356" i="1" a="1"/>
  <c r="O356" i="1" s="1"/>
  <c r="O357" i="1" a="1"/>
  <c r="O357" i="1" s="1"/>
  <c r="O358" i="1" a="1"/>
  <c r="O358" i="1" s="1"/>
  <c r="O359" i="1" a="1"/>
  <c r="O359" i="1" s="1"/>
  <c r="O360" i="1" a="1"/>
  <c r="O360" i="1" s="1"/>
  <c r="O361" i="1" a="1"/>
  <c r="O361" i="1" s="1"/>
  <c r="O362" i="1" a="1"/>
  <c r="O362" i="1" s="1"/>
  <c r="O363" i="1" a="1"/>
  <c r="O363" i="1" s="1"/>
  <c r="O364" i="1" a="1"/>
  <c r="O364" i="1" s="1"/>
  <c r="O365" i="1" a="1"/>
  <c r="O365" i="1" s="1"/>
  <c r="O366" i="1" a="1"/>
  <c r="O366" i="1" s="1"/>
  <c r="O367" i="1" a="1"/>
  <c r="O367" i="1" s="1"/>
  <c r="O368" i="1" a="1"/>
  <c r="O368" i="1" s="1"/>
  <c r="O369" i="1" a="1"/>
  <c r="O369" i="1" s="1"/>
  <c r="O370" i="1" a="1"/>
  <c r="O370" i="1" s="1"/>
  <c r="O371" i="1" a="1"/>
  <c r="O371" i="1" s="1"/>
  <c r="O372" i="1" a="1"/>
  <c r="O372" i="1" s="1"/>
  <c r="O373" i="1" a="1"/>
  <c r="O373" i="1" s="1"/>
  <c r="O374" i="1" a="1"/>
  <c r="O374" i="1" s="1"/>
  <c r="O375" i="1" a="1"/>
  <c r="O375" i="1" s="1"/>
  <c r="O376" i="1" a="1"/>
  <c r="O376" i="1" s="1"/>
  <c r="O377" i="1" a="1"/>
  <c r="O377" i="1" s="1"/>
  <c r="O378" i="1" a="1"/>
  <c r="O378" i="1" s="1"/>
  <c r="O379" i="1" a="1"/>
  <c r="O379" i="1" s="1"/>
  <c r="O380" i="1" a="1"/>
  <c r="O380" i="1" s="1"/>
  <c r="O381" i="1" a="1"/>
  <c r="O381" i="1" s="1"/>
  <c r="O382" i="1" a="1"/>
  <c r="O382" i="1" s="1"/>
  <c r="O383" i="1" a="1"/>
  <c r="O383" i="1" s="1"/>
  <c r="O384" i="1" a="1"/>
  <c r="O384" i="1" s="1"/>
  <c r="O385" i="1" a="1"/>
  <c r="O385" i="1" s="1"/>
  <c r="O386" i="1" a="1"/>
  <c r="O386" i="1" s="1"/>
  <c r="O387" i="1" a="1"/>
  <c r="O387" i="1" s="1"/>
  <c r="O388" i="1" a="1"/>
  <c r="O388" i="1" s="1"/>
  <c r="O389" i="1" a="1"/>
  <c r="O389" i="1" s="1"/>
  <c r="O390" i="1" a="1"/>
  <c r="O390" i="1" s="1"/>
  <c r="O391" i="1" a="1"/>
  <c r="O391" i="1" s="1"/>
  <c r="O392" i="1" a="1"/>
  <c r="O392" i="1" s="1"/>
  <c r="O393" i="1" a="1"/>
  <c r="O393" i="1" s="1"/>
  <c r="O394" i="1" a="1"/>
  <c r="O394" i="1" s="1"/>
  <c r="O395" i="1" a="1"/>
  <c r="O395" i="1" s="1"/>
  <c r="O396" i="1" a="1"/>
  <c r="O396" i="1" s="1"/>
  <c r="O397" i="1" a="1"/>
  <c r="O397" i="1" s="1"/>
  <c r="O398" i="1" a="1"/>
  <c r="O398" i="1" s="1"/>
  <c r="O399" i="1" a="1"/>
  <c r="O399" i="1" s="1"/>
  <c r="O400" i="1" a="1"/>
  <c r="O400" i="1" s="1"/>
  <c r="O401" i="1" a="1"/>
  <c r="O401" i="1" s="1"/>
  <c r="O402" i="1" a="1"/>
  <c r="O402" i="1" s="1"/>
  <c r="O403" i="1" a="1"/>
  <c r="O403" i="1" s="1"/>
  <c r="O404" i="1" a="1"/>
  <c r="O404" i="1" s="1"/>
  <c r="O405" i="1" a="1"/>
  <c r="O405" i="1" s="1"/>
  <c r="O406" i="1" a="1"/>
  <c r="O406" i="1" s="1"/>
  <c r="O407" i="1" a="1"/>
  <c r="O407" i="1" s="1"/>
  <c r="O408" i="1" a="1"/>
  <c r="O408" i="1" s="1"/>
  <c r="O409" i="1" a="1"/>
  <c r="O409" i="1" s="1"/>
  <c r="O410" i="1" a="1"/>
  <c r="O410" i="1" s="1"/>
  <c r="O411" i="1" a="1"/>
  <c r="O411" i="1" s="1"/>
  <c r="O412" i="1" a="1"/>
  <c r="O412" i="1" s="1"/>
  <c r="O413" i="1" a="1"/>
  <c r="O413" i="1" s="1"/>
  <c r="O414" i="1" a="1"/>
  <c r="O414" i="1" s="1"/>
  <c r="O415" i="1" a="1"/>
  <c r="O415" i="1" s="1"/>
  <c r="O416" i="1" a="1"/>
  <c r="O416" i="1" s="1"/>
  <c r="O417" i="1" a="1"/>
  <c r="O417" i="1" s="1"/>
  <c r="O418" i="1" a="1"/>
  <c r="O418" i="1" s="1"/>
  <c r="O419" i="1" a="1"/>
  <c r="O419" i="1" s="1"/>
  <c r="O420" i="1" a="1"/>
  <c r="O420" i="1" s="1"/>
  <c r="O421" i="1" a="1"/>
  <c r="O421" i="1" s="1"/>
  <c r="O422" i="1" a="1"/>
  <c r="O422" i="1" s="1"/>
  <c r="O423" i="1" a="1"/>
  <c r="O423" i="1" s="1"/>
  <c r="O424" i="1" a="1"/>
  <c r="O424" i="1" s="1"/>
  <c r="O425" i="1" a="1"/>
  <c r="O425" i="1" s="1"/>
  <c r="O426" i="1" a="1"/>
  <c r="O426" i="1" s="1"/>
  <c r="O427" i="1" a="1"/>
  <c r="O427" i="1" s="1"/>
  <c r="O428" i="1" a="1"/>
  <c r="O428" i="1" s="1"/>
  <c r="O429" i="1" a="1"/>
  <c r="O429" i="1" s="1"/>
  <c r="O430" i="1" a="1"/>
  <c r="O430" i="1" s="1"/>
  <c r="O431" i="1" a="1"/>
  <c r="O431" i="1" s="1"/>
  <c r="O432" i="1" a="1"/>
  <c r="O432" i="1" s="1"/>
  <c r="O433" i="1" a="1"/>
  <c r="O433" i="1" s="1"/>
  <c r="O434" i="1" a="1"/>
  <c r="O434" i="1" s="1"/>
  <c r="O435" i="1" a="1"/>
  <c r="O435" i="1" s="1"/>
  <c r="O436" i="1" a="1"/>
  <c r="O436" i="1" s="1"/>
  <c r="O437" i="1" a="1"/>
  <c r="O437" i="1" s="1"/>
  <c r="O438" i="1" a="1"/>
  <c r="O438" i="1" s="1"/>
  <c r="O439" i="1" a="1"/>
  <c r="O439" i="1" s="1"/>
  <c r="O440" i="1" a="1"/>
  <c r="O440" i="1" s="1"/>
  <c r="O441" i="1" a="1"/>
  <c r="O441" i="1" s="1"/>
  <c r="O442" i="1" a="1"/>
  <c r="O442" i="1" s="1"/>
  <c r="O443" i="1" a="1"/>
  <c r="O443" i="1" s="1"/>
  <c r="O444" i="1" a="1"/>
  <c r="O444" i="1" s="1"/>
  <c r="O445" i="1" a="1"/>
  <c r="O445" i="1" s="1"/>
  <c r="O446" i="1" a="1"/>
  <c r="O446" i="1" s="1"/>
  <c r="O447" i="1" a="1"/>
  <c r="O447" i="1" s="1"/>
  <c r="O448" i="1" a="1"/>
  <c r="O448" i="1" s="1"/>
  <c r="O449" i="1" a="1"/>
  <c r="O449" i="1" s="1"/>
  <c r="O450" i="1" a="1"/>
  <c r="O450" i="1" s="1"/>
  <c r="O451" i="1" a="1"/>
  <c r="O451" i="1" s="1"/>
  <c r="O452" i="1" a="1"/>
  <c r="O452" i="1" s="1"/>
  <c r="O453" i="1" a="1"/>
  <c r="O453" i="1" s="1"/>
  <c r="O454" i="1" a="1"/>
  <c r="O454" i="1" s="1"/>
  <c r="O455" i="1" a="1"/>
  <c r="O455" i="1" s="1"/>
  <c r="O456" i="1" a="1"/>
  <c r="O456" i="1" s="1"/>
  <c r="O457" i="1" a="1"/>
  <c r="O457" i="1" s="1"/>
  <c r="O458" i="1" a="1"/>
  <c r="O458" i="1" s="1"/>
  <c r="O459" i="1" a="1"/>
  <c r="O459" i="1" s="1"/>
  <c r="O460" i="1" a="1"/>
  <c r="O460" i="1" s="1"/>
  <c r="O461" i="1" a="1"/>
  <c r="O461" i="1" s="1"/>
  <c r="O462" i="1" a="1"/>
  <c r="O462" i="1" s="1"/>
  <c r="O463" i="1" a="1"/>
  <c r="O463" i="1" s="1"/>
  <c r="O464" i="1" a="1"/>
  <c r="O464" i="1" s="1"/>
  <c r="O465" i="1" a="1"/>
  <c r="O465" i="1" s="1"/>
  <c r="O466" i="1" a="1"/>
  <c r="O466" i="1" s="1"/>
  <c r="O467" i="1" a="1"/>
  <c r="O467" i="1" s="1"/>
  <c r="O468" i="1" a="1"/>
  <c r="O468" i="1" s="1"/>
  <c r="O469" i="1" a="1"/>
  <c r="O469" i="1" s="1"/>
  <c r="O470" i="1" a="1"/>
  <c r="O470" i="1" s="1"/>
  <c r="O471" i="1" a="1"/>
  <c r="O471" i="1" s="1"/>
  <c r="O472" i="1" a="1"/>
  <c r="O472" i="1" s="1"/>
  <c r="O473" i="1" a="1"/>
  <c r="O473" i="1" s="1"/>
  <c r="O474" i="1" a="1"/>
  <c r="O474" i="1" s="1"/>
  <c r="O475" i="1" a="1"/>
  <c r="O475" i="1" s="1"/>
  <c r="O476" i="1" a="1"/>
  <c r="O476" i="1" s="1"/>
  <c r="O477" i="1" a="1"/>
  <c r="O477" i="1" s="1"/>
  <c r="O478" i="1" a="1"/>
  <c r="O478" i="1" s="1"/>
  <c r="O479" i="1" a="1"/>
  <c r="O479" i="1" s="1"/>
  <c r="O480" i="1" a="1"/>
  <c r="O480" i="1" s="1"/>
  <c r="O481" i="1" a="1"/>
  <c r="O481" i="1" s="1"/>
  <c r="O482" i="1" a="1"/>
  <c r="O482" i="1" s="1"/>
  <c r="O483" i="1" a="1"/>
  <c r="O483" i="1" s="1"/>
  <c r="O484" i="1" a="1"/>
  <c r="O484" i="1" s="1"/>
  <c r="O485" i="1" a="1"/>
  <c r="O485" i="1" s="1"/>
  <c r="O486" i="1" a="1"/>
  <c r="O486" i="1" s="1"/>
  <c r="O487" i="1" a="1"/>
  <c r="O487" i="1" s="1"/>
  <c r="O488" i="1" a="1"/>
  <c r="O488" i="1" s="1"/>
  <c r="O489" i="1" a="1"/>
  <c r="O489" i="1" s="1"/>
  <c r="O490" i="1" a="1"/>
  <c r="O490" i="1" s="1"/>
  <c r="O491" i="1" a="1"/>
  <c r="O491" i="1" s="1"/>
  <c r="O492" i="1" a="1"/>
  <c r="O492" i="1" s="1"/>
  <c r="O493" i="1" a="1"/>
  <c r="O493" i="1" s="1"/>
  <c r="O494" i="1" a="1"/>
  <c r="O494" i="1" s="1"/>
  <c r="O495" i="1" a="1"/>
  <c r="O495" i="1" s="1"/>
  <c r="O496" i="1" a="1"/>
  <c r="O496" i="1" s="1"/>
  <c r="O497" i="1" a="1"/>
  <c r="O497" i="1" s="1"/>
  <c r="O498" i="1" a="1"/>
  <c r="O498" i="1" s="1"/>
  <c r="O499" i="1" a="1"/>
  <c r="O499" i="1" s="1"/>
  <c r="O500" i="1" a="1"/>
  <c r="O500" i="1" s="1"/>
  <c r="O501" i="1" a="1"/>
  <c r="O501" i="1" s="1"/>
  <c r="O502" i="1" a="1"/>
  <c r="O502" i="1" s="1"/>
  <c r="O503" i="1" a="1"/>
  <c r="O503" i="1" s="1"/>
  <c r="O504" i="1" a="1"/>
  <c r="O504" i="1" s="1"/>
  <c r="O505" i="1" a="1"/>
  <c r="O505" i="1" s="1"/>
  <c r="O506" i="1" a="1"/>
  <c r="O506" i="1" s="1"/>
  <c r="O507" i="1" a="1"/>
  <c r="O507" i="1" s="1"/>
  <c r="O508" i="1" a="1"/>
  <c r="O508" i="1" s="1"/>
  <c r="O509" i="1" a="1"/>
  <c r="O509" i="1" s="1"/>
  <c r="O510" i="1" a="1"/>
  <c r="O510" i="1" s="1"/>
  <c r="O511" i="1" a="1"/>
  <c r="O511" i="1" s="1"/>
  <c r="O512" i="1" a="1"/>
  <c r="O512" i="1" s="1"/>
  <c r="O513" i="1" a="1"/>
  <c r="O513" i="1" s="1"/>
  <c r="O514" i="1" a="1"/>
  <c r="O514" i="1" s="1"/>
  <c r="O515" i="1" a="1"/>
  <c r="O515" i="1" s="1"/>
  <c r="O516" i="1" a="1"/>
  <c r="O516" i="1" s="1"/>
  <c r="O517" i="1" a="1"/>
  <c r="O517" i="1" s="1"/>
  <c r="O518" i="1" a="1"/>
  <c r="O518" i="1" s="1"/>
  <c r="O519" i="1" a="1"/>
  <c r="O519" i="1" s="1"/>
  <c r="O520" i="1" a="1"/>
  <c r="O520" i="1" s="1"/>
  <c r="O521" i="1" a="1"/>
  <c r="O521" i="1" s="1"/>
  <c r="O522" i="1" a="1"/>
  <c r="O522" i="1" s="1"/>
  <c r="O523" i="1" a="1"/>
  <c r="O523" i="1" s="1"/>
  <c r="O524" i="1" a="1"/>
  <c r="O524" i="1" s="1"/>
  <c r="O525" i="1" a="1"/>
  <c r="O525" i="1" s="1"/>
  <c r="O526" i="1" a="1"/>
  <c r="O526" i="1" s="1"/>
  <c r="O527" i="1" a="1"/>
  <c r="O527" i="1" s="1"/>
  <c r="O528" i="1" a="1"/>
  <c r="O528" i="1" s="1"/>
  <c r="O529" i="1" a="1"/>
  <c r="O529" i="1" s="1"/>
  <c r="O530" i="1" a="1"/>
  <c r="O530" i="1" s="1"/>
  <c r="O531" i="1" a="1"/>
  <c r="O531" i="1" s="1"/>
  <c r="O532" i="1" a="1"/>
  <c r="O532" i="1" s="1"/>
  <c r="O533" i="1" a="1"/>
  <c r="O533" i="1" s="1"/>
  <c r="O534" i="1" a="1"/>
  <c r="O534" i="1" s="1"/>
  <c r="O535" i="1" a="1"/>
  <c r="O535" i="1" s="1"/>
  <c r="O536" i="1" a="1"/>
  <c r="O536" i="1" s="1"/>
  <c r="O537" i="1" a="1"/>
  <c r="O537" i="1" s="1"/>
  <c r="O538" i="1" a="1"/>
  <c r="O538" i="1" s="1"/>
  <c r="O539" i="1" a="1"/>
  <c r="O539" i="1" s="1"/>
  <c r="O540" i="1" a="1"/>
  <c r="O540" i="1" s="1"/>
  <c r="O541" i="1" a="1"/>
  <c r="O541" i="1" s="1"/>
  <c r="O542" i="1" a="1"/>
  <c r="O542" i="1" s="1"/>
  <c r="O543" i="1" a="1"/>
  <c r="O543" i="1" s="1"/>
  <c r="O544" i="1" a="1"/>
  <c r="O544" i="1" s="1"/>
  <c r="O545" i="1" a="1"/>
  <c r="O545" i="1" s="1"/>
  <c r="O546" i="1" a="1"/>
  <c r="O546" i="1" s="1"/>
  <c r="O547" i="1" a="1"/>
  <c r="O547" i="1" s="1"/>
  <c r="O548" i="1" a="1"/>
  <c r="O548" i="1" s="1"/>
  <c r="O549" i="1" a="1"/>
  <c r="O549" i="1" s="1"/>
  <c r="O550" i="1" a="1"/>
  <c r="O550" i="1" s="1"/>
  <c r="O551" i="1" a="1"/>
  <c r="O551" i="1" s="1"/>
  <c r="O552" i="1" a="1"/>
  <c r="O552" i="1" s="1"/>
  <c r="O553" i="1" a="1"/>
  <c r="O553" i="1" s="1"/>
  <c r="O554" i="1" a="1"/>
  <c r="O554" i="1" s="1"/>
  <c r="O555" i="1" a="1"/>
  <c r="O555" i="1" s="1"/>
  <c r="O556" i="1" a="1"/>
  <c r="O556" i="1" s="1"/>
  <c r="O557" i="1" a="1"/>
  <c r="O557" i="1" s="1"/>
  <c r="O558" i="1" a="1"/>
  <c r="O558" i="1" s="1"/>
  <c r="O559" i="1" a="1"/>
  <c r="O559" i="1" s="1"/>
  <c r="O560" i="1" a="1"/>
  <c r="O560" i="1" s="1"/>
  <c r="O561" i="1" a="1"/>
  <c r="O561" i="1" s="1"/>
  <c r="O562" i="1" a="1"/>
  <c r="O562" i="1" s="1"/>
  <c r="O563" i="1" a="1"/>
  <c r="O563" i="1" s="1"/>
  <c r="O564" i="1" a="1"/>
  <c r="O564" i="1" s="1"/>
  <c r="O565" i="1" a="1"/>
  <c r="O565" i="1" s="1"/>
  <c r="O566" i="1" a="1"/>
  <c r="O566" i="1" s="1"/>
  <c r="O567" i="1" a="1"/>
  <c r="O567" i="1" s="1"/>
  <c r="O568" i="1" a="1"/>
  <c r="O568" i="1" s="1"/>
  <c r="O569" i="1" a="1"/>
  <c r="O569" i="1" s="1"/>
  <c r="O570" i="1" a="1"/>
  <c r="O570" i="1" s="1"/>
  <c r="O571" i="1" a="1"/>
  <c r="O571" i="1" s="1"/>
  <c r="O572" i="1" a="1"/>
  <c r="O572" i="1" s="1"/>
  <c r="O573" i="1" a="1"/>
  <c r="O573" i="1" s="1"/>
  <c r="O574" i="1" a="1"/>
  <c r="O574" i="1" s="1"/>
  <c r="O575" i="1" a="1"/>
  <c r="O575" i="1" s="1"/>
  <c r="O576" i="1" a="1"/>
  <c r="O576" i="1" s="1"/>
  <c r="O577" i="1" a="1"/>
  <c r="O577" i="1" s="1"/>
  <c r="O578" i="1" a="1"/>
  <c r="O578" i="1" s="1"/>
  <c r="O579" i="1" a="1"/>
  <c r="O579" i="1" s="1"/>
  <c r="O580" i="1" a="1"/>
  <c r="O580" i="1" s="1"/>
  <c r="O581" i="1" a="1"/>
  <c r="O581" i="1" s="1"/>
  <c r="O582" i="1" a="1"/>
  <c r="O582" i="1" s="1"/>
  <c r="O583" i="1" a="1"/>
  <c r="O583" i="1" s="1"/>
  <c r="O584" i="1" a="1"/>
  <c r="O584" i="1" s="1"/>
  <c r="O585" i="1" a="1"/>
  <c r="O585" i="1" s="1"/>
  <c r="O586" i="1" a="1"/>
  <c r="O586" i="1" s="1"/>
  <c r="O587" i="1" a="1"/>
  <c r="O587" i="1" s="1"/>
  <c r="O588" i="1" a="1"/>
  <c r="O588" i="1" s="1"/>
  <c r="O589" i="1" a="1"/>
  <c r="O589" i="1" s="1"/>
  <c r="O590" i="1" a="1"/>
  <c r="O590" i="1" s="1"/>
  <c r="O591" i="1" a="1"/>
  <c r="O591" i="1" s="1"/>
  <c r="O592" i="1" a="1"/>
  <c r="O592" i="1" s="1"/>
  <c r="O593" i="1" a="1"/>
  <c r="O593" i="1" s="1"/>
  <c r="O594" i="1" a="1"/>
  <c r="O594" i="1" s="1"/>
  <c r="O595" i="1" a="1"/>
  <c r="O595" i="1" s="1"/>
  <c r="O596" i="1" a="1"/>
  <c r="O596" i="1" s="1"/>
  <c r="O597" i="1" a="1"/>
  <c r="O597" i="1" s="1"/>
  <c r="O598" i="1" a="1"/>
  <c r="O598" i="1" s="1"/>
  <c r="O599" i="1" a="1"/>
  <c r="O599" i="1" s="1"/>
  <c r="O600" i="1" a="1"/>
  <c r="O600" i="1" s="1"/>
  <c r="O601" i="1" a="1"/>
  <c r="O601" i="1" s="1"/>
  <c r="O602" i="1" a="1"/>
  <c r="O602" i="1" s="1"/>
  <c r="O603" i="1" a="1"/>
  <c r="O603" i="1" s="1"/>
  <c r="O604" i="1" a="1"/>
  <c r="O604" i="1" s="1"/>
  <c r="O605" i="1" a="1"/>
  <c r="O605" i="1" s="1"/>
  <c r="O606" i="1" a="1"/>
  <c r="O606" i="1" s="1"/>
  <c r="O607" i="1" a="1"/>
  <c r="O607" i="1" s="1"/>
  <c r="O608" i="1" a="1"/>
  <c r="O608" i="1" s="1"/>
  <c r="O609" i="1" a="1"/>
  <c r="O609" i="1" s="1"/>
  <c r="O610" i="1" a="1"/>
  <c r="O610" i="1" s="1"/>
  <c r="O611" i="1" a="1"/>
  <c r="O611" i="1" s="1"/>
  <c r="O612" i="1" a="1"/>
  <c r="O612" i="1" s="1"/>
  <c r="O613" i="1" a="1"/>
  <c r="O613" i="1" s="1"/>
  <c r="O614" i="1" a="1"/>
  <c r="O614" i="1" s="1"/>
  <c r="O615" i="1" a="1"/>
  <c r="O615" i="1" s="1"/>
  <c r="O616" i="1" a="1"/>
  <c r="O616" i="1" s="1"/>
  <c r="O617" i="1" a="1"/>
  <c r="O617" i="1" s="1"/>
  <c r="O618" i="1" a="1"/>
  <c r="O618" i="1" s="1"/>
  <c r="O619" i="1" a="1"/>
  <c r="O619" i="1" s="1"/>
  <c r="O620" i="1" a="1"/>
  <c r="O620" i="1" s="1"/>
  <c r="O621" i="1" a="1"/>
  <c r="O621" i="1" s="1"/>
  <c r="O622" i="1" a="1"/>
  <c r="O622" i="1" s="1"/>
  <c r="O623" i="1" a="1"/>
  <c r="O623" i="1" s="1"/>
  <c r="O624" i="1" a="1"/>
  <c r="O624" i="1" s="1"/>
  <c r="O625" i="1" a="1"/>
  <c r="O625" i="1" s="1"/>
  <c r="O626" i="1" a="1"/>
  <c r="O626" i="1" s="1"/>
  <c r="O627" i="1" a="1"/>
  <c r="O627" i="1" s="1"/>
  <c r="O628" i="1" a="1"/>
  <c r="O628" i="1" s="1"/>
  <c r="O629" i="1" a="1"/>
  <c r="O629" i="1" s="1"/>
  <c r="O630" i="1" a="1"/>
  <c r="O630" i="1" s="1"/>
  <c r="O631" i="1" a="1"/>
  <c r="O631" i="1" s="1"/>
  <c r="O632" i="1" a="1"/>
  <c r="O632" i="1" s="1"/>
  <c r="O633" i="1" a="1"/>
  <c r="O633" i="1" s="1"/>
  <c r="O634" i="1" a="1"/>
  <c r="O634" i="1" s="1"/>
  <c r="O635" i="1" a="1"/>
  <c r="O635" i="1" s="1"/>
  <c r="O636" i="1" a="1"/>
  <c r="O636" i="1" s="1"/>
  <c r="O637" i="1" a="1"/>
  <c r="O637" i="1" s="1"/>
  <c r="O638" i="1" a="1"/>
  <c r="O638" i="1" s="1"/>
  <c r="O639" i="1" a="1"/>
  <c r="O639" i="1" s="1"/>
  <c r="O640" i="1" a="1"/>
  <c r="O640" i="1" s="1"/>
  <c r="O641" i="1" a="1"/>
  <c r="O641" i="1" s="1"/>
  <c r="O642" i="1" a="1"/>
  <c r="O642" i="1" s="1"/>
  <c r="O643" i="1" a="1"/>
  <c r="O643" i="1" s="1"/>
  <c r="O644" i="1" a="1"/>
  <c r="O644" i="1" s="1"/>
  <c r="O645" i="1" a="1"/>
  <c r="O645" i="1" s="1"/>
  <c r="O646" i="1" a="1"/>
  <c r="O646" i="1" s="1"/>
  <c r="O647" i="1" a="1"/>
  <c r="O647" i="1" s="1"/>
  <c r="O648" i="1" a="1"/>
  <c r="O648" i="1" s="1"/>
  <c r="O649" i="1" a="1"/>
  <c r="O649" i="1" s="1"/>
  <c r="O650" i="1" a="1"/>
  <c r="O650" i="1" s="1"/>
  <c r="O651" i="1" a="1"/>
  <c r="O651" i="1" s="1"/>
  <c r="O652" i="1" a="1"/>
  <c r="O652" i="1" s="1"/>
  <c r="O653" i="1" a="1"/>
  <c r="O653" i="1" s="1"/>
  <c r="O654" i="1" a="1"/>
  <c r="O654" i="1" s="1"/>
  <c r="O655" i="1" a="1"/>
  <c r="O655" i="1" s="1"/>
  <c r="O656" i="1" a="1"/>
  <c r="O656" i="1" s="1"/>
  <c r="O657" i="1" a="1"/>
  <c r="O657" i="1" s="1"/>
  <c r="O658" i="1" a="1"/>
  <c r="O658" i="1" s="1"/>
  <c r="O659" i="1" a="1"/>
  <c r="O659" i="1" s="1"/>
  <c r="O660" i="1" a="1"/>
  <c r="O660" i="1" s="1"/>
  <c r="O661" i="1" a="1"/>
  <c r="O661" i="1" s="1"/>
  <c r="O662" i="1" a="1"/>
  <c r="O662" i="1" s="1"/>
  <c r="O663" i="1" a="1"/>
  <c r="O663" i="1" s="1"/>
  <c r="O664" i="1" a="1"/>
  <c r="O664" i="1" s="1"/>
  <c r="O665" i="1" a="1"/>
  <c r="O665" i="1" s="1"/>
  <c r="O666" i="1" a="1"/>
  <c r="O666" i="1" s="1"/>
  <c r="O667" i="1" a="1"/>
  <c r="O667" i="1" s="1"/>
  <c r="O668" i="1" a="1"/>
  <c r="O668" i="1" s="1"/>
  <c r="O669" i="1" a="1"/>
  <c r="O669" i="1" s="1"/>
  <c r="O670" i="1" a="1"/>
  <c r="O670" i="1" s="1"/>
  <c r="O671" i="1" a="1"/>
  <c r="O671" i="1" s="1"/>
  <c r="O672" i="1" a="1"/>
  <c r="O672" i="1" s="1"/>
  <c r="O673" i="1" a="1"/>
  <c r="O673" i="1" s="1"/>
  <c r="O674" i="1" a="1"/>
  <c r="O674" i="1" s="1"/>
  <c r="O675" i="1" a="1"/>
  <c r="O675" i="1" s="1"/>
  <c r="O676" i="1" a="1"/>
  <c r="O676" i="1" s="1"/>
  <c r="O677" i="1" a="1"/>
  <c r="O677" i="1" s="1"/>
  <c r="O678" i="1" a="1"/>
  <c r="O678" i="1" s="1"/>
  <c r="O679" i="1" a="1"/>
  <c r="O679" i="1" s="1"/>
  <c r="O680" i="1" a="1"/>
  <c r="O680" i="1" s="1"/>
  <c r="O681" i="1" a="1"/>
  <c r="O681" i="1" s="1"/>
  <c r="O682" i="1" a="1"/>
  <c r="O682" i="1" s="1"/>
  <c r="O683" i="1" a="1"/>
  <c r="O683" i="1" s="1"/>
  <c r="O684" i="1" a="1"/>
  <c r="O684" i="1" s="1"/>
  <c r="O685" i="1" a="1"/>
  <c r="O685" i="1" s="1"/>
  <c r="O686" i="1" a="1"/>
  <c r="O686" i="1" s="1"/>
  <c r="O687" i="1" a="1"/>
  <c r="O687" i="1" s="1"/>
  <c r="O688" i="1" a="1"/>
  <c r="O688" i="1" s="1"/>
  <c r="O689" i="1" a="1"/>
  <c r="O689" i="1" s="1"/>
  <c r="O690" i="1" a="1"/>
  <c r="O690" i="1" s="1"/>
  <c r="O691" i="1" a="1"/>
  <c r="O691" i="1" s="1"/>
  <c r="O692" i="1" a="1"/>
  <c r="O692" i="1" s="1"/>
  <c r="O693" i="1" a="1"/>
  <c r="O693" i="1" s="1"/>
  <c r="O694" i="1" a="1"/>
  <c r="O694" i="1" s="1"/>
  <c r="O695" i="1" a="1"/>
  <c r="O695" i="1" s="1"/>
  <c r="O696" i="1" a="1"/>
  <c r="O696" i="1" s="1"/>
  <c r="O697" i="1" a="1"/>
  <c r="O697" i="1" s="1"/>
  <c r="O698" i="1" a="1"/>
  <c r="O698" i="1" s="1"/>
  <c r="O699" i="1" a="1"/>
  <c r="O699" i="1" s="1"/>
  <c r="O700" i="1" a="1"/>
  <c r="O700" i="1" s="1"/>
  <c r="O701" i="1" a="1"/>
  <c r="O701" i="1" s="1"/>
  <c r="O702" i="1" a="1"/>
  <c r="O702" i="1" s="1"/>
  <c r="O703" i="1" a="1"/>
  <c r="O703" i="1" s="1"/>
  <c r="O704" i="1" a="1"/>
  <c r="O704" i="1" s="1"/>
  <c r="O705" i="1" a="1"/>
  <c r="O705" i="1" s="1"/>
  <c r="O706" i="1" a="1"/>
  <c r="O706" i="1" s="1"/>
  <c r="O707" i="1" a="1"/>
  <c r="O707" i="1" s="1"/>
  <c r="O708" i="1" a="1"/>
  <c r="O708" i="1" s="1"/>
  <c r="O709" i="1" a="1"/>
  <c r="O709" i="1" s="1"/>
  <c r="O710" i="1" a="1"/>
  <c r="O710" i="1" s="1"/>
  <c r="O711" i="1" a="1"/>
  <c r="O711" i="1" s="1"/>
  <c r="O712" i="1" a="1"/>
  <c r="O712" i="1" s="1"/>
  <c r="O713" i="1" a="1"/>
  <c r="O713" i="1" s="1"/>
  <c r="O714" i="1" a="1"/>
  <c r="O714" i="1" s="1"/>
  <c r="O715" i="1" a="1"/>
  <c r="O715" i="1" s="1"/>
  <c r="O716" i="1" a="1"/>
  <c r="O716" i="1" s="1"/>
  <c r="O717" i="1" a="1"/>
  <c r="O717" i="1" s="1"/>
  <c r="O718" i="1" a="1"/>
  <c r="O718" i="1" s="1"/>
  <c r="O719" i="1" a="1"/>
  <c r="O719" i="1" s="1"/>
  <c r="O720" i="1" a="1"/>
  <c r="O720" i="1" s="1"/>
  <c r="O721" i="1" a="1"/>
  <c r="O721" i="1" s="1"/>
  <c r="O722" i="1" a="1"/>
  <c r="O722" i="1" s="1"/>
  <c r="O723" i="1" a="1"/>
  <c r="O723" i="1" s="1"/>
  <c r="O724" i="1" a="1"/>
  <c r="O724" i="1" s="1"/>
  <c r="O725" i="1" a="1"/>
  <c r="O725" i="1" s="1"/>
  <c r="O726" i="1" a="1"/>
  <c r="O726" i="1" s="1"/>
  <c r="O727" i="1" a="1"/>
  <c r="O727" i="1" s="1"/>
  <c r="O728" i="1" a="1"/>
  <c r="O728" i="1" s="1"/>
  <c r="O729" i="1" a="1"/>
  <c r="O729" i="1" s="1"/>
  <c r="O730" i="1" a="1"/>
  <c r="O730" i="1" s="1"/>
  <c r="O731" i="1" a="1"/>
  <c r="O731" i="1" s="1"/>
  <c r="O732" i="1" a="1"/>
  <c r="O732" i="1" s="1"/>
  <c r="O733" i="1" a="1"/>
  <c r="O733" i="1" s="1"/>
  <c r="O734" i="1" a="1"/>
  <c r="O734" i="1" s="1"/>
  <c r="O735" i="1" a="1"/>
  <c r="O735" i="1" s="1"/>
  <c r="O736" i="1" a="1"/>
  <c r="O736" i="1" s="1"/>
  <c r="O737" i="1" a="1"/>
  <c r="O737" i="1" s="1"/>
  <c r="O738" i="1" a="1"/>
  <c r="O738" i="1" s="1"/>
  <c r="O739" i="1" a="1"/>
  <c r="O739" i="1" s="1"/>
  <c r="O740" i="1" a="1"/>
  <c r="O740" i="1" s="1"/>
  <c r="O741" i="1" a="1"/>
  <c r="O741" i="1" s="1"/>
  <c r="O742" i="1" a="1"/>
  <c r="O742" i="1" s="1"/>
  <c r="O743" i="1" a="1"/>
  <c r="O743" i="1" s="1"/>
  <c r="O744" i="1" a="1"/>
  <c r="O744" i="1" s="1"/>
  <c r="O745" i="1" a="1"/>
  <c r="O745" i="1" s="1"/>
  <c r="O746" i="1" a="1"/>
  <c r="O746" i="1" s="1"/>
  <c r="O747" i="1" a="1"/>
  <c r="O747" i="1" s="1"/>
  <c r="O748" i="1" a="1"/>
  <c r="O748" i="1" s="1"/>
  <c r="O749" i="1" a="1"/>
  <c r="O749" i="1" s="1"/>
  <c r="O750" i="1" a="1"/>
  <c r="O750" i="1" s="1"/>
  <c r="O751" i="1" a="1"/>
  <c r="O751" i="1" s="1"/>
  <c r="O752" i="1" a="1"/>
  <c r="O752" i="1" s="1"/>
  <c r="O753" i="1" a="1"/>
  <c r="O753" i="1" s="1"/>
  <c r="O754" i="1" a="1"/>
  <c r="O754" i="1" s="1"/>
  <c r="O755" i="1" a="1"/>
  <c r="O755" i="1" s="1"/>
  <c r="O756" i="1" a="1"/>
  <c r="O756" i="1" s="1"/>
  <c r="O757" i="1" a="1"/>
  <c r="O757" i="1" s="1"/>
  <c r="O758" i="1" a="1"/>
  <c r="O758" i="1" s="1"/>
  <c r="O759" i="1" a="1"/>
  <c r="O759" i="1" s="1"/>
  <c r="O760" i="1" a="1"/>
  <c r="O760" i="1" s="1"/>
  <c r="O761" i="1" a="1"/>
  <c r="O761" i="1" s="1"/>
  <c r="O762" i="1" a="1"/>
  <c r="O762" i="1" s="1"/>
  <c r="O763" i="1" a="1"/>
  <c r="O763" i="1" s="1"/>
  <c r="O764" i="1" a="1"/>
  <c r="O764" i="1" s="1"/>
  <c r="O765" i="1" a="1"/>
  <c r="O765" i="1" s="1"/>
  <c r="O766" i="1" a="1"/>
  <c r="O766" i="1" s="1"/>
  <c r="O767" i="1" a="1"/>
  <c r="O767" i="1" s="1"/>
  <c r="O768" i="1" a="1"/>
  <c r="O768" i="1" s="1"/>
  <c r="O769" i="1" a="1"/>
  <c r="O769" i="1" s="1"/>
  <c r="O770" i="1" a="1"/>
  <c r="O770" i="1" s="1"/>
  <c r="O771" i="1" a="1"/>
  <c r="O771" i="1" s="1"/>
  <c r="O772" i="1" a="1"/>
  <c r="O772" i="1" s="1"/>
  <c r="O773" i="1" a="1"/>
  <c r="O773" i="1" s="1"/>
  <c r="O774" i="1" a="1"/>
  <c r="O774" i="1" s="1"/>
  <c r="O775" i="1" a="1"/>
  <c r="O775" i="1" s="1"/>
  <c r="O776" i="1" a="1"/>
  <c r="O776" i="1" s="1"/>
  <c r="O777" i="1" a="1"/>
  <c r="O777" i="1" s="1"/>
  <c r="O778" i="1" a="1"/>
  <c r="O778" i="1" s="1"/>
  <c r="O779" i="1" a="1"/>
  <c r="O779" i="1" s="1"/>
  <c r="O780" i="1" a="1"/>
  <c r="O780" i="1" s="1"/>
  <c r="O781" i="1" a="1"/>
  <c r="O781" i="1" s="1"/>
  <c r="O782" i="1" a="1"/>
  <c r="O782" i="1" s="1"/>
  <c r="O783" i="1" a="1"/>
  <c r="O783" i="1" s="1"/>
  <c r="O784" i="1" a="1"/>
  <c r="O784" i="1" s="1"/>
  <c r="O785" i="1" a="1"/>
  <c r="O785" i="1" s="1"/>
  <c r="O786" i="1" a="1"/>
  <c r="O786" i="1" s="1"/>
  <c r="O787" i="1" a="1"/>
  <c r="O787" i="1" s="1"/>
  <c r="O788" i="1" a="1"/>
  <c r="O788" i="1" s="1"/>
  <c r="O789" i="1" a="1"/>
  <c r="O789" i="1" s="1"/>
  <c r="O790" i="1" a="1"/>
  <c r="O790" i="1" s="1"/>
  <c r="O791" i="1" a="1"/>
  <c r="O791" i="1" s="1"/>
  <c r="O792" i="1" a="1"/>
  <c r="O792" i="1" s="1"/>
  <c r="O793" i="1" a="1"/>
  <c r="O793" i="1" s="1"/>
  <c r="O794" i="1" a="1"/>
  <c r="O794" i="1" s="1"/>
  <c r="O795" i="1" a="1"/>
  <c r="O795" i="1" s="1"/>
  <c r="O796" i="1" a="1"/>
  <c r="O796" i="1" s="1"/>
  <c r="O797" i="1" a="1"/>
  <c r="O797" i="1" s="1"/>
  <c r="O798" i="1" a="1"/>
  <c r="O798" i="1" s="1"/>
  <c r="O799" i="1" a="1"/>
  <c r="O799" i="1" s="1"/>
  <c r="O800" i="1" a="1"/>
  <c r="O800" i="1" s="1"/>
  <c r="O801" i="1" a="1"/>
  <c r="O801" i="1" s="1"/>
  <c r="O802" i="1" a="1"/>
  <c r="O802" i="1" s="1"/>
  <c r="O803" i="1" a="1"/>
  <c r="O803" i="1" s="1"/>
  <c r="O804" i="1" a="1"/>
  <c r="O804" i="1" s="1"/>
  <c r="O805" i="1" a="1"/>
  <c r="O805" i="1" s="1"/>
  <c r="O806" i="1" a="1"/>
  <c r="O806" i="1" s="1"/>
  <c r="O807" i="1" a="1"/>
  <c r="O807" i="1" s="1"/>
  <c r="O808" i="1" a="1"/>
  <c r="O808" i="1" s="1"/>
  <c r="O809" i="1" a="1"/>
  <c r="O809" i="1" s="1"/>
  <c r="O810" i="1" a="1"/>
  <c r="O810" i="1" s="1"/>
  <c r="O811" i="1" a="1"/>
  <c r="O811" i="1" s="1"/>
  <c r="O812" i="1" a="1"/>
  <c r="O812" i="1" s="1"/>
  <c r="O813" i="1" a="1"/>
  <c r="O813" i="1" s="1"/>
  <c r="O814" i="1" a="1"/>
  <c r="O814" i="1" s="1"/>
  <c r="O815" i="1" a="1"/>
  <c r="O815" i="1" s="1"/>
  <c r="O816" i="1" a="1"/>
  <c r="O816" i="1" s="1"/>
  <c r="O817" i="1" a="1"/>
  <c r="O817" i="1" s="1"/>
  <c r="O818" i="1" a="1"/>
  <c r="O818" i="1" s="1"/>
  <c r="O819" i="1" a="1"/>
  <c r="O819" i="1" s="1"/>
  <c r="O820" i="1" a="1"/>
  <c r="O820" i="1" s="1"/>
  <c r="O821" i="1" a="1"/>
  <c r="O821" i="1" s="1"/>
  <c r="O822" i="1" a="1"/>
  <c r="O822" i="1" s="1"/>
  <c r="O823" i="1" a="1"/>
  <c r="O823" i="1" s="1"/>
  <c r="O824" i="1" a="1"/>
  <c r="O824" i="1" s="1"/>
  <c r="O825" i="1" a="1"/>
  <c r="O825" i="1" s="1"/>
  <c r="O826" i="1" a="1"/>
  <c r="O826" i="1" s="1"/>
  <c r="O827" i="1" a="1"/>
  <c r="O827" i="1" s="1"/>
  <c r="O828" i="1" a="1"/>
  <c r="O828" i="1" s="1"/>
  <c r="O829" i="1" a="1"/>
  <c r="O829" i="1" s="1"/>
  <c r="O830" i="1" a="1"/>
  <c r="O830" i="1" s="1"/>
  <c r="O831" i="1" a="1"/>
  <c r="O831" i="1" s="1"/>
  <c r="O832" i="1" a="1"/>
  <c r="O832" i="1" s="1"/>
  <c r="O833" i="1" a="1"/>
  <c r="O833" i="1" s="1"/>
  <c r="O834" i="1" a="1"/>
  <c r="O834" i="1" s="1"/>
  <c r="O835" i="1" a="1"/>
  <c r="O835" i="1" s="1"/>
  <c r="O836" i="1" a="1"/>
  <c r="O836" i="1" s="1"/>
  <c r="O837" i="1" a="1"/>
  <c r="O837" i="1" s="1"/>
  <c r="O838" i="1" a="1"/>
  <c r="O838" i="1" s="1"/>
  <c r="O839" i="1" a="1"/>
  <c r="O839" i="1" s="1"/>
  <c r="O840" i="1" a="1"/>
  <c r="O840" i="1" s="1"/>
  <c r="O841" i="1" a="1"/>
  <c r="O841" i="1" s="1"/>
  <c r="O842" i="1" a="1"/>
  <c r="O842" i="1" s="1"/>
  <c r="O843" i="1" a="1"/>
  <c r="O843" i="1" s="1"/>
  <c r="O844" i="1" a="1"/>
  <c r="O844" i="1" s="1"/>
  <c r="O845" i="1" a="1"/>
  <c r="O845" i="1" s="1"/>
  <c r="O846" i="1" a="1"/>
  <c r="O846" i="1" s="1"/>
  <c r="O847" i="1" a="1"/>
  <c r="O847" i="1" s="1"/>
  <c r="O848" i="1" a="1"/>
  <c r="O848" i="1" s="1"/>
  <c r="O849" i="1" a="1"/>
  <c r="O849" i="1" s="1"/>
  <c r="O850" i="1" a="1"/>
  <c r="O850" i="1" s="1"/>
  <c r="O851" i="1" a="1"/>
  <c r="O851" i="1" s="1"/>
  <c r="O852" i="1" a="1"/>
  <c r="O852" i="1" s="1"/>
  <c r="O853" i="1" a="1"/>
  <c r="O853" i="1" s="1"/>
  <c r="O854" i="1" a="1"/>
  <c r="O854" i="1" s="1"/>
  <c r="O855" i="1" a="1"/>
  <c r="O855" i="1" s="1"/>
  <c r="O856" i="1" a="1"/>
  <c r="O856" i="1" s="1"/>
  <c r="O857" i="1" a="1"/>
  <c r="O857" i="1" s="1"/>
  <c r="O858" i="1" a="1"/>
  <c r="O858" i="1" s="1"/>
  <c r="O859" i="1" a="1"/>
  <c r="O859" i="1" s="1"/>
  <c r="O860" i="1" a="1"/>
  <c r="O860" i="1" s="1"/>
  <c r="O861" i="1" a="1"/>
  <c r="O861" i="1" s="1"/>
  <c r="O862" i="1" a="1"/>
  <c r="O862" i="1" s="1"/>
  <c r="O863" i="1" a="1"/>
  <c r="O863" i="1" s="1"/>
  <c r="O864" i="1" a="1"/>
  <c r="O864" i="1" s="1"/>
  <c r="O865" i="1" a="1"/>
  <c r="O865" i="1" s="1"/>
  <c r="O866" i="1" a="1"/>
  <c r="O866" i="1" s="1"/>
  <c r="O867" i="1" a="1"/>
  <c r="O867" i="1" s="1"/>
  <c r="O868" i="1" a="1"/>
  <c r="O868" i="1" s="1"/>
  <c r="O869" i="1" a="1"/>
  <c r="O869" i="1" s="1"/>
  <c r="O870" i="1" a="1"/>
  <c r="O870" i="1" s="1"/>
  <c r="O871" i="1" a="1"/>
  <c r="O871" i="1" s="1"/>
  <c r="O872" i="1" a="1"/>
  <c r="O872" i="1" s="1"/>
  <c r="O873" i="1" a="1"/>
  <c r="O873" i="1" s="1"/>
  <c r="O874" i="1" a="1"/>
  <c r="O874" i="1" s="1"/>
  <c r="O875" i="1" a="1"/>
  <c r="O875" i="1" s="1"/>
  <c r="O876" i="1" a="1"/>
  <c r="O876" i="1" s="1"/>
  <c r="O877" i="1" a="1"/>
  <c r="O877" i="1" s="1"/>
  <c r="O878" i="1" a="1"/>
  <c r="O878" i="1" s="1"/>
  <c r="O879" i="1" a="1"/>
  <c r="O879" i="1" s="1"/>
  <c r="O880" i="1" a="1"/>
  <c r="O880" i="1" s="1"/>
  <c r="O881" i="1" a="1"/>
  <c r="O881" i="1" s="1"/>
  <c r="O882" i="1" a="1"/>
  <c r="O882" i="1" s="1"/>
  <c r="O883" i="1" a="1"/>
  <c r="O883" i="1" s="1"/>
  <c r="O884" i="1" a="1"/>
  <c r="O884" i="1" s="1"/>
  <c r="O885" i="1" a="1"/>
  <c r="O885" i="1" s="1"/>
  <c r="O886" i="1" a="1"/>
  <c r="O886" i="1" s="1"/>
  <c r="O887" i="1" a="1"/>
  <c r="O887" i="1" s="1"/>
  <c r="O888" i="1" a="1"/>
  <c r="O888" i="1" s="1"/>
  <c r="O889" i="1" a="1"/>
  <c r="O889" i="1" s="1"/>
  <c r="O890" i="1" a="1"/>
  <c r="O890" i="1" s="1"/>
  <c r="O891" i="1" a="1"/>
  <c r="O891" i="1" s="1"/>
  <c r="O892" i="1" a="1"/>
  <c r="O892" i="1" s="1"/>
  <c r="O893" i="1" a="1"/>
  <c r="O893" i="1" s="1"/>
  <c r="O894" i="1" a="1"/>
  <c r="O894" i="1" s="1"/>
  <c r="O895" i="1" a="1"/>
  <c r="O895" i="1" s="1"/>
  <c r="O896" i="1" a="1"/>
  <c r="O896" i="1" s="1"/>
  <c r="O897" i="1" a="1"/>
  <c r="O897" i="1" s="1"/>
  <c r="O898" i="1" a="1"/>
  <c r="O898" i="1" s="1"/>
  <c r="O899" i="1" a="1"/>
  <c r="O899" i="1" s="1"/>
  <c r="O900" i="1" a="1"/>
  <c r="O900" i="1" s="1"/>
  <c r="O901" i="1" a="1"/>
  <c r="O901" i="1" s="1"/>
  <c r="O902" i="1" a="1"/>
  <c r="O902" i="1" s="1"/>
  <c r="O903" i="1" a="1"/>
  <c r="O903" i="1" s="1"/>
  <c r="O904" i="1" a="1"/>
  <c r="O904" i="1" s="1"/>
  <c r="O905" i="1" a="1"/>
  <c r="O905" i="1" s="1"/>
  <c r="O906" i="1" a="1"/>
  <c r="O906" i="1" s="1"/>
  <c r="O907" i="1" a="1"/>
  <c r="O907" i="1" s="1"/>
  <c r="O908" i="1" a="1"/>
  <c r="O908" i="1" s="1"/>
  <c r="O909" i="1" a="1"/>
  <c r="O909" i="1" s="1"/>
  <c r="O910" i="1" a="1"/>
  <c r="O910" i="1" s="1"/>
  <c r="O911" i="1" a="1"/>
  <c r="O911" i="1" s="1"/>
  <c r="O912" i="1" a="1"/>
  <c r="O912" i="1" s="1"/>
  <c r="O913" i="1" a="1"/>
  <c r="O913" i="1" s="1"/>
  <c r="O914" i="1" a="1"/>
  <c r="O914" i="1" s="1"/>
  <c r="O915" i="1" a="1"/>
  <c r="O915" i="1" s="1"/>
  <c r="O916" i="1" a="1"/>
  <c r="O916" i="1" s="1"/>
  <c r="O917" i="1" a="1"/>
  <c r="O917" i="1" s="1"/>
  <c r="O918" i="1" a="1"/>
  <c r="O918" i="1" s="1"/>
  <c r="O919" i="1" a="1"/>
  <c r="O919" i="1" s="1"/>
  <c r="O920" i="1" a="1"/>
  <c r="O920" i="1" s="1"/>
  <c r="O921" i="1" a="1"/>
  <c r="O921" i="1" s="1"/>
  <c r="O922" i="1" a="1"/>
  <c r="O922" i="1" s="1"/>
  <c r="O923" i="1" a="1"/>
  <c r="O923" i="1" s="1"/>
  <c r="O924" i="1" a="1"/>
  <c r="O924" i="1" s="1"/>
  <c r="O925" i="1" a="1"/>
  <c r="O925" i="1" s="1"/>
  <c r="O926" i="1" a="1"/>
  <c r="O926" i="1" s="1"/>
  <c r="O927" i="1" a="1"/>
  <c r="O927" i="1" s="1"/>
  <c r="O928" i="1" a="1"/>
  <c r="O928" i="1" s="1"/>
  <c r="O929" i="1" a="1"/>
  <c r="O929" i="1" s="1"/>
  <c r="O930" i="1" a="1"/>
  <c r="O930" i="1" s="1"/>
  <c r="O931" i="1" a="1"/>
  <c r="O931" i="1" s="1"/>
  <c r="O932" i="1" a="1"/>
  <c r="O932" i="1" s="1"/>
  <c r="O933" i="1" a="1"/>
  <c r="O933" i="1" s="1"/>
  <c r="O934" i="1" a="1"/>
  <c r="O934" i="1" s="1"/>
  <c r="O935" i="1" a="1"/>
  <c r="O935" i="1" s="1"/>
  <c r="O936" i="1" a="1"/>
  <c r="O936" i="1" s="1"/>
  <c r="O937" i="1" a="1"/>
  <c r="O937" i="1" s="1"/>
  <c r="O938" i="1" a="1"/>
  <c r="O938" i="1" s="1"/>
  <c r="O939" i="1" a="1"/>
  <c r="O939" i="1" s="1"/>
  <c r="O940" i="1" a="1"/>
  <c r="O940" i="1" s="1"/>
  <c r="O941" i="1" a="1"/>
  <c r="O941" i="1" s="1"/>
  <c r="O942" i="1" a="1"/>
  <c r="O942" i="1" s="1"/>
  <c r="O943" i="1" a="1"/>
  <c r="O943" i="1" s="1"/>
  <c r="O944" i="1" a="1"/>
  <c r="O944" i="1" s="1"/>
  <c r="O945" i="1" a="1"/>
  <c r="O945" i="1" s="1"/>
  <c r="O946" i="1" a="1"/>
  <c r="O946" i="1" s="1"/>
  <c r="O947" i="1" a="1"/>
  <c r="O947" i="1" s="1"/>
  <c r="O948" i="1" a="1"/>
  <c r="O948" i="1" s="1"/>
  <c r="O949" i="1" a="1"/>
  <c r="O949" i="1" s="1"/>
  <c r="O950" i="1" a="1"/>
  <c r="O950" i="1" s="1"/>
  <c r="O951" i="1" a="1"/>
  <c r="O951" i="1" s="1"/>
  <c r="O952" i="1" a="1"/>
  <c r="O952" i="1" s="1"/>
  <c r="O953" i="1" a="1"/>
  <c r="O953" i="1" s="1"/>
  <c r="O954" i="1" a="1"/>
  <c r="O954" i="1" s="1"/>
  <c r="O955" i="1" a="1"/>
  <c r="O955" i="1" s="1"/>
  <c r="O956" i="1" a="1"/>
  <c r="O956" i="1" s="1"/>
  <c r="O957" i="1" a="1"/>
  <c r="O957" i="1" s="1"/>
  <c r="O958" i="1" a="1"/>
  <c r="O958" i="1" s="1"/>
  <c r="O959" i="1" a="1"/>
  <c r="O959" i="1" s="1"/>
  <c r="O960" i="1" a="1"/>
  <c r="O960" i="1" s="1"/>
  <c r="O961" i="1" a="1"/>
  <c r="O961" i="1" s="1"/>
  <c r="O962" i="1" a="1"/>
  <c r="O962" i="1" s="1"/>
  <c r="O963" i="1" a="1"/>
  <c r="O963" i="1" s="1"/>
  <c r="O964" i="1" a="1"/>
  <c r="O964" i="1" s="1"/>
  <c r="O965" i="1" a="1"/>
  <c r="O965" i="1" s="1"/>
  <c r="O966" i="1" a="1"/>
  <c r="O966" i="1" s="1"/>
  <c r="O967" i="1" a="1"/>
  <c r="O967" i="1" s="1"/>
  <c r="O968" i="1" a="1"/>
  <c r="O968" i="1" s="1"/>
  <c r="O969" i="1" a="1"/>
  <c r="O969" i="1" s="1"/>
  <c r="O970" i="1" a="1"/>
  <c r="O970" i="1" s="1"/>
  <c r="O971" i="1" a="1"/>
  <c r="O971" i="1" s="1"/>
  <c r="O972" i="1" a="1"/>
  <c r="O972" i="1" s="1"/>
  <c r="O973" i="1" a="1"/>
  <c r="O973" i="1" s="1"/>
  <c r="O974" i="1" a="1"/>
  <c r="O974" i="1" s="1"/>
  <c r="O975" i="1" a="1"/>
  <c r="O975" i="1" s="1"/>
  <c r="O976" i="1" a="1"/>
  <c r="O976" i="1" s="1"/>
  <c r="O977" i="1" a="1"/>
  <c r="O977" i="1" s="1"/>
  <c r="O978" i="1" a="1"/>
  <c r="O978" i="1" s="1"/>
  <c r="O979" i="1" a="1"/>
  <c r="O979" i="1" s="1"/>
  <c r="O980" i="1" a="1"/>
  <c r="O980" i="1" s="1"/>
  <c r="O981" i="1" a="1"/>
  <c r="O981" i="1" s="1"/>
  <c r="O982" i="1" a="1"/>
  <c r="O982" i="1" s="1"/>
  <c r="O983" i="1" a="1"/>
  <c r="O983" i="1" s="1"/>
  <c r="O984" i="1" a="1"/>
  <c r="O984" i="1" s="1"/>
  <c r="O985" i="1" a="1"/>
  <c r="O985" i="1" s="1"/>
  <c r="O986" i="1" a="1"/>
  <c r="O986" i="1" s="1"/>
  <c r="O987" i="1" a="1"/>
  <c r="O987" i="1" s="1"/>
  <c r="O988" i="1" a="1"/>
  <c r="O988" i="1" s="1"/>
  <c r="O989" i="1" a="1"/>
  <c r="O989" i="1" s="1"/>
  <c r="O990" i="1" a="1"/>
  <c r="O990" i="1" s="1"/>
  <c r="O991" i="1" a="1"/>
  <c r="O991" i="1" s="1"/>
  <c r="O992" i="1" a="1"/>
  <c r="O992" i="1" s="1"/>
  <c r="O993" i="1" a="1"/>
  <c r="O993" i="1" s="1"/>
  <c r="O994" i="1" a="1"/>
  <c r="O994" i="1" s="1"/>
  <c r="O995" i="1" a="1"/>
  <c r="O995" i="1" s="1"/>
  <c r="O996" i="1" a="1"/>
  <c r="O996" i="1" s="1"/>
  <c r="O997" i="1" a="1"/>
  <c r="O997" i="1" s="1"/>
  <c r="O998" i="1" a="1"/>
  <c r="O998" i="1" s="1"/>
  <c r="O999" i="1" a="1"/>
  <c r="O999" i="1" s="1"/>
  <c r="O1000" i="1" a="1"/>
  <c r="O1000" i="1" s="1"/>
  <c r="O1001" i="1" a="1"/>
  <c r="O1001" i="1" s="1"/>
  <c r="O1002" i="1" a="1"/>
  <c r="O1002" i="1" s="1"/>
  <c r="O1003" i="1" a="1"/>
  <c r="O1003" i="1" s="1"/>
  <c r="O1004" i="1" a="1"/>
  <c r="O1004" i="1" s="1"/>
  <c r="O1005" i="1" a="1"/>
  <c r="O1005" i="1" s="1"/>
  <c r="O1006" i="1" a="1"/>
  <c r="O1006" i="1" s="1"/>
  <c r="O1007" i="1" a="1"/>
  <c r="O1007" i="1" s="1"/>
  <c r="O1008" i="1" a="1"/>
  <c r="O1008" i="1" s="1"/>
  <c r="O1009" i="1" a="1"/>
  <c r="O1009" i="1" s="1"/>
  <c r="O1010" i="1" a="1"/>
  <c r="O1010" i="1" s="1"/>
  <c r="O1011" i="1" a="1"/>
  <c r="O1011" i="1" s="1"/>
  <c r="O1012" i="1" a="1"/>
  <c r="O1012" i="1" s="1"/>
  <c r="O1013" i="1" a="1"/>
  <c r="O1013" i="1" s="1"/>
  <c r="O1014" i="1" a="1"/>
  <c r="O1014" i="1" s="1"/>
  <c r="O1015" i="1" a="1"/>
  <c r="O1015" i="1" s="1"/>
  <c r="O1016" i="1" a="1"/>
  <c r="O1016" i="1" s="1"/>
  <c r="O1017" i="1" a="1"/>
  <c r="O1017" i="1" s="1"/>
  <c r="O1018" i="1" a="1"/>
  <c r="O1018" i="1" s="1"/>
  <c r="O1019" i="1" a="1"/>
  <c r="O1019" i="1" s="1"/>
  <c r="O1020" i="1" a="1"/>
  <c r="O1020" i="1" s="1"/>
  <c r="O1021" i="1" a="1"/>
  <c r="O1021" i="1" s="1"/>
  <c r="O1022" i="1" a="1"/>
  <c r="O1022" i="1" s="1"/>
  <c r="O1023" i="1" a="1"/>
  <c r="O1023" i="1" s="1"/>
  <c r="O1024" i="1" a="1"/>
  <c r="O1024" i="1" s="1"/>
  <c r="O1025" i="1" a="1"/>
  <c r="O1025" i="1" s="1"/>
  <c r="O1026" i="1" a="1"/>
  <c r="O1026" i="1" s="1"/>
  <c r="O1027" i="1" a="1"/>
  <c r="O1027" i="1" s="1"/>
  <c r="O1028" i="1" a="1"/>
  <c r="O1028" i="1" s="1"/>
  <c r="O1029" i="1" a="1"/>
  <c r="O1029" i="1" s="1"/>
  <c r="O1030" i="1" a="1"/>
  <c r="O1030" i="1" s="1"/>
  <c r="O1031" i="1" a="1"/>
  <c r="O1031" i="1" s="1"/>
  <c r="O1032" i="1" a="1"/>
  <c r="O1032" i="1" s="1"/>
  <c r="O1033" i="1" a="1"/>
  <c r="O1033" i="1" s="1"/>
  <c r="O1034" i="1" a="1"/>
  <c r="O1034" i="1" s="1"/>
  <c r="O1035" i="1" a="1"/>
  <c r="O1035" i="1" s="1"/>
  <c r="O1036" i="1" a="1"/>
  <c r="O1036" i="1" s="1"/>
  <c r="O1037" i="1" a="1"/>
  <c r="O1037" i="1" s="1"/>
  <c r="O1038" i="1" a="1"/>
  <c r="O1038" i="1" s="1"/>
  <c r="O1039" i="1" a="1"/>
  <c r="O1039" i="1" s="1"/>
  <c r="O1040" i="1" a="1"/>
  <c r="O1040" i="1" s="1"/>
  <c r="O1041" i="1" a="1"/>
  <c r="O1041" i="1" s="1"/>
  <c r="O1042" i="1" a="1"/>
  <c r="O1042" i="1" s="1"/>
  <c r="O1043" i="1" a="1"/>
  <c r="O1043" i="1" s="1"/>
  <c r="O1044" i="1" a="1"/>
  <c r="O1044" i="1" s="1"/>
  <c r="O1045" i="1" a="1"/>
  <c r="O1045" i="1" s="1"/>
  <c r="O1046" i="1" a="1"/>
  <c r="O1046" i="1" s="1"/>
  <c r="O1047" i="1" a="1"/>
  <c r="O1047" i="1" s="1"/>
  <c r="O1048" i="1" a="1"/>
  <c r="O1048" i="1" s="1"/>
  <c r="O1049" i="1" a="1"/>
  <c r="O1049" i="1" s="1"/>
  <c r="O1050" i="1" a="1"/>
  <c r="O1050" i="1" s="1"/>
  <c r="O1051" i="1" a="1"/>
  <c r="O1051" i="1" s="1"/>
  <c r="O1052" i="1" a="1"/>
  <c r="O1052" i="1" s="1"/>
  <c r="O1053" i="1" a="1"/>
  <c r="O1053" i="1" s="1"/>
  <c r="O1054" i="1" a="1"/>
  <c r="O1054" i="1" s="1"/>
  <c r="O1055" i="1" a="1"/>
  <c r="O1055" i="1" s="1"/>
  <c r="O1056" i="1" a="1"/>
  <c r="O1056" i="1" s="1"/>
  <c r="O1057" i="1" a="1"/>
  <c r="O1057" i="1" s="1"/>
  <c r="O1058" i="1" a="1"/>
  <c r="O1058" i="1" s="1"/>
  <c r="O1059" i="1" a="1"/>
  <c r="O1059" i="1" s="1"/>
  <c r="O1060" i="1" a="1"/>
  <c r="O1060" i="1" s="1"/>
  <c r="O1061" i="1" a="1"/>
  <c r="O1061" i="1" s="1"/>
  <c r="O1062" i="1" a="1"/>
  <c r="O1062" i="1" s="1"/>
  <c r="O1063" i="1" a="1"/>
  <c r="O1063" i="1" s="1"/>
  <c r="O1064" i="1" a="1"/>
  <c r="O1064" i="1" s="1"/>
  <c r="O1065" i="1" a="1"/>
  <c r="O1065" i="1" s="1"/>
  <c r="O1066" i="1" a="1"/>
  <c r="O1066" i="1" s="1"/>
  <c r="O1067" i="1" a="1"/>
  <c r="O1067" i="1" s="1"/>
  <c r="O1068" i="1" a="1"/>
  <c r="O1068" i="1" s="1"/>
  <c r="O1069" i="1" a="1"/>
  <c r="O1069" i="1" s="1"/>
  <c r="O1070" i="1" a="1"/>
  <c r="O1070" i="1" s="1"/>
  <c r="O1071" i="1" a="1"/>
  <c r="O1071" i="1" s="1"/>
  <c r="O1072" i="1" a="1"/>
  <c r="O1072" i="1" s="1"/>
  <c r="O1073" i="1" a="1"/>
  <c r="O1073" i="1" s="1"/>
  <c r="O1074" i="1" a="1"/>
  <c r="O1074" i="1" s="1"/>
  <c r="O1075" i="1" a="1"/>
  <c r="O1075" i="1" s="1"/>
  <c r="O1076" i="1" a="1"/>
  <c r="O1076" i="1" s="1"/>
  <c r="O1077" i="1" a="1"/>
  <c r="O1077" i="1" s="1"/>
  <c r="O1078" i="1" a="1"/>
  <c r="O1078" i="1" s="1"/>
  <c r="O1079" i="1" a="1"/>
  <c r="O1079" i="1" s="1"/>
  <c r="O1080" i="1" a="1"/>
  <c r="O1080" i="1" s="1"/>
  <c r="O1081" i="1" a="1"/>
  <c r="O1081" i="1" s="1"/>
  <c r="O1082" i="1" a="1"/>
  <c r="O1082" i="1" s="1"/>
  <c r="O1083" i="1" a="1"/>
  <c r="O1083" i="1" s="1"/>
  <c r="O1084" i="1" a="1"/>
  <c r="O1084" i="1" s="1"/>
  <c r="O1085" i="1" a="1"/>
  <c r="O1085" i="1" s="1"/>
  <c r="O1086" i="1" a="1"/>
  <c r="O1086" i="1" s="1"/>
  <c r="O1087" i="1" a="1"/>
  <c r="O1087" i="1" s="1"/>
  <c r="O1088" i="1" a="1"/>
  <c r="O1088" i="1" s="1"/>
  <c r="O1089" i="1" a="1"/>
  <c r="O1089" i="1" s="1"/>
  <c r="O1090" i="1" a="1"/>
  <c r="O1090" i="1" s="1"/>
  <c r="O1091" i="1" a="1"/>
  <c r="O1091" i="1" s="1"/>
  <c r="O1092" i="1" a="1"/>
  <c r="O1092" i="1" s="1"/>
  <c r="O1093" i="1" a="1"/>
  <c r="O1093" i="1" s="1"/>
  <c r="O1094" i="1" a="1"/>
  <c r="O1094" i="1" s="1"/>
  <c r="O1095" i="1" a="1"/>
  <c r="O1095" i="1" s="1"/>
  <c r="O1096" i="1" a="1"/>
  <c r="O1096" i="1" s="1"/>
  <c r="O1097" i="1" a="1"/>
  <c r="O1097" i="1" s="1"/>
  <c r="O1098" i="1" a="1"/>
  <c r="O1098" i="1" s="1"/>
  <c r="O1099" i="1" a="1"/>
  <c r="O1099" i="1" s="1"/>
  <c r="O1100" i="1" a="1"/>
  <c r="O1100" i="1" s="1"/>
  <c r="O1101" i="1" a="1"/>
  <c r="O1101" i="1" s="1"/>
  <c r="O1102" i="1" a="1"/>
  <c r="O1102" i="1" s="1"/>
  <c r="O1103" i="1" a="1"/>
  <c r="O1103" i="1" s="1"/>
  <c r="O1104" i="1" a="1"/>
  <c r="O1104" i="1" s="1"/>
  <c r="O1105" i="1" a="1"/>
  <c r="O1105" i="1" s="1"/>
  <c r="O1106" i="1" a="1"/>
  <c r="O1106" i="1" s="1"/>
  <c r="O1107" i="1" a="1"/>
  <c r="O1107" i="1" s="1"/>
  <c r="O1108" i="1" a="1"/>
  <c r="O1108" i="1" s="1"/>
  <c r="O1109" i="1" a="1"/>
  <c r="O1109" i="1" s="1"/>
  <c r="O1110" i="1" a="1"/>
  <c r="O1110" i="1" s="1"/>
  <c r="O1111" i="1" a="1"/>
  <c r="O1111" i="1" s="1"/>
  <c r="O1112" i="1" a="1"/>
  <c r="O1112" i="1" s="1"/>
  <c r="O1113" i="1" a="1"/>
  <c r="O1113" i="1" s="1"/>
  <c r="O1114" i="1" a="1"/>
  <c r="O1114" i="1" s="1"/>
  <c r="O1115" i="1" a="1"/>
  <c r="O1115" i="1" s="1"/>
  <c r="O1116" i="1" a="1"/>
  <c r="O1116" i="1" s="1"/>
  <c r="O1117" i="1" a="1"/>
  <c r="O1117" i="1" s="1"/>
  <c r="O1118" i="1" a="1"/>
  <c r="O1118" i="1" s="1"/>
  <c r="O1119" i="1" a="1"/>
  <c r="O1119" i="1" s="1"/>
  <c r="O1120" i="1" a="1"/>
  <c r="O1120" i="1" s="1"/>
  <c r="O1121" i="1" a="1"/>
  <c r="O1121" i="1" s="1"/>
  <c r="O1122" i="1" a="1"/>
  <c r="O1122" i="1" s="1"/>
  <c r="O1123" i="1" a="1"/>
  <c r="O1123" i="1" s="1"/>
  <c r="O1124" i="1" a="1"/>
  <c r="O1124" i="1" s="1"/>
  <c r="O1125" i="1" a="1"/>
  <c r="O1125" i="1" s="1"/>
  <c r="O1126" i="1" a="1"/>
  <c r="O1126" i="1" s="1"/>
  <c r="O1127" i="1" a="1"/>
  <c r="O1127" i="1" s="1"/>
  <c r="O1128" i="1" a="1"/>
  <c r="O1128" i="1" s="1"/>
  <c r="O1129" i="1" a="1"/>
  <c r="O1129" i="1" s="1"/>
  <c r="O1130" i="1" a="1"/>
  <c r="O1130" i="1" s="1"/>
  <c r="O1131" i="1" a="1"/>
  <c r="O1131" i="1" s="1"/>
  <c r="O1132" i="1" a="1"/>
  <c r="O1132" i="1" s="1"/>
  <c r="O1133" i="1" a="1"/>
  <c r="O1133" i="1" s="1"/>
  <c r="O1134" i="1" a="1"/>
  <c r="O1134" i="1" s="1"/>
  <c r="O1135" i="1" a="1"/>
  <c r="O1135" i="1" s="1"/>
  <c r="O1136" i="1" a="1"/>
  <c r="O1136" i="1" s="1"/>
  <c r="O1137" i="1" a="1"/>
  <c r="O1137" i="1" s="1"/>
  <c r="O1138" i="1" a="1"/>
  <c r="O1138" i="1" s="1"/>
  <c r="O1139" i="1" a="1"/>
  <c r="O1139" i="1" s="1"/>
  <c r="O1140" i="1" a="1"/>
  <c r="O1140" i="1" s="1"/>
  <c r="O1141" i="1" a="1"/>
  <c r="O1141" i="1" s="1"/>
  <c r="O1142" i="1" a="1"/>
  <c r="O1142" i="1" s="1"/>
  <c r="O1143" i="1" a="1"/>
  <c r="O1143" i="1" s="1"/>
  <c r="O1144" i="1" a="1"/>
  <c r="O1144" i="1" s="1"/>
  <c r="O1145" i="1" a="1"/>
  <c r="O1145" i="1" s="1"/>
  <c r="O1146" i="1" a="1"/>
  <c r="O1146" i="1" s="1"/>
  <c r="O1147" i="1" a="1"/>
  <c r="O1147" i="1" s="1"/>
  <c r="O1148" i="1" a="1"/>
  <c r="O1148" i="1" s="1"/>
  <c r="O1149" i="1" a="1"/>
  <c r="O1149" i="1" s="1"/>
  <c r="O1150" i="1" a="1"/>
  <c r="O1150" i="1" s="1"/>
  <c r="O1151" i="1" a="1"/>
  <c r="O1151" i="1" s="1"/>
  <c r="O1152" i="1" a="1"/>
  <c r="O1152" i="1" s="1"/>
  <c r="O1153" i="1" a="1"/>
  <c r="O1153" i="1" s="1"/>
  <c r="O1154" i="1" a="1"/>
  <c r="O1154" i="1" s="1"/>
  <c r="O1155" i="1" a="1"/>
  <c r="O1155" i="1" s="1"/>
  <c r="O1156" i="1" a="1"/>
  <c r="O1156" i="1" s="1"/>
  <c r="O1157" i="1" a="1"/>
  <c r="O1157" i="1" s="1"/>
  <c r="O1158" i="1" a="1"/>
  <c r="O1158" i="1" s="1"/>
  <c r="O1159" i="1" a="1"/>
  <c r="O1159" i="1" s="1"/>
  <c r="O1160" i="1" a="1"/>
  <c r="O1160" i="1" s="1"/>
  <c r="O1161" i="1" a="1"/>
  <c r="O1161" i="1" s="1"/>
  <c r="O1162" i="1" a="1"/>
  <c r="O1162" i="1" s="1"/>
  <c r="O1163" i="1" a="1"/>
  <c r="O1163" i="1" s="1"/>
  <c r="O1164" i="1" a="1"/>
  <c r="O1164" i="1" s="1"/>
  <c r="O1165" i="1" a="1"/>
  <c r="O1165" i="1" s="1"/>
  <c r="O1166" i="1" a="1"/>
  <c r="O1166" i="1" s="1"/>
  <c r="O1167" i="1" a="1"/>
  <c r="O1167" i="1" s="1"/>
  <c r="O1168" i="1" a="1"/>
  <c r="O1168" i="1" s="1"/>
  <c r="O1169" i="1" a="1"/>
  <c r="O1169" i="1" s="1"/>
  <c r="O1170" i="1" a="1"/>
  <c r="O1170" i="1" s="1"/>
  <c r="O1171" i="1" a="1"/>
  <c r="O1171" i="1" s="1"/>
  <c r="O1172" i="1" a="1"/>
  <c r="O1172" i="1" s="1"/>
  <c r="O1173" i="1" a="1"/>
  <c r="O1173" i="1" s="1"/>
  <c r="O1174" i="1" a="1"/>
  <c r="O1174" i="1" s="1"/>
  <c r="O1175" i="1" a="1"/>
  <c r="O1175" i="1" s="1"/>
  <c r="O1176" i="1" a="1"/>
  <c r="O1176" i="1" s="1"/>
  <c r="O1177" i="1" a="1"/>
  <c r="O1177" i="1" s="1"/>
  <c r="O1178" i="1" a="1"/>
  <c r="O1178" i="1" s="1"/>
  <c r="O1179" i="1" a="1"/>
  <c r="O1179" i="1" s="1"/>
  <c r="O1180" i="1" a="1"/>
  <c r="O1180" i="1" s="1"/>
  <c r="O1181" i="1" a="1"/>
  <c r="O1181" i="1" s="1"/>
  <c r="O1182" i="1" a="1"/>
  <c r="O1182" i="1" s="1"/>
  <c r="O1183" i="1" a="1"/>
  <c r="O1183" i="1" s="1"/>
  <c r="O1184" i="1" a="1"/>
  <c r="O1184" i="1" s="1"/>
  <c r="O1185" i="1" a="1"/>
  <c r="O1185" i="1" s="1"/>
  <c r="O1186" i="1" a="1"/>
  <c r="O1186" i="1" s="1"/>
  <c r="O1187" i="1" a="1"/>
  <c r="O1187" i="1" s="1"/>
  <c r="O1188" i="1" a="1"/>
  <c r="O1188" i="1" s="1"/>
  <c r="O1189" i="1" a="1"/>
  <c r="O1189" i="1" s="1"/>
  <c r="O1190" i="1" a="1"/>
  <c r="O1190" i="1" s="1"/>
  <c r="O1191" i="1" a="1"/>
  <c r="O1191" i="1" s="1"/>
  <c r="O1192" i="1" a="1"/>
  <c r="O1192" i="1" s="1"/>
  <c r="O1193" i="1" a="1"/>
  <c r="O1193" i="1" s="1"/>
  <c r="O1194" i="1" a="1"/>
  <c r="O1194" i="1" s="1"/>
  <c r="O1195" i="1" a="1"/>
  <c r="O1195" i="1" s="1"/>
  <c r="O1196" i="1" a="1"/>
  <c r="O1196" i="1" s="1"/>
  <c r="O1197" i="1" a="1"/>
  <c r="O1197" i="1" s="1"/>
  <c r="O1198" i="1" a="1"/>
  <c r="O1198" i="1" s="1"/>
  <c r="O1199" i="1" a="1"/>
  <c r="O1199" i="1" s="1"/>
  <c r="O1200" i="1" a="1"/>
  <c r="O1200" i="1" s="1"/>
  <c r="O1201" i="1" a="1"/>
  <c r="O1201" i="1" s="1"/>
  <c r="O1202" i="1" a="1"/>
  <c r="O1202" i="1" s="1"/>
  <c r="O1203" i="1" a="1"/>
  <c r="O1203" i="1" s="1"/>
  <c r="O1204" i="1" a="1"/>
  <c r="O1204" i="1" s="1"/>
  <c r="O1205" i="1" a="1"/>
  <c r="O1205" i="1" s="1"/>
  <c r="O1206" i="1" a="1"/>
  <c r="O1206" i="1" s="1"/>
  <c r="O1207" i="1" a="1"/>
  <c r="O1207" i="1" s="1"/>
  <c r="O1208" i="1" a="1"/>
  <c r="O1208" i="1" s="1"/>
  <c r="O1209" i="1" a="1"/>
  <c r="O1209" i="1" s="1"/>
  <c r="O1210" i="1" a="1"/>
  <c r="O1210" i="1" s="1"/>
  <c r="O1211" i="1" a="1"/>
  <c r="O1211" i="1" s="1"/>
  <c r="O1212" i="1" a="1"/>
  <c r="O1212" i="1" s="1"/>
  <c r="O1213" i="1" a="1"/>
  <c r="O1213" i="1" s="1"/>
  <c r="O1214" i="1" a="1"/>
  <c r="O1214" i="1" s="1"/>
  <c r="O1215" i="1" a="1"/>
  <c r="O1215" i="1" s="1"/>
  <c r="O1216" i="1" a="1"/>
  <c r="O1216" i="1" s="1"/>
  <c r="O1217" i="1" a="1"/>
  <c r="O1217" i="1" s="1"/>
  <c r="O1218" i="1" a="1"/>
  <c r="O1218" i="1" s="1"/>
  <c r="O1219" i="1" a="1"/>
  <c r="O1219" i="1" s="1"/>
  <c r="O1220" i="1" a="1"/>
  <c r="O1220" i="1" s="1"/>
  <c r="O1221" i="1" a="1"/>
  <c r="O1221" i="1" s="1"/>
  <c r="O1222" i="1" a="1"/>
  <c r="O1222" i="1" s="1"/>
  <c r="O1223" i="1" a="1"/>
  <c r="O1223" i="1" s="1"/>
  <c r="O1224" i="1" a="1"/>
  <c r="O1224" i="1" s="1"/>
  <c r="O1225" i="1" a="1"/>
  <c r="O1225" i="1" s="1"/>
  <c r="O1226" i="1" a="1"/>
  <c r="O1226" i="1" s="1"/>
  <c r="O1227" i="1" a="1"/>
  <c r="O1227" i="1" s="1"/>
  <c r="O1228" i="1" a="1"/>
  <c r="O1228" i="1" s="1"/>
  <c r="O1229" i="1" a="1"/>
  <c r="O1229" i="1" s="1"/>
  <c r="O1230" i="1" a="1"/>
  <c r="O1230" i="1" s="1"/>
  <c r="O1231" i="1" a="1"/>
  <c r="O1231" i="1" s="1"/>
  <c r="O1232" i="1" a="1"/>
  <c r="O1232" i="1" s="1"/>
  <c r="O1233" i="1" a="1"/>
  <c r="O1233" i="1" s="1"/>
  <c r="O1234" i="1" a="1"/>
  <c r="O1234" i="1" s="1"/>
  <c r="O1235" i="1" a="1"/>
  <c r="O1235" i="1" s="1"/>
  <c r="O1236" i="1" a="1"/>
  <c r="O1236" i="1" s="1"/>
  <c r="O1237" i="1" a="1"/>
  <c r="O1237" i="1" s="1"/>
  <c r="O1238" i="1" a="1"/>
  <c r="O1238" i="1" s="1"/>
  <c r="O1239" i="1" a="1"/>
  <c r="O1239" i="1" s="1"/>
  <c r="O1240" i="1" a="1"/>
  <c r="O1240" i="1" s="1"/>
  <c r="O1241" i="1" a="1"/>
  <c r="O1241" i="1" s="1"/>
  <c r="O1242" i="1" a="1"/>
  <c r="O1242" i="1" s="1"/>
  <c r="O1243" i="1" a="1"/>
  <c r="O1243" i="1" s="1"/>
  <c r="O1244" i="1" a="1"/>
  <c r="O1244" i="1" s="1"/>
  <c r="O1245" i="1" a="1"/>
  <c r="O1245" i="1" s="1"/>
  <c r="O1246" i="1" a="1"/>
  <c r="O1246" i="1" s="1"/>
  <c r="O1247" i="1" a="1"/>
  <c r="O1247" i="1" s="1"/>
  <c r="O1248" i="1" a="1"/>
  <c r="O1248" i="1" s="1"/>
  <c r="O1249" i="1" a="1"/>
  <c r="O1249" i="1" s="1"/>
  <c r="O1250" i="1" a="1"/>
  <c r="O1250" i="1" s="1"/>
  <c r="O1251" i="1" a="1"/>
  <c r="O1251" i="1" s="1"/>
  <c r="O1252" i="1" a="1"/>
  <c r="O1252" i="1" s="1"/>
  <c r="O1253" i="1" a="1"/>
  <c r="O1253" i="1" s="1"/>
  <c r="O1254" i="1" a="1"/>
  <c r="O1254" i="1" s="1"/>
  <c r="O1255" i="1" a="1"/>
  <c r="O1255" i="1" s="1"/>
  <c r="O1256" i="1" a="1"/>
  <c r="O1256" i="1" s="1"/>
  <c r="O1257" i="1" a="1"/>
  <c r="O1257" i="1" s="1"/>
  <c r="O1258" i="1" a="1"/>
  <c r="O1258" i="1" s="1"/>
  <c r="O1259" i="1" a="1"/>
  <c r="O1259" i="1" s="1"/>
  <c r="O1260" i="1" a="1"/>
  <c r="O1260" i="1" s="1"/>
  <c r="O1261" i="1" a="1"/>
  <c r="O1261" i="1" s="1"/>
  <c r="O1262" i="1" a="1"/>
  <c r="O1262" i="1" s="1"/>
  <c r="O1263" i="1" a="1"/>
  <c r="O1263" i="1" s="1"/>
  <c r="O1264" i="1" a="1"/>
  <c r="O1264" i="1" s="1"/>
  <c r="O1265" i="1" a="1"/>
  <c r="O1265" i="1" s="1"/>
  <c r="O1266" i="1" a="1"/>
  <c r="O1266" i="1" s="1"/>
  <c r="O1267" i="1" a="1"/>
  <c r="O1267" i="1" s="1"/>
  <c r="O1268" i="1" a="1"/>
  <c r="O1268" i="1" s="1"/>
  <c r="O1269" i="1" a="1"/>
  <c r="O1269" i="1" s="1"/>
  <c r="O1270" i="1" a="1"/>
  <c r="O1270" i="1" s="1"/>
  <c r="O1271" i="1" a="1"/>
  <c r="O1271" i="1" s="1"/>
  <c r="O1272" i="1" a="1"/>
  <c r="O1272" i="1" s="1"/>
  <c r="O1273" i="1" a="1"/>
  <c r="O1273" i="1" s="1"/>
  <c r="O1274" i="1" a="1"/>
  <c r="O1274" i="1" s="1"/>
  <c r="O1275" i="1" a="1"/>
  <c r="O1275" i="1" s="1"/>
  <c r="O1276" i="1" a="1"/>
  <c r="O1276" i="1" s="1"/>
  <c r="O1277" i="1" a="1"/>
  <c r="O1277" i="1" s="1"/>
  <c r="O1278" i="1" a="1"/>
  <c r="O1278" i="1" s="1"/>
  <c r="O1279" i="1" a="1"/>
  <c r="O1279" i="1" s="1"/>
  <c r="O1280" i="1" a="1"/>
  <c r="O1280" i="1" s="1"/>
  <c r="O1281" i="1" a="1"/>
  <c r="O1281" i="1" s="1"/>
  <c r="O1282" i="1" a="1"/>
  <c r="O1282" i="1" s="1"/>
  <c r="O1283" i="1" a="1"/>
  <c r="O1283" i="1" s="1"/>
  <c r="O1284" i="1" a="1"/>
  <c r="O1284" i="1" s="1"/>
  <c r="O1285" i="1" a="1"/>
  <c r="O1285" i="1" s="1"/>
  <c r="O1286" i="1" a="1"/>
  <c r="O1286" i="1" s="1"/>
  <c r="O1287" i="1" a="1"/>
  <c r="O1287" i="1" s="1"/>
  <c r="O1288" i="1" a="1"/>
  <c r="O1288" i="1" s="1"/>
  <c r="O1289" i="1" a="1"/>
  <c r="O1289" i="1" s="1"/>
  <c r="O1290" i="1" a="1"/>
  <c r="O1290" i="1" s="1"/>
  <c r="O1291" i="1" a="1"/>
  <c r="O1291" i="1" s="1"/>
  <c r="O1292" i="1" a="1"/>
  <c r="O1292" i="1" s="1"/>
  <c r="O1293" i="1" a="1"/>
  <c r="O1293" i="1" s="1"/>
  <c r="O1294" i="1" a="1"/>
  <c r="O1294" i="1" s="1"/>
  <c r="O1295" i="1" a="1"/>
  <c r="O1295" i="1" s="1"/>
  <c r="O1296" i="1" a="1"/>
  <c r="O1296" i="1" s="1"/>
  <c r="O1297" i="1" a="1"/>
  <c r="O1297" i="1" s="1"/>
  <c r="O1298" i="1" a="1"/>
  <c r="O1298" i="1" s="1"/>
  <c r="O1299" i="1" a="1"/>
  <c r="O1299" i="1" s="1"/>
  <c r="O1300" i="1" a="1"/>
  <c r="O1300" i="1" s="1"/>
  <c r="O1301" i="1" a="1"/>
  <c r="O1301" i="1" s="1"/>
  <c r="O1302" i="1" a="1"/>
  <c r="O1302" i="1" s="1"/>
  <c r="O1303" i="1" a="1"/>
  <c r="O1303" i="1" s="1"/>
  <c r="O1304" i="1" a="1"/>
  <c r="O1304" i="1" s="1"/>
  <c r="O1305" i="1" a="1"/>
  <c r="O1305" i="1" s="1"/>
  <c r="O1306" i="1" a="1"/>
  <c r="O1306" i="1" s="1"/>
  <c r="O1307" i="1" a="1"/>
  <c r="O1307" i="1" s="1"/>
  <c r="O1308" i="1" a="1"/>
  <c r="O1308" i="1" s="1"/>
  <c r="O1309" i="1" a="1"/>
  <c r="O1309" i="1" s="1"/>
  <c r="O1310" i="1" a="1"/>
  <c r="O1310" i="1" s="1"/>
  <c r="O1311" i="1" a="1"/>
  <c r="O1311" i="1" s="1"/>
  <c r="O1312" i="1" a="1"/>
  <c r="O1312" i="1" s="1"/>
  <c r="O1313" i="1" a="1"/>
  <c r="O1313" i="1" s="1"/>
  <c r="O1314" i="1" a="1"/>
  <c r="O1314" i="1" s="1"/>
  <c r="O1315" i="1" a="1"/>
  <c r="O1315" i="1" s="1"/>
  <c r="O1316" i="1" a="1"/>
  <c r="O1316" i="1" s="1"/>
  <c r="O1317" i="1" a="1"/>
  <c r="O1317" i="1" s="1"/>
  <c r="O1318" i="1" a="1"/>
  <c r="O1318" i="1" s="1"/>
  <c r="O1319" i="1" a="1"/>
  <c r="O1319" i="1" s="1"/>
  <c r="O1320" i="1" a="1"/>
  <c r="O1320" i="1" s="1"/>
  <c r="O1321" i="1" a="1"/>
  <c r="O1321" i="1" s="1"/>
  <c r="O1322" i="1" a="1"/>
  <c r="O1322" i="1" s="1"/>
  <c r="O1323" i="1" a="1"/>
  <c r="O1323" i="1" s="1"/>
  <c r="O1324" i="1" a="1"/>
  <c r="O1324" i="1" s="1"/>
  <c r="O1325" i="1" a="1"/>
  <c r="O1325" i="1" s="1"/>
  <c r="O1326" i="1" a="1"/>
  <c r="O1326" i="1" s="1"/>
  <c r="O1327" i="1" a="1"/>
  <c r="O1327" i="1" s="1"/>
  <c r="O1328" i="1" a="1"/>
  <c r="O1328" i="1" s="1"/>
  <c r="O1329" i="1" a="1"/>
  <c r="O1329" i="1" s="1"/>
  <c r="O1330" i="1" a="1"/>
  <c r="O1330" i="1" s="1"/>
  <c r="O1331" i="1" a="1"/>
  <c r="O1331" i="1" s="1"/>
  <c r="O1332" i="1" a="1"/>
  <c r="O1332" i="1" s="1"/>
  <c r="O1333" i="1" a="1"/>
  <c r="O1333" i="1" s="1"/>
  <c r="O1334" i="1" a="1"/>
  <c r="O1334" i="1" s="1"/>
  <c r="O1335" i="1" a="1"/>
  <c r="O1335" i="1" s="1"/>
  <c r="O1336" i="1" a="1"/>
  <c r="O1336" i="1" s="1"/>
  <c r="O1337" i="1" a="1"/>
  <c r="O1337" i="1" s="1"/>
  <c r="O1338" i="1" a="1"/>
  <c r="O1338" i="1" s="1"/>
  <c r="O1339" i="1" a="1"/>
  <c r="O1339" i="1" s="1"/>
  <c r="O1340" i="1" a="1"/>
  <c r="O1340" i="1" s="1"/>
  <c r="O1341" i="1" a="1"/>
  <c r="O1341" i="1" s="1"/>
  <c r="O1342" i="1" a="1"/>
  <c r="O1342" i="1" s="1"/>
  <c r="O1343" i="1" a="1"/>
  <c r="O1343" i="1" s="1"/>
  <c r="O1344" i="1" a="1"/>
  <c r="O1344" i="1" s="1"/>
  <c r="O1345" i="1" a="1"/>
  <c r="O1345" i="1" s="1"/>
  <c r="O1346" i="1" a="1"/>
  <c r="O1346" i="1" s="1"/>
  <c r="O1347" i="1" a="1"/>
  <c r="O1347" i="1" s="1"/>
  <c r="O1348" i="1" a="1"/>
  <c r="O1348" i="1" s="1"/>
  <c r="O1349" i="1" a="1"/>
  <c r="O1349" i="1" s="1"/>
  <c r="O1350" i="1" a="1"/>
  <c r="O1350" i="1" s="1"/>
  <c r="O1351" i="1" a="1"/>
  <c r="O1351" i="1" s="1"/>
  <c r="O1352" i="1" a="1"/>
  <c r="O1352" i="1" s="1"/>
  <c r="O1353" i="1" a="1"/>
  <c r="O1353" i="1" s="1"/>
  <c r="O1354" i="1" a="1"/>
  <c r="O1354" i="1" s="1"/>
  <c r="O1355" i="1" a="1"/>
  <c r="O1355" i="1" s="1"/>
  <c r="O1356" i="1" a="1"/>
  <c r="O1356" i="1" s="1"/>
  <c r="O1357" i="1" a="1"/>
  <c r="O1357" i="1" s="1"/>
  <c r="O1358" i="1" a="1"/>
  <c r="O1358" i="1" s="1"/>
  <c r="O1359" i="1" a="1"/>
  <c r="O1359" i="1" s="1"/>
  <c r="O1360" i="1" a="1"/>
  <c r="O1360" i="1" s="1"/>
  <c r="O1361" i="1" a="1"/>
  <c r="O1361" i="1" s="1"/>
  <c r="O1362" i="1" a="1"/>
  <c r="O1362" i="1" s="1"/>
  <c r="O1363" i="1" a="1"/>
  <c r="O1363" i="1" s="1"/>
  <c r="O1364" i="1" a="1"/>
  <c r="O1364" i="1" s="1"/>
  <c r="O1365" i="1" a="1"/>
  <c r="O1365" i="1" s="1"/>
  <c r="O1366" i="1" a="1"/>
  <c r="O1366" i="1" s="1"/>
  <c r="O1367" i="1" a="1"/>
  <c r="O1367" i="1" s="1"/>
  <c r="O1368" i="1" a="1"/>
  <c r="O1368" i="1" s="1"/>
  <c r="O1369" i="1" a="1"/>
  <c r="O1369" i="1" s="1"/>
  <c r="O1370" i="1" a="1"/>
  <c r="O1370" i="1" s="1"/>
  <c r="O1371" i="1" a="1"/>
  <c r="O1371" i="1" s="1"/>
  <c r="O1372" i="1" a="1"/>
  <c r="O1372" i="1" s="1"/>
  <c r="O1373" i="1" a="1"/>
  <c r="O1373" i="1" s="1"/>
  <c r="O1374" i="1" a="1"/>
  <c r="O1374" i="1" s="1"/>
  <c r="O1375" i="1" a="1"/>
  <c r="O1375" i="1" s="1"/>
  <c r="O1376" i="1" a="1"/>
  <c r="O1376" i="1" s="1"/>
  <c r="O1377" i="1" a="1"/>
  <c r="O1377" i="1" s="1"/>
  <c r="O1378" i="1" a="1"/>
  <c r="O1378" i="1" s="1"/>
  <c r="O1379" i="1" a="1"/>
  <c r="O1379" i="1" s="1"/>
  <c r="O1380" i="1" a="1"/>
  <c r="O1380" i="1" s="1"/>
  <c r="O1381" i="1" a="1"/>
  <c r="O1381" i="1" s="1"/>
  <c r="O1382" i="1" a="1"/>
  <c r="O1382" i="1" s="1"/>
  <c r="O1383" i="1" a="1"/>
  <c r="O1383" i="1" s="1"/>
  <c r="O1384" i="1" a="1"/>
  <c r="O1384" i="1" s="1"/>
  <c r="O1385" i="1" a="1"/>
  <c r="O1385" i="1" s="1"/>
  <c r="O1386" i="1" a="1"/>
  <c r="O1386" i="1" s="1"/>
  <c r="O1387" i="1" a="1"/>
  <c r="O1387" i="1" s="1"/>
  <c r="O1388" i="1" a="1"/>
  <c r="O1388" i="1" s="1"/>
  <c r="O1389" i="1" a="1"/>
  <c r="O1389" i="1" s="1"/>
  <c r="O1390" i="1" a="1"/>
  <c r="O1390" i="1" s="1"/>
  <c r="O1391" i="1" a="1"/>
  <c r="O1391" i="1" s="1"/>
  <c r="O1392" i="1" a="1"/>
  <c r="O1392" i="1" s="1"/>
  <c r="O1393" i="1" a="1"/>
  <c r="O1393" i="1" s="1"/>
  <c r="O1394" i="1" a="1"/>
  <c r="O1394" i="1" s="1"/>
  <c r="O1395" i="1" a="1"/>
  <c r="O1395" i="1" s="1"/>
  <c r="O1396" i="1" a="1"/>
  <c r="O1396" i="1" s="1"/>
  <c r="O1397" i="1" a="1"/>
  <c r="O1397" i="1" s="1"/>
  <c r="O1398" i="1" a="1"/>
  <c r="O1398" i="1" s="1"/>
  <c r="O1399" i="1" a="1"/>
  <c r="O1399" i="1" s="1"/>
  <c r="O1400" i="1" a="1"/>
  <c r="O1400" i="1" s="1"/>
  <c r="O1401" i="1" a="1"/>
  <c r="O1401" i="1" s="1"/>
  <c r="O1402" i="1" a="1"/>
  <c r="O1402" i="1" s="1"/>
  <c r="O1403" i="1" a="1"/>
  <c r="O1403" i="1" s="1"/>
  <c r="O1404" i="1" a="1"/>
  <c r="O1404" i="1" s="1"/>
  <c r="O1405" i="1" a="1"/>
  <c r="O1405" i="1" s="1"/>
  <c r="O1406" i="1" a="1"/>
  <c r="O1406" i="1" s="1"/>
  <c r="O1407" i="1" a="1"/>
  <c r="O1407" i="1" s="1"/>
  <c r="O1408" i="1" a="1"/>
  <c r="O1408" i="1" s="1"/>
  <c r="O1409" i="1" a="1"/>
  <c r="O1409" i="1" s="1"/>
  <c r="O1410" i="1" a="1"/>
  <c r="O1410" i="1" s="1"/>
  <c r="O1411" i="1" a="1"/>
  <c r="O1411" i="1" s="1"/>
  <c r="O1412" i="1" a="1"/>
  <c r="O1412" i="1" s="1"/>
  <c r="O1413" i="1" a="1"/>
  <c r="O1413" i="1" s="1"/>
  <c r="O1414" i="1" a="1"/>
  <c r="O1414" i="1" s="1"/>
  <c r="O1415" i="1" a="1"/>
  <c r="O1415" i="1" s="1"/>
  <c r="O1416" i="1" a="1"/>
  <c r="O1416" i="1" s="1"/>
  <c r="O1417" i="1" a="1"/>
  <c r="O1417" i="1" s="1"/>
  <c r="O1418" i="1" a="1"/>
  <c r="O1418" i="1" s="1"/>
  <c r="O1419" i="1" a="1"/>
  <c r="O1419" i="1" s="1"/>
  <c r="O1420" i="1" a="1"/>
  <c r="O1420" i="1" s="1"/>
  <c r="O1421" i="1" a="1"/>
  <c r="O1421" i="1" s="1"/>
  <c r="O1422" i="1" a="1"/>
  <c r="O1422" i="1" s="1"/>
  <c r="O1423" i="1" a="1"/>
  <c r="O1423" i="1" s="1"/>
  <c r="O1424" i="1" a="1"/>
  <c r="O1424" i="1" s="1"/>
  <c r="O1425" i="1" a="1"/>
  <c r="O1425" i="1" s="1"/>
  <c r="O1426" i="1" a="1"/>
  <c r="O1426" i="1" s="1"/>
  <c r="O1427" i="1" a="1"/>
  <c r="O1427" i="1" s="1"/>
  <c r="O1428" i="1" a="1"/>
  <c r="O1428" i="1" s="1"/>
  <c r="O1429" i="1" a="1"/>
  <c r="O1429" i="1" s="1"/>
  <c r="O1430" i="1" a="1"/>
  <c r="O1430" i="1" s="1"/>
  <c r="O1431" i="1" a="1"/>
  <c r="O1431" i="1" s="1"/>
  <c r="O1432" i="1" a="1"/>
  <c r="O1432" i="1" s="1"/>
  <c r="O1433" i="1" a="1"/>
  <c r="O1433" i="1" s="1"/>
  <c r="O1434" i="1" a="1"/>
  <c r="O1434" i="1" s="1"/>
  <c r="O1435" i="1" a="1"/>
  <c r="O1435" i="1" s="1"/>
  <c r="O1436" i="1" a="1"/>
  <c r="O1436" i="1" s="1"/>
  <c r="O1437" i="1" a="1"/>
  <c r="O1437" i="1" s="1"/>
  <c r="O1438" i="1" a="1"/>
  <c r="O1438" i="1" s="1"/>
  <c r="O1439" i="1" a="1"/>
  <c r="O1439" i="1" s="1"/>
  <c r="O1440" i="1" a="1"/>
  <c r="O1440" i="1" s="1"/>
  <c r="O1441" i="1" a="1"/>
  <c r="O1441" i="1" s="1"/>
  <c r="O1442" i="1" a="1"/>
  <c r="O1442" i="1" s="1"/>
  <c r="O1443" i="1" a="1"/>
  <c r="O1443" i="1" s="1"/>
  <c r="O1444" i="1" a="1"/>
  <c r="O1444" i="1" s="1"/>
  <c r="O1445" i="1" a="1"/>
  <c r="O1445" i="1" s="1"/>
  <c r="O1446" i="1" a="1"/>
  <c r="O1446" i="1" s="1"/>
  <c r="O1447" i="1" a="1"/>
  <c r="O1447" i="1" s="1"/>
  <c r="O1448" i="1" a="1"/>
  <c r="O1448" i="1" s="1"/>
  <c r="O1449" i="1" a="1"/>
  <c r="O1449" i="1" s="1"/>
  <c r="O1450" i="1" a="1"/>
  <c r="O1450" i="1" s="1"/>
  <c r="O1451" i="1" a="1"/>
  <c r="O1451" i="1" s="1"/>
  <c r="O1452" i="1" a="1"/>
  <c r="O1452" i="1" s="1"/>
  <c r="O1453" i="1" a="1"/>
  <c r="O1453" i="1" s="1"/>
  <c r="O1454" i="1" a="1"/>
  <c r="O1454" i="1" s="1"/>
  <c r="O1455" i="1" a="1"/>
  <c r="O1455" i="1" s="1"/>
  <c r="O1456" i="1" a="1"/>
  <c r="O1456" i="1" s="1"/>
  <c r="O1457" i="1" a="1"/>
  <c r="O1457" i="1" s="1"/>
  <c r="O1458" i="1" a="1"/>
  <c r="O1458" i="1" s="1"/>
  <c r="O1459" i="1" a="1"/>
  <c r="O1459" i="1" s="1"/>
  <c r="O1460" i="1" a="1"/>
  <c r="O1460" i="1" s="1"/>
  <c r="O1461" i="1" a="1"/>
  <c r="O1461" i="1" s="1"/>
  <c r="O1462" i="1" a="1"/>
  <c r="O1462" i="1" s="1"/>
  <c r="O1463" i="1" a="1"/>
  <c r="O1463" i="1" s="1"/>
  <c r="O1464" i="1" a="1"/>
  <c r="O1464" i="1" s="1"/>
  <c r="O1465" i="1" a="1"/>
  <c r="O1465" i="1" s="1"/>
  <c r="O1466" i="1" a="1"/>
  <c r="O1466" i="1" s="1"/>
  <c r="O1467" i="1" a="1"/>
  <c r="O1467" i="1" s="1"/>
  <c r="O1468" i="1" a="1"/>
  <c r="O1468" i="1" s="1"/>
  <c r="O1469" i="1" a="1"/>
  <c r="O1469" i="1" s="1"/>
  <c r="O1470" i="1" a="1"/>
  <c r="O1470" i="1" s="1"/>
  <c r="O1471" i="1" a="1"/>
  <c r="O1471" i="1" s="1"/>
  <c r="O1472" i="1" a="1"/>
  <c r="O1472" i="1" s="1"/>
  <c r="O1473" i="1" a="1"/>
  <c r="O1473" i="1" s="1"/>
  <c r="O1474" i="1" a="1"/>
  <c r="O1474" i="1" s="1"/>
  <c r="O1475" i="1" a="1"/>
  <c r="O1475" i="1" s="1"/>
  <c r="O1476" i="1" a="1"/>
  <c r="O1476" i="1" s="1"/>
  <c r="O1477" i="1" a="1"/>
  <c r="O1477" i="1" s="1"/>
  <c r="O1478" i="1" a="1"/>
  <c r="O1478" i="1" s="1"/>
  <c r="O1479" i="1" a="1"/>
  <c r="O1479" i="1" s="1"/>
  <c r="O1480" i="1" a="1"/>
  <c r="O1480" i="1" s="1"/>
  <c r="O1481" i="1" a="1"/>
  <c r="O1481" i="1" s="1"/>
  <c r="O1482" i="1" a="1"/>
  <c r="O1482" i="1" s="1"/>
  <c r="O1483" i="1" a="1"/>
  <c r="O1483" i="1" s="1"/>
  <c r="O1484" i="1" a="1"/>
  <c r="O1484" i="1" s="1"/>
  <c r="O1485" i="1" a="1"/>
  <c r="O1485" i="1" s="1"/>
  <c r="O1486" i="1" a="1"/>
  <c r="O1486" i="1" s="1"/>
  <c r="O1487" i="1" a="1"/>
  <c r="O1487" i="1" s="1"/>
  <c r="O1488" i="1" a="1"/>
  <c r="O1488" i="1" s="1"/>
  <c r="O1489" i="1" a="1"/>
  <c r="O1489" i="1" s="1"/>
  <c r="O1490" i="1" a="1"/>
  <c r="O1490" i="1" s="1"/>
  <c r="O1491" i="1" a="1"/>
  <c r="O1491" i="1" s="1"/>
  <c r="O1492" i="1" a="1"/>
  <c r="O1492" i="1" s="1"/>
  <c r="O1493" i="1" a="1"/>
  <c r="O1493" i="1" s="1"/>
  <c r="O1494" i="1" a="1"/>
  <c r="O1494" i="1" s="1"/>
  <c r="O1495" i="1" a="1"/>
  <c r="O1495" i="1" s="1"/>
  <c r="O1496" i="1" a="1"/>
  <c r="O1496" i="1" s="1"/>
  <c r="O1497" i="1" a="1"/>
  <c r="O1497" i="1" s="1"/>
  <c r="O1498" i="1" a="1"/>
  <c r="O1498" i="1" s="1"/>
  <c r="O1499" i="1" a="1"/>
  <c r="O1499" i="1" s="1"/>
  <c r="O1500" i="1" a="1"/>
  <c r="O1500" i="1" s="1"/>
  <c r="O1501" i="1" a="1"/>
  <c r="O1501" i="1" s="1"/>
  <c r="O1502" i="1" a="1"/>
  <c r="O1502" i="1" s="1"/>
  <c r="O1503" i="1" a="1"/>
  <c r="O1503" i="1" s="1"/>
  <c r="O1504" i="1" a="1"/>
  <c r="O1504" i="1" s="1"/>
  <c r="O1505" i="1" a="1"/>
  <c r="O1505" i="1" s="1"/>
  <c r="O1506" i="1" a="1"/>
  <c r="O1506" i="1" s="1"/>
  <c r="O1507" i="1" a="1"/>
  <c r="O1507" i="1" s="1"/>
  <c r="O1508" i="1" a="1"/>
  <c r="O1508" i="1" s="1"/>
  <c r="O1509" i="1" a="1"/>
  <c r="O1509" i="1" s="1"/>
  <c r="O1510" i="1" a="1"/>
  <c r="O1510" i="1" s="1"/>
  <c r="O1511" i="1" a="1"/>
  <c r="O1511" i="1" s="1"/>
  <c r="O1512" i="1" a="1"/>
  <c r="O1512" i="1" s="1"/>
  <c r="O1513" i="1" a="1"/>
  <c r="O1513" i="1" s="1"/>
  <c r="O1514" i="1" a="1"/>
  <c r="O1514" i="1" s="1"/>
  <c r="O1515" i="1" a="1"/>
  <c r="O1515" i="1" s="1"/>
  <c r="O1516" i="1" a="1"/>
  <c r="O1516" i="1" s="1"/>
  <c r="O1517" i="1" a="1"/>
  <c r="O1517" i="1" s="1"/>
  <c r="O1518" i="1" a="1"/>
  <c r="O1518" i="1" s="1"/>
  <c r="O1519" i="1" a="1"/>
  <c r="O1519" i="1" s="1"/>
  <c r="O1520" i="1" a="1"/>
  <c r="O1520" i="1" s="1"/>
  <c r="O1521" i="1" a="1"/>
  <c r="O1521" i="1" s="1"/>
  <c r="O1522" i="1" a="1"/>
  <c r="O1522" i="1" s="1"/>
  <c r="O1523" i="1" a="1"/>
  <c r="O1523" i="1" s="1"/>
  <c r="O1524" i="1" a="1"/>
  <c r="O1524" i="1" s="1"/>
  <c r="O1525" i="1" a="1"/>
  <c r="O1525" i="1" s="1"/>
  <c r="O1526" i="1" a="1"/>
  <c r="O1526" i="1" s="1"/>
  <c r="O1527" i="1" a="1"/>
  <c r="O1527" i="1" s="1"/>
  <c r="O1528" i="1" a="1"/>
  <c r="O1528" i="1" s="1"/>
  <c r="O1529" i="1" a="1"/>
  <c r="O1529" i="1" s="1"/>
  <c r="O1530" i="1" a="1"/>
  <c r="O1530" i="1" s="1"/>
  <c r="O1531" i="1" a="1"/>
  <c r="O1531" i="1" s="1"/>
  <c r="O1532" i="1" a="1"/>
  <c r="O1532" i="1" s="1"/>
  <c r="O1533" i="1" a="1"/>
  <c r="O1533" i="1" s="1"/>
  <c r="O1534" i="1" a="1"/>
  <c r="O1534" i="1" s="1"/>
  <c r="O1535" i="1" a="1"/>
  <c r="O1535" i="1" s="1"/>
  <c r="O1536" i="1" a="1"/>
  <c r="O1536" i="1" s="1"/>
  <c r="O1537" i="1" a="1"/>
  <c r="O1537" i="1" s="1"/>
  <c r="O1538" i="1" a="1"/>
  <c r="O1538" i="1" s="1"/>
  <c r="O1539" i="1" a="1"/>
  <c r="O1539" i="1" s="1"/>
  <c r="O1540" i="1" a="1"/>
  <c r="O1540" i="1" s="1"/>
  <c r="O1541" i="1" a="1"/>
  <c r="O1541" i="1" s="1"/>
  <c r="O1542" i="1" a="1"/>
  <c r="O1542" i="1" s="1"/>
  <c r="O1543" i="1" a="1"/>
  <c r="O1543" i="1" s="1"/>
  <c r="O1544" i="1" a="1"/>
  <c r="O1544" i="1" s="1"/>
  <c r="O1545" i="1" a="1"/>
  <c r="O1545" i="1" s="1"/>
  <c r="O1546" i="1" a="1"/>
  <c r="O1546" i="1" s="1"/>
  <c r="O1547" i="1" a="1"/>
  <c r="O1547" i="1" s="1"/>
  <c r="O1548" i="1" a="1"/>
  <c r="O1548" i="1" s="1"/>
  <c r="O1549" i="1" a="1"/>
  <c r="O1549" i="1" s="1"/>
  <c r="O1550" i="1" a="1"/>
  <c r="O1550" i="1" s="1"/>
  <c r="O1551" i="1" a="1"/>
  <c r="O1551" i="1" s="1"/>
  <c r="O1552" i="1" a="1"/>
  <c r="O1552" i="1" s="1"/>
  <c r="O1553" i="1" a="1"/>
  <c r="O1553" i="1" s="1"/>
  <c r="O1554" i="1" a="1"/>
  <c r="O1554" i="1" s="1"/>
  <c r="O1555" i="1" a="1"/>
  <c r="O1555" i="1" s="1"/>
  <c r="O1556" i="1" a="1"/>
  <c r="O1556" i="1" s="1"/>
  <c r="O1557" i="1" a="1"/>
  <c r="O1557" i="1" s="1"/>
  <c r="O1558" i="1" a="1"/>
  <c r="O1558" i="1" s="1"/>
  <c r="O1559" i="1" a="1"/>
  <c r="O1559" i="1" s="1"/>
  <c r="O1560" i="1" a="1"/>
  <c r="O1560" i="1" s="1"/>
  <c r="O1561" i="1" a="1"/>
  <c r="O1561" i="1" s="1"/>
  <c r="O1562" i="1" a="1"/>
  <c r="O1562" i="1" s="1"/>
  <c r="O1563" i="1" a="1"/>
  <c r="O1563" i="1" s="1"/>
  <c r="O1564" i="1" a="1"/>
  <c r="O1564" i="1" s="1"/>
  <c r="O1565" i="1" a="1"/>
  <c r="O1565" i="1" s="1"/>
  <c r="O1566" i="1" a="1"/>
  <c r="O1566" i="1" s="1"/>
  <c r="O1567" i="1" a="1"/>
  <c r="O1567" i="1" s="1"/>
  <c r="O1568" i="1" a="1"/>
  <c r="O1568" i="1" s="1"/>
  <c r="O1569" i="1" a="1"/>
  <c r="O1569" i="1" s="1"/>
  <c r="O1570" i="1" a="1"/>
  <c r="O1570" i="1" s="1"/>
  <c r="O1571" i="1" a="1"/>
  <c r="O1571" i="1" s="1"/>
  <c r="O1572" i="1" a="1"/>
  <c r="O1572" i="1" s="1"/>
  <c r="O1573" i="1" a="1"/>
  <c r="O1573" i="1" s="1"/>
  <c r="O1574" i="1" a="1"/>
  <c r="O1574" i="1" s="1"/>
  <c r="O1575" i="1" a="1"/>
  <c r="O1575" i="1" s="1"/>
  <c r="O1576" i="1" a="1"/>
  <c r="O1576" i="1" s="1"/>
  <c r="O1577" i="1" a="1"/>
  <c r="O1577" i="1" s="1"/>
  <c r="O1578" i="1" a="1"/>
  <c r="O1578" i="1" s="1"/>
  <c r="O1579" i="1" a="1"/>
  <c r="O1579" i="1" s="1"/>
  <c r="O1580" i="1" a="1"/>
  <c r="O1580" i="1" s="1"/>
  <c r="O1581" i="1" a="1"/>
  <c r="O1581" i="1" s="1"/>
  <c r="O1582" i="1" a="1"/>
  <c r="O1582" i="1" s="1"/>
  <c r="O1583" i="1" a="1"/>
  <c r="O1583" i="1" s="1"/>
  <c r="O1584" i="1" a="1"/>
  <c r="O1584" i="1" s="1"/>
  <c r="O1585" i="1" a="1"/>
  <c r="O1585" i="1" s="1"/>
  <c r="O1586" i="1" a="1"/>
  <c r="O1586" i="1" s="1"/>
  <c r="O1587" i="1" a="1"/>
  <c r="O1587" i="1" s="1"/>
  <c r="O1588" i="1" a="1"/>
  <c r="O1588" i="1" s="1"/>
  <c r="O1589" i="1" a="1"/>
  <c r="O1589" i="1" s="1"/>
  <c r="O1590" i="1" a="1"/>
  <c r="O1590" i="1" s="1"/>
  <c r="O1591" i="1" a="1"/>
  <c r="O1591" i="1" s="1"/>
  <c r="O1592" i="1" a="1"/>
  <c r="O1592" i="1" s="1"/>
  <c r="O1593" i="1" a="1"/>
  <c r="O1593" i="1" s="1"/>
  <c r="O1594" i="1" a="1"/>
  <c r="O1594" i="1" s="1"/>
  <c r="O1595" i="1" a="1"/>
  <c r="O1595" i="1" s="1"/>
  <c r="O1596" i="1" a="1"/>
  <c r="O1596" i="1" s="1"/>
  <c r="O1597" i="1" a="1"/>
  <c r="O1597" i="1" s="1"/>
  <c r="O1598" i="1" a="1"/>
  <c r="O1598" i="1" s="1"/>
  <c r="O1599" i="1" a="1"/>
  <c r="O1599" i="1" s="1"/>
  <c r="O1600" i="1" a="1"/>
  <c r="O1600" i="1" s="1"/>
  <c r="O1601" i="1" a="1"/>
  <c r="O1601" i="1" s="1"/>
  <c r="O1602" i="1" a="1"/>
  <c r="O1602" i="1" s="1"/>
  <c r="O1603" i="1" a="1"/>
  <c r="O1603" i="1" s="1"/>
  <c r="O1604" i="1" a="1"/>
  <c r="O1604" i="1" s="1"/>
  <c r="O1605" i="1" a="1"/>
  <c r="O1605" i="1" s="1"/>
  <c r="O1606" i="1" a="1"/>
  <c r="O1606" i="1" s="1"/>
  <c r="O1607" i="1" a="1"/>
  <c r="O1607" i="1" s="1"/>
  <c r="O1608" i="1" a="1"/>
  <c r="O1608" i="1" s="1"/>
  <c r="O1609" i="1" a="1"/>
  <c r="O1609" i="1" s="1"/>
  <c r="O1610" i="1" a="1"/>
  <c r="O1610" i="1" s="1"/>
  <c r="O1611" i="1" a="1"/>
  <c r="O1611" i="1" s="1"/>
  <c r="O1612" i="1" a="1"/>
  <c r="O1612" i="1" s="1"/>
  <c r="O1613" i="1" a="1"/>
  <c r="O1613" i="1" s="1"/>
  <c r="O1614" i="1" a="1"/>
  <c r="O1614" i="1" s="1"/>
  <c r="O1615" i="1" a="1"/>
  <c r="O1615" i="1" s="1"/>
  <c r="O1616" i="1" a="1"/>
  <c r="O1616" i="1" s="1"/>
  <c r="O1617" i="1" a="1"/>
  <c r="O1617" i="1" s="1"/>
  <c r="O1618" i="1" a="1"/>
  <c r="O1618" i="1" s="1"/>
  <c r="O1619" i="1" a="1"/>
  <c r="O1619" i="1" s="1"/>
  <c r="O1620" i="1" a="1"/>
  <c r="O1620" i="1" s="1"/>
  <c r="O1621" i="1" a="1"/>
  <c r="O1621" i="1" s="1"/>
  <c r="O1622" i="1" a="1"/>
  <c r="O1622" i="1" s="1"/>
  <c r="O1623" i="1" a="1"/>
  <c r="O1623" i="1" s="1"/>
  <c r="O1624" i="1" a="1"/>
  <c r="O1624" i="1" s="1"/>
  <c r="O1625" i="1" a="1"/>
  <c r="O1625" i="1" s="1"/>
  <c r="O1626" i="1" a="1"/>
  <c r="O1626" i="1" s="1"/>
  <c r="O1627" i="1" a="1"/>
  <c r="O1627" i="1" s="1"/>
  <c r="O1628" i="1" a="1"/>
  <c r="O1628" i="1" s="1"/>
  <c r="O1629" i="1" a="1"/>
  <c r="O1629" i="1" s="1"/>
  <c r="O1630" i="1" a="1"/>
  <c r="O1630" i="1" s="1"/>
  <c r="O1631" i="1" a="1"/>
  <c r="O1631" i="1" s="1"/>
  <c r="O1632" i="1" a="1"/>
  <c r="O1632" i="1" s="1"/>
  <c r="O1633" i="1" a="1"/>
  <c r="O1633" i="1" s="1"/>
  <c r="O1634" i="1" a="1"/>
  <c r="O1634" i="1" s="1"/>
  <c r="O1635" i="1" a="1"/>
  <c r="O1635" i="1" s="1"/>
  <c r="O1636" i="1" a="1"/>
  <c r="O1636" i="1" s="1"/>
  <c r="O1637" i="1" a="1"/>
  <c r="O1637" i="1" s="1"/>
  <c r="O1638" i="1" a="1"/>
  <c r="O1638" i="1" s="1"/>
  <c r="O1639" i="1" a="1"/>
  <c r="O1639" i="1" s="1"/>
  <c r="O1640" i="1" a="1"/>
  <c r="O1640" i="1" s="1"/>
  <c r="O1641" i="1" a="1"/>
  <c r="O1641" i="1" s="1"/>
  <c r="O1642" i="1" a="1"/>
  <c r="O1642" i="1" s="1"/>
  <c r="O1643" i="1" a="1"/>
  <c r="O1643" i="1" s="1"/>
  <c r="O1644" i="1" a="1"/>
  <c r="O1644" i="1" s="1"/>
  <c r="O1645" i="1" a="1"/>
  <c r="O1645" i="1" s="1"/>
  <c r="O1646" i="1" a="1"/>
  <c r="O1646" i="1" s="1"/>
  <c r="O1647" i="1" a="1"/>
  <c r="O1647" i="1" s="1"/>
  <c r="O1648" i="1" a="1"/>
  <c r="O1648" i="1" s="1"/>
  <c r="O1649" i="1" a="1"/>
  <c r="O1649" i="1" s="1"/>
  <c r="O1650" i="1" a="1"/>
  <c r="O1650" i="1" s="1"/>
  <c r="O1651" i="1" a="1"/>
  <c r="O1651" i="1" s="1"/>
  <c r="O1652" i="1" a="1"/>
  <c r="O1652" i="1" s="1"/>
  <c r="O1653" i="1" a="1"/>
  <c r="O1653" i="1" s="1"/>
  <c r="O1654" i="1" a="1"/>
  <c r="O1654" i="1" s="1"/>
  <c r="O1655" i="1" a="1"/>
  <c r="O1655" i="1" s="1"/>
  <c r="O1656" i="1" a="1"/>
  <c r="O1656" i="1" s="1"/>
  <c r="O1657" i="1" a="1"/>
  <c r="O1657" i="1" s="1"/>
  <c r="O1658" i="1" a="1"/>
  <c r="O1658" i="1" s="1"/>
  <c r="O1659" i="1" a="1"/>
  <c r="O1659" i="1" s="1"/>
  <c r="O1660" i="1" a="1"/>
  <c r="O1660" i="1" s="1"/>
  <c r="O1661" i="1" a="1"/>
  <c r="O1661" i="1" s="1"/>
  <c r="O1662" i="1" a="1"/>
  <c r="O1662" i="1" s="1"/>
  <c r="O1663" i="1" a="1"/>
  <c r="O1663" i="1" s="1"/>
  <c r="O1664" i="1" a="1"/>
  <c r="O1664" i="1" s="1"/>
  <c r="O1665" i="1" a="1"/>
  <c r="O1665" i="1" s="1"/>
  <c r="O1666" i="1" a="1"/>
  <c r="O1666" i="1" s="1"/>
  <c r="O1667" i="1" a="1"/>
  <c r="O1667" i="1" s="1"/>
  <c r="O1668" i="1" a="1"/>
  <c r="O1668" i="1" s="1"/>
  <c r="O1669" i="1" a="1"/>
  <c r="O1669" i="1" s="1"/>
  <c r="O1670" i="1" a="1"/>
  <c r="O1670" i="1" s="1"/>
  <c r="O1671" i="1" a="1"/>
  <c r="O1671" i="1" s="1"/>
  <c r="O1672" i="1" a="1"/>
  <c r="O1672" i="1" s="1"/>
  <c r="O1673" i="1" a="1"/>
  <c r="O1673" i="1" s="1"/>
  <c r="O1674" i="1" a="1"/>
  <c r="O1674" i="1" s="1"/>
  <c r="O1675" i="1" a="1"/>
  <c r="O1675" i="1" s="1"/>
  <c r="O1676" i="1" a="1"/>
  <c r="O1676" i="1" s="1"/>
  <c r="O1677" i="1" a="1"/>
  <c r="O1677" i="1" s="1"/>
  <c r="O1678" i="1" a="1"/>
  <c r="O1678" i="1" s="1"/>
  <c r="O1679" i="1" a="1"/>
  <c r="O1679" i="1" s="1"/>
  <c r="O1680" i="1" a="1"/>
  <c r="O1680" i="1" s="1"/>
  <c r="O1681" i="1" a="1"/>
  <c r="O1681" i="1" s="1"/>
  <c r="O1682" i="1" a="1"/>
  <c r="O1682" i="1" s="1"/>
  <c r="O1683" i="1" a="1"/>
  <c r="O1683" i="1" s="1"/>
  <c r="O1684" i="1" a="1"/>
  <c r="O1684" i="1" s="1"/>
  <c r="O1685" i="1" a="1"/>
  <c r="O1685" i="1" s="1"/>
  <c r="O1686" i="1" a="1"/>
  <c r="O1686" i="1" s="1"/>
  <c r="O1687" i="1" a="1"/>
  <c r="O1687" i="1" s="1"/>
  <c r="O1688" i="1" a="1"/>
  <c r="O1688" i="1" s="1"/>
  <c r="O1689" i="1" a="1"/>
  <c r="O1689" i="1" s="1"/>
  <c r="O1690" i="1" a="1"/>
  <c r="O1690" i="1" s="1"/>
  <c r="O1691" i="1" a="1"/>
  <c r="O1691" i="1" s="1"/>
  <c r="O1692" i="1" a="1"/>
  <c r="O1692" i="1" s="1"/>
  <c r="O1693" i="1" a="1"/>
  <c r="O1693" i="1" s="1"/>
  <c r="O1694" i="1" a="1"/>
  <c r="O1694" i="1" s="1"/>
  <c r="O1695" i="1" a="1"/>
  <c r="O1695" i="1" s="1"/>
  <c r="O1696" i="1" a="1"/>
  <c r="O1696" i="1" s="1"/>
  <c r="O1697" i="1" a="1"/>
  <c r="O1697" i="1" s="1"/>
  <c r="O1698" i="1" a="1"/>
  <c r="O1698" i="1" s="1"/>
  <c r="O1699" i="1" a="1"/>
  <c r="O1699" i="1" s="1"/>
  <c r="O1700" i="1" a="1"/>
  <c r="O1700" i="1" s="1"/>
  <c r="O1701" i="1" a="1"/>
  <c r="O1701" i="1" s="1"/>
  <c r="O1702" i="1" a="1"/>
  <c r="O1702" i="1" s="1"/>
  <c r="O1703" i="1" a="1"/>
  <c r="O1703" i="1" s="1"/>
  <c r="O1704" i="1" a="1"/>
  <c r="O1704" i="1" s="1"/>
  <c r="O1705" i="1" a="1"/>
  <c r="O1705" i="1" s="1"/>
  <c r="O1706" i="1" a="1"/>
  <c r="O1706" i="1" s="1"/>
  <c r="O1707" i="1" a="1"/>
  <c r="O1707" i="1" s="1"/>
  <c r="O1708" i="1" a="1"/>
  <c r="O1708" i="1" s="1"/>
  <c r="O1709" i="1" a="1"/>
  <c r="O1709" i="1" s="1"/>
  <c r="O1710" i="1" a="1"/>
  <c r="O1710" i="1" s="1"/>
  <c r="O1711" i="1" a="1"/>
  <c r="O1711" i="1" s="1"/>
  <c r="O1712" i="1" a="1"/>
  <c r="O1712" i="1" s="1"/>
  <c r="O1713" i="1" a="1"/>
  <c r="O1713" i="1" s="1"/>
  <c r="O1714" i="1" a="1"/>
  <c r="O1714" i="1" s="1"/>
  <c r="O1715" i="1" a="1"/>
  <c r="O1715" i="1" s="1"/>
  <c r="O1716" i="1" a="1"/>
  <c r="O1716" i="1" s="1"/>
  <c r="O1717" i="1" a="1"/>
  <c r="O1717" i="1" s="1"/>
  <c r="O1718" i="1" a="1"/>
  <c r="O1718" i="1" s="1"/>
  <c r="O1719" i="1" a="1"/>
  <c r="O1719" i="1" s="1"/>
  <c r="O1720" i="1" a="1"/>
  <c r="O1720" i="1" s="1"/>
  <c r="O1721" i="1" a="1"/>
  <c r="O1721" i="1" s="1"/>
  <c r="O1722" i="1" a="1"/>
  <c r="O1722" i="1" s="1"/>
  <c r="O1723" i="1" a="1"/>
  <c r="O1723" i="1" s="1"/>
  <c r="O1724" i="1" a="1"/>
  <c r="O1724" i="1" s="1"/>
  <c r="O1725" i="1" a="1"/>
  <c r="O1725" i="1" s="1"/>
  <c r="O1726" i="1" a="1"/>
  <c r="O1726" i="1" s="1"/>
  <c r="O1727" i="1" a="1"/>
  <c r="O1727" i="1" s="1"/>
  <c r="O1728" i="1" a="1"/>
  <c r="O1728" i="1" s="1"/>
  <c r="O1729" i="1" a="1"/>
  <c r="O1729" i="1" s="1"/>
  <c r="O1730" i="1" a="1"/>
  <c r="O1730" i="1" s="1"/>
  <c r="O1731" i="1" a="1"/>
  <c r="O1731" i="1" s="1"/>
  <c r="O1732" i="1" a="1"/>
  <c r="O1732" i="1" s="1"/>
  <c r="O1733" i="1" a="1"/>
  <c r="O1733" i="1" s="1"/>
  <c r="O1734" i="1" a="1"/>
  <c r="O1734" i="1" s="1"/>
  <c r="O1735" i="1" a="1"/>
  <c r="O1735" i="1" s="1"/>
  <c r="O1736" i="1" a="1"/>
  <c r="O1736" i="1" s="1"/>
  <c r="O1737" i="1" a="1"/>
  <c r="O1737" i="1" s="1"/>
  <c r="O1738" i="1" a="1"/>
  <c r="O1738" i="1" s="1"/>
  <c r="O1739" i="1" a="1"/>
  <c r="O1739" i="1" s="1"/>
  <c r="O1740" i="1" a="1"/>
  <c r="O1740" i="1" s="1"/>
  <c r="O1741" i="1" a="1"/>
  <c r="O1741" i="1" s="1"/>
  <c r="O1742" i="1" a="1"/>
  <c r="O1742" i="1" s="1"/>
  <c r="O1743" i="1" a="1"/>
  <c r="O1743" i="1" s="1"/>
  <c r="O1744" i="1" a="1"/>
  <c r="O1744" i="1" s="1"/>
  <c r="O1745" i="1" a="1"/>
  <c r="O1745" i="1" s="1"/>
  <c r="O1746" i="1" a="1"/>
  <c r="O1746" i="1" s="1"/>
  <c r="O1747" i="1" a="1"/>
  <c r="O1747" i="1" s="1"/>
  <c r="O1748" i="1" a="1"/>
  <c r="O1748" i="1" s="1"/>
  <c r="O1749" i="1" a="1"/>
  <c r="O1749" i="1" s="1"/>
  <c r="O1750" i="1" a="1"/>
  <c r="O1750" i="1" s="1"/>
  <c r="O1751" i="1" a="1"/>
  <c r="O1751" i="1" s="1"/>
  <c r="O1752" i="1" a="1"/>
  <c r="O1752" i="1" s="1"/>
  <c r="O1753" i="1" a="1"/>
  <c r="O1753" i="1" s="1"/>
  <c r="O1754" i="1" a="1"/>
  <c r="O1754" i="1" s="1"/>
  <c r="O1755" i="1" a="1"/>
  <c r="O1755" i="1" s="1"/>
  <c r="O1756" i="1" a="1"/>
  <c r="O1756" i="1" s="1"/>
  <c r="O1757" i="1" a="1"/>
  <c r="O1757" i="1" s="1"/>
  <c r="O1758" i="1" a="1"/>
  <c r="O1758" i="1" s="1"/>
  <c r="O1759" i="1" a="1"/>
  <c r="O1759" i="1" s="1"/>
  <c r="O1760" i="1" a="1"/>
  <c r="O1760" i="1" s="1"/>
  <c r="O1761" i="1" a="1"/>
  <c r="O1761" i="1" s="1"/>
  <c r="O1762" i="1" a="1"/>
  <c r="O1762" i="1" s="1"/>
  <c r="O1763" i="1" a="1"/>
  <c r="O1763" i="1" s="1"/>
  <c r="O1764" i="1" a="1"/>
  <c r="O1764" i="1" s="1"/>
  <c r="O1765" i="1" a="1"/>
  <c r="O1765" i="1" s="1"/>
  <c r="O1766" i="1" a="1"/>
  <c r="O1766" i="1" s="1"/>
  <c r="O1767" i="1" a="1"/>
  <c r="O1767" i="1" s="1"/>
  <c r="O1768" i="1" a="1"/>
  <c r="O1768" i="1" s="1"/>
  <c r="O1769" i="1" a="1"/>
  <c r="O1769" i="1" s="1"/>
  <c r="O1770" i="1" a="1"/>
  <c r="O1770" i="1" s="1"/>
  <c r="O1771" i="1" a="1"/>
  <c r="O1771" i="1" s="1"/>
  <c r="O1772" i="1" a="1"/>
  <c r="O1772" i="1" s="1"/>
  <c r="O1773" i="1" a="1"/>
  <c r="O1773" i="1" s="1"/>
  <c r="O1774" i="1" a="1"/>
  <c r="O1774" i="1" s="1"/>
  <c r="O1775" i="1" a="1"/>
  <c r="O1775" i="1" s="1"/>
  <c r="O1776" i="1" a="1"/>
  <c r="O1776" i="1" s="1"/>
  <c r="O1777" i="1" a="1"/>
  <c r="O1777" i="1" s="1"/>
  <c r="O1778" i="1" a="1"/>
  <c r="O1778" i="1" s="1"/>
  <c r="O1779" i="1" a="1"/>
  <c r="O1779" i="1" s="1"/>
  <c r="O1780" i="1" a="1"/>
  <c r="O1780" i="1" s="1"/>
  <c r="O1781" i="1" a="1"/>
  <c r="O1781" i="1" s="1"/>
  <c r="O1782" i="1" a="1"/>
  <c r="O1782" i="1" s="1"/>
  <c r="O1783" i="1" a="1"/>
  <c r="O1783" i="1" s="1"/>
  <c r="O1784" i="1" a="1"/>
  <c r="O1784" i="1" s="1"/>
  <c r="O1785" i="1" a="1"/>
  <c r="O1785" i="1" s="1"/>
  <c r="O1786" i="1" a="1"/>
  <c r="O1786" i="1" s="1"/>
  <c r="O1787" i="1" a="1"/>
  <c r="O1787" i="1" s="1"/>
  <c r="O1788" i="1" a="1"/>
  <c r="O1788" i="1" s="1"/>
  <c r="O1789" i="1" a="1"/>
  <c r="O1789" i="1" s="1"/>
  <c r="O1790" i="1" a="1"/>
  <c r="O1790" i="1" s="1"/>
  <c r="O1791" i="1" a="1"/>
  <c r="O1791" i="1" s="1"/>
  <c r="O1792" i="1" a="1"/>
  <c r="O1792" i="1" s="1"/>
  <c r="O1793" i="1" a="1"/>
  <c r="O1793" i="1" s="1"/>
  <c r="O1794" i="1" a="1"/>
  <c r="O1794" i="1" s="1"/>
  <c r="O1795" i="1" a="1"/>
  <c r="O1795" i="1" s="1"/>
  <c r="O1796" i="1" a="1"/>
  <c r="O1796" i="1" s="1"/>
  <c r="O1797" i="1" a="1"/>
  <c r="O1797" i="1" s="1"/>
  <c r="O1798" i="1" a="1"/>
  <c r="O1798" i="1" s="1"/>
  <c r="O1799" i="1" a="1"/>
  <c r="O1799" i="1" s="1"/>
  <c r="O1800" i="1" a="1"/>
  <c r="O1800" i="1" s="1"/>
  <c r="O1801" i="1" a="1"/>
  <c r="O1801" i="1" s="1"/>
  <c r="O1802" i="1" a="1"/>
  <c r="O1802" i="1" s="1"/>
  <c r="O1803" i="1" a="1"/>
  <c r="O1803" i="1" s="1"/>
  <c r="O1804" i="1" a="1"/>
  <c r="O1804" i="1" s="1"/>
  <c r="O1805" i="1" a="1"/>
  <c r="O1805" i="1" s="1"/>
  <c r="O1806" i="1" a="1"/>
  <c r="O1806" i="1" s="1"/>
  <c r="O1807" i="1" a="1"/>
  <c r="O1807" i="1" s="1"/>
  <c r="O1808" i="1" a="1"/>
  <c r="O1808" i="1" s="1"/>
  <c r="O1809" i="1" a="1"/>
  <c r="O1809" i="1" s="1"/>
  <c r="O1810" i="1" a="1"/>
  <c r="O1810" i="1" s="1"/>
  <c r="O1811" i="1" a="1"/>
  <c r="O1811" i="1" s="1"/>
  <c r="O1812" i="1" a="1"/>
  <c r="O1812" i="1" s="1"/>
  <c r="O1813" i="1" a="1"/>
  <c r="O1813" i="1" s="1"/>
  <c r="O1814" i="1" a="1"/>
  <c r="O1814" i="1" s="1"/>
  <c r="O1815" i="1" a="1"/>
  <c r="O1815" i="1" s="1"/>
  <c r="O1816" i="1" a="1"/>
  <c r="O1816" i="1" s="1"/>
  <c r="O1817" i="1" a="1"/>
  <c r="O1817" i="1" s="1"/>
  <c r="O1818" i="1" a="1"/>
  <c r="O1818" i="1" s="1"/>
  <c r="O1819" i="1" a="1"/>
  <c r="O1819" i="1" s="1"/>
  <c r="O1820" i="1" a="1"/>
  <c r="O1820" i="1" s="1"/>
  <c r="O1821" i="1" a="1"/>
  <c r="O1821" i="1" s="1"/>
  <c r="O1822" i="1" a="1"/>
  <c r="O1822" i="1" s="1"/>
  <c r="O1823" i="1" a="1"/>
  <c r="O1823" i="1" s="1"/>
  <c r="O1824" i="1" a="1"/>
  <c r="O1824" i="1" s="1"/>
  <c r="O1825" i="1" a="1"/>
  <c r="O1825" i="1" s="1"/>
  <c r="O1826" i="1" a="1"/>
  <c r="O1826" i="1" s="1"/>
  <c r="O1827" i="1" a="1"/>
  <c r="O1827" i="1" s="1"/>
  <c r="O1828" i="1" a="1"/>
  <c r="O1828" i="1" s="1"/>
  <c r="O1829" i="1" a="1"/>
  <c r="O1829" i="1" s="1"/>
  <c r="O1830" i="1" a="1"/>
  <c r="O1830" i="1" s="1"/>
  <c r="O1831" i="1" a="1"/>
  <c r="O1831" i="1" s="1"/>
  <c r="O1832" i="1" a="1"/>
  <c r="O1832" i="1" s="1"/>
  <c r="O1833" i="1" a="1"/>
  <c r="O1833" i="1" s="1"/>
  <c r="O1834" i="1" a="1"/>
  <c r="O1834" i="1" s="1"/>
  <c r="O1835" i="1" a="1"/>
  <c r="O1835" i="1" s="1"/>
  <c r="O1836" i="1" a="1"/>
  <c r="O1836" i="1" s="1"/>
  <c r="O1837" i="1" a="1"/>
  <c r="O1837" i="1" s="1"/>
  <c r="O1838" i="1" a="1"/>
  <c r="O1838" i="1" s="1"/>
  <c r="O1839" i="1" a="1"/>
  <c r="O1839" i="1" s="1"/>
  <c r="O1840" i="1" a="1"/>
  <c r="O1840" i="1" s="1"/>
  <c r="O1841" i="1" a="1"/>
  <c r="O1841" i="1" s="1"/>
  <c r="O1842" i="1" a="1"/>
  <c r="O1842" i="1" s="1"/>
  <c r="O1843" i="1" a="1"/>
  <c r="O1843" i="1" s="1"/>
  <c r="O1844" i="1" a="1"/>
  <c r="O1844" i="1" s="1"/>
  <c r="O1845" i="1" a="1"/>
  <c r="O1845" i="1" s="1"/>
  <c r="O1846" i="1" a="1"/>
  <c r="O1846" i="1" s="1"/>
  <c r="O1847" i="1" a="1"/>
  <c r="O1847" i="1" s="1"/>
  <c r="O1848" i="1" a="1"/>
  <c r="O1848" i="1" s="1"/>
  <c r="O1849" i="1" a="1"/>
  <c r="O1849" i="1" s="1"/>
  <c r="O1850" i="1" a="1"/>
  <c r="O1850" i="1" s="1"/>
  <c r="O1851" i="1" a="1"/>
  <c r="O1851" i="1" s="1"/>
  <c r="O1852" i="1" a="1"/>
  <c r="O1852" i="1" s="1"/>
  <c r="O1853" i="1" a="1"/>
  <c r="O1853" i="1" s="1"/>
  <c r="O1854" i="1" a="1"/>
  <c r="O1854" i="1" s="1"/>
  <c r="O1855" i="1" a="1"/>
  <c r="O1855" i="1" s="1"/>
  <c r="O1856" i="1" a="1"/>
  <c r="O1856" i="1" s="1"/>
  <c r="O1857" i="1" a="1"/>
  <c r="O1857" i="1" s="1"/>
  <c r="O1858" i="1" a="1"/>
  <c r="O1858" i="1" s="1"/>
  <c r="O1859" i="1" a="1"/>
  <c r="O1859" i="1" s="1"/>
  <c r="O1860" i="1" a="1"/>
  <c r="O1860" i="1" s="1"/>
  <c r="O1861" i="1" a="1"/>
  <c r="O1861" i="1" s="1"/>
  <c r="O1862" i="1" a="1"/>
  <c r="O1862" i="1" s="1"/>
  <c r="O1863" i="1" a="1"/>
  <c r="O1863" i="1" s="1"/>
  <c r="O1864" i="1" a="1"/>
  <c r="O1864" i="1" s="1"/>
  <c r="O1865" i="1" a="1"/>
  <c r="O1865" i="1" s="1"/>
  <c r="O1866" i="1" a="1"/>
  <c r="O1866" i="1" s="1"/>
  <c r="O1867" i="1" a="1"/>
  <c r="O1867" i="1" s="1"/>
  <c r="O1868" i="1" a="1"/>
  <c r="O1868" i="1" s="1"/>
  <c r="O1869" i="1" a="1"/>
  <c r="O1869" i="1" s="1"/>
  <c r="O1870" i="1" a="1"/>
  <c r="O1870" i="1" s="1"/>
  <c r="O1871" i="1" a="1"/>
  <c r="O1871" i="1" s="1"/>
  <c r="O1872" i="1" a="1"/>
  <c r="O1872" i="1" s="1"/>
  <c r="O1873" i="1" a="1"/>
  <c r="O1873" i="1" s="1"/>
  <c r="O1874" i="1" a="1"/>
  <c r="O1874" i="1" s="1"/>
  <c r="O1875" i="1" a="1"/>
  <c r="O1875" i="1" s="1"/>
  <c r="O1876" i="1" a="1"/>
  <c r="O1876" i="1" s="1"/>
  <c r="O1877" i="1" a="1"/>
  <c r="O1877" i="1" s="1"/>
  <c r="O1878" i="1" a="1"/>
  <c r="O1878" i="1" s="1"/>
  <c r="O1879" i="1" a="1"/>
  <c r="O1879" i="1" s="1"/>
  <c r="O1880" i="1" a="1"/>
  <c r="O1880" i="1" s="1"/>
  <c r="O1881" i="1" a="1"/>
  <c r="O1881" i="1" s="1"/>
  <c r="O1882" i="1" a="1"/>
  <c r="O1882" i="1" s="1"/>
  <c r="O1883" i="1" a="1"/>
  <c r="O1883" i="1" s="1"/>
  <c r="O1884" i="1" a="1"/>
  <c r="O1884" i="1" s="1"/>
  <c r="O1885" i="1" a="1"/>
  <c r="O1885" i="1" s="1"/>
  <c r="O1886" i="1" a="1"/>
  <c r="O1886" i="1" s="1"/>
  <c r="O1887" i="1" a="1"/>
  <c r="O1887" i="1" s="1"/>
  <c r="O1888" i="1" a="1"/>
  <c r="O1888" i="1" s="1"/>
  <c r="O1889" i="1" a="1"/>
  <c r="O1889" i="1" s="1"/>
  <c r="O1890" i="1" a="1"/>
  <c r="O1890" i="1" s="1"/>
  <c r="O1891" i="1" a="1"/>
  <c r="O1891" i="1" s="1"/>
  <c r="O1892" i="1" a="1"/>
  <c r="O1892" i="1" s="1"/>
  <c r="O1893" i="1" a="1"/>
  <c r="O1893" i="1" s="1"/>
  <c r="O1894" i="1" a="1"/>
  <c r="O1894" i="1" s="1"/>
  <c r="O1895" i="1" a="1"/>
  <c r="O1895" i="1" s="1"/>
  <c r="O1896" i="1" a="1"/>
  <c r="O1896" i="1" s="1"/>
  <c r="O1897" i="1" a="1"/>
  <c r="O1897" i="1" s="1"/>
  <c r="O1898" i="1" a="1"/>
  <c r="O1898" i="1" s="1"/>
  <c r="O1899" i="1" a="1"/>
  <c r="O1899" i="1" s="1"/>
  <c r="O1900" i="1" a="1"/>
  <c r="O1900" i="1" s="1"/>
  <c r="O1901" i="1" a="1"/>
  <c r="O1901" i="1" s="1"/>
  <c r="O1902" i="1" a="1"/>
  <c r="O1902" i="1" s="1"/>
  <c r="O1903" i="1" a="1"/>
  <c r="O1903" i="1" s="1"/>
  <c r="O1904" i="1" a="1"/>
  <c r="O1904" i="1" s="1"/>
  <c r="O1905" i="1" a="1"/>
  <c r="O1905" i="1" s="1"/>
  <c r="O1906" i="1" a="1"/>
  <c r="O1906" i="1" s="1"/>
  <c r="O1907" i="1" a="1"/>
  <c r="O1907" i="1" s="1"/>
  <c r="O1908" i="1" a="1"/>
  <c r="O1908" i="1" s="1"/>
  <c r="O1909" i="1" a="1"/>
  <c r="O1909" i="1" s="1"/>
  <c r="O1910" i="1" a="1"/>
  <c r="O1910" i="1" s="1"/>
  <c r="O1911" i="1" a="1"/>
  <c r="O1911" i="1" s="1"/>
  <c r="O1912" i="1" a="1"/>
  <c r="O1912" i="1" s="1"/>
  <c r="O1913" i="1" a="1"/>
  <c r="O1913" i="1" s="1"/>
  <c r="O1914" i="1" a="1"/>
  <c r="O1914" i="1" s="1"/>
  <c r="O1915" i="1" a="1"/>
  <c r="O1915" i="1" s="1"/>
  <c r="O1916" i="1" a="1"/>
  <c r="O1916" i="1" s="1"/>
  <c r="O1917" i="1" a="1"/>
  <c r="O1917" i="1" s="1"/>
  <c r="O1918" i="1" a="1"/>
  <c r="O1918" i="1" s="1"/>
  <c r="O1919" i="1" a="1"/>
  <c r="O1919" i="1" s="1"/>
  <c r="O1920" i="1" a="1"/>
  <c r="O1920" i="1" s="1"/>
  <c r="O1921" i="1" a="1"/>
  <c r="O1921" i="1" s="1"/>
  <c r="O1922" i="1" a="1"/>
  <c r="O1922" i="1" s="1"/>
  <c r="O1923" i="1" a="1"/>
  <c r="O1923" i="1" s="1"/>
  <c r="O1924" i="1" a="1"/>
  <c r="O1924" i="1" s="1"/>
  <c r="O1925" i="1" a="1"/>
  <c r="O1925" i="1" s="1"/>
  <c r="O1926" i="1" a="1"/>
  <c r="O1926" i="1" s="1"/>
  <c r="O1927" i="1" a="1"/>
  <c r="O1927" i="1" s="1"/>
  <c r="O1928" i="1" a="1"/>
  <c r="O1928" i="1" s="1"/>
  <c r="O1929" i="1" a="1"/>
  <c r="O1929" i="1" s="1"/>
  <c r="O1930" i="1" a="1"/>
  <c r="O1930" i="1" s="1"/>
  <c r="O1931" i="1" a="1"/>
  <c r="O1931" i="1" s="1"/>
  <c r="O1932" i="1" a="1"/>
  <c r="O1932" i="1" s="1"/>
  <c r="O1933" i="1" a="1"/>
  <c r="O1933" i="1" s="1"/>
  <c r="O1934" i="1" a="1"/>
  <c r="O1934" i="1" s="1"/>
  <c r="O1935" i="1" a="1"/>
  <c r="O1935" i="1" s="1"/>
  <c r="O1936" i="1" a="1"/>
  <c r="O1936" i="1" s="1"/>
  <c r="O1937" i="1" a="1"/>
  <c r="O1937" i="1" s="1"/>
  <c r="O1938" i="1" a="1"/>
  <c r="O1938" i="1" s="1"/>
  <c r="O1939" i="1" a="1"/>
  <c r="O1939" i="1" s="1"/>
  <c r="O1940" i="1" a="1"/>
  <c r="O1940" i="1" s="1"/>
  <c r="O1941" i="1" a="1"/>
  <c r="O1941" i="1" s="1"/>
  <c r="O1942" i="1" a="1"/>
  <c r="O1942" i="1" s="1"/>
  <c r="O1943" i="1" a="1"/>
  <c r="O1943" i="1" s="1"/>
  <c r="O1944" i="1" a="1"/>
  <c r="O1944" i="1" s="1"/>
  <c r="O1945" i="1" a="1"/>
  <c r="O1945" i="1" s="1"/>
  <c r="O1946" i="1" a="1"/>
  <c r="O1946" i="1" s="1"/>
  <c r="O1947" i="1" a="1"/>
  <c r="O1947" i="1" s="1"/>
  <c r="O1948" i="1" a="1"/>
  <c r="O1948" i="1" s="1"/>
  <c r="O1949" i="1" a="1"/>
  <c r="O1949" i="1" s="1"/>
  <c r="O1950" i="1" a="1"/>
  <c r="O1950" i="1" s="1"/>
  <c r="O1951" i="1" a="1"/>
  <c r="O1951" i="1" s="1"/>
  <c r="O1952" i="1" a="1"/>
  <c r="O1952" i="1" s="1"/>
  <c r="O1953" i="1" a="1"/>
  <c r="O1953" i="1" s="1"/>
  <c r="O1954" i="1" a="1"/>
  <c r="O1954" i="1" s="1"/>
  <c r="O1955" i="1" a="1"/>
  <c r="O1955" i="1" s="1"/>
  <c r="O1956" i="1" a="1"/>
  <c r="O1956" i="1" s="1"/>
  <c r="O1957" i="1" a="1"/>
  <c r="O1957" i="1" s="1"/>
  <c r="O1958" i="1" a="1"/>
  <c r="O1958" i="1" s="1"/>
  <c r="O1959" i="1" a="1"/>
  <c r="O1959" i="1" s="1"/>
  <c r="O1960" i="1" a="1"/>
  <c r="O1960" i="1" s="1"/>
  <c r="O1961" i="1" a="1"/>
  <c r="O1961" i="1" s="1"/>
  <c r="O1962" i="1" a="1"/>
  <c r="O1962" i="1" s="1"/>
  <c r="O1963" i="1" a="1"/>
  <c r="O1963" i="1" s="1"/>
  <c r="O1964" i="1" a="1"/>
  <c r="O1964" i="1" s="1"/>
  <c r="O1965" i="1" a="1"/>
  <c r="O1965" i="1" s="1"/>
  <c r="O1966" i="1" a="1"/>
  <c r="O1966" i="1" s="1"/>
  <c r="O1967" i="1" a="1"/>
  <c r="O1967" i="1" s="1"/>
  <c r="O1968" i="1" a="1"/>
  <c r="O1968" i="1" s="1"/>
  <c r="O1969" i="1" a="1"/>
  <c r="O1969" i="1" s="1"/>
  <c r="O1970" i="1" a="1"/>
  <c r="O1970" i="1" s="1"/>
  <c r="O1971" i="1" a="1"/>
  <c r="O1971" i="1" s="1"/>
  <c r="O1972" i="1" a="1"/>
  <c r="O1972" i="1" s="1"/>
  <c r="O1973" i="1" a="1"/>
  <c r="O1973" i="1" s="1"/>
  <c r="O1974" i="1" a="1"/>
  <c r="O1974" i="1" s="1"/>
  <c r="O1975" i="1" a="1"/>
  <c r="O1975" i="1" s="1"/>
  <c r="O1976" i="1" a="1"/>
  <c r="O1976" i="1" s="1"/>
  <c r="O1977" i="1" a="1"/>
  <c r="O1977" i="1" s="1"/>
  <c r="O1978" i="1" a="1"/>
  <c r="O1978" i="1" s="1"/>
  <c r="O1979" i="1" a="1"/>
  <c r="O1979" i="1" s="1"/>
  <c r="O1980" i="1" a="1"/>
  <c r="O1980" i="1" s="1"/>
  <c r="O1981" i="1" a="1"/>
  <c r="O1981" i="1" s="1"/>
  <c r="O1982" i="1" a="1"/>
  <c r="O1982" i="1" s="1"/>
  <c r="O1983" i="1" a="1"/>
  <c r="O1983" i="1" s="1"/>
  <c r="O1984" i="1" a="1"/>
  <c r="O1984" i="1" s="1"/>
  <c r="O1985" i="1" a="1"/>
  <c r="O1985" i="1" s="1"/>
  <c r="O1986" i="1" a="1"/>
  <c r="O1986" i="1" s="1"/>
  <c r="O1987" i="1" a="1"/>
  <c r="O1987" i="1" s="1"/>
  <c r="O1988" i="1" a="1"/>
  <c r="O1988" i="1" s="1"/>
  <c r="O1989" i="1" a="1"/>
  <c r="O1989" i="1" s="1"/>
  <c r="O1990" i="1" a="1"/>
  <c r="O1990" i="1" s="1"/>
  <c r="O1991" i="1" a="1"/>
  <c r="O1991" i="1" s="1"/>
  <c r="O1992" i="1" a="1"/>
  <c r="O1992" i="1" s="1"/>
  <c r="O1993" i="1" a="1"/>
  <c r="O1993" i="1" s="1"/>
  <c r="O1994" i="1" a="1"/>
  <c r="O1994" i="1" s="1"/>
  <c r="O1995" i="1" a="1"/>
  <c r="O1995" i="1" s="1"/>
  <c r="O1996" i="1" a="1"/>
  <c r="O1996" i="1" s="1"/>
  <c r="O1997" i="1" a="1"/>
  <c r="O1997" i="1" s="1"/>
  <c r="O1998" i="1" a="1"/>
  <c r="O1998" i="1" s="1"/>
  <c r="O1999" i="1" a="1"/>
  <c r="O1999" i="1" s="1"/>
  <c r="O2000" i="1" a="1"/>
  <c r="O2000" i="1" s="1"/>
  <c r="O2001" i="1" a="1"/>
  <c r="O2001" i="1" s="1"/>
  <c r="O2002" i="1" a="1"/>
  <c r="O2002" i="1" s="1"/>
  <c r="O2003" i="1" a="1"/>
  <c r="O2003" i="1" s="1"/>
  <c r="O2004" i="1" a="1"/>
  <c r="O2004" i="1" s="1"/>
  <c r="O2005" i="1" a="1"/>
  <c r="O2005" i="1" s="1"/>
  <c r="O2006" i="1" a="1"/>
  <c r="O2006" i="1" s="1"/>
  <c r="O2007" i="1" a="1"/>
  <c r="O2007" i="1" s="1"/>
  <c r="O2008" i="1" a="1"/>
  <c r="O2008" i="1" s="1"/>
  <c r="O2009" i="1" a="1"/>
  <c r="O2009" i="1" s="1"/>
  <c r="O2010" i="1" a="1"/>
  <c r="O2010" i="1" s="1"/>
  <c r="O2011" i="1" a="1"/>
  <c r="O2011" i="1" s="1"/>
  <c r="O2012" i="1" a="1"/>
  <c r="O2012" i="1" s="1"/>
  <c r="O2013" i="1" a="1"/>
  <c r="O2013" i="1" s="1"/>
  <c r="O2014" i="1" a="1"/>
  <c r="O2014" i="1" s="1"/>
  <c r="O2015" i="1" a="1"/>
  <c r="O2015" i="1" s="1"/>
  <c r="O2016" i="1" a="1"/>
  <c r="O2016" i="1" s="1"/>
  <c r="O2017" i="1" a="1"/>
  <c r="O2017" i="1" s="1"/>
  <c r="O2018" i="1" a="1"/>
  <c r="O2018" i="1" s="1"/>
  <c r="O2019" i="1" a="1"/>
  <c r="O2019" i="1" s="1"/>
  <c r="O2020" i="1" a="1"/>
  <c r="O2020" i="1" s="1"/>
  <c r="O2021" i="1" a="1"/>
  <c r="O2021" i="1" s="1"/>
  <c r="O2022" i="1" a="1"/>
  <c r="O2022" i="1" s="1"/>
  <c r="O2023" i="1" a="1"/>
  <c r="O2023" i="1" s="1"/>
  <c r="O2024" i="1" a="1"/>
  <c r="O2024" i="1" s="1"/>
  <c r="O2025" i="1" a="1"/>
  <c r="O2025" i="1" s="1"/>
  <c r="O2026" i="1" a="1"/>
  <c r="O2026" i="1" s="1"/>
  <c r="O2027" i="1" a="1"/>
  <c r="O2027" i="1" s="1"/>
  <c r="O2028" i="1" a="1"/>
  <c r="O2028" i="1" s="1"/>
  <c r="O2029" i="1" a="1"/>
  <c r="O2029" i="1" s="1"/>
  <c r="O2030" i="1" a="1"/>
  <c r="O2030" i="1" s="1"/>
  <c r="O2031" i="1" a="1"/>
  <c r="O2031" i="1" s="1"/>
  <c r="O2032" i="1" a="1"/>
  <c r="O2032" i="1" s="1"/>
  <c r="O2033" i="1" a="1"/>
  <c r="O2033" i="1" s="1"/>
  <c r="O2034" i="1" a="1"/>
  <c r="O2034" i="1" s="1"/>
  <c r="O2035" i="1" a="1"/>
  <c r="O2035" i="1" s="1"/>
  <c r="O2036" i="1" a="1"/>
  <c r="O2036" i="1" s="1"/>
  <c r="O2037" i="1" a="1"/>
  <c r="O2037" i="1" s="1"/>
  <c r="O2038" i="1" a="1"/>
  <c r="O2038" i="1" s="1"/>
  <c r="O2039" i="1" a="1"/>
  <c r="O2039" i="1" s="1"/>
  <c r="O2040" i="1" a="1"/>
  <c r="O2040" i="1" s="1"/>
  <c r="O2041" i="1" a="1"/>
  <c r="O2041" i="1" s="1"/>
  <c r="O2042" i="1" a="1"/>
  <c r="O2042" i="1" s="1"/>
  <c r="O2043" i="1" a="1"/>
  <c r="O2043" i="1" s="1"/>
  <c r="O2044" i="1" a="1"/>
  <c r="O2044" i="1" s="1"/>
  <c r="O2045" i="1" a="1"/>
  <c r="O2045" i="1" s="1"/>
  <c r="O2046" i="1" a="1"/>
  <c r="O2046" i="1" s="1"/>
  <c r="O2047" i="1" a="1"/>
  <c r="O2047" i="1" s="1"/>
  <c r="O2048" i="1" a="1"/>
  <c r="O2048" i="1" s="1"/>
  <c r="O2049" i="1" a="1"/>
  <c r="O2049" i="1" s="1"/>
  <c r="O2050" i="1" a="1"/>
  <c r="O2050" i="1" s="1"/>
  <c r="O2051" i="1" a="1"/>
  <c r="O2051" i="1" s="1"/>
  <c r="O2052" i="1" a="1"/>
  <c r="O2052" i="1" s="1"/>
  <c r="O2053" i="1" a="1"/>
  <c r="O2053" i="1" s="1"/>
  <c r="O2054" i="1" a="1"/>
  <c r="O2054" i="1" s="1"/>
  <c r="O2055" i="1" a="1"/>
  <c r="O2055" i="1" s="1"/>
  <c r="O2056" i="1" a="1"/>
  <c r="O2056" i="1" s="1"/>
  <c r="O2057" i="1" a="1"/>
  <c r="O2057" i="1" s="1"/>
  <c r="O2058" i="1" a="1"/>
  <c r="O2058" i="1" s="1"/>
  <c r="O2059" i="1" a="1"/>
  <c r="O2059" i="1" s="1"/>
  <c r="O2060" i="1" a="1"/>
  <c r="O2060" i="1" s="1"/>
  <c r="O2061" i="1" a="1"/>
  <c r="O2061" i="1" s="1"/>
  <c r="O2062" i="1" a="1"/>
  <c r="O2062" i="1" s="1"/>
  <c r="O2063" i="1" a="1"/>
  <c r="O2063" i="1" s="1"/>
  <c r="O2064" i="1" a="1"/>
  <c r="O2064" i="1" s="1"/>
  <c r="O2065" i="1" a="1"/>
  <c r="O2065" i="1" s="1"/>
  <c r="O2066" i="1" a="1"/>
  <c r="O2066" i="1" s="1"/>
  <c r="O2067" i="1" a="1"/>
  <c r="O2067" i="1" s="1"/>
  <c r="O2068" i="1" a="1"/>
  <c r="O2068" i="1" s="1"/>
  <c r="O2069" i="1" a="1"/>
  <c r="O2069" i="1" s="1"/>
  <c r="O2070" i="1" a="1"/>
  <c r="O2070" i="1" s="1"/>
  <c r="O2071" i="1" a="1"/>
  <c r="O2071" i="1" s="1"/>
  <c r="O2072" i="1" a="1"/>
  <c r="O2072" i="1" s="1"/>
  <c r="O2073" i="1" a="1"/>
  <c r="O2073" i="1" s="1"/>
  <c r="O2074" i="1" a="1"/>
  <c r="O2074" i="1" s="1"/>
  <c r="O2075" i="1" a="1"/>
  <c r="O2075" i="1" s="1"/>
  <c r="O2076" i="1" a="1"/>
  <c r="O2076" i="1" s="1"/>
  <c r="O2077" i="1" a="1"/>
  <c r="O2077" i="1" s="1"/>
  <c r="O2078" i="1" a="1"/>
  <c r="O2078" i="1" s="1"/>
  <c r="O2079" i="1" a="1"/>
  <c r="O2079" i="1" s="1"/>
  <c r="O2080" i="1" a="1"/>
  <c r="O2080" i="1" s="1"/>
  <c r="O2081" i="1" a="1"/>
  <c r="O2081" i="1" s="1"/>
  <c r="O2082" i="1" a="1"/>
  <c r="O2082" i="1" s="1"/>
  <c r="O2083" i="1" a="1"/>
  <c r="O2083" i="1" s="1"/>
  <c r="O2084" i="1" a="1"/>
  <c r="O2084" i="1" s="1"/>
  <c r="O2085" i="1" a="1"/>
  <c r="O2085" i="1" s="1"/>
  <c r="O2086" i="1" a="1"/>
  <c r="O2086" i="1" s="1"/>
  <c r="O2087" i="1" a="1"/>
  <c r="O2087" i="1" s="1"/>
  <c r="O2088" i="1" a="1"/>
  <c r="O2088" i="1" s="1"/>
  <c r="O2089" i="1" a="1"/>
  <c r="O2089" i="1" s="1"/>
  <c r="O2090" i="1" a="1"/>
  <c r="O2090" i="1" s="1"/>
  <c r="O2091" i="1" a="1"/>
  <c r="O2091" i="1" s="1"/>
  <c r="O2092" i="1" a="1"/>
  <c r="O2092" i="1" s="1"/>
  <c r="O2093" i="1" a="1"/>
  <c r="O2093" i="1" s="1"/>
  <c r="O2094" i="1" a="1"/>
  <c r="O2094" i="1" s="1"/>
  <c r="O2095" i="1" a="1"/>
  <c r="O2095" i="1" s="1"/>
  <c r="O2096" i="1" a="1"/>
  <c r="O2096" i="1" s="1"/>
  <c r="O2097" i="1" a="1"/>
  <c r="O2097" i="1" s="1"/>
  <c r="O2098" i="1" a="1"/>
  <c r="O2098" i="1" s="1"/>
  <c r="O2099" i="1" a="1"/>
  <c r="O2099" i="1" s="1"/>
  <c r="O2100" i="1" a="1"/>
  <c r="O2100" i="1" s="1"/>
  <c r="O2101" i="1" a="1"/>
  <c r="O2101" i="1" s="1"/>
  <c r="O2102" i="1" a="1"/>
  <c r="O2102" i="1" s="1"/>
  <c r="O2103" i="1" a="1"/>
  <c r="O2103" i="1" s="1"/>
  <c r="O2104" i="1" a="1"/>
  <c r="O2104" i="1" s="1"/>
  <c r="O2105" i="1" a="1"/>
  <c r="O2105" i="1" s="1"/>
  <c r="O2106" i="1" a="1"/>
  <c r="O2106" i="1" s="1"/>
  <c r="O2107" i="1" a="1"/>
  <c r="O2107" i="1" s="1"/>
  <c r="O2108" i="1" a="1"/>
  <c r="O2108" i="1" s="1"/>
  <c r="O2109" i="1" a="1"/>
  <c r="O2109" i="1" s="1"/>
  <c r="O2110" i="1" a="1"/>
  <c r="O2110" i="1" s="1"/>
  <c r="O2111" i="1" a="1"/>
  <c r="O2111" i="1" s="1"/>
  <c r="O2112" i="1" a="1"/>
  <c r="O2112" i="1" s="1"/>
  <c r="O2113" i="1" a="1"/>
  <c r="O2113" i="1" s="1"/>
  <c r="O2114" i="1" a="1"/>
  <c r="O2114" i="1" s="1"/>
  <c r="O2115" i="1" a="1"/>
  <c r="O2115" i="1" s="1"/>
  <c r="O2116" i="1" a="1"/>
  <c r="O2116" i="1" s="1"/>
  <c r="O2117" i="1" a="1"/>
  <c r="O2117" i="1" s="1"/>
  <c r="O2118" i="1" a="1"/>
  <c r="O2118" i="1" s="1"/>
  <c r="O2119" i="1" a="1"/>
  <c r="O2119" i="1" s="1"/>
  <c r="O2120" i="1" a="1"/>
  <c r="O2120" i="1" s="1"/>
  <c r="O2121" i="1" a="1"/>
  <c r="O2121" i="1" s="1"/>
  <c r="O2122" i="1" a="1"/>
  <c r="O2122" i="1" s="1"/>
  <c r="O2123" i="1" a="1"/>
  <c r="O2123" i="1" s="1"/>
  <c r="O2124" i="1" a="1"/>
  <c r="O2124" i="1" s="1"/>
  <c r="O2125" i="1" a="1"/>
  <c r="O2125" i="1" s="1"/>
  <c r="O2126" i="1" a="1"/>
  <c r="O2126" i="1" s="1"/>
  <c r="O2127" i="1" a="1"/>
  <c r="O2127" i="1" s="1"/>
  <c r="O2128" i="1" a="1"/>
  <c r="O2128" i="1" s="1"/>
  <c r="O2129" i="1" a="1"/>
  <c r="O2129" i="1" s="1"/>
  <c r="O2130" i="1" a="1"/>
  <c r="O2130" i="1" s="1"/>
  <c r="O2131" i="1" a="1"/>
  <c r="O2131" i="1" s="1"/>
  <c r="O2132" i="1" a="1"/>
  <c r="O2132" i="1" s="1"/>
  <c r="O2133" i="1" a="1"/>
  <c r="O2133" i="1" s="1"/>
  <c r="O2134" i="1" a="1"/>
  <c r="O2134" i="1" s="1"/>
  <c r="O2135" i="1" a="1"/>
  <c r="O2135" i="1" s="1"/>
  <c r="O2136" i="1" a="1"/>
  <c r="O2136" i="1" s="1"/>
  <c r="O2137" i="1" a="1"/>
  <c r="O2137" i="1" s="1"/>
  <c r="O2138" i="1" a="1"/>
  <c r="O2138" i="1" s="1"/>
  <c r="O2139" i="1" a="1"/>
  <c r="O2139" i="1" s="1"/>
  <c r="O2140" i="1" a="1"/>
  <c r="O2140" i="1" s="1"/>
  <c r="O2141" i="1" a="1"/>
  <c r="O2141" i="1" s="1"/>
  <c r="O2142" i="1" a="1"/>
  <c r="O2142" i="1" s="1"/>
  <c r="O2143" i="1" a="1"/>
  <c r="O2143" i="1" s="1"/>
  <c r="O2144" i="1" a="1"/>
  <c r="O2144" i="1" s="1"/>
  <c r="O2145" i="1" a="1"/>
  <c r="O2145" i="1" s="1"/>
  <c r="O2146" i="1" a="1"/>
  <c r="O2146" i="1" s="1"/>
  <c r="O2147" i="1" a="1"/>
  <c r="O2147" i="1" s="1"/>
  <c r="O2148" i="1" a="1"/>
  <c r="O2148" i="1" s="1"/>
  <c r="O2149" i="1" a="1"/>
  <c r="O2149" i="1" s="1"/>
  <c r="O2150" i="1" a="1"/>
  <c r="O2150" i="1" s="1"/>
  <c r="O2151" i="1" a="1"/>
  <c r="O2151" i="1" s="1"/>
  <c r="O2152" i="1" a="1"/>
  <c r="O2152" i="1" s="1"/>
  <c r="O2153" i="1" a="1"/>
  <c r="O2153" i="1" s="1"/>
  <c r="O2154" i="1" a="1"/>
  <c r="O2154" i="1" s="1"/>
  <c r="O2155" i="1" a="1"/>
  <c r="O2155" i="1" s="1"/>
  <c r="O2156" i="1" a="1"/>
  <c r="O2156" i="1" s="1"/>
  <c r="O2157" i="1" a="1"/>
  <c r="O2157" i="1" s="1"/>
  <c r="O2158" i="1" a="1"/>
  <c r="O2158" i="1" s="1"/>
  <c r="O2159" i="1" a="1"/>
  <c r="O2159" i="1" s="1"/>
  <c r="O2160" i="1" a="1"/>
  <c r="O2160" i="1" s="1"/>
  <c r="O2161" i="1" a="1"/>
  <c r="O2161" i="1" s="1"/>
  <c r="O2162" i="1" a="1"/>
  <c r="O2162" i="1" s="1"/>
  <c r="O2163" i="1" a="1"/>
  <c r="O2163" i="1" s="1"/>
  <c r="O2164" i="1" a="1"/>
  <c r="O2164" i="1" s="1"/>
  <c r="O2165" i="1" a="1"/>
  <c r="O2165" i="1" s="1"/>
  <c r="O2166" i="1" a="1"/>
  <c r="O2166" i="1" s="1"/>
  <c r="O2167" i="1" a="1"/>
  <c r="O2167" i="1" s="1"/>
  <c r="O2168" i="1" a="1"/>
  <c r="O2168" i="1" s="1"/>
  <c r="O2169" i="1" a="1"/>
  <c r="O2169" i="1" s="1"/>
  <c r="O2170" i="1" a="1"/>
  <c r="O2170" i="1" s="1"/>
  <c r="O2171" i="1" a="1"/>
  <c r="O2171" i="1" s="1"/>
  <c r="O2172" i="1" a="1"/>
  <c r="O2172" i="1" s="1"/>
  <c r="O2173" i="1" a="1"/>
  <c r="O2173" i="1" s="1"/>
  <c r="O2174" i="1" a="1"/>
  <c r="O2174" i="1" s="1"/>
  <c r="O2175" i="1" a="1"/>
  <c r="O2175" i="1" s="1"/>
  <c r="O2176" i="1" a="1"/>
  <c r="O2176" i="1" s="1"/>
  <c r="O2177" i="1" a="1"/>
  <c r="O2177" i="1" s="1"/>
  <c r="O2178" i="1" a="1"/>
  <c r="O2178" i="1" s="1"/>
  <c r="O2179" i="1" a="1"/>
  <c r="O2179" i="1" s="1"/>
  <c r="O2180" i="1" a="1"/>
  <c r="O2180" i="1" s="1"/>
  <c r="O2181" i="1" a="1"/>
  <c r="O2181" i="1" s="1"/>
  <c r="O2182" i="1" a="1"/>
  <c r="O2182" i="1" s="1"/>
  <c r="O2183" i="1" a="1"/>
  <c r="O2183" i="1" s="1"/>
  <c r="O2184" i="1" a="1"/>
  <c r="O2184" i="1" s="1"/>
  <c r="O2185" i="1" a="1"/>
  <c r="O2185" i="1" s="1"/>
  <c r="O2186" i="1" a="1"/>
  <c r="O2186" i="1" s="1"/>
  <c r="O2187" i="1" a="1"/>
  <c r="O2187" i="1" s="1"/>
  <c r="O2188" i="1" a="1"/>
  <c r="O2188" i="1" s="1"/>
  <c r="O2189" i="1" a="1"/>
  <c r="O2189" i="1" s="1"/>
  <c r="O2190" i="1" a="1"/>
  <c r="O2190" i="1" s="1"/>
  <c r="O2191" i="1" a="1"/>
  <c r="O2191" i="1" s="1"/>
  <c r="O2192" i="1" a="1"/>
  <c r="O2192" i="1" s="1"/>
  <c r="O2193" i="1" a="1"/>
  <c r="O2193" i="1" s="1"/>
  <c r="O2194" i="1" a="1"/>
  <c r="O2194" i="1" s="1"/>
  <c r="O2195" i="1" a="1"/>
  <c r="O2195" i="1" s="1"/>
  <c r="O2196" i="1" a="1"/>
  <c r="O2196" i="1" s="1"/>
  <c r="O2197" i="1" a="1"/>
  <c r="O2197" i="1" s="1"/>
  <c r="O2198" i="1" a="1"/>
  <c r="O2198" i="1" s="1"/>
  <c r="O2199" i="1" a="1"/>
  <c r="O2199" i="1" s="1"/>
  <c r="O2200" i="1" a="1"/>
  <c r="O2200" i="1" s="1"/>
  <c r="O2201" i="1" a="1"/>
  <c r="O2201" i="1" s="1"/>
  <c r="O2202" i="1" a="1"/>
  <c r="O2202" i="1" s="1"/>
  <c r="O2203" i="1" a="1"/>
  <c r="O2203" i="1" s="1"/>
  <c r="O2204" i="1" a="1"/>
  <c r="O2204" i="1" s="1"/>
  <c r="O2205" i="1" a="1"/>
  <c r="O2205" i="1" s="1"/>
  <c r="O2206" i="1" a="1"/>
  <c r="O2206" i="1" s="1"/>
  <c r="O2207" i="1" a="1"/>
  <c r="O2207" i="1" s="1"/>
  <c r="O2208" i="1" a="1"/>
  <c r="O2208" i="1" s="1"/>
  <c r="O2209" i="1" a="1"/>
  <c r="O2209" i="1" s="1"/>
  <c r="O2210" i="1" a="1"/>
  <c r="O2210" i="1" s="1"/>
  <c r="O2211" i="1" a="1"/>
  <c r="O2211" i="1" s="1"/>
  <c r="O2212" i="1" a="1"/>
  <c r="O2212" i="1" s="1"/>
  <c r="O2213" i="1" a="1"/>
  <c r="O2213" i="1" s="1"/>
  <c r="O2214" i="1" a="1"/>
  <c r="O2214" i="1" s="1"/>
  <c r="O2215" i="1" a="1"/>
  <c r="O2215" i="1" s="1"/>
  <c r="O2216" i="1" a="1"/>
  <c r="O2216" i="1" s="1"/>
  <c r="O2217" i="1" a="1"/>
  <c r="O2217" i="1" s="1"/>
  <c r="O2218" i="1" a="1"/>
  <c r="O2218" i="1" s="1"/>
  <c r="O2219" i="1" a="1"/>
  <c r="O2219" i="1" s="1"/>
  <c r="O2220" i="1" a="1"/>
  <c r="O2220" i="1" s="1"/>
  <c r="O2221" i="1" a="1"/>
  <c r="O2221" i="1" s="1"/>
  <c r="O2222" i="1" a="1"/>
  <c r="O2222" i="1" s="1"/>
  <c r="O2223" i="1" a="1"/>
  <c r="O2223" i="1" s="1"/>
  <c r="O2224" i="1" a="1"/>
  <c r="O2224" i="1" s="1"/>
  <c r="O2225" i="1" a="1"/>
  <c r="O2225" i="1" s="1"/>
  <c r="O2226" i="1" a="1"/>
  <c r="O2226" i="1" s="1"/>
  <c r="O2227" i="1" a="1"/>
  <c r="O2227" i="1" s="1"/>
  <c r="O2228" i="1" a="1"/>
  <c r="O2228" i="1" s="1"/>
  <c r="O2229" i="1" a="1"/>
  <c r="O2229" i="1" s="1"/>
  <c r="O2230" i="1" a="1"/>
  <c r="O2230" i="1" s="1"/>
  <c r="O2231" i="1" a="1"/>
  <c r="O2231" i="1" s="1"/>
  <c r="O2232" i="1" a="1"/>
  <c r="O2232" i="1" s="1"/>
  <c r="O2233" i="1" a="1"/>
  <c r="O2233" i="1" s="1"/>
  <c r="O2234" i="1" a="1"/>
  <c r="O2234" i="1" s="1"/>
  <c r="O2235" i="1" a="1"/>
  <c r="O2235" i="1" s="1"/>
  <c r="O2236" i="1" a="1"/>
  <c r="O2236" i="1" s="1"/>
  <c r="O2237" i="1" a="1"/>
  <c r="O2237" i="1" s="1"/>
  <c r="O2238" i="1" a="1"/>
  <c r="O2238" i="1" s="1"/>
  <c r="O2239" i="1" a="1"/>
  <c r="O2239" i="1" s="1"/>
  <c r="O2240" i="1" a="1"/>
  <c r="O2240" i="1" s="1"/>
  <c r="O2241" i="1" a="1"/>
  <c r="O2241" i="1" s="1"/>
  <c r="O2242" i="1" a="1"/>
  <c r="O2242" i="1" s="1"/>
  <c r="O2243" i="1" a="1"/>
  <c r="O2243" i="1" s="1"/>
  <c r="O2244" i="1" a="1"/>
  <c r="O2244" i="1" s="1"/>
  <c r="O2245" i="1" a="1"/>
  <c r="O2245" i="1" s="1"/>
  <c r="O2246" i="1" a="1"/>
  <c r="O2246" i="1" s="1"/>
  <c r="O2247" i="1" a="1"/>
  <c r="O2247" i="1" s="1"/>
  <c r="O2248" i="1" a="1"/>
  <c r="O2248" i="1" s="1"/>
  <c r="O2249" i="1" a="1"/>
  <c r="O2249" i="1" s="1"/>
  <c r="O2250" i="1" a="1"/>
  <c r="O2250" i="1" s="1"/>
  <c r="O2251" i="1" a="1"/>
  <c r="O2251" i="1" s="1"/>
  <c r="O2252" i="1" a="1"/>
  <c r="O2252" i="1" s="1"/>
  <c r="O2253" i="1" a="1"/>
  <c r="O2253" i="1" s="1"/>
  <c r="O2254" i="1" a="1"/>
  <c r="O2254" i="1" s="1"/>
  <c r="O2255" i="1" a="1"/>
  <c r="O2255" i="1" s="1"/>
  <c r="O2256" i="1" a="1"/>
  <c r="O2256" i="1" s="1"/>
  <c r="O2257" i="1" a="1"/>
  <c r="O2257" i="1" s="1"/>
  <c r="O2258" i="1" a="1"/>
  <c r="O2258" i="1" s="1"/>
  <c r="O2259" i="1" a="1"/>
  <c r="O2259" i="1" s="1"/>
  <c r="O2260" i="1" a="1"/>
  <c r="O2260" i="1" s="1"/>
  <c r="O2261" i="1" a="1"/>
  <c r="O2261" i="1" s="1"/>
  <c r="O2262" i="1" a="1"/>
  <c r="O2262" i="1" s="1"/>
  <c r="O2263" i="1" a="1"/>
  <c r="O2263" i="1" s="1"/>
  <c r="O2264" i="1" a="1"/>
  <c r="O2264" i="1" s="1"/>
  <c r="O2265" i="1" a="1"/>
  <c r="O2265" i="1" s="1"/>
  <c r="O2266" i="1" a="1"/>
  <c r="O2266" i="1" s="1"/>
  <c r="O2267" i="1" a="1"/>
  <c r="O2267" i="1" s="1"/>
  <c r="O2268" i="1" a="1"/>
  <c r="O2268" i="1" s="1"/>
  <c r="O2269" i="1" a="1"/>
  <c r="O2269" i="1" s="1"/>
  <c r="O2270" i="1" a="1"/>
  <c r="O2270" i="1" s="1"/>
  <c r="O2271" i="1" a="1"/>
  <c r="O2271" i="1" s="1"/>
  <c r="O2272" i="1" a="1"/>
  <c r="O2272" i="1" s="1"/>
  <c r="O2273" i="1" a="1"/>
  <c r="O2273" i="1" s="1"/>
  <c r="O2274" i="1" a="1"/>
  <c r="O2274" i="1" s="1"/>
  <c r="O2275" i="1" a="1"/>
  <c r="O2275" i="1" s="1"/>
  <c r="O2276" i="1" a="1"/>
  <c r="O2276" i="1" s="1"/>
  <c r="O2277" i="1" a="1"/>
  <c r="O2277" i="1" s="1"/>
  <c r="O2278" i="1" a="1"/>
  <c r="O2278" i="1" s="1"/>
  <c r="O2279" i="1" a="1"/>
  <c r="O2279" i="1" s="1"/>
  <c r="O2280" i="1" a="1"/>
  <c r="O2280" i="1" s="1"/>
  <c r="O2281" i="1" a="1"/>
  <c r="O2281" i="1" s="1"/>
  <c r="O2282" i="1" a="1"/>
  <c r="O2282" i="1" s="1"/>
  <c r="O2283" i="1" a="1"/>
  <c r="O2283" i="1" s="1"/>
  <c r="O2284" i="1" a="1"/>
  <c r="O2284" i="1" s="1"/>
  <c r="O2285" i="1" a="1"/>
  <c r="O2285" i="1" s="1"/>
  <c r="O2286" i="1" a="1"/>
  <c r="O2286" i="1" s="1"/>
  <c r="O2287" i="1" a="1"/>
  <c r="O2287" i="1" s="1"/>
  <c r="O2288" i="1" a="1"/>
  <c r="O2288" i="1" s="1"/>
  <c r="O2289" i="1" a="1"/>
  <c r="O2289" i="1" s="1"/>
  <c r="O2290" i="1" a="1"/>
  <c r="O2290" i="1" s="1"/>
  <c r="O2291" i="1" a="1"/>
  <c r="O2291" i="1" s="1"/>
  <c r="O2292" i="1" a="1"/>
  <c r="O2292" i="1" s="1"/>
  <c r="O2293" i="1" a="1"/>
  <c r="O2293" i="1" s="1"/>
  <c r="O2294" i="1" a="1"/>
  <c r="O2294" i="1" s="1"/>
  <c r="O2295" i="1" a="1"/>
  <c r="O2295" i="1" s="1"/>
  <c r="O2296" i="1" a="1"/>
  <c r="O2296" i="1" s="1"/>
  <c r="O2297" i="1" a="1"/>
  <c r="O2297" i="1" s="1"/>
  <c r="O2298" i="1" a="1"/>
  <c r="O2298" i="1" s="1"/>
  <c r="O2299" i="1" a="1"/>
  <c r="O2299" i="1" s="1"/>
  <c r="O2300" i="1" a="1"/>
  <c r="O2300" i="1" s="1"/>
  <c r="O2301" i="1" a="1"/>
  <c r="O2301" i="1" s="1"/>
  <c r="O2302" i="1" a="1"/>
  <c r="O2302" i="1" s="1"/>
  <c r="O2303" i="1" a="1"/>
  <c r="O2303" i="1" s="1"/>
  <c r="O2304" i="1" a="1"/>
  <c r="O2304" i="1" s="1"/>
  <c r="O2305" i="1" a="1"/>
  <c r="O2305" i="1" s="1"/>
  <c r="O2306" i="1" a="1"/>
  <c r="O2306" i="1" s="1"/>
  <c r="O2307" i="1" a="1"/>
  <c r="O2307" i="1" s="1"/>
  <c r="O2308" i="1" a="1"/>
  <c r="O2308" i="1" s="1"/>
  <c r="O2309" i="1" a="1"/>
  <c r="O2309" i="1" s="1"/>
  <c r="O2310" i="1" a="1"/>
  <c r="O2310" i="1" s="1"/>
  <c r="O2311" i="1" a="1"/>
  <c r="O2311" i="1" s="1"/>
  <c r="O2312" i="1" a="1"/>
  <c r="O2312" i="1" s="1"/>
  <c r="O2313" i="1" a="1"/>
  <c r="O2313" i="1" s="1"/>
  <c r="O2314" i="1" a="1"/>
  <c r="O2314" i="1" s="1"/>
  <c r="O2315" i="1" a="1"/>
  <c r="O2315" i="1" s="1"/>
  <c r="O2316" i="1" a="1"/>
  <c r="O2316" i="1" s="1"/>
  <c r="O2317" i="1" a="1"/>
  <c r="O2317" i="1" s="1"/>
  <c r="O2318" i="1" a="1"/>
  <c r="O2318" i="1" s="1"/>
  <c r="O2319" i="1" a="1"/>
  <c r="O2319" i="1" s="1"/>
  <c r="O2320" i="1" a="1"/>
  <c r="O2320" i="1" s="1"/>
  <c r="O2321" i="1" a="1"/>
  <c r="O2321" i="1" s="1"/>
  <c r="O2322" i="1" a="1"/>
  <c r="O2322" i="1" s="1"/>
  <c r="O2323" i="1" a="1"/>
  <c r="O2323" i="1" s="1"/>
  <c r="O2324" i="1" a="1"/>
  <c r="O2324" i="1" s="1"/>
  <c r="O2325" i="1" a="1"/>
  <c r="O2325" i="1" s="1"/>
  <c r="O2326" i="1" a="1"/>
  <c r="O2326" i="1" s="1"/>
  <c r="O2327" i="1" a="1"/>
  <c r="O2327" i="1" s="1"/>
  <c r="O2328" i="1" a="1"/>
  <c r="O2328" i="1" s="1"/>
  <c r="O2329" i="1" a="1"/>
  <c r="O2329" i="1" s="1"/>
  <c r="O2330" i="1" a="1"/>
  <c r="O2330" i="1" s="1"/>
  <c r="O2331" i="1" a="1"/>
  <c r="O2331" i="1" s="1"/>
  <c r="O2332" i="1" a="1"/>
  <c r="O2332" i="1" s="1"/>
  <c r="O2333" i="1" a="1"/>
  <c r="O2333" i="1" s="1"/>
  <c r="O2334" i="1" a="1"/>
  <c r="O2334" i="1" s="1"/>
  <c r="O2335" i="1" a="1"/>
  <c r="O2335" i="1" s="1"/>
  <c r="O2336" i="1" a="1"/>
  <c r="O2336" i="1" s="1"/>
  <c r="O2337" i="1" a="1"/>
  <c r="O2337" i="1" s="1"/>
  <c r="O2338" i="1" a="1"/>
  <c r="O2338" i="1" s="1"/>
  <c r="O2339" i="1" a="1"/>
  <c r="O2339" i="1" s="1"/>
  <c r="O2340" i="1" a="1"/>
  <c r="O2340" i="1" s="1"/>
  <c r="O2341" i="1" a="1"/>
  <c r="O2341" i="1" s="1"/>
  <c r="O2342" i="1" a="1"/>
  <c r="O2342" i="1" s="1"/>
  <c r="O2343" i="1" a="1"/>
  <c r="O2343" i="1" s="1"/>
  <c r="O2344" i="1" a="1"/>
  <c r="O2344" i="1" s="1"/>
  <c r="O2345" i="1" a="1"/>
  <c r="O2345" i="1" s="1"/>
  <c r="O2346" i="1" a="1"/>
  <c r="O2346" i="1" s="1"/>
  <c r="O2347" i="1" a="1"/>
  <c r="O2347" i="1" s="1"/>
  <c r="O2348" i="1" a="1"/>
  <c r="O2348" i="1" s="1"/>
  <c r="O2349" i="1" a="1"/>
  <c r="O2349" i="1" s="1"/>
  <c r="O2350" i="1" a="1"/>
  <c r="O2350" i="1" s="1"/>
  <c r="O2351" i="1" a="1"/>
  <c r="O2351" i="1" s="1"/>
  <c r="O2352" i="1" a="1"/>
  <c r="O2352" i="1" s="1"/>
  <c r="O2353" i="1" a="1"/>
  <c r="O2353" i="1" s="1"/>
  <c r="O2354" i="1" a="1"/>
  <c r="O2354" i="1" s="1"/>
  <c r="O2355" i="1" a="1"/>
  <c r="O2355" i="1" s="1"/>
  <c r="O2356" i="1" a="1"/>
  <c r="O2356" i="1" s="1"/>
  <c r="O2357" i="1" a="1"/>
  <c r="O2357" i="1" s="1"/>
  <c r="O2358" i="1" a="1"/>
  <c r="O2358" i="1" s="1"/>
  <c r="O2359" i="1" a="1"/>
  <c r="O2359" i="1" s="1"/>
  <c r="O2360" i="1" a="1"/>
  <c r="O2360" i="1" s="1"/>
  <c r="O2361" i="1" a="1"/>
  <c r="O2361" i="1" s="1"/>
  <c r="O2362" i="1" a="1"/>
  <c r="O2362" i="1" s="1"/>
  <c r="O2363" i="1" a="1"/>
  <c r="O2363" i="1" s="1"/>
  <c r="O2364" i="1" a="1"/>
  <c r="O2364" i="1" s="1"/>
  <c r="O2365" i="1" a="1"/>
  <c r="O2365" i="1" s="1"/>
  <c r="O2366" i="1" a="1"/>
  <c r="O2366" i="1" s="1"/>
  <c r="O2367" i="1" a="1"/>
  <c r="O2367" i="1" s="1"/>
  <c r="O2368" i="1" a="1"/>
  <c r="O2368" i="1" s="1"/>
  <c r="O2369" i="1" a="1"/>
  <c r="O2369" i="1" s="1"/>
  <c r="O2370" i="1" a="1"/>
  <c r="O2370" i="1" s="1"/>
  <c r="O2371" i="1" a="1"/>
  <c r="O2371" i="1" s="1"/>
  <c r="O2372" i="1" a="1"/>
  <c r="O2372" i="1" s="1"/>
  <c r="O2373" i="1" a="1"/>
  <c r="O2373" i="1" s="1"/>
  <c r="O2374" i="1" a="1"/>
  <c r="O2374" i="1" s="1"/>
  <c r="O2375" i="1" a="1"/>
  <c r="O2375" i="1" s="1"/>
  <c r="O2376" i="1" a="1"/>
  <c r="O2376" i="1" s="1"/>
  <c r="O2377" i="1" a="1"/>
  <c r="O2377" i="1" s="1"/>
  <c r="O2378" i="1" a="1"/>
  <c r="O2378" i="1" s="1"/>
  <c r="O2379" i="1" a="1"/>
  <c r="O2379" i="1" s="1"/>
  <c r="O2380" i="1" a="1"/>
  <c r="O2380" i="1" s="1"/>
  <c r="O2381" i="1" a="1"/>
  <c r="O2381" i="1" s="1"/>
  <c r="O2382" i="1" a="1"/>
  <c r="O2382" i="1" s="1"/>
  <c r="O2383" i="1" a="1"/>
  <c r="O2383" i="1" s="1"/>
  <c r="O2384" i="1" a="1"/>
  <c r="O2384" i="1" s="1"/>
  <c r="O2385" i="1" a="1"/>
  <c r="O2385" i="1" s="1"/>
  <c r="O2386" i="1" a="1"/>
  <c r="O2386" i="1" s="1"/>
  <c r="O2387" i="1" a="1"/>
  <c r="O2387" i="1" s="1"/>
  <c r="O2388" i="1" a="1"/>
  <c r="O2388" i="1" s="1"/>
  <c r="O2389" i="1" a="1"/>
  <c r="O2389" i="1" s="1"/>
  <c r="O2390" i="1" a="1"/>
  <c r="O2390" i="1" s="1"/>
  <c r="O2391" i="1" a="1"/>
  <c r="O2391" i="1" s="1"/>
  <c r="O2392" i="1" a="1"/>
  <c r="O2392" i="1" s="1"/>
  <c r="O2393" i="1" a="1"/>
  <c r="O2393" i="1" s="1"/>
  <c r="O2394" i="1" a="1"/>
  <c r="O2394" i="1" s="1"/>
  <c r="O2395" i="1" a="1"/>
  <c r="O2395" i="1" s="1"/>
  <c r="O2396" i="1" a="1"/>
  <c r="O2396" i="1" s="1"/>
  <c r="O2397" i="1" a="1"/>
  <c r="O2397" i="1" s="1"/>
  <c r="O2398" i="1" a="1"/>
  <c r="O2398" i="1" s="1"/>
  <c r="O2399" i="1" a="1"/>
  <c r="O2399" i="1" s="1"/>
  <c r="O2400" i="1" a="1"/>
  <c r="O2400" i="1" s="1"/>
  <c r="O2401" i="1" a="1"/>
  <c r="O2401" i="1" s="1"/>
  <c r="O2402" i="1" a="1"/>
  <c r="O2402" i="1" s="1"/>
  <c r="O2403" i="1" a="1"/>
  <c r="O2403" i="1" s="1"/>
  <c r="O2404" i="1" a="1"/>
  <c r="O2404" i="1" s="1"/>
  <c r="O2405" i="1" a="1"/>
  <c r="O2405" i="1" s="1"/>
  <c r="O2406" i="1" a="1"/>
  <c r="O2406" i="1" s="1"/>
  <c r="O2407" i="1" a="1"/>
  <c r="O2407" i="1" s="1"/>
  <c r="O2408" i="1" a="1"/>
  <c r="O2408" i="1" s="1"/>
  <c r="O2409" i="1" a="1"/>
  <c r="O2409" i="1" s="1"/>
  <c r="O2410" i="1" a="1"/>
  <c r="O2410" i="1" s="1"/>
  <c r="O2411" i="1" a="1"/>
  <c r="O2411" i="1" s="1"/>
  <c r="O2412" i="1" a="1"/>
  <c r="O2412" i="1" s="1"/>
  <c r="O2413" i="1" a="1"/>
  <c r="O2413" i="1" s="1"/>
  <c r="O2414" i="1" a="1"/>
  <c r="O2414" i="1" s="1"/>
  <c r="O2415" i="1" a="1"/>
  <c r="O2415" i="1" s="1"/>
  <c r="O2416" i="1" a="1"/>
  <c r="O2416" i="1" s="1"/>
  <c r="O2417" i="1" a="1"/>
  <c r="O2417" i="1" s="1"/>
  <c r="O2418" i="1" a="1"/>
  <c r="O2418" i="1" s="1"/>
  <c r="O2419" i="1" a="1"/>
  <c r="O2419" i="1" s="1"/>
  <c r="O2420" i="1" a="1"/>
  <c r="O2420" i="1" s="1"/>
  <c r="O2421" i="1" a="1"/>
  <c r="O2421" i="1" s="1"/>
  <c r="O2422" i="1" a="1"/>
  <c r="O2422" i="1" s="1"/>
  <c r="O2423" i="1" a="1"/>
  <c r="O2423" i="1" s="1"/>
  <c r="O2424" i="1" a="1"/>
  <c r="O2424" i="1" s="1"/>
  <c r="O2425" i="1" a="1"/>
  <c r="O2425" i="1" s="1"/>
  <c r="O2426" i="1" a="1"/>
  <c r="O2426" i="1" s="1"/>
  <c r="O2427" i="1" a="1"/>
  <c r="O2427" i="1" s="1"/>
  <c r="O2428" i="1" a="1"/>
  <c r="O2428" i="1" s="1"/>
  <c r="O2429" i="1" a="1"/>
  <c r="O2429" i="1" s="1"/>
  <c r="O2430" i="1" a="1"/>
  <c r="O2430" i="1" s="1"/>
  <c r="O2431" i="1" a="1"/>
  <c r="O2431" i="1" s="1"/>
  <c r="O2432" i="1" a="1"/>
  <c r="O2432" i="1" s="1"/>
  <c r="O2433" i="1" a="1"/>
  <c r="O2433" i="1" s="1"/>
  <c r="O2434" i="1" a="1"/>
  <c r="O2434" i="1" s="1"/>
  <c r="O2435" i="1" a="1"/>
  <c r="O2435" i="1" s="1"/>
  <c r="O2436" i="1" a="1"/>
  <c r="O2436" i="1" s="1"/>
  <c r="O2437" i="1" a="1"/>
  <c r="O2437" i="1" s="1"/>
  <c r="O2438" i="1" a="1"/>
  <c r="O2438" i="1" s="1"/>
  <c r="O2439" i="1" a="1"/>
  <c r="O2439" i="1" s="1"/>
  <c r="O2440" i="1" a="1"/>
  <c r="O2440" i="1" s="1"/>
  <c r="O2441" i="1" a="1"/>
  <c r="O2441" i="1" s="1"/>
  <c r="O2442" i="1" a="1"/>
  <c r="O2442" i="1" s="1"/>
  <c r="O2443" i="1" a="1"/>
  <c r="O2443" i="1" s="1"/>
  <c r="O2444" i="1" a="1"/>
  <c r="O2444" i="1" s="1"/>
  <c r="O2445" i="1" a="1"/>
  <c r="O2445" i="1" s="1"/>
  <c r="O2446" i="1" a="1"/>
  <c r="O2446" i="1" s="1"/>
  <c r="O2447" i="1" a="1"/>
  <c r="O2447" i="1" s="1"/>
  <c r="O2448" i="1" a="1"/>
  <c r="O2448" i="1" s="1"/>
  <c r="O2449" i="1" a="1"/>
  <c r="O2449" i="1" s="1"/>
  <c r="O2450" i="1" a="1"/>
  <c r="O2450" i="1" s="1"/>
  <c r="O2451" i="1" a="1"/>
  <c r="O2451" i="1" s="1"/>
  <c r="O2452" i="1" a="1"/>
  <c r="O2452" i="1" s="1"/>
  <c r="O2453" i="1" a="1"/>
  <c r="O2453" i="1" s="1"/>
  <c r="O2454" i="1" a="1"/>
  <c r="O2454" i="1" s="1"/>
  <c r="O2455" i="1" a="1"/>
  <c r="O2455" i="1" s="1"/>
  <c r="O2456" i="1" a="1"/>
  <c r="O2456" i="1" s="1"/>
  <c r="O2457" i="1" a="1"/>
  <c r="O2457" i="1" s="1"/>
  <c r="O2458" i="1" a="1"/>
  <c r="O2458" i="1" s="1"/>
  <c r="O2459" i="1" a="1"/>
  <c r="O2459" i="1" s="1"/>
  <c r="O2460" i="1" a="1"/>
  <c r="O2460" i="1" s="1"/>
  <c r="O2461" i="1" a="1"/>
  <c r="O2461" i="1" s="1"/>
  <c r="O2462" i="1" a="1"/>
  <c r="O2462" i="1" s="1"/>
  <c r="O2463" i="1" a="1"/>
  <c r="O2463" i="1" s="1"/>
  <c r="O2464" i="1" a="1"/>
  <c r="O2464" i="1" s="1"/>
  <c r="O2465" i="1" a="1"/>
  <c r="O2465" i="1" s="1"/>
  <c r="O2466" i="1" a="1"/>
  <c r="O2466" i="1" s="1"/>
  <c r="O2467" i="1" a="1"/>
  <c r="O2467" i="1" s="1"/>
  <c r="O2468" i="1" a="1"/>
  <c r="O2468" i="1" s="1"/>
  <c r="O2469" i="1" a="1"/>
  <c r="O2469" i="1" s="1"/>
  <c r="O2470" i="1" a="1"/>
  <c r="O2470" i="1" s="1"/>
  <c r="O2471" i="1" a="1"/>
  <c r="O2471" i="1" s="1"/>
  <c r="O2472" i="1" a="1"/>
  <c r="O2472" i="1" s="1"/>
  <c r="O2473" i="1" a="1"/>
  <c r="O2473" i="1" s="1"/>
  <c r="O2474" i="1" a="1"/>
  <c r="O2474" i="1" s="1"/>
  <c r="O2475" i="1" a="1"/>
  <c r="O2475" i="1" s="1"/>
  <c r="O2476" i="1" a="1"/>
  <c r="O2476" i="1" s="1"/>
  <c r="O2477" i="1" a="1"/>
  <c r="O2477" i="1" s="1"/>
  <c r="O2478" i="1" a="1"/>
  <c r="O2478" i="1" s="1"/>
  <c r="O2479" i="1" a="1"/>
  <c r="O2479" i="1" s="1"/>
  <c r="O2480" i="1" a="1"/>
  <c r="O2480" i="1" s="1"/>
  <c r="O2481" i="1" a="1"/>
  <c r="O2481" i="1" s="1"/>
  <c r="O2482" i="1" a="1"/>
  <c r="O2482" i="1" s="1"/>
  <c r="O2483" i="1" a="1"/>
  <c r="O2483" i="1" s="1"/>
  <c r="O2484" i="1" a="1"/>
  <c r="O2484" i="1" s="1"/>
  <c r="O2485" i="1" a="1"/>
  <c r="O2485" i="1" s="1"/>
  <c r="O2486" i="1" a="1"/>
  <c r="O2486" i="1" s="1"/>
  <c r="O2487" i="1" a="1"/>
  <c r="O2487" i="1" s="1"/>
  <c r="O2488" i="1" a="1"/>
  <c r="O2488" i="1" s="1"/>
  <c r="O2489" i="1" a="1"/>
  <c r="O2489" i="1" s="1"/>
  <c r="O2490" i="1" a="1"/>
  <c r="O2490" i="1" s="1"/>
  <c r="O2491" i="1" a="1"/>
  <c r="O2491" i="1" s="1"/>
  <c r="O2492" i="1" a="1"/>
  <c r="O2492" i="1" s="1"/>
  <c r="O2493" i="1" a="1"/>
  <c r="O2493" i="1" s="1"/>
  <c r="O2494" i="1" a="1"/>
  <c r="O2494" i="1" s="1"/>
  <c r="O2495" i="1" a="1"/>
  <c r="O2495" i="1" s="1"/>
  <c r="O2496" i="1" a="1"/>
  <c r="O2496" i="1" s="1"/>
  <c r="O2497" i="1" a="1"/>
  <c r="O2497" i="1" s="1"/>
  <c r="O2498" i="1" a="1"/>
  <c r="O2498" i="1" s="1"/>
  <c r="O2499" i="1" a="1"/>
  <c r="O2499" i="1" s="1"/>
  <c r="O2500" i="1" a="1"/>
  <c r="O2500" i="1" s="1"/>
  <c r="O2501" i="1" a="1"/>
  <c r="O2501" i="1" s="1"/>
  <c r="O2502" i="1" a="1"/>
  <c r="O2502" i="1" s="1"/>
  <c r="O2503" i="1" a="1"/>
  <c r="O2503" i="1" s="1"/>
  <c r="O2504" i="1" a="1"/>
  <c r="O2504" i="1" s="1"/>
  <c r="O2505" i="1" a="1"/>
  <c r="O2505" i="1" s="1"/>
  <c r="O2506" i="1" a="1"/>
  <c r="O2506" i="1" s="1"/>
  <c r="O2507" i="1" a="1"/>
  <c r="O2507" i="1" s="1"/>
  <c r="O2508" i="1" a="1"/>
  <c r="O2508" i="1" s="1"/>
  <c r="O2509" i="1" a="1"/>
  <c r="O2509" i="1" s="1"/>
  <c r="O2510" i="1" a="1"/>
  <c r="O2510" i="1" s="1"/>
  <c r="O2511" i="1" a="1"/>
  <c r="O2511" i="1" s="1"/>
  <c r="O2512" i="1" a="1"/>
  <c r="O2512" i="1" s="1"/>
  <c r="O2513" i="1" a="1"/>
  <c r="O2513" i="1" s="1"/>
  <c r="O2514" i="1" a="1"/>
  <c r="O2514" i="1" s="1"/>
  <c r="O2515" i="1" a="1"/>
  <c r="O2515" i="1" s="1"/>
  <c r="O2516" i="1" a="1"/>
  <c r="O2516" i="1" s="1"/>
  <c r="O2517" i="1" a="1"/>
  <c r="O2517" i="1" s="1"/>
  <c r="O2518" i="1" a="1"/>
  <c r="O2518" i="1" s="1"/>
  <c r="O2519" i="1" a="1"/>
  <c r="O2519" i="1" s="1"/>
  <c r="O2520" i="1" a="1"/>
  <c r="O2520" i="1" s="1"/>
  <c r="O2521" i="1" a="1"/>
  <c r="O2521" i="1" s="1"/>
  <c r="O2522" i="1" a="1"/>
  <c r="O2522" i="1" s="1"/>
  <c r="O2523" i="1" a="1"/>
  <c r="O2523" i="1" s="1"/>
  <c r="O2524" i="1" a="1"/>
  <c r="O2524" i="1" s="1"/>
  <c r="O2525" i="1" a="1"/>
  <c r="O2525" i="1" s="1"/>
  <c r="O2526" i="1" a="1"/>
  <c r="O2526" i="1" s="1"/>
  <c r="O2527" i="1" a="1"/>
  <c r="O2527" i="1" s="1"/>
  <c r="O2528" i="1" a="1"/>
  <c r="O2528" i="1" s="1"/>
  <c r="O2529" i="1" a="1"/>
  <c r="O2529" i="1" s="1"/>
  <c r="O2530" i="1" a="1"/>
  <c r="O2530" i="1" s="1"/>
  <c r="O2531" i="1" a="1"/>
  <c r="O2531" i="1" s="1"/>
  <c r="O2532" i="1" a="1"/>
  <c r="O2532" i="1" s="1"/>
  <c r="O2533" i="1" a="1"/>
  <c r="O2533" i="1" s="1"/>
  <c r="O2534" i="1" a="1"/>
  <c r="O2534" i="1" s="1"/>
  <c r="O2535" i="1" a="1"/>
  <c r="O2535" i="1" s="1"/>
  <c r="O2536" i="1" a="1"/>
  <c r="O2536" i="1" s="1"/>
  <c r="O2537" i="1" a="1"/>
  <c r="O2537" i="1" s="1"/>
  <c r="O2538" i="1" a="1"/>
  <c r="O2538" i="1" s="1"/>
  <c r="O2539" i="1" a="1"/>
  <c r="O2539" i="1" s="1"/>
  <c r="O2540" i="1" a="1"/>
  <c r="O2540" i="1" s="1"/>
  <c r="O2541" i="1" a="1"/>
  <c r="O2541" i="1" s="1"/>
  <c r="O2542" i="1" a="1"/>
  <c r="O2542" i="1" s="1"/>
  <c r="O2543" i="1" a="1"/>
  <c r="O2543" i="1" s="1"/>
  <c r="O2544" i="1" a="1"/>
  <c r="O2544" i="1" s="1"/>
  <c r="O2545" i="1" a="1"/>
  <c r="O2545" i="1" s="1"/>
  <c r="O2546" i="1" a="1"/>
  <c r="O2546" i="1" s="1"/>
  <c r="O2547" i="1" a="1"/>
  <c r="O2547" i="1" s="1"/>
  <c r="O2548" i="1" a="1"/>
  <c r="O2548" i="1" s="1"/>
  <c r="O2549" i="1" a="1"/>
  <c r="O2549" i="1" s="1"/>
  <c r="O2550" i="1" a="1"/>
  <c r="O2550" i="1" s="1"/>
  <c r="O2551" i="1" a="1"/>
  <c r="O2551" i="1" s="1"/>
  <c r="O2552" i="1" a="1"/>
  <c r="O2552" i="1" s="1"/>
  <c r="O2553" i="1" a="1"/>
  <c r="O2553" i="1" s="1"/>
  <c r="O2554" i="1" a="1"/>
  <c r="O2554" i="1" s="1"/>
  <c r="O2555" i="1" a="1"/>
  <c r="O2555" i="1" s="1"/>
  <c r="O2556" i="1" a="1"/>
  <c r="O2556" i="1" s="1"/>
  <c r="O2557" i="1" a="1"/>
  <c r="O2557" i="1" s="1"/>
  <c r="O2558" i="1" a="1"/>
  <c r="O2558" i="1" s="1"/>
  <c r="O2559" i="1" a="1"/>
  <c r="O2559" i="1" s="1"/>
  <c r="O2560" i="1" a="1"/>
  <c r="O2560" i="1" s="1"/>
  <c r="O2561" i="1" a="1"/>
  <c r="O2561" i="1" s="1"/>
  <c r="O2562" i="1" a="1"/>
  <c r="O2562" i="1" s="1"/>
  <c r="O2563" i="1" a="1"/>
  <c r="O2563" i="1" s="1"/>
  <c r="O2564" i="1" a="1"/>
  <c r="O2564" i="1" s="1"/>
  <c r="O2565" i="1" a="1"/>
  <c r="O2565" i="1" s="1"/>
  <c r="O2566" i="1" a="1"/>
  <c r="O2566" i="1" s="1"/>
  <c r="O2567" i="1" a="1"/>
  <c r="O2567" i="1" s="1"/>
  <c r="O2568" i="1" a="1"/>
  <c r="O2568" i="1" s="1"/>
  <c r="O2569" i="1" a="1"/>
  <c r="O2569" i="1" s="1"/>
  <c r="O2570" i="1" a="1"/>
  <c r="O2570" i="1" s="1"/>
  <c r="O2571" i="1" a="1"/>
  <c r="O2571" i="1" s="1"/>
  <c r="O2572" i="1" a="1"/>
  <c r="O2572" i="1" s="1"/>
  <c r="O2573" i="1" a="1"/>
  <c r="O2573" i="1" s="1"/>
  <c r="O2574" i="1" a="1"/>
  <c r="O2574" i="1" s="1"/>
  <c r="O2575" i="1" a="1"/>
  <c r="O2575" i="1" s="1"/>
  <c r="O2576" i="1" a="1"/>
  <c r="O2576" i="1" s="1"/>
  <c r="O2577" i="1" a="1"/>
  <c r="O2577" i="1" s="1"/>
  <c r="O2578" i="1" a="1"/>
  <c r="O2578" i="1" s="1"/>
  <c r="O2579" i="1" a="1"/>
  <c r="O2579" i="1" s="1"/>
  <c r="O2580" i="1" a="1"/>
  <c r="O2580" i="1" s="1"/>
  <c r="O2581" i="1" a="1"/>
  <c r="O2581" i="1" s="1"/>
  <c r="O2582" i="1" a="1"/>
  <c r="O2582" i="1" s="1"/>
  <c r="O2583" i="1" a="1"/>
  <c r="O2583" i="1" s="1"/>
  <c r="O2584" i="1" a="1"/>
  <c r="O2584" i="1" s="1"/>
  <c r="O2585" i="1" a="1"/>
  <c r="O2585" i="1" s="1"/>
  <c r="O2586" i="1" a="1"/>
  <c r="O2586" i="1" s="1"/>
  <c r="O2587" i="1" a="1"/>
  <c r="O2587" i="1" s="1"/>
  <c r="O2588" i="1" a="1"/>
  <c r="O2588" i="1" s="1"/>
  <c r="O2589" i="1" a="1"/>
  <c r="O2589" i="1" s="1"/>
  <c r="O2590" i="1" a="1"/>
  <c r="O2590" i="1" s="1"/>
  <c r="O2591" i="1" a="1"/>
  <c r="O2591" i="1" s="1"/>
  <c r="O2592" i="1" a="1"/>
  <c r="O2592" i="1" s="1"/>
  <c r="O2593" i="1" a="1"/>
  <c r="O2593" i="1" s="1"/>
  <c r="O2594" i="1" a="1"/>
  <c r="O2594" i="1" s="1"/>
  <c r="O2595" i="1" a="1"/>
  <c r="O2595" i="1" s="1"/>
  <c r="O2596" i="1" a="1"/>
  <c r="O2596" i="1" s="1"/>
  <c r="O2597" i="1" a="1"/>
  <c r="O2597" i="1" s="1"/>
  <c r="O2598" i="1" a="1"/>
  <c r="O2598" i="1" s="1"/>
  <c r="O2599" i="1" a="1"/>
  <c r="O2599" i="1" s="1"/>
  <c r="O2600" i="1" a="1"/>
  <c r="O2600" i="1" s="1"/>
  <c r="O2601" i="1" a="1"/>
  <c r="O2601" i="1" s="1"/>
  <c r="O2602" i="1" a="1"/>
  <c r="O2602" i="1" s="1"/>
  <c r="O2603" i="1" a="1"/>
  <c r="O2603" i="1" s="1"/>
  <c r="O2604" i="1" a="1"/>
  <c r="O2604" i="1" s="1"/>
  <c r="O2605" i="1" a="1"/>
  <c r="O2605" i="1" s="1"/>
  <c r="O2606" i="1" a="1"/>
  <c r="O2606" i="1" s="1"/>
  <c r="O2607" i="1" a="1"/>
  <c r="O2607" i="1" s="1"/>
  <c r="O2608" i="1" a="1"/>
  <c r="O2608" i="1" s="1"/>
  <c r="O2609" i="1" a="1"/>
  <c r="O2609" i="1" s="1"/>
  <c r="O2610" i="1" a="1"/>
  <c r="O2610" i="1" s="1"/>
  <c r="O2611" i="1" a="1"/>
  <c r="O2611" i="1" s="1"/>
  <c r="O2612" i="1" a="1"/>
  <c r="O2612" i="1" s="1"/>
  <c r="O2613" i="1" a="1"/>
  <c r="O2613" i="1" s="1"/>
  <c r="O2614" i="1" a="1"/>
  <c r="O2614" i="1" s="1"/>
  <c r="O2615" i="1" a="1"/>
  <c r="O2615" i="1" s="1"/>
  <c r="O2616" i="1" a="1"/>
  <c r="O2616" i="1" s="1"/>
  <c r="O2617" i="1" a="1"/>
  <c r="O2617" i="1" s="1"/>
  <c r="O2618" i="1" a="1"/>
  <c r="O2618" i="1" s="1"/>
  <c r="O2619" i="1" a="1"/>
  <c r="O2619" i="1" s="1"/>
  <c r="O2620" i="1" a="1"/>
  <c r="O2620" i="1" s="1"/>
  <c r="O2621" i="1" a="1"/>
  <c r="O2621" i="1" s="1"/>
  <c r="O2622" i="1" a="1"/>
  <c r="O2622" i="1" s="1"/>
  <c r="O2623" i="1" a="1"/>
  <c r="O2623" i="1" s="1"/>
  <c r="O2624" i="1" a="1"/>
  <c r="O2624" i="1" s="1"/>
  <c r="O2625" i="1" a="1"/>
  <c r="O2625" i="1" s="1"/>
  <c r="O2626" i="1" a="1"/>
  <c r="O2626" i="1" s="1"/>
  <c r="O2627" i="1" a="1"/>
  <c r="O2627" i="1" s="1"/>
  <c r="O2628" i="1" a="1"/>
  <c r="O2628" i="1" s="1"/>
  <c r="O2629" i="1" a="1"/>
  <c r="O2629" i="1" s="1"/>
  <c r="O2630" i="1" a="1"/>
  <c r="O2630" i="1" s="1"/>
  <c r="O2631" i="1" a="1"/>
  <c r="O2631" i="1" s="1"/>
  <c r="O2632" i="1" a="1"/>
  <c r="O2632" i="1" s="1"/>
  <c r="O2633" i="1" a="1"/>
  <c r="O2633" i="1" s="1"/>
  <c r="O2634" i="1" a="1"/>
  <c r="O2634" i="1" s="1"/>
  <c r="O2635" i="1" a="1"/>
  <c r="O2635" i="1" s="1"/>
  <c r="O2636" i="1" a="1"/>
  <c r="O2636" i="1" s="1"/>
  <c r="O2637" i="1" a="1"/>
  <c r="O2637" i="1" s="1"/>
  <c r="O2638" i="1" a="1"/>
  <c r="O2638" i="1" s="1"/>
  <c r="O2639" i="1" a="1"/>
  <c r="O2639" i="1" s="1"/>
  <c r="O2640" i="1" a="1"/>
  <c r="O2640" i="1" s="1"/>
  <c r="O2641" i="1" a="1"/>
  <c r="O2641" i="1" s="1"/>
  <c r="O2642" i="1" a="1"/>
  <c r="O2642" i="1" s="1"/>
  <c r="O2643" i="1" a="1"/>
  <c r="O2643" i="1" s="1"/>
  <c r="O2644" i="1" a="1"/>
  <c r="O2644" i="1" s="1"/>
  <c r="O2645" i="1" a="1"/>
  <c r="O2645" i="1" s="1"/>
  <c r="O2646" i="1" a="1"/>
  <c r="O2646" i="1" s="1"/>
  <c r="O2647" i="1" a="1"/>
  <c r="O2647" i="1" s="1"/>
  <c r="O2648" i="1" a="1"/>
  <c r="O2648" i="1" s="1"/>
  <c r="O2649" i="1" a="1"/>
  <c r="O2649" i="1" s="1"/>
  <c r="O2650" i="1" a="1"/>
  <c r="O2650" i="1" s="1"/>
  <c r="O2651" i="1" a="1"/>
  <c r="O2651" i="1" s="1"/>
  <c r="O2652" i="1" a="1"/>
  <c r="O2652" i="1" s="1"/>
  <c r="O2653" i="1" a="1"/>
  <c r="O2653" i="1" s="1"/>
  <c r="O2654" i="1" a="1"/>
  <c r="O2654" i="1" s="1"/>
  <c r="O2655" i="1" a="1"/>
  <c r="O2655" i="1" s="1"/>
  <c r="O2656" i="1" a="1"/>
  <c r="O2656" i="1" s="1"/>
  <c r="O2657" i="1" a="1"/>
  <c r="O2657" i="1" s="1"/>
  <c r="O2658" i="1" a="1"/>
  <c r="O2658" i="1" s="1"/>
  <c r="O2659" i="1" a="1"/>
  <c r="O2659" i="1" s="1"/>
  <c r="O2660" i="1" a="1"/>
  <c r="O2660" i="1" s="1"/>
  <c r="O2661" i="1" a="1"/>
  <c r="O2661" i="1" s="1"/>
  <c r="O2662" i="1" a="1"/>
  <c r="O2662" i="1" s="1"/>
  <c r="O2663" i="1" a="1"/>
  <c r="O2663" i="1" s="1"/>
  <c r="O2664" i="1" a="1"/>
  <c r="O2664" i="1" s="1"/>
  <c r="O2665" i="1" a="1"/>
  <c r="O2665" i="1" s="1"/>
  <c r="O2666" i="1" a="1"/>
  <c r="O2666" i="1" s="1"/>
  <c r="O2667" i="1" a="1"/>
  <c r="O2667" i="1" s="1"/>
  <c r="O2668" i="1" a="1"/>
  <c r="O2668" i="1" s="1"/>
  <c r="O2669" i="1" a="1"/>
  <c r="O2669" i="1" s="1"/>
  <c r="O2670" i="1" a="1"/>
  <c r="O2670" i="1" s="1"/>
  <c r="O2671" i="1" a="1"/>
  <c r="O2671" i="1" s="1"/>
  <c r="O2672" i="1" a="1"/>
  <c r="O2672" i="1" s="1"/>
  <c r="O2673" i="1" a="1"/>
  <c r="O2673" i="1" s="1"/>
  <c r="O2674" i="1" a="1"/>
  <c r="O2674" i="1" s="1"/>
  <c r="O2675" i="1" a="1"/>
  <c r="O2675" i="1" s="1"/>
  <c r="O2676" i="1" a="1"/>
  <c r="O2676" i="1" s="1"/>
  <c r="O2677" i="1" a="1"/>
  <c r="O2677" i="1" s="1"/>
  <c r="O2678" i="1" a="1"/>
  <c r="O2678" i="1" s="1"/>
  <c r="O2679" i="1" a="1"/>
  <c r="O2679" i="1" s="1"/>
  <c r="O2680" i="1" a="1"/>
  <c r="O2680" i="1" s="1"/>
  <c r="O2681" i="1" a="1"/>
  <c r="O2681" i="1" s="1"/>
  <c r="O2682" i="1" a="1"/>
  <c r="O2682" i="1" s="1"/>
  <c r="O2683" i="1" a="1"/>
  <c r="O2683" i="1" s="1"/>
  <c r="O2684" i="1" a="1"/>
  <c r="O2684" i="1" s="1"/>
  <c r="O2685" i="1" a="1"/>
  <c r="O2685" i="1" s="1"/>
  <c r="O2686" i="1" a="1"/>
  <c r="O2686" i="1" s="1"/>
  <c r="O2687" i="1" a="1"/>
  <c r="O2687" i="1" s="1"/>
  <c r="O2688" i="1" a="1"/>
  <c r="O2688" i="1" s="1"/>
  <c r="O2689" i="1" a="1"/>
  <c r="O2689" i="1" s="1"/>
  <c r="O2690" i="1" a="1"/>
  <c r="O2690" i="1" s="1"/>
  <c r="O2691" i="1" a="1"/>
  <c r="O2691" i="1" s="1"/>
  <c r="O2692" i="1" a="1"/>
  <c r="O2692" i="1" s="1"/>
  <c r="O2693" i="1" a="1"/>
  <c r="O2693" i="1" s="1"/>
  <c r="O2694" i="1" a="1"/>
  <c r="O2694" i="1" s="1"/>
  <c r="O2695" i="1" a="1"/>
  <c r="O2695" i="1" s="1"/>
  <c r="O2696" i="1" a="1"/>
  <c r="O2696" i="1" s="1"/>
  <c r="O2697" i="1" a="1"/>
  <c r="O2697" i="1" s="1"/>
  <c r="O2698" i="1" a="1"/>
  <c r="O2698" i="1" s="1"/>
  <c r="O2699" i="1" a="1"/>
  <c r="O2699" i="1" s="1"/>
  <c r="O2700" i="1" a="1"/>
  <c r="O2700" i="1" s="1"/>
  <c r="O2701" i="1" a="1"/>
  <c r="O2701" i="1" s="1"/>
  <c r="O2702" i="1" a="1"/>
  <c r="O2702" i="1" s="1"/>
  <c r="O2703" i="1" a="1"/>
  <c r="O2703" i="1" s="1"/>
  <c r="O2704" i="1" a="1"/>
  <c r="O2704" i="1" s="1"/>
  <c r="O2705" i="1" a="1"/>
  <c r="O2705" i="1" s="1"/>
  <c r="O2706" i="1" a="1"/>
  <c r="O2706" i="1" s="1"/>
  <c r="O2707" i="1" a="1"/>
  <c r="O2707" i="1" s="1"/>
  <c r="O2708" i="1" a="1"/>
  <c r="O2708" i="1" s="1"/>
  <c r="O2709" i="1" a="1"/>
  <c r="O2709" i="1" s="1"/>
  <c r="O2710" i="1" a="1"/>
  <c r="O2710" i="1" s="1"/>
  <c r="O2711" i="1" a="1"/>
  <c r="O2711" i="1" s="1"/>
  <c r="O2712" i="1" a="1"/>
  <c r="O2712" i="1" s="1"/>
  <c r="O2713" i="1" a="1"/>
  <c r="O2713" i="1" s="1"/>
  <c r="O2714" i="1" a="1"/>
  <c r="O2714" i="1" s="1"/>
  <c r="O2715" i="1" a="1"/>
  <c r="O2715" i="1" s="1"/>
  <c r="O2716" i="1" a="1"/>
  <c r="O2716" i="1" s="1"/>
  <c r="O2717" i="1" a="1"/>
  <c r="O2717" i="1" s="1"/>
  <c r="O2718" i="1" a="1"/>
  <c r="O2718" i="1" s="1"/>
  <c r="O2719" i="1" a="1"/>
  <c r="O2719" i="1" s="1"/>
  <c r="O2720" i="1" a="1"/>
  <c r="O2720" i="1" s="1"/>
  <c r="O2721" i="1" a="1"/>
  <c r="O2721" i="1" s="1"/>
  <c r="O2722" i="1" a="1"/>
  <c r="O2722" i="1" s="1"/>
  <c r="O2723" i="1" a="1"/>
  <c r="O2723" i="1" s="1"/>
  <c r="O2724" i="1" a="1"/>
  <c r="O2724" i="1" s="1"/>
  <c r="O2725" i="1" a="1"/>
  <c r="O2725" i="1" s="1"/>
  <c r="O2726" i="1" a="1"/>
  <c r="O2726" i="1" s="1"/>
  <c r="O2727" i="1" a="1"/>
  <c r="O2727" i="1" s="1"/>
  <c r="O2728" i="1" a="1"/>
  <c r="O2728" i="1" s="1"/>
  <c r="O2729" i="1" a="1"/>
  <c r="O2729" i="1" s="1"/>
  <c r="O2730" i="1" a="1"/>
  <c r="O2730" i="1" s="1"/>
  <c r="O2731" i="1" a="1"/>
  <c r="O2731" i="1" s="1"/>
  <c r="O2732" i="1" a="1"/>
  <c r="O2732" i="1" s="1"/>
  <c r="O2733" i="1" a="1"/>
  <c r="O2733" i="1" s="1"/>
  <c r="O2734" i="1" a="1"/>
  <c r="O2734" i="1" s="1"/>
  <c r="O2735" i="1" a="1"/>
  <c r="O2735" i="1" s="1"/>
  <c r="O2736" i="1" a="1"/>
  <c r="O2736" i="1" s="1"/>
  <c r="O2737" i="1" a="1"/>
  <c r="O2737" i="1" s="1"/>
  <c r="O2738" i="1" a="1"/>
  <c r="O2738" i="1" s="1"/>
  <c r="O2739" i="1" a="1"/>
  <c r="O2739" i="1" s="1"/>
  <c r="O2740" i="1" a="1"/>
  <c r="O2740" i="1" s="1"/>
  <c r="O2741" i="1" a="1"/>
  <c r="O2741" i="1" s="1"/>
  <c r="O2742" i="1" a="1"/>
  <c r="O2742" i="1" s="1"/>
  <c r="O2743" i="1" a="1"/>
  <c r="O2743" i="1" s="1"/>
  <c r="O2744" i="1" a="1"/>
  <c r="O2744" i="1" s="1"/>
  <c r="O2745" i="1" a="1"/>
  <c r="O2745" i="1" s="1"/>
  <c r="O2746" i="1" a="1"/>
  <c r="O2746" i="1" s="1"/>
  <c r="O2747" i="1" a="1"/>
  <c r="O2747" i="1" s="1"/>
  <c r="O2748" i="1" a="1"/>
  <c r="O2748" i="1" s="1"/>
  <c r="O2749" i="1" a="1"/>
  <c r="O2749" i="1" s="1"/>
  <c r="O2750" i="1" a="1"/>
  <c r="O2750" i="1" s="1"/>
  <c r="O2751" i="1" a="1"/>
  <c r="O2751" i="1" s="1"/>
  <c r="O2752" i="1" a="1"/>
  <c r="O2752" i="1" s="1"/>
  <c r="O2753" i="1" a="1"/>
  <c r="O2753" i="1" s="1"/>
  <c r="O2754" i="1" a="1"/>
  <c r="O2754" i="1" s="1"/>
  <c r="O2755" i="1" a="1"/>
  <c r="O2755" i="1" s="1"/>
  <c r="O2756" i="1" a="1"/>
  <c r="O2756" i="1" s="1"/>
  <c r="O2757" i="1" a="1"/>
  <c r="O2757" i="1" s="1"/>
  <c r="O2758" i="1" a="1"/>
  <c r="O2758" i="1" s="1"/>
  <c r="O2759" i="1" a="1"/>
  <c r="O2759" i="1" s="1"/>
  <c r="O2760" i="1" a="1"/>
  <c r="O2760" i="1" s="1"/>
  <c r="O2761" i="1" a="1"/>
  <c r="O2761" i="1" s="1"/>
  <c r="O2762" i="1" a="1"/>
  <c r="O2762" i="1" s="1"/>
  <c r="O2763" i="1" a="1"/>
  <c r="O2763" i="1" s="1"/>
  <c r="O2764" i="1" a="1"/>
  <c r="O2764" i="1" s="1"/>
  <c r="O2765" i="1" a="1"/>
  <c r="O2765" i="1" s="1"/>
  <c r="O2766" i="1" a="1"/>
  <c r="O2766" i="1" s="1"/>
  <c r="O2767" i="1" a="1"/>
  <c r="O2767" i="1" s="1"/>
  <c r="O2768" i="1" a="1"/>
  <c r="O2768" i="1" s="1"/>
  <c r="O2769" i="1" a="1"/>
  <c r="O2769" i="1" s="1"/>
  <c r="O2770" i="1" a="1"/>
  <c r="O2770" i="1" s="1"/>
  <c r="O2771" i="1" a="1"/>
  <c r="O2771" i="1" s="1"/>
  <c r="O2772" i="1" a="1"/>
  <c r="O2772" i="1" s="1"/>
  <c r="O2773" i="1" a="1"/>
  <c r="O2773" i="1" s="1"/>
  <c r="O2774" i="1" a="1"/>
  <c r="O2774" i="1" s="1"/>
  <c r="O2775" i="1" a="1"/>
  <c r="O2775" i="1" s="1"/>
  <c r="O2776" i="1" a="1"/>
  <c r="O2776" i="1" s="1"/>
  <c r="O2777" i="1" a="1"/>
  <c r="O2777" i="1" s="1"/>
  <c r="O2778" i="1" a="1"/>
  <c r="O2778" i="1" s="1"/>
  <c r="O2779" i="1" a="1"/>
  <c r="O2779" i="1" s="1"/>
  <c r="O2780" i="1" a="1"/>
  <c r="O2780" i="1" s="1"/>
  <c r="O2781" i="1" a="1"/>
  <c r="O2781" i="1" s="1"/>
  <c r="O2782" i="1" a="1"/>
  <c r="O2782" i="1" s="1"/>
  <c r="O2783" i="1" a="1"/>
  <c r="O2783" i="1" s="1"/>
  <c r="O2784" i="1" a="1"/>
  <c r="O2784" i="1" s="1"/>
  <c r="O2785" i="1" a="1"/>
  <c r="O2785" i="1" s="1"/>
  <c r="O2786" i="1" a="1"/>
  <c r="O2786" i="1" s="1"/>
  <c r="O2787" i="1" a="1"/>
  <c r="O2787" i="1" s="1"/>
  <c r="O2788" i="1" a="1"/>
  <c r="O2788" i="1" s="1"/>
  <c r="O2789" i="1" a="1"/>
  <c r="O2789" i="1" s="1"/>
  <c r="O2790" i="1" a="1"/>
  <c r="O2790" i="1" s="1"/>
  <c r="O2791" i="1" a="1"/>
  <c r="O2791" i="1" s="1"/>
  <c r="O2792" i="1" a="1"/>
  <c r="O2792" i="1" s="1"/>
  <c r="O2793" i="1" a="1"/>
  <c r="O2793" i="1" s="1"/>
  <c r="O2794" i="1" a="1"/>
  <c r="O2794" i="1" s="1"/>
  <c r="O2795" i="1" a="1"/>
  <c r="O2795" i="1" s="1"/>
  <c r="O2796" i="1" a="1"/>
  <c r="O2796" i="1" s="1"/>
  <c r="O2797" i="1" a="1"/>
  <c r="O2797" i="1" s="1"/>
  <c r="O2798" i="1" a="1"/>
  <c r="O2798" i="1" s="1"/>
  <c r="O2799" i="1" a="1"/>
  <c r="O2799" i="1" s="1"/>
  <c r="O2800" i="1" a="1"/>
  <c r="O2800" i="1" s="1"/>
  <c r="O2801" i="1" a="1"/>
  <c r="O2801" i="1" s="1"/>
  <c r="O2802" i="1" a="1"/>
  <c r="O2802" i="1" s="1"/>
  <c r="O2803" i="1" a="1"/>
  <c r="O2803" i="1" s="1"/>
  <c r="O2804" i="1" a="1"/>
  <c r="O2804" i="1" s="1"/>
  <c r="O2805" i="1" a="1"/>
  <c r="O2805" i="1" s="1"/>
  <c r="O2806" i="1" a="1"/>
  <c r="O2806" i="1" s="1"/>
  <c r="O2807" i="1" a="1"/>
  <c r="O2807" i="1" s="1"/>
  <c r="O2808" i="1" a="1"/>
  <c r="O2808" i="1" s="1"/>
  <c r="O2809" i="1" a="1"/>
  <c r="O2809" i="1" s="1"/>
  <c r="O2810" i="1" a="1"/>
  <c r="O2810" i="1" s="1"/>
  <c r="O2811" i="1" a="1"/>
  <c r="O2811" i="1" s="1"/>
  <c r="O2812" i="1" a="1"/>
  <c r="O2812" i="1" s="1"/>
  <c r="O2813" i="1" a="1"/>
  <c r="O2813" i="1" s="1"/>
  <c r="O2814" i="1" a="1"/>
  <c r="O2814" i="1" s="1"/>
  <c r="O2815" i="1" a="1"/>
  <c r="O2815" i="1" s="1"/>
  <c r="O2816" i="1" a="1"/>
  <c r="O2816" i="1" s="1"/>
  <c r="O2817" i="1" a="1"/>
  <c r="O2817" i="1" s="1"/>
  <c r="O2818" i="1" a="1"/>
  <c r="O2818" i="1" s="1"/>
  <c r="O2819" i="1" a="1"/>
  <c r="O2819" i="1" s="1"/>
  <c r="O2820" i="1" a="1"/>
  <c r="O2820" i="1" s="1"/>
  <c r="O2821" i="1" a="1"/>
  <c r="O2821" i="1" s="1"/>
  <c r="O2822" i="1" a="1"/>
  <c r="O2822" i="1" s="1"/>
  <c r="O2823" i="1" a="1"/>
  <c r="O2823" i="1" s="1"/>
  <c r="O2824" i="1" a="1"/>
  <c r="O2824" i="1" s="1"/>
  <c r="O2825" i="1" a="1"/>
  <c r="O2825" i="1" s="1"/>
  <c r="O2826" i="1" a="1"/>
  <c r="O2826" i="1" s="1"/>
  <c r="O2827" i="1" a="1"/>
  <c r="O2827" i="1" s="1"/>
  <c r="O2828" i="1" a="1"/>
  <c r="O2828" i="1" s="1"/>
  <c r="O2829" i="1" a="1"/>
  <c r="O2829" i="1" s="1"/>
  <c r="O2830" i="1" a="1"/>
  <c r="O2830" i="1" s="1"/>
  <c r="O2831" i="1" a="1"/>
  <c r="O2831" i="1" s="1"/>
  <c r="O2832" i="1" a="1"/>
  <c r="O2832" i="1" s="1"/>
  <c r="O2833" i="1" a="1"/>
  <c r="O2833" i="1" s="1"/>
  <c r="O2834" i="1" a="1"/>
  <c r="O2834" i="1" s="1"/>
  <c r="O2835" i="1" a="1"/>
  <c r="O2835" i="1" s="1"/>
  <c r="O2836" i="1" a="1"/>
  <c r="O2836" i="1" s="1"/>
  <c r="O2837" i="1" a="1"/>
  <c r="O2837" i="1" s="1"/>
  <c r="O2838" i="1" a="1"/>
  <c r="O2838" i="1" s="1"/>
  <c r="O2839" i="1" a="1"/>
  <c r="O2839" i="1" s="1"/>
  <c r="O2840" i="1" a="1"/>
  <c r="O2840" i="1" s="1"/>
  <c r="O2841" i="1" a="1"/>
  <c r="O2841" i="1" s="1"/>
  <c r="O2842" i="1" a="1"/>
  <c r="O2842" i="1" s="1"/>
  <c r="O2843" i="1" a="1"/>
  <c r="O2843" i="1" s="1"/>
  <c r="O2844" i="1" a="1"/>
  <c r="O2844" i="1" s="1"/>
  <c r="O2845" i="1" a="1"/>
  <c r="O2845" i="1" s="1"/>
  <c r="O2846" i="1" a="1"/>
  <c r="O2846" i="1" s="1"/>
  <c r="O2847" i="1" a="1"/>
  <c r="O2847" i="1" s="1"/>
  <c r="O2848" i="1" a="1"/>
  <c r="O2848" i="1" s="1"/>
  <c r="O2849" i="1" a="1"/>
  <c r="O2849" i="1" s="1"/>
  <c r="O2850" i="1" a="1"/>
  <c r="O2850" i="1" s="1"/>
  <c r="O2851" i="1" a="1"/>
  <c r="O2851" i="1" s="1"/>
  <c r="O2852" i="1" a="1"/>
  <c r="O2852" i="1" s="1"/>
  <c r="O2853" i="1" a="1"/>
  <c r="O2853" i="1" s="1"/>
  <c r="O2854" i="1" a="1"/>
  <c r="O2854" i="1" s="1"/>
  <c r="O2855" i="1" a="1"/>
  <c r="O2855" i="1" s="1"/>
  <c r="O2856" i="1" a="1"/>
  <c r="O2856" i="1" s="1"/>
  <c r="O2857" i="1" a="1"/>
  <c r="O2857" i="1" s="1"/>
  <c r="O2858" i="1" a="1"/>
  <c r="O2858" i="1" s="1"/>
  <c r="O2859" i="1" a="1"/>
  <c r="O2859" i="1" s="1"/>
  <c r="O2860" i="1" a="1"/>
  <c r="O2860" i="1" s="1"/>
  <c r="O2861" i="1" a="1"/>
  <c r="O2861" i="1" s="1"/>
  <c r="O2862" i="1" a="1"/>
  <c r="O2862" i="1" s="1"/>
  <c r="O2863" i="1" a="1"/>
  <c r="O2863" i="1" s="1"/>
  <c r="O2864" i="1" a="1"/>
  <c r="O2864" i="1" s="1"/>
  <c r="O2865" i="1" a="1"/>
  <c r="O2865" i="1" s="1"/>
  <c r="O2866" i="1" a="1"/>
  <c r="O2866" i="1" s="1"/>
  <c r="O2867" i="1" a="1"/>
  <c r="O2867" i="1" s="1"/>
  <c r="O2868" i="1" a="1"/>
  <c r="O2868" i="1" s="1"/>
  <c r="O2869" i="1" a="1"/>
  <c r="O2869" i="1" s="1"/>
  <c r="O2870" i="1" a="1"/>
  <c r="O2870" i="1" s="1"/>
  <c r="O2871" i="1" a="1"/>
  <c r="O2871" i="1" s="1"/>
  <c r="O2872" i="1" a="1"/>
  <c r="O2872" i="1" s="1"/>
  <c r="O2873" i="1" a="1"/>
  <c r="O2873" i="1" s="1"/>
  <c r="O2874" i="1" a="1"/>
  <c r="O2874" i="1" s="1"/>
  <c r="O2875" i="1" a="1"/>
  <c r="O2875" i="1" s="1"/>
  <c r="O2876" i="1" a="1"/>
  <c r="O2876" i="1" s="1"/>
  <c r="O2877" i="1" a="1"/>
  <c r="O2877" i="1" s="1"/>
  <c r="O2878" i="1" a="1"/>
  <c r="O2878" i="1" s="1"/>
  <c r="O2879" i="1" a="1"/>
  <c r="O2879" i="1" s="1"/>
  <c r="O2880" i="1" a="1"/>
  <c r="O2880" i="1" s="1"/>
  <c r="O2881" i="1" a="1"/>
  <c r="O2881" i="1" s="1"/>
  <c r="O2882" i="1" a="1"/>
  <c r="O2882" i="1" s="1"/>
  <c r="O2883" i="1" a="1"/>
  <c r="O2883" i="1" s="1"/>
  <c r="O2884" i="1" a="1"/>
  <c r="O2884" i="1" s="1"/>
  <c r="O2885" i="1" a="1"/>
  <c r="O2885" i="1" s="1"/>
  <c r="O2886" i="1" a="1"/>
  <c r="O2886" i="1" s="1"/>
  <c r="O2887" i="1" a="1"/>
  <c r="O2887" i="1" s="1"/>
  <c r="O2888" i="1" a="1"/>
  <c r="O2888" i="1" s="1"/>
  <c r="O2889" i="1" a="1"/>
  <c r="O2889" i="1" s="1"/>
  <c r="O2890" i="1" a="1"/>
  <c r="O2890" i="1" s="1"/>
  <c r="O2891" i="1" a="1"/>
  <c r="O2891" i="1" s="1"/>
  <c r="O2892" i="1" a="1"/>
  <c r="O2892" i="1" s="1"/>
  <c r="O2893" i="1" a="1"/>
  <c r="O2893" i="1" s="1"/>
  <c r="O2894" i="1" a="1"/>
  <c r="O2894" i="1" s="1"/>
  <c r="O2895" i="1" a="1"/>
  <c r="O2895" i="1" s="1"/>
  <c r="O2896" i="1" a="1"/>
  <c r="O2896" i="1" s="1"/>
  <c r="O2897" i="1" a="1"/>
  <c r="O2897" i="1" s="1"/>
  <c r="O2898" i="1" a="1"/>
  <c r="O2898" i="1" s="1"/>
  <c r="O2899" i="1" a="1"/>
  <c r="O2899" i="1" s="1"/>
  <c r="O2900" i="1" a="1"/>
  <c r="O2900" i="1" s="1"/>
  <c r="O2901" i="1" a="1"/>
  <c r="O2901" i="1" s="1"/>
  <c r="O2902" i="1" a="1"/>
  <c r="O2902" i="1" s="1"/>
  <c r="O2903" i="1" a="1"/>
  <c r="O2903" i="1" s="1"/>
  <c r="O2904" i="1" a="1"/>
  <c r="O2904" i="1" s="1"/>
  <c r="O2905" i="1" a="1"/>
  <c r="O2905" i="1" s="1"/>
  <c r="O2906" i="1" a="1"/>
  <c r="O2906" i="1" s="1"/>
  <c r="O2907" i="1" a="1"/>
  <c r="O2907" i="1" s="1"/>
  <c r="O2908" i="1" a="1"/>
  <c r="O2908" i="1" s="1"/>
  <c r="O2909" i="1" a="1"/>
  <c r="O2909" i="1" s="1"/>
  <c r="O2910" i="1" a="1"/>
  <c r="O2910" i="1" s="1"/>
  <c r="O2911" i="1" a="1"/>
  <c r="O2911" i="1" s="1"/>
  <c r="O2912" i="1" a="1"/>
  <c r="O2912" i="1" s="1"/>
  <c r="O2913" i="1" a="1"/>
  <c r="O2913" i="1" s="1"/>
  <c r="O2914" i="1" a="1"/>
  <c r="O2914" i="1" s="1"/>
  <c r="O2915" i="1" a="1"/>
  <c r="O2915" i="1" s="1"/>
  <c r="O2916" i="1" a="1"/>
  <c r="O2916" i="1" s="1"/>
  <c r="O2917" i="1" a="1"/>
  <c r="O2917" i="1" s="1"/>
  <c r="O2918" i="1" a="1"/>
  <c r="O2918" i="1" s="1"/>
  <c r="O2919" i="1" a="1"/>
  <c r="O2919" i="1" s="1"/>
  <c r="O2920" i="1" a="1"/>
  <c r="O2920" i="1" s="1"/>
  <c r="O2921" i="1" a="1"/>
  <c r="O2921" i="1" s="1"/>
  <c r="O2922" i="1" a="1"/>
  <c r="O2922" i="1" s="1"/>
  <c r="O2923" i="1" a="1"/>
  <c r="O2923" i="1" s="1"/>
  <c r="O2924" i="1" a="1"/>
  <c r="O2924" i="1" s="1"/>
  <c r="O2925" i="1" a="1"/>
  <c r="O2925" i="1" s="1"/>
  <c r="O2926" i="1" a="1"/>
  <c r="O2926" i="1" s="1"/>
  <c r="O2927" i="1" a="1"/>
  <c r="O2927" i="1" s="1"/>
  <c r="O2928" i="1" a="1"/>
  <c r="O2928" i="1" s="1"/>
  <c r="O2929" i="1" a="1"/>
  <c r="O2929" i="1" s="1"/>
  <c r="O2930" i="1" a="1"/>
  <c r="O2930" i="1" s="1"/>
  <c r="O2931" i="1" a="1"/>
  <c r="O2931" i="1" s="1"/>
  <c r="O2932" i="1" a="1"/>
  <c r="O2932" i="1" s="1"/>
  <c r="O2933" i="1" a="1"/>
  <c r="O2933" i="1" s="1"/>
  <c r="O2934" i="1" a="1"/>
  <c r="O2934" i="1" s="1"/>
  <c r="O2935" i="1" a="1"/>
  <c r="O2935" i="1" s="1"/>
  <c r="O2936" i="1" a="1"/>
  <c r="O2936" i="1" s="1"/>
  <c r="O2937" i="1" a="1"/>
  <c r="O2937" i="1" s="1"/>
  <c r="O2938" i="1" a="1"/>
  <c r="O2938" i="1" s="1"/>
  <c r="O2939" i="1" a="1"/>
  <c r="O2939" i="1" s="1"/>
  <c r="O2940" i="1" a="1"/>
  <c r="O2940" i="1" s="1"/>
  <c r="O2941" i="1" a="1"/>
  <c r="O2941" i="1" s="1"/>
  <c r="O2942" i="1" a="1"/>
  <c r="O2942" i="1" s="1"/>
  <c r="O2943" i="1" a="1"/>
  <c r="O2943" i="1" s="1"/>
  <c r="O2944" i="1" a="1"/>
  <c r="O2944" i="1" s="1"/>
  <c r="O2945" i="1" a="1"/>
  <c r="O2945" i="1" s="1"/>
  <c r="O2946" i="1" a="1"/>
  <c r="O2946" i="1" s="1"/>
  <c r="O2947" i="1" a="1"/>
  <c r="O2947" i="1" s="1"/>
  <c r="O2948" i="1" a="1"/>
  <c r="O2948" i="1" s="1"/>
  <c r="O2949" i="1" a="1"/>
  <c r="O2949" i="1" s="1"/>
  <c r="O2950" i="1" a="1"/>
  <c r="O2950" i="1" s="1"/>
  <c r="O2951" i="1" a="1"/>
  <c r="O2951" i="1" s="1"/>
  <c r="O2952" i="1" a="1"/>
  <c r="O2952" i="1" s="1"/>
  <c r="O2953" i="1" a="1"/>
  <c r="O2953" i="1" s="1"/>
  <c r="O2954" i="1" a="1"/>
  <c r="O2954" i="1" s="1"/>
  <c r="O2955" i="1" a="1"/>
  <c r="O2955" i="1" s="1"/>
  <c r="O2956" i="1" a="1"/>
  <c r="O2956" i="1" s="1"/>
  <c r="O2957" i="1" a="1"/>
  <c r="O2957" i="1" s="1"/>
  <c r="O2958" i="1" a="1"/>
  <c r="O2958" i="1" s="1"/>
  <c r="O2959" i="1" a="1"/>
  <c r="O2959" i="1" s="1"/>
  <c r="O2960" i="1" a="1"/>
  <c r="O2960" i="1" s="1"/>
  <c r="O2961" i="1" a="1"/>
  <c r="O2961" i="1" s="1"/>
  <c r="O2962" i="1" a="1"/>
  <c r="O2962" i="1" s="1"/>
  <c r="O2963" i="1" a="1"/>
  <c r="O2963" i="1" s="1"/>
  <c r="O2964" i="1" a="1"/>
  <c r="O2964" i="1" s="1"/>
  <c r="O2965" i="1" a="1"/>
  <c r="O2965" i="1" s="1"/>
  <c r="O2966" i="1" a="1"/>
  <c r="O2966" i="1" s="1"/>
  <c r="O2967" i="1" a="1"/>
  <c r="O2967" i="1" s="1"/>
  <c r="O2968" i="1" a="1"/>
  <c r="O2968" i="1" s="1"/>
  <c r="O2969" i="1" a="1"/>
  <c r="O2969" i="1" s="1"/>
  <c r="O2970" i="1" a="1"/>
  <c r="O2970" i="1" s="1"/>
  <c r="O2971" i="1" a="1"/>
  <c r="O2971" i="1" s="1"/>
  <c r="O2972" i="1" a="1"/>
  <c r="O2972" i="1" s="1"/>
  <c r="O2973" i="1" a="1"/>
  <c r="O2973" i="1" s="1"/>
  <c r="O2974" i="1" a="1"/>
  <c r="O2974" i="1" s="1"/>
  <c r="O2975" i="1" a="1"/>
  <c r="O2975" i="1" s="1"/>
  <c r="O2976" i="1" a="1"/>
  <c r="O2976" i="1" s="1"/>
  <c r="O2977" i="1" a="1"/>
  <c r="O2977" i="1" s="1"/>
  <c r="O2978" i="1" a="1"/>
  <c r="O2978" i="1" s="1"/>
  <c r="O2979" i="1" a="1"/>
  <c r="O2979" i="1" s="1"/>
  <c r="O2980" i="1" a="1"/>
  <c r="O2980" i="1" s="1"/>
  <c r="O2981" i="1" a="1"/>
  <c r="O2981" i="1" s="1"/>
  <c r="O2982" i="1" a="1"/>
  <c r="O2982" i="1" s="1"/>
  <c r="O2983" i="1" a="1"/>
  <c r="O2983" i="1" s="1"/>
  <c r="O2984" i="1" a="1"/>
  <c r="O2984" i="1" s="1"/>
  <c r="O2985" i="1" a="1"/>
  <c r="O2985" i="1" s="1"/>
  <c r="O2986" i="1" a="1"/>
  <c r="O2986" i="1" s="1"/>
  <c r="O2987" i="1" a="1"/>
  <c r="O2987" i="1" s="1"/>
  <c r="O2988" i="1" a="1"/>
  <c r="O2988" i="1" s="1"/>
  <c r="O2989" i="1" a="1"/>
  <c r="O2989" i="1" s="1"/>
  <c r="O2990" i="1" a="1"/>
  <c r="O2990" i="1" s="1"/>
  <c r="O2991" i="1" a="1"/>
  <c r="O2991" i="1" s="1"/>
  <c r="O2992" i="1" a="1"/>
  <c r="O2992" i="1" s="1"/>
  <c r="O2993" i="1" a="1"/>
  <c r="O2993" i="1" s="1"/>
  <c r="O2994" i="1" a="1"/>
  <c r="O2994" i="1" s="1"/>
  <c r="O2995" i="1" a="1"/>
  <c r="O2995" i="1" s="1"/>
  <c r="O2996" i="1" a="1"/>
  <c r="O2996" i="1" s="1"/>
  <c r="O2997" i="1" a="1"/>
  <c r="O2997" i="1" s="1"/>
  <c r="O2998" i="1" a="1"/>
  <c r="O2998" i="1" s="1"/>
  <c r="O2999" i="1" a="1"/>
  <c r="O2999" i="1" s="1"/>
  <c r="O3000" i="1" a="1"/>
  <c r="O3000" i="1" s="1"/>
  <c r="O3001" i="1" a="1"/>
  <c r="O3001" i="1" s="1"/>
  <c r="O3002" i="1" a="1"/>
  <c r="O3002" i="1" s="1"/>
  <c r="O3003" i="1" a="1"/>
  <c r="O3003" i="1" s="1"/>
  <c r="O3004" i="1" a="1"/>
  <c r="O3004" i="1" s="1"/>
  <c r="O3005" i="1" a="1"/>
  <c r="O3005" i="1" s="1"/>
  <c r="O3006" i="1" a="1"/>
  <c r="O3006" i="1" s="1"/>
  <c r="O3007" i="1" a="1"/>
  <c r="O3007" i="1" s="1"/>
  <c r="O3008" i="1" a="1"/>
  <c r="O3008" i="1" s="1"/>
  <c r="O3009" i="1" a="1"/>
  <c r="O3009" i="1" s="1"/>
  <c r="O3010" i="1" a="1"/>
  <c r="O3010" i="1" s="1"/>
  <c r="O3011" i="1" a="1"/>
  <c r="O3011" i="1" s="1"/>
  <c r="O3012" i="1" a="1"/>
  <c r="O3012" i="1" s="1"/>
  <c r="O3013" i="1" a="1"/>
  <c r="O3013" i="1" s="1"/>
  <c r="O3014" i="1" a="1"/>
  <c r="O3014" i="1" s="1"/>
  <c r="O3015" i="1" a="1"/>
  <c r="O3015" i="1" s="1"/>
  <c r="O3016" i="1" a="1"/>
  <c r="O3016" i="1" s="1"/>
  <c r="O3017" i="1" a="1"/>
  <c r="O3017" i="1" s="1"/>
  <c r="O3018" i="1" a="1"/>
  <c r="O3018" i="1" s="1"/>
  <c r="O3019" i="1" a="1"/>
  <c r="O3019" i="1" s="1"/>
  <c r="O3020" i="1" a="1"/>
  <c r="O3020" i="1" s="1"/>
  <c r="O3021" i="1" a="1"/>
  <c r="O3021" i="1" s="1"/>
  <c r="O3022" i="1" a="1"/>
  <c r="O3022" i="1" s="1"/>
  <c r="O3023" i="1" a="1"/>
  <c r="O3023" i="1" s="1"/>
  <c r="O3024" i="1" a="1"/>
  <c r="O3024" i="1" s="1"/>
  <c r="O3025" i="1" a="1"/>
  <c r="O3025" i="1" s="1"/>
  <c r="O3026" i="1" a="1"/>
  <c r="O3026" i="1" s="1"/>
  <c r="O3027" i="1" a="1"/>
  <c r="O3027" i="1" s="1"/>
  <c r="O3028" i="1" a="1"/>
  <c r="O3028" i="1" s="1"/>
  <c r="O3029" i="1" a="1"/>
  <c r="O3029" i="1" s="1"/>
  <c r="O3030" i="1" a="1"/>
  <c r="O3030" i="1" s="1"/>
  <c r="O3031" i="1" a="1"/>
  <c r="O3031" i="1" s="1"/>
  <c r="O3032" i="1" a="1"/>
  <c r="O3032" i="1" s="1"/>
  <c r="O3033" i="1" a="1"/>
  <c r="O3033" i="1" s="1"/>
  <c r="O3034" i="1" a="1"/>
  <c r="O3034" i="1" s="1"/>
  <c r="O3035" i="1" a="1"/>
  <c r="O3035" i="1" s="1"/>
  <c r="O3036" i="1" a="1"/>
  <c r="O3036" i="1" s="1"/>
  <c r="O3037" i="1" a="1"/>
  <c r="O3037" i="1" s="1"/>
  <c r="O3038" i="1" a="1"/>
  <c r="O3038" i="1" s="1"/>
  <c r="O3039" i="1" a="1"/>
  <c r="O3039" i="1" s="1"/>
  <c r="O3040" i="1" a="1"/>
  <c r="O3040" i="1" s="1"/>
  <c r="O3041" i="1" a="1"/>
  <c r="O3041" i="1" s="1"/>
  <c r="O3042" i="1" a="1"/>
  <c r="O3042" i="1" s="1"/>
  <c r="O3043" i="1" a="1"/>
  <c r="O3043" i="1" s="1"/>
  <c r="O3044" i="1" a="1"/>
  <c r="O3044" i="1" s="1"/>
  <c r="O3045" i="1" a="1"/>
  <c r="O3045" i="1" s="1"/>
  <c r="O3046" i="1" a="1"/>
  <c r="O3046" i="1" s="1"/>
  <c r="O3047" i="1" a="1"/>
  <c r="O3047" i="1" s="1"/>
  <c r="O3048" i="1" a="1"/>
  <c r="O3048" i="1" s="1"/>
  <c r="O3049" i="1" a="1"/>
  <c r="O3049" i="1" s="1"/>
  <c r="O3050" i="1" a="1"/>
  <c r="O3050" i="1" s="1"/>
  <c r="O3051" i="1" a="1"/>
  <c r="O3051" i="1" s="1"/>
  <c r="O3052" i="1" a="1"/>
  <c r="O3052" i="1" s="1"/>
  <c r="O3053" i="1" a="1"/>
  <c r="O3053" i="1" s="1"/>
  <c r="O3054" i="1" a="1"/>
  <c r="O3054" i="1" s="1"/>
  <c r="O3055" i="1" a="1"/>
  <c r="O3055" i="1" s="1"/>
  <c r="O3056" i="1" a="1"/>
  <c r="O3056" i="1" s="1"/>
  <c r="O3057" i="1" a="1"/>
  <c r="O3057" i="1" s="1"/>
  <c r="O3058" i="1" a="1"/>
  <c r="O3058" i="1" s="1"/>
  <c r="O3059" i="1" a="1"/>
  <c r="O3059" i="1" s="1"/>
  <c r="O3060" i="1" a="1"/>
  <c r="O3060" i="1" s="1"/>
  <c r="O3061" i="1" a="1"/>
  <c r="O3061" i="1" s="1"/>
  <c r="O3062" i="1" a="1"/>
  <c r="O3062" i="1" s="1"/>
  <c r="O3063" i="1" a="1"/>
  <c r="O3063" i="1" s="1"/>
  <c r="O3064" i="1" a="1"/>
  <c r="O3064" i="1" s="1"/>
  <c r="O3065" i="1" a="1"/>
  <c r="O3065" i="1" s="1"/>
  <c r="O3066" i="1" a="1"/>
  <c r="O3066" i="1" s="1"/>
  <c r="O3067" i="1" a="1"/>
  <c r="O3067" i="1" s="1"/>
  <c r="O3068" i="1" a="1"/>
  <c r="O3068" i="1" s="1"/>
  <c r="O3069" i="1" a="1"/>
  <c r="O3069" i="1" s="1"/>
  <c r="O3070" i="1" a="1"/>
  <c r="O3070" i="1" s="1"/>
  <c r="O3071" i="1" a="1"/>
  <c r="O3071" i="1" s="1"/>
  <c r="O3072" i="1" a="1"/>
  <c r="O3072" i="1" s="1"/>
  <c r="O3073" i="1" a="1"/>
  <c r="O3073" i="1" s="1"/>
  <c r="O3074" i="1" a="1"/>
  <c r="O3074" i="1" s="1"/>
  <c r="O3075" i="1" a="1"/>
  <c r="O3075" i="1" s="1"/>
  <c r="O3076" i="1" a="1"/>
  <c r="O3076" i="1" s="1"/>
  <c r="O3077" i="1" a="1"/>
  <c r="O3077" i="1" s="1"/>
  <c r="O3078" i="1" a="1"/>
  <c r="O3078" i="1" s="1"/>
  <c r="O3079" i="1" a="1"/>
  <c r="O3079" i="1" s="1"/>
  <c r="O3080" i="1" a="1"/>
  <c r="O3080" i="1" s="1"/>
  <c r="O3081" i="1" a="1"/>
  <c r="O3081" i="1" s="1"/>
  <c r="O3082" i="1" a="1"/>
  <c r="O3082" i="1" s="1"/>
  <c r="O3083" i="1" a="1"/>
  <c r="O3083" i="1" s="1"/>
  <c r="O3084" i="1" a="1"/>
  <c r="O3084" i="1" s="1"/>
  <c r="O3085" i="1" a="1"/>
  <c r="O3085" i="1" s="1"/>
  <c r="O3086" i="1" a="1"/>
  <c r="O3086" i="1" s="1"/>
  <c r="O3087" i="1" a="1"/>
  <c r="O3087" i="1" s="1"/>
  <c r="O3088" i="1" a="1"/>
  <c r="O3088" i="1" s="1"/>
  <c r="O3089" i="1" a="1"/>
  <c r="O3089" i="1" s="1"/>
  <c r="O3090" i="1" a="1"/>
  <c r="O3090" i="1" s="1"/>
  <c r="O3091" i="1" a="1"/>
  <c r="O3091" i="1" s="1"/>
  <c r="O3092" i="1" a="1"/>
  <c r="O3092" i="1" s="1"/>
  <c r="O3093" i="1" a="1"/>
  <c r="O3093" i="1" s="1"/>
  <c r="O3094" i="1" a="1"/>
  <c r="O3094" i="1" s="1"/>
  <c r="O3095" i="1" a="1"/>
  <c r="O3095" i="1" s="1"/>
  <c r="O3096" i="1" a="1"/>
  <c r="O3096" i="1" s="1"/>
  <c r="O3097" i="1" a="1"/>
  <c r="O3097" i="1" s="1"/>
  <c r="O3098" i="1" a="1"/>
  <c r="O3098" i="1" s="1"/>
  <c r="O3099" i="1" a="1"/>
  <c r="O3099" i="1" s="1"/>
  <c r="O3100" i="1" a="1"/>
  <c r="O3100" i="1" s="1"/>
  <c r="O3101" i="1" a="1"/>
  <c r="O3101" i="1" s="1"/>
  <c r="O3102" i="1" a="1"/>
  <c r="O3102" i="1" s="1"/>
  <c r="O3103" i="1" a="1"/>
  <c r="O3103" i="1" s="1"/>
  <c r="O3104" i="1" a="1"/>
  <c r="O3104" i="1" s="1"/>
  <c r="O3105" i="1" a="1"/>
  <c r="O3105" i="1" s="1"/>
  <c r="O3106" i="1" a="1"/>
  <c r="O3106" i="1" s="1"/>
  <c r="O3107" i="1" a="1"/>
  <c r="O3107" i="1" s="1"/>
  <c r="O3108" i="1" a="1"/>
  <c r="O3108" i="1" s="1"/>
  <c r="O3109" i="1" a="1"/>
  <c r="O3109" i="1" s="1"/>
  <c r="O3110" i="1" a="1"/>
  <c r="O3110" i="1" s="1"/>
  <c r="O3111" i="1" a="1"/>
  <c r="O3111" i="1" s="1"/>
  <c r="O3112" i="1" a="1"/>
  <c r="O3112" i="1" s="1"/>
  <c r="O3113" i="1" a="1"/>
  <c r="O3113" i="1" s="1"/>
  <c r="O3114" i="1" a="1"/>
  <c r="O3114" i="1" s="1"/>
  <c r="O3115" i="1" a="1"/>
  <c r="O3115" i="1" s="1"/>
  <c r="O3116" i="1" a="1"/>
  <c r="O3116" i="1" s="1"/>
  <c r="O3117" i="1" a="1"/>
  <c r="O3117" i="1" s="1"/>
  <c r="O3118" i="1" a="1"/>
  <c r="O3118" i="1" s="1"/>
  <c r="O3119" i="1" a="1"/>
  <c r="O3119" i="1" s="1"/>
  <c r="O3120" i="1" a="1"/>
  <c r="O3120" i="1" s="1"/>
  <c r="O3121" i="1" a="1"/>
  <c r="O3121" i="1" s="1"/>
  <c r="O3122" i="1" a="1"/>
  <c r="O3122" i="1" s="1"/>
  <c r="O3123" i="1" a="1"/>
  <c r="O3123" i="1" s="1"/>
  <c r="O3124" i="1" a="1"/>
  <c r="O3124" i="1" s="1"/>
  <c r="O3125" i="1" a="1"/>
  <c r="O3125" i="1" s="1"/>
  <c r="O3126" i="1" a="1"/>
  <c r="O3126" i="1" s="1"/>
  <c r="O3127" i="1" a="1"/>
  <c r="O3127" i="1" s="1"/>
  <c r="O3128" i="1" a="1"/>
  <c r="O3128" i="1" s="1"/>
  <c r="O3129" i="1" a="1"/>
  <c r="O3129" i="1" s="1"/>
  <c r="O3130" i="1" a="1"/>
  <c r="O3130" i="1" s="1"/>
  <c r="O3131" i="1" a="1"/>
  <c r="O3131" i="1" s="1"/>
  <c r="O3132" i="1" a="1"/>
  <c r="O3132" i="1" s="1"/>
  <c r="O3133" i="1" a="1"/>
  <c r="O3133" i="1" s="1"/>
  <c r="O3134" i="1" a="1"/>
  <c r="O3134" i="1" s="1"/>
  <c r="O3135" i="1" a="1"/>
  <c r="O3135" i="1" s="1"/>
  <c r="O3136" i="1" a="1"/>
  <c r="O3136" i="1" s="1"/>
  <c r="O3137" i="1" a="1"/>
  <c r="O3137" i="1" s="1"/>
  <c r="O3138" i="1" a="1"/>
  <c r="O3138" i="1" s="1"/>
  <c r="O3139" i="1" a="1"/>
  <c r="O3139" i="1" s="1"/>
  <c r="O3140" i="1" a="1"/>
  <c r="O3140" i="1" s="1"/>
  <c r="O3141" i="1" a="1"/>
  <c r="O3141" i="1" s="1"/>
  <c r="O3142" i="1" a="1"/>
  <c r="O3142" i="1" s="1"/>
  <c r="O3143" i="1" a="1"/>
  <c r="O3143" i="1" s="1"/>
  <c r="O3144" i="1" a="1"/>
  <c r="O3144" i="1" s="1"/>
  <c r="O3145" i="1" a="1"/>
  <c r="O3145" i="1" s="1"/>
  <c r="O3146" i="1" a="1"/>
  <c r="O3146" i="1" s="1"/>
  <c r="O3147" i="1" a="1"/>
  <c r="O3147" i="1" s="1"/>
  <c r="O3148" i="1" a="1"/>
  <c r="O3148" i="1" s="1"/>
  <c r="O3149" i="1" a="1"/>
  <c r="O3149" i="1" s="1"/>
  <c r="O3150" i="1" a="1"/>
  <c r="O3150" i="1" s="1"/>
  <c r="O3151" i="1" a="1"/>
  <c r="O3151" i="1" s="1"/>
  <c r="O3152" i="1" a="1"/>
  <c r="O3152" i="1" s="1"/>
  <c r="O3153" i="1" a="1"/>
  <c r="O3153" i="1" s="1"/>
  <c r="O3154" i="1" a="1"/>
  <c r="O3154" i="1" s="1"/>
  <c r="O3155" i="1" a="1"/>
  <c r="O3155" i="1" s="1"/>
  <c r="O3156" i="1" a="1"/>
  <c r="O3156" i="1" s="1"/>
  <c r="O3157" i="1" a="1"/>
  <c r="O3157" i="1" s="1"/>
  <c r="O3158" i="1" a="1"/>
  <c r="O3158" i="1" s="1"/>
  <c r="O3159" i="1" a="1"/>
  <c r="O3159" i="1" s="1"/>
  <c r="O3160" i="1" a="1"/>
  <c r="O3160" i="1" s="1"/>
  <c r="O3161" i="1" a="1"/>
  <c r="O3161" i="1" s="1"/>
  <c r="O3162" i="1" a="1"/>
  <c r="O3162" i="1" s="1"/>
  <c r="O3163" i="1" a="1"/>
  <c r="O3163" i="1" s="1"/>
  <c r="O3164" i="1" a="1"/>
  <c r="O3164" i="1" s="1"/>
  <c r="O3165" i="1" a="1"/>
  <c r="O3165" i="1" s="1"/>
  <c r="O3166" i="1" a="1"/>
  <c r="O3166" i="1" s="1"/>
  <c r="O3167" i="1" a="1"/>
  <c r="O3167" i="1" s="1"/>
  <c r="O3168" i="1" a="1"/>
  <c r="O3168" i="1" s="1"/>
  <c r="O3169" i="1" a="1"/>
  <c r="O3169" i="1" s="1"/>
  <c r="O3170" i="1" a="1"/>
  <c r="O3170" i="1" s="1"/>
  <c r="O3171" i="1" a="1"/>
  <c r="O3171" i="1" s="1"/>
  <c r="O3172" i="1" a="1"/>
  <c r="O3172" i="1" s="1"/>
  <c r="O3173" i="1" a="1"/>
  <c r="O3173" i="1" s="1"/>
  <c r="O3174" i="1" a="1"/>
  <c r="O3174" i="1" s="1"/>
  <c r="O3175" i="1" a="1"/>
  <c r="O3175" i="1" s="1"/>
  <c r="O3176" i="1" a="1"/>
  <c r="O3176" i="1" s="1"/>
  <c r="O3177" i="1" a="1"/>
  <c r="O3177" i="1" s="1"/>
  <c r="O3178" i="1" a="1"/>
  <c r="O3178" i="1" s="1"/>
  <c r="O3179" i="1" a="1"/>
  <c r="O3179" i="1" s="1"/>
  <c r="O3180" i="1" a="1"/>
  <c r="O3180" i="1" s="1"/>
  <c r="O3181" i="1" a="1"/>
  <c r="O3181" i="1" s="1"/>
  <c r="O3182" i="1" a="1"/>
  <c r="O3182" i="1" s="1"/>
  <c r="O3183" i="1" a="1"/>
  <c r="O3183" i="1" s="1"/>
  <c r="O3184" i="1" a="1"/>
  <c r="O3184" i="1" s="1"/>
  <c r="O3185" i="1" a="1"/>
  <c r="O3185" i="1" s="1"/>
  <c r="O3186" i="1" a="1"/>
  <c r="O3186" i="1" s="1"/>
  <c r="O3187" i="1" a="1"/>
  <c r="O3187" i="1" s="1"/>
  <c r="O3188" i="1" a="1"/>
  <c r="O3188" i="1" s="1"/>
  <c r="O3189" i="1" a="1"/>
  <c r="O3189" i="1" s="1"/>
  <c r="O3190" i="1" a="1"/>
  <c r="O3190" i="1" s="1"/>
  <c r="O3191" i="1" a="1"/>
  <c r="O3191" i="1" s="1"/>
  <c r="O3192" i="1" a="1"/>
  <c r="O3192" i="1" s="1"/>
  <c r="O3193" i="1" a="1"/>
  <c r="O3193" i="1" s="1"/>
  <c r="O3194" i="1" a="1"/>
  <c r="O3194" i="1" s="1"/>
  <c r="O3195" i="1" a="1"/>
  <c r="O3195" i="1" s="1"/>
  <c r="O3196" i="1" a="1"/>
  <c r="O3196" i="1" s="1"/>
  <c r="O3197" i="1" a="1"/>
  <c r="O3197" i="1" s="1"/>
  <c r="O3198" i="1" a="1"/>
  <c r="O3198" i="1" s="1"/>
  <c r="O3199" i="1" a="1"/>
  <c r="O3199" i="1" s="1"/>
  <c r="O3200" i="1" a="1"/>
  <c r="O3200" i="1" s="1"/>
  <c r="O3201" i="1" a="1"/>
  <c r="O3201" i="1" s="1"/>
  <c r="O3202" i="1" a="1"/>
  <c r="O3202" i="1" s="1"/>
  <c r="O3203" i="1" a="1"/>
  <c r="O3203" i="1" s="1"/>
  <c r="O3204" i="1" a="1"/>
  <c r="O3204" i="1" s="1"/>
  <c r="O3205" i="1" a="1"/>
  <c r="O3205" i="1" s="1"/>
  <c r="O3206" i="1" a="1"/>
  <c r="O3206" i="1" s="1"/>
  <c r="O3207" i="1" a="1"/>
  <c r="O3207" i="1" s="1"/>
  <c r="O3208" i="1" a="1"/>
  <c r="O3208" i="1" s="1"/>
  <c r="O3209" i="1" a="1"/>
  <c r="O3209" i="1" s="1"/>
  <c r="O3210" i="1" a="1"/>
  <c r="O3210" i="1" s="1"/>
  <c r="O3211" i="1" a="1"/>
  <c r="O3211" i="1" s="1"/>
  <c r="O3212" i="1" a="1"/>
  <c r="O3212" i="1" s="1"/>
  <c r="O3213" i="1" a="1"/>
  <c r="O3213" i="1" s="1"/>
  <c r="O3214" i="1" a="1"/>
  <c r="O3214" i="1" s="1"/>
  <c r="O3215" i="1" a="1"/>
  <c r="O3215" i="1" s="1"/>
  <c r="O3216" i="1" a="1"/>
  <c r="O3216" i="1" s="1"/>
  <c r="O3217" i="1" a="1"/>
  <c r="O3217" i="1" s="1"/>
  <c r="O3218" i="1" a="1"/>
  <c r="O3218" i="1" s="1"/>
  <c r="O3219" i="1" a="1"/>
  <c r="O3219" i="1" s="1"/>
  <c r="O3220" i="1" a="1"/>
  <c r="O3220" i="1" s="1"/>
  <c r="O3221" i="1" a="1"/>
  <c r="O3221" i="1" s="1"/>
  <c r="O3222" i="1" a="1"/>
  <c r="O3222" i="1" s="1"/>
  <c r="O3223" i="1" a="1"/>
  <c r="O3223" i="1" s="1"/>
  <c r="O3224" i="1" a="1"/>
  <c r="O3224" i="1" s="1"/>
  <c r="O3225" i="1" a="1"/>
  <c r="O3225" i="1" s="1"/>
  <c r="O3226" i="1" a="1"/>
  <c r="O3226" i="1" s="1"/>
  <c r="O3227" i="1" a="1"/>
  <c r="O3227" i="1" s="1"/>
  <c r="O3228" i="1" a="1"/>
  <c r="O3228" i="1" s="1"/>
  <c r="O3229" i="1" a="1"/>
  <c r="O3229" i="1" s="1"/>
  <c r="O3230" i="1" a="1"/>
  <c r="O3230" i="1" s="1"/>
  <c r="O3231" i="1" a="1"/>
  <c r="O3231" i="1" s="1"/>
  <c r="O3232" i="1" a="1"/>
  <c r="O3232" i="1" s="1"/>
  <c r="O3233" i="1" a="1"/>
  <c r="O3233" i="1" s="1"/>
  <c r="O3234" i="1" a="1"/>
  <c r="O3234" i="1" s="1"/>
  <c r="O3235" i="1" a="1"/>
  <c r="O3235" i="1" s="1"/>
  <c r="O3236" i="1" a="1"/>
  <c r="O3236" i="1" s="1"/>
  <c r="O3237" i="1" a="1"/>
  <c r="O3237" i="1" s="1"/>
  <c r="O3238" i="1" a="1"/>
  <c r="O3238" i="1" s="1"/>
  <c r="O3239" i="1" a="1"/>
  <c r="O3239" i="1" s="1"/>
  <c r="O3240" i="1" a="1"/>
  <c r="O3240" i="1" s="1"/>
  <c r="O3241" i="1" a="1"/>
  <c r="O3241" i="1" s="1"/>
  <c r="O3242" i="1" a="1"/>
  <c r="O3242" i="1" s="1"/>
  <c r="O3243" i="1" a="1"/>
  <c r="O3243" i="1" s="1"/>
  <c r="O3244" i="1" a="1"/>
  <c r="O3244" i="1" s="1"/>
  <c r="O3245" i="1" a="1"/>
  <c r="O3245" i="1" s="1"/>
  <c r="O3246" i="1" a="1"/>
  <c r="O3246" i="1" s="1"/>
  <c r="O3247" i="1" a="1"/>
  <c r="O3247" i="1" s="1"/>
  <c r="O3248" i="1" a="1"/>
  <c r="O3248" i="1" s="1"/>
  <c r="O3249" i="1" a="1"/>
  <c r="O3249" i="1" s="1"/>
  <c r="O3250" i="1" a="1"/>
  <c r="O3250" i="1" s="1"/>
  <c r="O3251" i="1" a="1"/>
  <c r="O3251" i="1" s="1"/>
  <c r="O3252" i="1" a="1"/>
  <c r="O3252" i="1" s="1"/>
  <c r="O3253" i="1" a="1"/>
  <c r="O3253" i="1" s="1"/>
  <c r="O3254" i="1" a="1"/>
  <c r="O3254" i="1" s="1"/>
  <c r="O3255" i="1" a="1"/>
  <c r="O3255" i="1" s="1"/>
  <c r="O3256" i="1" a="1"/>
  <c r="O3256" i="1" s="1"/>
  <c r="O3257" i="1" a="1"/>
  <c r="O3257" i="1" s="1"/>
  <c r="O3258" i="1" a="1"/>
  <c r="O3258" i="1" s="1"/>
  <c r="O3259" i="1" a="1"/>
  <c r="O3259" i="1" s="1"/>
  <c r="O3260" i="1" a="1"/>
  <c r="O3260" i="1" s="1"/>
  <c r="O3261" i="1" a="1"/>
  <c r="O3261" i="1" s="1"/>
  <c r="O3262" i="1" a="1"/>
  <c r="O3262" i="1" s="1"/>
  <c r="O3263" i="1" a="1"/>
  <c r="O3263" i="1" s="1"/>
  <c r="O3264" i="1" a="1"/>
  <c r="O3264" i="1" s="1"/>
  <c r="O3265" i="1" a="1"/>
  <c r="O3265" i="1" s="1"/>
  <c r="O3266" i="1" a="1"/>
  <c r="O3266" i="1" s="1"/>
  <c r="O3267" i="1" a="1"/>
  <c r="O3267" i="1" s="1"/>
  <c r="O3268" i="1" a="1"/>
  <c r="O3268" i="1" s="1"/>
  <c r="O3269" i="1" a="1"/>
  <c r="O3269" i="1" s="1"/>
  <c r="O3270" i="1" a="1"/>
  <c r="O3270" i="1" s="1"/>
  <c r="O3271" i="1" a="1"/>
  <c r="O3271" i="1" s="1"/>
  <c r="O3272" i="1" a="1"/>
  <c r="O3272" i="1" s="1"/>
  <c r="O3273" i="1" a="1"/>
  <c r="O3273" i="1" s="1"/>
  <c r="O3274" i="1" a="1"/>
  <c r="O3274" i="1" s="1"/>
  <c r="O3275" i="1" a="1"/>
  <c r="O3275" i="1" s="1"/>
  <c r="O3276" i="1" a="1"/>
  <c r="O3276" i="1" s="1"/>
  <c r="O3277" i="1" a="1"/>
  <c r="O3277" i="1" s="1"/>
  <c r="O3278" i="1" a="1"/>
  <c r="O3278" i="1" s="1"/>
  <c r="O3279" i="1" a="1"/>
  <c r="O3279" i="1" s="1"/>
  <c r="O3280" i="1" a="1"/>
  <c r="O3280" i="1" s="1"/>
  <c r="O3281" i="1" a="1"/>
  <c r="O3281" i="1" s="1"/>
  <c r="O3282" i="1" a="1"/>
  <c r="O3282" i="1" s="1"/>
  <c r="O3283" i="1" a="1"/>
  <c r="O3283" i="1" s="1"/>
  <c r="O3284" i="1" a="1"/>
  <c r="O3284" i="1" s="1"/>
  <c r="O3285" i="1" a="1"/>
  <c r="O3285" i="1" s="1"/>
  <c r="O3286" i="1" a="1"/>
  <c r="O3286" i="1" s="1"/>
  <c r="O3287" i="1" a="1"/>
  <c r="O3287" i="1" s="1"/>
  <c r="O3288" i="1" a="1"/>
  <c r="O3288" i="1" s="1"/>
  <c r="O3289" i="1" a="1"/>
  <c r="O3289" i="1" s="1"/>
  <c r="O3290" i="1" a="1"/>
  <c r="O3290" i="1" s="1"/>
  <c r="O3291" i="1" a="1"/>
  <c r="O3291" i="1" s="1"/>
  <c r="O3292" i="1" a="1"/>
  <c r="O3292" i="1" s="1"/>
  <c r="O3293" i="1" a="1"/>
  <c r="O3293" i="1" s="1"/>
  <c r="O3294" i="1" a="1"/>
  <c r="O3294" i="1" s="1"/>
  <c r="O3295" i="1" a="1"/>
  <c r="O3295" i="1" s="1"/>
  <c r="O3296" i="1" a="1"/>
  <c r="O3296" i="1" s="1"/>
  <c r="O3297" i="1" a="1"/>
  <c r="O3297" i="1" s="1"/>
  <c r="O3298" i="1" a="1"/>
  <c r="O3298" i="1" s="1"/>
  <c r="O3299" i="1" a="1"/>
  <c r="O3299" i="1" s="1"/>
  <c r="O3300" i="1" a="1"/>
  <c r="O3300" i="1" s="1"/>
  <c r="O3301" i="1" a="1"/>
  <c r="O3301" i="1" s="1"/>
  <c r="O3302" i="1" a="1"/>
  <c r="O3302" i="1" s="1"/>
  <c r="O3303" i="1" a="1"/>
  <c r="O3303" i="1" s="1"/>
  <c r="O3304" i="1" a="1"/>
  <c r="O3304" i="1" s="1"/>
  <c r="O3305" i="1" a="1"/>
  <c r="O3305" i="1" s="1"/>
  <c r="O3306" i="1" a="1"/>
  <c r="O3306" i="1" s="1"/>
  <c r="O3307" i="1" a="1"/>
  <c r="O3307" i="1" s="1"/>
  <c r="O3308" i="1" a="1"/>
  <c r="O3308" i="1" s="1"/>
  <c r="O3309" i="1" a="1"/>
  <c r="O3309" i="1" s="1"/>
  <c r="O3310" i="1" a="1"/>
  <c r="O3310" i="1" s="1"/>
  <c r="O3311" i="1" a="1"/>
  <c r="O3311" i="1" s="1"/>
  <c r="O3312" i="1" a="1"/>
  <c r="O3312" i="1" s="1"/>
  <c r="O3313" i="1" a="1"/>
  <c r="O3313" i="1" s="1"/>
  <c r="O3314" i="1" a="1"/>
  <c r="O3314" i="1" s="1"/>
  <c r="O3315" i="1" a="1"/>
  <c r="O3315" i="1" s="1"/>
  <c r="O3316" i="1" a="1"/>
  <c r="O3316" i="1" s="1"/>
  <c r="O3317" i="1" a="1"/>
  <c r="O3317" i="1" s="1"/>
  <c r="O3318" i="1" a="1"/>
  <c r="O3318" i="1" s="1"/>
  <c r="O3319" i="1" a="1"/>
  <c r="O3319" i="1" s="1"/>
  <c r="O3320" i="1" a="1"/>
  <c r="O3320" i="1" s="1"/>
  <c r="O3321" i="1" a="1"/>
  <c r="O3321" i="1" s="1"/>
  <c r="O3322" i="1" a="1"/>
  <c r="O3322" i="1" s="1"/>
  <c r="O3323" i="1" a="1"/>
  <c r="O3323" i="1" s="1"/>
  <c r="O3324" i="1" a="1"/>
  <c r="O3324" i="1" s="1"/>
  <c r="O3325" i="1" a="1"/>
  <c r="O3325" i="1" s="1"/>
  <c r="O3326" i="1" a="1"/>
  <c r="O3326" i="1" s="1"/>
  <c r="O3327" i="1" a="1"/>
  <c r="O3327" i="1" s="1"/>
  <c r="O3328" i="1" a="1"/>
  <c r="O3328" i="1" s="1"/>
  <c r="O3329" i="1" a="1"/>
  <c r="O3329" i="1" s="1"/>
  <c r="O3330" i="1" a="1"/>
  <c r="O3330" i="1" s="1"/>
  <c r="O3331" i="1" a="1"/>
  <c r="O3331" i="1" s="1"/>
  <c r="O3332" i="1" a="1"/>
  <c r="O3332" i="1" s="1"/>
  <c r="O3333" i="1" a="1"/>
  <c r="O3333" i="1" s="1"/>
  <c r="O3334" i="1" a="1"/>
  <c r="O3334" i="1" s="1"/>
  <c r="O3335" i="1" a="1"/>
  <c r="O3335" i="1" s="1"/>
  <c r="O3336" i="1" a="1"/>
  <c r="O3336" i="1" s="1"/>
  <c r="O3337" i="1" a="1"/>
  <c r="O3337" i="1" s="1"/>
  <c r="O3338" i="1" a="1"/>
  <c r="O3338" i="1" s="1"/>
  <c r="O3339" i="1" a="1"/>
  <c r="O3339" i="1" s="1"/>
  <c r="O3340" i="1" a="1"/>
  <c r="O3340" i="1" s="1"/>
  <c r="O3341" i="1" a="1"/>
  <c r="O3341" i="1" s="1"/>
  <c r="O3342" i="1" a="1"/>
  <c r="O3342" i="1" s="1"/>
  <c r="O3343" i="1" a="1"/>
  <c r="O3343" i="1" s="1"/>
  <c r="O3344" i="1" a="1"/>
  <c r="O3344" i="1" s="1"/>
  <c r="O3345" i="1" a="1"/>
  <c r="O3345" i="1" s="1"/>
  <c r="O3346" i="1" a="1"/>
  <c r="O3346" i="1" s="1"/>
  <c r="O3347" i="1" a="1"/>
  <c r="O3347" i="1" s="1"/>
  <c r="O3348" i="1" a="1"/>
  <c r="O3348" i="1" s="1"/>
  <c r="O3349" i="1" a="1"/>
  <c r="O3349" i="1" s="1"/>
  <c r="O3350" i="1" a="1"/>
  <c r="O3350" i="1" s="1"/>
  <c r="O3351" i="1" a="1"/>
  <c r="O3351" i="1" s="1"/>
  <c r="O3352" i="1" a="1"/>
  <c r="O3352" i="1" s="1"/>
  <c r="O3353" i="1" a="1"/>
  <c r="O3353" i="1" s="1"/>
  <c r="O3354" i="1" a="1"/>
  <c r="O3354" i="1" s="1"/>
  <c r="O3355" i="1" a="1"/>
  <c r="O3355" i="1" s="1"/>
  <c r="O3356" i="1" a="1"/>
  <c r="O3356" i="1" s="1"/>
  <c r="O3357" i="1" a="1"/>
  <c r="O3357" i="1" s="1"/>
  <c r="O3358" i="1" a="1"/>
  <c r="O3358" i="1" s="1"/>
  <c r="O3359" i="1" a="1"/>
  <c r="O3359" i="1" s="1"/>
  <c r="O3360" i="1" a="1"/>
  <c r="O3360" i="1" s="1"/>
  <c r="O3361" i="1" a="1"/>
  <c r="O3361" i="1" s="1"/>
  <c r="O3362" i="1" a="1"/>
  <c r="O3362" i="1" s="1"/>
  <c r="O3363" i="1" a="1"/>
  <c r="O3363" i="1" s="1"/>
  <c r="O3364" i="1" a="1"/>
  <c r="O3364" i="1" s="1"/>
  <c r="O3365" i="1" a="1"/>
  <c r="O3365" i="1" s="1"/>
  <c r="O3366" i="1" a="1"/>
  <c r="O3366" i="1" s="1"/>
  <c r="O3367" i="1" a="1"/>
  <c r="O3367" i="1" s="1"/>
  <c r="O3368" i="1" a="1"/>
  <c r="O3368" i="1" s="1"/>
  <c r="O3369" i="1" a="1"/>
  <c r="O3369" i="1" s="1"/>
  <c r="O3370" i="1" a="1"/>
  <c r="O3370" i="1" s="1"/>
  <c r="O3371" i="1" a="1"/>
  <c r="O3371" i="1" s="1"/>
  <c r="O3372" i="1" a="1"/>
  <c r="O3372" i="1" s="1"/>
  <c r="O3373" i="1" a="1"/>
  <c r="O3373" i="1" s="1"/>
  <c r="O3374" i="1" a="1"/>
  <c r="O3374" i="1" s="1"/>
  <c r="O3375" i="1" a="1"/>
  <c r="O3375" i="1" s="1"/>
  <c r="O3376" i="1" a="1"/>
  <c r="O3376" i="1" s="1"/>
  <c r="O3377" i="1" a="1"/>
  <c r="O3377" i="1" s="1"/>
  <c r="O3378" i="1" a="1"/>
  <c r="O3378" i="1" s="1"/>
  <c r="O3379" i="1" a="1"/>
  <c r="O3379" i="1" s="1"/>
  <c r="O3380" i="1" a="1"/>
  <c r="O3380" i="1" s="1"/>
  <c r="O3381" i="1" a="1"/>
  <c r="O3381" i="1" s="1"/>
  <c r="O3382" i="1" a="1"/>
  <c r="O3382" i="1" s="1"/>
  <c r="O3383" i="1" a="1"/>
  <c r="O3383" i="1" s="1"/>
  <c r="O3384" i="1" a="1"/>
  <c r="O3384" i="1" s="1"/>
  <c r="O3385" i="1" a="1"/>
  <c r="O3385" i="1" s="1"/>
  <c r="O3386" i="1" a="1"/>
  <c r="O3386" i="1" s="1"/>
  <c r="O3387" i="1" a="1"/>
  <c r="O3387" i="1" s="1"/>
  <c r="O3388" i="1" a="1"/>
  <c r="O3388" i="1" s="1"/>
  <c r="O3389" i="1" a="1"/>
  <c r="O3389" i="1" s="1"/>
  <c r="O3390" i="1" a="1"/>
  <c r="O3390" i="1" s="1"/>
  <c r="O3391" i="1" a="1"/>
  <c r="O3391" i="1" s="1"/>
  <c r="O3392" i="1" a="1"/>
  <c r="O3392" i="1" s="1"/>
  <c r="O3393" i="1" a="1"/>
  <c r="O3393" i="1" s="1"/>
  <c r="O3394" i="1" a="1"/>
  <c r="O3394" i="1" s="1"/>
  <c r="O3395" i="1" a="1"/>
  <c r="O3395" i="1" s="1"/>
  <c r="O3396" i="1" a="1"/>
  <c r="O3396" i="1" s="1"/>
  <c r="O3397" i="1" a="1"/>
  <c r="O3397" i="1" s="1"/>
  <c r="O3398" i="1" a="1"/>
  <c r="O3398" i="1" s="1"/>
  <c r="O3399" i="1" a="1"/>
  <c r="O3399" i="1" s="1"/>
  <c r="O3400" i="1" a="1"/>
  <c r="O3400" i="1" s="1"/>
  <c r="O3401" i="1" a="1"/>
  <c r="O3401" i="1" s="1"/>
  <c r="O3402" i="1" a="1"/>
  <c r="O3402" i="1" s="1"/>
  <c r="O3403" i="1" a="1"/>
  <c r="O3403" i="1" s="1"/>
  <c r="O3404" i="1" a="1"/>
  <c r="O3404" i="1" s="1"/>
  <c r="O3405" i="1" a="1"/>
  <c r="O3405" i="1" s="1"/>
  <c r="O3406" i="1" a="1"/>
  <c r="O3406" i="1" s="1"/>
  <c r="O3407" i="1" a="1"/>
  <c r="O3407" i="1" s="1"/>
  <c r="O3408" i="1" a="1"/>
  <c r="O3408" i="1" s="1"/>
  <c r="O3409" i="1" a="1"/>
  <c r="O3409" i="1" s="1"/>
  <c r="O3410" i="1" a="1"/>
  <c r="O3410" i="1" s="1"/>
  <c r="O3411" i="1" a="1"/>
  <c r="O3411" i="1" s="1"/>
  <c r="O3412" i="1" a="1"/>
  <c r="O3412" i="1" s="1"/>
  <c r="O3413" i="1" a="1"/>
  <c r="O3413" i="1" s="1"/>
  <c r="O3414" i="1" a="1"/>
  <c r="O3414" i="1" s="1"/>
  <c r="O3415" i="1" a="1"/>
  <c r="O3415" i="1" s="1"/>
  <c r="O3416" i="1" a="1"/>
  <c r="O3416" i="1" s="1"/>
  <c r="O3417" i="1" a="1"/>
  <c r="O3417" i="1" s="1"/>
  <c r="O3418" i="1" a="1"/>
  <c r="O3418" i="1" s="1"/>
  <c r="O3419" i="1" a="1"/>
  <c r="O3419" i="1" s="1"/>
  <c r="O3420" i="1" a="1"/>
  <c r="O3420" i="1" s="1"/>
  <c r="O3421" i="1" a="1"/>
  <c r="O3421" i="1" s="1"/>
  <c r="O3422" i="1" a="1"/>
  <c r="O3422" i="1" s="1"/>
  <c r="O3423" i="1" a="1"/>
  <c r="O3423" i="1" s="1"/>
  <c r="O3424" i="1" a="1"/>
  <c r="O3424" i="1" s="1"/>
  <c r="O3425" i="1" a="1"/>
  <c r="O3425" i="1" s="1"/>
  <c r="O3426" i="1" a="1"/>
  <c r="O3426" i="1" s="1"/>
  <c r="O3427" i="1" a="1"/>
  <c r="O3427" i="1" s="1"/>
  <c r="O3428" i="1" a="1"/>
  <c r="O3428" i="1" s="1"/>
  <c r="O3429" i="1" a="1"/>
  <c r="O3429" i="1" s="1"/>
  <c r="O3430" i="1" a="1"/>
  <c r="O3430" i="1" s="1"/>
  <c r="O3431" i="1" a="1"/>
  <c r="O3431" i="1" s="1"/>
  <c r="O3432" i="1" a="1"/>
  <c r="O3432" i="1" s="1"/>
  <c r="O3433" i="1" a="1"/>
  <c r="O3433" i="1" s="1"/>
  <c r="O3434" i="1" a="1"/>
  <c r="O3434" i="1" s="1"/>
  <c r="O3435" i="1" a="1"/>
  <c r="O3435" i="1" s="1"/>
  <c r="O3436" i="1" a="1"/>
  <c r="O3436" i="1" s="1"/>
  <c r="O3437" i="1" a="1"/>
  <c r="O3437" i="1" s="1"/>
  <c r="O3438" i="1" a="1"/>
  <c r="O3438" i="1" s="1"/>
  <c r="O3439" i="1" a="1"/>
  <c r="O3439" i="1" s="1"/>
  <c r="O3440" i="1" a="1"/>
  <c r="O3440" i="1" s="1"/>
  <c r="O3441" i="1" a="1"/>
  <c r="O3441" i="1" s="1"/>
  <c r="O3442" i="1" a="1"/>
  <c r="O3442" i="1" s="1"/>
  <c r="O3443" i="1" a="1"/>
  <c r="O3443" i="1" s="1"/>
  <c r="O3444" i="1" a="1"/>
  <c r="O3444" i="1" s="1"/>
  <c r="O3445" i="1" a="1"/>
  <c r="O3445" i="1" s="1"/>
  <c r="O3446" i="1" a="1"/>
  <c r="O3446" i="1" s="1"/>
  <c r="O3447" i="1" a="1"/>
  <c r="O3447" i="1" s="1"/>
  <c r="O3448" i="1" a="1"/>
  <c r="O3448" i="1" s="1"/>
  <c r="O3449" i="1" a="1"/>
  <c r="O3449" i="1" s="1"/>
  <c r="O3450" i="1" a="1"/>
  <c r="O3450" i="1" s="1"/>
  <c r="O3451" i="1" a="1"/>
  <c r="O3451" i="1" s="1"/>
  <c r="O3452" i="1" a="1"/>
  <c r="O3452" i="1" s="1"/>
  <c r="O3453" i="1" a="1"/>
  <c r="O3453" i="1" s="1"/>
  <c r="O3454" i="1" a="1"/>
  <c r="O3454" i="1" s="1"/>
  <c r="O3455" i="1" a="1"/>
  <c r="O3455" i="1" s="1"/>
  <c r="O3456" i="1" a="1"/>
  <c r="O3456" i="1" s="1"/>
  <c r="O3457" i="1" a="1"/>
  <c r="O3457" i="1" s="1"/>
  <c r="O3458" i="1" a="1"/>
  <c r="O3458" i="1" s="1"/>
  <c r="O3459" i="1" a="1"/>
  <c r="O3459" i="1" s="1"/>
  <c r="O3460" i="1" a="1"/>
  <c r="O3460" i="1" s="1"/>
  <c r="O3461" i="1" a="1"/>
  <c r="O3461" i="1" s="1"/>
  <c r="O3462" i="1" a="1"/>
  <c r="O3462" i="1" s="1"/>
  <c r="O3463" i="1" a="1"/>
  <c r="O3463" i="1" s="1"/>
  <c r="O3464" i="1" a="1"/>
  <c r="O3464" i="1" s="1"/>
  <c r="O3465" i="1" a="1"/>
  <c r="O3465" i="1" s="1"/>
  <c r="O3466" i="1" a="1"/>
  <c r="O3466" i="1" s="1"/>
  <c r="O3467" i="1" a="1"/>
  <c r="O3467" i="1" s="1"/>
  <c r="O3468" i="1" a="1"/>
  <c r="O3468" i="1" s="1"/>
  <c r="O3469" i="1" a="1"/>
  <c r="O3469" i="1" s="1"/>
  <c r="O3470" i="1" a="1"/>
  <c r="O3470" i="1" s="1"/>
  <c r="O3471" i="1" a="1"/>
  <c r="O3471" i="1" s="1"/>
  <c r="O3472" i="1" a="1"/>
  <c r="O3472" i="1" s="1"/>
  <c r="O3473" i="1" a="1"/>
  <c r="O3473" i="1" s="1"/>
  <c r="O3474" i="1" a="1"/>
  <c r="O3474" i="1" s="1"/>
  <c r="O3475" i="1" a="1"/>
  <c r="O3475" i="1" s="1"/>
  <c r="O3476" i="1" a="1"/>
  <c r="O3476" i="1" s="1"/>
  <c r="O3477" i="1" a="1"/>
  <c r="O3477" i="1" s="1"/>
  <c r="O3478" i="1" a="1"/>
  <c r="O3478" i="1" s="1"/>
  <c r="O3479" i="1" a="1"/>
  <c r="O3479" i="1" s="1"/>
  <c r="O3480" i="1" a="1"/>
  <c r="O3480" i="1" s="1"/>
  <c r="O3481" i="1" a="1"/>
  <c r="O3481" i="1" s="1"/>
  <c r="O3482" i="1" a="1"/>
  <c r="O3482" i="1" s="1"/>
  <c r="O3483" i="1" a="1"/>
  <c r="O3483" i="1" s="1"/>
  <c r="O3484" i="1" a="1"/>
  <c r="O3484" i="1" s="1"/>
  <c r="O3485" i="1" a="1"/>
  <c r="O3485" i="1" s="1"/>
  <c r="O3486" i="1" a="1"/>
  <c r="O3486" i="1" s="1"/>
  <c r="O3487" i="1" a="1"/>
  <c r="O3487" i="1" s="1"/>
  <c r="O3488" i="1" a="1"/>
  <c r="O3488" i="1" s="1"/>
  <c r="O3489" i="1" a="1"/>
  <c r="O3489" i="1" s="1"/>
  <c r="O3490" i="1" a="1"/>
  <c r="O3490" i="1" s="1"/>
  <c r="O3491" i="1" a="1"/>
  <c r="O3491" i="1" s="1"/>
  <c r="O3492" i="1" a="1"/>
  <c r="O3492" i="1" s="1"/>
  <c r="O3493" i="1" a="1"/>
  <c r="O3493" i="1" s="1"/>
  <c r="O3494" i="1" a="1"/>
  <c r="O3494" i="1" s="1"/>
  <c r="O3495" i="1" a="1"/>
  <c r="O3495" i="1" s="1"/>
  <c r="O3496" i="1" a="1"/>
  <c r="O3496" i="1" s="1"/>
  <c r="O3497" i="1" a="1"/>
  <c r="O3497" i="1" s="1"/>
  <c r="O3498" i="1" a="1"/>
  <c r="O3498" i="1" s="1"/>
  <c r="O3499" i="1" a="1"/>
  <c r="O3499" i="1" s="1"/>
  <c r="O3500" i="1" a="1"/>
  <c r="O3500" i="1" s="1"/>
  <c r="O3501" i="1" a="1"/>
  <c r="O3501" i="1" s="1"/>
  <c r="O3502" i="1" a="1"/>
  <c r="O3502" i="1" s="1"/>
  <c r="O3503" i="1" a="1"/>
  <c r="O3503" i="1" s="1"/>
  <c r="O3504" i="1" a="1"/>
  <c r="O3504" i="1" s="1"/>
  <c r="O3505" i="1" a="1"/>
  <c r="O3505" i="1" s="1"/>
  <c r="O3506" i="1" a="1"/>
  <c r="O3506" i="1" s="1"/>
  <c r="O3507" i="1" a="1"/>
  <c r="O3507" i="1" s="1"/>
  <c r="O3508" i="1" a="1"/>
  <c r="O3508" i="1" s="1"/>
  <c r="O3509" i="1" a="1"/>
  <c r="O3509" i="1" s="1"/>
  <c r="O3510" i="1" a="1"/>
  <c r="O3510" i="1" s="1"/>
  <c r="O3511" i="1" a="1"/>
  <c r="O3511" i="1" s="1"/>
  <c r="O3512" i="1" a="1"/>
  <c r="O3512" i="1" s="1"/>
  <c r="O3513" i="1" a="1"/>
  <c r="O3513" i="1" s="1"/>
  <c r="O3514" i="1" a="1"/>
  <c r="O3514" i="1" s="1"/>
  <c r="O3515" i="1" a="1"/>
  <c r="O3515" i="1" s="1"/>
  <c r="O3516" i="1" a="1"/>
  <c r="O3516" i="1" s="1"/>
  <c r="O3517" i="1" a="1"/>
  <c r="O3517" i="1" s="1"/>
  <c r="O3518" i="1" a="1"/>
  <c r="O3518" i="1" s="1"/>
  <c r="O3519" i="1" a="1"/>
  <c r="O3519" i="1" s="1"/>
  <c r="O3520" i="1" a="1"/>
  <c r="O3520" i="1" s="1"/>
  <c r="O3521" i="1" a="1"/>
  <c r="O3521" i="1" s="1"/>
  <c r="O3522" i="1" a="1"/>
  <c r="O3522" i="1" s="1"/>
  <c r="O3523" i="1" a="1"/>
  <c r="O3523" i="1" s="1"/>
  <c r="O3524" i="1" a="1"/>
  <c r="O3524" i="1" s="1"/>
  <c r="O3525" i="1" a="1"/>
  <c r="O3525" i="1" s="1"/>
  <c r="O3526" i="1" a="1"/>
  <c r="O3526" i="1" s="1"/>
  <c r="O3527" i="1" a="1"/>
  <c r="O3527" i="1" s="1"/>
  <c r="O3528" i="1" a="1"/>
  <c r="O3528" i="1" s="1"/>
  <c r="O3529" i="1" a="1"/>
  <c r="O3529" i="1" s="1"/>
  <c r="O3530" i="1" a="1"/>
  <c r="O3530" i="1" s="1"/>
  <c r="O3531" i="1" a="1"/>
  <c r="O3531" i="1" s="1"/>
  <c r="O3532" i="1" a="1"/>
  <c r="O3532" i="1" s="1"/>
  <c r="O3533" i="1" a="1"/>
  <c r="O3533" i="1" s="1"/>
  <c r="O3534" i="1" a="1"/>
  <c r="O3534" i="1" s="1"/>
  <c r="O3535" i="1" a="1"/>
  <c r="O3535" i="1" s="1"/>
  <c r="O3536" i="1" a="1"/>
  <c r="O3536" i="1" s="1"/>
  <c r="O3537" i="1" a="1"/>
  <c r="O3537" i="1" s="1"/>
  <c r="O3538" i="1" a="1"/>
  <c r="O3538" i="1" s="1"/>
  <c r="O3539" i="1" a="1"/>
  <c r="O3539" i="1" s="1"/>
  <c r="O3540" i="1" a="1"/>
  <c r="O3540" i="1" s="1"/>
  <c r="O3541" i="1" a="1"/>
  <c r="O3541" i="1" s="1"/>
  <c r="O3542" i="1" a="1"/>
  <c r="O3542" i="1" s="1"/>
  <c r="O3543" i="1" a="1"/>
  <c r="O3543" i="1" s="1"/>
  <c r="O3544" i="1" a="1"/>
  <c r="O3544" i="1" s="1"/>
  <c r="O3545" i="1" a="1"/>
  <c r="O3545" i="1" s="1"/>
  <c r="O3546" i="1" a="1"/>
  <c r="O3546" i="1" s="1"/>
  <c r="O3547" i="1" a="1"/>
  <c r="O3547" i="1" s="1"/>
  <c r="O3548" i="1" a="1"/>
  <c r="O3548" i="1" s="1"/>
  <c r="O3549" i="1" a="1"/>
  <c r="O3549" i="1" s="1"/>
  <c r="O3550" i="1" a="1"/>
  <c r="O3550" i="1" s="1"/>
  <c r="O3551" i="1" a="1"/>
  <c r="O3551" i="1" s="1"/>
  <c r="O3552" i="1" a="1"/>
  <c r="O3552" i="1" s="1"/>
  <c r="O3553" i="1" a="1"/>
  <c r="O3553" i="1" s="1"/>
  <c r="O3554" i="1" a="1"/>
  <c r="O3554" i="1" s="1"/>
  <c r="O3555" i="1" a="1"/>
  <c r="O3555" i="1" s="1"/>
  <c r="O3556" i="1" a="1"/>
  <c r="O3556" i="1" s="1"/>
  <c r="O3557" i="1" a="1"/>
  <c r="O3557" i="1" s="1"/>
  <c r="O3558" i="1" a="1"/>
  <c r="O3558" i="1" s="1"/>
  <c r="O3559" i="1" a="1"/>
  <c r="O3559" i="1" s="1"/>
  <c r="O3560" i="1" a="1"/>
  <c r="O3560" i="1" s="1"/>
  <c r="O3561" i="1" a="1"/>
  <c r="O3561" i="1" s="1"/>
  <c r="O3562" i="1" a="1"/>
  <c r="O3562" i="1" s="1"/>
  <c r="O3563" i="1" a="1"/>
  <c r="O3563" i="1" s="1"/>
  <c r="O3564" i="1" a="1"/>
  <c r="O3564" i="1" s="1"/>
  <c r="O3565" i="1" a="1"/>
  <c r="O3565" i="1" s="1"/>
  <c r="O3566" i="1" a="1"/>
  <c r="O3566" i="1" s="1"/>
  <c r="O3567" i="1" a="1"/>
  <c r="O3567" i="1" s="1"/>
  <c r="O3568" i="1" a="1"/>
  <c r="O3568" i="1" s="1"/>
  <c r="O3569" i="1" a="1"/>
  <c r="O3569" i="1" s="1"/>
  <c r="O3570" i="1" a="1"/>
  <c r="O3570" i="1" s="1"/>
  <c r="O3571" i="1" a="1"/>
  <c r="O3571" i="1" s="1"/>
  <c r="O3572" i="1" a="1"/>
  <c r="O3572" i="1" s="1"/>
  <c r="O3573" i="1" a="1"/>
  <c r="O3573" i="1" s="1"/>
  <c r="O3574" i="1" a="1"/>
  <c r="O3574" i="1" s="1"/>
  <c r="O3575" i="1" a="1"/>
  <c r="O3575" i="1" s="1"/>
  <c r="O3576" i="1" a="1"/>
  <c r="O3576" i="1" s="1"/>
  <c r="O3577" i="1" a="1"/>
  <c r="O3577" i="1" s="1"/>
  <c r="O3578" i="1" a="1"/>
  <c r="O3578" i="1" s="1"/>
  <c r="O3579" i="1" a="1"/>
  <c r="O3579" i="1" s="1"/>
  <c r="O3580" i="1" a="1"/>
  <c r="O3580" i="1" s="1"/>
  <c r="O3581" i="1" a="1"/>
  <c r="O3581" i="1" s="1"/>
  <c r="O3582" i="1" a="1"/>
  <c r="O3582" i="1" s="1"/>
  <c r="O3583" i="1" a="1"/>
  <c r="O3583" i="1" s="1"/>
  <c r="O3584" i="1" a="1"/>
  <c r="O3584" i="1" s="1"/>
  <c r="O3585" i="1" a="1"/>
  <c r="O3585" i="1" s="1"/>
  <c r="O3586" i="1" a="1"/>
  <c r="O3586" i="1" s="1"/>
  <c r="O3587" i="1" a="1"/>
  <c r="O3587" i="1" s="1"/>
  <c r="O3588" i="1" a="1"/>
  <c r="O3588" i="1" s="1"/>
  <c r="O3589" i="1" a="1"/>
  <c r="O3589" i="1" s="1"/>
  <c r="O3590" i="1" a="1"/>
  <c r="O3590" i="1" s="1"/>
  <c r="O3591" i="1" a="1"/>
  <c r="O3591" i="1" s="1"/>
  <c r="O3592" i="1" a="1"/>
  <c r="O3592" i="1" s="1"/>
  <c r="O3593" i="1" a="1"/>
  <c r="O3593" i="1" s="1"/>
  <c r="O3594" i="1" a="1"/>
  <c r="O3594" i="1" s="1"/>
  <c r="O3595" i="1" a="1"/>
  <c r="O3595" i="1" s="1"/>
  <c r="O3596" i="1" a="1"/>
  <c r="O3596" i="1" s="1"/>
  <c r="O3597" i="1" a="1"/>
  <c r="O3597" i="1" s="1"/>
  <c r="O3598" i="1" a="1"/>
  <c r="O3598" i="1" s="1"/>
  <c r="O3599" i="1" a="1"/>
  <c r="O3599" i="1" s="1"/>
  <c r="O3600" i="1" a="1"/>
  <c r="O3600" i="1" s="1"/>
  <c r="O3601" i="1" a="1"/>
  <c r="O3601" i="1" s="1"/>
  <c r="O3602" i="1" a="1"/>
  <c r="O3602" i="1" s="1"/>
  <c r="O3603" i="1" a="1"/>
  <c r="O3603" i="1" s="1"/>
  <c r="O3604" i="1" a="1"/>
  <c r="O3604" i="1" s="1"/>
  <c r="O3605" i="1" a="1"/>
  <c r="O3605" i="1" s="1"/>
  <c r="O3606" i="1" a="1"/>
  <c r="O3606" i="1" s="1"/>
  <c r="O3607" i="1" a="1"/>
  <c r="O3607" i="1" s="1"/>
  <c r="O3608" i="1" a="1"/>
  <c r="O3608" i="1" s="1"/>
  <c r="O3609" i="1" a="1"/>
  <c r="O3609" i="1" s="1"/>
  <c r="O3610" i="1" a="1"/>
  <c r="O3610" i="1" s="1"/>
  <c r="O3611" i="1" a="1"/>
  <c r="O3611" i="1" s="1"/>
  <c r="O3612" i="1" a="1"/>
  <c r="O3612" i="1" s="1"/>
  <c r="O3613" i="1" a="1"/>
  <c r="O3613" i="1" s="1"/>
  <c r="O3614" i="1" a="1"/>
  <c r="O3614" i="1" s="1"/>
  <c r="O3615" i="1" a="1"/>
  <c r="O3615" i="1" s="1"/>
  <c r="O3616" i="1" a="1"/>
  <c r="O3616" i="1" s="1"/>
  <c r="O3617" i="1" a="1"/>
  <c r="O3617" i="1" s="1"/>
  <c r="O3618" i="1" a="1"/>
  <c r="O3618" i="1" s="1"/>
  <c r="O3619" i="1" a="1"/>
  <c r="O3619" i="1" s="1"/>
  <c r="O3620" i="1" a="1"/>
  <c r="O3620" i="1" s="1"/>
  <c r="O3621" i="1" a="1"/>
  <c r="O3621" i="1" s="1"/>
  <c r="O3622" i="1" a="1"/>
  <c r="O3622" i="1" s="1"/>
  <c r="O3623" i="1" a="1"/>
  <c r="O3623" i="1" s="1"/>
  <c r="O3624" i="1" a="1"/>
  <c r="O3624" i="1" s="1"/>
  <c r="O3625" i="1" a="1"/>
  <c r="O3625" i="1" s="1"/>
  <c r="O3626" i="1" a="1"/>
  <c r="O3626" i="1" s="1"/>
  <c r="O3627" i="1" a="1"/>
  <c r="O3627" i="1" s="1"/>
  <c r="O3628" i="1" a="1"/>
  <c r="O3628" i="1" s="1"/>
  <c r="O3629" i="1" a="1"/>
  <c r="O3629" i="1" s="1"/>
  <c r="O3630" i="1" a="1"/>
  <c r="O3630" i="1" s="1"/>
  <c r="O3631" i="1" a="1"/>
  <c r="O3631" i="1" s="1"/>
  <c r="O3632" i="1" a="1"/>
  <c r="O3632" i="1" s="1"/>
  <c r="O3633" i="1" a="1"/>
  <c r="O3633" i="1" s="1"/>
  <c r="O3634" i="1" a="1"/>
  <c r="O3634" i="1" s="1"/>
  <c r="O3635" i="1" a="1"/>
  <c r="O3635" i="1" s="1"/>
  <c r="O3636" i="1" a="1"/>
  <c r="O3636" i="1" s="1"/>
  <c r="O3637" i="1" a="1"/>
  <c r="O3637" i="1" s="1"/>
  <c r="O3638" i="1" a="1"/>
  <c r="O3638" i="1" s="1"/>
  <c r="O3639" i="1" a="1"/>
  <c r="O3639" i="1" s="1"/>
  <c r="O3640" i="1" a="1"/>
  <c r="O3640" i="1" s="1"/>
  <c r="O3641" i="1" a="1"/>
  <c r="O3641" i="1" s="1"/>
  <c r="O3642" i="1" a="1"/>
  <c r="O3642" i="1" s="1"/>
  <c r="O3643" i="1" a="1"/>
  <c r="O3643" i="1" s="1"/>
  <c r="O3644" i="1" a="1"/>
  <c r="O3644" i="1" s="1"/>
  <c r="O3645" i="1" a="1"/>
  <c r="O3645" i="1" s="1"/>
  <c r="O3646" i="1" a="1"/>
  <c r="O3646" i="1" s="1"/>
  <c r="O3647" i="1" a="1"/>
  <c r="O3647" i="1" s="1"/>
  <c r="O3648" i="1" a="1"/>
  <c r="O3648" i="1" s="1"/>
  <c r="O3649" i="1" a="1"/>
  <c r="O3649" i="1" s="1"/>
  <c r="O3650" i="1" a="1"/>
  <c r="O3650" i="1" s="1"/>
  <c r="O3651" i="1" a="1"/>
  <c r="O3651" i="1" s="1"/>
  <c r="O3652" i="1" a="1"/>
  <c r="O3652" i="1" s="1"/>
  <c r="O3653" i="1" a="1"/>
  <c r="O3653" i="1" s="1"/>
  <c r="O3654" i="1" a="1"/>
  <c r="O3654" i="1" s="1"/>
  <c r="O3655" i="1" a="1"/>
  <c r="O3655" i="1" s="1"/>
  <c r="O3656" i="1" a="1"/>
  <c r="O3656" i="1" s="1"/>
  <c r="O3657" i="1" a="1"/>
  <c r="O3657" i="1" s="1"/>
  <c r="O3658" i="1" a="1"/>
  <c r="O3658" i="1" s="1"/>
  <c r="O3659" i="1" a="1"/>
  <c r="O3659" i="1" s="1"/>
  <c r="O3660" i="1" a="1"/>
  <c r="O3660" i="1" s="1"/>
  <c r="O3661" i="1" a="1"/>
  <c r="O3661" i="1" s="1"/>
  <c r="O3662" i="1" a="1"/>
  <c r="O3662" i="1" s="1"/>
  <c r="O3663" i="1" a="1"/>
  <c r="O3663" i="1" s="1"/>
  <c r="O3664" i="1" a="1"/>
  <c r="O3664" i="1" s="1"/>
  <c r="O3665" i="1" a="1"/>
  <c r="O3665" i="1" s="1"/>
  <c r="O3666" i="1" a="1"/>
  <c r="O3666" i="1" s="1"/>
  <c r="O3667" i="1" a="1"/>
  <c r="O3667" i="1" s="1"/>
  <c r="O3668" i="1" a="1"/>
  <c r="O3668" i="1" s="1"/>
  <c r="O3669" i="1" a="1"/>
  <c r="O3669" i="1" s="1"/>
  <c r="O3670" i="1" a="1"/>
  <c r="O3670" i="1" s="1"/>
  <c r="O3671" i="1" a="1"/>
  <c r="O3671" i="1" s="1"/>
  <c r="O3672" i="1" a="1"/>
  <c r="O3672" i="1" s="1"/>
  <c r="O3673" i="1" a="1"/>
  <c r="O3673" i="1" s="1"/>
  <c r="O3674" i="1" a="1"/>
  <c r="O3674" i="1" s="1"/>
  <c r="O3675" i="1" a="1"/>
  <c r="O3675" i="1" s="1"/>
  <c r="O3676" i="1" a="1"/>
  <c r="O3676" i="1" s="1"/>
  <c r="O3677" i="1" a="1"/>
  <c r="O3677" i="1" s="1"/>
  <c r="O3678" i="1" a="1"/>
  <c r="O3678" i="1" s="1"/>
  <c r="O3679" i="1" a="1"/>
  <c r="O3679" i="1" s="1"/>
  <c r="O3680" i="1" a="1"/>
  <c r="O3680" i="1" s="1"/>
  <c r="O3681" i="1" a="1"/>
  <c r="O3681" i="1" s="1"/>
  <c r="O3682" i="1" a="1"/>
  <c r="O3682" i="1" s="1"/>
  <c r="O3683" i="1" a="1"/>
  <c r="O3683" i="1" s="1"/>
  <c r="O3684" i="1" a="1"/>
  <c r="O3684" i="1" s="1"/>
  <c r="O3685" i="1" a="1"/>
  <c r="O3685" i="1" s="1"/>
  <c r="O3686" i="1" a="1"/>
  <c r="O3686" i="1" s="1"/>
  <c r="O3687" i="1" a="1"/>
  <c r="O3687" i="1" s="1"/>
  <c r="O3688" i="1" a="1"/>
  <c r="O3688" i="1" s="1"/>
  <c r="O3689" i="1" a="1"/>
  <c r="O3689" i="1" s="1"/>
  <c r="O3690" i="1" a="1"/>
  <c r="O3690" i="1" s="1"/>
  <c r="O3691" i="1" a="1"/>
  <c r="O3691" i="1" s="1"/>
  <c r="O3692" i="1" a="1"/>
  <c r="O3692" i="1" s="1"/>
  <c r="O3693" i="1" a="1"/>
  <c r="O3693" i="1" s="1"/>
  <c r="O3694" i="1" a="1"/>
  <c r="O3694" i="1" s="1"/>
  <c r="O3695" i="1" a="1"/>
  <c r="O3695" i="1" s="1"/>
  <c r="O3696" i="1" a="1"/>
  <c r="O3696" i="1" s="1"/>
  <c r="O3697" i="1" a="1"/>
  <c r="O3697" i="1" s="1"/>
  <c r="O3698" i="1" a="1"/>
  <c r="O3698" i="1" s="1"/>
  <c r="O3699" i="1" a="1"/>
  <c r="O3699" i="1" s="1"/>
  <c r="O3700" i="1" a="1"/>
  <c r="O3700" i="1" s="1"/>
  <c r="O3701" i="1" a="1"/>
  <c r="O3701" i="1" s="1"/>
  <c r="O3702" i="1" a="1"/>
  <c r="O3702" i="1" s="1"/>
  <c r="O3703" i="1" a="1"/>
  <c r="O3703" i="1" s="1"/>
  <c r="O3704" i="1" a="1"/>
  <c r="O3704" i="1" s="1"/>
  <c r="O3705" i="1" a="1"/>
  <c r="O3705" i="1" s="1"/>
  <c r="O3706" i="1" a="1"/>
  <c r="O3706" i="1" s="1"/>
  <c r="O3707" i="1" a="1"/>
  <c r="O3707" i="1" s="1"/>
  <c r="O3708" i="1" a="1"/>
  <c r="O3708" i="1" s="1"/>
  <c r="O3709" i="1" a="1"/>
  <c r="O3709" i="1" s="1"/>
  <c r="O3710" i="1" a="1"/>
  <c r="O3710" i="1" s="1"/>
  <c r="O3711" i="1" a="1"/>
  <c r="O3711" i="1" s="1"/>
  <c r="O3712" i="1" a="1"/>
  <c r="O3712" i="1" s="1"/>
  <c r="O3713" i="1" a="1"/>
  <c r="O3713" i="1" s="1"/>
  <c r="O3714" i="1" a="1"/>
  <c r="O3714" i="1" s="1"/>
  <c r="O3715" i="1" a="1"/>
  <c r="O3715" i="1" s="1"/>
  <c r="O3716" i="1" a="1"/>
  <c r="O3716" i="1" s="1"/>
  <c r="O3717" i="1" a="1"/>
  <c r="O3717" i="1" s="1"/>
  <c r="O3718" i="1" a="1"/>
  <c r="O3718" i="1" s="1"/>
  <c r="O3719" i="1" a="1"/>
  <c r="O3719" i="1" s="1"/>
  <c r="O3720" i="1" a="1"/>
  <c r="O3720" i="1" s="1"/>
  <c r="O3721" i="1" a="1"/>
  <c r="O3721" i="1" s="1"/>
  <c r="O3722" i="1" a="1"/>
  <c r="O3722" i="1" s="1"/>
  <c r="O3723" i="1" a="1"/>
  <c r="O3723" i="1" s="1"/>
  <c r="O3724" i="1" a="1"/>
  <c r="O3724" i="1" s="1"/>
  <c r="O3725" i="1" a="1"/>
  <c r="O3725" i="1" s="1"/>
  <c r="O3726" i="1" a="1"/>
  <c r="O3726" i="1" s="1"/>
  <c r="O3727" i="1" a="1"/>
  <c r="O3727" i="1" s="1"/>
  <c r="O3728" i="1" a="1"/>
  <c r="O3728" i="1" s="1"/>
  <c r="O3729" i="1" a="1"/>
  <c r="O3729" i="1" s="1"/>
  <c r="O3730" i="1" a="1"/>
  <c r="O3730" i="1" s="1"/>
  <c r="O3731" i="1" a="1"/>
  <c r="O3731" i="1" s="1"/>
  <c r="O3732" i="1" a="1"/>
  <c r="O3732" i="1" s="1"/>
  <c r="O3733" i="1" a="1"/>
  <c r="O3733" i="1" s="1"/>
  <c r="O3734" i="1" a="1"/>
  <c r="O3734" i="1" s="1"/>
  <c r="O3735" i="1" a="1"/>
  <c r="O3735" i="1" s="1"/>
  <c r="O3736" i="1" a="1"/>
  <c r="O3736" i="1" s="1"/>
  <c r="O3737" i="1" a="1"/>
  <c r="O3737" i="1" s="1"/>
  <c r="O3738" i="1" a="1"/>
  <c r="O3738" i="1" s="1"/>
  <c r="O3739" i="1" a="1"/>
  <c r="O3739" i="1" s="1"/>
  <c r="O3740" i="1" a="1"/>
  <c r="O3740" i="1" s="1"/>
  <c r="O3741" i="1" a="1"/>
  <c r="O3741" i="1" s="1"/>
  <c r="O3742" i="1" a="1"/>
  <c r="O3742" i="1" s="1"/>
  <c r="O3743" i="1" a="1"/>
  <c r="O3743" i="1" s="1"/>
  <c r="O3744" i="1" a="1"/>
  <c r="O3744" i="1" s="1"/>
  <c r="O3745" i="1" a="1"/>
  <c r="O3745" i="1" s="1"/>
  <c r="O3746" i="1" a="1"/>
  <c r="O3746" i="1" s="1"/>
  <c r="O3747" i="1" a="1"/>
  <c r="O3747" i="1" s="1"/>
  <c r="O3748" i="1" a="1"/>
  <c r="O3748" i="1" s="1"/>
  <c r="O3749" i="1" a="1"/>
  <c r="O3749" i="1" s="1"/>
  <c r="O3750" i="1" a="1"/>
  <c r="O3750" i="1" s="1"/>
  <c r="O3751" i="1" a="1"/>
  <c r="O3751" i="1" s="1"/>
  <c r="O3752" i="1" a="1"/>
  <c r="O3752" i="1" s="1"/>
  <c r="O3753" i="1" a="1"/>
  <c r="O3753" i="1" s="1"/>
  <c r="O3754" i="1" a="1"/>
  <c r="O3754" i="1" s="1"/>
  <c r="O3755" i="1" a="1"/>
  <c r="O3755" i="1" s="1"/>
  <c r="O3756" i="1" a="1"/>
  <c r="O3756" i="1" s="1"/>
  <c r="O3757" i="1" a="1"/>
  <c r="O3757" i="1" s="1"/>
  <c r="O3758" i="1" a="1"/>
  <c r="O3758" i="1" s="1"/>
  <c r="O3759" i="1" a="1"/>
  <c r="O3759" i="1" s="1"/>
  <c r="O3760" i="1" a="1"/>
  <c r="O3760" i="1" s="1"/>
  <c r="O3761" i="1" a="1"/>
  <c r="O3761" i="1" s="1"/>
  <c r="O3762" i="1" a="1"/>
  <c r="O3762" i="1" s="1"/>
  <c r="O3763" i="1" a="1"/>
  <c r="O3763" i="1" s="1"/>
  <c r="O3764" i="1" a="1"/>
  <c r="O3764" i="1" s="1"/>
  <c r="O3765" i="1" a="1"/>
  <c r="O3765" i="1" s="1"/>
  <c r="O3766" i="1" a="1"/>
  <c r="O3766" i="1" s="1"/>
  <c r="O3767" i="1" a="1"/>
  <c r="O3767" i="1" s="1"/>
  <c r="O3768" i="1" a="1"/>
  <c r="O3768" i="1" s="1"/>
  <c r="O3769" i="1" a="1"/>
  <c r="O3769" i="1" s="1"/>
  <c r="O3770" i="1" a="1"/>
  <c r="O3770" i="1" s="1"/>
  <c r="O3771" i="1" a="1"/>
  <c r="O3771" i="1" s="1"/>
  <c r="O3772" i="1" a="1"/>
  <c r="O3772" i="1" s="1"/>
  <c r="O3773" i="1" a="1"/>
  <c r="O3773" i="1" s="1"/>
  <c r="O3774" i="1" a="1"/>
  <c r="O3774" i="1" s="1"/>
  <c r="O3775" i="1" a="1"/>
  <c r="O3775" i="1" s="1"/>
  <c r="O3776" i="1" a="1"/>
  <c r="O3776" i="1" s="1"/>
  <c r="O3777" i="1" a="1"/>
  <c r="O3777" i="1" s="1"/>
  <c r="O3778" i="1" a="1"/>
  <c r="O3778" i="1" s="1"/>
  <c r="O3779" i="1" a="1"/>
  <c r="O3779" i="1" s="1"/>
  <c r="O3780" i="1" a="1"/>
  <c r="O3780" i="1" s="1"/>
  <c r="O3781" i="1" a="1"/>
  <c r="O3781" i="1" s="1"/>
  <c r="O3782" i="1" a="1"/>
  <c r="O3782" i="1" s="1"/>
  <c r="O3783" i="1" a="1"/>
  <c r="O3783" i="1" s="1"/>
  <c r="O3784" i="1" a="1"/>
  <c r="O3784" i="1" s="1"/>
  <c r="O3785" i="1" a="1"/>
  <c r="O3785" i="1" s="1"/>
  <c r="O3786" i="1" a="1"/>
  <c r="O3786" i="1" s="1"/>
  <c r="O3787" i="1" a="1"/>
  <c r="O3787" i="1" s="1"/>
  <c r="O3788" i="1" a="1"/>
  <c r="O3788" i="1" s="1"/>
  <c r="O3789" i="1" a="1"/>
  <c r="O3789" i="1" s="1"/>
  <c r="O3790" i="1" a="1"/>
  <c r="O3790" i="1" s="1"/>
  <c r="O3791" i="1" a="1"/>
  <c r="O3791" i="1" s="1"/>
  <c r="O3792" i="1" a="1"/>
  <c r="O3792" i="1" s="1"/>
  <c r="O3793" i="1" a="1"/>
  <c r="O3793" i="1" s="1"/>
  <c r="O3794" i="1" a="1"/>
  <c r="O3794" i="1" s="1"/>
  <c r="O3795" i="1" a="1"/>
  <c r="O3795" i="1" s="1"/>
  <c r="O3796" i="1" a="1"/>
  <c r="O3796" i="1" s="1"/>
  <c r="O3797" i="1" a="1"/>
  <c r="O3797" i="1" s="1"/>
  <c r="O3798" i="1" a="1"/>
  <c r="O3798" i="1" s="1"/>
  <c r="O3799" i="1" a="1"/>
  <c r="O3799" i="1" s="1"/>
  <c r="O3800" i="1" a="1"/>
  <c r="O3800" i="1" s="1"/>
  <c r="O3801" i="1" a="1"/>
  <c r="O3801" i="1" s="1"/>
  <c r="O3802" i="1" a="1"/>
  <c r="O3802" i="1" s="1"/>
  <c r="O3803" i="1" a="1"/>
  <c r="O3803" i="1" s="1"/>
  <c r="O3804" i="1" a="1"/>
  <c r="O3804" i="1" s="1"/>
  <c r="O3805" i="1" a="1"/>
  <c r="O3805" i="1" s="1"/>
  <c r="O3806" i="1" a="1"/>
  <c r="O3806" i="1" s="1"/>
  <c r="O3807" i="1" a="1"/>
  <c r="O3807" i="1" s="1"/>
  <c r="O3808" i="1" a="1"/>
  <c r="O3808" i="1" s="1"/>
  <c r="O3809" i="1" a="1"/>
  <c r="O3809" i="1" s="1"/>
  <c r="O3810" i="1" a="1"/>
  <c r="O3810" i="1" s="1"/>
  <c r="O3811" i="1" a="1"/>
  <c r="O3811" i="1" s="1"/>
  <c r="O3812" i="1" a="1"/>
  <c r="O3812" i="1" s="1"/>
  <c r="O3813" i="1" a="1"/>
  <c r="O3813" i="1" s="1"/>
  <c r="O3814" i="1" a="1"/>
  <c r="O3814" i="1" s="1"/>
  <c r="O3815" i="1" a="1"/>
  <c r="O3815" i="1" s="1"/>
  <c r="O3816" i="1" a="1"/>
  <c r="O3816" i="1" s="1"/>
  <c r="O3817" i="1" a="1"/>
  <c r="O3817" i="1" s="1"/>
  <c r="O3818" i="1" a="1"/>
  <c r="O3818" i="1" s="1"/>
  <c r="O3819" i="1" a="1"/>
  <c r="O3819" i="1" s="1"/>
  <c r="O3820" i="1" a="1"/>
  <c r="O3820" i="1" s="1"/>
  <c r="O3821" i="1" a="1"/>
  <c r="O3821" i="1" s="1"/>
  <c r="O3822" i="1" a="1"/>
  <c r="O3822" i="1" s="1"/>
  <c r="O3823" i="1" a="1"/>
  <c r="O3823" i="1" s="1"/>
  <c r="O3824" i="1" a="1"/>
  <c r="O3824" i="1" s="1"/>
  <c r="O3825" i="1" a="1"/>
  <c r="O3825" i="1" s="1"/>
  <c r="O3826" i="1" a="1"/>
  <c r="O3826" i="1" s="1"/>
  <c r="O3827" i="1" a="1"/>
  <c r="O3827" i="1" s="1"/>
  <c r="O3828" i="1" a="1"/>
  <c r="O3828" i="1" s="1"/>
  <c r="O3829" i="1" a="1"/>
  <c r="O3829" i="1" s="1"/>
  <c r="O3830" i="1" a="1"/>
  <c r="O3830" i="1" s="1"/>
  <c r="O3831" i="1" a="1"/>
  <c r="O3831" i="1" s="1"/>
  <c r="O3832" i="1" a="1"/>
  <c r="O3832" i="1" s="1"/>
  <c r="O3833" i="1" a="1"/>
  <c r="O3833" i="1" s="1"/>
  <c r="O3834" i="1" a="1"/>
  <c r="O3834" i="1" s="1"/>
  <c r="O3835" i="1" a="1"/>
  <c r="O3835" i="1" s="1"/>
  <c r="O3836" i="1" a="1"/>
  <c r="O3836" i="1" s="1"/>
  <c r="O3837" i="1" a="1"/>
  <c r="O3837" i="1" s="1"/>
  <c r="O3838" i="1" a="1"/>
  <c r="O3838" i="1" s="1"/>
  <c r="O3839" i="1" a="1"/>
  <c r="O3839" i="1" s="1"/>
  <c r="O3840" i="1" a="1"/>
  <c r="O3840" i="1" s="1"/>
  <c r="O3841" i="1" a="1"/>
  <c r="O3841" i="1" s="1"/>
  <c r="O3842" i="1" a="1"/>
  <c r="O3842" i="1" s="1"/>
  <c r="O3843" i="1" a="1"/>
  <c r="O3843" i="1" s="1"/>
  <c r="O3844" i="1" a="1"/>
  <c r="O3844" i="1" s="1"/>
  <c r="O3845" i="1" a="1"/>
  <c r="O3845" i="1" s="1"/>
  <c r="O3846" i="1" a="1"/>
  <c r="O3846" i="1" s="1"/>
  <c r="O3847" i="1" a="1"/>
  <c r="O3847" i="1" s="1"/>
  <c r="O3848" i="1" a="1"/>
  <c r="O3848" i="1" s="1"/>
  <c r="O3849" i="1" a="1"/>
  <c r="O3849" i="1" s="1"/>
  <c r="O3850" i="1" a="1"/>
  <c r="O3850" i="1" s="1"/>
  <c r="O3851" i="1" a="1"/>
  <c r="O3851" i="1" s="1"/>
  <c r="O3852" i="1" a="1"/>
  <c r="O3852" i="1" s="1"/>
  <c r="O3853" i="1" a="1"/>
  <c r="O3853" i="1" s="1"/>
  <c r="O3854" i="1" a="1"/>
  <c r="O3854" i="1" s="1"/>
  <c r="O3855" i="1" a="1"/>
  <c r="O3855" i="1" s="1"/>
  <c r="O3856" i="1" a="1"/>
  <c r="O3856" i="1" s="1"/>
  <c r="O3857" i="1" a="1"/>
  <c r="O3857" i="1" s="1"/>
  <c r="O3858" i="1" a="1"/>
  <c r="O3858" i="1" s="1"/>
  <c r="O3859" i="1" a="1"/>
  <c r="O3859" i="1" s="1"/>
  <c r="O3860" i="1" a="1"/>
  <c r="O3860" i="1" s="1"/>
  <c r="O3861" i="1" a="1"/>
  <c r="O3861" i="1" s="1"/>
  <c r="O3862" i="1" a="1"/>
  <c r="O3862" i="1" s="1"/>
  <c r="O3863" i="1" a="1"/>
  <c r="O3863" i="1" s="1"/>
  <c r="O3864" i="1" a="1"/>
  <c r="O3864" i="1" s="1"/>
  <c r="O3865" i="1" a="1"/>
  <c r="O3865" i="1" s="1"/>
  <c r="O3866" i="1" a="1"/>
  <c r="O3866" i="1" s="1"/>
  <c r="O3867" i="1" a="1"/>
  <c r="O3867" i="1" s="1"/>
  <c r="O3868" i="1" a="1"/>
  <c r="O3868" i="1" s="1"/>
  <c r="O3869" i="1" a="1"/>
  <c r="O3869" i="1" s="1"/>
  <c r="O3870" i="1" a="1"/>
  <c r="O3870" i="1" s="1"/>
  <c r="O3871" i="1" a="1"/>
  <c r="O3871" i="1" s="1"/>
  <c r="O3872" i="1" a="1"/>
  <c r="O3872" i="1" s="1"/>
  <c r="O3873" i="1" a="1"/>
  <c r="O3873" i="1" s="1"/>
  <c r="O3874" i="1" a="1"/>
  <c r="O3874" i="1" s="1"/>
  <c r="O3875" i="1" a="1"/>
  <c r="O3875" i="1" s="1"/>
  <c r="O3876" i="1" a="1"/>
  <c r="O3876" i="1" s="1"/>
  <c r="O3877" i="1" a="1"/>
  <c r="O3877" i="1" s="1"/>
  <c r="O3878" i="1" a="1"/>
  <c r="O3878" i="1" s="1"/>
  <c r="O3879" i="1" a="1"/>
  <c r="O3879" i="1" s="1"/>
  <c r="O3880" i="1" a="1"/>
  <c r="O3880" i="1" s="1"/>
  <c r="O3881" i="1" a="1"/>
  <c r="O3881" i="1" s="1"/>
  <c r="O3882" i="1" a="1"/>
  <c r="O3882" i="1" s="1"/>
  <c r="O3883" i="1" a="1"/>
  <c r="O3883" i="1" s="1"/>
  <c r="O3884" i="1" a="1"/>
  <c r="O3884" i="1" s="1"/>
  <c r="O3885" i="1" a="1"/>
  <c r="O3885" i="1" s="1"/>
  <c r="O3886" i="1" a="1"/>
  <c r="O3886" i="1" s="1"/>
  <c r="O3887" i="1" a="1"/>
  <c r="O3887" i="1" s="1"/>
  <c r="O3888" i="1" a="1"/>
  <c r="O3888" i="1" s="1"/>
  <c r="O3889" i="1" a="1"/>
  <c r="O3889" i="1" s="1"/>
  <c r="O3890" i="1" a="1"/>
  <c r="O3890" i="1" s="1"/>
  <c r="O3891" i="1" a="1"/>
  <c r="O3891" i="1" s="1"/>
  <c r="O3892" i="1" a="1"/>
  <c r="O3892" i="1" s="1"/>
  <c r="O3893" i="1" a="1"/>
  <c r="O3893" i="1" s="1"/>
  <c r="O3894" i="1" a="1"/>
  <c r="O3894" i="1" s="1"/>
  <c r="O3895" i="1" a="1"/>
  <c r="O3895" i="1" s="1"/>
  <c r="O3896" i="1" a="1"/>
  <c r="O3896" i="1" s="1"/>
  <c r="O3897" i="1" a="1"/>
  <c r="O3897" i="1" s="1"/>
  <c r="O3898" i="1" a="1"/>
  <c r="O3898" i="1" s="1"/>
  <c r="O3899" i="1" a="1"/>
  <c r="O3899" i="1" s="1"/>
  <c r="O3900" i="1" a="1"/>
  <c r="O3900" i="1" s="1"/>
  <c r="O3901" i="1" a="1"/>
  <c r="O3901" i="1" s="1"/>
  <c r="O3902" i="1" a="1"/>
  <c r="O3902" i="1" s="1"/>
  <c r="O3903" i="1" a="1"/>
  <c r="O3903" i="1" s="1"/>
  <c r="O3904" i="1" a="1"/>
  <c r="O3904" i="1" s="1"/>
  <c r="O3905" i="1" a="1"/>
  <c r="O3905" i="1" s="1"/>
  <c r="O3906" i="1" a="1"/>
  <c r="O3906" i="1" s="1"/>
  <c r="O3907" i="1" a="1"/>
  <c r="O3907" i="1" s="1"/>
  <c r="O3908" i="1" a="1"/>
  <c r="O3908" i="1" s="1"/>
  <c r="O3909" i="1" a="1"/>
  <c r="O3909" i="1" s="1"/>
  <c r="O3910" i="1" a="1"/>
  <c r="O3910" i="1" s="1"/>
  <c r="O3911" i="1" a="1"/>
  <c r="O3911" i="1" s="1"/>
  <c r="O3912" i="1" a="1"/>
  <c r="O3912" i="1" s="1"/>
  <c r="O3913" i="1" a="1"/>
  <c r="O3913" i="1" s="1"/>
  <c r="O3914" i="1" a="1"/>
  <c r="O3914" i="1" s="1"/>
  <c r="O3915" i="1" a="1"/>
  <c r="O3915" i="1" s="1"/>
  <c r="O3916" i="1" a="1"/>
  <c r="O3916" i="1" s="1"/>
  <c r="O3917" i="1" a="1"/>
  <c r="O3917" i="1" s="1"/>
  <c r="O3918" i="1" a="1"/>
  <c r="O3918" i="1" s="1"/>
  <c r="O3919" i="1" a="1"/>
  <c r="O3919" i="1" s="1"/>
  <c r="O3920" i="1" a="1"/>
  <c r="O3920" i="1" s="1"/>
  <c r="O3921" i="1" a="1"/>
  <c r="O3921" i="1" s="1"/>
  <c r="O3922" i="1" a="1"/>
  <c r="O3922" i="1" s="1"/>
  <c r="O3923" i="1" a="1"/>
  <c r="O3923" i="1" s="1"/>
  <c r="O3924" i="1" a="1"/>
  <c r="O3924" i="1" s="1"/>
  <c r="O3925" i="1" a="1"/>
  <c r="O3925" i="1" s="1"/>
  <c r="O3926" i="1" a="1"/>
  <c r="O3926" i="1" s="1"/>
  <c r="O3927" i="1" a="1"/>
  <c r="O3927" i="1" s="1"/>
  <c r="O3928" i="1" a="1"/>
  <c r="O3928" i="1" s="1"/>
  <c r="O3929" i="1" a="1"/>
  <c r="O3929" i="1" s="1"/>
  <c r="O3930" i="1" a="1"/>
  <c r="O3930" i="1" s="1"/>
  <c r="O3931" i="1" a="1"/>
  <c r="O3931" i="1" s="1"/>
  <c r="O3932" i="1" a="1"/>
  <c r="O3932" i="1" s="1"/>
  <c r="O3933" i="1" a="1"/>
  <c r="O3933" i="1" s="1"/>
  <c r="O3934" i="1" a="1"/>
  <c r="O3934" i="1" s="1"/>
  <c r="O3935" i="1" a="1"/>
  <c r="O3935" i="1" s="1"/>
  <c r="O3936" i="1" a="1"/>
  <c r="O3936" i="1" s="1"/>
  <c r="O3937" i="1" a="1"/>
  <c r="O3937" i="1" s="1"/>
  <c r="O3938" i="1" a="1"/>
  <c r="O3938" i="1" s="1"/>
  <c r="O3939" i="1" a="1"/>
  <c r="O3939" i="1" s="1"/>
  <c r="O3940" i="1" a="1"/>
  <c r="O3940" i="1" s="1"/>
  <c r="O3941" i="1" a="1"/>
  <c r="O3941" i="1" s="1"/>
  <c r="O3942" i="1" a="1"/>
  <c r="O3942" i="1" s="1"/>
  <c r="O3943" i="1" a="1"/>
  <c r="O3943" i="1" s="1"/>
  <c r="O3944" i="1" a="1"/>
  <c r="O3944" i="1" s="1"/>
  <c r="O3945" i="1" a="1"/>
  <c r="O3945" i="1" s="1"/>
  <c r="O3946" i="1" a="1"/>
  <c r="O3946" i="1" s="1"/>
  <c r="O3947" i="1" a="1"/>
  <c r="O3947" i="1" s="1"/>
  <c r="O3948" i="1" a="1"/>
  <c r="O3948" i="1" s="1"/>
  <c r="O3949" i="1" a="1"/>
  <c r="O3949" i="1" s="1"/>
  <c r="O3950" i="1" a="1"/>
  <c r="O3950" i="1" s="1"/>
  <c r="O3951" i="1" a="1"/>
  <c r="O3951" i="1" s="1"/>
  <c r="O3952" i="1" a="1"/>
  <c r="O3952" i="1" s="1"/>
  <c r="O3953" i="1" a="1"/>
  <c r="O3953" i="1" s="1"/>
  <c r="O3954" i="1" a="1"/>
  <c r="O3954" i="1" s="1"/>
  <c r="O3955" i="1" a="1"/>
  <c r="O3955" i="1" s="1"/>
  <c r="O3956" i="1" a="1"/>
  <c r="O3956" i="1" s="1"/>
  <c r="O3957" i="1" a="1"/>
  <c r="O3957" i="1" s="1"/>
  <c r="O3958" i="1" a="1"/>
  <c r="O3958" i="1" s="1"/>
  <c r="O3959" i="1" a="1"/>
  <c r="O3959" i="1" s="1"/>
  <c r="O3960" i="1" a="1"/>
  <c r="O3960" i="1" s="1"/>
  <c r="O3961" i="1" a="1"/>
  <c r="O3961" i="1" s="1"/>
  <c r="O3962" i="1" a="1"/>
  <c r="O3962" i="1" s="1"/>
  <c r="O3963" i="1" a="1"/>
  <c r="O3963" i="1" s="1"/>
  <c r="O3964" i="1" a="1"/>
  <c r="O3964" i="1" s="1"/>
  <c r="O3965" i="1" a="1"/>
  <c r="O3965" i="1" s="1"/>
  <c r="O3966" i="1" a="1"/>
  <c r="O3966" i="1" s="1"/>
  <c r="O3967" i="1" a="1"/>
  <c r="O3967" i="1" s="1"/>
  <c r="O3968" i="1" a="1"/>
  <c r="O3968" i="1" s="1"/>
  <c r="O3969" i="1" a="1"/>
  <c r="O3969" i="1" s="1"/>
  <c r="O3970" i="1" a="1"/>
  <c r="O3970" i="1" s="1"/>
  <c r="O3971" i="1" a="1"/>
  <c r="O3971" i="1" s="1"/>
  <c r="O3972" i="1" a="1"/>
  <c r="O3972" i="1" s="1"/>
  <c r="O3973" i="1" a="1"/>
  <c r="O3973" i="1" s="1"/>
  <c r="O3974" i="1" a="1"/>
  <c r="O3974" i="1" s="1"/>
  <c r="O3975" i="1" a="1"/>
  <c r="O3975" i="1" s="1"/>
  <c r="O3976" i="1" a="1"/>
  <c r="O3976" i="1" s="1"/>
  <c r="O3977" i="1" a="1"/>
  <c r="O3977" i="1" s="1"/>
  <c r="O3978" i="1" a="1"/>
  <c r="O3978" i="1" s="1"/>
  <c r="O3979" i="1" a="1"/>
  <c r="O3979" i="1" s="1"/>
  <c r="O3980" i="1" a="1"/>
  <c r="O3980" i="1" s="1"/>
  <c r="O3981" i="1" a="1"/>
  <c r="O3981" i="1" s="1"/>
  <c r="O3982" i="1" a="1"/>
  <c r="O3982" i="1" s="1"/>
  <c r="O3983" i="1" a="1"/>
  <c r="O3983" i="1" s="1"/>
  <c r="O3984" i="1" a="1"/>
  <c r="O3984" i="1" s="1"/>
  <c r="O3985" i="1" a="1"/>
  <c r="O3985" i="1" s="1"/>
  <c r="O3986" i="1" a="1"/>
  <c r="O3986" i="1" s="1"/>
  <c r="O3987" i="1" a="1"/>
  <c r="O3987" i="1" s="1"/>
  <c r="O3988" i="1" a="1"/>
  <c r="O3988" i="1" s="1"/>
  <c r="O3989" i="1" a="1"/>
  <c r="O3989" i="1" s="1"/>
  <c r="O3990" i="1" a="1"/>
  <c r="O3990" i="1" s="1"/>
  <c r="O3991" i="1" a="1"/>
  <c r="O3991" i="1" s="1"/>
  <c r="O3992" i="1" a="1"/>
  <c r="O3992" i="1" s="1"/>
  <c r="O3993" i="1" a="1"/>
  <c r="O3993" i="1" s="1"/>
  <c r="O3994" i="1" a="1"/>
  <c r="O3994" i="1" s="1"/>
  <c r="O3995" i="1" a="1"/>
  <c r="O3995" i="1" s="1"/>
  <c r="O3996" i="1" a="1"/>
  <c r="O3996" i="1" s="1"/>
  <c r="O3997" i="1" a="1"/>
  <c r="O3997" i="1" s="1"/>
  <c r="O3998" i="1" a="1"/>
  <c r="O3998" i="1" s="1"/>
  <c r="O3999" i="1" a="1"/>
  <c r="O3999" i="1" s="1"/>
  <c r="O4000" i="1" a="1"/>
  <c r="O4000" i="1" s="1"/>
  <c r="O4001" i="1" a="1"/>
  <c r="O4001" i="1" s="1"/>
  <c r="O4002" i="1" a="1"/>
  <c r="O4002" i="1" s="1"/>
  <c r="O4003" i="1" a="1"/>
  <c r="O4003" i="1" s="1"/>
  <c r="O4004" i="1" a="1"/>
  <c r="O4004" i="1" s="1"/>
  <c r="O4005" i="1" a="1"/>
  <c r="O4005" i="1" s="1"/>
  <c r="O4006" i="1" a="1"/>
  <c r="O4006" i="1" s="1"/>
  <c r="O4007" i="1" a="1"/>
  <c r="O4007" i="1" s="1"/>
  <c r="O4008" i="1" a="1"/>
  <c r="O4008" i="1" s="1"/>
  <c r="O4009" i="1" a="1"/>
  <c r="O4009" i="1" s="1"/>
  <c r="O4010" i="1" a="1"/>
  <c r="O4010" i="1" s="1"/>
  <c r="O4011" i="1" a="1"/>
  <c r="O4011" i="1" s="1"/>
  <c r="O4012" i="1" a="1"/>
  <c r="O4012" i="1" s="1"/>
  <c r="O4013" i="1" a="1"/>
  <c r="O4013" i="1" s="1"/>
  <c r="O4014" i="1" a="1"/>
  <c r="O4014" i="1" s="1"/>
  <c r="O4015" i="1" a="1"/>
  <c r="O4015" i="1" s="1"/>
  <c r="O4016" i="1" a="1"/>
  <c r="O4016" i="1" s="1"/>
  <c r="O4017" i="1" a="1"/>
  <c r="O4017" i="1" s="1"/>
  <c r="O4018" i="1" a="1"/>
  <c r="O4018" i="1" s="1"/>
  <c r="O4019" i="1" a="1"/>
  <c r="O4019" i="1" s="1"/>
  <c r="O4020" i="1" a="1"/>
  <c r="O4020" i="1" s="1"/>
  <c r="O4021" i="1" a="1"/>
  <c r="O4021" i="1" s="1"/>
  <c r="O4022" i="1" a="1"/>
  <c r="O4022" i="1" s="1"/>
  <c r="O4023" i="1" a="1"/>
  <c r="O4023" i="1" s="1"/>
  <c r="O4024" i="1" a="1"/>
  <c r="O4024" i="1" s="1"/>
  <c r="O4025" i="1" a="1"/>
  <c r="O4025" i="1" s="1"/>
  <c r="O4026" i="1" a="1"/>
  <c r="O4026" i="1" s="1"/>
  <c r="O4027" i="1" a="1"/>
  <c r="O4027" i="1" s="1"/>
  <c r="O4028" i="1" a="1"/>
  <c r="O4028" i="1" s="1"/>
  <c r="O4029" i="1" a="1"/>
  <c r="O4029" i="1" s="1"/>
  <c r="O4030" i="1" a="1"/>
  <c r="O4030" i="1" s="1"/>
  <c r="O4031" i="1" a="1"/>
  <c r="O4031" i="1" s="1"/>
  <c r="O4032" i="1" a="1"/>
  <c r="O4032" i="1" s="1"/>
  <c r="O4033" i="1" a="1"/>
  <c r="O4033" i="1" s="1"/>
  <c r="O4034" i="1" a="1"/>
  <c r="O4034" i="1" s="1"/>
  <c r="O4035" i="1" a="1"/>
  <c r="O4035" i="1" s="1"/>
  <c r="O4036" i="1" a="1"/>
  <c r="O4036" i="1" s="1"/>
  <c r="O4037" i="1" a="1"/>
  <c r="O4037" i="1" s="1"/>
  <c r="O4038" i="1" a="1"/>
  <c r="O4038" i="1" s="1"/>
  <c r="O4039" i="1" a="1"/>
  <c r="O4039" i="1" s="1"/>
  <c r="O4040" i="1" a="1"/>
  <c r="O4040" i="1" s="1"/>
  <c r="O4041" i="1" a="1"/>
  <c r="O4041" i="1" s="1"/>
  <c r="O4042" i="1" a="1"/>
  <c r="O4042" i="1" s="1"/>
  <c r="O4043" i="1" a="1"/>
  <c r="O4043" i="1" s="1"/>
  <c r="O4044" i="1" a="1"/>
  <c r="O4044" i="1" s="1"/>
  <c r="O4045" i="1" a="1"/>
  <c r="O4045" i="1" s="1"/>
  <c r="O4046" i="1" a="1"/>
  <c r="O4046" i="1" s="1"/>
  <c r="O4047" i="1" a="1"/>
  <c r="O4047" i="1" s="1"/>
  <c r="O4048" i="1" a="1"/>
  <c r="O4048" i="1" s="1"/>
  <c r="O4049" i="1" a="1"/>
  <c r="O4049" i="1" s="1"/>
  <c r="O4050" i="1" a="1"/>
  <c r="O4050" i="1" s="1"/>
  <c r="O4051" i="1" a="1"/>
  <c r="O4051" i="1" s="1"/>
  <c r="O4052" i="1" a="1"/>
  <c r="O4052" i="1" s="1"/>
  <c r="O4053" i="1" a="1"/>
  <c r="O4053" i="1" s="1"/>
  <c r="O4054" i="1" a="1"/>
  <c r="O4054" i="1" s="1"/>
  <c r="O4055" i="1" a="1"/>
  <c r="O4055" i="1" s="1"/>
  <c r="O4056" i="1" a="1"/>
  <c r="O4056" i="1" s="1"/>
  <c r="O4057" i="1" a="1"/>
  <c r="O4057" i="1" s="1"/>
  <c r="O4058" i="1" a="1"/>
  <c r="O4058" i="1" s="1"/>
  <c r="O4059" i="1" a="1"/>
  <c r="O4059" i="1" s="1"/>
  <c r="O4060" i="1" a="1"/>
  <c r="O4060" i="1" s="1"/>
  <c r="O4061" i="1" a="1"/>
  <c r="O4061" i="1" s="1"/>
  <c r="O4062" i="1" a="1"/>
  <c r="O4062" i="1" s="1"/>
  <c r="O4063" i="1" a="1"/>
  <c r="O4063" i="1" s="1"/>
  <c r="O4064" i="1" a="1"/>
  <c r="O4064" i="1" s="1"/>
  <c r="O4065" i="1" a="1"/>
  <c r="O4065" i="1" s="1"/>
  <c r="O4066" i="1" a="1"/>
  <c r="O4066" i="1" s="1"/>
  <c r="O4067" i="1" a="1"/>
  <c r="O4067" i="1" s="1"/>
  <c r="O4068" i="1" a="1"/>
  <c r="O4068" i="1" s="1"/>
  <c r="O4069" i="1" a="1"/>
  <c r="O4069" i="1" s="1"/>
  <c r="O4070" i="1" a="1"/>
  <c r="O4070" i="1" s="1"/>
  <c r="O4071" i="1" a="1"/>
  <c r="O4071" i="1" s="1"/>
  <c r="O4072" i="1" a="1"/>
  <c r="O4072" i="1" s="1"/>
  <c r="O4073" i="1" a="1"/>
  <c r="O4073" i="1" s="1"/>
  <c r="O4074" i="1" a="1"/>
  <c r="O4074" i="1" s="1"/>
  <c r="O4075" i="1" a="1"/>
  <c r="O4075" i="1" s="1"/>
  <c r="O4076" i="1" a="1"/>
  <c r="O4076" i="1" s="1"/>
  <c r="O4077" i="1" a="1"/>
  <c r="O4077" i="1" s="1"/>
  <c r="O4078" i="1" a="1"/>
  <c r="O4078" i="1" s="1"/>
  <c r="O4079" i="1" a="1"/>
  <c r="O4079" i="1" s="1"/>
  <c r="O4080" i="1" a="1"/>
  <c r="O4080" i="1" s="1"/>
  <c r="O4081" i="1" a="1"/>
  <c r="O4081" i="1" s="1"/>
  <c r="O4082" i="1" a="1"/>
  <c r="O4082" i="1" s="1"/>
  <c r="O4083" i="1" a="1"/>
  <c r="O4083" i="1" s="1"/>
  <c r="O4084" i="1" a="1"/>
  <c r="O4084" i="1" s="1"/>
  <c r="O4085" i="1" a="1"/>
  <c r="O4085" i="1" s="1"/>
  <c r="O4086" i="1" a="1"/>
  <c r="O4086" i="1" s="1"/>
  <c r="O4087" i="1" a="1"/>
  <c r="O4087" i="1" s="1"/>
  <c r="O4088" i="1" a="1"/>
  <c r="O4088" i="1" s="1"/>
  <c r="O4089" i="1" a="1"/>
  <c r="O4089" i="1" s="1"/>
  <c r="O4090" i="1" a="1"/>
  <c r="O4090" i="1" s="1"/>
  <c r="O4091" i="1" a="1"/>
  <c r="O4091" i="1" s="1"/>
  <c r="O4092" i="1" a="1"/>
  <c r="O4092" i="1" s="1"/>
  <c r="O4093" i="1" a="1"/>
  <c r="O4093" i="1" s="1"/>
  <c r="O4094" i="1" a="1"/>
  <c r="O4094" i="1" s="1"/>
  <c r="O4095" i="1" a="1"/>
  <c r="O4095" i="1" s="1"/>
  <c r="O4096" i="1" a="1"/>
  <c r="O4096" i="1" s="1"/>
  <c r="O4097" i="1" a="1"/>
  <c r="O4097" i="1" s="1"/>
  <c r="O4098" i="1" a="1"/>
  <c r="O4098" i="1" s="1"/>
  <c r="O4099" i="1" a="1"/>
  <c r="O4099" i="1" s="1"/>
  <c r="O4100" i="1" a="1"/>
  <c r="O4100" i="1" s="1"/>
  <c r="O4101" i="1" a="1"/>
  <c r="O4101" i="1" s="1"/>
  <c r="O4102" i="1" a="1"/>
  <c r="O4102" i="1" s="1"/>
  <c r="O4103" i="1" a="1"/>
  <c r="O4103" i="1" s="1"/>
  <c r="O4104" i="1" a="1"/>
  <c r="O4104" i="1" s="1"/>
  <c r="O4105" i="1" a="1"/>
  <c r="O4105" i="1" s="1"/>
  <c r="O4106" i="1" a="1"/>
  <c r="O4106" i="1" s="1"/>
  <c r="O4107" i="1" a="1"/>
  <c r="O4107" i="1" s="1"/>
  <c r="O4108" i="1" a="1"/>
  <c r="O4108" i="1" s="1"/>
  <c r="O4109" i="1" a="1"/>
  <c r="O4109" i="1" s="1"/>
  <c r="O4110" i="1" a="1"/>
  <c r="O4110" i="1" s="1"/>
  <c r="O4111" i="1" a="1"/>
  <c r="O4111" i="1" s="1"/>
  <c r="O4112" i="1" a="1"/>
  <c r="O4112" i="1" s="1"/>
  <c r="O4113" i="1" a="1"/>
  <c r="O4113" i="1" s="1"/>
  <c r="O4114" i="1" a="1"/>
  <c r="O4114" i="1" s="1"/>
  <c r="O4115" i="1" a="1"/>
  <c r="O4115" i="1" s="1"/>
  <c r="O4116" i="1" a="1"/>
  <c r="O4116" i="1" s="1"/>
  <c r="O4117" i="1" a="1"/>
  <c r="O4117" i="1" s="1"/>
  <c r="O4118" i="1" a="1"/>
  <c r="O4118" i="1" s="1"/>
  <c r="O4119" i="1" a="1"/>
  <c r="O4119" i="1" s="1"/>
  <c r="O4120" i="1" a="1"/>
  <c r="O4120" i="1" s="1"/>
  <c r="O4121" i="1" a="1"/>
  <c r="O4121" i="1" s="1"/>
  <c r="O4122" i="1" a="1"/>
  <c r="O4122" i="1" s="1"/>
  <c r="O4123" i="1" a="1"/>
  <c r="O4123" i="1" s="1"/>
  <c r="O4124" i="1" a="1"/>
  <c r="O4124" i="1" s="1"/>
  <c r="O4125" i="1" a="1"/>
  <c r="O4125" i="1" s="1"/>
  <c r="O4126" i="1" a="1"/>
  <c r="O4126" i="1" s="1"/>
  <c r="O4127" i="1" a="1"/>
  <c r="O4127" i="1" s="1"/>
  <c r="O4128" i="1" a="1"/>
  <c r="O4128" i="1" s="1"/>
  <c r="O4129" i="1" a="1"/>
  <c r="O4129" i="1" s="1"/>
  <c r="O4130" i="1" a="1"/>
  <c r="O4130" i="1" s="1"/>
  <c r="O4131" i="1" a="1"/>
  <c r="O4131" i="1" s="1"/>
  <c r="O4132" i="1" a="1"/>
  <c r="O4132" i="1" s="1"/>
  <c r="O4133" i="1" a="1"/>
  <c r="O4133" i="1" s="1"/>
  <c r="O4134" i="1" a="1"/>
  <c r="O4134" i="1" s="1"/>
  <c r="O4135" i="1" a="1"/>
  <c r="O4135" i="1" s="1"/>
  <c r="O4136" i="1" a="1"/>
  <c r="O4136" i="1" s="1"/>
  <c r="O4137" i="1" a="1"/>
  <c r="O4137" i="1" s="1"/>
  <c r="O4138" i="1" a="1"/>
  <c r="O4138" i="1" s="1"/>
  <c r="O4139" i="1" a="1"/>
  <c r="O4139" i="1" s="1"/>
  <c r="O4140" i="1" a="1"/>
  <c r="O4140" i="1" s="1"/>
  <c r="O4141" i="1" a="1"/>
  <c r="O4141" i="1" s="1"/>
  <c r="O4142" i="1" a="1"/>
  <c r="O4142" i="1" s="1"/>
  <c r="O4143" i="1" a="1"/>
  <c r="O4143" i="1" s="1"/>
  <c r="O4144" i="1" a="1"/>
  <c r="O4144" i="1" s="1"/>
  <c r="O4145" i="1" a="1"/>
  <c r="O4145" i="1" s="1"/>
  <c r="O4146" i="1" a="1"/>
  <c r="O4146" i="1" s="1"/>
  <c r="O4147" i="1" a="1"/>
  <c r="O4147" i="1" s="1"/>
  <c r="O4148" i="1" a="1"/>
  <c r="O4148" i="1" s="1"/>
  <c r="O4149" i="1" a="1"/>
  <c r="O4149" i="1" s="1"/>
  <c r="O4150" i="1" a="1"/>
  <c r="O4150" i="1" s="1"/>
  <c r="O4151" i="1" a="1"/>
  <c r="O4151" i="1" s="1"/>
  <c r="O4152" i="1" a="1"/>
  <c r="O4152" i="1" s="1"/>
  <c r="O4153" i="1" a="1"/>
  <c r="O4153" i="1" s="1"/>
  <c r="O4154" i="1" a="1"/>
  <c r="O4154" i="1" s="1"/>
  <c r="O4155" i="1" a="1"/>
  <c r="O4155" i="1" s="1"/>
  <c r="O4156" i="1" a="1"/>
  <c r="O4156" i="1" s="1"/>
  <c r="O4157" i="1" a="1"/>
  <c r="O4157" i="1" s="1"/>
  <c r="O4158" i="1" a="1"/>
  <c r="O4158" i="1" s="1"/>
  <c r="O4159" i="1" a="1"/>
  <c r="O4159" i="1" s="1"/>
  <c r="O4160" i="1" a="1"/>
  <c r="O4160" i="1" s="1"/>
  <c r="O4161" i="1" a="1"/>
  <c r="O4161" i="1" s="1"/>
  <c r="O4162" i="1" a="1"/>
  <c r="O4162" i="1" s="1"/>
  <c r="O4163" i="1" a="1"/>
  <c r="O4163" i="1" s="1"/>
  <c r="O4164" i="1" a="1"/>
  <c r="O4164" i="1" s="1"/>
  <c r="O4165" i="1" a="1"/>
  <c r="O4165" i="1" s="1"/>
  <c r="O4166" i="1" a="1"/>
  <c r="O4166" i="1" s="1"/>
  <c r="O4167" i="1" a="1"/>
  <c r="O4167" i="1" s="1"/>
  <c r="O4168" i="1" a="1"/>
  <c r="O4168" i="1" s="1"/>
  <c r="O4169" i="1" a="1"/>
  <c r="O4169" i="1" s="1"/>
  <c r="O4170" i="1" a="1"/>
  <c r="O4170" i="1" s="1"/>
  <c r="O4171" i="1" a="1"/>
  <c r="O4171" i="1" s="1"/>
  <c r="O4172" i="1" a="1"/>
  <c r="O4172" i="1" s="1"/>
  <c r="O4173" i="1" a="1"/>
  <c r="O4173" i="1" s="1"/>
  <c r="O4174" i="1" a="1"/>
  <c r="O4174" i="1" s="1"/>
  <c r="O4175" i="1" a="1"/>
  <c r="O4175" i="1" s="1"/>
  <c r="O4176" i="1" a="1"/>
  <c r="O4176" i="1" s="1"/>
  <c r="O4177" i="1" a="1"/>
  <c r="O4177" i="1" s="1"/>
  <c r="O4178" i="1" a="1"/>
  <c r="O4178" i="1" s="1"/>
  <c r="O4179" i="1" a="1"/>
  <c r="O4179" i="1" s="1"/>
  <c r="O4180" i="1" a="1"/>
  <c r="O4180" i="1" s="1"/>
  <c r="O4181" i="1" a="1"/>
  <c r="O4181" i="1" s="1"/>
  <c r="O4182" i="1" a="1"/>
  <c r="O4182" i="1" s="1"/>
  <c r="O4183" i="1" a="1"/>
  <c r="O4183" i="1" s="1"/>
  <c r="O4184" i="1" a="1"/>
  <c r="O4184" i="1" s="1"/>
  <c r="O4185" i="1" a="1"/>
  <c r="O4185" i="1" s="1"/>
  <c r="O4186" i="1" a="1"/>
  <c r="O4186" i="1" s="1"/>
  <c r="O4187" i="1" a="1"/>
  <c r="O4187" i="1" s="1"/>
  <c r="O4188" i="1" a="1"/>
  <c r="O4188" i="1" s="1"/>
  <c r="O4189" i="1" a="1"/>
  <c r="O4189" i="1" s="1"/>
  <c r="O4190" i="1" a="1"/>
  <c r="O4190" i="1" s="1"/>
  <c r="O4191" i="1" a="1"/>
  <c r="O4191" i="1" s="1"/>
  <c r="O4192" i="1" a="1"/>
  <c r="O4192" i="1" s="1"/>
  <c r="O4193" i="1" a="1"/>
  <c r="O4193" i="1" s="1"/>
  <c r="O4194" i="1" a="1"/>
  <c r="O4194" i="1" s="1"/>
  <c r="O4195" i="1" a="1"/>
  <c r="O4195" i="1" s="1"/>
  <c r="O4196" i="1" a="1"/>
  <c r="O4196" i="1" s="1"/>
  <c r="O4197" i="1" a="1"/>
  <c r="O4197" i="1" s="1"/>
  <c r="O4198" i="1" a="1"/>
  <c r="O4198" i="1" s="1"/>
  <c r="O4199" i="1" a="1"/>
  <c r="O4199" i="1" s="1"/>
  <c r="O4200" i="1" a="1"/>
  <c r="O4200" i="1" s="1"/>
  <c r="O4201" i="1" a="1"/>
  <c r="O4201" i="1" s="1"/>
  <c r="O4202" i="1" a="1"/>
  <c r="O4202" i="1" s="1"/>
  <c r="O4203" i="1" a="1"/>
  <c r="O4203" i="1" s="1"/>
  <c r="O4204" i="1" a="1"/>
  <c r="O4204" i="1" s="1"/>
  <c r="O4205" i="1" a="1"/>
  <c r="O4205" i="1" s="1"/>
  <c r="O4206" i="1" a="1"/>
  <c r="O4206" i="1" s="1"/>
  <c r="O4207" i="1" a="1"/>
  <c r="O4207" i="1" s="1"/>
  <c r="O4208" i="1" a="1"/>
  <c r="O4208" i="1" s="1"/>
  <c r="O4209" i="1" a="1"/>
  <c r="O4209" i="1" s="1"/>
  <c r="O4210" i="1" a="1"/>
  <c r="O4210" i="1" s="1"/>
  <c r="O4211" i="1" a="1"/>
  <c r="O4211" i="1" s="1"/>
  <c r="O4212" i="1" a="1"/>
  <c r="O4212" i="1" s="1"/>
  <c r="O4213" i="1" a="1"/>
  <c r="O4213" i="1" s="1"/>
  <c r="O4214" i="1" a="1"/>
  <c r="O4214" i="1" s="1"/>
  <c r="O4215" i="1" a="1"/>
  <c r="O4215" i="1" s="1"/>
  <c r="O4216" i="1" a="1"/>
  <c r="O4216" i="1" s="1"/>
  <c r="O4217" i="1" a="1"/>
  <c r="O4217" i="1" s="1"/>
  <c r="O4218" i="1" a="1"/>
  <c r="O4218" i="1" s="1"/>
  <c r="O4219" i="1" a="1"/>
  <c r="O4219" i="1" s="1"/>
  <c r="O4220" i="1" a="1"/>
  <c r="O4220" i="1" s="1"/>
  <c r="O4221" i="1" a="1"/>
  <c r="O4221" i="1" s="1"/>
  <c r="O4222" i="1" a="1"/>
  <c r="O4222" i="1" s="1"/>
  <c r="O4223" i="1" a="1"/>
  <c r="O4223" i="1" s="1"/>
  <c r="O4224" i="1" a="1"/>
  <c r="O4224" i="1" s="1"/>
  <c r="O4225" i="1" a="1"/>
  <c r="O4225" i="1" s="1"/>
  <c r="O4226" i="1" a="1"/>
  <c r="O4226" i="1" s="1"/>
  <c r="O4227" i="1" a="1"/>
  <c r="O4227" i="1" s="1"/>
  <c r="O4228" i="1" a="1"/>
  <c r="O4228" i="1" s="1"/>
  <c r="O4229" i="1" a="1"/>
  <c r="O4229" i="1" s="1"/>
  <c r="O4230" i="1" a="1"/>
  <c r="O4230" i="1" s="1"/>
  <c r="O4231" i="1" a="1"/>
  <c r="O4231" i="1" s="1"/>
  <c r="O4232" i="1" a="1"/>
  <c r="O4232" i="1" s="1"/>
  <c r="O4233" i="1" a="1"/>
  <c r="O4233" i="1" s="1"/>
  <c r="O4234" i="1" a="1"/>
  <c r="O4234" i="1" s="1"/>
  <c r="O4235" i="1" a="1"/>
  <c r="O4235" i="1" s="1"/>
  <c r="O4236" i="1" a="1"/>
  <c r="O4236" i="1" s="1"/>
  <c r="O4237" i="1" a="1"/>
  <c r="O4237" i="1" s="1"/>
  <c r="O4238" i="1" a="1"/>
  <c r="O4238" i="1" s="1"/>
  <c r="O4239" i="1" a="1"/>
  <c r="O4239" i="1" s="1"/>
  <c r="O4240" i="1" a="1"/>
  <c r="O4240" i="1" s="1"/>
  <c r="O4241" i="1" a="1"/>
  <c r="O4241" i="1" s="1"/>
  <c r="O4242" i="1" a="1"/>
  <c r="O4242" i="1" s="1"/>
  <c r="O4243" i="1" a="1"/>
  <c r="O4243" i="1" s="1"/>
  <c r="O4244" i="1" a="1"/>
  <c r="O4244" i="1" s="1"/>
  <c r="O4245" i="1" a="1"/>
  <c r="O4245" i="1" s="1"/>
  <c r="O4246" i="1" a="1"/>
  <c r="O4246" i="1" s="1"/>
  <c r="O4247" i="1" a="1"/>
  <c r="O4247" i="1" s="1"/>
  <c r="O4248" i="1" a="1"/>
  <c r="O4248" i="1" s="1"/>
  <c r="O4249" i="1" a="1"/>
  <c r="O4249" i="1" s="1"/>
  <c r="O4250" i="1" a="1"/>
  <c r="O4250" i="1" s="1"/>
  <c r="O4251" i="1" a="1"/>
  <c r="O4251" i="1" s="1"/>
  <c r="O4252" i="1" a="1"/>
  <c r="O4252" i="1" s="1"/>
  <c r="O4253" i="1" a="1"/>
  <c r="O4253" i="1" s="1"/>
  <c r="O4254" i="1" a="1"/>
  <c r="O4254" i="1" s="1"/>
  <c r="O4255" i="1" a="1"/>
  <c r="O4255" i="1" s="1"/>
  <c r="O4256" i="1" a="1"/>
  <c r="O4256" i="1" s="1"/>
  <c r="O4257" i="1" a="1"/>
  <c r="O4257" i="1" s="1"/>
  <c r="O4258" i="1" a="1"/>
  <c r="O4258" i="1" s="1"/>
  <c r="O4259" i="1" a="1"/>
  <c r="O4259" i="1" s="1"/>
  <c r="O4260" i="1" a="1"/>
  <c r="O4260" i="1" s="1"/>
  <c r="O4261" i="1" a="1"/>
  <c r="O4261" i="1" s="1"/>
  <c r="O4262" i="1" a="1"/>
  <c r="O4262" i="1" s="1"/>
  <c r="O4263" i="1" a="1"/>
  <c r="O4263" i="1" s="1"/>
  <c r="O4264" i="1" a="1"/>
  <c r="O4264" i="1" s="1"/>
  <c r="O4265" i="1" a="1"/>
  <c r="O4265" i="1" s="1"/>
  <c r="O4266" i="1" a="1"/>
  <c r="O4266" i="1" s="1"/>
  <c r="O4267" i="1" a="1"/>
  <c r="O4267" i="1" s="1"/>
  <c r="O4268" i="1" a="1"/>
  <c r="O4268" i="1" s="1"/>
  <c r="O4269" i="1" a="1"/>
  <c r="O4269" i="1" s="1"/>
  <c r="O4270" i="1" a="1"/>
  <c r="O4270" i="1" s="1"/>
  <c r="O4271" i="1" a="1"/>
  <c r="O4271" i="1" s="1"/>
  <c r="O4272" i="1" a="1"/>
  <c r="O4272" i="1" s="1"/>
  <c r="O4273" i="1" a="1"/>
  <c r="O4273" i="1" s="1"/>
  <c r="O4274" i="1" a="1"/>
  <c r="O4274" i="1" s="1"/>
  <c r="O4275" i="1" a="1"/>
  <c r="O4275" i="1" s="1"/>
  <c r="O4276" i="1" a="1"/>
  <c r="O4276" i="1" s="1"/>
  <c r="O4277" i="1" a="1"/>
  <c r="O4277" i="1" s="1"/>
  <c r="O4278" i="1" a="1"/>
  <c r="O4278" i="1" s="1"/>
  <c r="O4279" i="1" a="1"/>
  <c r="O4279" i="1" s="1"/>
  <c r="O4280" i="1" a="1"/>
  <c r="O4280" i="1" s="1"/>
  <c r="O4281" i="1" a="1"/>
  <c r="O4281" i="1" s="1"/>
  <c r="O4282" i="1" a="1"/>
  <c r="O4282" i="1" s="1"/>
  <c r="O4283" i="1" a="1"/>
  <c r="O4283" i="1" s="1"/>
  <c r="O4284" i="1" a="1"/>
  <c r="O4284" i="1" s="1"/>
  <c r="O4285" i="1" a="1"/>
  <c r="O4285" i="1" s="1"/>
  <c r="O4286" i="1" a="1"/>
  <c r="O4286" i="1" s="1"/>
  <c r="O4287" i="1" a="1"/>
  <c r="O4287" i="1" s="1"/>
  <c r="O4288" i="1" a="1"/>
  <c r="O4288" i="1" s="1"/>
  <c r="O4289" i="1" a="1"/>
  <c r="O4289" i="1" s="1"/>
  <c r="O4290" i="1" a="1"/>
  <c r="O4290" i="1" s="1"/>
  <c r="O4291" i="1" a="1"/>
  <c r="O4291" i="1" s="1"/>
  <c r="O4292" i="1" a="1"/>
  <c r="O4292" i="1" s="1"/>
  <c r="O4293" i="1" a="1"/>
  <c r="O4293" i="1" s="1"/>
  <c r="O4294" i="1" a="1"/>
  <c r="O4294" i="1" s="1"/>
  <c r="O4295" i="1" a="1"/>
  <c r="O4295" i="1" s="1"/>
  <c r="O4296" i="1" a="1"/>
  <c r="O4296" i="1" s="1"/>
  <c r="O4297" i="1" a="1"/>
  <c r="O4297" i="1" s="1"/>
  <c r="O4298" i="1" a="1"/>
  <c r="O4298" i="1" s="1"/>
  <c r="O4299" i="1" a="1"/>
  <c r="O4299" i="1" s="1"/>
  <c r="O4300" i="1" a="1"/>
  <c r="O4300" i="1" s="1"/>
  <c r="O4301" i="1" a="1"/>
  <c r="O4301" i="1" s="1"/>
  <c r="O4302" i="1" a="1"/>
  <c r="O4302" i="1" s="1"/>
  <c r="O4303" i="1" a="1"/>
  <c r="O4303" i="1" s="1"/>
  <c r="O4304" i="1" a="1"/>
  <c r="O4304" i="1" s="1"/>
  <c r="O4305" i="1" a="1"/>
  <c r="O4305" i="1" s="1"/>
  <c r="O4306" i="1" a="1"/>
  <c r="O4306" i="1" s="1"/>
  <c r="O4307" i="1" a="1"/>
  <c r="O4307" i="1" s="1"/>
  <c r="O4308" i="1" a="1"/>
  <c r="O4308" i="1" s="1"/>
  <c r="O4309" i="1" a="1"/>
  <c r="O4309" i="1" s="1"/>
  <c r="O4310" i="1" a="1"/>
  <c r="O4310" i="1" s="1"/>
  <c r="O4311" i="1" a="1"/>
  <c r="O4311" i="1" s="1"/>
  <c r="O4312" i="1" a="1"/>
  <c r="O4312" i="1" s="1"/>
  <c r="O4313" i="1" a="1"/>
  <c r="O4313" i="1" s="1"/>
  <c r="O4314" i="1" a="1"/>
  <c r="O4314" i="1" s="1"/>
  <c r="O4315" i="1" a="1"/>
  <c r="O4315" i="1" s="1"/>
  <c r="O4316" i="1" a="1"/>
  <c r="O4316" i="1" s="1"/>
  <c r="O4317" i="1" a="1"/>
  <c r="O4317" i="1" s="1"/>
  <c r="O4318" i="1" a="1"/>
  <c r="O4318" i="1" s="1"/>
  <c r="O4319" i="1" a="1"/>
  <c r="O4319" i="1" s="1"/>
  <c r="O4320" i="1" a="1"/>
  <c r="O4320" i="1" s="1"/>
  <c r="O4321" i="1" a="1"/>
  <c r="O4321" i="1" s="1"/>
  <c r="O4322" i="1" a="1"/>
  <c r="O4322" i="1" s="1"/>
  <c r="O4323" i="1" a="1"/>
  <c r="O4323" i="1" s="1"/>
  <c r="O4324" i="1" a="1"/>
  <c r="O4324" i="1" s="1"/>
  <c r="O4325" i="1" a="1"/>
  <c r="O4325" i="1" s="1"/>
  <c r="O4326" i="1" a="1"/>
  <c r="O4326" i="1" s="1"/>
  <c r="O4327" i="1" a="1"/>
  <c r="O4327" i="1" s="1"/>
  <c r="O4328" i="1" a="1"/>
  <c r="O4328" i="1" s="1"/>
  <c r="O4329" i="1" a="1"/>
  <c r="O4329" i="1" s="1"/>
  <c r="O4330" i="1" a="1"/>
  <c r="O4330" i="1" s="1"/>
  <c r="O4331" i="1" a="1"/>
  <c r="O4331" i="1" s="1"/>
  <c r="O4332" i="1" a="1"/>
  <c r="O4332" i="1" s="1"/>
  <c r="O4333" i="1" a="1"/>
  <c r="O4333" i="1" s="1"/>
  <c r="O4334" i="1" a="1"/>
  <c r="O4334" i="1" s="1"/>
  <c r="O4335" i="1" a="1"/>
  <c r="O4335" i="1" s="1"/>
  <c r="O4336" i="1" a="1"/>
  <c r="O4336" i="1" s="1"/>
  <c r="O4337" i="1" a="1"/>
  <c r="O4337" i="1" s="1"/>
  <c r="O4338" i="1" a="1"/>
  <c r="O4338" i="1" s="1"/>
  <c r="O4339" i="1" a="1"/>
  <c r="O4339" i="1" s="1"/>
  <c r="O4340" i="1" a="1"/>
  <c r="O4340" i="1" s="1"/>
  <c r="O4341" i="1" a="1"/>
  <c r="O4341" i="1" s="1"/>
  <c r="O4342" i="1" a="1"/>
  <c r="O4342" i="1" s="1"/>
  <c r="O4343" i="1" a="1"/>
  <c r="O4343" i="1" s="1"/>
  <c r="O4344" i="1" a="1"/>
  <c r="O4344" i="1" s="1"/>
  <c r="O4345" i="1" a="1"/>
  <c r="O4345" i="1" s="1"/>
  <c r="O4346" i="1" a="1"/>
  <c r="O4346" i="1" s="1"/>
  <c r="O4347" i="1" a="1"/>
  <c r="O4347" i="1" s="1"/>
  <c r="O4348" i="1" a="1"/>
  <c r="O4348" i="1" s="1"/>
  <c r="O4349" i="1" a="1"/>
  <c r="O4349" i="1" s="1"/>
  <c r="O4350" i="1" a="1"/>
  <c r="O4350" i="1" s="1"/>
  <c r="O4351" i="1" a="1"/>
  <c r="O4351" i="1" s="1"/>
  <c r="O4352" i="1" a="1"/>
  <c r="O4352" i="1" s="1"/>
  <c r="O4353" i="1" a="1"/>
  <c r="O4353" i="1" s="1"/>
  <c r="O4354" i="1" a="1"/>
  <c r="O4354" i="1" s="1"/>
  <c r="O4355" i="1" a="1"/>
  <c r="O4355" i="1" s="1"/>
  <c r="O4356" i="1" a="1"/>
  <c r="O4356" i="1" s="1"/>
  <c r="O4357" i="1" a="1"/>
  <c r="O4357" i="1" s="1"/>
  <c r="O4358" i="1" a="1"/>
  <c r="O4358" i="1" s="1"/>
  <c r="O4359" i="1" a="1"/>
  <c r="O4359" i="1" s="1"/>
  <c r="O4360" i="1" a="1"/>
  <c r="O4360" i="1" s="1"/>
  <c r="O4361" i="1" a="1"/>
  <c r="O4361" i="1" s="1"/>
  <c r="O4362" i="1" a="1"/>
  <c r="O4362" i="1" s="1"/>
  <c r="O4363" i="1" a="1"/>
  <c r="O4363" i="1" s="1"/>
  <c r="O4364" i="1" a="1"/>
  <c r="O4364" i="1" s="1"/>
  <c r="O4365" i="1" a="1"/>
  <c r="O4365" i="1" s="1"/>
  <c r="O4366" i="1" a="1"/>
  <c r="O4366" i="1" s="1"/>
  <c r="O4367" i="1" a="1"/>
  <c r="O4367" i="1" s="1"/>
  <c r="O4368" i="1" a="1"/>
  <c r="O4368" i="1" s="1"/>
  <c r="O4369" i="1" a="1"/>
  <c r="O4369" i="1" s="1"/>
  <c r="O4370" i="1" a="1"/>
  <c r="O4370" i="1" s="1"/>
  <c r="O4371" i="1" a="1"/>
  <c r="O4371" i="1" s="1"/>
  <c r="O4372" i="1" a="1"/>
  <c r="O4372" i="1" s="1"/>
  <c r="O4373" i="1" a="1"/>
  <c r="O4373" i="1" s="1"/>
  <c r="O4374" i="1" a="1"/>
  <c r="O4374" i="1" s="1"/>
  <c r="O4375" i="1" a="1"/>
  <c r="O4375" i="1" s="1"/>
  <c r="O4376" i="1" a="1"/>
  <c r="O4376" i="1" s="1"/>
  <c r="O4377" i="1" a="1"/>
  <c r="O4377" i="1" s="1"/>
  <c r="O4378" i="1" a="1"/>
  <c r="O4378" i="1" s="1"/>
  <c r="O4379" i="1" a="1"/>
  <c r="O4379" i="1" s="1"/>
  <c r="O4380" i="1" a="1"/>
  <c r="O4380" i="1" s="1"/>
  <c r="O4381" i="1" a="1"/>
  <c r="O4381" i="1" s="1"/>
  <c r="O4382" i="1" a="1"/>
  <c r="O4382" i="1" s="1"/>
  <c r="O4383" i="1" a="1"/>
  <c r="O4383" i="1" s="1"/>
  <c r="O4384" i="1" a="1"/>
  <c r="O4384" i="1" s="1"/>
  <c r="O4385" i="1" a="1"/>
  <c r="O4385" i="1" s="1"/>
  <c r="O4386" i="1" a="1"/>
  <c r="O4386" i="1" s="1"/>
  <c r="O4387" i="1" a="1"/>
  <c r="O4387" i="1" s="1"/>
  <c r="O4388" i="1" a="1"/>
  <c r="O4388" i="1" s="1"/>
  <c r="O4389" i="1" a="1"/>
  <c r="O4389" i="1" s="1"/>
  <c r="O4390" i="1" a="1"/>
  <c r="O4390" i="1" s="1"/>
  <c r="O4391" i="1" a="1"/>
  <c r="O4391" i="1" s="1"/>
  <c r="O4392" i="1" a="1"/>
  <c r="O4392" i="1" s="1"/>
  <c r="O4393" i="1" a="1"/>
  <c r="O4393" i="1" s="1"/>
  <c r="O4394" i="1" a="1"/>
  <c r="O4394" i="1" s="1"/>
  <c r="O4395" i="1" a="1"/>
  <c r="O4395" i="1" s="1"/>
  <c r="O4396" i="1" a="1"/>
  <c r="O4396" i="1" s="1"/>
  <c r="O4397" i="1" a="1"/>
  <c r="O4397" i="1" s="1"/>
  <c r="O4398" i="1" a="1"/>
  <c r="O4398" i="1" s="1"/>
  <c r="O4399" i="1" a="1"/>
  <c r="O4399" i="1" s="1"/>
  <c r="O4400" i="1" a="1"/>
  <c r="O4400" i="1" s="1"/>
  <c r="O4401" i="1" a="1"/>
  <c r="O4401" i="1" s="1"/>
  <c r="O4402" i="1" a="1"/>
  <c r="O4402" i="1" s="1"/>
  <c r="O4403" i="1" a="1"/>
  <c r="O4403" i="1" s="1"/>
  <c r="O4404" i="1" a="1"/>
  <c r="O4404" i="1" s="1"/>
  <c r="O4405" i="1" a="1"/>
  <c r="O4405" i="1" s="1"/>
  <c r="O4406" i="1" a="1"/>
  <c r="O4406" i="1" s="1"/>
  <c r="O4407" i="1" a="1"/>
  <c r="O4407" i="1" s="1"/>
  <c r="O4408" i="1" a="1"/>
  <c r="O4408" i="1" s="1"/>
  <c r="O4409" i="1" a="1"/>
  <c r="O4409" i="1" s="1"/>
  <c r="O4410" i="1" a="1"/>
  <c r="O4410" i="1" s="1"/>
  <c r="O4411" i="1" a="1"/>
  <c r="O4411" i="1" s="1"/>
  <c r="O4412" i="1" a="1"/>
  <c r="O4412" i="1" s="1"/>
  <c r="O4413" i="1" a="1"/>
  <c r="O4413" i="1" s="1"/>
  <c r="O4414" i="1" a="1"/>
  <c r="O4414" i="1" s="1"/>
  <c r="O4415" i="1" a="1"/>
  <c r="O4415" i="1" s="1"/>
  <c r="O4416" i="1" a="1"/>
  <c r="O4416" i="1" s="1"/>
  <c r="O4417" i="1" a="1"/>
  <c r="O4417" i="1" s="1"/>
  <c r="O4418" i="1" a="1"/>
  <c r="O4418" i="1" s="1"/>
  <c r="O4419" i="1" a="1"/>
  <c r="O4419" i="1" s="1"/>
  <c r="O4420" i="1" a="1"/>
  <c r="O4420" i="1" s="1"/>
  <c r="O4421" i="1" a="1"/>
  <c r="O4421" i="1" s="1"/>
  <c r="O4422" i="1" a="1"/>
  <c r="O4422" i="1" s="1"/>
  <c r="O4423" i="1" a="1"/>
  <c r="O4423" i="1" s="1"/>
  <c r="O4424" i="1" a="1"/>
  <c r="O4424" i="1" s="1"/>
  <c r="O4425" i="1" a="1"/>
  <c r="O4425" i="1" s="1"/>
  <c r="O4426" i="1" a="1"/>
  <c r="O4426" i="1" s="1"/>
  <c r="O4427" i="1" a="1"/>
  <c r="O4427" i="1" s="1"/>
  <c r="O4428" i="1" a="1"/>
  <c r="O4428" i="1" s="1"/>
  <c r="O4429" i="1" a="1"/>
  <c r="O4429" i="1" s="1"/>
  <c r="O4430" i="1" a="1"/>
  <c r="O4430" i="1" s="1"/>
  <c r="O4431" i="1" a="1"/>
  <c r="O4431" i="1" s="1"/>
  <c r="O4432" i="1" a="1"/>
  <c r="O4432" i="1" s="1"/>
  <c r="O4433" i="1" a="1"/>
  <c r="O4433" i="1" s="1"/>
  <c r="O4434" i="1" a="1"/>
  <c r="O4434" i="1" s="1"/>
  <c r="O4435" i="1" a="1"/>
  <c r="O4435" i="1" s="1"/>
  <c r="O4436" i="1" a="1"/>
  <c r="O4436" i="1" s="1"/>
  <c r="O4437" i="1" a="1"/>
  <c r="O4437" i="1" s="1"/>
  <c r="O4438" i="1" a="1"/>
  <c r="O4438" i="1" s="1"/>
  <c r="O4439" i="1" a="1"/>
  <c r="O4439" i="1" s="1"/>
  <c r="O4440" i="1" a="1"/>
  <c r="O4440" i="1" s="1"/>
  <c r="O4441" i="1" a="1"/>
  <c r="O4441" i="1" s="1"/>
  <c r="O4442" i="1" a="1"/>
  <c r="O4442" i="1" s="1"/>
  <c r="O4443" i="1" a="1"/>
  <c r="O4443" i="1" s="1"/>
  <c r="O4444" i="1" a="1"/>
  <c r="O4444" i="1" s="1"/>
  <c r="O4445" i="1" a="1"/>
  <c r="O4445" i="1" s="1"/>
  <c r="O4446" i="1" a="1"/>
  <c r="O4446" i="1" s="1"/>
  <c r="O4447" i="1" a="1"/>
  <c r="O4447" i="1" s="1"/>
  <c r="O4448" i="1" a="1"/>
  <c r="O4448" i="1" s="1"/>
  <c r="O4449" i="1" a="1"/>
  <c r="O4449" i="1" s="1"/>
  <c r="O4450" i="1" a="1"/>
  <c r="O4450" i="1" s="1"/>
  <c r="O4451" i="1" a="1"/>
  <c r="O4451" i="1" s="1"/>
  <c r="O4452" i="1" a="1"/>
  <c r="O4452" i="1" s="1"/>
  <c r="O4453" i="1" a="1"/>
  <c r="O4453" i="1" s="1"/>
  <c r="O4454" i="1" a="1"/>
  <c r="O4454" i="1" s="1"/>
  <c r="O4455" i="1" a="1"/>
  <c r="O4455" i="1" s="1"/>
  <c r="O4456" i="1" a="1"/>
  <c r="O4456" i="1" s="1"/>
  <c r="O4457" i="1" a="1"/>
  <c r="O4457" i="1" s="1"/>
  <c r="O4458" i="1" a="1"/>
  <c r="O4458" i="1" s="1"/>
  <c r="O4459" i="1" a="1"/>
  <c r="O4459" i="1" s="1"/>
  <c r="O4460" i="1" a="1"/>
  <c r="O4460" i="1" s="1"/>
  <c r="O4461" i="1" a="1"/>
  <c r="O4461" i="1" s="1"/>
  <c r="O4462" i="1" a="1"/>
  <c r="O4462" i="1" s="1"/>
  <c r="O4463" i="1" a="1"/>
  <c r="O4463" i="1" s="1"/>
  <c r="O4464" i="1" a="1"/>
  <c r="O4464" i="1" s="1"/>
  <c r="O4465" i="1" a="1"/>
  <c r="O4465" i="1" s="1"/>
  <c r="O4466" i="1" a="1"/>
  <c r="O4466" i="1" s="1"/>
  <c r="O4467" i="1" a="1"/>
  <c r="O4467" i="1" s="1"/>
  <c r="O4468" i="1" a="1"/>
  <c r="O4468" i="1" s="1"/>
  <c r="O4469" i="1" a="1"/>
  <c r="O4469" i="1" s="1"/>
  <c r="O4470" i="1" a="1"/>
  <c r="O4470" i="1" s="1"/>
  <c r="O4471" i="1" a="1"/>
  <c r="O4471" i="1" s="1"/>
  <c r="O4472" i="1" a="1"/>
  <c r="O4472" i="1" s="1"/>
  <c r="O4473" i="1" a="1"/>
  <c r="O4473" i="1" s="1"/>
  <c r="O4474" i="1" a="1"/>
  <c r="O4474" i="1" s="1"/>
  <c r="O4475" i="1" a="1"/>
  <c r="O4475" i="1" s="1"/>
  <c r="O4476" i="1" a="1"/>
  <c r="O4476" i="1" s="1"/>
  <c r="O4477" i="1" a="1"/>
  <c r="O4477" i="1" s="1"/>
  <c r="O4478" i="1" a="1"/>
  <c r="O4478" i="1" s="1"/>
  <c r="O4479" i="1" a="1"/>
  <c r="O4479" i="1" s="1"/>
  <c r="O4480" i="1" a="1"/>
  <c r="O4480" i="1" s="1"/>
  <c r="O4481" i="1" a="1"/>
  <c r="O4481" i="1" s="1"/>
  <c r="O4482" i="1" a="1"/>
  <c r="O4482" i="1" s="1"/>
  <c r="O4483" i="1" a="1"/>
  <c r="O4483" i="1" s="1"/>
  <c r="O4484" i="1" a="1"/>
  <c r="O4484" i="1" s="1"/>
  <c r="O4485" i="1" a="1"/>
  <c r="O4485" i="1" s="1"/>
  <c r="O4486" i="1" a="1"/>
  <c r="O4486" i="1" s="1"/>
  <c r="O4487" i="1" a="1"/>
  <c r="O4487" i="1" s="1"/>
  <c r="O4488" i="1" a="1"/>
  <c r="O4488" i="1" s="1"/>
  <c r="O4489" i="1" a="1"/>
  <c r="O4489" i="1" s="1"/>
  <c r="O4490" i="1" a="1"/>
  <c r="O4490" i="1" s="1"/>
  <c r="O4491" i="1" a="1"/>
  <c r="O4491" i="1" s="1"/>
  <c r="O4492" i="1" a="1"/>
  <c r="O4492" i="1" s="1"/>
  <c r="O4493" i="1" a="1"/>
  <c r="O4493" i="1" s="1"/>
  <c r="O4494" i="1" a="1"/>
  <c r="O4494" i="1" s="1"/>
  <c r="O4495" i="1" a="1"/>
  <c r="O4495" i="1" s="1"/>
  <c r="O4496" i="1" a="1"/>
  <c r="O4496" i="1" s="1"/>
  <c r="O4497" i="1" a="1"/>
  <c r="O4497" i="1" s="1"/>
  <c r="O4498" i="1" a="1"/>
  <c r="O4498" i="1" s="1"/>
  <c r="O4499" i="1" a="1"/>
  <c r="O4499" i="1" s="1"/>
  <c r="O4500" i="1" a="1"/>
  <c r="O4500" i="1" s="1"/>
  <c r="O4501" i="1" a="1"/>
  <c r="O4501" i="1" s="1"/>
  <c r="O4502" i="1" a="1"/>
  <c r="O4502" i="1" s="1"/>
  <c r="O4503" i="1" a="1"/>
  <c r="O4503" i="1" s="1"/>
  <c r="O4504" i="1" a="1"/>
  <c r="O4504" i="1" s="1"/>
  <c r="O4505" i="1" a="1"/>
  <c r="O4505" i="1" s="1"/>
  <c r="O4506" i="1" a="1"/>
  <c r="O4506" i="1" s="1"/>
  <c r="O4507" i="1" a="1"/>
  <c r="O4507" i="1" s="1"/>
  <c r="O4508" i="1" a="1"/>
  <c r="O4508" i="1" s="1"/>
  <c r="O4509" i="1" a="1"/>
  <c r="O4509" i="1" s="1"/>
  <c r="O4510" i="1" a="1"/>
  <c r="O4510" i="1" s="1"/>
  <c r="O4511" i="1" a="1"/>
  <c r="O4511" i="1" s="1"/>
  <c r="O4512" i="1" a="1"/>
  <c r="O4512" i="1" s="1"/>
  <c r="O4513" i="1" a="1"/>
  <c r="O4513" i="1" s="1"/>
  <c r="O4514" i="1" a="1"/>
  <c r="O4514" i="1" s="1"/>
  <c r="O4515" i="1" a="1"/>
  <c r="O4515" i="1" s="1"/>
  <c r="O4516" i="1" a="1"/>
  <c r="O4516" i="1" s="1"/>
  <c r="O4517" i="1" a="1"/>
  <c r="O4517" i="1" s="1"/>
  <c r="O4518" i="1" a="1"/>
  <c r="O4518" i="1" s="1"/>
  <c r="O4519" i="1" a="1"/>
  <c r="O4519" i="1" s="1"/>
  <c r="O4520" i="1" a="1"/>
  <c r="O4520" i="1" s="1"/>
  <c r="O4521" i="1" a="1"/>
  <c r="O4521" i="1" s="1"/>
  <c r="O4522" i="1" a="1"/>
  <c r="O4522" i="1" s="1"/>
  <c r="O4523" i="1" a="1"/>
  <c r="O4523" i="1" s="1"/>
  <c r="O4524" i="1" a="1"/>
  <c r="O4524" i="1" s="1"/>
  <c r="O4525" i="1" a="1"/>
  <c r="O4525" i="1" s="1"/>
  <c r="O4526" i="1" a="1"/>
  <c r="O4526" i="1" s="1"/>
  <c r="O4527" i="1" a="1"/>
  <c r="O4527" i="1" s="1"/>
  <c r="O4528" i="1" a="1"/>
  <c r="O4528" i="1" s="1"/>
  <c r="O4529" i="1" a="1"/>
  <c r="O4529" i="1" s="1"/>
  <c r="O4530" i="1" a="1"/>
  <c r="O4530" i="1" s="1"/>
  <c r="O4531" i="1" a="1"/>
  <c r="O4531" i="1" s="1"/>
  <c r="O4532" i="1" a="1"/>
  <c r="O4532" i="1" s="1"/>
  <c r="O4533" i="1" a="1"/>
  <c r="O4533" i="1" s="1"/>
  <c r="O4534" i="1" a="1"/>
  <c r="O4534" i="1" s="1"/>
  <c r="O4535" i="1" a="1"/>
  <c r="O4535" i="1" s="1"/>
  <c r="O4536" i="1" a="1"/>
  <c r="O4536" i="1" s="1"/>
  <c r="O4537" i="1" a="1"/>
  <c r="O4537" i="1" s="1"/>
  <c r="O4538" i="1" a="1"/>
  <c r="O4538" i="1" s="1"/>
  <c r="O4539" i="1" a="1"/>
  <c r="O4539" i="1" s="1"/>
  <c r="O4540" i="1" a="1"/>
  <c r="O4540" i="1" s="1"/>
  <c r="O4541" i="1" a="1"/>
  <c r="O4541" i="1" s="1"/>
  <c r="O4542" i="1" a="1"/>
  <c r="O4542" i="1" s="1"/>
  <c r="O4543" i="1" a="1"/>
  <c r="O4543" i="1" s="1"/>
  <c r="O4544" i="1" a="1"/>
  <c r="O4544" i="1" s="1"/>
  <c r="O4545" i="1" a="1"/>
  <c r="O4545" i="1" s="1"/>
  <c r="O4546" i="1" a="1"/>
  <c r="O4546" i="1" s="1"/>
  <c r="O4547" i="1" a="1"/>
  <c r="O4547" i="1" s="1"/>
  <c r="O4548" i="1" a="1"/>
  <c r="O4548" i="1" s="1"/>
  <c r="O4549" i="1" a="1"/>
  <c r="O4549" i="1" s="1"/>
  <c r="O4550" i="1" a="1"/>
  <c r="O4550" i="1" s="1"/>
  <c r="O4551" i="1" a="1"/>
  <c r="O4551" i="1" s="1"/>
  <c r="O4552" i="1" a="1"/>
  <c r="O4552" i="1" s="1"/>
  <c r="O4553" i="1" a="1"/>
  <c r="O4553" i="1" s="1"/>
  <c r="O4554" i="1" a="1"/>
  <c r="O4554" i="1" s="1"/>
  <c r="O4555" i="1" a="1"/>
  <c r="O4555" i="1" s="1"/>
  <c r="O4556" i="1" a="1"/>
  <c r="O4556" i="1" s="1"/>
  <c r="O4557" i="1" a="1"/>
  <c r="O4557" i="1" s="1"/>
  <c r="O4558" i="1" a="1"/>
  <c r="O4558" i="1" s="1"/>
  <c r="O4559" i="1" a="1"/>
  <c r="O4559" i="1" s="1"/>
  <c r="O4560" i="1" a="1"/>
  <c r="O4560" i="1" s="1"/>
  <c r="O4561" i="1" a="1"/>
  <c r="O4561" i="1" s="1"/>
  <c r="O4562" i="1" a="1"/>
  <c r="O4562" i="1" s="1"/>
  <c r="O4563" i="1" a="1"/>
  <c r="O4563" i="1" s="1"/>
  <c r="O4564" i="1" a="1"/>
  <c r="O4564" i="1" s="1"/>
  <c r="O4565" i="1" a="1"/>
  <c r="O4565" i="1" s="1"/>
  <c r="O4566" i="1" a="1"/>
  <c r="O4566" i="1" s="1"/>
  <c r="O4567" i="1" a="1"/>
  <c r="O4567" i="1" s="1"/>
  <c r="O4568" i="1" a="1"/>
  <c r="O4568" i="1" s="1"/>
  <c r="O4569" i="1" a="1"/>
  <c r="O4569" i="1" s="1"/>
  <c r="O4570" i="1" a="1"/>
  <c r="O4570" i="1" s="1"/>
  <c r="O4571" i="1" a="1"/>
  <c r="O4571" i="1" s="1"/>
  <c r="O4572" i="1" a="1"/>
  <c r="O4572" i="1" s="1"/>
  <c r="O4573" i="1" a="1"/>
  <c r="O4573" i="1" s="1"/>
  <c r="O4574" i="1" a="1"/>
  <c r="O4574" i="1" s="1"/>
  <c r="O4575" i="1" a="1"/>
  <c r="O4575" i="1" s="1"/>
  <c r="O4576" i="1" a="1"/>
  <c r="O4576" i="1" s="1"/>
  <c r="O4577" i="1" a="1"/>
  <c r="O4577" i="1" s="1"/>
  <c r="O4578" i="1" a="1"/>
  <c r="O4578" i="1" s="1"/>
  <c r="O4579" i="1" a="1"/>
  <c r="O4579" i="1" s="1"/>
  <c r="O4580" i="1" a="1"/>
  <c r="O4580" i="1" s="1"/>
  <c r="O4581" i="1" a="1"/>
  <c r="O4581" i="1" s="1"/>
  <c r="O4582" i="1" a="1"/>
  <c r="O4582" i="1" s="1"/>
  <c r="O4583" i="1" a="1"/>
  <c r="O4583" i="1" s="1"/>
  <c r="O4584" i="1" a="1"/>
  <c r="O4584" i="1" s="1"/>
  <c r="O4585" i="1" a="1"/>
  <c r="O4585" i="1" s="1"/>
  <c r="O4586" i="1" a="1"/>
  <c r="O4586" i="1" s="1"/>
  <c r="O4587" i="1" a="1"/>
  <c r="O4587" i="1" s="1"/>
  <c r="O4588" i="1" a="1"/>
  <c r="O4588" i="1" s="1"/>
  <c r="O4589" i="1" a="1"/>
  <c r="O4589" i="1" s="1"/>
  <c r="O4590" i="1" a="1"/>
  <c r="O4590" i="1" s="1"/>
  <c r="O4591" i="1" a="1"/>
  <c r="O4591" i="1" s="1"/>
  <c r="O4592" i="1" a="1"/>
  <c r="O4592" i="1" s="1"/>
  <c r="O4593" i="1" a="1"/>
  <c r="O4593" i="1" s="1"/>
  <c r="O4594" i="1" a="1"/>
  <c r="O4594" i="1" s="1"/>
  <c r="O4595" i="1" a="1"/>
  <c r="O4595" i="1" s="1"/>
  <c r="O4596" i="1" a="1"/>
  <c r="O4596" i="1" s="1"/>
  <c r="O4597" i="1" a="1"/>
  <c r="O4597" i="1" s="1"/>
  <c r="O4598" i="1" a="1"/>
  <c r="O4598" i="1" s="1"/>
  <c r="O4599" i="1" a="1"/>
  <c r="O4599" i="1" s="1"/>
  <c r="O4600" i="1" a="1"/>
  <c r="O4600" i="1" s="1"/>
  <c r="O4601" i="1" a="1"/>
  <c r="O4601" i="1" s="1"/>
  <c r="O4602" i="1" a="1"/>
  <c r="O4602" i="1" s="1"/>
  <c r="O4603" i="1" a="1"/>
  <c r="O4603" i="1" s="1"/>
  <c r="O4604" i="1" a="1"/>
  <c r="O4604" i="1" s="1"/>
  <c r="O4605" i="1" a="1"/>
  <c r="O4605" i="1" s="1"/>
  <c r="O4606" i="1" a="1"/>
  <c r="O4606" i="1" s="1"/>
  <c r="O4607" i="1" a="1"/>
  <c r="O4607" i="1" s="1"/>
  <c r="O4608" i="1" a="1"/>
  <c r="O4608" i="1" s="1"/>
  <c r="O4609" i="1" a="1"/>
  <c r="O4609" i="1" s="1"/>
  <c r="O4610" i="1" a="1"/>
  <c r="O4610" i="1" s="1"/>
  <c r="O4611" i="1" a="1"/>
  <c r="O4611" i="1" s="1"/>
  <c r="O4612" i="1" a="1"/>
  <c r="O4612" i="1" s="1"/>
  <c r="O4613" i="1" a="1"/>
  <c r="O4613" i="1" s="1"/>
  <c r="O4614" i="1" a="1"/>
  <c r="O4614" i="1" s="1"/>
  <c r="O4615" i="1" a="1"/>
  <c r="O4615" i="1" s="1"/>
  <c r="O4616" i="1" a="1"/>
  <c r="O4616" i="1" s="1"/>
  <c r="O4617" i="1" a="1"/>
  <c r="O4617" i="1" s="1"/>
  <c r="O4618" i="1" a="1"/>
  <c r="O4618" i="1" s="1"/>
  <c r="O4619" i="1" a="1"/>
  <c r="O4619" i="1" s="1"/>
  <c r="O4620" i="1" a="1"/>
  <c r="O4620" i="1" s="1"/>
  <c r="O4621" i="1" a="1"/>
  <c r="O4621" i="1" s="1"/>
  <c r="O4622" i="1" a="1"/>
  <c r="O4622" i="1" s="1"/>
  <c r="O4623" i="1" a="1"/>
  <c r="O4623" i="1" s="1"/>
  <c r="O4624" i="1" a="1"/>
  <c r="O4624" i="1" s="1"/>
  <c r="O4625" i="1" a="1"/>
  <c r="O4625" i="1" s="1"/>
  <c r="O4626" i="1" a="1"/>
  <c r="O4626" i="1" s="1"/>
  <c r="O4627" i="1" a="1"/>
  <c r="O4627" i="1" s="1"/>
  <c r="O4628" i="1" a="1"/>
  <c r="O4628" i="1" s="1"/>
  <c r="O4629" i="1" a="1"/>
  <c r="O4629" i="1" s="1"/>
  <c r="O4630" i="1" a="1"/>
  <c r="O4630" i="1" s="1"/>
  <c r="O4631" i="1" a="1"/>
  <c r="O4631" i="1" s="1"/>
  <c r="O4632" i="1" a="1"/>
  <c r="O4632" i="1" s="1"/>
  <c r="O4633" i="1" a="1"/>
  <c r="O4633" i="1" s="1"/>
  <c r="O4634" i="1" a="1"/>
  <c r="O4634" i="1" s="1"/>
  <c r="O4635" i="1" a="1"/>
  <c r="O4635" i="1" s="1"/>
  <c r="O4636" i="1" a="1"/>
  <c r="O4636" i="1" s="1"/>
  <c r="O4637" i="1" a="1"/>
  <c r="O4637" i="1" s="1"/>
  <c r="O4638" i="1" a="1"/>
  <c r="O4638" i="1" s="1"/>
  <c r="O4639" i="1" a="1"/>
  <c r="O4639" i="1" s="1"/>
  <c r="O4640" i="1" a="1"/>
  <c r="O4640" i="1" s="1"/>
  <c r="O4641" i="1" a="1"/>
  <c r="O4641" i="1" s="1"/>
  <c r="O4642" i="1" a="1"/>
  <c r="O4642" i="1" s="1"/>
  <c r="O4643" i="1" a="1"/>
  <c r="O4643" i="1" s="1"/>
  <c r="O4644" i="1" a="1"/>
  <c r="O4644" i="1" s="1"/>
  <c r="O4645" i="1" a="1"/>
  <c r="O4645" i="1" s="1"/>
  <c r="O4646" i="1" a="1"/>
  <c r="O4646" i="1" s="1"/>
  <c r="O4647" i="1" a="1"/>
  <c r="O4647" i="1" s="1"/>
  <c r="O4648" i="1" a="1"/>
  <c r="O4648" i="1" s="1"/>
  <c r="O4649" i="1" a="1"/>
  <c r="O4649" i="1" s="1"/>
  <c r="O4650" i="1" a="1"/>
  <c r="O4650" i="1" s="1"/>
  <c r="O4651" i="1" a="1"/>
  <c r="O4651" i="1" s="1"/>
  <c r="O4652" i="1" a="1"/>
  <c r="O4652" i="1" s="1"/>
  <c r="O4653" i="1" a="1"/>
  <c r="O4653" i="1" s="1"/>
  <c r="O4654" i="1" a="1"/>
  <c r="O4654" i="1" s="1"/>
  <c r="O4655" i="1" a="1"/>
  <c r="O4655" i="1" s="1"/>
  <c r="O4656" i="1" a="1"/>
  <c r="O4656" i="1" s="1"/>
  <c r="O4657" i="1" a="1"/>
  <c r="O4657" i="1" s="1"/>
  <c r="O4658" i="1" a="1"/>
  <c r="O4658" i="1" s="1"/>
  <c r="O4659" i="1" a="1"/>
  <c r="O4659" i="1" s="1"/>
  <c r="O4660" i="1" a="1"/>
  <c r="O4660" i="1" s="1"/>
  <c r="O4661" i="1" a="1"/>
  <c r="O4661" i="1" s="1"/>
  <c r="O4662" i="1" a="1"/>
  <c r="O4662" i="1" s="1"/>
  <c r="O4663" i="1" a="1"/>
  <c r="O4663" i="1" s="1"/>
  <c r="O4664" i="1" a="1"/>
  <c r="O4664" i="1" s="1"/>
  <c r="O4665" i="1" a="1"/>
  <c r="O4665" i="1" s="1"/>
  <c r="O4666" i="1" a="1"/>
  <c r="O4666" i="1" s="1"/>
  <c r="O4667" i="1" a="1"/>
  <c r="O4667" i="1" s="1"/>
  <c r="O4668" i="1" a="1"/>
  <c r="O4668" i="1" s="1"/>
  <c r="O4669" i="1" a="1"/>
  <c r="O4669" i="1" s="1"/>
  <c r="O4670" i="1" a="1"/>
  <c r="O4670" i="1" s="1"/>
  <c r="O4671" i="1" a="1"/>
  <c r="O4671" i="1" s="1"/>
  <c r="O4672" i="1" a="1"/>
  <c r="O4672" i="1" s="1"/>
  <c r="O4673" i="1" a="1"/>
  <c r="O4673" i="1" s="1"/>
  <c r="O4674" i="1" a="1"/>
  <c r="O4674" i="1" s="1"/>
  <c r="O4675" i="1" a="1"/>
  <c r="O4675" i="1" s="1"/>
  <c r="O4676" i="1" a="1"/>
  <c r="O4676" i="1" s="1"/>
  <c r="O4677" i="1" a="1"/>
  <c r="O4677" i="1" s="1"/>
  <c r="O4678" i="1" a="1"/>
  <c r="O4678" i="1" s="1"/>
  <c r="O4679" i="1" a="1"/>
  <c r="O4679" i="1" s="1"/>
  <c r="O4680" i="1" a="1"/>
  <c r="O4680" i="1" s="1"/>
  <c r="O4681" i="1" a="1"/>
  <c r="O4681" i="1" s="1"/>
  <c r="O4682" i="1" a="1"/>
  <c r="O4682" i="1" s="1"/>
  <c r="O4683" i="1" a="1"/>
  <c r="O4683" i="1" s="1"/>
  <c r="O4684" i="1" a="1"/>
  <c r="O4684" i="1" s="1"/>
  <c r="O4685" i="1" a="1"/>
  <c r="O4685" i="1" s="1"/>
  <c r="O4686" i="1" a="1"/>
  <c r="O4686" i="1" s="1"/>
  <c r="O4687" i="1" a="1"/>
  <c r="O4687" i="1" s="1"/>
  <c r="O4688" i="1" a="1"/>
  <c r="O4688" i="1" s="1"/>
  <c r="O4689" i="1" a="1"/>
  <c r="O4689" i="1" s="1"/>
  <c r="O4690" i="1" a="1"/>
  <c r="O4690" i="1" s="1"/>
  <c r="O4691" i="1" a="1"/>
  <c r="O4691" i="1" s="1"/>
  <c r="O4692" i="1" a="1"/>
  <c r="O4692" i="1" s="1"/>
  <c r="O4693" i="1" a="1"/>
  <c r="O4693" i="1" s="1"/>
  <c r="O4694" i="1" a="1"/>
  <c r="O4694" i="1" s="1"/>
  <c r="O4695" i="1" a="1"/>
  <c r="O4695" i="1" s="1"/>
  <c r="O4696" i="1" a="1"/>
  <c r="O4696" i="1" s="1"/>
  <c r="O4697" i="1" a="1"/>
  <c r="O4697" i="1" s="1"/>
  <c r="O4698" i="1" a="1"/>
  <c r="O4698" i="1" s="1"/>
  <c r="O4699" i="1" a="1"/>
  <c r="O4699" i="1" s="1"/>
  <c r="O4700" i="1" a="1"/>
  <c r="O4700" i="1" s="1"/>
  <c r="O4701" i="1" a="1"/>
  <c r="O4701" i="1" s="1"/>
  <c r="O4702" i="1" a="1"/>
  <c r="O4702" i="1" s="1"/>
  <c r="O4703" i="1" a="1"/>
  <c r="O4703" i="1" s="1"/>
  <c r="O4704" i="1" a="1"/>
  <c r="O4704" i="1" s="1"/>
  <c r="O4705" i="1" a="1"/>
  <c r="O4705" i="1" s="1"/>
  <c r="O4706" i="1" a="1"/>
  <c r="O4706" i="1" s="1"/>
  <c r="O4707" i="1" a="1"/>
  <c r="O4707" i="1" s="1"/>
  <c r="O4708" i="1" a="1"/>
  <c r="O4708" i="1" s="1"/>
  <c r="O4709" i="1" a="1"/>
  <c r="O4709" i="1" s="1"/>
  <c r="O4710" i="1" a="1"/>
  <c r="O4710" i="1" s="1"/>
  <c r="O4711" i="1" a="1"/>
  <c r="O4711" i="1" s="1"/>
  <c r="O4712" i="1" a="1"/>
  <c r="O4712" i="1" s="1"/>
  <c r="O4713" i="1" a="1"/>
  <c r="O4713" i="1" s="1"/>
  <c r="O4714" i="1" a="1"/>
  <c r="O4714" i="1" s="1"/>
  <c r="O4715" i="1" a="1"/>
  <c r="O4715" i="1" s="1"/>
  <c r="O4716" i="1" a="1"/>
  <c r="O4716" i="1" s="1"/>
  <c r="O4717" i="1" a="1"/>
  <c r="O4717" i="1" s="1"/>
  <c r="O4718" i="1" a="1"/>
  <c r="O4718" i="1" s="1"/>
  <c r="O4719" i="1" a="1"/>
  <c r="O4719" i="1" s="1"/>
  <c r="O4720" i="1" a="1"/>
  <c r="O4720" i="1" s="1"/>
  <c r="O4721" i="1" a="1"/>
  <c r="O4721" i="1" s="1"/>
  <c r="O4722" i="1" a="1"/>
  <c r="O4722" i="1" s="1"/>
  <c r="O4723" i="1" a="1"/>
  <c r="O4723" i="1" s="1"/>
  <c r="O4724" i="1" a="1"/>
  <c r="O4724" i="1" s="1"/>
  <c r="O4725" i="1" a="1"/>
  <c r="O4725" i="1" s="1"/>
  <c r="O4726" i="1" a="1"/>
  <c r="O4726" i="1" s="1"/>
  <c r="O4727" i="1" a="1"/>
  <c r="O4727" i="1" s="1"/>
  <c r="O4728" i="1" a="1"/>
  <c r="O4728" i="1" s="1"/>
  <c r="O4729" i="1" a="1"/>
  <c r="O4729" i="1" s="1"/>
  <c r="O4730" i="1" a="1"/>
  <c r="O4730" i="1" s="1"/>
  <c r="O4731" i="1" a="1"/>
  <c r="O4731" i="1" s="1"/>
  <c r="O4732" i="1" a="1"/>
  <c r="O4732" i="1" s="1"/>
  <c r="O4733" i="1" a="1"/>
  <c r="O4733" i="1" s="1"/>
  <c r="O4734" i="1" a="1"/>
  <c r="O4734" i="1" s="1"/>
  <c r="O4735" i="1" a="1"/>
  <c r="O4735" i="1" s="1"/>
  <c r="O4736" i="1" a="1"/>
  <c r="O4736" i="1" s="1"/>
  <c r="O4737" i="1" a="1"/>
  <c r="O4737" i="1" s="1"/>
  <c r="O4738" i="1" a="1"/>
  <c r="O4738" i="1" s="1"/>
  <c r="O4739" i="1" a="1"/>
  <c r="O4739" i="1" s="1"/>
  <c r="O4740" i="1" a="1"/>
  <c r="O4740" i="1" s="1"/>
  <c r="O4741" i="1" a="1"/>
  <c r="O4741" i="1" s="1"/>
  <c r="O4742" i="1" a="1"/>
  <c r="O4742" i="1" s="1"/>
  <c r="O4743" i="1" a="1"/>
  <c r="O4743" i="1" s="1"/>
  <c r="O4744" i="1" a="1"/>
  <c r="O4744" i="1" s="1"/>
  <c r="O4745" i="1" a="1"/>
  <c r="O4745" i="1" s="1"/>
  <c r="O4746" i="1" a="1"/>
  <c r="O4746" i="1" s="1"/>
  <c r="O4747" i="1" a="1"/>
  <c r="O4747" i="1" s="1"/>
  <c r="O4748" i="1" a="1"/>
  <c r="O4748" i="1" s="1"/>
  <c r="O4749" i="1" a="1"/>
  <c r="O4749" i="1" s="1"/>
  <c r="O4750" i="1" a="1"/>
  <c r="O4750" i="1" s="1"/>
  <c r="O4751" i="1" a="1"/>
  <c r="O4751" i="1" s="1"/>
  <c r="O4752" i="1" a="1"/>
  <c r="O4752" i="1" s="1"/>
  <c r="O4753" i="1" a="1"/>
  <c r="O4753" i="1" s="1"/>
  <c r="O4754" i="1" a="1"/>
  <c r="O4754" i="1" s="1"/>
  <c r="O4755" i="1" a="1"/>
  <c r="O4755" i="1" s="1"/>
  <c r="O4756" i="1" a="1"/>
  <c r="O4756" i="1" s="1"/>
  <c r="O4757" i="1" a="1"/>
  <c r="O4757" i="1" s="1"/>
  <c r="O4758" i="1" a="1"/>
  <c r="O4758" i="1" s="1"/>
  <c r="O4759" i="1" a="1"/>
  <c r="O4759" i="1" s="1"/>
  <c r="O4760" i="1" a="1"/>
  <c r="O4760" i="1" s="1"/>
  <c r="O4761" i="1" a="1"/>
  <c r="O4761" i="1" s="1"/>
  <c r="O4762" i="1" a="1"/>
  <c r="O4762" i="1" s="1"/>
  <c r="O4763" i="1" a="1"/>
  <c r="O4763" i="1" s="1"/>
  <c r="O4764" i="1" a="1"/>
  <c r="O4764" i="1" s="1"/>
  <c r="O4765" i="1" a="1"/>
  <c r="O4765" i="1" s="1"/>
  <c r="O4766" i="1" a="1"/>
  <c r="O4766" i="1" s="1"/>
  <c r="O4767" i="1" a="1"/>
  <c r="O4767" i="1" s="1"/>
  <c r="O4768" i="1" a="1"/>
  <c r="O4768" i="1" s="1"/>
  <c r="O4769" i="1" a="1"/>
  <c r="O4769" i="1" s="1"/>
  <c r="O4770" i="1" a="1"/>
  <c r="O4770" i="1" s="1"/>
  <c r="O4771" i="1" a="1"/>
  <c r="O4771" i="1" s="1"/>
  <c r="O4772" i="1" a="1"/>
  <c r="O4772" i="1" s="1"/>
  <c r="O4773" i="1" a="1"/>
  <c r="O4773" i="1" s="1"/>
  <c r="O4774" i="1" a="1"/>
  <c r="O4774" i="1" s="1"/>
  <c r="O4775" i="1" a="1"/>
  <c r="O4775" i="1" s="1"/>
  <c r="O4776" i="1" a="1"/>
  <c r="O4776" i="1" s="1"/>
  <c r="O4777" i="1" a="1"/>
  <c r="O4777" i="1" s="1"/>
  <c r="O4778" i="1" a="1"/>
  <c r="O4778" i="1" s="1"/>
  <c r="O4779" i="1" a="1"/>
  <c r="O4779" i="1" s="1"/>
  <c r="O4780" i="1" a="1"/>
  <c r="O4780" i="1" s="1"/>
  <c r="O4781" i="1" a="1"/>
  <c r="O4781" i="1" s="1"/>
  <c r="O4782" i="1" a="1"/>
  <c r="O4782" i="1" s="1"/>
  <c r="O4783" i="1" a="1"/>
  <c r="O4783" i="1" s="1"/>
  <c r="O4784" i="1" a="1"/>
  <c r="O4784" i="1" s="1"/>
  <c r="O4785" i="1" a="1"/>
  <c r="O4785" i="1" s="1"/>
  <c r="O4786" i="1" a="1"/>
  <c r="O4786" i="1" s="1"/>
  <c r="O4787" i="1" a="1"/>
  <c r="O4787" i="1" s="1"/>
  <c r="O4788" i="1" a="1"/>
  <c r="O4788" i="1" s="1"/>
  <c r="O4789" i="1" a="1"/>
  <c r="O4789" i="1" s="1"/>
  <c r="O4790" i="1" a="1"/>
  <c r="O4790" i="1" s="1"/>
  <c r="O4791" i="1" a="1"/>
  <c r="O4791" i="1" s="1"/>
  <c r="O4792" i="1" a="1"/>
  <c r="O4792" i="1" s="1"/>
  <c r="O4793" i="1" a="1"/>
  <c r="O4793" i="1" s="1"/>
  <c r="O4794" i="1" a="1"/>
  <c r="O4794" i="1" s="1"/>
  <c r="O4795" i="1" a="1"/>
  <c r="O4795" i="1" s="1"/>
  <c r="O4796" i="1" a="1"/>
  <c r="O4796" i="1" s="1"/>
  <c r="O4797" i="1" a="1"/>
  <c r="O4797" i="1" s="1"/>
  <c r="O4798" i="1" a="1"/>
  <c r="O4798" i="1" s="1"/>
  <c r="O4799" i="1" a="1"/>
  <c r="O4799" i="1" s="1"/>
  <c r="O4800" i="1" a="1"/>
  <c r="O4800" i="1" s="1"/>
  <c r="O4801" i="1" a="1"/>
  <c r="O4801" i="1" s="1"/>
  <c r="O4802" i="1" a="1"/>
  <c r="O4802" i="1" s="1"/>
  <c r="O4803" i="1" a="1"/>
  <c r="O4803" i="1" s="1"/>
  <c r="O4804" i="1" a="1"/>
  <c r="O4804" i="1" s="1"/>
  <c r="O4805" i="1" a="1"/>
  <c r="O4805" i="1" s="1"/>
  <c r="O4806" i="1" a="1"/>
  <c r="O4806" i="1" s="1"/>
  <c r="O4807" i="1" a="1"/>
  <c r="O4807" i="1" s="1"/>
  <c r="O4808" i="1" a="1"/>
  <c r="O4808" i="1" s="1"/>
  <c r="O4809" i="1" a="1"/>
  <c r="O4809" i="1" s="1"/>
  <c r="O4810" i="1" a="1"/>
  <c r="O4810" i="1" s="1"/>
  <c r="O4811" i="1" a="1"/>
  <c r="O4811" i="1" s="1"/>
  <c r="O4812" i="1" a="1"/>
  <c r="O4812" i="1" s="1"/>
  <c r="O4813" i="1" a="1"/>
  <c r="O4813" i="1" s="1"/>
  <c r="O4814" i="1" a="1"/>
  <c r="O4814" i="1" s="1"/>
  <c r="O4815" i="1" a="1"/>
  <c r="O4815" i="1" s="1"/>
  <c r="O4816" i="1" a="1"/>
  <c r="O4816" i="1" s="1"/>
  <c r="O4817" i="1" a="1"/>
  <c r="O4817" i="1" s="1"/>
  <c r="O4818" i="1" a="1"/>
  <c r="O4818" i="1" s="1"/>
  <c r="O4819" i="1" a="1"/>
  <c r="O4819" i="1" s="1"/>
  <c r="O4820" i="1" a="1"/>
  <c r="O4820" i="1" s="1"/>
  <c r="O4821" i="1" a="1"/>
  <c r="O4821" i="1" s="1"/>
  <c r="O4822" i="1" a="1"/>
  <c r="O4822" i="1" s="1"/>
  <c r="O4823" i="1" a="1"/>
  <c r="O4823" i="1" s="1"/>
  <c r="O4824" i="1" a="1"/>
  <c r="O4824" i="1" s="1"/>
  <c r="O4825" i="1" a="1"/>
  <c r="O4825" i="1" s="1"/>
  <c r="O4826" i="1" a="1"/>
  <c r="O4826" i="1" s="1"/>
  <c r="O4827" i="1" a="1"/>
  <c r="O4827" i="1" s="1"/>
  <c r="O4828" i="1" a="1"/>
  <c r="O4828" i="1" s="1"/>
  <c r="O4829" i="1" a="1"/>
  <c r="O4829" i="1" s="1"/>
  <c r="O4830" i="1" a="1"/>
  <c r="O4830" i="1" s="1"/>
  <c r="O4831" i="1" a="1"/>
  <c r="O4831" i="1" s="1"/>
  <c r="O4832" i="1" a="1"/>
  <c r="O4832" i="1" s="1"/>
  <c r="O4833" i="1" a="1"/>
  <c r="O4833" i="1" s="1"/>
  <c r="O4834" i="1" a="1"/>
  <c r="O4834" i="1" s="1"/>
  <c r="O4835" i="1" a="1"/>
  <c r="O4835" i="1" s="1"/>
  <c r="O4836" i="1" a="1"/>
  <c r="O4836" i="1" s="1"/>
  <c r="O4837" i="1" a="1"/>
  <c r="O4837" i="1" s="1"/>
  <c r="O4838" i="1" a="1"/>
  <c r="O4838" i="1" s="1"/>
  <c r="O4839" i="1" a="1"/>
  <c r="O4839" i="1" s="1"/>
  <c r="O4840" i="1" a="1"/>
  <c r="O4840" i="1" s="1"/>
  <c r="O4841" i="1" a="1"/>
  <c r="O4841" i="1" s="1"/>
  <c r="O4842" i="1" a="1"/>
  <c r="O4842" i="1" s="1"/>
  <c r="O4843" i="1" a="1"/>
  <c r="O4843" i="1" s="1"/>
  <c r="O4844" i="1" a="1"/>
  <c r="O4844" i="1" s="1"/>
  <c r="O4845" i="1" a="1"/>
  <c r="O4845" i="1" s="1"/>
  <c r="O4846" i="1" a="1"/>
  <c r="O4846" i="1" s="1"/>
  <c r="O4847" i="1" a="1"/>
  <c r="O4847" i="1" s="1"/>
  <c r="O4848" i="1" a="1"/>
  <c r="O4848" i="1" s="1"/>
  <c r="O4849" i="1" a="1"/>
  <c r="O4849" i="1" s="1"/>
  <c r="O4850" i="1" a="1"/>
  <c r="O4850" i="1" s="1"/>
  <c r="O4851" i="1" a="1"/>
  <c r="O4851" i="1" s="1"/>
  <c r="O4852" i="1" a="1"/>
  <c r="O4852" i="1" s="1"/>
  <c r="O4853" i="1" a="1"/>
  <c r="O4853" i="1" s="1"/>
  <c r="O4854" i="1" a="1"/>
  <c r="O4854" i="1" s="1"/>
  <c r="O4855" i="1" a="1"/>
  <c r="O4855" i="1" s="1"/>
  <c r="O4856" i="1" a="1"/>
  <c r="O4856" i="1" s="1"/>
  <c r="O4857" i="1" a="1"/>
  <c r="O4857" i="1" s="1"/>
  <c r="O4858" i="1" a="1"/>
  <c r="O4858" i="1" s="1"/>
  <c r="O4859" i="1" a="1"/>
  <c r="O4859" i="1" s="1"/>
  <c r="O4860" i="1" a="1"/>
  <c r="O4860" i="1" s="1"/>
  <c r="O4861" i="1" a="1"/>
  <c r="O4861" i="1" s="1"/>
  <c r="O4862" i="1" a="1"/>
  <c r="O4862" i="1" s="1"/>
  <c r="O4863" i="1" a="1"/>
  <c r="O4863" i="1" s="1"/>
  <c r="O4864" i="1" a="1"/>
  <c r="O4864" i="1" s="1"/>
  <c r="O4865" i="1" a="1"/>
  <c r="O4865" i="1" s="1"/>
  <c r="O4866" i="1" a="1"/>
  <c r="O4866" i="1" s="1"/>
  <c r="O4867" i="1" a="1"/>
  <c r="O4867" i="1" s="1"/>
  <c r="O4868" i="1" a="1"/>
  <c r="O4868" i="1" s="1"/>
  <c r="O4869" i="1" a="1"/>
  <c r="O4869" i="1" s="1"/>
  <c r="O4870" i="1" a="1"/>
  <c r="O4870" i="1" s="1"/>
  <c r="O4871" i="1" a="1"/>
  <c r="O4871" i="1" s="1"/>
  <c r="O4872" i="1" a="1"/>
  <c r="O4872" i="1" s="1"/>
  <c r="O4873" i="1" a="1"/>
  <c r="O4873" i="1" s="1"/>
  <c r="O4874" i="1" a="1"/>
  <c r="O4874" i="1" s="1"/>
  <c r="O4875" i="1" a="1"/>
  <c r="O4875" i="1" s="1"/>
  <c r="O4876" i="1" a="1"/>
  <c r="O4876" i="1" s="1"/>
  <c r="O4877" i="1" a="1"/>
  <c r="O4877" i="1" s="1"/>
  <c r="O4878" i="1" a="1"/>
  <c r="O4878" i="1" s="1"/>
  <c r="O4879" i="1" a="1"/>
  <c r="O4879" i="1" s="1"/>
  <c r="O4880" i="1" a="1"/>
  <c r="O4880" i="1" s="1"/>
  <c r="O4881" i="1" a="1"/>
  <c r="O4881" i="1" s="1"/>
  <c r="O4882" i="1" a="1"/>
  <c r="O4882" i="1" s="1"/>
  <c r="O4883" i="1" a="1"/>
  <c r="O4883" i="1" s="1"/>
  <c r="O4884" i="1" a="1"/>
  <c r="O4884" i="1" s="1"/>
  <c r="O4885" i="1" a="1"/>
  <c r="O4885" i="1" s="1"/>
  <c r="O4886" i="1" a="1"/>
  <c r="O4886" i="1" s="1"/>
  <c r="O4887" i="1" a="1"/>
  <c r="O4887" i="1" s="1"/>
  <c r="O4888" i="1" a="1"/>
  <c r="O4888" i="1" s="1"/>
  <c r="O4889" i="1" a="1"/>
  <c r="O4889" i="1" s="1"/>
  <c r="O4890" i="1" a="1"/>
  <c r="O4890" i="1" s="1"/>
  <c r="O4891" i="1" a="1"/>
  <c r="O4891" i="1" s="1"/>
  <c r="O4892" i="1" a="1"/>
  <c r="O4892" i="1" s="1"/>
  <c r="O4893" i="1" a="1"/>
  <c r="O4893" i="1" s="1"/>
  <c r="O4894" i="1" a="1"/>
  <c r="O4894" i="1" s="1"/>
  <c r="O4895" i="1" a="1"/>
  <c r="O4895" i="1" s="1"/>
  <c r="O4896" i="1" a="1"/>
  <c r="O4896" i="1" s="1"/>
  <c r="O4897" i="1" a="1"/>
  <c r="O4897" i="1" s="1"/>
  <c r="O4898" i="1" a="1"/>
  <c r="O4898" i="1" s="1"/>
  <c r="O4899" i="1" a="1"/>
  <c r="O4899" i="1" s="1"/>
  <c r="O4900" i="1" a="1"/>
  <c r="O4900" i="1" s="1"/>
  <c r="O4901" i="1" a="1"/>
  <c r="O4901" i="1" s="1"/>
  <c r="O4902" i="1" a="1"/>
  <c r="O4902" i="1" s="1"/>
  <c r="O4903" i="1" a="1"/>
  <c r="O4903" i="1" s="1"/>
  <c r="O4904" i="1" a="1"/>
  <c r="O4904" i="1" s="1"/>
  <c r="O4905" i="1" a="1"/>
  <c r="O4905" i="1" s="1"/>
  <c r="O4906" i="1" a="1"/>
  <c r="O4906" i="1" s="1"/>
  <c r="O4907" i="1" a="1"/>
  <c r="O4907" i="1" s="1"/>
  <c r="O4908" i="1" a="1"/>
  <c r="O4908" i="1" s="1"/>
  <c r="O4909" i="1" a="1"/>
  <c r="O4909" i="1" s="1"/>
  <c r="O4910" i="1" a="1"/>
  <c r="O4910" i="1" s="1"/>
  <c r="O4911" i="1" a="1"/>
  <c r="O4911" i="1" s="1"/>
  <c r="O4912" i="1" a="1"/>
  <c r="O4912" i="1" s="1"/>
  <c r="O4913" i="1" a="1"/>
  <c r="O4913" i="1" s="1"/>
  <c r="O4914" i="1" a="1"/>
  <c r="O4914" i="1" s="1"/>
  <c r="O4915" i="1" a="1"/>
  <c r="O4915" i="1" s="1"/>
  <c r="O4916" i="1" a="1"/>
  <c r="O4916" i="1" s="1"/>
  <c r="O4917" i="1" a="1"/>
  <c r="O4917" i="1" s="1"/>
  <c r="O4918" i="1" a="1"/>
  <c r="O4918" i="1" s="1"/>
  <c r="O4919" i="1" a="1"/>
  <c r="O4919" i="1" s="1"/>
  <c r="O4920" i="1" a="1"/>
  <c r="O4920" i="1" s="1"/>
  <c r="O4921" i="1" a="1"/>
  <c r="O4921" i="1" s="1"/>
  <c r="O4922" i="1" a="1"/>
  <c r="O4922" i="1" s="1"/>
  <c r="O4923" i="1" a="1"/>
  <c r="O4923" i="1" s="1"/>
  <c r="O4924" i="1" a="1"/>
  <c r="O4924" i="1" s="1"/>
  <c r="O4925" i="1" a="1"/>
  <c r="O4925" i="1" s="1"/>
  <c r="O4926" i="1" a="1"/>
  <c r="O4926" i="1" s="1"/>
  <c r="O4927" i="1" a="1"/>
  <c r="O4927" i="1" s="1"/>
  <c r="O4928" i="1" a="1"/>
  <c r="O4928" i="1" s="1"/>
  <c r="O4929" i="1" a="1"/>
  <c r="O4929" i="1" s="1"/>
  <c r="O4930" i="1" a="1"/>
  <c r="O4930" i="1" s="1"/>
  <c r="O4931" i="1" a="1"/>
  <c r="O4931" i="1" s="1"/>
  <c r="O4932" i="1" a="1"/>
  <c r="O4932" i="1" s="1"/>
  <c r="O4933" i="1" a="1"/>
  <c r="O4933" i="1" s="1"/>
  <c r="O4934" i="1" a="1"/>
  <c r="O4934" i="1" s="1"/>
  <c r="O4935" i="1" a="1"/>
  <c r="O4935" i="1" s="1"/>
  <c r="O4936" i="1" a="1"/>
  <c r="O4936" i="1" s="1"/>
  <c r="O4937" i="1" a="1"/>
  <c r="O4937" i="1" s="1"/>
  <c r="O4938" i="1" a="1"/>
  <c r="O4938" i="1" s="1"/>
  <c r="O4939" i="1" a="1"/>
  <c r="O4939" i="1" s="1"/>
  <c r="O4940" i="1" a="1"/>
  <c r="O4940" i="1" s="1"/>
  <c r="O4941" i="1" a="1"/>
  <c r="O4941" i="1" s="1"/>
  <c r="O4942" i="1" a="1"/>
  <c r="O4942" i="1" s="1"/>
  <c r="O4943" i="1" a="1"/>
  <c r="O4943" i="1" s="1"/>
  <c r="O4944" i="1" a="1"/>
  <c r="O4944" i="1" s="1"/>
  <c r="O4945" i="1" a="1"/>
  <c r="O4945" i="1" s="1"/>
  <c r="O4946" i="1" a="1"/>
  <c r="O4946" i="1" s="1"/>
  <c r="O4947" i="1" a="1"/>
  <c r="O4947" i="1" s="1"/>
  <c r="O4948" i="1" a="1"/>
  <c r="O4948" i="1" s="1"/>
  <c r="O4949" i="1" a="1"/>
  <c r="O4949" i="1" s="1"/>
  <c r="O4950" i="1" a="1"/>
  <c r="O4950" i="1" s="1"/>
  <c r="O4951" i="1" a="1"/>
  <c r="O4951" i="1" s="1"/>
  <c r="O4952" i="1" a="1"/>
  <c r="O4952" i="1" s="1"/>
  <c r="O4953" i="1" a="1"/>
  <c r="O4953" i="1" s="1"/>
  <c r="O4954" i="1" a="1"/>
  <c r="O4954" i="1" s="1"/>
  <c r="O4955" i="1" a="1"/>
  <c r="O4955" i="1" s="1"/>
  <c r="O4956" i="1" a="1"/>
  <c r="O4956" i="1" s="1"/>
  <c r="O4957" i="1" a="1"/>
  <c r="O4957" i="1" s="1"/>
  <c r="O4958" i="1" a="1"/>
  <c r="O4958" i="1" s="1"/>
  <c r="O4959" i="1" a="1"/>
  <c r="O4959" i="1" s="1"/>
  <c r="O4960" i="1" a="1"/>
  <c r="O4960" i="1" s="1"/>
  <c r="O4961" i="1" a="1"/>
  <c r="O4961" i="1" s="1"/>
  <c r="O4962" i="1" a="1"/>
  <c r="O4962" i="1" s="1"/>
  <c r="O4963" i="1" a="1"/>
  <c r="O4963" i="1" s="1"/>
  <c r="O4964" i="1" a="1"/>
  <c r="O4964" i="1" s="1"/>
  <c r="O4965" i="1" a="1"/>
  <c r="O4965" i="1" s="1"/>
  <c r="O4966" i="1" a="1"/>
  <c r="O4966" i="1" s="1"/>
  <c r="O4967" i="1" a="1"/>
  <c r="O4967" i="1" s="1"/>
  <c r="O4968" i="1" a="1"/>
  <c r="O4968" i="1" s="1"/>
  <c r="O4969" i="1" a="1"/>
  <c r="O4969" i="1" s="1"/>
  <c r="O4970" i="1" a="1"/>
  <c r="O4970" i="1" s="1"/>
  <c r="O4971" i="1" a="1"/>
  <c r="O4971" i="1" s="1"/>
  <c r="O4972" i="1" a="1"/>
  <c r="O4972" i="1" s="1"/>
  <c r="O4973" i="1" a="1"/>
  <c r="O4973" i="1" s="1"/>
  <c r="O4974" i="1" a="1"/>
  <c r="O4974" i="1" s="1"/>
  <c r="O4975" i="1" a="1"/>
  <c r="O4975" i="1" s="1"/>
  <c r="O4976" i="1" a="1"/>
  <c r="O4976" i="1" s="1"/>
  <c r="O4977" i="1" a="1"/>
  <c r="O4977" i="1" s="1"/>
  <c r="O4978" i="1" a="1"/>
  <c r="O4978" i="1" s="1"/>
  <c r="O4979" i="1" a="1"/>
  <c r="O4979" i="1" s="1"/>
  <c r="O4980" i="1" a="1"/>
  <c r="O4980" i="1" s="1"/>
  <c r="O4981" i="1" a="1"/>
  <c r="O4981" i="1" s="1"/>
  <c r="O4982" i="1" a="1"/>
  <c r="O4982" i="1" s="1"/>
  <c r="O4983" i="1" a="1"/>
  <c r="O4983" i="1" s="1"/>
  <c r="O4984" i="1" a="1"/>
  <c r="O4984" i="1" s="1"/>
  <c r="O4985" i="1" a="1"/>
  <c r="O4985" i="1" s="1"/>
  <c r="O4986" i="1" a="1"/>
  <c r="O4986" i="1" s="1"/>
  <c r="O4987" i="1" a="1"/>
  <c r="O4987" i="1" s="1"/>
  <c r="O4988" i="1" a="1"/>
  <c r="O4988" i="1" s="1"/>
  <c r="O4989" i="1" a="1"/>
  <c r="O4989" i="1" s="1"/>
  <c r="O4990" i="1" a="1"/>
  <c r="O4990" i="1" s="1"/>
  <c r="O4991" i="1" a="1"/>
  <c r="O4991" i="1" s="1"/>
  <c r="O4992" i="1" a="1"/>
  <c r="O4992" i="1" s="1"/>
  <c r="O4993" i="1" a="1"/>
  <c r="O4993" i="1" s="1"/>
  <c r="O4994" i="1" a="1"/>
  <c r="O4994" i="1" s="1"/>
  <c r="O4995" i="1" a="1"/>
  <c r="O4995" i="1" s="1"/>
  <c r="O4996" i="1" a="1"/>
  <c r="O4996" i="1" s="1"/>
  <c r="O4997" i="1" a="1"/>
  <c r="O4997" i="1" s="1"/>
  <c r="O4998" i="1" a="1"/>
  <c r="O4998" i="1" s="1"/>
  <c r="O4999" i="1" a="1"/>
  <c r="O4999" i="1" s="1"/>
  <c r="O5000" i="1" a="1"/>
  <c r="O5000" i="1" s="1"/>
  <c r="O5001" i="1" a="1"/>
  <c r="O5001" i="1" s="1"/>
  <c r="O5002" i="1" a="1"/>
  <c r="O5002" i="1" s="1"/>
  <c r="O5003" i="1" a="1"/>
  <c r="O5003" i="1" s="1"/>
  <c r="O5004" i="1" a="1"/>
  <c r="O5004" i="1" s="1"/>
  <c r="O5005" i="1" a="1"/>
  <c r="O5005" i="1" s="1"/>
  <c r="O5006" i="1" a="1"/>
  <c r="O5006" i="1" s="1"/>
  <c r="O5007" i="1" a="1"/>
  <c r="O5007" i="1" s="1"/>
  <c r="O5008" i="1" a="1"/>
  <c r="O5008" i="1" s="1"/>
  <c r="O5009" i="1" a="1"/>
  <c r="O5009" i="1" s="1"/>
  <c r="O5010" i="1" a="1"/>
  <c r="O5010" i="1" s="1"/>
  <c r="O5011" i="1" a="1"/>
  <c r="O5011" i="1" s="1"/>
  <c r="O5012" i="1" a="1"/>
  <c r="O5012" i="1" s="1"/>
  <c r="O5013" i="1" a="1"/>
  <c r="O5013" i="1" s="1"/>
  <c r="O5014" i="1" a="1"/>
  <c r="O5014" i="1" s="1"/>
  <c r="O5015" i="1" a="1"/>
  <c r="O5015" i="1" s="1"/>
  <c r="O5016" i="1" a="1"/>
  <c r="O5016" i="1" s="1"/>
  <c r="O5017" i="1" a="1"/>
  <c r="O5017" i="1" s="1"/>
  <c r="O5018" i="1" a="1"/>
  <c r="O5018" i="1" s="1"/>
  <c r="O5019" i="1" a="1"/>
  <c r="O5019" i="1" s="1"/>
  <c r="O5020" i="1" a="1"/>
  <c r="O5020" i="1" s="1"/>
  <c r="O5021" i="1" a="1"/>
  <c r="O5021" i="1" s="1"/>
  <c r="O5022" i="1" a="1"/>
  <c r="O5022" i="1" s="1"/>
  <c r="O5023" i="1" a="1"/>
  <c r="O5023" i="1" s="1"/>
  <c r="O5024" i="1" a="1"/>
  <c r="O5024" i="1" s="1"/>
  <c r="O5025" i="1" a="1"/>
  <c r="O5025" i="1" s="1"/>
  <c r="O5026" i="1" a="1"/>
  <c r="O5026" i="1" s="1"/>
  <c r="O5027" i="1" a="1"/>
  <c r="O5027" i="1" s="1"/>
  <c r="O5028" i="1" a="1"/>
  <c r="O5028" i="1" s="1"/>
  <c r="O5029" i="1" a="1"/>
  <c r="O5029" i="1" s="1"/>
  <c r="O5030" i="1" a="1"/>
  <c r="O5030" i="1" s="1"/>
  <c r="O5031" i="1" a="1"/>
  <c r="O5031" i="1" s="1"/>
  <c r="O5032" i="1" a="1"/>
  <c r="O5032" i="1" s="1"/>
  <c r="O5033" i="1" a="1"/>
  <c r="O5033" i="1" s="1"/>
  <c r="O5034" i="1" a="1"/>
  <c r="O5034" i="1" s="1"/>
  <c r="O5035" i="1" a="1"/>
  <c r="O5035" i="1" s="1"/>
  <c r="O5036" i="1" a="1"/>
  <c r="O5036" i="1" s="1"/>
  <c r="O5037" i="1" a="1"/>
  <c r="O5037" i="1" s="1"/>
  <c r="O5038" i="1" a="1"/>
  <c r="O5038" i="1" s="1"/>
  <c r="O5039" i="1" a="1"/>
  <c r="O5039" i="1" s="1"/>
  <c r="O5040" i="1" a="1"/>
  <c r="O5040" i="1" s="1"/>
  <c r="O5041" i="1" a="1"/>
  <c r="O5041" i="1" s="1"/>
  <c r="O5042" i="1" a="1"/>
  <c r="O5042" i="1" s="1"/>
  <c r="O5043" i="1" a="1"/>
  <c r="O5043" i="1" s="1"/>
  <c r="O5044" i="1" a="1"/>
  <c r="O5044" i="1" s="1"/>
  <c r="O5045" i="1" a="1"/>
  <c r="O5045" i="1" s="1"/>
  <c r="O5046" i="1" a="1"/>
  <c r="O5046" i="1" s="1"/>
  <c r="O5047" i="1" a="1"/>
  <c r="O5047" i="1" s="1"/>
  <c r="O5048" i="1" a="1"/>
  <c r="O5048" i="1" s="1"/>
  <c r="O5049" i="1" a="1"/>
  <c r="O5049" i="1" s="1"/>
  <c r="O5050" i="1" a="1"/>
  <c r="O5050" i="1" s="1"/>
  <c r="O5051" i="1" a="1"/>
  <c r="O5051" i="1" s="1"/>
  <c r="O5052" i="1" a="1"/>
  <c r="O5052" i="1" s="1"/>
  <c r="O5053" i="1" a="1"/>
  <c r="O5053" i="1" s="1"/>
  <c r="O5054" i="1" a="1"/>
  <c r="O5054" i="1" s="1"/>
  <c r="O5055" i="1" a="1"/>
  <c r="O5055" i="1" s="1"/>
  <c r="O5056" i="1" a="1"/>
  <c r="O5056" i="1" s="1"/>
  <c r="O5057" i="1" a="1"/>
  <c r="O5057" i="1" s="1"/>
  <c r="O5058" i="1" a="1"/>
  <c r="O5058" i="1" s="1"/>
  <c r="O5059" i="1" a="1"/>
  <c r="O5059" i="1" s="1"/>
  <c r="O5060" i="1" a="1"/>
  <c r="O5060" i="1" s="1"/>
  <c r="O5061" i="1" a="1"/>
  <c r="O5061" i="1" s="1"/>
  <c r="O5062" i="1" a="1"/>
  <c r="O5062" i="1" s="1"/>
  <c r="O5063" i="1" a="1"/>
  <c r="O5063" i="1" s="1"/>
  <c r="O5064" i="1" a="1"/>
  <c r="O5064" i="1" s="1"/>
  <c r="O5065" i="1" a="1"/>
  <c r="O5065" i="1" s="1"/>
  <c r="O5066" i="1" a="1"/>
  <c r="O5066" i="1" s="1"/>
  <c r="O5067" i="1" a="1"/>
  <c r="O5067" i="1" s="1"/>
  <c r="O5068" i="1" a="1"/>
  <c r="O5068" i="1" s="1"/>
  <c r="O5069" i="1" a="1"/>
  <c r="O5069" i="1" s="1"/>
  <c r="O5070" i="1" a="1"/>
  <c r="O5070" i="1" s="1"/>
  <c r="O5071" i="1" a="1"/>
  <c r="O5071" i="1" s="1"/>
  <c r="O5072" i="1" a="1"/>
  <c r="O5072" i="1" s="1"/>
  <c r="O5073" i="1" a="1"/>
  <c r="O5073" i="1" s="1"/>
  <c r="O5074" i="1" a="1"/>
  <c r="O5074" i="1" s="1"/>
  <c r="O5075" i="1" a="1"/>
  <c r="O5075" i="1" s="1"/>
  <c r="O5076" i="1" a="1"/>
  <c r="O5076" i="1" s="1"/>
  <c r="O5077" i="1" a="1"/>
  <c r="O5077" i="1" s="1"/>
  <c r="O5078" i="1" a="1"/>
  <c r="O5078" i="1" s="1"/>
  <c r="O5079" i="1" a="1"/>
  <c r="O5079" i="1" s="1"/>
  <c r="O5080" i="1" a="1"/>
  <c r="O5080" i="1" s="1"/>
  <c r="O5081" i="1" a="1"/>
  <c r="O5081" i="1" s="1"/>
  <c r="O5082" i="1" a="1"/>
  <c r="O5082" i="1" s="1"/>
  <c r="O5083" i="1" a="1"/>
  <c r="O5083" i="1" s="1"/>
  <c r="O5084" i="1" a="1"/>
  <c r="O5084" i="1" s="1"/>
  <c r="O5085" i="1" a="1"/>
  <c r="O5085" i="1" s="1"/>
  <c r="O5086" i="1" a="1"/>
  <c r="O5086" i="1" s="1"/>
  <c r="O5087" i="1" a="1"/>
  <c r="O5087" i="1" s="1"/>
  <c r="O5088" i="1" a="1"/>
  <c r="O5088" i="1" s="1"/>
  <c r="O5089" i="1" a="1"/>
  <c r="O5089" i="1" s="1"/>
  <c r="O5090" i="1" a="1"/>
  <c r="O5090" i="1" s="1"/>
  <c r="O5091" i="1" a="1"/>
  <c r="O5091" i="1" s="1"/>
  <c r="O5092" i="1" a="1"/>
  <c r="O5092" i="1" s="1"/>
  <c r="O5093" i="1" a="1"/>
  <c r="O5093" i="1" s="1"/>
  <c r="O5094" i="1" a="1"/>
  <c r="O5094" i="1" s="1"/>
  <c r="O5095" i="1" a="1"/>
  <c r="O5095" i="1" s="1"/>
  <c r="O5096" i="1" a="1"/>
  <c r="O5096" i="1" s="1"/>
  <c r="O5097" i="1" a="1"/>
  <c r="O5097" i="1" s="1"/>
  <c r="O5098" i="1" a="1"/>
  <c r="O5098" i="1" s="1"/>
  <c r="O5099" i="1" a="1"/>
  <c r="O5099" i="1" s="1"/>
  <c r="O5100" i="1" a="1"/>
  <c r="O5100" i="1" s="1"/>
  <c r="O5101" i="1" a="1"/>
  <c r="O5101" i="1" s="1"/>
  <c r="O5102" i="1" a="1"/>
  <c r="O5102" i="1" s="1"/>
  <c r="O5103" i="1" a="1"/>
  <c r="O5103" i="1" s="1"/>
  <c r="O5104" i="1" a="1"/>
  <c r="O5104" i="1" s="1"/>
  <c r="O5105" i="1" a="1"/>
  <c r="O5105" i="1" s="1"/>
  <c r="O5106" i="1" a="1"/>
  <c r="O5106" i="1" s="1"/>
  <c r="O5107" i="1" a="1"/>
  <c r="O5107" i="1" s="1"/>
  <c r="O5108" i="1" a="1"/>
  <c r="O5108" i="1" s="1"/>
  <c r="O5109" i="1" a="1"/>
  <c r="O5109" i="1" s="1"/>
  <c r="O5110" i="1" a="1"/>
  <c r="O5110" i="1" s="1"/>
  <c r="O5111" i="1" a="1"/>
  <c r="O5111" i="1" s="1"/>
  <c r="O5112" i="1" a="1"/>
  <c r="O5112" i="1" s="1"/>
  <c r="O5113" i="1" a="1"/>
  <c r="O5113" i="1" s="1"/>
  <c r="O5114" i="1" a="1"/>
  <c r="O5114" i="1" s="1"/>
  <c r="O5115" i="1" a="1"/>
  <c r="O5115" i="1" s="1"/>
  <c r="O5116" i="1" a="1"/>
  <c r="O5116" i="1" s="1"/>
  <c r="O5117" i="1" a="1"/>
  <c r="O5117" i="1" s="1"/>
  <c r="O5118" i="1" a="1"/>
  <c r="O5118" i="1" s="1"/>
  <c r="O5119" i="1" a="1"/>
  <c r="O5119" i="1" s="1"/>
  <c r="O5120" i="1" a="1"/>
  <c r="O5120" i="1" s="1"/>
  <c r="O5121" i="1" a="1"/>
  <c r="O5121" i="1" s="1"/>
  <c r="O5122" i="1" a="1"/>
  <c r="O5122" i="1" s="1"/>
  <c r="O5123" i="1" a="1"/>
  <c r="O5123" i="1" s="1"/>
  <c r="O5124" i="1" a="1"/>
  <c r="O5124" i="1" s="1"/>
  <c r="O5125" i="1" a="1"/>
  <c r="O5125" i="1" s="1"/>
  <c r="O5126" i="1" a="1"/>
  <c r="O5126" i="1" s="1"/>
  <c r="O5127" i="1" a="1"/>
  <c r="O5127" i="1" s="1"/>
  <c r="O5128" i="1" a="1"/>
  <c r="O5128" i="1" s="1"/>
  <c r="O5129" i="1" a="1"/>
  <c r="O5129" i="1" s="1"/>
  <c r="O5130" i="1" a="1"/>
  <c r="O5130" i="1" s="1"/>
  <c r="O5131" i="1" a="1"/>
  <c r="O5131" i="1" s="1"/>
  <c r="O5132" i="1" a="1"/>
  <c r="O5132" i="1" s="1"/>
  <c r="O5133" i="1" a="1"/>
  <c r="O5133" i="1" s="1"/>
  <c r="O5134" i="1" a="1"/>
  <c r="O5134" i="1" s="1"/>
  <c r="O5135" i="1" a="1"/>
  <c r="O5135" i="1" s="1"/>
  <c r="O5136" i="1" a="1"/>
  <c r="O5136" i="1" s="1"/>
  <c r="O5137" i="1" a="1"/>
  <c r="O5137" i="1" s="1"/>
  <c r="O5138" i="1" a="1"/>
  <c r="O5138" i="1" s="1"/>
  <c r="O5139" i="1" a="1"/>
  <c r="O5139" i="1" s="1"/>
  <c r="O5140" i="1" a="1"/>
  <c r="O5140" i="1" s="1"/>
  <c r="O5141" i="1" a="1"/>
  <c r="O5141" i="1" s="1"/>
  <c r="O5142" i="1" a="1"/>
  <c r="O5142" i="1" s="1"/>
  <c r="O5143" i="1" a="1"/>
  <c r="O5143" i="1" s="1"/>
  <c r="O5144" i="1" a="1"/>
  <c r="O5144" i="1" s="1"/>
  <c r="O5145" i="1" a="1"/>
  <c r="O5145" i="1" s="1"/>
  <c r="O5146" i="1" a="1"/>
  <c r="O5146" i="1" s="1"/>
  <c r="O5147" i="1" a="1"/>
  <c r="O5147" i="1" s="1"/>
  <c r="O5148" i="1" a="1"/>
  <c r="O5148" i="1" s="1"/>
  <c r="O5149" i="1" a="1"/>
  <c r="O5149" i="1" s="1"/>
  <c r="O5150" i="1" a="1"/>
  <c r="O5150" i="1" s="1"/>
  <c r="O5151" i="1" a="1"/>
  <c r="O5151" i="1" s="1"/>
  <c r="O5152" i="1" a="1"/>
  <c r="O5152" i="1" s="1"/>
  <c r="O5153" i="1" a="1"/>
  <c r="O5153" i="1" s="1"/>
  <c r="O5154" i="1" a="1"/>
  <c r="O5154" i="1" s="1"/>
  <c r="O5155" i="1" a="1"/>
  <c r="O5155" i="1" s="1"/>
  <c r="O5156" i="1" a="1"/>
  <c r="O5156" i="1" s="1"/>
  <c r="O5157" i="1" a="1"/>
  <c r="O5157" i="1" s="1"/>
  <c r="O5158" i="1" a="1"/>
  <c r="O5158" i="1" s="1"/>
  <c r="O5159" i="1" a="1"/>
  <c r="O5159" i="1" s="1"/>
  <c r="O5160" i="1" a="1"/>
  <c r="O5160" i="1" s="1"/>
  <c r="O5161" i="1" a="1"/>
  <c r="O5161" i="1" s="1"/>
  <c r="O5162" i="1" a="1"/>
  <c r="O5162" i="1" s="1"/>
  <c r="O5163" i="1" a="1"/>
  <c r="O5163" i="1" s="1"/>
  <c r="O5164" i="1" a="1"/>
  <c r="O5164" i="1" s="1"/>
  <c r="O5165" i="1" a="1"/>
  <c r="O5165" i="1" s="1"/>
  <c r="O5166" i="1" a="1"/>
  <c r="O5166" i="1" s="1"/>
  <c r="O5167" i="1" a="1"/>
  <c r="O5167" i="1" s="1"/>
  <c r="O5168" i="1" a="1"/>
  <c r="O5168" i="1" s="1"/>
  <c r="O5169" i="1" a="1"/>
  <c r="O5169" i="1" s="1"/>
  <c r="O5170" i="1" a="1"/>
  <c r="O5170" i="1" s="1"/>
  <c r="O5171" i="1" a="1"/>
  <c r="O5171" i="1" s="1"/>
  <c r="O5172" i="1" a="1"/>
  <c r="O5172" i="1" s="1"/>
  <c r="O5173" i="1" a="1"/>
  <c r="O5173" i="1" s="1"/>
  <c r="O5174" i="1" a="1"/>
  <c r="O5174" i="1" s="1"/>
  <c r="O5175" i="1" a="1"/>
  <c r="O5175" i="1" s="1"/>
  <c r="O5176" i="1" a="1"/>
  <c r="O5176" i="1" s="1"/>
  <c r="O5177" i="1" a="1"/>
  <c r="O5177" i="1" s="1"/>
  <c r="O5178" i="1" a="1"/>
  <c r="O5178" i="1" s="1"/>
  <c r="O5179" i="1" a="1"/>
  <c r="O5179" i="1" s="1"/>
  <c r="O5180" i="1" a="1"/>
  <c r="O5180" i="1" s="1"/>
  <c r="O5181" i="1" a="1"/>
  <c r="O5181" i="1" s="1"/>
  <c r="O5182" i="1" a="1"/>
  <c r="O5182" i="1" s="1"/>
  <c r="O5183" i="1" a="1"/>
  <c r="O5183" i="1" s="1"/>
  <c r="O5184" i="1" a="1"/>
  <c r="O5184" i="1" s="1"/>
  <c r="O5185" i="1" a="1"/>
  <c r="O5185" i="1" s="1"/>
  <c r="O5186" i="1" a="1"/>
  <c r="O5186" i="1" s="1"/>
  <c r="O5187" i="1" a="1"/>
  <c r="O5187" i="1" s="1"/>
  <c r="O5188" i="1" a="1"/>
  <c r="O5188" i="1" s="1"/>
  <c r="O5189" i="1" a="1"/>
  <c r="O5189" i="1" s="1"/>
  <c r="O5190" i="1" a="1"/>
  <c r="O5190" i="1" s="1"/>
  <c r="O5191" i="1" a="1"/>
  <c r="O5191" i="1" s="1"/>
  <c r="O5192" i="1" a="1"/>
  <c r="O5192" i="1" s="1"/>
  <c r="O5193" i="1" a="1"/>
  <c r="O5193" i="1" s="1"/>
  <c r="O5194" i="1" a="1"/>
  <c r="O5194" i="1" s="1"/>
  <c r="O5195" i="1" a="1"/>
  <c r="O5195" i="1" s="1"/>
  <c r="O5196" i="1" a="1"/>
  <c r="O5196" i="1" s="1"/>
  <c r="O5197" i="1" a="1"/>
  <c r="O5197" i="1" s="1"/>
  <c r="O5198" i="1" a="1"/>
  <c r="O5198" i="1" s="1"/>
  <c r="O5199" i="1" a="1"/>
  <c r="O5199" i="1" s="1"/>
  <c r="O5200" i="1" a="1"/>
  <c r="O5200" i="1" s="1"/>
  <c r="O5201" i="1" a="1"/>
  <c r="O5201" i="1" s="1"/>
  <c r="O5202" i="1" a="1"/>
  <c r="O5202" i="1" s="1"/>
  <c r="O5203" i="1" a="1"/>
  <c r="O5203" i="1" s="1"/>
  <c r="O5204" i="1" a="1"/>
  <c r="O5204" i="1" s="1"/>
  <c r="O5205" i="1" a="1"/>
  <c r="O5205" i="1" s="1"/>
  <c r="O5206" i="1" a="1"/>
  <c r="O5206" i="1" s="1"/>
  <c r="O5207" i="1" a="1"/>
  <c r="O5207" i="1" s="1"/>
  <c r="O5208" i="1" a="1"/>
  <c r="O5208" i="1" s="1"/>
  <c r="O5209" i="1" a="1"/>
  <c r="O5209" i="1" s="1"/>
  <c r="O5210" i="1" a="1"/>
  <c r="O5210" i="1" s="1"/>
  <c r="O5211" i="1" a="1"/>
  <c r="O5211" i="1" s="1"/>
  <c r="O5212" i="1" a="1"/>
  <c r="O5212" i="1" s="1"/>
  <c r="O5213" i="1" a="1"/>
  <c r="O5213" i="1" s="1"/>
  <c r="O5214" i="1" a="1"/>
  <c r="O5214" i="1" s="1"/>
  <c r="O5215" i="1" a="1"/>
  <c r="O5215" i="1" s="1"/>
  <c r="O5216" i="1" a="1"/>
  <c r="O5216" i="1" s="1"/>
  <c r="O5217" i="1" a="1"/>
  <c r="O5217" i="1" s="1"/>
  <c r="O5218" i="1" a="1"/>
  <c r="O5218" i="1" s="1"/>
  <c r="O5219" i="1" a="1"/>
  <c r="O5219" i="1" s="1"/>
  <c r="O5220" i="1" a="1"/>
  <c r="O5220" i="1" s="1"/>
  <c r="O5221" i="1" a="1"/>
  <c r="O5221" i="1" s="1"/>
  <c r="O5222" i="1" a="1"/>
  <c r="O5222" i="1" s="1"/>
  <c r="O5223" i="1" a="1"/>
  <c r="O5223" i="1" s="1"/>
  <c r="O5224" i="1" a="1"/>
  <c r="O5224" i="1" s="1"/>
  <c r="O5225" i="1" a="1"/>
  <c r="O5225" i="1" s="1"/>
  <c r="O5226" i="1" a="1"/>
  <c r="O5226" i="1" s="1"/>
  <c r="O5227" i="1" a="1"/>
  <c r="O5227" i="1" s="1"/>
  <c r="O5228" i="1" a="1"/>
  <c r="O5228" i="1" s="1"/>
  <c r="O5229" i="1" a="1"/>
  <c r="O5229" i="1" s="1"/>
  <c r="O5230" i="1" a="1"/>
  <c r="O5230" i="1" s="1"/>
  <c r="O5231" i="1" a="1"/>
  <c r="O5231" i="1" s="1"/>
  <c r="O5232" i="1" a="1"/>
  <c r="O5232" i="1" s="1"/>
  <c r="O5233" i="1" a="1"/>
  <c r="O5233" i="1" s="1"/>
  <c r="O5234" i="1" a="1"/>
  <c r="O5234" i="1" s="1"/>
  <c r="O5235" i="1" a="1"/>
  <c r="O5235" i="1" s="1"/>
  <c r="O5236" i="1" a="1"/>
  <c r="O5236" i="1" s="1"/>
  <c r="O5237" i="1" a="1"/>
  <c r="O5237" i="1" s="1"/>
  <c r="O5238" i="1" a="1"/>
  <c r="O5238" i="1" s="1"/>
  <c r="O5239" i="1" a="1"/>
  <c r="O5239" i="1" s="1"/>
  <c r="O5240" i="1" a="1"/>
  <c r="O5240" i="1" s="1"/>
  <c r="O5241" i="1" a="1"/>
  <c r="O5241" i="1" s="1"/>
  <c r="O5242" i="1" a="1"/>
  <c r="O5242" i="1" s="1"/>
  <c r="O5243" i="1" a="1"/>
  <c r="O5243" i="1" s="1"/>
  <c r="O5244" i="1" a="1"/>
  <c r="O5244" i="1" s="1"/>
  <c r="O5245" i="1" a="1"/>
  <c r="O5245" i="1" s="1"/>
  <c r="O5246" i="1" a="1"/>
  <c r="O5246" i="1" s="1"/>
  <c r="O5247" i="1" a="1"/>
  <c r="O5247" i="1" s="1"/>
  <c r="O5248" i="1" a="1"/>
  <c r="O5248" i="1" s="1"/>
  <c r="O5249" i="1" a="1"/>
  <c r="O5249" i="1" s="1"/>
  <c r="O5250" i="1" a="1"/>
  <c r="O5250" i="1" s="1"/>
  <c r="O5251" i="1" a="1"/>
  <c r="O5251" i="1" s="1"/>
  <c r="O5252" i="1" a="1"/>
  <c r="O5252" i="1" s="1"/>
  <c r="O5253" i="1" a="1"/>
  <c r="O5253" i="1" s="1"/>
  <c r="O5254" i="1" a="1"/>
  <c r="O5254" i="1" s="1"/>
  <c r="O5255" i="1" a="1"/>
  <c r="O5255" i="1" s="1"/>
  <c r="O5256" i="1" a="1"/>
  <c r="O5256" i="1" s="1"/>
  <c r="O5257" i="1" a="1"/>
  <c r="O5257" i="1" s="1"/>
  <c r="O5258" i="1" a="1"/>
  <c r="O5258" i="1" s="1"/>
  <c r="O5259" i="1" a="1"/>
  <c r="O5259" i="1" s="1"/>
  <c r="O5260" i="1" a="1"/>
  <c r="O5260" i="1" s="1"/>
  <c r="O5261" i="1" a="1"/>
  <c r="O5261" i="1" s="1"/>
  <c r="O5262" i="1" a="1"/>
  <c r="O5262" i="1" s="1"/>
  <c r="O5263" i="1" a="1"/>
  <c r="O5263" i="1" s="1"/>
  <c r="O5264" i="1" a="1"/>
  <c r="O5264" i="1" s="1"/>
  <c r="O5265" i="1" a="1"/>
  <c r="O5265" i="1" s="1"/>
  <c r="O5266" i="1" a="1"/>
  <c r="O5266" i="1" s="1"/>
  <c r="O5267" i="1" a="1"/>
  <c r="O5267" i="1" s="1"/>
  <c r="O5268" i="1" a="1"/>
  <c r="O5268" i="1" s="1"/>
  <c r="O5269" i="1" a="1"/>
  <c r="O5269" i="1" s="1"/>
  <c r="O5270" i="1" a="1"/>
  <c r="O5270" i="1" s="1"/>
  <c r="O5271" i="1" a="1"/>
  <c r="O5271" i="1" s="1"/>
  <c r="O5272" i="1" a="1"/>
  <c r="O5272" i="1" s="1"/>
  <c r="O5273" i="1" a="1"/>
  <c r="O5273" i="1" s="1"/>
  <c r="O5274" i="1" a="1"/>
  <c r="O5274" i="1" s="1"/>
  <c r="O5275" i="1" a="1"/>
  <c r="O5275" i="1" s="1"/>
  <c r="O5276" i="1" a="1"/>
  <c r="O5276" i="1" s="1"/>
  <c r="O5277" i="1" a="1"/>
  <c r="O5277" i="1" s="1"/>
  <c r="O5278" i="1" a="1"/>
  <c r="O5278" i="1" s="1"/>
  <c r="O5279" i="1" a="1"/>
  <c r="O5279" i="1" s="1"/>
  <c r="O5280" i="1" a="1"/>
  <c r="O5280" i="1" s="1"/>
  <c r="O5281" i="1" a="1"/>
  <c r="O5281" i="1" s="1"/>
  <c r="O5282" i="1" a="1"/>
  <c r="O5282" i="1" s="1"/>
  <c r="O5283" i="1" a="1"/>
  <c r="O5283" i="1" s="1"/>
  <c r="O5284" i="1" a="1"/>
  <c r="O5284" i="1" s="1"/>
  <c r="O5285" i="1" a="1"/>
  <c r="O5285" i="1" s="1"/>
  <c r="O5286" i="1" a="1"/>
  <c r="O5286" i="1" s="1"/>
  <c r="O5287" i="1" a="1"/>
  <c r="O5287" i="1" s="1"/>
  <c r="O5288" i="1" a="1"/>
  <c r="O5288" i="1" s="1"/>
  <c r="O5289" i="1" a="1"/>
  <c r="O5289" i="1" s="1"/>
  <c r="O5290" i="1" a="1"/>
  <c r="O5290" i="1" s="1"/>
  <c r="O5291" i="1" a="1"/>
  <c r="O5291" i="1" s="1"/>
  <c r="O5292" i="1" a="1"/>
  <c r="O5292" i="1" s="1"/>
  <c r="O5293" i="1" a="1"/>
  <c r="O5293" i="1" s="1"/>
  <c r="O5294" i="1" a="1"/>
  <c r="O5294" i="1" s="1"/>
  <c r="O5295" i="1" a="1"/>
  <c r="O5295" i="1" s="1"/>
  <c r="O5296" i="1" a="1"/>
  <c r="O5296" i="1" s="1"/>
  <c r="O5297" i="1" a="1"/>
  <c r="O5297" i="1" s="1"/>
  <c r="O5298" i="1" a="1"/>
  <c r="O5298" i="1" s="1"/>
  <c r="O5299" i="1" a="1"/>
  <c r="O5299" i="1" s="1"/>
  <c r="O5300" i="1" a="1"/>
  <c r="O5300" i="1" s="1"/>
  <c r="O5301" i="1" a="1"/>
  <c r="O5301" i="1" s="1"/>
  <c r="O5302" i="1" a="1"/>
  <c r="O5302" i="1" s="1"/>
  <c r="O5303" i="1" a="1"/>
  <c r="O5303" i="1" s="1"/>
  <c r="O5304" i="1" a="1"/>
  <c r="O5304" i="1" s="1"/>
  <c r="O5305" i="1" a="1"/>
  <c r="O5305" i="1" s="1"/>
  <c r="O5306" i="1" a="1"/>
  <c r="O5306" i="1" s="1"/>
  <c r="O5307" i="1" a="1"/>
  <c r="O5307" i="1" s="1"/>
  <c r="O5308" i="1" a="1"/>
  <c r="O5308" i="1" s="1"/>
  <c r="O5309" i="1" a="1"/>
  <c r="O5309" i="1" s="1"/>
  <c r="O5310" i="1" a="1"/>
  <c r="O5310" i="1" s="1"/>
  <c r="O5311" i="1" a="1"/>
  <c r="O5311" i="1" s="1"/>
  <c r="O5312" i="1" a="1"/>
  <c r="O5312" i="1" s="1"/>
  <c r="O5313" i="1" a="1"/>
  <c r="O5313" i="1" s="1"/>
  <c r="O5314" i="1" a="1"/>
  <c r="O5314" i="1" s="1"/>
  <c r="O5315" i="1" a="1"/>
  <c r="O5315" i="1" s="1"/>
  <c r="O5316" i="1" a="1"/>
  <c r="O5316" i="1" s="1"/>
  <c r="O5317" i="1" a="1"/>
  <c r="O5317" i="1" s="1"/>
  <c r="O5318" i="1" a="1"/>
  <c r="O5318" i="1" s="1"/>
  <c r="O5319" i="1" a="1"/>
  <c r="O5319" i="1" s="1"/>
  <c r="O5320" i="1" a="1"/>
  <c r="O5320" i="1" s="1"/>
  <c r="O5321" i="1" a="1"/>
  <c r="O5321" i="1" s="1"/>
  <c r="O5322" i="1" a="1"/>
  <c r="O5322" i="1" s="1"/>
  <c r="O5323" i="1" a="1"/>
  <c r="O5323" i="1" s="1"/>
  <c r="O5324" i="1" a="1"/>
  <c r="O5324" i="1" s="1"/>
  <c r="O5325" i="1" a="1"/>
  <c r="O5325" i="1" s="1"/>
  <c r="O5326" i="1" a="1"/>
  <c r="O5326" i="1" s="1"/>
  <c r="O5327" i="1" a="1"/>
  <c r="O5327" i="1" s="1"/>
  <c r="O5328" i="1" a="1"/>
  <c r="O5328" i="1" s="1"/>
  <c r="O5329" i="1" a="1"/>
  <c r="O5329" i="1" s="1"/>
  <c r="O5330" i="1" a="1"/>
  <c r="O5330" i="1" s="1"/>
  <c r="O5331" i="1" a="1"/>
  <c r="O5331" i="1" s="1"/>
  <c r="O5332" i="1" a="1"/>
  <c r="O5332" i="1" s="1"/>
  <c r="O5333" i="1" a="1"/>
  <c r="O5333" i="1" s="1"/>
  <c r="O5334" i="1" a="1"/>
  <c r="O5334" i="1" s="1"/>
  <c r="O5335" i="1" a="1"/>
  <c r="O5335" i="1" s="1"/>
  <c r="O5336" i="1" a="1"/>
  <c r="O5336" i="1" s="1"/>
  <c r="O5337" i="1" a="1"/>
  <c r="O5337" i="1" s="1"/>
  <c r="O5338" i="1" a="1"/>
  <c r="O5338" i="1" s="1"/>
  <c r="O5339" i="1" a="1"/>
  <c r="O5339" i="1" s="1"/>
  <c r="O5340" i="1" a="1"/>
  <c r="O5340" i="1" s="1"/>
  <c r="O5341" i="1" a="1"/>
  <c r="O5341" i="1" s="1"/>
  <c r="O5342" i="1" a="1"/>
  <c r="O5342" i="1" s="1"/>
  <c r="O5343" i="1" a="1"/>
  <c r="O5343" i="1" s="1"/>
  <c r="O5344" i="1" a="1"/>
  <c r="O5344" i="1" s="1"/>
  <c r="O5345" i="1" a="1"/>
  <c r="O5345" i="1" s="1"/>
  <c r="O5346" i="1" a="1"/>
  <c r="O5346" i="1" s="1"/>
  <c r="O5347" i="1" a="1"/>
  <c r="O5347" i="1" s="1"/>
  <c r="O5348" i="1" a="1"/>
  <c r="O5348" i="1" s="1"/>
  <c r="O5349" i="1" a="1"/>
  <c r="O5349" i="1" s="1"/>
  <c r="O5350" i="1" a="1"/>
  <c r="O5350" i="1" s="1"/>
  <c r="O5351" i="1" a="1"/>
  <c r="O5351" i="1" s="1"/>
  <c r="O5352" i="1" a="1"/>
  <c r="O5352" i="1" s="1"/>
  <c r="O5353" i="1" a="1"/>
  <c r="O5353" i="1" s="1"/>
  <c r="O5354" i="1" a="1"/>
  <c r="O5354" i="1" s="1"/>
  <c r="O5355" i="1" a="1"/>
  <c r="O5355" i="1" s="1"/>
  <c r="O5356" i="1" a="1"/>
  <c r="O5356" i="1" s="1"/>
  <c r="O5357" i="1" a="1"/>
  <c r="O5357" i="1" s="1"/>
  <c r="O5358" i="1" a="1"/>
  <c r="O5358" i="1" s="1"/>
  <c r="O5359" i="1" a="1"/>
  <c r="O5359" i="1" s="1"/>
  <c r="O5360" i="1" a="1"/>
  <c r="O5360" i="1" s="1"/>
  <c r="O5361" i="1" a="1"/>
  <c r="O5361" i="1" s="1"/>
  <c r="O5362" i="1" a="1"/>
  <c r="O5362" i="1" s="1"/>
  <c r="O5363" i="1" a="1"/>
  <c r="O5363" i="1" s="1"/>
  <c r="O5364" i="1" a="1"/>
  <c r="O5364" i="1" s="1"/>
  <c r="O5365" i="1" a="1"/>
  <c r="O5365" i="1" s="1"/>
  <c r="O5366" i="1" a="1"/>
  <c r="O5366" i="1" s="1"/>
  <c r="O5367" i="1" a="1"/>
  <c r="O5367" i="1" s="1"/>
  <c r="O5368" i="1" a="1"/>
  <c r="O5368" i="1" s="1"/>
  <c r="O5369" i="1" a="1"/>
  <c r="O5369" i="1" s="1"/>
  <c r="O5370" i="1" a="1"/>
  <c r="O5370" i="1" s="1"/>
  <c r="O5371" i="1" a="1"/>
  <c r="O5371" i="1" s="1"/>
  <c r="O5372" i="1" a="1"/>
  <c r="O5372" i="1" s="1"/>
  <c r="O5373" i="1" a="1"/>
  <c r="O5373" i="1" s="1"/>
  <c r="O5374" i="1" a="1"/>
  <c r="O5374" i="1" s="1"/>
  <c r="O5375" i="1" a="1"/>
  <c r="O5375" i="1" s="1"/>
  <c r="O5376" i="1" a="1"/>
  <c r="O5376" i="1" s="1"/>
  <c r="O5377" i="1" a="1"/>
  <c r="O5377" i="1" s="1"/>
  <c r="O5378" i="1" a="1"/>
  <c r="O5378" i="1" s="1"/>
  <c r="O5379" i="1" a="1"/>
  <c r="O5379" i="1" s="1"/>
  <c r="O5380" i="1" a="1"/>
  <c r="O5380" i="1" s="1"/>
  <c r="O5381" i="1" a="1"/>
  <c r="O5381" i="1" s="1"/>
  <c r="O5382" i="1" a="1"/>
  <c r="O5382" i="1" s="1"/>
  <c r="O5383" i="1" a="1"/>
  <c r="O5383" i="1" s="1"/>
  <c r="O5384" i="1" a="1"/>
  <c r="O5384" i="1" s="1"/>
  <c r="O5385" i="1" a="1"/>
  <c r="O5385" i="1" s="1"/>
  <c r="O5386" i="1" a="1"/>
  <c r="O5386" i="1" s="1"/>
  <c r="O5387" i="1" a="1"/>
  <c r="O5387" i="1" s="1"/>
  <c r="O5388" i="1" a="1"/>
  <c r="O5388" i="1" s="1"/>
  <c r="O5389" i="1" a="1"/>
  <c r="O5389" i="1" s="1"/>
  <c r="O5390" i="1" a="1"/>
  <c r="O5390" i="1" s="1"/>
  <c r="O5391" i="1" a="1"/>
  <c r="O5391" i="1" s="1"/>
  <c r="O5392" i="1" a="1"/>
  <c r="O5392" i="1" s="1"/>
  <c r="O5393" i="1" a="1"/>
  <c r="O5393" i="1" s="1"/>
  <c r="O5394" i="1" a="1"/>
  <c r="O5394" i="1" s="1"/>
  <c r="O5395" i="1" a="1"/>
  <c r="O5395" i="1" s="1"/>
  <c r="O5396" i="1" a="1"/>
  <c r="O5396" i="1" s="1"/>
  <c r="O5397" i="1" a="1"/>
  <c r="O5397" i="1" s="1"/>
  <c r="O5398" i="1" a="1"/>
  <c r="O5398" i="1" s="1"/>
  <c r="O5399" i="1" a="1"/>
  <c r="O5399" i="1" s="1"/>
  <c r="O5400" i="1" a="1"/>
  <c r="O5400" i="1" s="1"/>
  <c r="O5401" i="1" a="1"/>
  <c r="O5401" i="1" s="1"/>
  <c r="O5402" i="1" a="1"/>
  <c r="O5402" i="1" s="1"/>
  <c r="O5403" i="1" a="1"/>
  <c r="O5403" i="1" s="1"/>
  <c r="O5404" i="1" a="1"/>
  <c r="O5404" i="1" s="1"/>
  <c r="O5405" i="1" a="1"/>
  <c r="O5405" i="1" s="1"/>
  <c r="O5406" i="1" a="1"/>
  <c r="O5406" i="1" s="1"/>
  <c r="O5407" i="1" a="1"/>
  <c r="O5407" i="1" s="1"/>
  <c r="O5408" i="1" a="1"/>
  <c r="O5408" i="1" s="1"/>
  <c r="O5409" i="1" a="1"/>
  <c r="O5409" i="1" s="1"/>
  <c r="O5410" i="1" a="1"/>
  <c r="O5410" i="1" s="1"/>
  <c r="O5411" i="1" a="1"/>
  <c r="O5411" i="1" s="1"/>
  <c r="O5412" i="1" a="1"/>
  <c r="O5412" i="1" s="1"/>
  <c r="O5413" i="1" a="1"/>
  <c r="O5413" i="1" s="1"/>
  <c r="O5414" i="1" a="1"/>
  <c r="O5414" i="1" s="1"/>
  <c r="O5415" i="1" a="1"/>
  <c r="O5415" i="1" s="1"/>
  <c r="O5416" i="1" a="1"/>
  <c r="O5416" i="1" s="1"/>
  <c r="O5417" i="1" a="1"/>
  <c r="O5417" i="1" s="1"/>
  <c r="O5418" i="1" a="1"/>
  <c r="O5418" i="1" s="1"/>
  <c r="O5419" i="1" a="1"/>
  <c r="O5419" i="1" s="1"/>
  <c r="O5420" i="1" a="1"/>
  <c r="O5420" i="1" s="1"/>
  <c r="O5421" i="1" a="1"/>
  <c r="O5421" i="1" s="1"/>
  <c r="O5422" i="1" a="1"/>
  <c r="O5422" i="1" s="1"/>
  <c r="O5423" i="1" a="1"/>
  <c r="O5423" i="1" s="1"/>
  <c r="O5424" i="1" a="1"/>
  <c r="O5424" i="1" s="1"/>
  <c r="O5425" i="1" a="1"/>
  <c r="O5425" i="1" s="1"/>
  <c r="O5426" i="1" a="1"/>
  <c r="O5426" i="1" s="1"/>
  <c r="O5427" i="1" a="1"/>
  <c r="O5427" i="1" s="1"/>
  <c r="O5428" i="1" a="1"/>
  <c r="O5428" i="1" s="1"/>
  <c r="O5429" i="1" a="1"/>
  <c r="O5429" i="1" s="1"/>
  <c r="O5430" i="1" a="1"/>
  <c r="O5430" i="1" s="1"/>
  <c r="O5431" i="1" a="1"/>
  <c r="O5431" i="1" s="1"/>
  <c r="O5432" i="1" a="1"/>
  <c r="O5432" i="1" s="1"/>
  <c r="O5433" i="1" a="1"/>
  <c r="O5433" i="1" s="1"/>
  <c r="O5434" i="1" a="1"/>
  <c r="O5434" i="1" s="1"/>
  <c r="O5435" i="1" a="1"/>
  <c r="O5435" i="1" s="1"/>
  <c r="O5436" i="1" a="1"/>
  <c r="O5436" i="1" s="1"/>
  <c r="O5437" i="1" a="1"/>
  <c r="O5437" i="1" s="1"/>
  <c r="O5438" i="1" a="1"/>
  <c r="O5438" i="1" s="1"/>
  <c r="O5439" i="1" a="1"/>
  <c r="O5439" i="1" s="1"/>
  <c r="O5440" i="1" a="1"/>
  <c r="O5440" i="1" s="1"/>
  <c r="O5441" i="1" a="1"/>
  <c r="O5441" i="1" s="1"/>
  <c r="O5442" i="1" a="1"/>
  <c r="O5442" i="1" s="1"/>
  <c r="O5443" i="1" a="1"/>
  <c r="O5443" i="1" s="1"/>
  <c r="O5444" i="1" a="1"/>
  <c r="O5444" i="1" s="1"/>
  <c r="O5445" i="1" a="1"/>
  <c r="O5445" i="1" s="1"/>
  <c r="O5446" i="1" a="1"/>
  <c r="O5446" i="1" s="1"/>
  <c r="O5447" i="1" a="1"/>
  <c r="O5447" i="1" s="1"/>
  <c r="O5448" i="1" a="1"/>
  <c r="O5448" i="1" s="1"/>
  <c r="O5449" i="1" a="1"/>
  <c r="O5449" i="1" s="1"/>
  <c r="O5450" i="1" a="1"/>
  <c r="O5450" i="1" s="1"/>
  <c r="O5451" i="1" a="1"/>
  <c r="O5451" i="1" s="1"/>
  <c r="O5452" i="1" a="1"/>
  <c r="O5452" i="1" s="1"/>
  <c r="O5453" i="1" a="1"/>
  <c r="O5453" i="1" s="1"/>
  <c r="O5454" i="1" a="1"/>
  <c r="O5454" i="1" s="1"/>
  <c r="O5455" i="1" a="1"/>
  <c r="O5455" i="1" s="1"/>
  <c r="O5456" i="1" a="1"/>
  <c r="O5456" i="1" s="1"/>
  <c r="O5457" i="1" a="1"/>
  <c r="O5457" i="1" s="1"/>
  <c r="O5458" i="1" a="1"/>
  <c r="O5458" i="1" s="1"/>
  <c r="O5459" i="1" a="1"/>
  <c r="O5459" i="1" s="1"/>
  <c r="O5460" i="1" a="1"/>
  <c r="O5460" i="1" s="1"/>
  <c r="O5461" i="1" a="1"/>
  <c r="O5461" i="1" s="1"/>
  <c r="O5462" i="1" a="1"/>
  <c r="O5462" i="1" s="1"/>
  <c r="O5463" i="1" a="1"/>
  <c r="O5463" i="1" s="1"/>
  <c r="O5464" i="1" a="1"/>
  <c r="O5464" i="1" s="1"/>
  <c r="O5465" i="1" a="1"/>
  <c r="O5465" i="1" s="1"/>
  <c r="O5466" i="1" a="1"/>
  <c r="O5466" i="1" s="1"/>
  <c r="O5467" i="1" a="1"/>
  <c r="O5467" i="1" s="1"/>
  <c r="O5468" i="1" a="1"/>
  <c r="O5468" i="1" s="1"/>
  <c r="O5469" i="1" a="1"/>
  <c r="O5469" i="1" s="1"/>
  <c r="O5470" i="1" a="1"/>
  <c r="O5470" i="1" s="1"/>
  <c r="O5471" i="1" a="1"/>
  <c r="O5471" i="1" s="1"/>
  <c r="O5472" i="1" a="1"/>
  <c r="O5472" i="1" s="1"/>
  <c r="O5473" i="1" a="1"/>
  <c r="O5473" i="1" s="1"/>
  <c r="O5474" i="1" a="1"/>
  <c r="O5474" i="1" s="1"/>
  <c r="O5475" i="1" a="1"/>
  <c r="O5475" i="1" s="1"/>
  <c r="O5476" i="1" a="1"/>
  <c r="O5476" i="1" s="1"/>
  <c r="O5477" i="1" a="1"/>
  <c r="O5477" i="1" s="1"/>
  <c r="O5478" i="1" a="1"/>
  <c r="O5478" i="1" s="1"/>
  <c r="O5479" i="1" a="1"/>
  <c r="O5479" i="1" s="1"/>
  <c r="O5480" i="1" a="1"/>
  <c r="O5480" i="1" s="1"/>
  <c r="O5481" i="1" a="1"/>
  <c r="O5481" i="1" s="1"/>
  <c r="O5482" i="1" a="1"/>
  <c r="O5482" i="1" s="1"/>
  <c r="O5483" i="1" a="1"/>
  <c r="O5483" i="1" s="1"/>
  <c r="O5484" i="1" a="1"/>
  <c r="O5484" i="1" s="1"/>
  <c r="O5485" i="1" a="1"/>
  <c r="O5485" i="1" s="1"/>
  <c r="O5486" i="1" a="1"/>
  <c r="O5486" i="1" s="1"/>
  <c r="O5487" i="1" a="1"/>
  <c r="O5487" i="1" s="1"/>
  <c r="O5488" i="1" a="1"/>
  <c r="O5488" i="1" s="1"/>
  <c r="O5489" i="1" a="1"/>
  <c r="O5489" i="1" s="1"/>
  <c r="O5490" i="1" a="1"/>
  <c r="O5490" i="1" s="1"/>
  <c r="O5491" i="1" a="1"/>
  <c r="O5491" i="1" s="1"/>
  <c r="O5492" i="1" a="1"/>
  <c r="O5492" i="1" s="1"/>
  <c r="O5493" i="1" a="1"/>
  <c r="O5493" i="1" s="1"/>
  <c r="O5494" i="1" a="1"/>
  <c r="O5494" i="1" s="1"/>
  <c r="O5495" i="1" a="1"/>
  <c r="O5495" i="1" s="1"/>
  <c r="O5496" i="1" a="1"/>
  <c r="O5496" i="1" s="1"/>
  <c r="O5497" i="1" a="1"/>
  <c r="O5497" i="1" s="1"/>
  <c r="O5498" i="1" a="1"/>
  <c r="O5498" i="1" s="1"/>
  <c r="O5499" i="1" a="1"/>
  <c r="O5499" i="1" s="1"/>
  <c r="O5500" i="1" a="1"/>
  <c r="O5500" i="1" s="1"/>
  <c r="O5501" i="1" a="1"/>
  <c r="O5501" i="1" s="1"/>
  <c r="O5502" i="1" a="1"/>
  <c r="O5502" i="1" s="1"/>
  <c r="O5503" i="1" a="1"/>
  <c r="O5503" i="1" s="1"/>
  <c r="O5504" i="1" a="1"/>
  <c r="O5504" i="1" s="1"/>
  <c r="O5505" i="1" a="1"/>
  <c r="O5505" i="1" s="1"/>
  <c r="O5506" i="1" a="1"/>
  <c r="O5506" i="1" s="1"/>
  <c r="O5507" i="1" a="1"/>
  <c r="O5507" i="1" s="1"/>
  <c r="O5508" i="1" a="1"/>
  <c r="O5508" i="1" s="1"/>
  <c r="O5509" i="1" a="1"/>
  <c r="O5509" i="1" s="1"/>
  <c r="O5510" i="1" a="1"/>
  <c r="O5510" i="1" s="1"/>
  <c r="O5511" i="1" a="1"/>
  <c r="O5511" i="1" s="1"/>
  <c r="O5512" i="1" a="1"/>
  <c r="O5512" i="1" s="1"/>
  <c r="O5513" i="1" a="1"/>
  <c r="O5513" i="1" s="1"/>
  <c r="O5514" i="1" a="1"/>
  <c r="O5514" i="1" s="1"/>
  <c r="O5515" i="1" a="1"/>
  <c r="O5515" i="1" s="1"/>
  <c r="O5516" i="1" a="1"/>
  <c r="O5516" i="1" s="1"/>
  <c r="O5517" i="1" a="1"/>
  <c r="O5517" i="1" s="1"/>
  <c r="O5518" i="1" a="1"/>
  <c r="O5518" i="1" s="1"/>
  <c r="O5519" i="1" a="1"/>
  <c r="O5519" i="1" s="1"/>
  <c r="O5520" i="1" a="1"/>
  <c r="O5520" i="1" s="1"/>
  <c r="O5521" i="1" a="1"/>
  <c r="O5521" i="1" s="1"/>
  <c r="O5522" i="1" a="1"/>
  <c r="O5522" i="1" s="1"/>
  <c r="O5523" i="1" a="1"/>
  <c r="O5523" i="1" s="1"/>
  <c r="O5524" i="1" a="1"/>
  <c r="O5524" i="1" s="1"/>
  <c r="O5525" i="1" a="1"/>
  <c r="O5525" i="1" s="1"/>
  <c r="O5526" i="1" a="1"/>
  <c r="O5526" i="1" s="1"/>
  <c r="O5527" i="1" a="1"/>
  <c r="O5527" i="1" s="1"/>
  <c r="O5528" i="1" a="1"/>
  <c r="O5528" i="1" s="1"/>
  <c r="O5529" i="1" a="1"/>
  <c r="O5529" i="1" s="1"/>
  <c r="O5530" i="1" a="1"/>
  <c r="O5530" i="1" s="1"/>
  <c r="O5531" i="1" a="1"/>
  <c r="O5531" i="1" s="1"/>
  <c r="O5532" i="1" a="1"/>
  <c r="O5532" i="1" s="1"/>
  <c r="O5533" i="1" a="1"/>
  <c r="O5533" i="1" s="1"/>
  <c r="O5534" i="1" a="1"/>
  <c r="O5534" i="1" s="1"/>
  <c r="O5535" i="1" a="1"/>
  <c r="O5535" i="1" s="1"/>
  <c r="O5536" i="1" a="1"/>
  <c r="O5536" i="1" s="1"/>
  <c r="O5537" i="1" a="1"/>
  <c r="O5537" i="1" s="1"/>
  <c r="O5538" i="1" a="1"/>
  <c r="O5538" i="1" s="1"/>
  <c r="O5539" i="1" a="1"/>
  <c r="O5539" i="1" s="1"/>
  <c r="O5540" i="1" a="1"/>
  <c r="O5540" i="1" s="1"/>
  <c r="O5541" i="1" a="1"/>
  <c r="O5541" i="1" s="1"/>
  <c r="O5542" i="1" a="1"/>
  <c r="O5542" i="1" s="1"/>
  <c r="O5543" i="1" a="1"/>
  <c r="O5543" i="1" s="1"/>
  <c r="O5544" i="1" a="1"/>
  <c r="O5544" i="1" s="1"/>
  <c r="O5545" i="1" a="1"/>
  <c r="O5545" i="1" s="1"/>
  <c r="O5546" i="1" a="1"/>
  <c r="O5546" i="1" s="1"/>
  <c r="O5547" i="1" a="1"/>
  <c r="O5547" i="1" s="1"/>
  <c r="O5548" i="1" a="1"/>
  <c r="O5548" i="1" s="1"/>
  <c r="O5549" i="1" a="1"/>
  <c r="O5549" i="1" s="1"/>
  <c r="O5550" i="1" a="1"/>
  <c r="O5550" i="1" s="1"/>
  <c r="O5551" i="1" a="1"/>
  <c r="O5551" i="1" s="1"/>
  <c r="O5552" i="1" a="1"/>
  <c r="O5552" i="1" s="1"/>
  <c r="O5553" i="1" a="1"/>
  <c r="O5553" i="1" s="1"/>
  <c r="O5554" i="1" a="1"/>
  <c r="O5554" i="1" s="1"/>
  <c r="O5555" i="1" a="1"/>
  <c r="O5555" i="1" s="1"/>
  <c r="O5556" i="1" a="1"/>
  <c r="O5556" i="1" s="1"/>
  <c r="O5557" i="1" a="1"/>
  <c r="O5557" i="1" s="1"/>
  <c r="O5558" i="1" a="1"/>
  <c r="O5558" i="1" s="1"/>
  <c r="O5559" i="1" a="1"/>
  <c r="O5559" i="1" s="1"/>
  <c r="O5560" i="1" a="1"/>
  <c r="O5560" i="1" s="1"/>
  <c r="O5561" i="1" a="1"/>
  <c r="O5561" i="1" s="1"/>
  <c r="O5562" i="1" a="1"/>
  <c r="O5562" i="1" s="1"/>
  <c r="O5563" i="1" a="1"/>
  <c r="O5563" i="1" s="1"/>
  <c r="O5564" i="1" a="1"/>
  <c r="O5564" i="1" s="1"/>
  <c r="O5565" i="1" a="1"/>
  <c r="O5565" i="1" s="1"/>
  <c r="O5566" i="1" a="1"/>
  <c r="O5566" i="1" s="1"/>
  <c r="O5567" i="1" a="1"/>
  <c r="O5567" i="1" s="1"/>
  <c r="O5568" i="1" a="1"/>
  <c r="O5568" i="1" s="1"/>
  <c r="O5569" i="1" a="1"/>
  <c r="O5569" i="1" s="1"/>
  <c r="O5570" i="1" a="1"/>
  <c r="O5570" i="1" s="1"/>
  <c r="O5571" i="1" a="1"/>
  <c r="O5571" i="1" s="1"/>
  <c r="O5572" i="1" a="1"/>
  <c r="O5572" i="1" s="1"/>
  <c r="O5573" i="1" a="1"/>
  <c r="O5573" i="1" s="1"/>
  <c r="O5574" i="1" a="1"/>
  <c r="O5574" i="1" s="1"/>
  <c r="O5575" i="1" a="1"/>
  <c r="O5575" i="1" s="1"/>
  <c r="O5576" i="1" a="1"/>
  <c r="O5576" i="1" s="1"/>
  <c r="O5577" i="1" a="1"/>
  <c r="O5577" i="1" s="1"/>
  <c r="O5578" i="1" a="1"/>
  <c r="O5578" i="1" s="1"/>
  <c r="O5579" i="1" a="1"/>
  <c r="O5579" i="1" s="1"/>
  <c r="O5580" i="1" a="1"/>
  <c r="O5580" i="1" s="1"/>
  <c r="O5581" i="1" a="1"/>
  <c r="O5581" i="1" s="1"/>
  <c r="O5582" i="1" a="1"/>
  <c r="O5582" i="1" s="1"/>
  <c r="O5583" i="1" a="1"/>
  <c r="O5583" i="1" s="1"/>
  <c r="O5584" i="1" a="1"/>
  <c r="O5584" i="1" s="1"/>
  <c r="O5585" i="1" a="1"/>
  <c r="O5585" i="1" s="1"/>
  <c r="O5586" i="1" a="1"/>
  <c r="O5586" i="1" s="1"/>
  <c r="O5587" i="1" a="1"/>
  <c r="O5587" i="1" s="1"/>
  <c r="O5588" i="1" a="1"/>
  <c r="O5588" i="1" s="1"/>
  <c r="O5589" i="1" a="1"/>
  <c r="O5589" i="1" s="1"/>
  <c r="O5590" i="1" a="1"/>
  <c r="O5590" i="1" s="1"/>
  <c r="O5591" i="1" a="1"/>
  <c r="O5591" i="1" s="1"/>
  <c r="O5592" i="1" a="1"/>
  <c r="O5592" i="1" s="1"/>
  <c r="O5593" i="1" a="1"/>
  <c r="O5593" i="1" s="1"/>
  <c r="O5594" i="1" a="1"/>
  <c r="O5594" i="1" s="1"/>
  <c r="O5595" i="1" a="1"/>
  <c r="O5595" i="1" s="1"/>
  <c r="O5596" i="1" a="1"/>
  <c r="O5596" i="1" s="1"/>
  <c r="O5597" i="1" a="1"/>
  <c r="O5597" i="1" s="1"/>
  <c r="O5598" i="1" a="1"/>
  <c r="O5598" i="1" s="1"/>
  <c r="O5599" i="1" a="1"/>
  <c r="O5599" i="1" s="1"/>
  <c r="O5600" i="1" a="1"/>
  <c r="O5600" i="1" s="1"/>
  <c r="O5601" i="1" a="1"/>
  <c r="O5601" i="1" s="1"/>
  <c r="O5602" i="1" a="1"/>
  <c r="O5602" i="1" s="1"/>
  <c r="O5603" i="1" a="1"/>
  <c r="O5603" i="1" s="1"/>
  <c r="O5604" i="1" a="1"/>
  <c r="O5604" i="1" s="1"/>
  <c r="O5605" i="1" a="1"/>
  <c r="O5605" i="1" s="1"/>
  <c r="O5606" i="1" a="1"/>
  <c r="O5606" i="1" s="1"/>
  <c r="O5607" i="1" a="1"/>
  <c r="O5607" i="1" s="1"/>
  <c r="O5608" i="1" a="1"/>
  <c r="O5608" i="1" s="1"/>
  <c r="O5609" i="1" a="1"/>
  <c r="O5609" i="1" s="1"/>
  <c r="O5610" i="1" a="1"/>
  <c r="O5610" i="1" s="1"/>
  <c r="O5611" i="1" a="1"/>
  <c r="O5611" i="1" s="1"/>
  <c r="O5612" i="1" a="1"/>
  <c r="O5612" i="1" s="1"/>
  <c r="O5613" i="1" a="1"/>
  <c r="O5613" i="1" s="1"/>
  <c r="O5614" i="1" a="1"/>
  <c r="O5614" i="1" s="1"/>
  <c r="O5615" i="1" a="1"/>
  <c r="O5615" i="1" s="1"/>
  <c r="O5616" i="1" a="1"/>
  <c r="O5616" i="1" s="1"/>
  <c r="O5617" i="1" a="1"/>
  <c r="O5617" i="1" s="1"/>
  <c r="O5618" i="1" a="1"/>
  <c r="O5618" i="1" s="1"/>
  <c r="O5619" i="1" a="1"/>
  <c r="O5619" i="1" s="1"/>
  <c r="O5620" i="1" a="1"/>
  <c r="O5620" i="1" s="1"/>
  <c r="O5621" i="1" a="1"/>
  <c r="O5621" i="1" s="1"/>
  <c r="O5622" i="1" a="1"/>
  <c r="O5622" i="1" s="1"/>
  <c r="O5623" i="1" a="1"/>
  <c r="O5623" i="1" s="1"/>
  <c r="O5624" i="1" a="1"/>
  <c r="O5624" i="1" s="1"/>
  <c r="O5625" i="1" a="1"/>
  <c r="O5625" i="1" s="1"/>
  <c r="O5626" i="1" a="1"/>
  <c r="O5626" i="1" s="1"/>
  <c r="O5627" i="1" a="1"/>
  <c r="O5627" i="1" s="1"/>
  <c r="O5628" i="1" a="1"/>
  <c r="O5628" i="1" s="1"/>
  <c r="O5629" i="1" a="1"/>
  <c r="O5629" i="1" s="1"/>
  <c r="O5630" i="1" a="1"/>
  <c r="O5630" i="1" s="1"/>
  <c r="O5631" i="1" a="1"/>
  <c r="O5631" i="1" s="1"/>
  <c r="O5632" i="1" a="1"/>
  <c r="O5632" i="1" s="1"/>
  <c r="O5633" i="1" a="1"/>
  <c r="O5633" i="1" s="1"/>
  <c r="O5634" i="1" a="1"/>
  <c r="O5634" i="1" s="1"/>
  <c r="O5635" i="1" a="1"/>
  <c r="O5635" i="1" s="1"/>
  <c r="O5636" i="1" a="1"/>
  <c r="O5636" i="1" s="1"/>
  <c r="O5637" i="1" a="1"/>
  <c r="O5637" i="1" s="1"/>
  <c r="O5638" i="1" a="1"/>
  <c r="O5638" i="1" s="1"/>
  <c r="O5639" i="1" a="1"/>
  <c r="O5639" i="1" s="1"/>
  <c r="O5640" i="1" a="1"/>
  <c r="O5640" i="1" s="1"/>
  <c r="O5641" i="1" a="1"/>
  <c r="O5641" i="1" s="1"/>
  <c r="O5642" i="1" a="1"/>
  <c r="O5642" i="1" s="1"/>
  <c r="O5643" i="1" a="1"/>
  <c r="O5643" i="1" s="1"/>
  <c r="O5644" i="1" a="1"/>
  <c r="O5644" i="1" s="1"/>
  <c r="O5645" i="1" a="1"/>
  <c r="O5645" i="1" s="1"/>
  <c r="O5646" i="1" a="1"/>
  <c r="O5646" i="1" s="1"/>
  <c r="O5647" i="1" a="1"/>
  <c r="O5647" i="1" s="1"/>
  <c r="O5648" i="1" a="1"/>
  <c r="O5648" i="1" s="1"/>
  <c r="O5649" i="1" a="1"/>
  <c r="O5649" i="1" s="1"/>
  <c r="O5650" i="1" a="1"/>
  <c r="O5650" i="1" s="1"/>
  <c r="O5651" i="1" a="1"/>
  <c r="O5651" i="1" s="1"/>
  <c r="O5652" i="1" a="1"/>
  <c r="O5652" i="1" s="1"/>
  <c r="O5653" i="1" a="1"/>
  <c r="O5653" i="1" s="1"/>
  <c r="O5654" i="1" a="1"/>
  <c r="O5654" i="1" s="1"/>
  <c r="O5655" i="1" a="1"/>
  <c r="O5655" i="1" s="1"/>
  <c r="O5656" i="1" a="1"/>
  <c r="O5656" i="1" s="1"/>
  <c r="O5657" i="1" a="1"/>
  <c r="O5657" i="1" s="1"/>
  <c r="O5658" i="1" a="1"/>
  <c r="O5658" i="1" s="1"/>
  <c r="O5659" i="1" a="1"/>
  <c r="O5659" i="1" s="1"/>
  <c r="O5660" i="1" a="1"/>
  <c r="O5660" i="1" s="1"/>
  <c r="O5661" i="1" a="1"/>
  <c r="O5661" i="1" s="1"/>
  <c r="O5662" i="1" a="1"/>
  <c r="O5662" i="1" s="1"/>
  <c r="O5663" i="1" a="1"/>
  <c r="O5663" i="1" s="1"/>
  <c r="O5664" i="1" a="1"/>
  <c r="O5664" i="1" s="1"/>
  <c r="O5665" i="1" a="1"/>
  <c r="O5665" i="1" s="1"/>
  <c r="O5666" i="1" a="1"/>
  <c r="O5666" i="1" s="1"/>
  <c r="O5667" i="1" a="1"/>
  <c r="O5667" i="1" s="1"/>
  <c r="O5668" i="1" a="1"/>
  <c r="O5668" i="1" s="1"/>
  <c r="O5669" i="1" a="1"/>
  <c r="O5669" i="1" s="1"/>
  <c r="O5670" i="1" a="1"/>
  <c r="O5670" i="1" s="1"/>
  <c r="O5671" i="1" a="1"/>
  <c r="O5671" i="1" s="1"/>
  <c r="O5672" i="1" a="1"/>
  <c r="O5672" i="1" s="1"/>
  <c r="O5673" i="1" a="1"/>
  <c r="O5673" i="1" s="1"/>
  <c r="O5674" i="1" a="1"/>
  <c r="O5674" i="1" s="1"/>
  <c r="O5675" i="1" a="1"/>
  <c r="O5675" i="1" s="1"/>
  <c r="O5676" i="1" a="1"/>
  <c r="O5676" i="1" s="1"/>
  <c r="O5677" i="1" a="1"/>
  <c r="O5677" i="1" s="1"/>
  <c r="O5678" i="1" a="1"/>
  <c r="O5678" i="1" s="1"/>
  <c r="O5679" i="1" a="1"/>
  <c r="O5679" i="1" s="1"/>
  <c r="O5680" i="1" a="1"/>
  <c r="O5680" i="1" s="1"/>
  <c r="O5681" i="1" a="1"/>
  <c r="O5681" i="1" s="1"/>
  <c r="O5682" i="1" a="1"/>
  <c r="O5682" i="1" s="1"/>
  <c r="O5683" i="1" a="1"/>
  <c r="O5683" i="1" s="1"/>
  <c r="O5684" i="1" a="1"/>
  <c r="O5684" i="1" s="1"/>
  <c r="O5685" i="1" a="1"/>
  <c r="O5685" i="1" s="1"/>
  <c r="O5686" i="1" a="1"/>
  <c r="O5686" i="1" s="1"/>
  <c r="O5687" i="1" a="1"/>
  <c r="O5687" i="1" s="1"/>
  <c r="O5688" i="1" a="1"/>
  <c r="O5688" i="1" s="1"/>
  <c r="O5689" i="1" a="1"/>
  <c r="O5689" i="1" s="1"/>
  <c r="O5690" i="1" a="1"/>
  <c r="O5690" i="1" s="1"/>
  <c r="O5691" i="1" a="1"/>
  <c r="O5691" i="1" s="1"/>
  <c r="O5692" i="1" a="1"/>
  <c r="O5692" i="1" s="1"/>
  <c r="O5693" i="1" a="1"/>
  <c r="O5693" i="1" s="1"/>
  <c r="O5694" i="1" a="1"/>
  <c r="O5694" i="1" s="1"/>
  <c r="O5695" i="1" a="1"/>
  <c r="O5695" i="1" s="1"/>
  <c r="O5696" i="1" a="1"/>
  <c r="O5696" i="1" s="1"/>
  <c r="O5697" i="1" a="1"/>
  <c r="O5697" i="1" s="1"/>
  <c r="O5698" i="1" a="1"/>
  <c r="O5698" i="1" s="1"/>
  <c r="O5699" i="1" a="1"/>
  <c r="O5699" i="1" s="1"/>
  <c r="O5700" i="1" a="1"/>
  <c r="O5700" i="1" s="1"/>
  <c r="O5701" i="1" a="1"/>
  <c r="O5701" i="1" s="1"/>
  <c r="O5702" i="1" a="1"/>
  <c r="O5702" i="1" s="1"/>
  <c r="O5703" i="1" a="1"/>
  <c r="O5703" i="1" s="1"/>
  <c r="O5704" i="1" a="1"/>
  <c r="O5704" i="1" s="1"/>
  <c r="O5705" i="1" a="1"/>
  <c r="O5705" i="1" s="1"/>
  <c r="O5706" i="1" a="1"/>
  <c r="O5706" i="1" s="1"/>
  <c r="O5707" i="1" a="1"/>
  <c r="O5707" i="1" s="1"/>
  <c r="O5708" i="1" a="1"/>
  <c r="O5708" i="1" s="1"/>
  <c r="O5709" i="1" a="1"/>
  <c r="O5709" i="1" s="1"/>
  <c r="O5710" i="1" a="1"/>
  <c r="O5710" i="1" s="1"/>
  <c r="O5711" i="1" a="1"/>
  <c r="O5711" i="1" s="1"/>
  <c r="O5712" i="1" a="1"/>
  <c r="O5712" i="1" s="1"/>
  <c r="O5713" i="1" a="1"/>
  <c r="O5713" i="1" s="1"/>
  <c r="O5714" i="1" a="1"/>
  <c r="O5714" i="1" s="1"/>
  <c r="O5715" i="1" a="1"/>
  <c r="O5715" i="1" s="1"/>
  <c r="O5716" i="1" a="1"/>
  <c r="O5716" i="1" s="1"/>
  <c r="O5717" i="1" a="1"/>
  <c r="O5717" i="1" s="1"/>
  <c r="O5718" i="1" a="1"/>
  <c r="O5718" i="1" s="1"/>
  <c r="O5719" i="1" a="1"/>
  <c r="O5719" i="1" s="1"/>
  <c r="O5720" i="1" a="1"/>
  <c r="O5720" i="1" s="1"/>
  <c r="O5721" i="1" a="1"/>
  <c r="O5721" i="1" s="1"/>
  <c r="O5722" i="1" a="1"/>
  <c r="O5722" i="1" s="1"/>
  <c r="O5723" i="1" a="1"/>
  <c r="O5723" i="1" s="1"/>
  <c r="O5724" i="1" a="1"/>
  <c r="O5724" i="1" s="1"/>
  <c r="O5725" i="1" a="1"/>
  <c r="O5725" i="1" s="1"/>
  <c r="O5726" i="1" a="1"/>
  <c r="O5726" i="1" s="1"/>
  <c r="O5727" i="1" a="1"/>
  <c r="O5727" i="1" s="1"/>
  <c r="O5728" i="1" a="1"/>
  <c r="O5728" i="1" s="1"/>
  <c r="O5729" i="1" a="1"/>
  <c r="O5729" i="1" s="1"/>
  <c r="O5730" i="1" a="1"/>
  <c r="O5730" i="1" s="1"/>
  <c r="O5731" i="1" a="1"/>
  <c r="O5731" i="1" s="1"/>
  <c r="O5732" i="1" a="1"/>
  <c r="O5732" i="1" s="1"/>
  <c r="O5733" i="1" a="1"/>
  <c r="O5733" i="1" s="1"/>
  <c r="O5734" i="1" a="1"/>
  <c r="O5734" i="1" s="1"/>
  <c r="O5735" i="1" a="1"/>
  <c r="O5735" i="1" s="1"/>
  <c r="O5736" i="1" a="1"/>
  <c r="O5736" i="1" s="1"/>
  <c r="O5737" i="1" a="1"/>
  <c r="O5737" i="1" s="1"/>
  <c r="O5738" i="1" a="1"/>
  <c r="O5738" i="1" s="1"/>
  <c r="O5739" i="1" a="1"/>
  <c r="O5739" i="1" s="1"/>
  <c r="O5740" i="1" a="1"/>
  <c r="O5740" i="1" s="1"/>
  <c r="O5741" i="1" a="1"/>
  <c r="O5741" i="1" s="1"/>
  <c r="O5742" i="1" a="1"/>
  <c r="O5742" i="1" s="1"/>
  <c r="O5743" i="1" a="1"/>
  <c r="O5743" i="1" s="1"/>
  <c r="O5744" i="1" a="1"/>
  <c r="O5744" i="1" s="1"/>
  <c r="O5745" i="1" a="1"/>
  <c r="O5745" i="1" s="1"/>
  <c r="O5746" i="1" a="1"/>
  <c r="O5746" i="1" s="1"/>
  <c r="O5747" i="1" a="1"/>
  <c r="O5747" i="1" s="1"/>
  <c r="O5748" i="1" a="1"/>
  <c r="O5748" i="1" s="1"/>
  <c r="O5749" i="1" a="1"/>
  <c r="O5749" i="1" s="1"/>
  <c r="O5750" i="1" a="1"/>
  <c r="O5750" i="1" s="1"/>
  <c r="O5751" i="1" a="1"/>
  <c r="O5751" i="1" s="1"/>
  <c r="O5752" i="1" a="1"/>
  <c r="O5752" i="1" s="1"/>
  <c r="O5753" i="1" a="1"/>
  <c r="O5753" i="1" s="1"/>
  <c r="O5754" i="1" a="1"/>
  <c r="O5754" i="1" s="1"/>
  <c r="O5755" i="1" a="1"/>
  <c r="O5755" i="1" s="1"/>
  <c r="O5756" i="1" a="1"/>
  <c r="O5756" i="1" s="1"/>
  <c r="O5757" i="1" a="1"/>
  <c r="O5757" i="1" s="1"/>
  <c r="O5758" i="1" a="1"/>
  <c r="O5758" i="1" s="1"/>
  <c r="O5759" i="1" a="1"/>
  <c r="O5759" i="1" s="1"/>
  <c r="O5760" i="1" a="1"/>
  <c r="O5760" i="1" s="1"/>
  <c r="O5761" i="1" a="1"/>
  <c r="O5761" i="1" s="1"/>
  <c r="O5762" i="1" a="1"/>
  <c r="O5762" i="1" s="1"/>
  <c r="O5763" i="1" a="1"/>
  <c r="O5763" i="1" s="1"/>
  <c r="O5764" i="1" a="1"/>
  <c r="O5764" i="1" s="1"/>
  <c r="O5765" i="1" a="1"/>
  <c r="O5765" i="1" s="1"/>
  <c r="O5766" i="1" a="1"/>
  <c r="O5766" i="1" s="1"/>
  <c r="O5767" i="1" a="1"/>
  <c r="O5767" i="1" s="1"/>
  <c r="O5768" i="1" a="1"/>
  <c r="O5768" i="1" s="1"/>
  <c r="O5769" i="1" a="1"/>
  <c r="O5769" i="1" s="1"/>
  <c r="O5770" i="1" a="1"/>
  <c r="O5770" i="1" s="1"/>
  <c r="O5771" i="1" a="1"/>
  <c r="O5771" i="1" s="1"/>
  <c r="O5772" i="1" a="1"/>
  <c r="O5772" i="1" s="1"/>
  <c r="O5773" i="1" a="1"/>
  <c r="O5773" i="1" s="1"/>
  <c r="O5774" i="1" a="1"/>
  <c r="O5774" i="1" s="1"/>
  <c r="O5775" i="1" a="1"/>
  <c r="O5775" i="1" s="1"/>
  <c r="O5776" i="1" a="1"/>
  <c r="O5776" i="1" s="1"/>
  <c r="O5777" i="1" a="1"/>
  <c r="O5777" i="1" s="1"/>
  <c r="O5778" i="1" a="1"/>
  <c r="O5778" i="1" s="1"/>
  <c r="O5779" i="1" a="1"/>
  <c r="O5779" i="1" s="1"/>
  <c r="O5780" i="1" a="1"/>
  <c r="O5780" i="1" s="1"/>
  <c r="O5781" i="1" a="1"/>
  <c r="O5781" i="1" s="1"/>
  <c r="O5782" i="1" a="1"/>
  <c r="O5782" i="1" s="1"/>
  <c r="O5783" i="1" a="1"/>
  <c r="O5783" i="1" s="1"/>
  <c r="O5784" i="1" a="1"/>
  <c r="O5784" i="1" s="1"/>
  <c r="O5785" i="1" a="1"/>
  <c r="O5785" i="1" s="1"/>
  <c r="O5786" i="1" a="1"/>
  <c r="O5786" i="1" s="1"/>
  <c r="O5787" i="1" a="1"/>
  <c r="O5787" i="1" s="1"/>
  <c r="O5788" i="1" a="1"/>
  <c r="O5788" i="1" s="1"/>
  <c r="O5789" i="1" a="1"/>
  <c r="O5789" i="1" s="1"/>
  <c r="O5790" i="1" a="1"/>
  <c r="O5790" i="1" s="1"/>
  <c r="O5791" i="1" a="1"/>
  <c r="O5791" i="1" s="1"/>
  <c r="O5792" i="1" a="1"/>
  <c r="O5792" i="1" s="1"/>
  <c r="O5793" i="1" a="1"/>
  <c r="O5793" i="1" s="1"/>
  <c r="O5794" i="1" a="1"/>
  <c r="O5794" i="1" s="1"/>
  <c r="O5795" i="1" a="1"/>
  <c r="O5795" i="1" s="1"/>
  <c r="O5796" i="1" a="1"/>
  <c r="O5796" i="1" s="1"/>
  <c r="O5797" i="1" a="1"/>
  <c r="O5797" i="1" s="1"/>
  <c r="O5798" i="1" a="1"/>
  <c r="O5798" i="1" s="1"/>
  <c r="O5799" i="1" a="1"/>
  <c r="O5799" i="1" s="1"/>
  <c r="O5800" i="1" a="1"/>
  <c r="O5800" i="1" s="1"/>
  <c r="O5801" i="1" a="1"/>
  <c r="O5801" i="1" s="1"/>
  <c r="O5802" i="1" a="1"/>
  <c r="O5802" i="1" s="1"/>
  <c r="O5803" i="1" a="1"/>
  <c r="O5803" i="1" s="1"/>
  <c r="O5804" i="1" a="1"/>
  <c r="O5804" i="1" s="1"/>
  <c r="O5805" i="1" a="1"/>
  <c r="O5805" i="1" s="1"/>
  <c r="O5806" i="1" a="1"/>
  <c r="O5806" i="1" s="1"/>
  <c r="O5807" i="1" a="1"/>
  <c r="O5807" i="1" s="1"/>
  <c r="O5808" i="1" a="1"/>
  <c r="O5808" i="1" s="1"/>
  <c r="O5809" i="1" a="1"/>
  <c r="O5809" i="1" s="1"/>
  <c r="O5810" i="1" a="1"/>
  <c r="O5810" i="1" s="1"/>
  <c r="O5811" i="1" a="1"/>
  <c r="O5811" i="1" s="1"/>
  <c r="O5812" i="1" a="1"/>
  <c r="O5812" i="1" s="1"/>
  <c r="O5813" i="1" a="1"/>
  <c r="O5813" i="1" s="1"/>
  <c r="O5814" i="1" a="1"/>
  <c r="O5814" i="1" s="1"/>
  <c r="O5815" i="1" a="1"/>
  <c r="O5815" i="1" s="1"/>
  <c r="O5816" i="1" a="1"/>
  <c r="O5816" i="1" s="1"/>
  <c r="O5817" i="1" a="1"/>
  <c r="O5817" i="1" s="1"/>
  <c r="O5818" i="1" a="1"/>
  <c r="O5818" i="1" s="1"/>
  <c r="O5819" i="1" a="1"/>
  <c r="O5819" i="1" s="1"/>
  <c r="O5820" i="1" a="1"/>
  <c r="O5820" i="1" s="1"/>
  <c r="O5821" i="1" a="1"/>
  <c r="O5821" i="1" s="1"/>
  <c r="O5822" i="1" a="1"/>
  <c r="O5822" i="1" s="1"/>
  <c r="O5823" i="1" a="1"/>
  <c r="O5823" i="1" s="1"/>
  <c r="O5824" i="1" a="1"/>
  <c r="O5824" i="1" s="1"/>
  <c r="O5825" i="1" a="1"/>
  <c r="O5825" i="1" s="1"/>
  <c r="O5826" i="1" a="1"/>
  <c r="O5826" i="1" s="1"/>
  <c r="O5827" i="1" a="1"/>
  <c r="O5827" i="1" s="1"/>
  <c r="O5828" i="1" a="1"/>
  <c r="O5828" i="1" s="1"/>
  <c r="O5829" i="1" a="1"/>
  <c r="O5829" i="1" s="1"/>
  <c r="O5830" i="1" a="1"/>
  <c r="O5830" i="1" s="1"/>
  <c r="O5831" i="1" a="1"/>
  <c r="O5831" i="1" s="1"/>
  <c r="O5832" i="1" a="1"/>
  <c r="O5832" i="1" s="1"/>
  <c r="O5833" i="1" a="1"/>
  <c r="O5833" i="1" s="1"/>
  <c r="O5834" i="1" a="1"/>
  <c r="O5834" i="1" s="1"/>
  <c r="O5835" i="1" a="1"/>
  <c r="O5835" i="1" s="1"/>
  <c r="O13" i="1"/>
  <c r="O38" i="1"/>
  <c r="AQ19" i="16"/>
  <c r="AQ18" i="16"/>
  <c r="AN26" i="16"/>
  <c r="AN27" i="16" s="1"/>
  <c r="AN28" i="16" s="1"/>
  <c r="AN29" i="16" s="1"/>
  <c r="AN30" i="16" s="1"/>
  <c r="AN31" i="16" s="1"/>
  <c r="AN32" i="16" s="1"/>
  <c r="AN33" i="16" s="1"/>
  <c r="AN34" i="16" s="1"/>
  <c r="AN35" i="16" s="1"/>
  <c r="AN36" i="16" s="1"/>
  <c r="AN37" i="16" s="1"/>
  <c r="AN38" i="16" s="1"/>
  <c r="AN39" i="16" s="1"/>
  <c r="AN40" i="16" s="1"/>
  <c r="AN41" i="16" s="1"/>
  <c r="AN42" i="16" s="1"/>
  <c r="AN43" i="16" s="1"/>
  <c r="AN44" i="16" s="1"/>
  <c r="AN45" i="16" s="1"/>
  <c r="AN46" i="16" s="1"/>
  <c r="AN47" i="16" s="1"/>
  <c r="AN48" i="16" s="1"/>
  <c r="AN49" i="16" s="1"/>
  <c r="F27" i="16"/>
  <c r="AN18" i="16" s="1"/>
  <c r="F28" i="16"/>
  <c r="AN19" i="16" s="1"/>
  <c r="F26" i="16"/>
  <c r="AN17" i="16" s="1"/>
  <c r="AO25" i="16"/>
  <c r="AP25" i="16"/>
  <c r="AQ25" i="16"/>
  <c r="AR25" i="16"/>
  <c r="AS25" i="16"/>
  <c r="AT25" i="16"/>
  <c r="AU25" i="16"/>
  <c r="AP26" i="16"/>
  <c r="AT26" i="16"/>
  <c r="AG18" i="16"/>
  <c r="G10" i="16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698" i="1"/>
  <c r="BI87" i="16"/>
  <c r="BI88" i="16" s="1"/>
  <c r="BI89" i="16" s="1"/>
  <c r="BI90" i="16" s="1"/>
  <c r="AM136" i="16"/>
  <c r="BI136" i="16"/>
  <c r="N2046" i="1" l="1"/>
  <c r="N1878" i="1"/>
  <c r="N1710" i="1"/>
  <c r="N1542" i="1"/>
  <c r="N1926" i="1"/>
  <c r="N1758" i="1"/>
  <c r="N1590" i="1"/>
  <c r="N1422" i="1"/>
  <c r="Z20" i="16"/>
  <c r="L20" i="16" s="1"/>
  <c r="N1830" i="1"/>
  <c r="N1662" i="1"/>
  <c r="N654" i="1"/>
  <c r="N318" i="1"/>
  <c r="AU26" i="16"/>
  <c r="AC20" i="16"/>
  <c r="AR27" i="16" s="1"/>
  <c r="N486" i="1"/>
  <c r="AR26" i="16"/>
  <c r="N1998" i="1"/>
  <c r="N1494" i="1"/>
  <c r="N1326" i="1"/>
  <c r="N1158" i="1"/>
  <c r="N990" i="1"/>
  <c r="N822" i="1"/>
  <c r="N150" i="1"/>
  <c r="AE20" i="16"/>
  <c r="Q20" i="16" s="1"/>
  <c r="N2022" i="1"/>
  <c r="N1854" i="1"/>
  <c r="N1686" i="1"/>
  <c r="N1518" i="1"/>
  <c r="N1350" i="1"/>
  <c r="N1182" i="1"/>
  <c r="N1014" i="1"/>
  <c r="N846" i="1"/>
  <c r="N678" i="1"/>
  <c r="N510" i="1"/>
  <c r="N342" i="1"/>
  <c r="N174" i="1"/>
  <c r="N6" i="1"/>
  <c r="N2118" i="1"/>
  <c r="N2070" i="1"/>
  <c r="N1734" i="1"/>
  <c r="N1566" i="1"/>
  <c r="N1278" i="1"/>
  <c r="N1230" i="1"/>
  <c r="N942" i="1"/>
  <c r="N894" i="1"/>
  <c r="N558" i="1"/>
  <c r="N270" i="1"/>
  <c r="N222" i="1"/>
  <c r="AS26" i="16"/>
  <c r="N1950" i="1"/>
  <c r="N1902" i="1"/>
  <c r="N1782" i="1"/>
  <c r="N1614" i="1"/>
  <c r="N1446" i="1"/>
  <c r="N1398" i="1"/>
  <c r="N1110" i="1"/>
  <c r="N1062" i="1"/>
  <c r="N774" i="1"/>
  <c r="N726" i="1"/>
  <c r="N606" i="1"/>
  <c r="N438" i="1"/>
  <c r="N390" i="1"/>
  <c r="N102" i="1"/>
  <c r="N54" i="1"/>
  <c r="AF20" i="16"/>
  <c r="R20" i="16" s="1"/>
  <c r="AQ26" i="16"/>
  <c r="AD20" i="16"/>
  <c r="AS27" i="16" s="1"/>
  <c r="AA20" i="16"/>
  <c r="M20" i="16" s="1"/>
  <c r="X21" i="16"/>
  <c r="AE21" i="16" s="1"/>
  <c r="Q21" i="16" s="1"/>
  <c r="AQ27" i="16"/>
  <c r="N20" i="16"/>
  <c r="AT27" i="16"/>
  <c r="K20" i="16"/>
  <c r="S18" i="16"/>
  <c r="H26" i="16"/>
  <c r="AM87" i="16"/>
  <c r="G71" i="16"/>
  <c r="F71" i="16"/>
  <c r="H71" i="16"/>
  <c r="F70" i="16"/>
  <c r="G70" i="16"/>
  <c r="H70" i="16"/>
  <c r="Y21" i="16"/>
  <c r="AP18" i="16"/>
  <c r="AV25" i="16"/>
  <c r="AP19" i="16"/>
  <c r="AP17" i="16"/>
  <c r="H27" i="16"/>
  <c r="AR18" i="16" s="1"/>
  <c r="H28" i="16"/>
  <c r="AT19" i="16" s="1"/>
  <c r="AU19" i="16" s="1"/>
  <c r="AV19" i="16" s="1"/>
  <c r="F29" i="16"/>
  <c r="AN20" i="16" s="1"/>
  <c r="G29" i="16"/>
  <c r="AO20" i="16"/>
  <c r="E11" i="16"/>
  <c r="E12" i="16" s="1"/>
  <c r="F183" i="16" s="1"/>
  <c r="AM137" i="16"/>
  <c r="BI91" i="16"/>
  <c r="BI137" i="16"/>
  <c r="M6" i="1" a="1"/>
  <c r="M6" i="1" s="1"/>
  <c r="M14" i="1" a="1"/>
  <c r="M14" i="1" s="1"/>
  <c r="M22" i="1" a="1"/>
  <c r="M22" i="1" s="1"/>
  <c r="M30" i="1" a="1"/>
  <c r="M30" i="1" s="1"/>
  <c r="M38" i="1" a="1"/>
  <c r="M38" i="1" s="1"/>
  <c r="M46" i="1" a="1"/>
  <c r="M46" i="1" s="1"/>
  <c r="M54" i="1" a="1"/>
  <c r="M54" i="1" s="1"/>
  <c r="M62" i="1" a="1"/>
  <c r="M62" i="1" s="1"/>
  <c r="M70" i="1" a="1"/>
  <c r="M70" i="1" s="1"/>
  <c r="M78" i="1" a="1"/>
  <c r="M78" i="1" s="1"/>
  <c r="M86" i="1" a="1"/>
  <c r="M86" i="1" s="1"/>
  <c r="M94" i="1" a="1"/>
  <c r="M94" i="1" s="1"/>
  <c r="M102" i="1" a="1"/>
  <c r="M102" i="1" s="1"/>
  <c r="M110" i="1" a="1"/>
  <c r="M110" i="1" s="1"/>
  <c r="M118" i="1" a="1"/>
  <c r="M118" i="1" s="1"/>
  <c r="M126" i="1" a="1"/>
  <c r="M126" i="1" s="1"/>
  <c r="M134" i="1" a="1"/>
  <c r="M134" i="1" s="1"/>
  <c r="M142" i="1" a="1"/>
  <c r="M142" i="1" s="1"/>
  <c r="M150" i="1" a="1"/>
  <c r="M150" i="1" s="1"/>
  <c r="M158" i="1" a="1"/>
  <c r="M158" i="1" s="1"/>
  <c r="M166" i="1" a="1"/>
  <c r="M166" i="1" s="1"/>
  <c r="M174" i="1" a="1"/>
  <c r="M174" i="1" s="1"/>
  <c r="M182" i="1" a="1"/>
  <c r="M182" i="1" s="1"/>
  <c r="M190" i="1" a="1"/>
  <c r="M190" i="1" s="1"/>
  <c r="M198" i="1" a="1"/>
  <c r="M198" i="1" s="1"/>
  <c r="M206" i="1" a="1"/>
  <c r="M206" i="1" s="1"/>
  <c r="M214" i="1" a="1"/>
  <c r="M214" i="1" s="1"/>
  <c r="M222" i="1" a="1"/>
  <c r="M222" i="1" s="1"/>
  <c r="M230" i="1" a="1"/>
  <c r="M230" i="1" s="1"/>
  <c r="M238" i="1" a="1"/>
  <c r="M238" i="1" s="1"/>
  <c r="M246" i="1" a="1"/>
  <c r="M246" i="1" s="1"/>
  <c r="M254" i="1" a="1"/>
  <c r="M254" i="1" s="1"/>
  <c r="M262" i="1" a="1"/>
  <c r="M262" i="1" s="1"/>
  <c r="M270" i="1" a="1"/>
  <c r="M270" i="1" s="1"/>
  <c r="M278" i="1" a="1"/>
  <c r="M278" i="1" s="1"/>
  <c r="M286" i="1" a="1"/>
  <c r="M286" i="1" s="1"/>
  <c r="M294" i="1" a="1"/>
  <c r="M294" i="1" s="1"/>
  <c r="M302" i="1" a="1"/>
  <c r="M302" i="1" s="1"/>
  <c r="M310" i="1" a="1"/>
  <c r="M310" i="1" s="1"/>
  <c r="M318" i="1" a="1"/>
  <c r="M318" i="1" s="1"/>
  <c r="M326" i="1" a="1"/>
  <c r="M326" i="1" s="1"/>
  <c r="M334" i="1" a="1"/>
  <c r="M334" i="1" s="1"/>
  <c r="M342" i="1" a="1"/>
  <c r="M342" i="1" s="1"/>
  <c r="M350" i="1" a="1"/>
  <c r="M350" i="1" s="1"/>
  <c r="M358" i="1" a="1"/>
  <c r="M358" i="1" s="1"/>
  <c r="M366" i="1" a="1"/>
  <c r="M366" i="1" s="1"/>
  <c r="M374" i="1" a="1"/>
  <c r="M374" i="1" s="1"/>
  <c r="M382" i="1" a="1"/>
  <c r="M382" i="1" s="1"/>
  <c r="M390" i="1" a="1"/>
  <c r="M390" i="1" s="1"/>
  <c r="M398" i="1" a="1"/>
  <c r="M398" i="1" s="1"/>
  <c r="M406" i="1" a="1"/>
  <c r="M406" i="1" s="1"/>
  <c r="M414" i="1" a="1"/>
  <c r="M414" i="1" s="1"/>
  <c r="M422" i="1" a="1"/>
  <c r="M422" i="1" s="1"/>
  <c r="M430" i="1" a="1"/>
  <c r="M430" i="1" s="1"/>
  <c r="M438" i="1" a="1"/>
  <c r="M438" i="1" s="1"/>
  <c r="M446" i="1" a="1"/>
  <c r="M446" i="1" s="1"/>
  <c r="M454" i="1" a="1"/>
  <c r="M454" i="1" s="1"/>
  <c r="M462" i="1" a="1"/>
  <c r="M462" i="1" s="1"/>
  <c r="M470" i="1" a="1"/>
  <c r="M470" i="1" s="1"/>
  <c r="M478" i="1" a="1"/>
  <c r="M478" i="1" s="1"/>
  <c r="M486" i="1" a="1"/>
  <c r="M486" i="1" s="1"/>
  <c r="M494" i="1" a="1"/>
  <c r="M494" i="1" s="1"/>
  <c r="M502" i="1" a="1"/>
  <c r="M502" i="1" s="1"/>
  <c r="M510" i="1" a="1"/>
  <c r="M510" i="1" s="1"/>
  <c r="M518" i="1" a="1"/>
  <c r="M518" i="1" s="1"/>
  <c r="M526" i="1" a="1"/>
  <c r="M526" i="1" s="1"/>
  <c r="M534" i="1" a="1"/>
  <c r="M534" i="1" s="1"/>
  <c r="M542" i="1" a="1"/>
  <c r="M542" i="1" s="1"/>
  <c r="M550" i="1" a="1"/>
  <c r="M550" i="1" s="1"/>
  <c r="M558" i="1" a="1"/>
  <c r="M558" i="1" s="1"/>
  <c r="M566" i="1" a="1"/>
  <c r="M566" i="1" s="1"/>
  <c r="M574" i="1" a="1"/>
  <c r="M574" i="1" s="1"/>
  <c r="M582" i="1" a="1"/>
  <c r="M582" i="1" s="1"/>
  <c r="M590" i="1" a="1"/>
  <c r="M590" i="1" s="1"/>
  <c r="M598" i="1" a="1"/>
  <c r="M598" i="1" s="1"/>
  <c r="M606" i="1" a="1"/>
  <c r="M606" i="1" s="1"/>
  <c r="M614" i="1" a="1"/>
  <c r="M614" i="1" s="1"/>
  <c r="M622" i="1" a="1"/>
  <c r="M622" i="1" s="1"/>
  <c r="M630" i="1" a="1"/>
  <c r="M630" i="1" s="1"/>
  <c r="M638" i="1" a="1"/>
  <c r="M638" i="1" s="1"/>
  <c r="M646" i="1" a="1"/>
  <c r="M646" i="1" s="1"/>
  <c r="M654" i="1" a="1"/>
  <c r="M654" i="1" s="1"/>
  <c r="M662" i="1" a="1"/>
  <c r="M662" i="1" s="1"/>
  <c r="M670" i="1" a="1"/>
  <c r="M670" i="1" s="1"/>
  <c r="M678" i="1" a="1"/>
  <c r="M678" i="1" s="1"/>
  <c r="M7" i="1" a="1"/>
  <c r="M7" i="1" s="1"/>
  <c r="M15" i="1" a="1"/>
  <c r="M15" i="1" s="1"/>
  <c r="M23" i="1" a="1"/>
  <c r="M23" i="1" s="1"/>
  <c r="M31" i="1" a="1"/>
  <c r="M31" i="1" s="1"/>
  <c r="M39" i="1" a="1"/>
  <c r="M39" i="1" s="1"/>
  <c r="M47" i="1" a="1"/>
  <c r="M47" i="1" s="1"/>
  <c r="M55" i="1" a="1"/>
  <c r="M55" i="1" s="1"/>
  <c r="M63" i="1" a="1"/>
  <c r="M63" i="1" s="1"/>
  <c r="M71" i="1" a="1"/>
  <c r="M71" i="1" s="1"/>
  <c r="M79" i="1" a="1"/>
  <c r="M79" i="1" s="1"/>
  <c r="M87" i="1" a="1"/>
  <c r="M87" i="1" s="1"/>
  <c r="M95" i="1" a="1"/>
  <c r="M95" i="1" s="1"/>
  <c r="M103" i="1" a="1"/>
  <c r="M103" i="1" s="1"/>
  <c r="M111" i="1" a="1"/>
  <c r="M111" i="1" s="1"/>
  <c r="M119" i="1" a="1"/>
  <c r="M119" i="1" s="1"/>
  <c r="M127" i="1" a="1"/>
  <c r="M127" i="1" s="1"/>
  <c r="M135" i="1" a="1"/>
  <c r="M135" i="1" s="1"/>
  <c r="M143" i="1" a="1"/>
  <c r="M143" i="1" s="1"/>
  <c r="M151" i="1" a="1"/>
  <c r="M151" i="1" s="1"/>
  <c r="M159" i="1" a="1"/>
  <c r="M159" i="1" s="1"/>
  <c r="M167" i="1" a="1"/>
  <c r="M167" i="1" s="1"/>
  <c r="M175" i="1" a="1"/>
  <c r="M175" i="1" s="1"/>
  <c r="M183" i="1" a="1"/>
  <c r="M183" i="1" s="1"/>
  <c r="M191" i="1" a="1"/>
  <c r="M191" i="1" s="1"/>
  <c r="M199" i="1" a="1"/>
  <c r="M199" i="1" s="1"/>
  <c r="M207" i="1" a="1"/>
  <c r="M207" i="1" s="1"/>
  <c r="M215" i="1" a="1"/>
  <c r="M215" i="1" s="1"/>
  <c r="M223" i="1" a="1"/>
  <c r="M223" i="1" s="1"/>
  <c r="M231" i="1" a="1"/>
  <c r="M231" i="1" s="1"/>
  <c r="M239" i="1" a="1"/>
  <c r="M239" i="1" s="1"/>
  <c r="M247" i="1" a="1"/>
  <c r="M247" i="1" s="1"/>
  <c r="M255" i="1" a="1"/>
  <c r="M255" i="1" s="1"/>
  <c r="M263" i="1" a="1"/>
  <c r="M263" i="1" s="1"/>
  <c r="M271" i="1" a="1"/>
  <c r="M271" i="1" s="1"/>
  <c r="M279" i="1" a="1"/>
  <c r="M279" i="1" s="1"/>
  <c r="M287" i="1" a="1"/>
  <c r="M287" i="1" s="1"/>
  <c r="M295" i="1" a="1"/>
  <c r="M295" i="1" s="1"/>
  <c r="M303" i="1" a="1"/>
  <c r="M303" i="1" s="1"/>
  <c r="M311" i="1" a="1"/>
  <c r="M311" i="1" s="1"/>
  <c r="M319" i="1" a="1"/>
  <c r="M319" i="1" s="1"/>
  <c r="M327" i="1" a="1"/>
  <c r="M327" i="1" s="1"/>
  <c r="M335" i="1" a="1"/>
  <c r="M335" i="1" s="1"/>
  <c r="M343" i="1" a="1"/>
  <c r="M343" i="1" s="1"/>
  <c r="M351" i="1" a="1"/>
  <c r="M351" i="1" s="1"/>
  <c r="M359" i="1" a="1"/>
  <c r="M359" i="1" s="1"/>
  <c r="M367" i="1" a="1"/>
  <c r="M367" i="1" s="1"/>
  <c r="M375" i="1" a="1"/>
  <c r="M375" i="1" s="1"/>
  <c r="M383" i="1" a="1"/>
  <c r="M383" i="1" s="1"/>
  <c r="M391" i="1" a="1"/>
  <c r="M391" i="1" s="1"/>
  <c r="M399" i="1" a="1"/>
  <c r="M399" i="1" s="1"/>
  <c r="M407" i="1" a="1"/>
  <c r="M407" i="1" s="1"/>
  <c r="M415" i="1" a="1"/>
  <c r="M415" i="1" s="1"/>
  <c r="M423" i="1" a="1"/>
  <c r="M423" i="1" s="1"/>
  <c r="M431" i="1" a="1"/>
  <c r="M431" i="1" s="1"/>
  <c r="M439" i="1" a="1"/>
  <c r="M439" i="1" s="1"/>
  <c r="M447" i="1" a="1"/>
  <c r="M447" i="1" s="1"/>
  <c r="M455" i="1" a="1"/>
  <c r="M455" i="1" s="1"/>
  <c r="M463" i="1" a="1"/>
  <c r="M463" i="1" s="1"/>
  <c r="M471" i="1" a="1"/>
  <c r="M471" i="1" s="1"/>
  <c r="M479" i="1" a="1"/>
  <c r="M479" i="1" s="1"/>
  <c r="M487" i="1" a="1"/>
  <c r="M487" i="1" s="1"/>
  <c r="M495" i="1" a="1"/>
  <c r="M495" i="1" s="1"/>
  <c r="M503" i="1" a="1"/>
  <c r="M503" i="1" s="1"/>
  <c r="M511" i="1" a="1"/>
  <c r="M511" i="1" s="1"/>
  <c r="M519" i="1" a="1"/>
  <c r="M519" i="1" s="1"/>
  <c r="M527" i="1" a="1"/>
  <c r="M527" i="1" s="1"/>
  <c r="M535" i="1" a="1"/>
  <c r="M535" i="1" s="1"/>
  <c r="M543" i="1" a="1"/>
  <c r="M543" i="1" s="1"/>
  <c r="M551" i="1" a="1"/>
  <c r="M551" i="1" s="1"/>
  <c r="M559" i="1" a="1"/>
  <c r="M559" i="1" s="1"/>
  <c r="M567" i="1" a="1"/>
  <c r="M567" i="1" s="1"/>
  <c r="M575" i="1" a="1"/>
  <c r="M575" i="1" s="1"/>
  <c r="M583" i="1" a="1"/>
  <c r="M583" i="1" s="1"/>
  <c r="M591" i="1" a="1"/>
  <c r="M591" i="1" s="1"/>
  <c r="M599" i="1" a="1"/>
  <c r="M599" i="1" s="1"/>
  <c r="M607" i="1" a="1"/>
  <c r="M607" i="1" s="1"/>
  <c r="M615" i="1" a="1"/>
  <c r="M615" i="1" s="1"/>
  <c r="M623" i="1" a="1"/>
  <c r="M623" i="1" s="1"/>
  <c r="M631" i="1" a="1"/>
  <c r="M631" i="1" s="1"/>
  <c r="M639" i="1" a="1"/>
  <c r="M639" i="1" s="1"/>
  <c r="M647" i="1" a="1"/>
  <c r="M647" i="1" s="1"/>
  <c r="M655" i="1" a="1"/>
  <c r="M655" i="1" s="1"/>
  <c r="M663" i="1" a="1"/>
  <c r="M663" i="1" s="1"/>
  <c r="M671" i="1" a="1"/>
  <c r="M671" i="1" s="1"/>
  <c r="M679" i="1" a="1"/>
  <c r="M679" i="1" s="1"/>
  <c r="M8" i="1" a="1"/>
  <c r="M8" i="1" s="1"/>
  <c r="M16" i="1" a="1"/>
  <c r="M16" i="1" s="1"/>
  <c r="M9" i="1" a="1"/>
  <c r="M9" i="1" s="1"/>
  <c r="M17" i="1" a="1"/>
  <c r="M17" i="1" s="1"/>
  <c r="M25" i="1" a="1"/>
  <c r="M25" i="1" s="1"/>
  <c r="M33" i="1" a="1"/>
  <c r="M33" i="1" s="1"/>
  <c r="M41" i="1" a="1"/>
  <c r="M41" i="1" s="1"/>
  <c r="M49" i="1" a="1"/>
  <c r="M49" i="1" s="1"/>
  <c r="M57" i="1" a="1"/>
  <c r="M57" i="1" s="1"/>
  <c r="M65" i="1" a="1"/>
  <c r="M65" i="1" s="1"/>
  <c r="M73" i="1" a="1"/>
  <c r="M73" i="1" s="1"/>
  <c r="M81" i="1" a="1"/>
  <c r="M81" i="1" s="1"/>
  <c r="M89" i="1" a="1"/>
  <c r="M89" i="1" s="1"/>
  <c r="M97" i="1" a="1"/>
  <c r="M97" i="1" s="1"/>
  <c r="M105" i="1" a="1"/>
  <c r="M105" i="1" s="1"/>
  <c r="M113" i="1" a="1"/>
  <c r="M113" i="1" s="1"/>
  <c r="M121" i="1" a="1"/>
  <c r="M121" i="1" s="1"/>
  <c r="M129" i="1" a="1"/>
  <c r="M129" i="1" s="1"/>
  <c r="M137" i="1" a="1"/>
  <c r="M137" i="1" s="1"/>
  <c r="M145" i="1" a="1"/>
  <c r="M145" i="1" s="1"/>
  <c r="M153" i="1" a="1"/>
  <c r="M153" i="1" s="1"/>
  <c r="M161" i="1" a="1"/>
  <c r="M161" i="1" s="1"/>
  <c r="M169" i="1" a="1"/>
  <c r="M169" i="1" s="1"/>
  <c r="M177" i="1" a="1"/>
  <c r="M177" i="1" s="1"/>
  <c r="M185" i="1" a="1"/>
  <c r="M185" i="1" s="1"/>
  <c r="M193" i="1" a="1"/>
  <c r="M193" i="1" s="1"/>
  <c r="M201" i="1" a="1"/>
  <c r="M201" i="1" s="1"/>
  <c r="M209" i="1" a="1"/>
  <c r="M209" i="1" s="1"/>
  <c r="M217" i="1" a="1"/>
  <c r="M217" i="1" s="1"/>
  <c r="M225" i="1" a="1"/>
  <c r="M225" i="1" s="1"/>
  <c r="M233" i="1" a="1"/>
  <c r="M233" i="1" s="1"/>
  <c r="M241" i="1" a="1"/>
  <c r="M241" i="1" s="1"/>
  <c r="M249" i="1" a="1"/>
  <c r="M249" i="1" s="1"/>
  <c r="M257" i="1" a="1"/>
  <c r="M257" i="1" s="1"/>
  <c r="M265" i="1" a="1"/>
  <c r="M265" i="1" s="1"/>
  <c r="M273" i="1" a="1"/>
  <c r="M273" i="1" s="1"/>
  <c r="M281" i="1" a="1"/>
  <c r="M281" i="1" s="1"/>
  <c r="M289" i="1" a="1"/>
  <c r="M289" i="1" s="1"/>
  <c r="M297" i="1" a="1"/>
  <c r="M297" i="1" s="1"/>
  <c r="M305" i="1" a="1"/>
  <c r="M305" i="1" s="1"/>
  <c r="M313" i="1" a="1"/>
  <c r="M313" i="1" s="1"/>
  <c r="M321" i="1" a="1"/>
  <c r="M321" i="1" s="1"/>
  <c r="M329" i="1" a="1"/>
  <c r="M329" i="1" s="1"/>
  <c r="M337" i="1" a="1"/>
  <c r="M337" i="1" s="1"/>
  <c r="M345" i="1" a="1"/>
  <c r="M345" i="1" s="1"/>
  <c r="M353" i="1" a="1"/>
  <c r="M353" i="1" s="1"/>
  <c r="M361" i="1" a="1"/>
  <c r="M361" i="1" s="1"/>
  <c r="M369" i="1" a="1"/>
  <c r="M369" i="1" s="1"/>
  <c r="M377" i="1" a="1"/>
  <c r="M377" i="1" s="1"/>
  <c r="M385" i="1" a="1"/>
  <c r="M385" i="1" s="1"/>
  <c r="M393" i="1" a="1"/>
  <c r="M393" i="1" s="1"/>
  <c r="M401" i="1" a="1"/>
  <c r="M401" i="1" s="1"/>
  <c r="M409" i="1" a="1"/>
  <c r="M409" i="1" s="1"/>
  <c r="M417" i="1" a="1"/>
  <c r="M417" i="1" s="1"/>
  <c r="M425" i="1" a="1"/>
  <c r="M425" i="1" s="1"/>
  <c r="M433" i="1" a="1"/>
  <c r="M433" i="1" s="1"/>
  <c r="M441" i="1" a="1"/>
  <c r="M441" i="1" s="1"/>
  <c r="M449" i="1" a="1"/>
  <c r="M449" i="1" s="1"/>
  <c r="M457" i="1" a="1"/>
  <c r="M457" i="1" s="1"/>
  <c r="M465" i="1" a="1"/>
  <c r="M465" i="1" s="1"/>
  <c r="M473" i="1" a="1"/>
  <c r="M473" i="1" s="1"/>
  <c r="M481" i="1" a="1"/>
  <c r="M481" i="1" s="1"/>
  <c r="M489" i="1" a="1"/>
  <c r="M489" i="1" s="1"/>
  <c r="M497" i="1" a="1"/>
  <c r="M497" i="1" s="1"/>
  <c r="M505" i="1" a="1"/>
  <c r="M505" i="1" s="1"/>
  <c r="M513" i="1" a="1"/>
  <c r="M513" i="1" s="1"/>
  <c r="M521" i="1" a="1"/>
  <c r="M521" i="1" s="1"/>
  <c r="M529" i="1" a="1"/>
  <c r="M529" i="1" s="1"/>
  <c r="M537" i="1" a="1"/>
  <c r="M537" i="1" s="1"/>
  <c r="M545" i="1" a="1"/>
  <c r="M545" i="1" s="1"/>
  <c r="M553" i="1" a="1"/>
  <c r="M553" i="1" s="1"/>
  <c r="M561" i="1" a="1"/>
  <c r="M561" i="1" s="1"/>
  <c r="M569" i="1" a="1"/>
  <c r="M569" i="1" s="1"/>
  <c r="M577" i="1" a="1"/>
  <c r="M577" i="1" s="1"/>
  <c r="M585" i="1" a="1"/>
  <c r="M585" i="1" s="1"/>
  <c r="M593" i="1" a="1"/>
  <c r="M593" i="1" s="1"/>
  <c r="M601" i="1" a="1"/>
  <c r="M601" i="1" s="1"/>
  <c r="M609" i="1" a="1"/>
  <c r="M609" i="1" s="1"/>
  <c r="M617" i="1" a="1"/>
  <c r="M617" i="1" s="1"/>
  <c r="M625" i="1" a="1"/>
  <c r="M625" i="1" s="1"/>
  <c r="M633" i="1" a="1"/>
  <c r="M633" i="1" s="1"/>
  <c r="M641" i="1" a="1"/>
  <c r="M641" i="1" s="1"/>
  <c r="M649" i="1" a="1"/>
  <c r="M649" i="1" s="1"/>
  <c r="M657" i="1" a="1"/>
  <c r="M657" i="1" s="1"/>
  <c r="M665" i="1" a="1"/>
  <c r="M665" i="1" s="1"/>
  <c r="M673" i="1" a="1"/>
  <c r="M673" i="1" s="1"/>
  <c r="M681" i="1" a="1"/>
  <c r="M681" i="1" s="1"/>
  <c r="M10" i="1" a="1"/>
  <c r="M10" i="1" s="1"/>
  <c r="M18" i="1" a="1"/>
  <c r="M18" i="1" s="1"/>
  <c r="M26" i="1" a="1"/>
  <c r="M26" i="1" s="1"/>
  <c r="M34" i="1" a="1"/>
  <c r="M34" i="1" s="1"/>
  <c r="M42" i="1" a="1"/>
  <c r="M42" i="1" s="1"/>
  <c r="M50" i="1" a="1"/>
  <c r="M50" i="1" s="1"/>
  <c r="M58" i="1" a="1"/>
  <c r="M58" i="1" s="1"/>
  <c r="M66" i="1" a="1"/>
  <c r="M66" i="1" s="1"/>
  <c r="M74" i="1" a="1"/>
  <c r="M74" i="1" s="1"/>
  <c r="M82" i="1" a="1"/>
  <c r="M82" i="1" s="1"/>
  <c r="M90" i="1" a="1"/>
  <c r="M90" i="1" s="1"/>
  <c r="M98" i="1" a="1"/>
  <c r="M98" i="1" s="1"/>
  <c r="M106" i="1" a="1"/>
  <c r="M106" i="1" s="1"/>
  <c r="M114" i="1" a="1"/>
  <c r="M114" i="1" s="1"/>
  <c r="M122" i="1" a="1"/>
  <c r="M122" i="1" s="1"/>
  <c r="M130" i="1" a="1"/>
  <c r="M130" i="1" s="1"/>
  <c r="M138" i="1" a="1"/>
  <c r="M138" i="1" s="1"/>
  <c r="M146" i="1" a="1"/>
  <c r="M146" i="1" s="1"/>
  <c r="M154" i="1" a="1"/>
  <c r="M154" i="1" s="1"/>
  <c r="M162" i="1" a="1"/>
  <c r="M162" i="1" s="1"/>
  <c r="M170" i="1" a="1"/>
  <c r="M170" i="1" s="1"/>
  <c r="M178" i="1" a="1"/>
  <c r="M178" i="1" s="1"/>
  <c r="M186" i="1" a="1"/>
  <c r="M186" i="1" s="1"/>
  <c r="M194" i="1" a="1"/>
  <c r="M194" i="1" s="1"/>
  <c r="M202" i="1" a="1"/>
  <c r="M202" i="1" s="1"/>
  <c r="M210" i="1" a="1"/>
  <c r="M210" i="1" s="1"/>
  <c r="M218" i="1" a="1"/>
  <c r="M218" i="1" s="1"/>
  <c r="M226" i="1" a="1"/>
  <c r="M226" i="1" s="1"/>
  <c r="M234" i="1" a="1"/>
  <c r="M234" i="1" s="1"/>
  <c r="M242" i="1" a="1"/>
  <c r="M242" i="1" s="1"/>
  <c r="M250" i="1" a="1"/>
  <c r="M250" i="1" s="1"/>
  <c r="M258" i="1" a="1"/>
  <c r="M258" i="1" s="1"/>
  <c r="M266" i="1" a="1"/>
  <c r="M266" i="1" s="1"/>
  <c r="M274" i="1" a="1"/>
  <c r="M274" i="1" s="1"/>
  <c r="M282" i="1" a="1"/>
  <c r="M282" i="1" s="1"/>
  <c r="M290" i="1" a="1"/>
  <c r="M290" i="1" s="1"/>
  <c r="M298" i="1" a="1"/>
  <c r="M298" i="1" s="1"/>
  <c r="M306" i="1" a="1"/>
  <c r="M306" i="1" s="1"/>
  <c r="M314" i="1" a="1"/>
  <c r="M314" i="1" s="1"/>
  <c r="M322" i="1" a="1"/>
  <c r="M322" i="1" s="1"/>
  <c r="M330" i="1" a="1"/>
  <c r="M330" i="1" s="1"/>
  <c r="M338" i="1" a="1"/>
  <c r="M338" i="1" s="1"/>
  <c r="M346" i="1" a="1"/>
  <c r="M346" i="1" s="1"/>
  <c r="M354" i="1" a="1"/>
  <c r="M354" i="1" s="1"/>
  <c r="M362" i="1" a="1"/>
  <c r="M362" i="1" s="1"/>
  <c r="M370" i="1" a="1"/>
  <c r="M370" i="1" s="1"/>
  <c r="M378" i="1" a="1"/>
  <c r="M378" i="1" s="1"/>
  <c r="M386" i="1" a="1"/>
  <c r="M386" i="1" s="1"/>
  <c r="M394" i="1" a="1"/>
  <c r="M394" i="1" s="1"/>
  <c r="M402" i="1" a="1"/>
  <c r="M402" i="1" s="1"/>
  <c r="M410" i="1" a="1"/>
  <c r="M410" i="1" s="1"/>
  <c r="M418" i="1" a="1"/>
  <c r="M418" i="1" s="1"/>
  <c r="M426" i="1" a="1"/>
  <c r="M426" i="1" s="1"/>
  <c r="M434" i="1" a="1"/>
  <c r="M434" i="1" s="1"/>
  <c r="M442" i="1" a="1"/>
  <c r="M442" i="1" s="1"/>
  <c r="M450" i="1" a="1"/>
  <c r="M450" i="1" s="1"/>
  <c r="M458" i="1" a="1"/>
  <c r="M458" i="1" s="1"/>
  <c r="M466" i="1" a="1"/>
  <c r="M466" i="1" s="1"/>
  <c r="M474" i="1" a="1"/>
  <c r="M474" i="1" s="1"/>
  <c r="M482" i="1" a="1"/>
  <c r="M482" i="1" s="1"/>
  <c r="M490" i="1" a="1"/>
  <c r="M490" i="1" s="1"/>
  <c r="M498" i="1" a="1"/>
  <c r="M498" i="1" s="1"/>
  <c r="M506" i="1" a="1"/>
  <c r="M506" i="1" s="1"/>
  <c r="M514" i="1" a="1"/>
  <c r="M514" i="1" s="1"/>
  <c r="M522" i="1" a="1"/>
  <c r="M522" i="1" s="1"/>
  <c r="M530" i="1" a="1"/>
  <c r="M530" i="1" s="1"/>
  <c r="M538" i="1" a="1"/>
  <c r="M538" i="1" s="1"/>
  <c r="M546" i="1" a="1"/>
  <c r="M546" i="1" s="1"/>
  <c r="M554" i="1" a="1"/>
  <c r="M554" i="1" s="1"/>
  <c r="M562" i="1" a="1"/>
  <c r="M562" i="1" s="1"/>
  <c r="M570" i="1" a="1"/>
  <c r="M570" i="1" s="1"/>
  <c r="M578" i="1" a="1"/>
  <c r="M578" i="1" s="1"/>
  <c r="M586" i="1" a="1"/>
  <c r="M586" i="1" s="1"/>
  <c r="M594" i="1" a="1"/>
  <c r="M594" i="1" s="1"/>
  <c r="M602" i="1" a="1"/>
  <c r="M602" i="1" s="1"/>
  <c r="M610" i="1" a="1"/>
  <c r="M610" i="1" s="1"/>
  <c r="M618" i="1" a="1"/>
  <c r="M618" i="1" s="1"/>
  <c r="M626" i="1" a="1"/>
  <c r="M626" i="1" s="1"/>
  <c r="M634" i="1" a="1"/>
  <c r="M634" i="1" s="1"/>
  <c r="M642" i="1" a="1"/>
  <c r="M642" i="1" s="1"/>
  <c r="M650" i="1" a="1"/>
  <c r="M650" i="1" s="1"/>
  <c r="M658" i="1" a="1"/>
  <c r="M658" i="1" s="1"/>
  <c r="M666" i="1" a="1"/>
  <c r="M666" i="1" s="1"/>
  <c r="M674" i="1" a="1"/>
  <c r="M674" i="1" s="1"/>
  <c r="M13" i="1" a="1"/>
  <c r="M13" i="1" s="1"/>
  <c r="M21" i="1" a="1"/>
  <c r="M21" i="1" s="1"/>
  <c r="M29" i="1" a="1"/>
  <c r="M29" i="1" s="1"/>
  <c r="M37" i="1" a="1"/>
  <c r="M37" i="1" s="1"/>
  <c r="M45" i="1" a="1"/>
  <c r="M45" i="1" s="1"/>
  <c r="M53" i="1" a="1"/>
  <c r="M53" i="1" s="1"/>
  <c r="M61" i="1" a="1"/>
  <c r="M61" i="1" s="1"/>
  <c r="M69" i="1" a="1"/>
  <c r="M69" i="1" s="1"/>
  <c r="M77" i="1" a="1"/>
  <c r="M77" i="1" s="1"/>
  <c r="M85" i="1" a="1"/>
  <c r="M85" i="1" s="1"/>
  <c r="M93" i="1" a="1"/>
  <c r="M93" i="1" s="1"/>
  <c r="M101" i="1" a="1"/>
  <c r="M101" i="1" s="1"/>
  <c r="M109" i="1" a="1"/>
  <c r="M109" i="1" s="1"/>
  <c r="M117" i="1" a="1"/>
  <c r="M117" i="1" s="1"/>
  <c r="M125" i="1" a="1"/>
  <c r="M125" i="1" s="1"/>
  <c r="M133" i="1" a="1"/>
  <c r="M133" i="1" s="1"/>
  <c r="M141" i="1" a="1"/>
  <c r="M141" i="1" s="1"/>
  <c r="M149" i="1" a="1"/>
  <c r="M149" i="1" s="1"/>
  <c r="M157" i="1" a="1"/>
  <c r="M157" i="1" s="1"/>
  <c r="M165" i="1" a="1"/>
  <c r="M165" i="1" s="1"/>
  <c r="M173" i="1" a="1"/>
  <c r="M173" i="1" s="1"/>
  <c r="M181" i="1" a="1"/>
  <c r="M181" i="1" s="1"/>
  <c r="M189" i="1" a="1"/>
  <c r="M189" i="1" s="1"/>
  <c r="M197" i="1" a="1"/>
  <c r="M197" i="1" s="1"/>
  <c r="M205" i="1" a="1"/>
  <c r="M205" i="1" s="1"/>
  <c r="M213" i="1" a="1"/>
  <c r="M213" i="1" s="1"/>
  <c r="M221" i="1" a="1"/>
  <c r="M221" i="1" s="1"/>
  <c r="M229" i="1" a="1"/>
  <c r="M229" i="1" s="1"/>
  <c r="M237" i="1" a="1"/>
  <c r="M237" i="1" s="1"/>
  <c r="M245" i="1" a="1"/>
  <c r="M245" i="1" s="1"/>
  <c r="M253" i="1" a="1"/>
  <c r="M253" i="1" s="1"/>
  <c r="M261" i="1" a="1"/>
  <c r="M261" i="1" s="1"/>
  <c r="M269" i="1" a="1"/>
  <c r="M269" i="1" s="1"/>
  <c r="M277" i="1" a="1"/>
  <c r="M277" i="1" s="1"/>
  <c r="M285" i="1" a="1"/>
  <c r="M285" i="1" s="1"/>
  <c r="M293" i="1" a="1"/>
  <c r="M293" i="1" s="1"/>
  <c r="M301" i="1" a="1"/>
  <c r="M301" i="1" s="1"/>
  <c r="M309" i="1" a="1"/>
  <c r="M309" i="1" s="1"/>
  <c r="M317" i="1" a="1"/>
  <c r="M317" i="1" s="1"/>
  <c r="M325" i="1" a="1"/>
  <c r="M325" i="1" s="1"/>
  <c r="M333" i="1" a="1"/>
  <c r="M333" i="1" s="1"/>
  <c r="M341" i="1" a="1"/>
  <c r="M341" i="1" s="1"/>
  <c r="M349" i="1" a="1"/>
  <c r="M349" i="1" s="1"/>
  <c r="M357" i="1" a="1"/>
  <c r="M357" i="1" s="1"/>
  <c r="M365" i="1" a="1"/>
  <c r="M365" i="1" s="1"/>
  <c r="M373" i="1" a="1"/>
  <c r="M373" i="1" s="1"/>
  <c r="M381" i="1" a="1"/>
  <c r="M381" i="1" s="1"/>
  <c r="M389" i="1" a="1"/>
  <c r="M389" i="1" s="1"/>
  <c r="M397" i="1" a="1"/>
  <c r="M397" i="1" s="1"/>
  <c r="M405" i="1" a="1"/>
  <c r="M405" i="1" s="1"/>
  <c r="M413" i="1" a="1"/>
  <c r="M413" i="1" s="1"/>
  <c r="M421" i="1" a="1"/>
  <c r="M421" i="1" s="1"/>
  <c r="M429" i="1" a="1"/>
  <c r="M429" i="1" s="1"/>
  <c r="M437" i="1" a="1"/>
  <c r="M437" i="1" s="1"/>
  <c r="M445" i="1" a="1"/>
  <c r="M445" i="1" s="1"/>
  <c r="M453" i="1" a="1"/>
  <c r="M453" i="1" s="1"/>
  <c r="M461" i="1" a="1"/>
  <c r="M461" i="1" s="1"/>
  <c r="M469" i="1" a="1"/>
  <c r="M469" i="1" s="1"/>
  <c r="M477" i="1" a="1"/>
  <c r="M477" i="1" s="1"/>
  <c r="M485" i="1" a="1"/>
  <c r="M485" i="1" s="1"/>
  <c r="M493" i="1" a="1"/>
  <c r="M493" i="1" s="1"/>
  <c r="M501" i="1" a="1"/>
  <c r="M501" i="1" s="1"/>
  <c r="M509" i="1" a="1"/>
  <c r="M509" i="1" s="1"/>
  <c r="M517" i="1" a="1"/>
  <c r="M517" i="1" s="1"/>
  <c r="M525" i="1" a="1"/>
  <c r="M525" i="1" s="1"/>
  <c r="M533" i="1" a="1"/>
  <c r="M533" i="1" s="1"/>
  <c r="M541" i="1" a="1"/>
  <c r="M541" i="1" s="1"/>
  <c r="M549" i="1" a="1"/>
  <c r="M549" i="1" s="1"/>
  <c r="M557" i="1" a="1"/>
  <c r="M557" i="1" s="1"/>
  <c r="M565" i="1" a="1"/>
  <c r="M565" i="1" s="1"/>
  <c r="M573" i="1" a="1"/>
  <c r="M573" i="1" s="1"/>
  <c r="M581" i="1" a="1"/>
  <c r="M581" i="1" s="1"/>
  <c r="M589" i="1" a="1"/>
  <c r="M589" i="1" s="1"/>
  <c r="M597" i="1" a="1"/>
  <c r="M597" i="1" s="1"/>
  <c r="M605" i="1" a="1"/>
  <c r="M605" i="1" s="1"/>
  <c r="M613" i="1" a="1"/>
  <c r="M613" i="1" s="1"/>
  <c r="M621" i="1" a="1"/>
  <c r="M621" i="1" s="1"/>
  <c r="M629" i="1" a="1"/>
  <c r="M629" i="1" s="1"/>
  <c r="M637" i="1" a="1"/>
  <c r="M637" i="1" s="1"/>
  <c r="M645" i="1" a="1"/>
  <c r="M645" i="1" s="1"/>
  <c r="M653" i="1" a="1"/>
  <c r="M653" i="1" s="1"/>
  <c r="M661" i="1" a="1"/>
  <c r="M661" i="1" s="1"/>
  <c r="M669" i="1" a="1"/>
  <c r="M669" i="1" s="1"/>
  <c r="M677" i="1" a="1"/>
  <c r="M677" i="1" s="1"/>
  <c r="M685" i="1" a="1"/>
  <c r="M685" i="1" s="1"/>
  <c r="M11" i="1" a="1"/>
  <c r="M11" i="1" s="1"/>
  <c r="M35" i="1" a="1"/>
  <c r="M35" i="1" s="1"/>
  <c r="M56" i="1" a="1"/>
  <c r="M56" i="1" s="1"/>
  <c r="M76" i="1" a="1"/>
  <c r="M76" i="1" s="1"/>
  <c r="M99" i="1" a="1"/>
  <c r="M99" i="1" s="1"/>
  <c r="M120" i="1" a="1"/>
  <c r="M120" i="1" s="1"/>
  <c r="M140" i="1" a="1"/>
  <c r="M140" i="1" s="1"/>
  <c r="M163" i="1" a="1"/>
  <c r="M163" i="1" s="1"/>
  <c r="M184" i="1" a="1"/>
  <c r="M184" i="1" s="1"/>
  <c r="M204" i="1" a="1"/>
  <c r="M204" i="1" s="1"/>
  <c r="M227" i="1" a="1"/>
  <c r="M227" i="1" s="1"/>
  <c r="M248" i="1" a="1"/>
  <c r="M248" i="1" s="1"/>
  <c r="M268" i="1" a="1"/>
  <c r="M268" i="1" s="1"/>
  <c r="M291" i="1" a="1"/>
  <c r="M291" i="1" s="1"/>
  <c r="M312" i="1" a="1"/>
  <c r="M312" i="1" s="1"/>
  <c r="M332" i="1" a="1"/>
  <c r="M332" i="1" s="1"/>
  <c r="M355" i="1" a="1"/>
  <c r="M355" i="1" s="1"/>
  <c r="M376" i="1" a="1"/>
  <c r="M376" i="1" s="1"/>
  <c r="M396" i="1" a="1"/>
  <c r="M396" i="1" s="1"/>
  <c r="M419" i="1" a="1"/>
  <c r="M419" i="1" s="1"/>
  <c r="M440" i="1" a="1"/>
  <c r="M440" i="1" s="1"/>
  <c r="M460" i="1" a="1"/>
  <c r="M460" i="1" s="1"/>
  <c r="M483" i="1" a="1"/>
  <c r="M483" i="1" s="1"/>
  <c r="M504" i="1" a="1"/>
  <c r="M504" i="1" s="1"/>
  <c r="M524" i="1" a="1"/>
  <c r="M524" i="1" s="1"/>
  <c r="M547" i="1" a="1"/>
  <c r="M547" i="1" s="1"/>
  <c r="M568" i="1" a="1"/>
  <c r="M568" i="1" s="1"/>
  <c r="M588" i="1" a="1"/>
  <c r="M588" i="1" s="1"/>
  <c r="M611" i="1" a="1"/>
  <c r="M611" i="1" s="1"/>
  <c r="M632" i="1" a="1"/>
  <c r="M632" i="1" s="1"/>
  <c r="M652" i="1" a="1"/>
  <c r="M652" i="1" s="1"/>
  <c r="M675" i="1" a="1"/>
  <c r="M675" i="1" s="1"/>
  <c r="M688" i="1" a="1"/>
  <c r="M688" i="1" s="1"/>
  <c r="M696" i="1" a="1"/>
  <c r="M696" i="1" s="1"/>
  <c r="M704" i="1" a="1"/>
  <c r="M704" i="1" s="1"/>
  <c r="M712" i="1" a="1"/>
  <c r="M712" i="1" s="1"/>
  <c r="M720" i="1" a="1"/>
  <c r="M720" i="1" s="1"/>
  <c r="M728" i="1" a="1"/>
  <c r="M728" i="1" s="1"/>
  <c r="M736" i="1" a="1"/>
  <c r="M736" i="1" s="1"/>
  <c r="M744" i="1" a="1"/>
  <c r="M744" i="1" s="1"/>
  <c r="M752" i="1" a="1"/>
  <c r="M752" i="1" s="1"/>
  <c r="M760" i="1" a="1"/>
  <c r="M760" i="1" s="1"/>
  <c r="M768" i="1" a="1"/>
  <c r="M768" i="1" s="1"/>
  <c r="M776" i="1" a="1"/>
  <c r="M776" i="1" s="1"/>
  <c r="M784" i="1" a="1"/>
  <c r="M784" i="1" s="1"/>
  <c r="M792" i="1" a="1"/>
  <c r="M792" i="1" s="1"/>
  <c r="M800" i="1" a="1"/>
  <c r="M800" i="1" s="1"/>
  <c r="M808" i="1" a="1"/>
  <c r="M808" i="1" s="1"/>
  <c r="M816" i="1" a="1"/>
  <c r="M816" i="1" s="1"/>
  <c r="M824" i="1" a="1"/>
  <c r="M824" i="1" s="1"/>
  <c r="M832" i="1" a="1"/>
  <c r="M832" i="1" s="1"/>
  <c r="M840" i="1" a="1"/>
  <c r="M840" i="1" s="1"/>
  <c r="M848" i="1" a="1"/>
  <c r="M848" i="1" s="1"/>
  <c r="M856" i="1" a="1"/>
  <c r="M856" i="1" s="1"/>
  <c r="M864" i="1" a="1"/>
  <c r="M864" i="1" s="1"/>
  <c r="M872" i="1" a="1"/>
  <c r="M872" i="1" s="1"/>
  <c r="M880" i="1" a="1"/>
  <c r="M880" i="1" s="1"/>
  <c r="M888" i="1" a="1"/>
  <c r="M888" i="1" s="1"/>
  <c r="M896" i="1" a="1"/>
  <c r="M896" i="1" s="1"/>
  <c r="M904" i="1" a="1"/>
  <c r="M904" i="1" s="1"/>
  <c r="M912" i="1" a="1"/>
  <c r="M912" i="1" s="1"/>
  <c r="M920" i="1" a="1"/>
  <c r="M920" i="1" s="1"/>
  <c r="M928" i="1" a="1"/>
  <c r="M928" i="1" s="1"/>
  <c r="M936" i="1" a="1"/>
  <c r="M936" i="1" s="1"/>
  <c r="M944" i="1" a="1"/>
  <c r="M944" i="1" s="1"/>
  <c r="M952" i="1" a="1"/>
  <c r="M952" i="1" s="1"/>
  <c r="M960" i="1" a="1"/>
  <c r="M960" i="1" s="1"/>
  <c r="M968" i="1" a="1"/>
  <c r="M968" i="1" s="1"/>
  <c r="M976" i="1" a="1"/>
  <c r="M976" i="1" s="1"/>
  <c r="M984" i="1" a="1"/>
  <c r="M984" i="1" s="1"/>
  <c r="M992" i="1" a="1"/>
  <c r="M992" i="1" s="1"/>
  <c r="M1000" i="1" a="1"/>
  <c r="M1000" i="1" s="1"/>
  <c r="M1008" i="1" a="1"/>
  <c r="M1008" i="1" s="1"/>
  <c r="M1016" i="1" a="1"/>
  <c r="M1016" i="1" s="1"/>
  <c r="M1024" i="1" a="1"/>
  <c r="M1024" i="1" s="1"/>
  <c r="M1032" i="1" a="1"/>
  <c r="M1032" i="1" s="1"/>
  <c r="M1040" i="1" a="1"/>
  <c r="M1040" i="1" s="1"/>
  <c r="M1048" i="1" a="1"/>
  <c r="M1048" i="1" s="1"/>
  <c r="M1056" i="1" a="1"/>
  <c r="M1056" i="1" s="1"/>
  <c r="M1064" i="1" a="1"/>
  <c r="M1064" i="1" s="1"/>
  <c r="M1072" i="1" a="1"/>
  <c r="M1072" i="1" s="1"/>
  <c r="M1080" i="1" a="1"/>
  <c r="M1080" i="1" s="1"/>
  <c r="M1088" i="1" a="1"/>
  <c r="M1088" i="1" s="1"/>
  <c r="M1096" i="1" a="1"/>
  <c r="M1096" i="1" s="1"/>
  <c r="M1104" i="1" a="1"/>
  <c r="M1104" i="1" s="1"/>
  <c r="M1112" i="1" a="1"/>
  <c r="M1112" i="1" s="1"/>
  <c r="M12" i="1" a="1"/>
  <c r="M12" i="1" s="1"/>
  <c r="M36" i="1" a="1"/>
  <c r="M36" i="1" s="1"/>
  <c r="M59" i="1" a="1"/>
  <c r="M59" i="1" s="1"/>
  <c r="M80" i="1" a="1"/>
  <c r="M80" i="1" s="1"/>
  <c r="M100" i="1" a="1"/>
  <c r="M100" i="1" s="1"/>
  <c r="M123" i="1" a="1"/>
  <c r="M123" i="1" s="1"/>
  <c r="M144" i="1" a="1"/>
  <c r="M144" i="1" s="1"/>
  <c r="M164" i="1" a="1"/>
  <c r="M164" i="1" s="1"/>
  <c r="M187" i="1" a="1"/>
  <c r="M187" i="1" s="1"/>
  <c r="M208" i="1" a="1"/>
  <c r="M208" i="1" s="1"/>
  <c r="M228" i="1" a="1"/>
  <c r="M228" i="1" s="1"/>
  <c r="M251" i="1" a="1"/>
  <c r="M251" i="1" s="1"/>
  <c r="M272" i="1" a="1"/>
  <c r="M272" i="1" s="1"/>
  <c r="M292" i="1" a="1"/>
  <c r="M292" i="1" s="1"/>
  <c r="M315" i="1" a="1"/>
  <c r="M315" i="1" s="1"/>
  <c r="M336" i="1" a="1"/>
  <c r="M336" i="1" s="1"/>
  <c r="M356" i="1" a="1"/>
  <c r="M356" i="1" s="1"/>
  <c r="M379" i="1" a="1"/>
  <c r="M379" i="1" s="1"/>
  <c r="M400" i="1" a="1"/>
  <c r="M400" i="1" s="1"/>
  <c r="M420" i="1" a="1"/>
  <c r="M420" i="1" s="1"/>
  <c r="M443" i="1" a="1"/>
  <c r="M443" i="1" s="1"/>
  <c r="M464" i="1" a="1"/>
  <c r="M464" i="1" s="1"/>
  <c r="M484" i="1" a="1"/>
  <c r="M484" i="1" s="1"/>
  <c r="M507" i="1" a="1"/>
  <c r="M507" i="1" s="1"/>
  <c r="M528" i="1" a="1"/>
  <c r="M528" i="1" s="1"/>
  <c r="M548" i="1" a="1"/>
  <c r="M548" i="1" s="1"/>
  <c r="M571" i="1" a="1"/>
  <c r="M571" i="1" s="1"/>
  <c r="M592" i="1" a="1"/>
  <c r="M592" i="1" s="1"/>
  <c r="M612" i="1" a="1"/>
  <c r="M612" i="1" s="1"/>
  <c r="M635" i="1" a="1"/>
  <c r="M635" i="1" s="1"/>
  <c r="M656" i="1" a="1"/>
  <c r="M656" i="1" s="1"/>
  <c r="M676" i="1" a="1"/>
  <c r="M676" i="1" s="1"/>
  <c r="M689" i="1" a="1"/>
  <c r="M689" i="1" s="1"/>
  <c r="M697" i="1" a="1"/>
  <c r="M697" i="1" s="1"/>
  <c r="M705" i="1" a="1"/>
  <c r="M705" i="1" s="1"/>
  <c r="M713" i="1" a="1"/>
  <c r="M713" i="1" s="1"/>
  <c r="M721" i="1" a="1"/>
  <c r="M721" i="1" s="1"/>
  <c r="M729" i="1" a="1"/>
  <c r="M729" i="1" s="1"/>
  <c r="M737" i="1" a="1"/>
  <c r="M737" i="1" s="1"/>
  <c r="M745" i="1" a="1"/>
  <c r="M745" i="1" s="1"/>
  <c r="M753" i="1" a="1"/>
  <c r="M753" i="1" s="1"/>
  <c r="M761" i="1" a="1"/>
  <c r="M761" i="1" s="1"/>
  <c r="M769" i="1" a="1"/>
  <c r="M769" i="1" s="1"/>
  <c r="M777" i="1" a="1"/>
  <c r="M777" i="1" s="1"/>
  <c r="M785" i="1" a="1"/>
  <c r="M785" i="1" s="1"/>
  <c r="M793" i="1" a="1"/>
  <c r="M793" i="1" s="1"/>
  <c r="M801" i="1" a="1"/>
  <c r="M801" i="1" s="1"/>
  <c r="M809" i="1" a="1"/>
  <c r="M809" i="1" s="1"/>
  <c r="M817" i="1" a="1"/>
  <c r="M817" i="1" s="1"/>
  <c r="M825" i="1" a="1"/>
  <c r="M825" i="1" s="1"/>
  <c r="M833" i="1" a="1"/>
  <c r="M833" i="1" s="1"/>
  <c r="M841" i="1" a="1"/>
  <c r="M841" i="1" s="1"/>
  <c r="M849" i="1" a="1"/>
  <c r="M849" i="1" s="1"/>
  <c r="M857" i="1" a="1"/>
  <c r="M857" i="1" s="1"/>
  <c r="M865" i="1" a="1"/>
  <c r="M865" i="1" s="1"/>
  <c r="M873" i="1" a="1"/>
  <c r="M873" i="1" s="1"/>
  <c r="M881" i="1" a="1"/>
  <c r="M881" i="1" s="1"/>
  <c r="M889" i="1" a="1"/>
  <c r="M889" i="1" s="1"/>
  <c r="M897" i="1" a="1"/>
  <c r="M897" i="1" s="1"/>
  <c r="M905" i="1" a="1"/>
  <c r="M905" i="1" s="1"/>
  <c r="M913" i="1" a="1"/>
  <c r="M913" i="1" s="1"/>
  <c r="M921" i="1" a="1"/>
  <c r="M921" i="1" s="1"/>
  <c r="M929" i="1" a="1"/>
  <c r="M929" i="1" s="1"/>
  <c r="M937" i="1" a="1"/>
  <c r="M937" i="1" s="1"/>
  <c r="M945" i="1" a="1"/>
  <c r="M945" i="1" s="1"/>
  <c r="M953" i="1" a="1"/>
  <c r="M953" i="1" s="1"/>
  <c r="M961" i="1" a="1"/>
  <c r="M961" i="1" s="1"/>
  <c r="M969" i="1" a="1"/>
  <c r="M969" i="1" s="1"/>
  <c r="M977" i="1" a="1"/>
  <c r="M977" i="1" s="1"/>
  <c r="M985" i="1" a="1"/>
  <c r="M985" i="1" s="1"/>
  <c r="M993" i="1" a="1"/>
  <c r="M993" i="1" s="1"/>
  <c r="M1001" i="1" a="1"/>
  <c r="M1001" i="1" s="1"/>
  <c r="M1009" i="1" a="1"/>
  <c r="M1009" i="1" s="1"/>
  <c r="M1017" i="1" a="1"/>
  <c r="M1017" i="1" s="1"/>
  <c r="M1025" i="1" a="1"/>
  <c r="M1025" i="1" s="1"/>
  <c r="M1033" i="1" a="1"/>
  <c r="M1033" i="1" s="1"/>
  <c r="M1041" i="1" a="1"/>
  <c r="M1041" i="1" s="1"/>
  <c r="M1049" i="1" a="1"/>
  <c r="M1049" i="1" s="1"/>
  <c r="M1057" i="1" a="1"/>
  <c r="M1057" i="1" s="1"/>
  <c r="M1065" i="1" a="1"/>
  <c r="M1065" i="1" s="1"/>
  <c r="M1073" i="1" a="1"/>
  <c r="M1073" i="1" s="1"/>
  <c r="M1081" i="1" a="1"/>
  <c r="M1081" i="1" s="1"/>
  <c r="M1089" i="1" a="1"/>
  <c r="M1089" i="1" s="1"/>
  <c r="M1097" i="1" a="1"/>
  <c r="M1097" i="1" s="1"/>
  <c r="M1105" i="1" a="1"/>
  <c r="M1105" i="1" s="1"/>
  <c r="M19" i="1" a="1"/>
  <c r="M19" i="1" s="1"/>
  <c r="M40" i="1" a="1"/>
  <c r="M40" i="1" s="1"/>
  <c r="M60" i="1" a="1"/>
  <c r="M60" i="1" s="1"/>
  <c r="M83" i="1" a="1"/>
  <c r="M83" i="1" s="1"/>
  <c r="M104" i="1" a="1"/>
  <c r="M104" i="1" s="1"/>
  <c r="M124" i="1" a="1"/>
  <c r="M124" i="1" s="1"/>
  <c r="M147" i="1" a="1"/>
  <c r="M147" i="1" s="1"/>
  <c r="M168" i="1" a="1"/>
  <c r="M168" i="1" s="1"/>
  <c r="M188" i="1" a="1"/>
  <c r="M188" i="1" s="1"/>
  <c r="M211" i="1" a="1"/>
  <c r="M211" i="1" s="1"/>
  <c r="M232" i="1" a="1"/>
  <c r="M232" i="1" s="1"/>
  <c r="M252" i="1" a="1"/>
  <c r="M252" i="1" s="1"/>
  <c r="M275" i="1" a="1"/>
  <c r="M275" i="1" s="1"/>
  <c r="M296" i="1" a="1"/>
  <c r="M296" i="1" s="1"/>
  <c r="M316" i="1" a="1"/>
  <c r="M316" i="1" s="1"/>
  <c r="M339" i="1" a="1"/>
  <c r="M339" i="1" s="1"/>
  <c r="M360" i="1" a="1"/>
  <c r="M360" i="1" s="1"/>
  <c r="M380" i="1" a="1"/>
  <c r="M380" i="1" s="1"/>
  <c r="M403" i="1" a="1"/>
  <c r="M403" i="1" s="1"/>
  <c r="M424" i="1" a="1"/>
  <c r="M424" i="1" s="1"/>
  <c r="M444" i="1" a="1"/>
  <c r="M444" i="1" s="1"/>
  <c r="M467" i="1" a="1"/>
  <c r="M467" i="1" s="1"/>
  <c r="M488" i="1" a="1"/>
  <c r="M488" i="1" s="1"/>
  <c r="M508" i="1" a="1"/>
  <c r="M508" i="1" s="1"/>
  <c r="M531" i="1" a="1"/>
  <c r="M531" i="1" s="1"/>
  <c r="M552" i="1" a="1"/>
  <c r="M552" i="1" s="1"/>
  <c r="M572" i="1" a="1"/>
  <c r="M572" i="1" s="1"/>
  <c r="M595" i="1" a="1"/>
  <c r="M595" i="1" s="1"/>
  <c r="M616" i="1" a="1"/>
  <c r="M616" i="1" s="1"/>
  <c r="M636" i="1" a="1"/>
  <c r="M636" i="1" s="1"/>
  <c r="M659" i="1" a="1"/>
  <c r="M659" i="1" s="1"/>
  <c r="M680" i="1" a="1"/>
  <c r="M680" i="1" s="1"/>
  <c r="M690" i="1" a="1"/>
  <c r="M690" i="1" s="1"/>
  <c r="M698" i="1" a="1"/>
  <c r="M698" i="1" s="1"/>
  <c r="M706" i="1" a="1"/>
  <c r="M706" i="1" s="1"/>
  <c r="M714" i="1" a="1"/>
  <c r="M714" i="1" s="1"/>
  <c r="M722" i="1" a="1"/>
  <c r="M722" i="1" s="1"/>
  <c r="M730" i="1" a="1"/>
  <c r="M730" i="1" s="1"/>
  <c r="M738" i="1" a="1"/>
  <c r="M738" i="1" s="1"/>
  <c r="M746" i="1" a="1"/>
  <c r="M746" i="1" s="1"/>
  <c r="M754" i="1" a="1"/>
  <c r="M754" i="1" s="1"/>
  <c r="M762" i="1" a="1"/>
  <c r="M762" i="1" s="1"/>
  <c r="M770" i="1" a="1"/>
  <c r="M770" i="1" s="1"/>
  <c r="M778" i="1" a="1"/>
  <c r="M778" i="1" s="1"/>
  <c r="M786" i="1" a="1"/>
  <c r="M786" i="1" s="1"/>
  <c r="M794" i="1" a="1"/>
  <c r="M794" i="1" s="1"/>
  <c r="M802" i="1" a="1"/>
  <c r="M802" i="1" s="1"/>
  <c r="M810" i="1" a="1"/>
  <c r="M810" i="1" s="1"/>
  <c r="M818" i="1" a="1"/>
  <c r="M818" i="1" s="1"/>
  <c r="M826" i="1" a="1"/>
  <c r="M826" i="1" s="1"/>
  <c r="M834" i="1" a="1"/>
  <c r="M834" i="1" s="1"/>
  <c r="M842" i="1" a="1"/>
  <c r="M842" i="1" s="1"/>
  <c r="M850" i="1" a="1"/>
  <c r="M850" i="1" s="1"/>
  <c r="M858" i="1" a="1"/>
  <c r="M858" i="1" s="1"/>
  <c r="M866" i="1" a="1"/>
  <c r="M866" i="1" s="1"/>
  <c r="M874" i="1" a="1"/>
  <c r="M874" i="1" s="1"/>
  <c r="M882" i="1" a="1"/>
  <c r="M882" i="1" s="1"/>
  <c r="M890" i="1" a="1"/>
  <c r="M890" i="1" s="1"/>
  <c r="M898" i="1" a="1"/>
  <c r="M898" i="1" s="1"/>
  <c r="M906" i="1" a="1"/>
  <c r="M906" i="1" s="1"/>
  <c r="M914" i="1" a="1"/>
  <c r="M914" i="1" s="1"/>
  <c r="M922" i="1" a="1"/>
  <c r="M922" i="1" s="1"/>
  <c r="M930" i="1" a="1"/>
  <c r="M930" i="1" s="1"/>
  <c r="M938" i="1" a="1"/>
  <c r="M938" i="1" s="1"/>
  <c r="M946" i="1" a="1"/>
  <c r="M946" i="1" s="1"/>
  <c r="M954" i="1" a="1"/>
  <c r="M954" i="1" s="1"/>
  <c r="M962" i="1" a="1"/>
  <c r="M962" i="1" s="1"/>
  <c r="M970" i="1" a="1"/>
  <c r="M970" i="1" s="1"/>
  <c r="M978" i="1" a="1"/>
  <c r="M978" i="1" s="1"/>
  <c r="M986" i="1" a="1"/>
  <c r="M986" i="1" s="1"/>
  <c r="M994" i="1" a="1"/>
  <c r="M994" i="1" s="1"/>
  <c r="M1002" i="1" a="1"/>
  <c r="M1002" i="1" s="1"/>
  <c r="M1010" i="1" a="1"/>
  <c r="M1010" i="1" s="1"/>
  <c r="M1018" i="1" a="1"/>
  <c r="M1018" i="1" s="1"/>
  <c r="M1026" i="1" a="1"/>
  <c r="M1026" i="1" s="1"/>
  <c r="M1034" i="1" a="1"/>
  <c r="M1034" i="1" s="1"/>
  <c r="M1042" i="1" a="1"/>
  <c r="M1042" i="1" s="1"/>
  <c r="M1050" i="1" a="1"/>
  <c r="M1050" i="1" s="1"/>
  <c r="M1058" i="1" a="1"/>
  <c r="M1058" i="1" s="1"/>
  <c r="M1066" i="1" a="1"/>
  <c r="M1066" i="1" s="1"/>
  <c r="M1074" i="1" a="1"/>
  <c r="M1074" i="1" s="1"/>
  <c r="M1082" i="1" a="1"/>
  <c r="M1082" i="1" s="1"/>
  <c r="M1090" i="1" a="1"/>
  <c r="M1090" i="1" s="1"/>
  <c r="M1098" i="1" a="1"/>
  <c r="M1098" i="1" s="1"/>
  <c r="M1106" i="1" a="1"/>
  <c r="M1106" i="1" s="1"/>
  <c r="M20" i="1" a="1"/>
  <c r="M20" i="1" s="1"/>
  <c r="M43" i="1" a="1"/>
  <c r="M43" i="1" s="1"/>
  <c r="M64" i="1" a="1"/>
  <c r="M64" i="1" s="1"/>
  <c r="M84" i="1" a="1"/>
  <c r="M84" i="1" s="1"/>
  <c r="M107" i="1" a="1"/>
  <c r="M107" i="1" s="1"/>
  <c r="M128" i="1" a="1"/>
  <c r="M128" i="1" s="1"/>
  <c r="M148" i="1" a="1"/>
  <c r="M148" i="1" s="1"/>
  <c r="M171" i="1" a="1"/>
  <c r="M171" i="1" s="1"/>
  <c r="M192" i="1" a="1"/>
  <c r="M192" i="1" s="1"/>
  <c r="M212" i="1" a="1"/>
  <c r="M212" i="1" s="1"/>
  <c r="M235" i="1" a="1"/>
  <c r="M235" i="1" s="1"/>
  <c r="M256" i="1" a="1"/>
  <c r="M256" i="1" s="1"/>
  <c r="M276" i="1" a="1"/>
  <c r="M276" i="1" s="1"/>
  <c r="M299" i="1" a="1"/>
  <c r="M299" i="1" s="1"/>
  <c r="M320" i="1" a="1"/>
  <c r="M320" i="1" s="1"/>
  <c r="M340" i="1" a="1"/>
  <c r="M340" i="1" s="1"/>
  <c r="M363" i="1" a="1"/>
  <c r="M363" i="1" s="1"/>
  <c r="M384" i="1" a="1"/>
  <c r="M384" i="1" s="1"/>
  <c r="M404" i="1" a="1"/>
  <c r="M404" i="1" s="1"/>
  <c r="M427" i="1" a="1"/>
  <c r="M427" i="1" s="1"/>
  <c r="M448" i="1" a="1"/>
  <c r="M448" i="1" s="1"/>
  <c r="M468" i="1" a="1"/>
  <c r="M468" i="1" s="1"/>
  <c r="M491" i="1" a="1"/>
  <c r="M491" i="1" s="1"/>
  <c r="M512" i="1" a="1"/>
  <c r="M512" i="1" s="1"/>
  <c r="M532" i="1" a="1"/>
  <c r="M532" i="1" s="1"/>
  <c r="M555" i="1" a="1"/>
  <c r="M555" i="1" s="1"/>
  <c r="M576" i="1" a="1"/>
  <c r="M576" i="1" s="1"/>
  <c r="M596" i="1" a="1"/>
  <c r="M596" i="1" s="1"/>
  <c r="M619" i="1" a="1"/>
  <c r="M619" i="1" s="1"/>
  <c r="M640" i="1" a="1"/>
  <c r="M640" i="1" s="1"/>
  <c r="M660" i="1" a="1"/>
  <c r="M660" i="1" s="1"/>
  <c r="M682" i="1" a="1"/>
  <c r="M682" i="1" s="1"/>
  <c r="M691" i="1" a="1"/>
  <c r="M691" i="1" s="1"/>
  <c r="M699" i="1" a="1"/>
  <c r="M699" i="1" s="1"/>
  <c r="M707" i="1" a="1"/>
  <c r="M707" i="1" s="1"/>
  <c r="M715" i="1" a="1"/>
  <c r="M715" i="1" s="1"/>
  <c r="M723" i="1" a="1"/>
  <c r="M723" i="1" s="1"/>
  <c r="M731" i="1" a="1"/>
  <c r="M731" i="1" s="1"/>
  <c r="M739" i="1" a="1"/>
  <c r="M739" i="1" s="1"/>
  <c r="M747" i="1" a="1"/>
  <c r="M747" i="1" s="1"/>
  <c r="M755" i="1" a="1"/>
  <c r="M755" i="1" s="1"/>
  <c r="M763" i="1" a="1"/>
  <c r="M763" i="1" s="1"/>
  <c r="M771" i="1" a="1"/>
  <c r="M771" i="1" s="1"/>
  <c r="M779" i="1" a="1"/>
  <c r="M779" i="1" s="1"/>
  <c r="M787" i="1" a="1"/>
  <c r="M787" i="1" s="1"/>
  <c r="M795" i="1" a="1"/>
  <c r="M795" i="1" s="1"/>
  <c r="M803" i="1" a="1"/>
  <c r="M803" i="1" s="1"/>
  <c r="M811" i="1" a="1"/>
  <c r="M811" i="1" s="1"/>
  <c r="M819" i="1" a="1"/>
  <c r="M819" i="1" s="1"/>
  <c r="M827" i="1" a="1"/>
  <c r="M827" i="1" s="1"/>
  <c r="M835" i="1" a="1"/>
  <c r="M835" i="1" s="1"/>
  <c r="M843" i="1" a="1"/>
  <c r="M843" i="1" s="1"/>
  <c r="M851" i="1" a="1"/>
  <c r="M851" i="1" s="1"/>
  <c r="M859" i="1" a="1"/>
  <c r="M859" i="1" s="1"/>
  <c r="M867" i="1" a="1"/>
  <c r="M867" i="1" s="1"/>
  <c r="M875" i="1" a="1"/>
  <c r="M875" i="1" s="1"/>
  <c r="M883" i="1" a="1"/>
  <c r="M883" i="1" s="1"/>
  <c r="M891" i="1" a="1"/>
  <c r="M891" i="1" s="1"/>
  <c r="M899" i="1" a="1"/>
  <c r="M899" i="1" s="1"/>
  <c r="M907" i="1" a="1"/>
  <c r="M907" i="1" s="1"/>
  <c r="M915" i="1" a="1"/>
  <c r="M915" i="1" s="1"/>
  <c r="M923" i="1" a="1"/>
  <c r="M923" i="1" s="1"/>
  <c r="M931" i="1" a="1"/>
  <c r="M931" i="1" s="1"/>
  <c r="M939" i="1" a="1"/>
  <c r="M939" i="1" s="1"/>
  <c r="M947" i="1" a="1"/>
  <c r="M947" i="1" s="1"/>
  <c r="M955" i="1" a="1"/>
  <c r="M955" i="1" s="1"/>
  <c r="M963" i="1" a="1"/>
  <c r="M963" i="1" s="1"/>
  <c r="M971" i="1" a="1"/>
  <c r="M971" i="1" s="1"/>
  <c r="M979" i="1" a="1"/>
  <c r="M979" i="1" s="1"/>
  <c r="M987" i="1" a="1"/>
  <c r="M987" i="1" s="1"/>
  <c r="M995" i="1" a="1"/>
  <c r="M995" i="1" s="1"/>
  <c r="M1003" i="1" a="1"/>
  <c r="M1003" i="1" s="1"/>
  <c r="M1011" i="1" a="1"/>
  <c r="M1011" i="1" s="1"/>
  <c r="M1019" i="1" a="1"/>
  <c r="M1019" i="1" s="1"/>
  <c r="M1027" i="1" a="1"/>
  <c r="M1027" i="1" s="1"/>
  <c r="M1035" i="1" a="1"/>
  <c r="M1035" i="1" s="1"/>
  <c r="M1043" i="1" a="1"/>
  <c r="M1043" i="1" s="1"/>
  <c r="M1051" i="1" a="1"/>
  <c r="M1051" i="1" s="1"/>
  <c r="M1059" i="1" a="1"/>
  <c r="M1059" i="1" s="1"/>
  <c r="M1067" i="1" a="1"/>
  <c r="M1067" i="1" s="1"/>
  <c r="M1075" i="1" a="1"/>
  <c r="M1075" i="1" s="1"/>
  <c r="M1083" i="1" a="1"/>
  <c r="M1083" i="1" s="1"/>
  <c r="M1091" i="1" a="1"/>
  <c r="M1091" i="1" s="1"/>
  <c r="M1099" i="1" a="1"/>
  <c r="M1099" i="1" s="1"/>
  <c r="M1107" i="1" a="1"/>
  <c r="M1107" i="1" s="1"/>
  <c r="M24" i="1" a="1"/>
  <c r="M24" i="1" s="1"/>
  <c r="M44" i="1" a="1"/>
  <c r="M44" i="1" s="1"/>
  <c r="M67" i="1" a="1"/>
  <c r="M67" i="1" s="1"/>
  <c r="M88" i="1" a="1"/>
  <c r="M88" i="1" s="1"/>
  <c r="M108" i="1" a="1"/>
  <c r="M108" i="1" s="1"/>
  <c r="M131" i="1" a="1"/>
  <c r="M131" i="1" s="1"/>
  <c r="M152" i="1" a="1"/>
  <c r="M152" i="1" s="1"/>
  <c r="M172" i="1" a="1"/>
  <c r="M172" i="1" s="1"/>
  <c r="M195" i="1" a="1"/>
  <c r="M195" i="1" s="1"/>
  <c r="M216" i="1" a="1"/>
  <c r="M216" i="1" s="1"/>
  <c r="M236" i="1" a="1"/>
  <c r="M236" i="1" s="1"/>
  <c r="M259" i="1" a="1"/>
  <c r="M259" i="1" s="1"/>
  <c r="M280" i="1" a="1"/>
  <c r="M280" i="1" s="1"/>
  <c r="M300" i="1" a="1"/>
  <c r="M300" i="1" s="1"/>
  <c r="M323" i="1" a="1"/>
  <c r="M323" i="1" s="1"/>
  <c r="M344" i="1" a="1"/>
  <c r="M344" i="1" s="1"/>
  <c r="M364" i="1" a="1"/>
  <c r="M364" i="1" s="1"/>
  <c r="M387" i="1" a="1"/>
  <c r="M387" i="1" s="1"/>
  <c r="M408" i="1" a="1"/>
  <c r="M408" i="1" s="1"/>
  <c r="M428" i="1" a="1"/>
  <c r="M428" i="1" s="1"/>
  <c r="M451" i="1" a="1"/>
  <c r="M451" i="1" s="1"/>
  <c r="M472" i="1" a="1"/>
  <c r="M472" i="1" s="1"/>
  <c r="M492" i="1" a="1"/>
  <c r="M492" i="1" s="1"/>
  <c r="M515" i="1" a="1"/>
  <c r="M515" i="1" s="1"/>
  <c r="M536" i="1" a="1"/>
  <c r="M536" i="1" s="1"/>
  <c r="M556" i="1" a="1"/>
  <c r="M556" i="1" s="1"/>
  <c r="M579" i="1" a="1"/>
  <c r="M579" i="1" s="1"/>
  <c r="M600" i="1" a="1"/>
  <c r="M600" i="1" s="1"/>
  <c r="M620" i="1" a="1"/>
  <c r="M620" i="1" s="1"/>
  <c r="M643" i="1" a="1"/>
  <c r="M643" i="1" s="1"/>
  <c r="M664" i="1" a="1"/>
  <c r="M664" i="1" s="1"/>
  <c r="M683" i="1" a="1"/>
  <c r="M683" i="1" s="1"/>
  <c r="M692" i="1" a="1"/>
  <c r="M692" i="1" s="1"/>
  <c r="M700" i="1" a="1"/>
  <c r="M700" i="1" s="1"/>
  <c r="M708" i="1" a="1"/>
  <c r="M708" i="1" s="1"/>
  <c r="M716" i="1" a="1"/>
  <c r="M716" i="1" s="1"/>
  <c r="M724" i="1" a="1"/>
  <c r="M724" i="1" s="1"/>
  <c r="M732" i="1" a="1"/>
  <c r="M732" i="1" s="1"/>
  <c r="M740" i="1" a="1"/>
  <c r="M740" i="1" s="1"/>
  <c r="M748" i="1" a="1"/>
  <c r="M748" i="1" s="1"/>
  <c r="M756" i="1" a="1"/>
  <c r="M756" i="1" s="1"/>
  <c r="M764" i="1" a="1"/>
  <c r="M764" i="1" s="1"/>
  <c r="M772" i="1" a="1"/>
  <c r="M772" i="1" s="1"/>
  <c r="M780" i="1" a="1"/>
  <c r="M780" i="1" s="1"/>
  <c r="M788" i="1" a="1"/>
  <c r="M788" i="1" s="1"/>
  <c r="M796" i="1" a="1"/>
  <c r="M796" i="1" s="1"/>
  <c r="M804" i="1" a="1"/>
  <c r="M804" i="1" s="1"/>
  <c r="M812" i="1" a="1"/>
  <c r="M812" i="1" s="1"/>
  <c r="M820" i="1" a="1"/>
  <c r="M820" i="1" s="1"/>
  <c r="M828" i="1" a="1"/>
  <c r="M828" i="1" s="1"/>
  <c r="M836" i="1" a="1"/>
  <c r="M836" i="1" s="1"/>
  <c r="M844" i="1" a="1"/>
  <c r="M844" i="1" s="1"/>
  <c r="M852" i="1" a="1"/>
  <c r="M852" i="1" s="1"/>
  <c r="M860" i="1" a="1"/>
  <c r="M860" i="1" s="1"/>
  <c r="M868" i="1" a="1"/>
  <c r="M868" i="1" s="1"/>
  <c r="M876" i="1" a="1"/>
  <c r="M876" i="1" s="1"/>
  <c r="M884" i="1" a="1"/>
  <c r="M884" i="1" s="1"/>
  <c r="M892" i="1" a="1"/>
  <c r="M892" i="1" s="1"/>
  <c r="M900" i="1" a="1"/>
  <c r="M900" i="1" s="1"/>
  <c r="M908" i="1" a="1"/>
  <c r="M908" i="1" s="1"/>
  <c r="M916" i="1" a="1"/>
  <c r="M916" i="1" s="1"/>
  <c r="M924" i="1" a="1"/>
  <c r="M924" i="1" s="1"/>
  <c r="M932" i="1" a="1"/>
  <c r="M932" i="1" s="1"/>
  <c r="M940" i="1" a="1"/>
  <c r="M940" i="1" s="1"/>
  <c r="M948" i="1" a="1"/>
  <c r="M948" i="1" s="1"/>
  <c r="M956" i="1" a="1"/>
  <c r="M956" i="1" s="1"/>
  <c r="M964" i="1" a="1"/>
  <c r="M964" i="1" s="1"/>
  <c r="M972" i="1" a="1"/>
  <c r="M972" i="1" s="1"/>
  <c r="M980" i="1" a="1"/>
  <c r="M980" i="1" s="1"/>
  <c r="M988" i="1" a="1"/>
  <c r="M988" i="1" s="1"/>
  <c r="M996" i="1" a="1"/>
  <c r="M996" i="1" s="1"/>
  <c r="M1004" i="1" a="1"/>
  <c r="M1004" i="1" s="1"/>
  <c r="M1012" i="1" a="1"/>
  <c r="M1012" i="1" s="1"/>
  <c r="M1020" i="1" a="1"/>
  <c r="M1020" i="1" s="1"/>
  <c r="M1028" i="1" a="1"/>
  <c r="M1028" i="1" s="1"/>
  <c r="M1036" i="1" a="1"/>
  <c r="M1036" i="1" s="1"/>
  <c r="M1044" i="1" a="1"/>
  <c r="M1044" i="1" s="1"/>
  <c r="M1052" i="1" a="1"/>
  <c r="M1052" i="1" s="1"/>
  <c r="M1060" i="1" a="1"/>
  <c r="M1060" i="1" s="1"/>
  <c r="M1068" i="1" a="1"/>
  <c r="M1068" i="1" s="1"/>
  <c r="M1076" i="1" a="1"/>
  <c r="M1076" i="1" s="1"/>
  <c r="M1084" i="1" a="1"/>
  <c r="M1084" i="1" s="1"/>
  <c r="M1092" i="1" a="1"/>
  <c r="M1092" i="1" s="1"/>
  <c r="M1100" i="1" a="1"/>
  <c r="M1100" i="1" s="1"/>
  <c r="M1108" i="1" a="1"/>
  <c r="M1108" i="1" s="1"/>
  <c r="M27" i="1" a="1"/>
  <c r="M27" i="1" s="1"/>
  <c r="M48" i="1" a="1"/>
  <c r="M48" i="1" s="1"/>
  <c r="M68" i="1" a="1"/>
  <c r="M68" i="1" s="1"/>
  <c r="M91" i="1" a="1"/>
  <c r="M91" i="1" s="1"/>
  <c r="M112" i="1" a="1"/>
  <c r="M112" i="1" s="1"/>
  <c r="M132" i="1" a="1"/>
  <c r="M132" i="1" s="1"/>
  <c r="M155" i="1" a="1"/>
  <c r="M155" i="1" s="1"/>
  <c r="M176" i="1" a="1"/>
  <c r="M176" i="1" s="1"/>
  <c r="M196" i="1" a="1"/>
  <c r="M196" i="1" s="1"/>
  <c r="M219" i="1" a="1"/>
  <c r="M219" i="1" s="1"/>
  <c r="M240" i="1" a="1"/>
  <c r="M240" i="1" s="1"/>
  <c r="M260" i="1" a="1"/>
  <c r="M260" i="1" s="1"/>
  <c r="M283" i="1" a="1"/>
  <c r="M283" i="1" s="1"/>
  <c r="M304" i="1" a="1"/>
  <c r="M304" i="1" s="1"/>
  <c r="M324" i="1" a="1"/>
  <c r="M324" i="1" s="1"/>
  <c r="M347" i="1" a="1"/>
  <c r="M347" i="1" s="1"/>
  <c r="M368" i="1" a="1"/>
  <c r="M368" i="1" s="1"/>
  <c r="M388" i="1" a="1"/>
  <c r="M388" i="1" s="1"/>
  <c r="M411" i="1" a="1"/>
  <c r="M411" i="1" s="1"/>
  <c r="M432" i="1" a="1"/>
  <c r="M432" i="1" s="1"/>
  <c r="M452" i="1" a="1"/>
  <c r="M452" i="1" s="1"/>
  <c r="M475" i="1" a="1"/>
  <c r="M475" i="1" s="1"/>
  <c r="M496" i="1" a="1"/>
  <c r="M496" i="1" s="1"/>
  <c r="M516" i="1" a="1"/>
  <c r="M516" i="1" s="1"/>
  <c r="M539" i="1" a="1"/>
  <c r="M539" i="1" s="1"/>
  <c r="M560" i="1" a="1"/>
  <c r="M560" i="1" s="1"/>
  <c r="M580" i="1" a="1"/>
  <c r="M580" i="1" s="1"/>
  <c r="M603" i="1" a="1"/>
  <c r="M603" i="1" s="1"/>
  <c r="M624" i="1" a="1"/>
  <c r="M624" i="1" s="1"/>
  <c r="M644" i="1" a="1"/>
  <c r="M644" i="1" s="1"/>
  <c r="M667" i="1" a="1"/>
  <c r="M667" i="1" s="1"/>
  <c r="M28" i="1" a="1"/>
  <c r="M28" i="1" s="1"/>
  <c r="M51" i="1" a="1"/>
  <c r="M51" i="1" s="1"/>
  <c r="M72" i="1" a="1"/>
  <c r="M72" i="1" s="1"/>
  <c r="M92" i="1" a="1"/>
  <c r="M92" i="1" s="1"/>
  <c r="M115" i="1" a="1"/>
  <c r="M115" i="1" s="1"/>
  <c r="M136" i="1" a="1"/>
  <c r="M136" i="1" s="1"/>
  <c r="M156" i="1" a="1"/>
  <c r="M156" i="1" s="1"/>
  <c r="M179" i="1" a="1"/>
  <c r="M179" i="1" s="1"/>
  <c r="M200" i="1" a="1"/>
  <c r="M200" i="1" s="1"/>
  <c r="M220" i="1" a="1"/>
  <c r="M220" i="1" s="1"/>
  <c r="M243" i="1" a="1"/>
  <c r="M243" i="1" s="1"/>
  <c r="M264" i="1" a="1"/>
  <c r="M264" i="1" s="1"/>
  <c r="M284" i="1" a="1"/>
  <c r="M284" i="1" s="1"/>
  <c r="M307" i="1" a="1"/>
  <c r="M307" i="1" s="1"/>
  <c r="M328" i="1" a="1"/>
  <c r="M328" i="1" s="1"/>
  <c r="M348" i="1" a="1"/>
  <c r="M348" i="1" s="1"/>
  <c r="M371" i="1" a="1"/>
  <c r="M371" i="1" s="1"/>
  <c r="M392" i="1" a="1"/>
  <c r="M392" i="1" s="1"/>
  <c r="M412" i="1" a="1"/>
  <c r="M412" i="1" s="1"/>
  <c r="M435" i="1" a="1"/>
  <c r="M435" i="1" s="1"/>
  <c r="M456" i="1" a="1"/>
  <c r="M456" i="1" s="1"/>
  <c r="M476" i="1" a="1"/>
  <c r="M476" i="1" s="1"/>
  <c r="M499" i="1" a="1"/>
  <c r="M499" i="1" s="1"/>
  <c r="M520" i="1" a="1"/>
  <c r="M520" i="1" s="1"/>
  <c r="M540" i="1" a="1"/>
  <c r="M540" i="1" s="1"/>
  <c r="M563" i="1" a="1"/>
  <c r="M563" i="1" s="1"/>
  <c r="M584" i="1" a="1"/>
  <c r="M584" i="1" s="1"/>
  <c r="M32" i="1" a="1"/>
  <c r="M32" i="1" s="1"/>
  <c r="M52" i="1" a="1"/>
  <c r="M52" i="1" s="1"/>
  <c r="M75" i="1" a="1"/>
  <c r="M75" i="1" s="1"/>
  <c r="M96" i="1" a="1"/>
  <c r="M96" i="1" s="1"/>
  <c r="M116" i="1" a="1"/>
  <c r="M116" i="1" s="1"/>
  <c r="M139" i="1" a="1"/>
  <c r="M139" i="1" s="1"/>
  <c r="M160" i="1" a="1"/>
  <c r="M160" i="1" s="1"/>
  <c r="M180" i="1" a="1"/>
  <c r="M180" i="1" s="1"/>
  <c r="M203" i="1" a="1"/>
  <c r="M203" i="1" s="1"/>
  <c r="M224" i="1" a="1"/>
  <c r="M224" i="1" s="1"/>
  <c r="M244" i="1" a="1"/>
  <c r="M244" i="1" s="1"/>
  <c r="M267" i="1" a="1"/>
  <c r="M267" i="1" s="1"/>
  <c r="M288" i="1" a="1"/>
  <c r="M288" i="1" s="1"/>
  <c r="M308" i="1" a="1"/>
  <c r="M308" i="1" s="1"/>
  <c r="M331" i="1" a="1"/>
  <c r="M331" i="1" s="1"/>
  <c r="M352" i="1" a="1"/>
  <c r="M352" i="1" s="1"/>
  <c r="M372" i="1" a="1"/>
  <c r="M372" i="1" s="1"/>
  <c r="M395" i="1" a="1"/>
  <c r="M395" i="1" s="1"/>
  <c r="M416" i="1" a="1"/>
  <c r="M416" i="1" s="1"/>
  <c r="M436" i="1" a="1"/>
  <c r="M436" i="1" s="1"/>
  <c r="M459" i="1" a="1"/>
  <c r="M459" i="1" s="1"/>
  <c r="M480" i="1" a="1"/>
  <c r="M480" i="1" s="1"/>
  <c r="M500" i="1" a="1"/>
  <c r="M500" i="1" s="1"/>
  <c r="M523" i="1" a="1"/>
  <c r="M523" i="1" s="1"/>
  <c r="M544" i="1" a="1"/>
  <c r="M544" i="1" s="1"/>
  <c r="M564" i="1" a="1"/>
  <c r="M564" i="1" s="1"/>
  <c r="M587" i="1" a="1"/>
  <c r="M587" i="1" s="1"/>
  <c r="M608" i="1" a="1"/>
  <c r="M608" i="1" s="1"/>
  <c r="M628" i="1" a="1"/>
  <c r="M628" i="1" s="1"/>
  <c r="M651" i="1" a="1"/>
  <c r="M651" i="1" s="1"/>
  <c r="M672" i="1" a="1"/>
  <c r="M672" i="1" s="1"/>
  <c r="M687" i="1" a="1"/>
  <c r="M687" i="1" s="1"/>
  <c r="M695" i="1" a="1"/>
  <c r="M695" i="1" s="1"/>
  <c r="M703" i="1" a="1"/>
  <c r="M703" i="1" s="1"/>
  <c r="M711" i="1" a="1"/>
  <c r="M711" i="1" s="1"/>
  <c r="M719" i="1" a="1"/>
  <c r="M719" i="1" s="1"/>
  <c r="M727" i="1" a="1"/>
  <c r="M727" i="1" s="1"/>
  <c r="M735" i="1" a="1"/>
  <c r="M735" i="1" s="1"/>
  <c r="M743" i="1" a="1"/>
  <c r="M743" i="1" s="1"/>
  <c r="M751" i="1" a="1"/>
  <c r="M751" i="1" s="1"/>
  <c r="M759" i="1" a="1"/>
  <c r="M759" i="1" s="1"/>
  <c r="M767" i="1" a="1"/>
  <c r="M767" i="1" s="1"/>
  <c r="M775" i="1" a="1"/>
  <c r="M775" i="1" s="1"/>
  <c r="M783" i="1" a="1"/>
  <c r="M783" i="1" s="1"/>
  <c r="M791" i="1" a="1"/>
  <c r="M791" i="1" s="1"/>
  <c r="M799" i="1" a="1"/>
  <c r="M799" i="1" s="1"/>
  <c r="M807" i="1" a="1"/>
  <c r="M807" i="1" s="1"/>
  <c r="M815" i="1" a="1"/>
  <c r="M815" i="1" s="1"/>
  <c r="M823" i="1" a="1"/>
  <c r="M823" i="1" s="1"/>
  <c r="M831" i="1" a="1"/>
  <c r="M831" i="1" s="1"/>
  <c r="M839" i="1" a="1"/>
  <c r="M839" i="1" s="1"/>
  <c r="M847" i="1" a="1"/>
  <c r="M847" i="1" s="1"/>
  <c r="M855" i="1" a="1"/>
  <c r="M855" i="1" s="1"/>
  <c r="M863" i="1" a="1"/>
  <c r="M863" i="1" s="1"/>
  <c r="M871" i="1" a="1"/>
  <c r="M871" i="1" s="1"/>
  <c r="M879" i="1" a="1"/>
  <c r="M879" i="1" s="1"/>
  <c r="M887" i="1" a="1"/>
  <c r="M887" i="1" s="1"/>
  <c r="M895" i="1" a="1"/>
  <c r="M895" i="1" s="1"/>
  <c r="M903" i="1" a="1"/>
  <c r="M903" i="1" s="1"/>
  <c r="M911" i="1" a="1"/>
  <c r="M911" i="1" s="1"/>
  <c r="M919" i="1" a="1"/>
  <c r="M919" i="1" s="1"/>
  <c r="M927" i="1" a="1"/>
  <c r="M927" i="1" s="1"/>
  <c r="M935" i="1" a="1"/>
  <c r="M935" i="1" s="1"/>
  <c r="M943" i="1" a="1"/>
  <c r="M943" i="1" s="1"/>
  <c r="M951" i="1" a="1"/>
  <c r="M951" i="1" s="1"/>
  <c r="M959" i="1" a="1"/>
  <c r="M959" i="1" s="1"/>
  <c r="M967" i="1" a="1"/>
  <c r="M967" i="1" s="1"/>
  <c r="M975" i="1" a="1"/>
  <c r="M975" i="1" s="1"/>
  <c r="M983" i="1" a="1"/>
  <c r="M983" i="1" s="1"/>
  <c r="M991" i="1" a="1"/>
  <c r="M991" i="1" s="1"/>
  <c r="M999" i="1" a="1"/>
  <c r="M999" i="1" s="1"/>
  <c r="M1007" i="1" a="1"/>
  <c r="M1007" i="1" s="1"/>
  <c r="M1015" i="1" a="1"/>
  <c r="M1015" i="1" s="1"/>
  <c r="M1023" i="1" a="1"/>
  <c r="M1023" i="1" s="1"/>
  <c r="M1031" i="1" a="1"/>
  <c r="M1031" i="1" s="1"/>
  <c r="M1039" i="1" a="1"/>
  <c r="M1039" i="1" s="1"/>
  <c r="M1047" i="1" a="1"/>
  <c r="M1047" i="1" s="1"/>
  <c r="M1055" i="1" a="1"/>
  <c r="M1055" i="1" s="1"/>
  <c r="M1063" i="1" a="1"/>
  <c r="M1063" i="1" s="1"/>
  <c r="M1071" i="1" a="1"/>
  <c r="M1071" i="1" s="1"/>
  <c r="M1079" i="1" a="1"/>
  <c r="M1079" i="1" s="1"/>
  <c r="M1087" i="1" a="1"/>
  <c r="M1087" i="1" s="1"/>
  <c r="M1095" i="1" a="1"/>
  <c r="M1095" i="1" s="1"/>
  <c r="M1103" i="1" a="1"/>
  <c r="M1103" i="1" s="1"/>
  <c r="M1111" i="1" a="1"/>
  <c r="M1111" i="1" s="1"/>
  <c r="M604" i="1" a="1"/>
  <c r="M604" i="1" s="1"/>
  <c r="M701" i="1" a="1"/>
  <c r="M701" i="1" s="1"/>
  <c r="M733" i="1" a="1"/>
  <c r="M733" i="1" s="1"/>
  <c r="M765" i="1" a="1"/>
  <c r="M765" i="1" s="1"/>
  <c r="M797" i="1" a="1"/>
  <c r="M797" i="1" s="1"/>
  <c r="M829" i="1" a="1"/>
  <c r="M829" i="1" s="1"/>
  <c r="M861" i="1" a="1"/>
  <c r="M861" i="1" s="1"/>
  <c r="M893" i="1" a="1"/>
  <c r="M893" i="1" s="1"/>
  <c r="M925" i="1" a="1"/>
  <c r="M925" i="1" s="1"/>
  <c r="M957" i="1" a="1"/>
  <c r="M957" i="1" s="1"/>
  <c r="M989" i="1" a="1"/>
  <c r="M989" i="1" s="1"/>
  <c r="M1021" i="1" a="1"/>
  <c r="M1021" i="1" s="1"/>
  <c r="M1053" i="1" a="1"/>
  <c r="M1053" i="1" s="1"/>
  <c r="M1085" i="1" a="1"/>
  <c r="M1085" i="1" s="1"/>
  <c r="M1113" i="1" a="1"/>
  <c r="M1113" i="1" s="1"/>
  <c r="M1121" i="1" a="1"/>
  <c r="M1121" i="1" s="1"/>
  <c r="M1129" i="1" a="1"/>
  <c r="M1129" i="1" s="1"/>
  <c r="M1137" i="1" a="1"/>
  <c r="M1137" i="1" s="1"/>
  <c r="M1145" i="1" a="1"/>
  <c r="M1145" i="1" s="1"/>
  <c r="M1153" i="1" a="1"/>
  <c r="M1153" i="1" s="1"/>
  <c r="M1161" i="1" a="1"/>
  <c r="M1161" i="1" s="1"/>
  <c r="M1169" i="1" a="1"/>
  <c r="M1169" i="1" s="1"/>
  <c r="M1177" i="1" a="1"/>
  <c r="M1177" i="1" s="1"/>
  <c r="M1185" i="1" a="1"/>
  <c r="M1185" i="1" s="1"/>
  <c r="M1193" i="1" a="1"/>
  <c r="M1193" i="1" s="1"/>
  <c r="M1201" i="1" a="1"/>
  <c r="M1201" i="1" s="1"/>
  <c r="M1209" i="1" a="1"/>
  <c r="M1209" i="1" s="1"/>
  <c r="M1217" i="1" a="1"/>
  <c r="M1217" i="1" s="1"/>
  <c r="M1225" i="1" a="1"/>
  <c r="M1225" i="1" s="1"/>
  <c r="M1233" i="1" a="1"/>
  <c r="M1233" i="1" s="1"/>
  <c r="M1241" i="1" a="1"/>
  <c r="M1241" i="1" s="1"/>
  <c r="M1249" i="1" a="1"/>
  <c r="M1249" i="1" s="1"/>
  <c r="M1257" i="1" a="1"/>
  <c r="M1257" i="1" s="1"/>
  <c r="M1265" i="1" a="1"/>
  <c r="M1265" i="1" s="1"/>
  <c r="M1273" i="1" a="1"/>
  <c r="M1273" i="1" s="1"/>
  <c r="M1281" i="1" a="1"/>
  <c r="M1281" i="1" s="1"/>
  <c r="M1289" i="1" a="1"/>
  <c r="M1289" i="1" s="1"/>
  <c r="M1297" i="1" a="1"/>
  <c r="M1297" i="1" s="1"/>
  <c r="M1305" i="1" a="1"/>
  <c r="M1305" i="1" s="1"/>
  <c r="M1313" i="1" a="1"/>
  <c r="M1313" i="1" s="1"/>
  <c r="M1321" i="1" a="1"/>
  <c r="M1321" i="1" s="1"/>
  <c r="M1329" i="1" a="1"/>
  <c r="M1329" i="1" s="1"/>
  <c r="M1337" i="1" a="1"/>
  <c r="M1337" i="1" s="1"/>
  <c r="M1345" i="1" a="1"/>
  <c r="M1345" i="1" s="1"/>
  <c r="M1353" i="1" a="1"/>
  <c r="M1353" i="1" s="1"/>
  <c r="M1361" i="1" a="1"/>
  <c r="M1361" i="1" s="1"/>
  <c r="M1369" i="1" a="1"/>
  <c r="M1369" i="1" s="1"/>
  <c r="M1377" i="1" a="1"/>
  <c r="M1377" i="1" s="1"/>
  <c r="M1385" i="1" a="1"/>
  <c r="M1385" i="1" s="1"/>
  <c r="M1393" i="1" a="1"/>
  <c r="M1393" i="1" s="1"/>
  <c r="M1401" i="1" a="1"/>
  <c r="M1401" i="1" s="1"/>
  <c r="M1409" i="1" a="1"/>
  <c r="M1409" i="1" s="1"/>
  <c r="M1417" i="1" a="1"/>
  <c r="M1417" i="1" s="1"/>
  <c r="M1425" i="1" a="1"/>
  <c r="M1425" i="1" s="1"/>
  <c r="M1433" i="1" a="1"/>
  <c r="M1433" i="1" s="1"/>
  <c r="M1441" i="1" a="1"/>
  <c r="M1441" i="1" s="1"/>
  <c r="M1449" i="1" a="1"/>
  <c r="M1449" i="1" s="1"/>
  <c r="M1457" i="1" a="1"/>
  <c r="M1457" i="1" s="1"/>
  <c r="M1465" i="1" a="1"/>
  <c r="M1465" i="1" s="1"/>
  <c r="M1473" i="1" a="1"/>
  <c r="M1473" i="1" s="1"/>
  <c r="M1481" i="1" a="1"/>
  <c r="M1481" i="1" s="1"/>
  <c r="M1489" i="1" a="1"/>
  <c r="M1489" i="1" s="1"/>
  <c r="M1497" i="1" a="1"/>
  <c r="M1497" i="1" s="1"/>
  <c r="M1505" i="1" a="1"/>
  <c r="M1505" i="1" s="1"/>
  <c r="M1513" i="1" a="1"/>
  <c r="M1513" i="1" s="1"/>
  <c r="M1521" i="1" a="1"/>
  <c r="M1521" i="1" s="1"/>
  <c r="M1529" i="1" a="1"/>
  <c r="M1529" i="1" s="1"/>
  <c r="M1537" i="1" a="1"/>
  <c r="M1537" i="1" s="1"/>
  <c r="M1545" i="1" a="1"/>
  <c r="M1545" i="1" s="1"/>
  <c r="M1553" i="1" a="1"/>
  <c r="M1553" i="1" s="1"/>
  <c r="M1561" i="1" a="1"/>
  <c r="M1561" i="1" s="1"/>
  <c r="M1569" i="1" a="1"/>
  <c r="M1569" i="1" s="1"/>
  <c r="M1577" i="1" a="1"/>
  <c r="M1577" i="1" s="1"/>
  <c r="M1585" i="1" a="1"/>
  <c r="M1585" i="1" s="1"/>
  <c r="M1593" i="1" a="1"/>
  <c r="M1593" i="1" s="1"/>
  <c r="M1601" i="1" a="1"/>
  <c r="M1601" i="1" s="1"/>
  <c r="M1609" i="1" a="1"/>
  <c r="M1609" i="1" s="1"/>
  <c r="M1617" i="1" a="1"/>
  <c r="M1617" i="1" s="1"/>
  <c r="M1625" i="1" a="1"/>
  <c r="M1625" i="1" s="1"/>
  <c r="M1633" i="1" a="1"/>
  <c r="M1633" i="1" s="1"/>
  <c r="M1641" i="1" a="1"/>
  <c r="M1641" i="1" s="1"/>
  <c r="M1649" i="1" a="1"/>
  <c r="M1649" i="1" s="1"/>
  <c r="M627" i="1" a="1"/>
  <c r="M627" i="1" s="1"/>
  <c r="M702" i="1" a="1"/>
  <c r="M702" i="1" s="1"/>
  <c r="M734" i="1" a="1"/>
  <c r="M734" i="1" s="1"/>
  <c r="M766" i="1" a="1"/>
  <c r="M766" i="1" s="1"/>
  <c r="M798" i="1" a="1"/>
  <c r="M798" i="1" s="1"/>
  <c r="M830" i="1" a="1"/>
  <c r="M830" i="1" s="1"/>
  <c r="M862" i="1" a="1"/>
  <c r="M862" i="1" s="1"/>
  <c r="M894" i="1" a="1"/>
  <c r="M894" i="1" s="1"/>
  <c r="M926" i="1" a="1"/>
  <c r="M926" i="1" s="1"/>
  <c r="M958" i="1" a="1"/>
  <c r="M958" i="1" s="1"/>
  <c r="M990" i="1" a="1"/>
  <c r="M990" i="1" s="1"/>
  <c r="M1022" i="1" a="1"/>
  <c r="M1022" i="1" s="1"/>
  <c r="M1054" i="1" a="1"/>
  <c r="M1054" i="1" s="1"/>
  <c r="M1086" i="1" a="1"/>
  <c r="M1086" i="1" s="1"/>
  <c r="M1114" i="1" a="1"/>
  <c r="M1114" i="1" s="1"/>
  <c r="M1122" i="1" a="1"/>
  <c r="M1122" i="1" s="1"/>
  <c r="M1130" i="1" a="1"/>
  <c r="M1130" i="1" s="1"/>
  <c r="M1138" i="1" a="1"/>
  <c r="M1138" i="1" s="1"/>
  <c r="M1146" i="1" a="1"/>
  <c r="M1146" i="1" s="1"/>
  <c r="M1154" i="1" a="1"/>
  <c r="M1154" i="1" s="1"/>
  <c r="M1162" i="1" a="1"/>
  <c r="M1162" i="1" s="1"/>
  <c r="M1170" i="1" a="1"/>
  <c r="M1170" i="1" s="1"/>
  <c r="M1178" i="1" a="1"/>
  <c r="M1178" i="1" s="1"/>
  <c r="M1186" i="1" a="1"/>
  <c r="M1186" i="1" s="1"/>
  <c r="M1194" i="1" a="1"/>
  <c r="M1194" i="1" s="1"/>
  <c r="M1202" i="1" a="1"/>
  <c r="M1202" i="1" s="1"/>
  <c r="M1210" i="1" a="1"/>
  <c r="M1210" i="1" s="1"/>
  <c r="M1218" i="1" a="1"/>
  <c r="M1218" i="1" s="1"/>
  <c r="M1226" i="1" a="1"/>
  <c r="M1226" i="1" s="1"/>
  <c r="M1234" i="1" a="1"/>
  <c r="M1234" i="1" s="1"/>
  <c r="M1242" i="1" a="1"/>
  <c r="M1242" i="1" s="1"/>
  <c r="M1250" i="1" a="1"/>
  <c r="M1250" i="1" s="1"/>
  <c r="M1258" i="1" a="1"/>
  <c r="M1258" i="1" s="1"/>
  <c r="M1266" i="1" a="1"/>
  <c r="M1266" i="1" s="1"/>
  <c r="M1274" i="1" a="1"/>
  <c r="M1274" i="1" s="1"/>
  <c r="M1282" i="1" a="1"/>
  <c r="M1282" i="1" s="1"/>
  <c r="M1290" i="1" a="1"/>
  <c r="M1290" i="1" s="1"/>
  <c r="M1298" i="1" a="1"/>
  <c r="M1298" i="1" s="1"/>
  <c r="M1306" i="1" a="1"/>
  <c r="M1306" i="1" s="1"/>
  <c r="M1314" i="1" a="1"/>
  <c r="M1314" i="1" s="1"/>
  <c r="M1322" i="1" a="1"/>
  <c r="M1322" i="1" s="1"/>
  <c r="M1330" i="1" a="1"/>
  <c r="M1330" i="1" s="1"/>
  <c r="M1338" i="1" a="1"/>
  <c r="M1338" i="1" s="1"/>
  <c r="M1346" i="1" a="1"/>
  <c r="M1346" i="1" s="1"/>
  <c r="M1354" i="1" a="1"/>
  <c r="M1354" i="1" s="1"/>
  <c r="M1362" i="1" a="1"/>
  <c r="M1362" i="1" s="1"/>
  <c r="M1370" i="1" a="1"/>
  <c r="M1370" i="1" s="1"/>
  <c r="M1378" i="1" a="1"/>
  <c r="M1378" i="1" s="1"/>
  <c r="M1386" i="1" a="1"/>
  <c r="M1386" i="1" s="1"/>
  <c r="M1394" i="1" a="1"/>
  <c r="M1394" i="1" s="1"/>
  <c r="M1402" i="1" a="1"/>
  <c r="M1402" i="1" s="1"/>
  <c r="M1410" i="1" a="1"/>
  <c r="M1410" i="1" s="1"/>
  <c r="M1418" i="1" a="1"/>
  <c r="M1418" i="1" s="1"/>
  <c r="M1426" i="1" a="1"/>
  <c r="M1426" i="1" s="1"/>
  <c r="M1434" i="1" a="1"/>
  <c r="M1434" i="1" s="1"/>
  <c r="M1442" i="1" a="1"/>
  <c r="M1442" i="1" s="1"/>
  <c r="M1450" i="1" a="1"/>
  <c r="M1450" i="1" s="1"/>
  <c r="M1458" i="1" a="1"/>
  <c r="M1458" i="1" s="1"/>
  <c r="M1466" i="1" a="1"/>
  <c r="M1466" i="1" s="1"/>
  <c r="M1474" i="1" a="1"/>
  <c r="M1474" i="1" s="1"/>
  <c r="M1482" i="1" a="1"/>
  <c r="M1482" i="1" s="1"/>
  <c r="M1490" i="1" a="1"/>
  <c r="M1490" i="1" s="1"/>
  <c r="M1498" i="1" a="1"/>
  <c r="M1498" i="1" s="1"/>
  <c r="M1506" i="1" a="1"/>
  <c r="M1506" i="1" s="1"/>
  <c r="M1514" i="1" a="1"/>
  <c r="M1514" i="1" s="1"/>
  <c r="M1522" i="1" a="1"/>
  <c r="M1522" i="1" s="1"/>
  <c r="M1530" i="1" a="1"/>
  <c r="M1530" i="1" s="1"/>
  <c r="M1538" i="1" a="1"/>
  <c r="M1538" i="1" s="1"/>
  <c r="M1546" i="1" a="1"/>
  <c r="M1546" i="1" s="1"/>
  <c r="M1554" i="1" a="1"/>
  <c r="M1554" i="1" s="1"/>
  <c r="M1562" i="1" a="1"/>
  <c r="M1562" i="1" s="1"/>
  <c r="M1570" i="1" a="1"/>
  <c r="M1570" i="1" s="1"/>
  <c r="M648" i="1" a="1"/>
  <c r="M648" i="1" s="1"/>
  <c r="M709" i="1" a="1"/>
  <c r="M709" i="1" s="1"/>
  <c r="M741" i="1" a="1"/>
  <c r="M741" i="1" s="1"/>
  <c r="M773" i="1" a="1"/>
  <c r="M773" i="1" s="1"/>
  <c r="M805" i="1" a="1"/>
  <c r="M805" i="1" s="1"/>
  <c r="M837" i="1" a="1"/>
  <c r="M837" i="1" s="1"/>
  <c r="M869" i="1" a="1"/>
  <c r="M869" i="1" s="1"/>
  <c r="M901" i="1" a="1"/>
  <c r="M901" i="1" s="1"/>
  <c r="M933" i="1" a="1"/>
  <c r="M933" i="1" s="1"/>
  <c r="M965" i="1" a="1"/>
  <c r="M965" i="1" s="1"/>
  <c r="M997" i="1" a="1"/>
  <c r="M997" i="1" s="1"/>
  <c r="M1029" i="1" a="1"/>
  <c r="M1029" i="1" s="1"/>
  <c r="M1061" i="1" a="1"/>
  <c r="M1061" i="1" s="1"/>
  <c r="M1093" i="1" a="1"/>
  <c r="M1093" i="1" s="1"/>
  <c r="M1115" i="1" a="1"/>
  <c r="M1115" i="1" s="1"/>
  <c r="M1123" i="1" a="1"/>
  <c r="M1123" i="1" s="1"/>
  <c r="M1131" i="1" a="1"/>
  <c r="M1131" i="1" s="1"/>
  <c r="M1139" i="1" a="1"/>
  <c r="M1139" i="1" s="1"/>
  <c r="M1147" i="1" a="1"/>
  <c r="M1147" i="1" s="1"/>
  <c r="M1155" i="1" a="1"/>
  <c r="M1155" i="1" s="1"/>
  <c r="M1163" i="1" a="1"/>
  <c r="M1163" i="1" s="1"/>
  <c r="M1171" i="1" a="1"/>
  <c r="M1171" i="1" s="1"/>
  <c r="M1179" i="1" a="1"/>
  <c r="M1179" i="1" s="1"/>
  <c r="M1187" i="1" a="1"/>
  <c r="M1187" i="1" s="1"/>
  <c r="M1195" i="1" a="1"/>
  <c r="M1195" i="1" s="1"/>
  <c r="M1203" i="1" a="1"/>
  <c r="M1203" i="1" s="1"/>
  <c r="M1211" i="1" a="1"/>
  <c r="M1211" i="1" s="1"/>
  <c r="M1219" i="1" a="1"/>
  <c r="M1219" i="1" s="1"/>
  <c r="M1227" i="1" a="1"/>
  <c r="M1227" i="1" s="1"/>
  <c r="M1235" i="1" a="1"/>
  <c r="M1235" i="1" s="1"/>
  <c r="M1243" i="1" a="1"/>
  <c r="M1243" i="1" s="1"/>
  <c r="M1251" i="1" a="1"/>
  <c r="M1251" i="1" s="1"/>
  <c r="M1259" i="1" a="1"/>
  <c r="M1259" i="1" s="1"/>
  <c r="M1267" i="1" a="1"/>
  <c r="M1267" i="1" s="1"/>
  <c r="M1275" i="1" a="1"/>
  <c r="M1275" i="1" s="1"/>
  <c r="M1283" i="1" a="1"/>
  <c r="M1283" i="1" s="1"/>
  <c r="M1291" i="1" a="1"/>
  <c r="M1291" i="1" s="1"/>
  <c r="M1299" i="1" a="1"/>
  <c r="M1299" i="1" s="1"/>
  <c r="M1307" i="1" a="1"/>
  <c r="M1307" i="1" s="1"/>
  <c r="M1315" i="1" a="1"/>
  <c r="M1315" i="1" s="1"/>
  <c r="M1323" i="1" a="1"/>
  <c r="M1323" i="1" s="1"/>
  <c r="M1331" i="1" a="1"/>
  <c r="M1331" i="1" s="1"/>
  <c r="M1339" i="1" a="1"/>
  <c r="M1339" i="1" s="1"/>
  <c r="M1347" i="1" a="1"/>
  <c r="M1347" i="1" s="1"/>
  <c r="M1355" i="1" a="1"/>
  <c r="M1355" i="1" s="1"/>
  <c r="M1363" i="1" a="1"/>
  <c r="M1363" i="1" s="1"/>
  <c r="M1371" i="1" a="1"/>
  <c r="M1371" i="1" s="1"/>
  <c r="M1379" i="1" a="1"/>
  <c r="M1379" i="1" s="1"/>
  <c r="M1387" i="1" a="1"/>
  <c r="M1387" i="1" s="1"/>
  <c r="M1395" i="1" a="1"/>
  <c r="M1395" i="1" s="1"/>
  <c r="M1403" i="1" a="1"/>
  <c r="M1403" i="1" s="1"/>
  <c r="M1411" i="1" a="1"/>
  <c r="M1411" i="1" s="1"/>
  <c r="M1419" i="1" a="1"/>
  <c r="M1419" i="1" s="1"/>
  <c r="M1427" i="1" a="1"/>
  <c r="M1427" i="1" s="1"/>
  <c r="M1435" i="1" a="1"/>
  <c r="M1435" i="1" s="1"/>
  <c r="M1443" i="1" a="1"/>
  <c r="M1443" i="1" s="1"/>
  <c r="M1451" i="1" a="1"/>
  <c r="M1451" i="1" s="1"/>
  <c r="M1459" i="1" a="1"/>
  <c r="M1459" i="1" s="1"/>
  <c r="M1467" i="1" a="1"/>
  <c r="M1467" i="1" s="1"/>
  <c r="M1475" i="1" a="1"/>
  <c r="M1475" i="1" s="1"/>
  <c r="M1483" i="1" a="1"/>
  <c r="M1483" i="1" s="1"/>
  <c r="M1491" i="1" a="1"/>
  <c r="M1491" i="1" s="1"/>
  <c r="M1499" i="1" a="1"/>
  <c r="M1499" i="1" s="1"/>
  <c r="M1507" i="1" a="1"/>
  <c r="M1507" i="1" s="1"/>
  <c r="M1515" i="1" a="1"/>
  <c r="M1515" i="1" s="1"/>
  <c r="M1523" i="1" a="1"/>
  <c r="M1523" i="1" s="1"/>
  <c r="M1531" i="1" a="1"/>
  <c r="M1531" i="1" s="1"/>
  <c r="M1539" i="1" a="1"/>
  <c r="M1539" i="1" s="1"/>
  <c r="M1547" i="1" a="1"/>
  <c r="M1547" i="1" s="1"/>
  <c r="M1555" i="1" a="1"/>
  <c r="M1555" i="1" s="1"/>
  <c r="M1563" i="1" a="1"/>
  <c r="M1563" i="1" s="1"/>
  <c r="M1571" i="1" a="1"/>
  <c r="M1571" i="1" s="1"/>
  <c r="M1579" i="1" a="1"/>
  <c r="M1579" i="1" s="1"/>
  <c r="M1587" i="1" a="1"/>
  <c r="M1587" i="1" s="1"/>
  <c r="M1595" i="1" a="1"/>
  <c r="M1595" i="1" s="1"/>
  <c r="M1603" i="1" a="1"/>
  <c r="M1603" i="1" s="1"/>
  <c r="M1611" i="1" a="1"/>
  <c r="M1611" i="1" s="1"/>
  <c r="M1619" i="1" a="1"/>
  <c r="M1619" i="1" s="1"/>
  <c r="M1627" i="1" a="1"/>
  <c r="M1627" i="1" s="1"/>
  <c r="M1635" i="1" a="1"/>
  <c r="M1635" i="1" s="1"/>
  <c r="M1643" i="1" a="1"/>
  <c r="M1643" i="1" s="1"/>
  <c r="M1651" i="1" a="1"/>
  <c r="M1651" i="1" s="1"/>
  <c r="M1659" i="1" a="1"/>
  <c r="M1659" i="1" s="1"/>
  <c r="M1667" i="1" a="1"/>
  <c r="M1667" i="1" s="1"/>
  <c r="M1675" i="1" a="1"/>
  <c r="M1675" i="1" s="1"/>
  <c r="M1683" i="1" a="1"/>
  <c r="M1683" i="1" s="1"/>
  <c r="M668" i="1" a="1"/>
  <c r="M668" i="1" s="1"/>
  <c r="M710" i="1" a="1"/>
  <c r="M710" i="1" s="1"/>
  <c r="M742" i="1" a="1"/>
  <c r="M742" i="1" s="1"/>
  <c r="M774" i="1" a="1"/>
  <c r="M774" i="1" s="1"/>
  <c r="M806" i="1" a="1"/>
  <c r="M806" i="1" s="1"/>
  <c r="M838" i="1" a="1"/>
  <c r="M838" i="1" s="1"/>
  <c r="M870" i="1" a="1"/>
  <c r="M870" i="1" s="1"/>
  <c r="M902" i="1" a="1"/>
  <c r="M902" i="1" s="1"/>
  <c r="M934" i="1" a="1"/>
  <c r="M934" i="1" s="1"/>
  <c r="M966" i="1" a="1"/>
  <c r="M966" i="1" s="1"/>
  <c r="M998" i="1" a="1"/>
  <c r="M998" i="1" s="1"/>
  <c r="M1030" i="1" a="1"/>
  <c r="M1030" i="1" s="1"/>
  <c r="M1062" i="1" a="1"/>
  <c r="M1062" i="1" s="1"/>
  <c r="M1094" i="1" a="1"/>
  <c r="M1094" i="1" s="1"/>
  <c r="M1116" i="1" a="1"/>
  <c r="M1116" i="1" s="1"/>
  <c r="M1124" i="1" a="1"/>
  <c r="M1124" i="1" s="1"/>
  <c r="M1132" i="1" a="1"/>
  <c r="M1132" i="1" s="1"/>
  <c r="M1140" i="1" a="1"/>
  <c r="M1140" i="1" s="1"/>
  <c r="M1148" i="1" a="1"/>
  <c r="M1148" i="1" s="1"/>
  <c r="M1156" i="1" a="1"/>
  <c r="M1156" i="1" s="1"/>
  <c r="M1164" i="1" a="1"/>
  <c r="M1164" i="1" s="1"/>
  <c r="M1172" i="1" a="1"/>
  <c r="M1172" i="1" s="1"/>
  <c r="M1180" i="1" a="1"/>
  <c r="M1180" i="1" s="1"/>
  <c r="M1188" i="1" a="1"/>
  <c r="M1188" i="1" s="1"/>
  <c r="M1196" i="1" a="1"/>
  <c r="M1196" i="1" s="1"/>
  <c r="M1204" i="1" a="1"/>
  <c r="M1204" i="1" s="1"/>
  <c r="M1212" i="1" a="1"/>
  <c r="M1212" i="1" s="1"/>
  <c r="M1220" i="1" a="1"/>
  <c r="M1220" i="1" s="1"/>
  <c r="M1228" i="1" a="1"/>
  <c r="M1228" i="1" s="1"/>
  <c r="M1236" i="1" a="1"/>
  <c r="M1236" i="1" s="1"/>
  <c r="M1244" i="1" a="1"/>
  <c r="M1244" i="1" s="1"/>
  <c r="M1252" i="1" a="1"/>
  <c r="M1252" i="1" s="1"/>
  <c r="M1260" i="1" a="1"/>
  <c r="M1260" i="1" s="1"/>
  <c r="M1268" i="1" a="1"/>
  <c r="M1268" i="1" s="1"/>
  <c r="M1276" i="1" a="1"/>
  <c r="M1276" i="1" s="1"/>
  <c r="M1284" i="1" a="1"/>
  <c r="M1284" i="1" s="1"/>
  <c r="M1292" i="1" a="1"/>
  <c r="M1292" i="1" s="1"/>
  <c r="M1300" i="1" a="1"/>
  <c r="M1300" i="1" s="1"/>
  <c r="M1308" i="1" a="1"/>
  <c r="M1308" i="1" s="1"/>
  <c r="M1316" i="1" a="1"/>
  <c r="M1316" i="1" s="1"/>
  <c r="M1324" i="1" a="1"/>
  <c r="M1324" i="1" s="1"/>
  <c r="M1332" i="1" a="1"/>
  <c r="M1332" i="1" s="1"/>
  <c r="M1340" i="1" a="1"/>
  <c r="M1340" i="1" s="1"/>
  <c r="M1348" i="1" a="1"/>
  <c r="M1348" i="1" s="1"/>
  <c r="M1356" i="1" a="1"/>
  <c r="M1356" i="1" s="1"/>
  <c r="M1364" i="1" a="1"/>
  <c r="M1364" i="1" s="1"/>
  <c r="M1372" i="1" a="1"/>
  <c r="M1372" i="1" s="1"/>
  <c r="M1380" i="1" a="1"/>
  <c r="M1380" i="1" s="1"/>
  <c r="M1388" i="1" a="1"/>
  <c r="M1388" i="1" s="1"/>
  <c r="M1396" i="1" a="1"/>
  <c r="M1396" i="1" s="1"/>
  <c r="M1404" i="1" a="1"/>
  <c r="M1404" i="1" s="1"/>
  <c r="M1412" i="1" a="1"/>
  <c r="M1412" i="1" s="1"/>
  <c r="M1420" i="1" a="1"/>
  <c r="M1420" i="1" s="1"/>
  <c r="M1428" i="1" a="1"/>
  <c r="M1428" i="1" s="1"/>
  <c r="M1436" i="1" a="1"/>
  <c r="M1436" i="1" s="1"/>
  <c r="M1444" i="1" a="1"/>
  <c r="M1444" i="1" s="1"/>
  <c r="M1452" i="1" a="1"/>
  <c r="M1452" i="1" s="1"/>
  <c r="M1460" i="1" a="1"/>
  <c r="M1460" i="1" s="1"/>
  <c r="M1468" i="1" a="1"/>
  <c r="M1468" i="1" s="1"/>
  <c r="M1476" i="1" a="1"/>
  <c r="M1476" i="1" s="1"/>
  <c r="M1484" i="1" a="1"/>
  <c r="M1484" i="1" s="1"/>
  <c r="M1492" i="1" a="1"/>
  <c r="M1492" i="1" s="1"/>
  <c r="M1500" i="1" a="1"/>
  <c r="M1500" i="1" s="1"/>
  <c r="M1508" i="1" a="1"/>
  <c r="M1508" i="1" s="1"/>
  <c r="M1516" i="1" a="1"/>
  <c r="M1516" i="1" s="1"/>
  <c r="M1524" i="1" a="1"/>
  <c r="M1524" i="1" s="1"/>
  <c r="M1532" i="1" a="1"/>
  <c r="M1532" i="1" s="1"/>
  <c r="M1540" i="1" a="1"/>
  <c r="M1540" i="1" s="1"/>
  <c r="M1548" i="1" a="1"/>
  <c r="M1548" i="1" s="1"/>
  <c r="M1556" i="1" a="1"/>
  <c r="M1556" i="1" s="1"/>
  <c r="M1564" i="1" a="1"/>
  <c r="M1564" i="1" s="1"/>
  <c r="M1572" i="1" a="1"/>
  <c r="M1572" i="1" s="1"/>
  <c r="M1580" i="1" a="1"/>
  <c r="M1580" i="1" s="1"/>
  <c r="M1588" i="1" a="1"/>
  <c r="M1588" i="1" s="1"/>
  <c r="M1596" i="1" a="1"/>
  <c r="M1596" i="1" s="1"/>
  <c r="M1604" i="1" a="1"/>
  <c r="M1604" i="1" s="1"/>
  <c r="M1612" i="1" a="1"/>
  <c r="M1612" i="1" s="1"/>
  <c r="M1620" i="1" a="1"/>
  <c r="M1620" i="1" s="1"/>
  <c r="M1628" i="1" a="1"/>
  <c r="M1628" i="1" s="1"/>
  <c r="M1636" i="1" a="1"/>
  <c r="M1636" i="1" s="1"/>
  <c r="M1644" i="1" a="1"/>
  <c r="M1644" i="1" s="1"/>
  <c r="M1652" i="1" a="1"/>
  <c r="M1652" i="1" s="1"/>
  <c r="M1660" i="1" a="1"/>
  <c r="M1660" i="1" s="1"/>
  <c r="M1668" i="1" a="1"/>
  <c r="M1668" i="1" s="1"/>
  <c r="M1676" i="1" a="1"/>
  <c r="M1676" i="1" s="1"/>
  <c r="M1684" i="1" a="1"/>
  <c r="M1684" i="1" s="1"/>
  <c r="M684" i="1" a="1"/>
  <c r="M684" i="1" s="1"/>
  <c r="M717" i="1" a="1"/>
  <c r="M717" i="1" s="1"/>
  <c r="M749" i="1" a="1"/>
  <c r="M749" i="1" s="1"/>
  <c r="M781" i="1" a="1"/>
  <c r="M781" i="1" s="1"/>
  <c r="M813" i="1" a="1"/>
  <c r="M813" i="1" s="1"/>
  <c r="M845" i="1" a="1"/>
  <c r="M845" i="1" s="1"/>
  <c r="M877" i="1" a="1"/>
  <c r="M877" i="1" s="1"/>
  <c r="M909" i="1" a="1"/>
  <c r="M909" i="1" s="1"/>
  <c r="M941" i="1" a="1"/>
  <c r="M941" i="1" s="1"/>
  <c r="M973" i="1" a="1"/>
  <c r="M973" i="1" s="1"/>
  <c r="M1005" i="1" a="1"/>
  <c r="M1005" i="1" s="1"/>
  <c r="M1037" i="1" a="1"/>
  <c r="M1037" i="1" s="1"/>
  <c r="M1069" i="1" a="1"/>
  <c r="M1069" i="1" s="1"/>
  <c r="M1101" i="1" a="1"/>
  <c r="M1101" i="1" s="1"/>
  <c r="M1117" i="1" a="1"/>
  <c r="M1117" i="1" s="1"/>
  <c r="M1125" i="1" a="1"/>
  <c r="M1125" i="1" s="1"/>
  <c r="M1133" i="1" a="1"/>
  <c r="M1133" i="1" s="1"/>
  <c r="M1141" i="1" a="1"/>
  <c r="M1141" i="1" s="1"/>
  <c r="M1149" i="1" a="1"/>
  <c r="M1149" i="1" s="1"/>
  <c r="M1157" i="1" a="1"/>
  <c r="M1157" i="1" s="1"/>
  <c r="M1165" i="1" a="1"/>
  <c r="M1165" i="1" s="1"/>
  <c r="M1173" i="1" a="1"/>
  <c r="M1173" i="1" s="1"/>
  <c r="M1181" i="1" a="1"/>
  <c r="M1181" i="1" s="1"/>
  <c r="M1189" i="1" a="1"/>
  <c r="M1189" i="1" s="1"/>
  <c r="M1197" i="1" a="1"/>
  <c r="M1197" i="1" s="1"/>
  <c r="M1205" i="1" a="1"/>
  <c r="M1205" i="1" s="1"/>
  <c r="M1213" i="1" a="1"/>
  <c r="M1213" i="1" s="1"/>
  <c r="M1221" i="1" a="1"/>
  <c r="M1221" i="1" s="1"/>
  <c r="M1229" i="1" a="1"/>
  <c r="M1229" i="1" s="1"/>
  <c r="M1237" i="1" a="1"/>
  <c r="M1237" i="1" s="1"/>
  <c r="M1245" i="1" a="1"/>
  <c r="M1245" i="1" s="1"/>
  <c r="M1253" i="1" a="1"/>
  <c r="M1253" i="1" s="1"/>
  <c r="M1261" i="1" a="1"/>
  <c r="M1261" i="1" s="1"/>
  <c r="M1269" i="1" a="1"/>
  <c r="M1269" i="1" s="1"/>
  <c r="M1277" i="1" a="1"/>
  <c r="M1277" i="1" s="1"/>
  <c r="M1285" i="1" a="1"/>
  <c r="M1285" i="1" s="1"/>
  <c r="M1293" i="1" a="1"/>
  <c r="M1293" i="1" s="1"/>
  <c r="M1301" i="1" a="1"/>
  <c r="M1301" i="1" s="1"/>
  <c r="M1309" i="1" a="1"/>
  <c r="M1309" i="1" s="1"/>
  <c r="M1317" i="1" a="1"/>
  <c r="M1317" i="1" s="1"/>
  <c r="M1325" i="1" a="1"/>
  <c r="M1325" i="1" s="1"/>
  <c r="M1333" i="1" a="1"/>
  <c r="M1333" i="1" s="1"/>
  <c r="M1341" i="1" a="1"/>
  <c r="M1341" i="1" s="1"/>
  <c r="M1349" i="1" a="1"/>
  <c r="M1349" i="1" s="1"/>
  <c r="M1357" i="1" a="1"/>
  <c r="M1357" i="1" s="1"/>
  <c r="M1365" i="1" a="1"/>
  <c r="M1365" i="1" s="1"/>
  <c r="M1373" i="1" a="1"/>
  <c r="M1373" i="1" s="1"/>
  <c r="M1381" i="1" a="1"/>
  <c r="M1381" i="1" s="1"/>
  <c r="M1389" i="1" a="1"/>
  <c r="M1389" i="1" s="1"/>
  <c r="M1397" i="1" a="1"/>
  <c r="M1397" i="1" s="1"/>
  <c r="M1405" i="1" a="1"/>
  <c r="M1405" i="1" s="1"/>
  <c r="M1413" i="1" a="1"/>
  <c r="M1413" i="1" s="1"/>
  <c r="M1421" i="1" a="1"/>
  <c r="M1421" i="1" s="1"/>
  <c r="M1429" i="1" a="1"/>
  <c r="M1429" i="1" s="1"/>
  <c r="M1437" i="1" a="1"/>
  <c r="M1437" i="1" s="1"/>
  <c r="M1445" i="1" a="1"/>
  <c r="M1445" i="1" s="1"/>
  <c r="M1453" i="1" a="1"/>
  <c r="M1453" i="1" s="1"/>
  <c r="M1461" i="1" a="1"/>
  <c r="M1461" i="1" s="1"/>
  <c r="M1469" i="1" a="1"/>
  <c r="M1469" i="1" s="1"/>
  <c r="M1477" i="1" a="1"/>
  <c r="M1477" i="1" s="1"/>
  <c r="M1485" i="1" a="1"/>
  <c r="M1485" i="1" s="1"/>
  <c r="M1493" i="1" a="1"/>
  <c r="M1493" i="1" s="1"/>
  <c r="M1501" i="1" a="1"/>
  <c r="M1501" i="1" s="1"/>
  <c r="M1509" i="1" a="1"/>
  <c r="M1509" i="1" s="1"/>
  <c r="M1517" i="1" a="1"/>
  <c r="M1517" i="1" s="1"/>
  <c r="M1525" i="1" a="1"/>
  <c r="M1525" i="1" s="1"/>
  <c r="M1533" i="1" a="1"/>
  <c r="M1533" i="1" s="1"/>
  <c r="M1541" i="1" a="1"/>
  <c r="M1541" i="1" s="1"/>
  <c r="M1549" i="1" a="1"/>
  <c r="M1549" i="1" s="1"/>
  <c r="M1557" i="1" a="1"/>
  <c r="M1557" i="1" s="1"/>
  <c r="M1565" i="1" a="1"/>
  <c r="M1565" i="1" s="1"/>
  <c r="M1573" i="1" a="1"/>
  <c r="M1573" i="1" s="1"/>
  <c r="M1581" i="1" a="1"/>
  <c r="M1581" i="1" s="1"/>
  <c r="M1589" i="1" a="1"/>
  <c r="M1589" i="1" s="1"/>
  <c r="M1597" i="1" a="1"/>
  <c r="M1597" i="1" s="1"/>
  <c r="M1605" i="1" a="1"/>
  <c r="M1605" i="1" s="1"/>
  <c r="M1613" i="1" a="1"/>
  <c r="M1613" i="1" s="1"/>
  <c r="M1621" i="1" a="1"/>
  <c r="M1621" i="1" s="1"/>
  <c r="M1629" i="1" a="1"/>
  <c r="M1629" i="1" s="1"/>
  <c r="M1637" i="1" a="1"/>
  <c r="M1637" i="1" s="1"/>
  <c r="M1645" i="1" a="1"/>
  <c r="M1645" i="1" s="1"/>
  <c r="M686" i="1" a="1"/>
  <c r="M686" i="1" s="1"/>
  <c r="M718" i="1" a="1"/>
  <c r="M718" i="1" s="1"/>
  <c r="M750" i="1" a="1"/>
  <c r="M750" i="1" s="1"/>
  <c r="M782" i="1" a="1"/>
  <c r="M782" i="1" s="1"/>
  <c r="M814" i="1" a="1"/>
  <c r="M814" i="1" s="1"/>
  <c r="M846" i="1" a="1"/>
  <c r="M846" i="1" s="1"/>
  <c r="M878" i="1" a="1"/>
  <c r="M878" i="1" s="1"/>
  <c r="M910" i="1" a="1"/>
  <c r="M910" i="1" s="1"/>
  <c r="M942" i="1" a="1"/>
  <c r="M942" i="1" s="1"/>
  <c r="M974" i="1" a="1"/>
  <c r="M974" i="1" s="1"/>
  <c r="M1006" i="1" a="1"/>
  <c r="M1006" i="1" s="1"/>
  <c r="M1038" i="1" a="1"/>
  <c r="M1038" i="1" s="1"/>
  <c r="M1070" i="1" a="1"/>
  <c r="M1070" i="1" s="1"/>
  <c r="M1102" i="1" a="1"/>
  <c r="M1102" i="1" s="1"/>
  <c r="M1118" i="1" a="1"/>
  <c r="M1118" i="1" s="1"/>
  <c r="M1126" i="1" a="1"/>
  <c r="M1126" i="1" s="1"/>
  <c r="M1134" i="1" a="1"/>
  <c r="M1134" i="1" s="1"/>
  <c r="M1142" i="1" a="1"/>
  <c r="M1142" i="1" s="1"/>
  <c r="M1150" i="1" a="1"/>
  <c r="M1150" i="1" s="1"/>
  <c r="M1158" i="1" a="1"/>
  <c r="M1158" i="1" s="1"/>
  <c r="M1166" i="1" a="1"/>
  <c r="M1166" i="1" s="1"/>
  <c r="M1174" i="1" a="1"/>
  <c r="M1174" i="1" s="1"/>
  <c r="M1182" i="1" a="1"/>
  <c r="M1182" i="1" s="1"/>
  <c r="M1190" i="1" a="1"/>
  <c r="M1190" i="1" s="1"/>
  <c r="M1198" i="1" a="1"/>
  <c r="M1198" i="1" s="1"/>
  <c r="M1206" i="1" a="1"/>
  <c r="M1206" i="1" s="1"/>
  <c r="M1214" i="1" a="1"/>
  <c r="M1214" i="1" s="1"/>
  <c r="M1222" i="1" a="1"/>
  <c r="M1222" i="1" s="1"/>
  <c r="M1230" i="1" a="1"/>
  <c r="M1230" i="1" s="1"/>
  <c r="M1238" i="1" a="1"/>
  <c r="M1238" i="1" s="1"/>
  <c r="M1246" i="1" a="1"/>
  <c r="M1246" i="1" s="1"/>
  <c r="M1254" i="1" a="1"/>
  <c r="M1254" i="1" s="1"/>
  <c r="M1262" i="1" a="1"/>
  <c r="M1262" i="1" s="1"/>
  <c r="M1270" i="1" a="1"/>
  <c r="M1270" i="1" s="1"/>
  <c r="M1278" i="1" a="1"/>
  <c r="M1278" i="1" s="1"/>
  <c r="M1286" i="1" a="1"/>
  <c r="M1286" i="1" s="1"/>
  <c r="M1294" i="1" a="1"/>
  <c r="M1294" i="1" s="1"/>
  <c r="M1302" i="1" a="1"/>
  <c r="M1302" i="1" s="1"/>
  <c r="M1310" i="1" a="1"/>
  <c r="M1310" i="1" s="1"/>
  <c r="M1318" i="1" a="1"/>
  <c r="M1318" i="1" s="1"/>
  <c r="M1326" i="1" a="1"/>
  <c r="M1326" i="1" s="1"/>
  <c r="M1334" i="1" a="1"/>
  <c r="M1334" i="1" s="1"/>
  <c r="M1342" i="1" a="1"/>
  <c r="M1342" i="1" s="1"/>
  <c r="M1350" i="1" a="1"/>
  <c r="M1350" i="1" s="1"/>
  <c r="M1358" i="1" a="1"/>
  <c r="M1358" i="1" s="1"/>
  <c r="M1366" i="1" a="1"/>
  <c r="M1366" i="1" s="1"/>
  <c r="M1374" i="1" a="1"/>
  <c r="M1374" i="1" s="1"/>
  <c r="M1382" i="1" a="1"/>
  <c r="M1382" i="1" s="1"/>
  <c r="M1390" i="1" a="1"/>
  <c r="M1390" i="1" s="1"/>
  <c r="M1398" i="1" a="1"/>
  <c r="M1398" i="1" s="1"/>
  <c r="M1406" i="1" a="1"/>
  <c r="M1406" i="1" s="1"/>
  <c r="M1414" i="1" a="1"/>
  <c r="M1414" i="1" s="1"/>
  <c r="M1422" i="1" a="1"/>
  <c r="M1422" i="1" s="1"/>
  <c r="M1430" i="1" a="1"/>
  <c r="M1430" i="1" s="1"/>
  <c r="M1438" i="1" a="1"/>
  <c r="M1438" i="1" s="1"/>
  <c r="M1446" i="1" a="1"/>
  <c r="M1446" i="1" s="1"/>
  <c r="M1454" i="1" a="1"/>
  <c r="M1454" i="1" s="1"/>
  <c r="M1462" i="1" a="1"/>
  <c r="M1462" i="1" s="1"/>
  <c r="M1470" i="1" a="1"/>
  <c r="M1470" i="1" s="1"/>
  <c r="M1478" i="1" a="1"/>
  <c r="M1478" i="1" s="1"/>
  <c r="M1486" i="1" a="1"/>
  <c r="M1486" i="1" s="1"/>
  <c r="M1494" i="1" a="1"/>
  <c r="M1494" i="1" s="1"/>
  <c r="M1502" i="1" a="1"/>
  <c r="M1502" i="1" s="1"/>
  <c r="M1510" i="1" a="1"/>
  <c r="M1510" i="1" s="1"/>
  <c r="M1518" i="1" a="1"/>
  <c r="M1518" i="1" s="1"/>
  <c r="M1526" i="1" a="1"/>
  <c r="M1526" i="1" s="1"/>
  <c r="M1534" i="1" a="1"/>
  <c r="M1534" i="1" s="1"/>
  <c r="M1542" i="1" a="1"/>
  <c r="M1542" i="1" s="1"/>
  <c r="M1550" i="1" a="1"/>
  <c r="M1550" i="1" s="1"/>
  <c r="M1558" i="1" a="1"/>
  <c r="M1558" i="1" s="1"/>
  <c r="M1566" i="1" a="1"/>
  <c r="M1566" i="1" s="1"/>
  <c r="M1574" i="1" a="1"/>
  <c r="M1574" i="1" s="1"/>
  <c r="M693" i="1" a="1"/>
  <c r="M693" i="1" s="1"/>
  <c r="M725" i="1" a="1"/>
  <c r="M725" i="1" s="1"/>
  <c r="M757" i="1" a="1"/>
  <c r="M757" i="1" s="1"/>
  <c r="M789" i="1" a="1"/>
  <c r="M789" i="1" s="1"/>
  <c r="M821" i="1" a="1"/>
  <c r="M821" i="1" s="1"/>
  <c r="M853" i="1" a="1"/>
  <c r="M853" i="1" s="1"/>
  <c r="M885" i="1" a="1"/>
  <c r="M885" i="1" s="1"/>
  <c r="M917" i="1" a="1"/>
  <c r="M917" i="1" s="1"/>
  <c r="M949" i="1" a="1"/>
  <c r="M949" i="1" s="1"/>
  <c r="M981" i="1" a="1"/>
  <c r="M981" i="1" s="1"/>
  <c r="M1013" i="1" a="1"/>
  <c r="M1013" i="1" s="1"/>
  <c r="M1045" i="1" a="1"/>
  <c r="M1045" i="1" s="1"/>
  <c r="M1077" i="1" a="1"/>
  <c r="M1077" i="1" s="1"/>
  <c r="M1109" i="1" a="1"/>
  <c r="M1109" i="1" s="1"/>
  <c r="M1119" i="1" a="1"/>
  <c r="M1119" i="1" s="1"/>
  <c r="M1127" i="1" a="1"/>
  <c r="M1127" i="1" s="1"/>
  <c r="M1135" i="1" a="1"/>
  <c r="M1135" i="1" s="1"/>
  <c r="M1143" i="1" a="1"/>
  <c r="M1143" i="1" s="1"/>
  <c r="M1151" i="1" a="1"/>
  <c r="M1151" i="1" s="1"/>
  <c r="M1159" i="1" a="1"/>
  <c r="M1159" i="1" s="1"/>
  <c r="M1167" i="1" a="1"/>
  <c r="M1167" i="1" s="1"/>
  <c r="M1175" i="1" a="1"/>
  <c r="M1175" i="1" s="1"/>
  <c r="M1183" i="1" a="1"/>
  <c r="M1183" i="1" s="1"/>
  <c r="M1191" i="1" a="1"/>
  <c r="M1191" i="1" s="1"/>
  <c r="M1199" i="1" a="1"/>
  <c r="M1199" i="1" s="1"/>
  <c r="M1207" i="1" a="1"/>
  <c r="M1207" i="1" s="1"/>
  <c r="M1215" i="1" a="1"/>
  <c r="M1215" i="1" s="1"/>
  <c r="M1223" i="1" a="1"/>
  <c r="M1223" i="1" s="1"/>
  <c r="M1231" i="1" a="1"/>
  <c r="M1231" i="1" s="1"/>
  <c r="M1239" i="1" a="1"/>
  <c r="M1239" i="1" s="1"/>
  <c r="M1247" i="1" a="1"/>
  <c r="M1247" i="1" s="1"/>
  <c r="M1255" i="1" a="1"/>
  <c r="M1255" i="1" s="1"/>
  <c r="M1263" i="1" a="1"/>
  <c r="M1263" i="1" s="1"/>
  <c r="M1271" i="1" a="1"/>
  <c r="M1271" i="1" s="1"/>
  <c r="M1279" i="1" a="1"/>
  <c r="M1279" i="1" s="1"/>
  <c r="M1287" i="1" a="1"/>
  <c r="M1287" i="1" s="1"/>
  <c r="M1295" i="1" a="1"/>
  <c r="M1295" i="1" s="1"/>
  <c r="M1303" i="1" a="1"/>
  <c r="M1303" i="1" s="1"/>
  <c r="M1311" i="1" a="1"/>
  <c r="M1311" i="1" s="1"/>
  <c r="M1319" i="1" a="1"/>
  <c r="M1319" i="1" s="1"/>
  <c r="M1327" i="1" a="1"/>
  <c r="M1327" i="1" s="1"/>
  <c r="M1335" i="1" a="1"/>
  <c r="M1335" i="1" s="1"/>
  <c r="M1343" i="1" a="1"/>
  <c r="M1343" i="1" s="1"/>
  <c r="M1351" i="1" a="1"/>
  <c r="M1351" i="1" s="1"/>
  <c r="M1359" i="1" a="1"/>
  <c r="M1359" i="1" s="1"/>
  <c r="M1367" i="1" a="1"/>
  <c r="M1367" i="1" s="1"/>
  <c r="M1375" i="1" a="1"/>
  <c r="M1375" i="1" s="1"/>
  <c r="M1383" i="1" a="1"/>
  <c r="M1383" i="1" s="1"/>
  <c r="M1391" i="1" a="1"/>
  <c r="M1391" i="1" s="1"/>
  <c r="M1399" i="1" a="1"/>
  <c r="M1399" i="1" s="1"/>
  <c r="M1407" i="1" a="1"/>
  <c r="M1407" i="1" s="1"/>
  <c r="M1415" i="1" a="1"/>
  <c r="M1415" i="1" s="1"/>
  <c r="M1423" i="1" a="1"/>
  <c r="M1423" i="1" s="1"/>
  <c r="M1431" i="1" a="1"/>
  <c r="M1431" i="1" s="1"/>
  <c r="M1439" i="1" a="1"/>
  <c r="M1439" i="1" s="1"/>
  <c r="M1447" i="1" a="1"/>
  <c r="M1447" i="1" s="1"/>
  <c r="M1455" i="1" a="1"/>
  <c r="M1455" i="1" s="1"/>
  <c r="M1463" i="1" a="1"/>
  <c r="M1463" i="1" s="1"/>
  <c r="M1471" i="1" a="1"/>
  <c r="M1471" i="1" s="1"/>
  <c r="M1479" i="1" a="1"/>
  <c r="M1479" i="1" s="1"/>
  <c r="M1487" i="1" a="1"/>
  <c r="M1487" i="1" s="1"/>
  <c r="M1495" i="1" a="1"/>
  <c r="M1495" i="1" s="1"/>
  <c r="M1503" i="1" a="1"/>
  <c r="M1503" i="1" s="1"/>
  <c r="M1511" i="1" a="1"/>
  <c r="M1511" i="1" s="1"/>
  <c r="M1519" i="1" a="1"/>
  <c r="M1519" i="1" s="1"/>
  <c r="M1527" i="1" a="1"/>
  <c r="M1527" i="1" s="1"/>
  <c r="M1535" i="1" a="1"/>
  <c r="M1535" i="1" s="1"/>
  <c r="M1543" i="1" a="1"/>
  <c r="M1543" i="1" s="1"/>
  <c r="M1551" i="1" a="1"/>
  <c r="M1551" i="1" s="1"/>
  <c r="M1559" i="1" a="1"/>
  <c r="M1559" i="1" s="1"/>
  <c r="M1567" i="1" a="1"/>
  <c r="M1567" i="1" s="1"/>
  <c r="M1575" i="1" a="1"/>
  <c r="M1575" i="1" s="1"/>
  <c r="M1583" i="1" a="1"/>
  <c r="M1583" i="1" s="1"/>
  <c r="M1591" i="1" a="1"/>
  <c r="M1591" i="1" s="1"/>
  <c r="M1599" i="1" a="1"/>
  <c r="M1599" i="1" s="1"/>
  <c r="M1607" i="1" a="1"/>
  <c r="M1607" i="1" s="1"/>
  <c r="M1615" i="1" a="1"/>
  <c r="M1615" i="1" s="1"/>
  <c r="M1623" i="1" a="1"/>
  <c r="M1623" i="1" s="1"/>
  <c r="M1631" i="1" a="1"/>
  <c r="M1631" i="1" s="1"/>
  <c r="M1639" i="1" a="1"/>
  <c r="M1639" i="1" s="1"/>
  <c r="M1647" i="1" a="1"/>
  <c r="M1647" i="1" s="1"/>
  <c r="M1655" i="1" a="1"/>
  <c r="M1655" i="1" s="1"/>
  <c r="M1663" i="1" a="1"/>
  <c r="M1663" i="1" s="1"/>
  <c r="M1671" i="1" a="1"/>
  <c r="M1671" i="1" s="1"/>
  <c r="M1679" i="1" a="1"/>
  <c r="M1679" i="1" s="1"/>
  <c r="M694" i="1" a="1"/>
  <c r="M694" i="1" s="1"/>
  <c r="M726" i="1" a="1"/>
  <c r="M726" i="1" s="1"/>
  <c r="M758" i="1" a="1"/>
  <c r="M758" i="1" s="1"/>
  <c r="M790" i="1" a="1"/>
  <c r="M790" i="1" s="1"/>
  <c r="M822" i="1" a="1"/>
  <c r="M822" i="1" s="1"/>
  <c r="M854" i="1" a="1"/>
  <c r="M854" i="1" s="1"/>
  <c r="M886" i="1" a="1"/>
  <c r="M886" i="1" s="1"/>
  <c r="M918" i="1" a="1"/>
  <c r="M918" i="1" s="1"/>
  <c r="M950" i="1" a="1"/>
  <c r="M950" i="1" s="1"/>
  <c r="M982" i="1" a="1"/>
  <c r="M982" i="1" s="1"/>
  <c r="M1014" i="1" a="1"/>
  <c r="M1014" i="1" s="1"/>
  <c r="M1046" i="1" a="1"/>
  <c r="M1046" i="1" s="1"/>
  <c r="M1078" i="1" a="1"/>
  <c r="M1078" i="1" s="1"/>
  <c r="M1110" i="1" a="1"/>
  <c r="M1110" i="1" s="1"/>
  <c r="M1120" i="1" a="1"/>
  <c r="M1120" i="1" s="1"/>
  <c r="M1128" i="1" a="1"/>
  <c r="M1128" i="1" s="1"/>
  <c r="M1136" i="1" a="1"/>
  <c r="M1136" i="1" s="1"/>
  <c r="M1144" i="1" a="1"/>
  <c r="M1144" i="1" s="1"/>
  <c r="M1152" i="1" a="1"/>
  <c r="M1152" i="1" s="1"/>
  <c r="M1160" i="1" a="1"/>
  <c r="M1160" i="1" s="1"/>
  <c r="M1168" i="1" a="1"/>
  <c r="M1168" i="1" s="1"/>
  <c r="M1176" i="1" a="1"/>
  <c r="M1176" i="1" s="1"/>
  <c r="M1184" i="1" a="1"/>
  <c r="M1184" i="1" s="1"/>
  <c r="M1192" i="1" a="1"/>
  <c r="M1192" i="1" s="1"/>
  <c r="M1200" i="1" a="1"/>
  <c r="M1200" i="1" s="1"/>
  <c r="M1208" i="1" a="1"/>
  <c r="M1208" i="1" s="1"/>
  <c r="M1216" i="1" a="1"/>
  <c r="M1216" i="1" s="1"/>
  <c r="M1224" i="1" a="1"/>
  <c r="M1224" i="1" s="1"/>
  <c r="M1232" i="1" a="1"/>
  <c r="M1232" i="1" s="1"/>
  <c r="M1240" i="1" a="1"/>
  <c r="M1240" i="1" s="1"/>
  <c r="M1248" i="1" a="1"/>
  <c r="M1248" i="1" s="1"/>
  <c r="M1256" i="1" a="1"/>
  <c r="M1256" i="1" s="1"/>
  <c r="M1264" i="1" a="1"/>
  <c r="M1264" i="1" s="1"/>
  <c r="M1272" i="1" a="1"/>
  <c r="M1272" i="1" s="1"/>
  <c r="M1280" i="1" a="1"/>
  <c r="M1280" i="1" s="1"/>
  <c r="M1288" i="1" a="1"/>
  <c r="M1288" i="1" s="1"/>
  <c r="M1296" i="1" a="1"/>
  <c r="M1296" i="1" s="1"/>
  <c r="M1304" i="1" a="1"/>
  <c r="M1304" i="1" s="1"/>
  <c r="M1312" i="1" a="1"/>
  <c r="M1312" i="1" s="1"/>
  <c r="M1320" i="1" a="1"/>
  <c r="M1320" i="1" s="1"/>
  <c r="M1328" i="1" a="1"/>
  <c r="M1328" i="1" s="1"/>
  <c r="M1336" i="1" a="1"/>
  <c r="M1336" i="1" s="1"/>
  <c r="M1344" i="1" a="1"/>
  <c r="M1344" i="1" s="1"/>
  <c r="M1352" i="1" a="1"/>
  <c r="M1352" i="1" s="1"/>
  <c r="M1360" i="1" a="1"/>
  <c r="M1360" i="1" s="1"/>
  <c r="M1368" i="1" a="1"/>
  <c r="M1368" i="1" s="1"/>
  <c r="M1376" i="1" a="1"/>
  <c r="M1376" i="1" s="1"/>
  <c r="M1384" i="1" a="1"/>
  <c r="M1384" i="1" s="1"/>
  <c r="M1392" i="1" a="1"/>
  <c r="M1392" i="1" s="1"/>
  <c r="M1400" i="1" a="1"/>
  <c r="M1400" i="1" s="1"/>
  <c r="M1408" i="1" a="1"/>
  <c r="M1408" i="1" s="1"/>
  <c r="M1416" i="1" a="1"/>
  <c r="M1416" i="1" s="1"/>
  <c r="M1424" i="1" a="1"/>
  <c r="M1424" i="1" s="1"/>
  <c r="M1432" i="1" a="1"/>
  <c r="M1432" i="1" s="1"/>
  <c r="M1440" i="1" a="1"/>
  <c r="M1440" i="1" s="1"/>
  <c r="M1448" i="1" a="1"/>
  <c r="M1448" i="1" s="1"/>
  <c r="M1456" i="1" a="1"/>
  <c r="M1456" i="1" s="1"/>
  <c r="M1464" i="1" a="1"/>
  <c r="M1464" i="1" s="1"/>
  <c r="M1472" i="1" a="1"/>
  <c r="M1472" i="1" s="1"/>
  <c r="M1480" i="1" a="1"/>
  <c r="M1480" i="1" s="1"/>
  <c r="M1488" i="1" a="1"/>
  <c r="M1488" i="1" s="1"/>
  <c r="M1496" i="1" a="1"/>
  <c r="M1496" i="1" s="1"/>
  <c r="M1504" i="1" a="1"/>
  <c r="M1504" i="1" s="1"/>
  <c r="M1512" i="1" a="1"/>
  <c r="M1512" i="1" s="1"/>
  <c r="M1520" i="1" a="1"/>
  <c r="M1520" i="1" s="1"/>
  <c r="M1528" i="1" a="1"/>
  <c r="M1528" i="1" s="1"/>
  <c r="M1536" i="1" a="1"/>
  <c r="M1536" i="1" s="1"/>
  <c r="M1544" i="1" a="1"/>
  <c r="M1544" i="1" s="1"/>
  <c r="M1552" i="1" a="1"/>
  <c r="M1552" i="1" s="1"/>
  <c r="M1560" i="1" a="1"/>
  <c r="M1560" i="1" s="1"/>
  <c r="M1568" i="1" a="1"/>
  <c r="M1568" i="1" s="1"/>
  <c r="M1576" i="1" a="1"/>
  <c r="M1576" i="1" s="1"/>
  <c r="M1584" i="1" a="1"/>
  <c r="M1584" i="1" s="1"/>
  <c r="M1592" i="1" a="1"/>
  <c r="M1592" i="1" s="1"/>
  <c r="M1600" i="1" a="1"/>
  <c r="M1600" i="1" s="1"/>
  <c r="M1608" i="1" a="1"/>
  <c r="M1608" i="1" s="1"/>
  <c r="M1616" i="1" a="1"/>
  <c r="M1616" i="1" s="1"/>
  <c r="M1624" i="1" a="1"/>
  <c r="M1624" i="1" s="1"/>
  <c r="M1632" i="1" a="1"/>
  <c r="M1632" i="1" s="1"/>
  <c r="M1640" i="1" a="1"/>
  <c r="M1640" i="1" s="1"/>
  <c r="M1648" i="1" a="1"/>
  <c r="M1648" i="1" s="1"/>
  <c r="M1656" i="1" a="1"/>
  <c r="M1656" i="1" s="1"/>
  <c r="M1664" i="1" a="1"/>
  <c r="M1664" i="1" s="1"/>
  <c r="M1672" i="1" a="1"/>
  <c r="M1672" i="1" s="1"/>
  <c r="M1680" i="1" a="1"/>
  <c r="M1680" i="1" s="1"/>
  <c r="M1578" i="1" a="1"/>
  <c r="M1578" i="1" s="1"/>
  <c r="M1610" i="1" a="1"/>
  <c r="M1610" i="1" s="1"/>
  <c r="M1642" i="1" a="1"/>
  <c r="M1642" i="1" s="1"/>
  <c r="M1662" i="1" a="1"/>
  <c r="M1662" i="1" s="1"/>
  <c r="M1678" i="1" a="1"/>
  <c r="M1678" i="1" s="1"/>
  <c r="M1690" i="1" a="1"/>
  <c r="M1690" i="1" s="1"/>
  <c r="M1698" i="1" a="1"/>
  <c r="M1698" i="1" s="1"/>
  <c r="M1706" i="1" a="1"/>
  <c r="M1706" i="1" s="1"/>
  <c r="M1714" i="1" a="1"/>
  <c r="M1714" i="1" s="1"/>
  <c r="M1722" i="1" a="1"/>
  <c r="M1722" i="1" s="1"/>
  <c r="M1730" i="1" a="1"/>
  <c r="M1730" i="1" s="1"/>
  <c r="M1738" i="1" a="1"/>
  <c r="M1738" i="1" s="1"/>
  <c r="M1746" i="1" a="1"/>
  <c r="M1746" i="1" s="1"/>
  <c r="M1754" i="1" a="1"/>
  <c r="M1754" i="1" s="1"/>
  <c r="M1762" i="1" a="1"/>
  <c r="M1762" i="1" s="1"/>
  <c r="M1770" i="1" a="1"/>
  <c r="M1770" i="1" s="1"/>
  <c r="M1778" i="1" a="1"/>
  <c r="M1778" i="1" s="1"/>
  <c r="M1786" i="1" a="1"/>
  <c r="M1786" i="1" s="1"/>
  <c r="M1794" i="1" a="1"/>
  <c r="M1794" i="1" s="1"/>
  <c r="M1802" i="1" a="1"/>
  <c r="M1802" i="1" s="1"/>
  <c r="M1810" i="1" a="1"/>
  <c r="M1810" i="1" s="1"/>
  <c r="M1818" i="1" a="1"/>
  <c r="M1818" i="1" s="1"/>
  <c r="M1826" i="1" a="1"/>
  <c r="M1826" i="1" s="1"/>
  <c r="M1834" i="1" a="1"/>
  <c r="M1834" i="1" s="1"/>
  <c r="M1842" i="1" a="1"/>
  <c r="M1842" i="1" s="1"/>
  <c r="M1850" i="1" a="1"/>
  <c r="M1850" i="1" s="1"/>
  <c r="M1858" i="1" a="1"/>
  <c r="M1858" i="1" s="1"/>
  <c r="M1866" i="1" a="1"/>
  <c r="M1866" i="1" s="1"/>
  <c r="M1874" i="1" a="1"/>
  <c r="M1874" i="1" s="1"/>
  <c r="M1882" i="1" a="1"/>
  <c r="M1882" i="1" s="1"/>
  <c r="M1890" i="1" a="1"/>
  <c r="M1890" i="1" s="1"/>
  <c r="M1898" i="1" a="1"/>
  <c r="M1898" i="1" s="1"/>
  <c r="M1906" i="1" a="1"/>
  <c r="M1906" i="1" s="1"/>
  <c r="M1914" i="1" a="1"/>
  <c r="M1914" i="1" s="1"/>
  <c r="M1922" i="1" a="1"/>
  <c r="M1922" i="1" s="1"/>
  <c r="M1930" i="1" a="1"/>
  <c r="M1930" i="1" s="1"/>
  <c r="M1938" i="1" a="1"/>
  <c r="M1938" i="1" s="1"/>
  <c r="M1946" i="1" a="1"/>
  <c r="M1946" i="1" s="1"/>
  <c r="M1954" i="1" a="1"/>
  <c r="M1954" i="1" s="1"/>
  <c r="M1962" i="1" a="1"/>
  <c r="M1962" i="1" s="1"/>
  <c r="M1970" i="1" a="1"/>
  <c r="M1970" i="1" s="1"/>
  <c r="M1978" i="1" a="1"/>
  <c r="M1978" i="1" s="1"/>
  <c r="M1986" i="1" a="1"/>
  <c r="M1986" i="1" s="1"/>
  <c r="M1994" i="1" a="1"/>
  <c r="M1994" i="1" s="1"/>
  <c r="M2002" i="1" a="1"/>
  <c r="M2002" i="1" s="1"/>
  <c r="M2010" i="1" a="1"/>
  <c r="M2010" i="1" s="1"/>
  <c r="M2018" i="1" a="1"/>
  <c r="M2018" i="1" s="1"/>
  <c r="M2026" i="1" a="1"/>
  <c r="M2026" i="1" s="1"/>
  <c r="M2034" i="1" a="1"/>
  <c r="M2034" i="1" s="1"/>
  <c r="M2042" i="1" a="1"/>
  <c r="M2042" i="1" s="1"/>
  <c r="M2050" i="1" a="1"/>
  <c r="M2050" i="1" s="1"/>
  <c r="M2058" i="1" a="1"/>
  <c r="M2058" i="1" s="1"/>
  <c r="M2066" i="1" a="1"/>
  <c r="M2066" i="1" s="1"/>
  <c r="M2074" i="1" a="1"/>
  <c r="M2074" i="1" s="1"/>
  <c r="M2082" i="1" a="1"/>
  <c r="M2082" i="1" s="1"/>
  <c r="M2090" i="1" a="1"/>
  <c r="M2090" i="1" s="1"/>
  <c r="M2098" i="1" a="1"/>
  <c r="M2098" i="1" s="1"/>
  <c r="M2106" i="1" a="1"/>
  <c r="M2106" i="1" s="1"/>
  <c r="M2114" i="1" a="1"/>
  <c r="M2114" i="1" s="1"/>
  <c r="M2122" i="1" a="1"/>
  <c r="M2122" i="1" s="1"/>
  <c r="M2130" i="1" a="1"/>
  <c r="M2130" i="1" s="1"/>
  <c r="M2138" i="1" a="1"/>
  <c r="M2138" i="1" s="1"/>
  <c r="M2146" i="1" a="1"/>
  <c r="M2146" i="1" s="1"/>
  <c r="M2154" i="1" a="1"/>
  <c r="M2154" i="1" s="1"/>
  <c r="M2162" i="1" a="1"/>
  <c r="M2162" i="1" s="1"/>
  <c r="M2170" i="1" a="1"/>
  <c r="M2170" i="1" s="1"/>
  <c r="M2178" i="1" a="1"/>
  <c r="M2178" i="1" s="1"/>
  <c r="M2186" i="1" a="1"/>
  <c r="M2186" i="1" s="1"/>
  <c r="M2194" i="1" a="1"/>
  <c r="M2194" i="1" s="1"/>
  <c r="M2202" i="1" a="1"/>
  <c r="M2202" i="1" s="1"/>
  <c r="M2210" i="1" a="1"/>
  <c r="M2210" i="1" s="1"/>
  <c r="M2218" i="1" a="1"/>
  <c r="M2218" i="1" s="1"/>
  <c r="M2226" i="1" a="1"/>
  <c r="M2226" i="1" s="1"/>
  <c r="M2234" i="1" a="1"/>
  <c r="M2234" i="1" s="1"/>
  <c r="M2242" i="1" a="1"/>
  <c r="M2242" i="1" s="1"/>
  <c r="M2250" i="1" a="1"/>
  <c r="M2250" i="1" s="1"/>
  <c r="M2258" i="1" a="1"/>
  <c r="M2258" i="1" s="1"/>
  <c r="M2266" i="1" a="1"/>
  <c r="M2266" i="1" s="1"/>
  <c r="M2274" i="1" a="1"/>
  <c r="M2274" i="1" s="1"/>
  <c r="M2282" i="1" a="1"/>
  <c r="M2282" i="1" s="1"/>
  <c r="M2290" i="1" a="1"/>
  <c r="M2290" i="1" s="1"/>
  <c r="M2298" i="1" a="1"/>
  <c r="M2298" i="1" s="1"/>
  <c r="M2306" i="1" a="1"/>
  <c r="M2306" i="1" s="1"/>
  <c r="M2314" i="1" a="1"/>
  <c r="M2314" i="1" s="1"/>
  <c r="M2322" i="1" a="1"/>
  <c r="M2322" i="1" s="1"/>
  <c r="M2330" i="1" a="1"/>
  <c r="M2330" i="1" s="1"/>
  <c r="M1582" i="1" a="1"/>
  <c r="M1582" i="1" s="1"/>
  <c r="M1614" i="1" a="1"/>
  <c r="M1614" i="1" s="1"/>
  <c r="M1646" i="1" a="1"/>
  <c r="M1646" i="1" s="1"/>
  <c r="M1665" i="1" a="1"/>
  <c r="M1665" i="1" s="1"/>
  <c r="M1681" i="1" a="1"/>
  <c r="M1681" i="1" s="1"/>
  <c r="M1691" i="1" a="1"/>
  <c r="M1691" i="1" s="1"/>
  <c r="M1699" i="1" a="1"/>
  <c r="M1699" i="1" s="1"/>
  <c r="M1707" i="1" a="1"/>
  <c r="M1707" i="1" s="1"/>
  <c r="M1715" i="1" a="1"/>
  <c r="M1715" i="1" s="1"/>
  <c r="M1723" i="1" a="1"/>
  <c r="M1723" i="1" s="1"/>
  <c r="M1731" i="1" a="1"/>
  <c r="M1731" i="1" s="1"/>
  <c r="M1739" i="1" a="1"/>
  <c r="M1739" i="1" s="1"/>
  <c r="M1747" i="1" a="1"/>
  <c r="M1747" i="1" s="1"/>
  <c r="M1755" i="1" a="1"/>
  <c r="M1755" i="1" s="1"/>
  <c r="M1763" i="1" a="1"/>
  <c r="M1763" i="1" s="1"/>
  <c r="M1771" i="1" a="1"/>
  <c r="M1771" i="1" s="1"/>
  <c r="M1779" i="1" a="1"/>
  <c r="M1779" i="1" s="1"/>
  <c r="M1787" i="1" a="1"/>
  <c r="M1787" i="1" s="1"/>
  <c r="M1795" i="1" a="1"/>
  <c r="M1795" i="1" s="1"/>
  <c r="M1803" i="1" a="1"/>
  <c r="M1803" i="1" s="1"/>
  <c r="M1811" i="1" a="1"/>
  <c r="M1811" i="1" s="1"/>
  <c r="M1819" i="1" a="1"/>
  <c r="M1819" i="1" s="1"/>
  <c r="M1827" i="1" a="1"/>
  <c r="M1827" i="1" s="1"/>
  <c r="M1835" i="1" a="1"/>
  <c r="M1835" i="1" s="1"/>
  <c r="M1843" i="1" a="1"/>
  <c r="M1843" i="1" s="1"/>
  <c r="M1851" i="1" a="1"/>
  <c r="M1851" i="1" s="1"/>
  <c r="M1859" i="1" a="1"/>
  <c r="M1859" i="1" s="1"/>
  <c r="M1867" i="1" a="1"/>
  <c r="M1867" i="1" s="1"/>
  <c r="M1875" i="1" a="1"/>
  <c r="M1875" i="1" s="1"/>
  <c r="M1883" i="1" a="1"/>
  <c r="M1883" i="1" s="1"/>
  <c r="M1891" i="1" a="1"/>
  <c r="M1891" i="1" s="1"/>
  <c r="M1899" i="1" a="1"/>
  <c r="M1899" i="1" s="1"/>
  <c r="M1907" i="1" a="1"/>
  <c r="M1907" i="1" s="1"/>
  <c r="M1915" i="1" a="1"/>
  <c r="M1915" i="1" s="1"/>
  <c r="M1923" i="1" a="1"/>
  <c r="M1923" i="1" s="1"/>
  <c r="M1931" i="1" a="1"/>
  <c r="M1931" i="1" s="1"/>
  <c r="M1939" i="1" a="1"/>
  <c r="M1939" i="1" s="1"/>
  <c r="M1947" i="1" a="1"/>
  <c r="M1947" i="1" s="1"/>
  <c r="M1955" i="1" a="1"/>
  <c r="M1955" i="1" s="1"/>
  <c r="M1963" i="1" a="1"/>
  <c r="M1963" i="1" s="1"/>
  <c r="M1971" i="1" a="1"/>
  <c r="M1971" i="1" s="1"/>
  <c r="M1979" i="1" a="1"/>
  <c r="M1979" i="1" s="1"/>
  <c r="M1987" i="1" a="1"/>
  <c r="M1987" i="1" s="1"/>
  <c r="M1995" i="1" a="1"/>
  <c r="M1995" i="1" s="1"/>
  <c r="M2003" i="1" a="1"/>
  <c r="M2003" i="1" s="1"/>
  <c r="M2011" i="1" a="1"/>
  <c r="M2011" i="1" s="1"/>
  <c r="M2019" i="1" a="1"/>
  <c r="M2019" i="1" s="1"/>
  <c r="M2027" i="1" a="1"/>
  <c r="M2027" i="1" s="1"/>
  <c r="M2035" i="1" a="1"/>
  <c r="M2035" i="1" s="1"/>
  <c r="M2043" i="1" a="1"/>
  <c r="M2043" i="1" s="1"/>
  <c r="M2051" i="1" a="1"/>
  <c r="M2051" i="1" s="1"/>
  <c r="M2059" i="1" a="1"/>
  <c r="M2059" i="1" s="1"/>
  <c r="M2067" i="1" a="1"/>
  <c r="M2067" i="1" s="1"/>
  <c r="M2075" i="1" a="1"/>
  <c r="M2075" i="1" s="1"/>
  <c r="M2083" i="1" a="1"/>
  <c r="M2083" i="1" s="1"/>
  <c r="M2091" i="1" a="1"/>
  <c r="M2091" i="1" s="1"/>
  <c r="M2099" i="1" a="1"/>
  <c r="M2099" i="1" s="1"/>
  <c r="M2107" i="1" a="1"/>
  <c r="M2107" i="1" s="1"/>
  <c r="M2115" i="1" a="1"/>
  <c r="M2115" i="1" s="1"/>
  <c r="M2123" i="1" a="1"/>
  <c r="M2123" i="1" s="1"/>
  <c r="M2131" i="1" a="1"/>
  <c r="M2131" i="1" s="1"/>
  <c r="M2139" i="1" a="1"/>
  <c r="M2139" i="1" s="1"/>
  <c r="M2147" i="1" a="1"/>
  <c r="M2147" i="1" s="1"/>
  <c r="M2155" i="1" a="1"/>
  <c r="M2155" i="1" s="1"/>
  <c r="M2163" i="1" a="1"/>
  <c r="M2163" i="1" s="1"/>
  <c r="M2171" i="1" a="1"/>
  <c r="M2171" i="1" s="1"/>
  <c r="M2179" i="1" a="1"/>
  <c r="M2179" i="1" s="1"/>
  <c r="M2187" i="1" a="1"/>
  <c r="M2187" i="1" s="1"/>
  <c r="M2195" i="1" a="1"/>
  <c r="M2195" i="1" s="1"/>
  <c r="M2203" i="1" a="1"/>
  <c r="M2203" i="1" s="1"/>
  <c r="M2211" i="1" a="1"/>
  <c r="M2211" i="1" s="1"/>
  <c r="M2219" i="1" a="1"/>
  <c r="M2219" i="1" s="1"/>
  <c r="M2227" i="1" a="1"/>
  <c r="M2227" i="1" s="1"/>
  <c r="M2235" i="1" a="1"/>
  <c r="M2235" i="1" s="1"/>
  <c r="M2243" i="1" a="1"/>
  <c r="M2243" i="1" s="1"/>
  <c r="M2251" i="1" a="1"/>
  <c r="M2251" i="1" s="1"/>
  <c r="M1586" i="1" a="1"/>
  <c r="M1586" i="1" s="1"/>
  <c r="M1618" i="1" a="1"/>
  <c r="M1618" i="1" s="1"/>
  <c r="M1650" i="1" a="1"/>
  <c r="M1650" i="1" s="1"/>
  <c r="M1666" i="1" a="1"/>
  <c r="M1666" i="1" s="1"/>
  <c r="M1682" i="1" a="1"/>
  <c r="M1682" i="1" s="1"/>
  <c r="M1692" i="1" a="1"/>
  <c r="M1692" i="1" s="1"/>
  <c r="M1700" i="1" a="1"/>
  <c r="M1700" i="1" s="1"/>
  <c r="M1708" i="1" a="1"/>
  <c r="M1708" i="1" s="1"/>
  <c r="M1716" i="1" a="1"/>
  <c r="M1716" i="1" s="1"/>
  <c r="M1724" i="1" a="1"/>
  <c r="M1724" i="1" s="1"/>
  <c r="M1732" i="1" a="1"/>
  <c r="M1732" i="1" s="1"/>
  <c r="M1740" i="1" a="1"/>
  <c r="M1740" i="1" s="1"/>
  <c r="M1748" i="1" a="1"/>
  <c r="M1748" i="1" s="1"/>
  <c r="M1756" i="1" a="1"/>
  <c r="M1756" i="1" s="1"/>
  <c r="M1764" i="1" a="1"/>
  <c r="M1764" i="1" s="1"/>
  <c r="M1772" i="1" a="1"/>
  <c r="M1772" i="1" s="1"/>
  <c r="M1780" i="1" a="1"/>
  <c r="M1780" i="1" s="1"/>
  <c r="M1788" i="1" a="1"/>
  <c r="M1788" i="1" s="1"/>
  <c r="M1796" i="1" a="1"/>
  <c r="M1796" i="1" s="1"/>
  <c r="M1804" i="1" a="1"/>
  <c r="M1804" i="1" s="1"/>
  <c r="M1812" i="1" a="1"/>
  <c r="M1812" i="1" s="1"/>
  <c r="M1820" i="1" a="1"/>
  <c r="M1820" i="1" s="1"/>
  <c r="M1828" i="1" a="1"/>
  <c r="M1828" i="1" s="1"/>
  <c r="M1836" i="1" a="1"/>
  <c r="M1836" i="1" s="1"/>
  <c r="M1844" i="1" a="1"/>
  <c r="M1844" i="1" s="1"/>
  <c r="M1852" i="1" a="1"/>
  <c r="M1852" i="1" s="1"/>
  <c r="M1860" i="1" a="1"/>
  <c r="M1860" i="1" s="1"/>
  <c r="M1868" i="1" a="1"/>
  <c r="M1868" i="1" s="1"/>
  <c r="M1876" i="1" a="1"/>
  <c r="M1876" i="1" s="1"/>
  <c r="M1884" i="1" a="1"/>
  <c r="M1884" i="1" s="1"/>
  <c r="M1892" i="1" a="1"/>
  <c r="M1892" i="1" s="1"/>
  <c r="M1900" i="1" a="1"/>
  <c r="M1900" i="1" s="1"/>
  <c r="M1908" i="1" a="1"/>
  <c r="M1908" i="1" s="1"/>
  <c r="M1916" i="1" a="1"/>
  <c r="M1916" i="1" s="1"/>
  <c r="M1924" i="1" a="1"/>
  <c r="M1924" i="1" s="1"/>
  <c r="M1932" i="1" a="1"/>
  <c r="M1932" i="1" s="1"/>
  <c r="M1940" i="1" a="1"/>
  <c r="M1940" i="1" s="1"/>
  <c r="M1948" i="1" a="1"/>
  <c r="M1948" i="1" s="1"/>
  <c r="M1956" i="1" a="1"/>
  <c r="M1956" i="1" s="1"/>
  <c r="M1964" i="1" a="1"/>
  <c r="M1964" i="1" s="1"/>
  <c r="M1972" i="1" a="1"/>
  <c r="M1972" i="1" s="1"/>
  <c r="M1980" i="1" a="1"/>
  <c r="M1980" i="1" s="1"/>
  <c r="M1988" i="1" a="1"/>
  <c r="M1988" i="1" s="1"/>
  <c r="M1996" i="1" a="1"/>
  <c r="M1996" i="1" s="1"/>
  <c r="M2004" i="1" a="1"/>
  <c r="M2004" i="1" s="1"/>
  <c r="M2012" i="1" a="1"/>
  <c r="M2012" i="1" s="1"/>
  <c r="M2020" i="1" a="1"/>
  <c r="M2020" i="1" s="1"/>
  <c r="M2028" i="1" a="1"/>
  <c r="M2028" i="1" s="1"/>
  <c r="M2036" i="1" a="1"/>
  <c r="M2036" i="1" s="1"/>
  <c r="M2044" i="1" a="1"/>
  <c r="M2044" i="1" s="1"/>
  <c r="M2052" i="1" a="1"/>
  <c r="M2052" i="1" s="1"/>
  <c r="M2060" i="1" a="1"/>
  <c r="M2060" i="1" s="1"/>
  <c r="M2068" i="1" a="1"/>
  <c r="M2068" i="1" s="1"/>
  <c r="M2076" i="1" a="1"/>
  <c r="M2076" i="1" s="1"/>
  <c r="M2084" i="1" a="1"/>
  <c r="M2084" i="1" s="1"/>
  <c r="M2092" i="1" a="1"/>
  <c r="M2092" i="1" s="1"/>
  <c r="M2100" i="1" a="1"/>
  <c r="M2100" i="1" s="1"/>
  <c r="M2108" i="1" a="1"/>
  <c r="M2108" i="1" s="1"/>
  <c r="M2116" i="1" a="1"/>
  <c r="M2116" i="1" s="1"/>
  <c r="M2124" i="1" a="1"/>
  <c r="M2124" i="1" s="1"/>
  <c r="M2132" i="1" a="1"/>
  <c r="M2132" i="1" s="1"/>
  <c r="M2140" i="1" a="1"/>
  <c r="M2140" i="1" s="1"/>
  <c r="M2148" i="1" a="1"/>
  <c r="M2148" i="1" s="1"/>
  <c r="M2156" i="1" a="1"/>
  <c r="M2156" i="1" s="1"/>
  <c r="M2164" i="1" a="1"/>
  <c r="M2164" i="1" s="1"/>
  <c r="M2172" i="1" a="1"/>
  <c r="M2172" i="1" s="1"/>
  <c r="M2180" i="1" a="1"/>
  <c r="M2180" i="1" s="1"/>
  <c r="M2188" i="1" a="1"/>
  <c r="M2188" i="1" s="1"/>
  <c r="M2196" i="1" a="1"/>
  <c r="M2196" i="1" s="1"/>
  <c r="M2204" i="1" a="1"/>
  <c r="M2204" i="1" s="1"/>
  <c r="M2212" i="1" a="1"/>
  <c r="M2212" i="1" s="1"/>
  <c r="M2220" i="1" a="1"/>
  <c r="M2220" i="1" s="1"/>
  <c r="M2228" i="1" a="1"/>
  <c r="M2228" i="1" s="1"/>
  <c r="M2236" i="1" a="1"/>
  <c r="M2236" i="1" s="1"/>
  <c r="M2244" i="1" a="1"/>
  <c r="M2244" i="1" s="1"/>
  <c r="M2252" i="1" a="1"/>
  <c r="M2252" i="1" s="1"/>
  <c r="M2260" i="1" a="1"/>
  <c r="M2260" i="1" s="1"/>
  <c r="M1590" i="1" a="1"/>
  <c r="M1590" i="1" s="1"/>
  <c r="M1622" i="1" a="1"/>
  <c r="M1622" i="1" s="1"/>
  <c r="M1653" i="1" a="1"/>
  <c r="M1653" i="1" s="1"/>
  <c r="M1669" i="1" a="1"/>
  <c r="M1669" i="1" s="1"/>
  <c r="M1685" i="1" a="1"/>
  <c r="M1685" i="1" s="1"/>
  <c r="M1693" i="1" a="1"/>
  <c r="M1693" i="1" s="1"/>
  <c r="M1701" i="1" a="1"/>
  <c r="M1701" i="1" s="1"/>
  <c r="M1709" i="1" a="1"/>
  <c r="M1709" i="1" s="1"/>
  <c r="M1717" i="1" a="1"/>
  <c r="M1717" i="1" s="1"/>
  <c r="M1725" i="1" a="1"/>
  <c r="M1725" i="1" s="1"/>
  <c r="M1733" i="1" a="1"/>
  <c r="M1733" i="1" s="1"/>
  <c r="M1741" i="1" a="1"/>
  <c r="M1741" i="1" s="1"/>
  <c r="M1749" i="1" a="1"/>
  <c r="M1749" i="1" s="1"/>
  <c r="M1757" i="1" a="1"/>
  <c r="M1757" i="1" s="1"/>
  <c r="M1765" i="1" a="1"/>
  <c r="M1765" i="1" s="1"/>
  <c r="M1773" i="1" a="1"/>
  <c r="M1773" i="1" s="1"/>
  <c r="M1781" i="1" a="1"/>
  <c r="M1781" i="1" s="1"/>
  <c r="M1789" i="1" a="1"/>
  <c r="M1789" i="1" s="1"/>
  <c r="M1797" i="1" a="1"/>
  <c r="M1797" i="1" s="1"/>
  <c r="M1805" i="1" a="1"/>
  <c r="M1805" i="1" s="1"/>
  <c r="M1813" i="1" a="1"/>
  <c r="M1813" i="1" s="1"/>
  <c r="M1821" i="1" a="1"/>
  <c r="M1821" i="1" s="1"/>
  <c r="M1829" i="1" a="1"/>
  <c r="M1829" i="1" s="1"/>
  <c r="M1837" i="1" a="1"/>
  <c r="M1837" i="1" s="1"/>
  <c r="M1845" i="1" a="1"/>
  <c r="M1845" i="1" s="1"/>
  <c r="M1853" i="1" a="1"/>
  <c r="M1853" i="1" s="1"/>
  <c r="M1861" i="1" a="1"/>
  <c r="M1861" i="1" s="1"/>
  <c r="M1869" i="1" a="1"/>
  <c r="M1869" i="1" s="1"/>
  <c r="M1877" i="1" a="1"/>
  <c r="M1877" i="1" s="1"/>
  <c r="M1885" i="1" a="1"/>
  <c r="M1885" i="1" s="1"/>
  <c r="M1893" i="1" a="1"/>
  <c r="M1893" i="1" s="1"/>
  <c r="M1901" i="1" a="1"/>
  <c r="M1901" i="1" s="1"/>
  <c r="M1909" i="1" a="1"/>
  <c r="M1909" i="1" s="1"/>
  <c r="M1917" i="1" a="1"/>
  <c r="M1917" i="1" s="1"/>
  <c r="M1925" i="1" a="1"/>
  <c r="M1925" i="1" s="1"/>
  <c r="M1933" i="1" a="1"/>
  <c r="M1933" i="1" s="1"/>
  <c r="M1941" i="1" a="1"/>
  <c r="M1941" i="1" s="1"/>
  <c r="M1949" i="1" a="1"/>
  <c r="M1949" i="1" s="1"/>
  <c r="M1957" i="1" a="1"/>
  <c r="M1957" i="1" s="1"/>
  <c r="M1965" i="1" a="1"/>
  <c r="M1965" i="1" s="1"/>
  <c r="M1973" i="1" a="1"/>
  <c r="M1973" i="1" s="1"/>
  <c r="M1981" i="1" a="1"/>
  <c r="M1981" i="1" s="1"/>
  <c r="M1989" i="1" a="1"/>
  <c r="M1989" i="1" s="1"/>
  <c r="M1997" i="1" a="1"/>
  <c r="M1997" i="1" s="1"/>
  <c r="M2005" i="1" a="1"/>
  <c r="M2005" i="1" s="1"/>
  <c r="M2013" i="1" a="1"/>
  <c r="M2013" i="1" s="1"/>
  <c r="M2021" i="1" a="1"/>
  <c r="M2021" i="1" s="1"/>
  <c r="M2029" i="1" a="1"/>
  <c r="M2029" i="1" s="1"/>
  <c r="M2037" i="1" a="1"/>
  <c r="M2037" i="1" s="1"/>
  <c r="M2045" i="1" a="1"/>
  <c r="M2045" i="1" s="1"/>
  <c r="M2053" i="1" a="1"/>
  <c r="M2053" i="1" s="1"/>
  <c r="M2061" i="1" a="1"/>
  <c r="M2061" i="1" s="1"/>
  <c r="M2069" i="1" a="1"/>
  <c r="M2069" i="1" s="1"/>
  <c r="M2077" i="1" a="1"/>
  <c r="M2077" i="1" s="1"/>
  <c r="M2085" i="1" a="1"/>
  <c r="M2085" i="1" s="1"/>
  <c r="M2093" i="1" a="1"/>
  <c r="M2093" i="1" s="1"/>
  <c r="M2101" i="1" a="1"/>
  <c r="M2101" i="1" s="1"/>
  <c r="M2109" i="1" a="1"/>
  <c r="M2109" i="1" s="1"/>
  <c r="M2117" i="1" a="1"/>
  <c r="M2117" i="1" s="1"/>
  <c r="M2125" i="1" a="1"/>
  <c r="M2125" i="1" s="1"/>
  <c r="M2133" i="1" a="1"/>
  <c r="M2133" i="1" s="1"/>
  <c r="M2141" i="1" a="1"/>
  <c r="M2141" i="1" s="1"/>
  <c r="M2149" i="1" a="1"/>
  <c r="M2149" i="1" s="1"/>
  <c r="M2157" i="1" a="1"/>
  <c r="M2157" i="1" s="1"/>
  <c r="M2165" i="1" a="1"/>
  <c r="M2165" i="1" s="1"/>
  <c r="M2173" i="1" a="1"/>
  <c r="M2173" i="1" s="1"/>
  <c r="M2181" i="1" a="1"/>
  <c r="M2181" i="1" s="1"/>
  <c r="M2189" i="1" a="1"/>
  <c r="M2189" i="1" s="1"/>
  <c r="M2197" i="1" a="1"/>
  <c r="M2197" i="1" s="1"/>
  <c r="M2205" i="1" a="1"/>
  <c r="M2205" i="1" s="1"/>
  <c r="M2213" i="1" a="1"/>
  <c r="M2213" i="1" s="1"/>
  <c r="M2221" i="1" a="1"/>
  <c r="M2221" i="1" s="1"/>
  <c r="M2229" i="1" a="1"/>
  <c r="M2229" i="1" s="1"/>
  <c r="M2237" i="1" a="1"/>
  <c r="M2237" i="1" s="1"/>
  <c r="M2245" i="1" a="1"/>
  <c r="M2245" i="1" s="1"/>
  <c r="M2253" i="1" a="1"/>
  <c r="M2253" i="1" s="1"/>
  <c r="M2261" i="1" a="1"/>
  <c r="M2261" i="1" s="1"/>
  <c r="M2269" i="1" a="1"/>
  <c r="M2269" i="1" s="1"/>
  <c r="M2277" i="1" a="1"/>
  <c r="M2277" i="1" s="1"/>
  <c r="M2285" i="1" a="1"/>
  <c r="M2285" i="1" s="1"/>
  <c r="M2293" i="1" a="1"/>
  <c r="M2293" i="1" s="1"/>
  <c r="M2301" i="1" a="1"/>
  <c r="M2301" i="1" s="1"/>
  <c r="M2309" i="1" a="1"/>
  <c r="M2309" i="1" s="1"/>
  <c r="M2317" i="1" a="1"/>
  <c r="M2317" i="1" s="1"/>
  <c r="M2325" i="1" a="1"/>
  <c r="M2325" i="1" s="1"/>
  <c r="M2333" i="1" a="1"/>
  <c r="M2333" i="1" s="1"/>
  <c r="M2341" i="1" a="1"/>
  <c r="M2341" i="1" s="1"/>
  <c r="M2349" i="1" a="1"/>
  <c r="M2349" i="1" s="1"/>
  <c r="M2357" i="1" a="1"/>
  <c r="M2357" i="1" s="1"/>
  <c r="M2365" i="1" a="1"/>
  <c r="M2365" i="1" s="1"/>
  <c r="M2373" i="1" a="1"/>
  <c r="M2373" i="1" s="1"/>
  <c r="M2381" i="1" a="1"/>
  <c r="M2381" i="1" s="1"/>
  <c r="M2389" i="1" a="1"/>
  <c r="M2389" i="1" s="1"/>
  <c r="M2397" i="1" a="1"/>
  <c r="M2397" i="1" s="1"/>
  <c r="M2405" i="1" a="1"/>
  <c r="M2405" i="1" s="1"/>
  <c r="M2413" i="1" a="1"/>
  <c r="M2413" i="1" s="1"/>
  <c r="M1594" i="1" a="1"/>
  <c r="M1594" i="1" s="1"/>
  <c r="M1626" i="1" a="1"/>
  <c r="M1626" i="1" s="1"/>
  <c r="M1654" i="1" a="1"/>
  <c r="M1654" i="1" s="1"/>
  <c r="M1670" i="1" a="1"/>
  <c r="M1670" i="1" s="1"/>
  <c r="M1686" i="1" a="1"/>
  <c r="M1686" i="1" s="1"/>
  <c r="M1694" i="1" a="1"/>
  <c r="M1694" i="1" s="1"/>
  <c r="M1702" i="1" a="1"/>
  <c r="M1702" i="1" s="1"/>
  <c r="M1710" i="1" a="1"/>
  <c r="M1710" i="1" s="1"/>
  <c r="M1718" i="1" a="1"/>
  <c r="M1718" i="1" s="1"/>
  <c r="M1726" i="1" a="1"/>
  <c r="M1726" i="1" s="1"/>
  <c r="M1734" i="1" a="1"/>
  <c r="M1734" i="1" s="1"/>
  <c r="M1742" i="1" a="1"/>
  <c r="M1742" i="1" s="1"/>
  <c r="M1750" i="1" a="1"/>
  <c r="M1750" i="1" s="1"/>
  <c r="M1758" i="1" a="1"/>
  <c r="M1758" i="1" s="1"/>
  <c r="M1766" i="1" a="1"/>
  <c r="M1766" i="1" s="1"/>
  <c r="M1774" i="1" a="1"/>
  <c r="M1774" i="1" s="1"/>
  <c r="M1782" i="1" a="1"/>
  <c r="M1782" i="1" s="1"/>
  <c r="M1790" i="1" a="1"/>
  <c r="M1790" i="1" s="1"/>
  <c r="M1798" i="1" a="1"/>
  <c r="M1798" i="1" s="1"/>
  <c r="M1806" i="1" a="1"/>
  <c r="M1806" i="1" s="1"/>
  <c r="M1814" i="1" a="1"/>
  <c r="M1814" i="1" s="1"/>
  <c r="M1822" i="1" a="1"/>
  <c r="M1822" i="1" s="1"/>
  <c r="M1830" i="1" a="1"/>
  <c r="M1830" i="1" s="1"/>
  <c r="M1838" i="1" a="1"/>
  <c r="M1838" i="1" s="1"/>
  <c r="M1846" i="1" a="1"/>
  <c r="M1846" i="1" s="1"/>
  <c r="M1854" i="1" a="1"/>
  <c r="M1854" i="1" s="1"/>
  <c r="M1862" i="1" a="1"/>
  <c r="M1862" i="1" s="1"/>
  <c r="M1870" i="1" a="1"/>
  <c r="M1870" i="1" s="1"/>
  <c r="M1878" i="1" a="1"/>
  <c r="M1878" i="1" s="1"/>
  <c r="M1886" i="1" a="1"/>
  <c r="M1886" i="1" s="1"/>
  <c r="M1894" i="1" a="1"/>
  <c r="M1894" i="1" s="1"/>
  <c r="M1902" i="1" a="1"/>
  <c r="M1902" i="1" s="1"/>
  <c r="M1910" i="1" a="1"/>
  <c r="M1910" i="1" s="1"/>
  <c r="M1918" i="1" a="1"/>
  <c r="M1918" i="1" s="1"/>
  <c r="M1926" i="1" a="1"/>
  <c r="M1926" i="1" s="1"/>
  <c r="M1934" i="1" a="1"/>
  <c r="M1934" i="1" s="1"/>
  <c r="M1942" i="1" a="1"/>
  <c r="M1942" i="1" s="1"/>
  <c r="M1950" i="1" a="1"/>
  <c r="M1950" i="1" s="1"/>
  <c r="M1958" i="1" a="1"/>
  <c r="M1958" i="1" s="1"/>
  <c r="M1966" i="1" a="1"/>
  <c r="M1966" i="1" s="1"/>
  <c r="M1974" i="1" a="1"/>
  <c r="M1974" i="1" s="1"/>
  <c r="M1982" i="1" a="1"/>
  <c r="M1982" i="1" s="1"/>
  <c r="M1990" i="1" a="1"/>
  <c r="M1990" i="1" s="1"/>
  <c r="M1998" i="1" a="1"/>
  <c r="M1998" i="1" s="1"/>
  <c r="M2006" i="1" a="1"/>
  <c r="M2006" i="1" s="1"/>
  <c r="M2014" i="1" a="1"/>
  <c r="M2014" i="1" s="1"/>
  <c r="M2022" i="1" a="1"/>
  <c r="M2022" i="1" s="1"/>
  <c r="M2030" i="1" a="1"/>
  <c r="M2030" i="1" s="1"/>
  <c r="M2038" i="1" a="1"/>
  <c r="M2038" i="1" s="1"/>
  <c r="M2046" i="1" a="1"/>
  <c r="M2046" i="1" s="1"/>
  <c r="M2054" i="1" a="1"/>
  <c r="M2054" i="1" s="1"/>
  <c r="M2062" i="1" a="1"/>
  <c r="M2062" i="1" s="1"/>
  <c r="M2070" i="1" a="1"/>
  <c r="M2070" i="1" s="1"/>
  <c r="M2078" i="1" a="1"/>
  <c r="M2078" i="1" s="1"/>
  <c r="M2086" i="1" a="1"/>
  <c r="M2086" i="1" s="1"/>
  <c r="M2094" i="1" a="1"/>
  <c r="M2094" i="1" s="1"/>
  <c r="M2102" i="1" a="1"/>
  <c r="M2102" i="1" s="1"/>
  <c r="M2110" i="1" a="1"/>
  <c r="M2110" i="1" s="1"/>
  <c r="M2118" i="1" a="1"/>
  <c r="M2118" i="1" s="1"/>
  <c r="M2126" i="1" a="1"/>
  <c r="M2126" i="1" s="1"/>
  <c r="M2134" i="1" a="1"/>
  <c r="M2134" i="1" s="1"/>
  <c r="M2142" i="1" a="1"/>
  <c r="M2142" i="1" s="1"/>
  <c r="M2150" i="1" a="1"/>
  <c r="M2150" i="1" s="1"/>
  <c r="M2158" i="1" a="1"/>
  <c r="M2158" i="1" s="1"/>
  <c r="M2166" i="1" a="1"/>
  <c r="M2166" i="1" s="1"/>
  <c r="M2174" i="1" a="1"/>
  <c r="M2174" i="1" s="1"/>
  <c r="M2182" i="1" a="1"/>
  <c r="M2182" i="1" s="1"/>
  <c r="M2190" i="1" a="1"/>
  <c r="M2190" i="1" s="1"/>
  <c r="M2198" i="1" a="1"/>
  <c r="M2198" i="1" s="1"/>
  <c r="M2206" i="1" a="1"/>
  <c r="M2206" i="1" s="1"/>
  <c r="M2214" i="1" a="1"/>
  <c r="M2214" i="1" s="1"/>
  <c r="M2222" i="1" a="1"/>
  <c r="M2222" i="1" s="1"/>
  <c r="M2230" i="1" a="1"/>
  <c r="M2230" i="1" s="1"/>
  <c r="M2238" i="1" a="1"/>
  <c r="M2238" i="1" s="1"/>
  <c r="M2246" i="1" a="1"/>
  <c r="M2246" i="1" s="1"/>
  <c r="M2254" i="1" a="1"/>
  <c r="M2254" i="1" s="1"/>
  <c r="M2262" i="1" a="1"/>
  <c r="M2262" i="1" s="1"/>
  <c r="M2270" i="1" a="1"/>
  <c r="M2270" i="1" s="1"/>
  <c r="M2278" i="1" a="1"/>
  <c r="M2278" i="1" s="1"/>
  <c r="M2286" i="1" a="1"/>
  <c r="M2286" i="1" s="1"/>
  <c r="M2294" i="1" a="1"/>
  <c r="M2294" i="1" s="1"/>
  <c r="M2302" i="1" a="1"/>
  <c r="M2302" i="1" s="1"/>
  <c r="M2310" i="1" a="1"/>
  <c r="M2310" i="1" s="1"/>
  <c r="M2318" i="1" a="1"/>
  <c r="M2318" i="1" s="1"/>
  <c r="M2326" i="1" a="1"/>
  <c r="M2326" i="1" s="1"/>
  <c r="M2334" i="1" a="1"/>
  <c r="M2334" i="1" s="1"/>
  <c r="M2342" i="1" a="1"/>
  <c r="M2342" i="1" s="1"/>
  <c r="M2350" i="1" a="1"/>
  <c r="M2350" i="1" s="1"/>
  <c r="M2358" i="1" a="1"/>
  <c r="M2358" i="1" s="1"/>
  <c r="M2366" i="1" a="1"/>
  <c r="M2366" i="1" s="1"/>
  <c r="M2374" i="1" a="1"/>
  <c r="M2374" i="1" s="1"/>
  <c r="M2382" i="1" a="1"/>
  <c r="M2382" i="1" s="1"/>
  <c r="M2390" i="1" a="1"/>
  <c r="M2390" i="1" s="1"/>
  <c r="M2398" i="1" a="1"/>
  <c r="M2398" i="1" s="1"/>
  <c r="M2406" i="1" a="1"/>
  <c r="M2406" i="1" s="1"/>
  <c r="M2414" i="1" a="1"/>
  <c r="M2414" i="1" s="1"/>
  <c r="M2422" i="1" a="1"/>
  <c r="M2422" i="1" s="1"/>
  <c r="M2430" i="1" a="1"/>
  <c r="M2430" i="1" s="1"/>
  <c r="M2438" i="1" a="1"/>
  <c r="M2438" i="1" s="1"/>
  <c r="M1598" i="1" a="1"/>
  <c r="M1598" i="1" s="1"/>
  <c r="M1630" i="1" a="1"/>
  <c r="M1630" i="1" s="1"/>
  <c r="M1657" i="1" a="1"/>
  <c r="M1657" i="1" s="1"/>
  <c r="M1673" i="1" a="1"/>
  <c r="M1673" i="1" s="1"/>
  <c r="M1687" i="1" a="1"/>
  <c r="M1687" i="1" s="1"/>
  <c r="M1695" i="1" a="1"/>
  <c r="M1695" i="1" s="1"/>
  <c r="M1703" i="1" a="1"/>
  <c r="M1703" i="1" s="1"/>
  <c r="M1711" i="1" a="1"/>
  <c r="M1711" i="1" s="1"/>
  <c r="M1719" i="1" a="1"/>
  <c r="M1719" i="1" s="1"/>
  <c r="M1727" i="1" a="1"/>
  <c r="M1727" i="1" s="1"/>
  <c r="M1735" i="1" a="1"/>
  <c r="M1735" i="1" s="1"/>
  <c r="M1743" i="1" a="1"/>
  <c r="M1743" i="1" s="1"/>
  <c r="M1751" i="1" a="1"/>
  <c r="M1751" i="1" s="1"/>
  <c r="M1759" i="1" a="1"/>
  <c r="M1759" i="1" s="1"/>
  <c r="M1767" i="1" a="1"/>
  <c r="M1767" i="1" s="1"/>
  <c r="M1775" i="1" a="1"/>
  <c r="M1775" i="1" s="1"/>
  <c r="M1783" i="1" a="1"/>
  <c r="M1783" i="1" s="1"/>
  <c r="M1791" i="1" a="1"/>
  <c r="M1791" i="1" s="1"/>
  <c r="M1799" i="1" a="1"/>
  <c r="M1799" i="1" s="1"/>
  <c r="M1807" i="1" a="1"/>
  <c r="M1807" i="1" s="1"/>
  <c r="M1815" i="1" a="1"/>
  <c r="M1815" i="1" s="1"/>
  <c r="M1823" i="1" a="1"/>
  <c r="M1823" i="1" s="1"/>
  <c r="M1831" i="1" a="1"/>
  <c r="M1831" i="1" s="1"/>
  <c r="M1839" i="1" a="1"/>
  <c r="M1839" i="1" s="1"/>
  <c r="M1847" i="1" a="1"/>
  <c r="M1847" i="1" s="1"/>
  <c r="M1855" i="1" a="1"/>
  <c r="M1855" i="1" s="1"/>
  <c r="M1863" i="1" a="1"/>
  <c r="M1863" i="1" s="1"/>
  <c r="M1871" i="1" a="1"/>
  <c r="M1871" i="1" s="1"/>
  <c r="M1879" i="1" a="1"/>
  <c r="M1879" i="1" s="1"/>
  <c r="M1887" i="1" a="1"/>
  <c r="M1887" i="1" s="1"/>
  <c r="M1895" i="1" a="1"/>
  <c r="M1895" i="1" s="1"/>
  <c r="M1903" i="1" a="1"/>
  <c r="M1903" i="1" s="1"/>
  <c r="M1911" i="1" a="1"/>
  <c r="M1911" i="1" s="1"/>
  <c r="M1919" i="1" a="1"/>
  <c r="M1919" i="1" s="1"/>
  <c r="M1927" i="1" a="1"/>
  <c r="M1927" i="1" s="1"/>
  <c r="M1935" i="1" a="1"/>
  <c r="M1935" i="1" s="1"/>
  <c r="M1943" i="1" a="1"/>
  <c r="M1943" i="1" s="1"/>
  <c r="M1951" i="1" a="1"/>
  <c r="M1951" i="1" s="1"/>
  <c r="M1959" i="1" a="1"/>
  <c r="M1959" i="1" s="1"/>
  <c r="M1967" i="1" a="1"/>
  <c r="M1967" i="1" s="1"/>
  <c r="M1975" i="1" a="1"/>
  <c r="M1975" i="1" s="1"/>
  <c r="M1983" i="1" a="1"/>
  <c r="M1983" i="1" s="1"/>
  <c r="M1991" i="1" a="1"/>
  <c r="M1991" i="1" s="1"/>
  <c r="M1999" i="1" a="1"/>
  <c r="M1999" i="1" s="1"/>
  <c r="M2007" i="1" a="1"/>
  <c r="M2007" i="1" s="1"/>
  <c r="M2015" i="1" a="1"/>
  <c r="M2015" i="1" s="1"/>
  <c r="M2023" i="1" a="1"/>
  <c r="M2023" i="1" s="1"/>
  <c r="M2031" i="1" a="1"/>
  <c r="M2031" i="1" s="1"/>
  <c r="M2039" i="1" a="1"/>
  <c r="M2039" i="1" s="1"/>
  <c r="M2047" i="1" a="1"/>
  <c r="M2047" i="1" s="1"/>
  <c r="M2055" i="1" a="1"/>
  <c r="M2055" i="1" s="1"/>
  <c r="M2063" i="1" a="1"/>
  <c r="M2063" i="1" s="1"/>
  <c r="M2071" i="1" a="1"/>
  <c r="M2071" i="1" s="1"/>
  <c r="M2079" i="1" a="1"/>
  <c r="M2079" i="1" s="1"/>
  <c r="M2087" i="1" a="1"/>
  <c r="M2087" i="1" s="1"/>
  <c r="M2095" i="1" a="1"/>
  <c r="M2095" i="1" s="1"/>
  <c r="M2103" i="1" a="1"/>
  <c r="M2103" i="1" s="1"/>
  <c r="M2111" i="1" a="1"/>
  <c r="M2111" i="1" s="1"/>
  <c r="M2119" i="1" a="1"/>
  <c r="M2119" i="1" s="1"/>
  <c r="M2127" i="1" a="1"/>
  <c r="M2127" i="1" s="1"/>
  <c r="M2135" i="1" a="1"/>
  <c r="M2135" i="1" s="1"/>
  <c r="M2143" i="1" a="1"/>
  <c r="M2143" i="1" s="1"/>
  <c r="M2151" i="1" a="1"/>
  <c r="M2151" i="1" s="1"/>
  <c r="M2159" i="1" a="1"/>
  <c r="M2159" i="1" s="1"/>
  <c r="M2167" i="1" a="1"/>
  <c r="M2167" i="1" s="1"/>
  <c r="M2175" i="1" a="1"/>
  <c r="M2175" i="1" s="1"/>
  <c r="M2183" i="1" a="1"/>
  <c r="M2183" i="1" s="1"/>
  <c r="M2191" i="1" a="1"/>
  <c r="M2191" i="1" s="1"/>
  <c r="M2199" i="1" a="1"/>
  <c r="M2199" i="1" s="1"/>
  <c r="M2207" i="1" a="1"/>
  <c r="M2207" i="1" s="1"/>
  <c r="M2215" i="1" a="1"/>
  <c r="M2215" i="1" s="1"/>
  <c r="M2223" i="1" a="1"/>
  <c r="M2223" i="1" s="1"/>
  <c r="M2231" i="1" a="1"/>
  <c r="M2231" i="1" s="1"/>
  <c r="M2239" i="1" a="1"/>
  <c r="M2239" i="1" s="1"/>
  <c r="M2247" i="1" a="1"/>
  <c r="M2247" i="1" s="1"/>
  <c r="M2255" i="1" a="1"/>
  <c r="M2255" i="1" s="1"/>
  <c r="M2263" i="1" a="1"/>
  <c r="M2263" i="1" s="1"/>
  <c r="M2271" i="1" a="1"/>
  <c r="M2271" i="1" s="1"/>
  <c r="M2279" i="1" a="1"/>
  <c r="M2279" i="1" s="1"/>
  <c r="M2287" i="1" a="1"/>
  <c r="M2287" i="1" s="1"/>
  <c r="M2295" i="1" a="1"/>
  <c r="M2295" i="1" s="1"/>
  <c r="M2303" i="1" a="1"/>
  <c r="M2303" i="1" s="1"/>
  <c r="M2311" i="1" a="1"/>
  <c r="M2311" i="1" s="1"/>
  <c r="M2319" i="1" a="1"/>
  <c r="M2319" i="1" s="1"/>
  <c r="M2327" i="1" a="1"/>
  <c r="M2327" i="1" s="1"/>
  <c r="M1602" i="1" a="1"/>
  <c r="M1602" i="1" s="1"/>
  <c r="M1634" i="1" a="1"/>
  <c r="M1634" i="1" s="1"/>
  <c r="M1658" i="1" a="1"/>
  <c r="M1658" i="1" s="1"/>
  <c r="M1674" i="1" a="1"/>
  <c r="M1674" i="1" s="1"/>
  <c r="M1688" i="1" a="1"/>
  <c r="M1688" i="1" s="1"/>
  <c r="M1696" i="1" a="1"/>
  <c r="M1696" i="1" s="1"/>
  <c r="M1704" i="1" a="1"/>
  <c r="M1704" i="1" s="1"/>
  <c r="M1712" i="1" a="1"/>
  <c r="M1712" i="1" s="1"/>
  <c r="M1720" i="1" a="1"/>
  <c r="M1720" i="1" s="1"/>
  <c r="M1728" i="1" a="1"/>
  <c r="M1728" i="1" s="1"/>
  <c r="M1736" i="1" a="1"/>
  <c r="M1736" i="1" s="1"/>
  <c r="M1744" i="1" a="1"/>
  <c r="M1744" i="1" s="1"/>
  <c r="M1752" i="1" a="1"/>
  <c r="M1752" i="1" s="1"/>
  <c r="M1760" i="1" a="1"/>
  <c r="M1760" i="1" s="1"/>
  <c r="M1768" i="1" a="1"/>
  <c r="M1768" i="1" s="1"/>
  <c r="M1776" i="1" a="1"/>
  <c r="M1776" i="1" s="1"/>
  <c r="M1784" i="1" a="1"/>
  <c r="M1784" i="1" s="1"/>
  <c r="M1792" i="1" a="1"/>
  <c r="M1792" i="1" s="1"/>
  <c r="M1800" i="1" a="1"/>
  <c r="M1800" i="1" s="1"/>
  <c r="M1808" i="1" a="1"/>
  <c r="M1808" i="1" s="1"/>
  <c r="M1816" i="1" a="1"/>
  <c r="M1816" i="1" s="1"/>
  <c r="M1824" i="1" a="1"/>
  <c r="M1824" i="1" s="1"/>
  <c r="M1832" i="1" a="1"/>
  <c r="M1832" i="1" s="1"/>
  <c r="M1840" i="1" a="1"/>
  <c r="M1840" i="1" s="1"/>
  <c r="M1848" i="1" a="1"/>
  <c r="M1848" i="1" s="1"/>
  <c r="M1856" i="1" a="1"/>
  <c r="M1856" i="1" s="1"/>
  <c r="M1864" i="1" a="1"/>
  <c r="M1864" i="1" s="1"/>
  <c r="M1872" i="1" a="1"/>
  <c r="M1872" i="1" s="1"/>
  <c r="M1880" i="1" a="1"/>
  <c r="M1880" i="1" s="1"/>
  <c r="M1888" i="1" a="1"/>
  <c r="M1888" i="1" s="1"/>
  <c r="M1896" i="1" a="1"/>
  <c r="M1896" i="1" s="1"/>
  <c r="M1904" i="1" a="1"/>
  <c r="M1904" i="1" s="1"/>
  <c r="M1912" i="1" a="1"/>
  <c r="M1912" i="1" s="1"/>
  <c r="M1920" i="1" a="1"/>
  <c r="M1920" i="1" s="1"/>
  <c r="M1928" i="1" a="1"/>
  <c r="M1928" i="1" s="1"/>
  <c r="M1936" i="1" a="1"/>
  <c r="M1936" i="1" s="1"/>
  <c r="M1944" i="1" a="1"/>
  <c r="M1944" i="1" s="1"/>
  <c r="M1952" i="1" a="1"/>
  <c r="M1952" i="1" s="1"/>
  <c r="M1960" i="1" a="1"/>
  <c r="M1960" i="1" s="1"/>
  <c r="M1968" i="1" a="1"/>
  <c r="M1968" i="1" s="1"/>
  <c r="M1976" i="1" a="1"/>
  <c r="M1976" i="1" s="1"/>
  <c r="M1984" i="1" a="1"/>
  <c r="M1984" i="1" s="1"/>
  <c r="M1992" i="1" a="1"/>
  <c r="M1992" i="1" s="1"/>
  <c r="M2000" i="1" a="1"/>
  <c r="M2000" i="1" s="1"/>
  <c r="M2008" i="1" a="1"/>
  <c r="M2008" i="1" s="1"/>
  <c r="M2016" i="1" a="1"/>
  <c r="M2016" i="1" s="1"/>
  <c r="M2024" i="1" a="1"/>
  <c r="M2024" i="1" s="1"/>
  <c r="M2032" i="1" a="1"/>
  <c r="M2032" i="1" s="1"/>
  <c r="M2040" i="1" a="1"/>
  <c r="M2040" i="1" s="1"/>
  <c r="M2048" i="1" a="1"/>
  <c r="M2048" i="1" s="1"/>
  <c r="M2056" i="1" a="1"/>
  <c r="M2056" i="1" s="1"/>
  <c r="M2064" i="1" a="1"/>
  <c r="M2064" i="1" s="1"/>
  <c r="M2072" i="1" a="1"/>
  <c r="M2072" i="1" s="1"/>
  <c r="M2080" i="1" a="1"/>
  <c r="M2080" i="1" s="1"/>
  <c r="M2088" i="1" a="1"/>
  <c r="M2088" i="1" s="1"/>
  <c r="M2096" i="1" a="1"/>
  <c r="M2096" i="1" s="1"/>
  <c r="M2104" i="1" a="1"/>
  <c r="M2104" i="1" s="1"/>
  <c r="M2112" i="1" a="1"/>
  <c r="M2112" i="1" s="1"/>
  <c r="M2120" i="1" a="1"/>
  <c r="M2120" i="1" s="1"/>
  <c r="M2128" i="1" a="1"/>
  <c r="M2128" i="1" s="1"/>
  <c r="M2136" i="1" a="1"/>
  <c r="M2136" i="1" s="1"/>
  <c r="M2144" i="1" a="1"/>
  <c r="M2144" i="1" s="1"/>
  <c r="M2152" i="1" a="1"/>
  <c r="M2152" i="1" s="1"/>
  <c r="M2160" i="1" a="1"/>
  <c r="M2160" i="1" s="1"/>
  <c r="M2168" i="1" a="1"/>
  <c r="M2168" i="1" s="1"/>
  <c r="M2176" i="1" a="1"/>
  <c r="M2176" i="1" s="1"/>
  <c r="M2184" i="1" a="1"/>
  <c r="M2184" i="1" s="1"/>
  <c r="M2192" i="1" a="1"/>
  <c r="M2192" i="1" s="1"/>
  <c r="M2200" i="1" a="1"/>
  <c r="M2200" i="1" s="1"/>
  <c r="M2208" i="1" a="1"/>
  <c r="M2208" i="1" s="1"/>
  <c r="M2216" i="1" a="1"/>
  <c r="M2216" i="1" s="1"/>
  <c r="M2224" i="1" a="1"/>
  <c r="M2224" i="1" s="1"/>
  <c r="M2232" i="1" a="1"/>
  <c r="M2232" i="1" s="1"/>
  <c r="M2240" i="1" a="1"/>
  <c r="M2240" i="1" s="1"/>
  <c r="M2248" i="1" a="1"/>
  <c r="M2248" i="1" s="1"/>
  <c r="M2256" i="1" a="1"/>
  <c r="M2256" i="1" s="1"/>
  <c r="M2264" i="1" a="1"/>
  <c r="M2264" i="1" s="1"/>
  <c r="M2272" i="1" a="1"/>
  <c r="M2272" i="1" s="1"/>
  <c r="M2280" i="1" a="1"/>
  <c r="M2280" i="1" s="1"/>
  <c r="M2288" i="1" a="1"/>
  <c r="M2288" i="1" s="1"/>
  <c r="M2296" i="1" a="1"/>
  <c r="M2296" i="1" s="1"/>
  <c r="M2304" i="1" a="1"/>
  <c r="M2304" i="1" s="1"/>
  <c r="M2312" i="1" a="1"/>
  <c r="M2312" i="1" s="1"/>
  <c r="M2320" i="1" a="1"/>
  <c r="M2320" i="1" s="1"/>
  <c r="M2328" i="1" a="1"/>
  <c r="M2328" i="1" s="1"/>
  <c r="M2336" i="1" a="1"/>
  <c r="M2336" i="1" s="1"/>
  <c r="M2344" i="1" a="1"/>
  <c r="M2344" i="1" s="1"/>
  <c r="M2352" i="1" a="1"/>
  <c r="M2352" i="1" s="1"/>
  <c r="M2360" i="1" a="1"/>
  <c r="M2360" i="1" s="1"/>
  <c r="M2368" i="1" a="1"/>
  <c r="M2368" i="1" s="1"/>
  <c r="M2376" i="1" a="1"/>
  <c r="M2376" i="1" s="1"/>
  <c r="M2384" i="1" a="1"/>
  <c r="M2384" i="1" s="1"/>
  <c r="M1606" i="1" a="1"/>
  <c r="M1606" i="1" s="1"/>
  <c r="M1721" i="1" a="1"/>
  <c r="M1721" i="1" s="1"/>
  <c r="M1785" i="1" a="1"/>
  <c r="M1785" i="1" s="1"/>
  <c r="M1849" i="1" a="1"/>
  <c r="M1849" i="1" s="1"/>
  <c r="M1913" i="1" a="1"/>
  <c r="M1913" i="1" s="1"/>
  <c r="M1977" i="1" a="1"/>
  <c r="M1977" i="1" s="1"/>
  <c r="M2041" i="1" a="1"/>
  <c r="M2041" i="1" s="1"/>
  <c r="M2105" i="1" a="1"/>
  <c r="M2105" i="1" s="1"/>
  <c r="M2169" i="1" a="1"/>
  <c r="M2169" i="1" s="1"/>
  <c r="M2233" i="1" a="1"/>
  <c r="M2233" i="1" s="1"/>
  <c r="M2273" i="1" a="1"/>
  <c r="M2273" i="1" s="1"/>
  <c r="M2292" i="1" a="1"/>
  <c r="M2292" i="1" s="1"/>
  <c r="M2315" i="1" a="1"/>
  <c r="M2315" i="1" s="1"/>
  <c r="M2335" i="1" a="1"/>
  <c r="M2335" i="1" s="1"/>
  <c r="M2347" i="1" a="1"/>
  <c r="M2347" i="1" s="1"/>
  <c r="M2361" i="1" a="1"/>
  <c r="M2361" i="1" s="1"/>
  <c r="M2372" i="1" a="1"/>
  <c r="M2372" i="1" s="1"/>
  <c r="M2386" i="1" a="1"/>
  <c r="M2386" i="1" s="1"/>
  <c r="M2396" i="1" a="1"/>
  <c r="M2396" i="1" s="1"/>
  <c r="M2408" i="1" a="1"/>
  <c r="M2408" i="1" s="1"/>
  <c r="M2418" i="1" a="1"/>
  <c r="M2418" i="1" s="1"/>
  <c r="M2427" i="1" a="1"/>
  <c r="M2427" i="1" s="1"/>
  <c r="M2436" i="1" a="1"/>
  <c r="M2436" i="1" s="1"/>
  <c r="M2445" i="1" a="1"/>
  <c r="M2445" i="1" s="1"/>
  <c r="M2453" i="1" a="1"/>
  <c r="M2453" i="1" s="1"/>
  <c r="M2461" i="1" a="1"/>
  <c r="M2461" i="1" s="1"/>
  <c r="M2469" i="1" a="1"/>
  <c r="M2469" i="1" s="1"/>
  <c r="M2477" i="1" a="1"/>
  <c r="M2477" i="1" s="1"/>
  <c r="M2485" i="1" a="1"/>
  <c r="M2485" i="1" s="1"/>
  <c r="M2493" i="1" a="1"/>
  <c r="M2493" i="1" s="1"/>
  <c r="M2501" i="1" a="1"/>
  <c r="M2501" i="1" s="1"/>
  <c r="M2509" i="1" a="1"/>
  <c r="M2509" i="1" s="1"/>
  <c r="M2517" i="1" a="1"/>
  <c r="M2517" i="1" s="1"/>
  <c r="M2525" i="1" a="1"/>
  <c r="M2525" i="1" s="1"/>
  <c r="M2533" i="1" a="1"/>
  <c r="M2533" i="1" s="1"/>
  <c r="M2541" i="1" a="1"/>
  <c r="M2541" i="1" s="1"/>
  <c r="M2549" i="1" a="1"/>
  <c r="M2549" i="1" s="1"/>
  <c r="M2557" i="1" a="1"/>
  <c r="M2557" i="1" s="1"/>
  <c r="M2565" i="1" a="1"/>
  <c r="M2565" i="1" s="1"/>
  <c r="M2573" i="1" a="1"/>
  <c r="M2573" i="1" s="1"/>
  <c r="M2581" i="1" a="1"/>
  <c r="M2581" i="1" s="1"/>
  <c r="M2589" i="1" a="1"/>
  <c r="M2589" i="1" s="1"/>
  <c r="M2597" i="1" a="1"/>
  <c r="M2597" i="1" s="1"/>
  <c r="M2605" i="1" a="1"/>
  <c r="M2605" i="1" s="1"/>
  <c r="M2613" i="1" a="1"/>
  <c r="M2613" i="1" s="1"/>
  <c r="M2621" i="1" a="1"/>
  <c r="M2621" i="1" s="1"/>
  <c r="M2629" i="1" a="1"/>
  <c r="M2629" i="1" s="1"/>
  <c r="M2637" i="1" a="1"/>
  <c r="M2637" i="1" s="1"/>
  <c r="M2645" i="1" a="1"/>
  <c r="M2645" i="1" s="1"/>
  <c r="M2653" i="1" a="1"/>
  <c r="M2653" i="1" s="1"/>
  <c r="M2661" i="1" a="1"/>
  <c r="M2661" i="1" s="1"/>
  <c r="M2669" i="1" a="1"/>
  <c r="M2669" i="1" s="1"/>
  <c r="M2677" i="1" a="1"/>
  <c r="M2677" i="1" s="1"/>
  <c r="M2685" i="1" a="1"/>
  <c r="M2685" i="1" s="1"/>
  <c r="M2693" i="1" a="1"/>
  <c r="M2693" i="1" s="1"/>
  <c r="M2701" i="1" a="1"/>
  <c r="M2701" i="1" s="1"/>
  <c r="M2709" i="1" a="1"/>
  <c r="M2709" i="1" s="1"/>
  <c r="M2717" i="1" a="1"/>
  <c r="M2717" i="1" s="1"/>
  <c r="M2725" i="1" a="1"/>
  <c r="M2725" i="1" s="1"/>
  <c r="M2733" i="1" a="1"/>
  <c r="M2733" i="1" s="1"/>
  <c r="M2741" i="1" a="1"/>
  <c r="M2741" i="1" s="1"/>
  <c r="M2749" i="1" a="1"/>
  <c r="M2749" i="1" s="1"/>
  <c r="M2757" i="1" a="1"/>
  <c r="M2757" i="1" s="1"/>
  <c r="M2765" i="1" a="1"/>
  <c r="M2765" i="1" s="1"/>
  <c r="M2773" i="1" a="1"/>
  <c r="M2773" i="1" s="1"/>
  <c r="M2781" i="1" a="1"/>
  <c r="M2781" i="1" s="1"/>
  <c r="M2789" i="1" a="1"/>
  <c r="M2789" i="1" s="1"/>
  <c r="M2797" i="1" a="1"/>
  <c r="M2797" i="1" s="1"/>
  <c r="M2805" i="1" a="1"/>
  <c r="M2805" i="1" s="1"/>
  <c r="M2813" i="1" a="1"/>
  <c r="M2813" i="1" s="1"/>
  <c r="M2821" i="1" a="1"/>
  <c r="M2821" i="1" s="1"/>
  <c r="M2829" i="1" a="1"/>
  <c r="M2829" i="1" s="1"/>
  <c r="M2837" i="1" a="1"/>
  <c r="M2837" i="1" s="1"/>
  <c r="M2845" i="1" a="1"/>
  <c r="M2845" i="1" s="1"/>
  <c r="M2853" i="1" a="1"/>
  <c r="M2853" i="1" s="1"/>
  <c r="M2861" i="1" a="1"/>
  <c r="M2861" i="1" s="1"/>
  <c r="M2869" i="1" a="1"/>
  <c r="M2869" i="1" s="1"/>
  <c r="M2877" i="1" a="1"/>
  <c r="M2877" i="1" s="1"/>
  <c r="M2885" i="1" a="1"/>
  <c r="M2885" i="1" s="1"/>
  <c r="M2893" i="1" a="1"/>
  <c r="M2893" i="1" s="1"/>
  <c r="M2901" i="1" a="1"/>
  <c r="M2901" i="1" s="1"/>
  <c r="M2909" i="1" a="1"/>
  <c r="M2909" i="1" s="1"/>
  <c r="M2917" i="1" a="1"/>
  <c r="M2917" i="1" s="1"/>
  <c r="M2925" i="1" a="1"/>
  <c r="M2925" i="1" s="1"/>
  <c r="M2933" i="1" a="1"/>
  <c r="M2933" i="1" s="1"/>
  <c r="M2941" i="1" a="1"/>
  <c r="M2941" i="1" s="1"/>
  <c r="M2949" i="1" a="1"/>
  <c r="M2949" i="1" s="1"/>
  <c r="M2957" i="1" a="1"/>
  <c r="M2957" i="1" s="1"/>
  <c r="M2965" i="1" a="1"/>
  <c r="M2965" i="1" s="1"/>
  <c r="M2973" i="1" a="1"/>
  <c r="M2973" i="1" s="1"/>
  <c r="M2981" i="1" a="1"/>
  <c r="M2981" i="1" s="1"/>
  <c r="M2989" i="1" a="1"/>
  <c r="M2989" i="1" s="1"/>
  <c r="M2997" i="1" a="1"/>
  <c r="M2997" i="1" s="1"/>
  <c r="M3005" i="1" a="1"/>
  <c r="M3005" i="1" s="1"/>
  <c r="M3013" i="1" a="1"/>
  <c r="M3013" i="1" s="1"/>
  <c r="M3021" i="1" a="1"/>
  <c r="M3021" i="1" s="1"/>
  <c r="M3029" i="1" a="1"/>
  <c r="M3029" i="1" s="1"/>
  <c r="M3037" i="1" a="1"/>
  <c r="M3037" i="1" s="1"/>
  <c r="M3045" i="1" a="1"/>
  <c r="M3045" i="1" s="1"/>
  <c r="M3053" i="1" a="1"/>
  <c r="M3053" i="1" s="1"/>
  <c r="M3061" i="1" a="1"/>
  <c r="M3061" i="1" s="1"/>
  <c r="M3069" i="1" a="1"/>
  <c r="M3069" i="1" s="1"/>
  <c r="M3077" i="1" a="1"/>
  <c r="M3077" i="1" s="1"/>
  <c r="M3085" i="1" a="1"/>
  <c r="M3085" i="1" s="1"/>
  <c r="M3093" i="1" a="1"/>
  <c r="M3093" i="1" s="1"/>
  <c r="M3101" i="1" a="1"/>
  <c r="M3101" i="1" s="1"/>
  <c r="M3109" i="1" a="1"/>
  <c r="M3109" i="1" s="1"/>
  <c r="M3117" i="1" a="1"/>
  <c r="M3117" i="1" s="1"/>
  <c r="M3125" i="1" a="1"/>
  <c r="M3125" i="1" s="1"/>
  <c r="M3133" i="1" a="1"/>
  <c r="M3133" i="1" s="1"/>
  <c r="M3141" i="1" a="1"/>
  <c r="M3141" i="1" s="1"/>
  <c r="M3149" i="1" a="1"/>
  <c r="M3149" i="1" s="1"/>
  <c r="M3157" i="1" a="1"/>
  <c r="M3157" i="1" s="1"/>
  <c r="M3165" i="1" a="1"/>
  <c r="M3165" i="1" s="1"/>
  <c r="M3173" i="1" a="1"/>
  <c r="M3173" i="1" s="1"/>
  <c r="M3181" i="1" a="1"/>
  <c r="M3181" i="1" s="1"/>
  <c r="M3189" i="1" a="1"/>
  <c r="M3189" i="1" s="1"/>
  <c r="M3197" i="1" a="1"/>
  <c r="M3197" i="1" s="1"/>
  <c r="M3205" i="1" a="1"/>
  <c r="M3205" i="1" s="1"/>
  <c r="M3213" i="1" a="1"/>
  <c r="M3213" i="1" s="1"/>
  <c r="M3221" i="1" a="1"/>
  <c r="M3221" i="1" s="1"/>
  <c r="M3229" i="1" a="1"/>
  <c r="M3229" i="1" s="1"/>
  <c r="M3237" i="1" a="1"/>
  <c r="M3237" i="1" s="1"/>
  <c r="M3245" i="1" a="1"/>
  <c r="M3245" i="1" s="1"/>
  <c r="M3253" i="1" a="1"/>
  <c r="M3253" i="1" s="1"/>
  <c r="M3261" i="1" a="1"/>
  <c r="M3261" i="1" s="1"/>
  <c r="M3269" i="1" a="1"/>
  <c r="M3269" i="1" s="1"/>
  <c r="M3277" i="1" a="1"/>
  <c r="M3277" i="1" s="1"/>
  <c r="M3285" i="1" a="1"/>
  <c r="M3285" i="1" s="1"/>
  <c r="M3293" i="1" a="1"/>
  <c r="M3293" i="1" s="1"/>
  <c r="M3301" i="1" a="1"/>
  <c r="M3301" i="1" s="1"/>
  <c r="M3309" i="1" a="1"/>
  <c r="M3309" i="1" s="1"/>
  <c r="M3317" i="1" a="1"/>
  <c r="M3317" i="1" s="1"/>
  <c r="M3325" i="1" a="1"/>
  <c r="M3325" i="1" s="1"/>
  <c r="M3333" i="1" a="1"/>
  <c r="M3333" i="1" s="1"/>
  <c r="M3341" i="1" a="1"/>
  <c r="M3341" i="1" s="1"/>
  <c r="M3349" i="1" a="1"/>
  <c r="M3349" i="1" s="1"/>
  <c r="M3357" i="1" a="1"/>
  <c r="M3357" i="1" s="1"/>
  <c r="M3365" i="1" a="1"/>
  <c r="M3365" i="1" s="1"/>
  <c r="M3373" i="1" a="1"/>
  <c r="M3373" i="1" s="1"/>
  <c r="M3381" i="1" a="1"/>
  <c r="M3381" i="1" s="1"/>
  <c r="M3389" i="1" a="1"/>
  <c r="M3389" i="1" s="1"/>
  <c r="M3397" i="1" a="1"/>
  <c r="M3397" i="1" s="1"/>
  <c r="M3405" i="1" a="1"/>
  <c r="M3405" i="1" s="1"/>
  <c r="M3413" i="1" a="1"/>
  <c r="M3413" i="1" s="1"/>
  <c r="M3421" i="1" a="1"/>
  <c r="M3421" i="1" s="1"/>
  <c r="M3429" i="1" a="1"/>
  <c r="M3429" i="1" s="1"/>
  <c r="M3437" i="1" a="1"/>
  <c r="M3437" i="1" s="1"/>
  <c r="M3445" i="1" a="1"/>
  <c r="M3445" i="1" s="1"/>
  <c r="M3453" i="1" a="1"/>
  <c r="M3453" i="1" s="1"/>
  <c r="M3461" i="1" a="1"/>
  <c r="M3461" i="1" s="1"/>
  <c r="M3469" i="1" a="1"/>
  <c r="M3469" i="1" s="1"/>
  <c r="M3477" i="1" a="1"/>
  <c r="M3477" i="1" s="1"/>
  <c r="M3485" i="1" a="1"/>
  <c r="M3485" i="1" s="1"/>
  <c r="M3493" i="1" a="1"/>
  <c r="M3493" i="1" s="1"/>
  <c r="M3501" i="1" a="1"/>
  <c r="M3501" i="1" s="1"/>
  <c r="M3509" i="1" a="1"/>
  <c r="M3509" i="1" s="1"/>
  <c r="M3517" i="1" a="1"/>
  <c r="M3517" i="1" s="1"/>
  <c r="M3525" i="1" a="1"/>
  <c r="M3525" i="1" s="1"/>
  <c r="M3533" i="1" a="1"/>
  <c r="M3533" i="1" s="1"/>
  <c r="M1638" i="1" a="1"/>
  <c r="M1638" i="1" s="1"/>
  <c r="M1729" i="1" a="1"/>
  <c r="M1729" i="1" s="1"/>
  <c r="M1793" i="1" a="1"/>
  <c r="M1793" i="1" s="1"/>
  <c r="M1857" i="1" a="1"/>
  <c r="M1857" i="1" s="1"/>
  <c r="M1921" i="1" a="1"/>
  <c r="M1921" i="1" s="1"/>
  <c r="M1985" i="1" a="1"/>
  <c r="M1985" i="1" s="1"/>
  <c r="M2049" i="1" a="1"/>
  <c r="M2049" i="1" s="1"/>
  <c r="M2113" i="1" a="1"/>
  <c r="M2113" i="1" s="1"/>
  <c r="M2177" i="1" a="1"/>
  <c r="M2177" i="1" s="1"/>
  <c r="M2241" i="1" a="1"/>
  <c r="M2241" i="1" s="1"/>
  <c r="M2275" i="1" a="1"/>
  <c r="M2275" i="1" s="1"/>
  <c r="M2297" i="1" a="1"/>
  <c r="M2297" i="1" s="1"/>
  <c r="M2316" i="1" a="1"/>
  <c r="M2316" i="1" s="1"/>
  <c r="M2337" i="1" a="1"/>
  <c r="M2337" i="1" s="1"/>
  <c r="M2348" i="1" a="1"/>
  <c r="M2348" i="1" s="1"/>
  <c r="M2362" i="1" a="1"/>
  <c r="M2362" i="1" s="1"/>
  <c r="M2375" i="1" a="1"/>
  <c r="M2375" i="1" s="1"/>
  <c r="M2387" i="1" a="1"/>
  <c r="M2387" i="1" s="1"/>
  <c r="M2399" i="1" a="1"/>
  <c r="M2399" i="1" s="1"/>
  <c r="M2409" i="1" a="1"/>
  <c r="M2409" i="1" s="1"/>
  <c r="M2419" i="1" a="1"/>
  <c r="M2419" i="1" s="1"/>
  <c r="M2428" i="1" a="1"/>
  <c r="M2428" i="1" s="1"/>
  <c r="M2437" i="1" a="1"/>
  <c r="M2437" i="1" s="1"/>
  <c r="M2446" i="1" a="1"/>
  <c r="M2446" i="1" s="1"/>
  <c r="M2454" i="1" a="1"/>
  <c r="M2454" i="1" s="1"/>
  <c r="M2462" i="1" a="1"/>
  <c r="M2462" i="1" s="1"/>
  <c r="M2470" i="1" a="1"/>
  <c r="M2470" i="1" s="1"/>
  <c r="M2478" i="1" a="1"/>
  <c r="M2478" i="1" s="1"/>
  <c r="M2486" i="1" a="1"/>
  <c r="M2486" i="1" s="1"/>
  <c r="M2494" i="1" a="1"/>
  <c r="M2494" i="1" s="1"/>
  <c r="M2502" i="1" a="1"/>
  <c r="M2502" i="1" s="1"/>
  <c r="M2510" i="1" a="1"/>
  <c r="M2510" i="1" s="1"/>
  <c r="M2518" i="1" a="1"/>
  <c r="M2518" i="1" s="1"/>
  <c r="M2526" i="1" a="1"/>
  <c r="M2526" i="1" s="1"/>
  <c r="M2534" i="1" a="1"/>
  <c r="M2534" i="1" s="1"/>
  <c r="M2542" i="1" a="1"/>
  <c r="M2542" i="1" s="1"/>
  <c r="M2550" i="1" a="1"/>
  <c r="M2550" i="1" s="1"/>
  <c r="M2558" i="1" a="1"/>
  <c r="M2558" i="1" s="1"/>
  <c r="M2566" i="1" a="1"/>
  <c r="M2566" i="1" s="1"/>
  <c r="M2574" i="1" a="1"/>
  <c r="M2574" i="1" s="1"/>
  <c r="M2582" i="1" a="1"/>
  <c r="M2582" i="1" s="1"/>
  <c r="M2590" i="1" a="1"/>
  <c r="M2590" i="1" s="1"/>
  <c r="M2598" i="1" a="1"/>
  <c r="M2598" i="1" s="1"/>
  <c r="M2606" i="1" a="1"/>
  <c r="M2606" i="1" s="1"/>
  <c r="M2614" i="1" a="1"/>
  <c r="M2614" i="1" s="1"/>
  <c r="M2622" i="1" a="1"/>
  <c r="M2622" i="1" s="1"/>
  <c r="M2630" i="1" a="1"/>
  <c r="M2630" i="1" s="1"/>
  <c r="M2638" i="1" a="1"/>
  <c r="M2638" i="1" s="1"/>
  <c r="M2646" i="1" a="1"/>
  <c r="M2646" i="1" s="1"/>
  <c r="M2654" i="1" a="1"/>
  <c r="M2654" i="1" s="1"/>
  <c r="M2662" i="1" a="1"/>
  <c r="M2662" i="1" s="1"/>
  <c r="M2670" i="1" a="1"/>
  <c r="M2670" i="1" s="1"/>
  <c r="M2678" i="1" a="1"/>
  <c r="M2678" i="1" s="1"/>
  <c r="M2686" i="1" a="1"/>
  <c r="M2686" i="1" s="1"/>
  <c r="M2694" i="1" a="1"/>
  <c r="M2694" i="1" s="1"/>
  <c r="M2702" i="1" a="1"/>
  <c r="M2702" i="1" s="1"/>
  <c r="M2710" i="1" a="1"/>
  <c r="M2710" i="1" s="1"/>
  <c r="M2718" i="1" a="1"/>
  <c r="M2718" i="1" s="1"/>
  <c r="M2726" i="1" a="1"/>
  <c r="M2726" i="1" s="1"/>
  <c r="M2734" i="1" a="1"/>
  <c r="M2734" i="1" s="1"/>
  <c r="M2742" i="1" a="1"/>
  <c r="M2742" i="1" s="1"/>
  <c r="M2750" i="1" a="1"/>
  <c r="M2750" i="1" s="1"/>
  <c r="M2758" i="1" a="1"/>
  <c r="M2758" i="1" s="1"/>
  <c r="M2766" i="1" a="1"/>
  <c r="M2766" i="1" s="1"/>
  <c r="M2774" i="1" a="1"/>
  <c r="M2774" i="1" s="1"/>
  <c r="M2782" i="1" a="1"/>
  <c r="M2782" i="1" s="1"/>
  <c r="M2790" i="1" a="1"/>
  <c r="M2790" i="1" s="1"/>
  <c r="M2798" i="1" a="1"/>
  <c r="M2798" i="1" s="1"/>
  <c r="M2806" i="1" a="1"/>
  <c r="M2806" i="1" s="1"/>
  <c r="M2814" i="1" a="1"/>
  <c r="M2814" i="1" s="1"/>
  <c r="M2822" i="1" a="1"/>
  <c r="M2822" i="1" s="1"/>
  <c r="M2830" i="1" a="1"/>
  <c r="M2830" i="1" s="1"/>
  <c r="M2838" i="1" a="1"/>
  <c r="M2838" i="1" s="1"/>
  <c r="M2846" i="1" a="1"/>
  <c r="M2846" i="1" s="1"/>
  <c r="M2854" i="1" a="1"/>
  <c r="M2854" i="1" s="1"/>
  <c r="M2862" i="1" a="1"/>
  <c r="M2862" i="1" s="1"/>
  <c r="M2870" i="1" a="1"/>
  <c r="M2870" i="1" s="1"/>
  <c r="M2878" i="1" a="1"/>
  <c r="M2878" i="1" s="1"/>
  <c r="M2886" i="1" a="1"/>
  <c r="M2886" i="1" s="1"/>
  <c r="M2894" i="1" a="1"/>
  <c r="M2894" i="1" s="1"/>
  <c r="M2902" i="1" a="1"/>
  <c r="M2902" i="1" s="1"/>
  <c r="M2910" i="1" a="1"/>
  <c r="M2910" i="1" s="1"/>
  <c r="M2918" i="1" a="1"/>
  <c r="M2918" i="1" s="1"/>
  <c r="M2926" i="1" a="1"/>
  <c r="M2926" i="1" s="1"/>
  <c r="M2934" i="1" a="1"/>
  <c r="M2934" i="1" s="1"/>
  <c r="M2942" i="1" a="1"/>
  <c r="M2942" i="1" s="1"/>
  <c r="M2950" i="1" a="1"/>
  <c r="M2950" i="1" s="1"/>
  <c r="M2958" i="1" a="1"/>
  <c r="M2958" i="1" s="1"/>
  <c r="M2966" i="1" a="1"/>
  <c r="M2966" i="1" s="1"/>
  <c r="M2974" i="1" a="1"/>
  <c r="M2974" i="1" s="1"/>
  <c r="M2982" i="1" a="1"/>
  <c r="M2982" i="1" s="1"/>
  <c r="M2990" i="1" a="1"/>
  <c r="M2990" i="1" s="1"/>
  <c r="M2998" i="1" a="1"/>
  <c r="M2998" i="1" s="1"/>
  <c r="M3006" i="1" a="1"/>
  <c r="M3006" i="1" s="1"/>
  <c r="M3014" i="1" a="1"/>
  <c r="M3014" i="1" s="1"/>
  <c r="M3022" i="1" a="1"/>
  <c r="M3022" i="1" s="1"/>
  <c r="M3030" i="1" a="1"/>
  <c r="M3030" i="1" s="1"/>
  <c r="M3038" i="1" a="1"/>
  <c r="M3038" i="1" s="1"/>
  <c r="M3046" i="1" a="1"/>
  <c r="M3046" i="1" s="1"/>
  <c r="M3054" i="1" a="1"/>
  <c r="M3054" i="1" s="1"/>
  <c r="M3062" i="1" a="1"/>
  <c r="M3062" i="1" s="1"/>
  <c r="M3070" i="1" a="1"/>
  <c r="M3070" i="1" s="1"/>
  <c r="M3078" i="1" a="1"/>
  <c r="M3078" i="1" s="1"/>
  <c r="M3086" i="1" a="1"/>
  <c r="M3086" i="1" s="1"/>
  <c r="M3094" i="1" a="1"/>
  <c r="M3094" i="1" s="1"/>
  <c r="M3102" i="1" a="1"/>
  <c r="M3102" i="1" s="1"/>
  <c r="M3110" i="1" a="1"/>
  <c r="M3110" i="1" s="1"/>
  <c r="M3118" i="1" a="1"/>
  <c r="M3118" i="1" s="1"/>
  <c r="M3126" i="1" a="1"/>
  <c r="M3126" i="1" s="1"/>
  <c r="M3134" i="1" a="1"/>
  <c r="M3134" i="1" s="1"/>
  <c r="M3142" i="1" a="1"/>
  <c r="M3142" i="1" s="1"/>
  <c r="M3150" i="1" a="1"/>
  <c r="M3150" i="1" s="1"/>
  <c r="M3158" i="1" a="1"/>
  <c r="M3158" i="1" s="1"/>
  <c r="M3166" i="1" a="1"/>
  <c r="M3166" i="1" s="1"/>
  <c r="M3174" i="1" a="1"/>
  <c r="M3174" i="1" s="1"/>
  <c r="M3182" i="1" a="1"/>
  <c r="M3182" i="1" s="1"/>
  <c r="M3190" i="1" a="1"/>
  <c r="M3190" i="1" s="1"/>
  <c r="M3198" i="1" a="1"/>
  <c r="M3198" i="1" s="1"/>
  <c r="M3206" i="1" a="1"/>
  <c r="M3206" i="1" s="1"/>
  <c r="M3214" i="1" a="1"/>
  <c r="M3214" i="1" s="1"/>
  <c r="M3222" i="1" a="1"/>
  <c r="M3222" i="1" s="1"/>
  <c r="M3230" i="1" a="1"/>
  <c r="M3230" i="1" s="1"/>
  <c r="M3238" i="1" a="1"/>
  <c r="M3238" i="1" s="1"/>
  <c r="M3246" i="1" a="1"/>
  <c r="M3246" i="1" s="1"/>
  <c r="M3254" i="1" a="1"/>
  <c r="M3254" i="1" s="1"/>
  <c r="M3262" i="1" a="1"/>
  <c r="M3262" i="1" s="1"/>
  <c r="M3270" i="1" a="1"/>
  <c r="M3270" i="1" s="1"/>
  <c r="M3278" i="1" a="1"/>
  <c r="M3278" i="1" s="1"/>
  <c r="M3286" i="1" a="1"/>
  <c r="M3286" i="1" s="1"/>
  <c r="M3294" i="1" a="1"/>
  <c r="M3294" i="1" s="1"/>
  <c r="M3302" i="1" a="1"/>
  <c r="M3302" i="1" s="1"/>
  <c r="M3310" i="1" a="1"/>
  <c r="M3310" i="1" s="1"/>
  <c r="M3318" i="1" a="1"/>
  <c r="M3318" i="1" s="1"/>
  <c r="M3326" i="1" a="1"/>
  <c r="M3326" i="1" s="1"/>
  <c r="M3334" i="1" a="1"/>
  <c r="M3334" i="1" s="1"/>
  <c r="M3342" i="1" a="1"/>
  <c r="M3342" i="1" s="1"/>
  <c r="M3350" i="1" a="1"/>
  <c r="M3350" i="1" s="1"/>
  <c r="M3358" i="1" a="1"/>
  <c r="M3358" i="1" s="1"/>
  <c r="M3366" i="1" a="1"/>
  <c r="M3366" i="1" s="1"/>
  <c r="M3374" i="1" a="1"/>
  <c r="M3374" i="1" s="1"/>
  <c r="M3382" i="1" a="1"/>
  <c r="M3382" i="1" s="1"/>
  <c r="M3390" i="1" a="1"/>
  <c r="M3390" i="1" s="1"/>
  <c r="M3398" i="1" a="1"/>
  <c r="M3398" i="1" s="1"/>
  <c r="M3406" i="1" a="1"/>
  <c r="M3406" i="1" s="1"/>
  <c r="M3414" i="1" a="1"/>
  <c r="M3414" i="1" s="1"/>
  <c r="M3422" i="1" a="1"/>
  <c r="M3422" i="1" s="1"/>
  <c r="M3430" i="1" a="1"/>
  <c r="M3430" i="1" s="1"/>
  <c r="M3438" i="1" a="1"/>
  <c r="M3438" i="1" s="1"/>
  <c r="M3446" i="1" a="1"/>
  <c r="M3446" i="1" s="1"/>
  <c r="M1661" i="1" a="1"/>
  <c r="M1661" i="1" s="1"/>
  <c r="M1737" i="1" a="1"/>
  <c r="M1737" i="1" s="1"/>
  <c r="M1801" i="1" a="1"/>
  <c r="M1801" i="1" s="1"/>
  <c r="M1865" i="1" a="1"/>
  <c r="M1865" i="1" s="1"/>
  <c r="M1929" i="1" a="1"/>
  <c r="M1929" i="1" s="1"/>
  <c r="M1993" i="1" a="1"/>
  <c r="M1993" i="1" s="1"/>
  <c r="M2057" i="1" a="1"/>
  <c r="M2057" i="1" s="1"/>
  <c r="M2121" i="1" a="1"/>
  <c r="M2121" i="1" s="1"/>
  <c r="M2185" i="1" a="1"/>
  <c r="M2185" i="1" s="1"/>
  <c r="M2249" i="1" a="1"/>
  <c r="M2249" i="1" s="1"/>
  <c r="M2276" i="1" a="1"/>
  <c r="M2276" i="1" s="1"/>
  <c r="M2299" i="1" a="1"/>
  <c r="M2299" i="1" s="1"/>
  <c r="M2321" i="1" a="1"/>
  <c r="M2321" i="1" s="1"/>
  <c r="M2338" i="1" a="1"/>
  <c r="M2338" i="1" s="1"/>
  <c r="M2351" i="1" a="1"/>
  <c r="M2351" i="1" s="1"/>
  <c r="M2363" i="1" a="1"/>
  <c r="M2363" i="1" s="1"/>
  <c r="M2377" i="1" a="1"/>
  <c r="M2377" i="1" s="1"/>
  <c r="M2388" i="1" a="1"/>
  <c r="M2388" i="1" s="1"/>
  <c r="M2400" i="1" a="1"/>
  <c r="M2400" i="1" s="1"/>
  <c r="M2410" i="1" a="1"/>
  <c r="M2410" i="1" s="1"/>
  <c r="M2420" i="1" a="1"/>
  <c r="M2420" i="1" s="1"/>
  <c r="M2429" i="1" a="1"/>
  <c r="M2429" i="1" s="1"/>
  <c r="M2439" i="1" a="1"/>
  <c r="M2439" i="1" s="1"/>
  <c r="M2447" i="1" a="1"/>
  <c r="M2447" i="1" s="1"/>
  <c r="M2455" i="1" a="1"/>
  <c r="M2455" i="1" s="1"/>
  <c r="M2463" i="1" a="1"/>
  <c r="M2463" i="1" s="1"/>
  <c r="M2471" i="1" a="1"/>
  <c r="M2471" i="1" s="1"/>
  <c r="M2479" i="1" a="1"/>
  <c r="M2479" i="1" s="1"/>
  <c r="M2487" i="1" a="1"/>
  <c r="M2487" i="1" s="1"/>
  <c r="M2495" i="1" a="1"/>
  <c r="M2495" i="1" s="1"/>
  <c r="M2503" i="1" a="1"/>
  <c r="M2503" i="1" s="1"/>
  <c r="M2511" i="1" a="1"/>
  <c r="M2511" i="1" s="1"/>
  <c r="M2519" i="1" a="1"/>
  <c r="M2519" i="1" s="1"/>
  <c r="M2527" i="1" a="1"/>
  <c r="M2527" i="1" s="1"/>
  <c r="M2535" i="1" a="1"/>
  <c r="M2535" i="1" s="1"/>
  <c r="M2543" i="1" a="1"/>
  <c r="M2543" i="1" s="1"/>
  <c r="M2551" i="1" a="1"/>
  <c r="M2551" i="1" s="1"/>
  <c r="M2559" i="1" a="1"/>
  <c r="M2559" i="1" s="1"/>
  <c r="M2567" i="1" a="1"/>
  <c r="M2567" i="1" s="1"/>
  <c r="M2575" i="1" a="1"/>
  <c r="M2575" i="1" s="1"/>
  <c r="M2583" i="1" a="1"/>
  <c r="M2583" i="1" s="1"/>
  <c r="M2591" i="1" a="1"/>
  <c r="M2591" i="1" s="1"/>
  <c r="M2599" i="1" a="1"/>
  <c r="M2599" i="1" s="1"/>
  <c r="M2607" i="1" a="1"/>
  <c r="M2607" i="1" s="1"/>
  <c r="M2615" i="1" a="1"/>
  <c r="M2615" i="1" s="1"/>
  <c r="M2623" i="1" a="1"/>
  <c r="M2623" i="1" s="1"/>
  <c r="M2631" i="1" a="1"/>
  <c r="M2631" i="1" s="1"/>
  <c r="M2639" i="1" a="1"/>
  <c r="M2639" i="1" s="1"/>
  <c r="M2647" i="1" a="1"/>
  <c r="M2647" i="1" s="1"/>
  <c r="M2655" i="1" a="1"/>
  <c r="M2655" i="1" s="1"/>
  <c r="M2663" i="1" a="1"/>
  <c r="M2663" i="1" s="1"/>
  <c r="M2671" i="1" a="1"/>
  <c r="M2671" i="1" s="1"/>
  <c r="M2679" i="1" a="1"/>
  <c r="M2679" i="1" s="1"/>
  <c r="M2687" i="1" a="1"/>
  <c r="M2687" i="1" s="1"/>
  <c r="M2695" i="1" a="1"/>
  <c r="M2695" i="1" s="1"/>
  <c r="M2703" i="1" a="1"/>
  <c r="M2703" i="1" s="1"/>
  <c r="M2711" i="1" a="1"/>
  <c r="M2711" i="1" s="1"/>
  <c r="M2719" i="1" a="1"/>
  <c r="M2719" i="1" s="1"/>
  <c r="M2727" i="1" a="1"/>
  <c r="M2727" i="1" s="1"/>
  <c r="M2735" i="1" a="1"/>
  <c r="M2735" i="1" s="1"/>
  <c r="M2743" i="1" a="1"/>
  <c r="M2743" i="1" s="1"/>
  <c r="M2751" i="1" a="1"/>
  <c r="M2751" i="1" s="1"/>
  <c r="M2759" i="1" a="1"/>
  <c r="M2759" i="1" s="1"/>
  <c r="M2767" i="1" a="1"/>
  <c r="M2767" i="1" s="1"/>
  <c r="M2775" i="1" a="1"/>
  <c r="M2775" i="1" s="1"/>
  <c r="M2783" i="1" a="1"/>
  <c r="M2783" i="1" s="1"/>
  <c r="M2791" i="1" a="1"/>
  <c r="M2791" i="1" s="1"/>
  <c r="M2799" i="1" a="1"/>
  <c r="M2799" i="1" s="1"/>
  <c r="M2807" i="1" a="1"/>
  <c r="M2807" i="1" s="1"/>
  <c r="M2815" i="1" a="1"/>
  <c r="M2815" i="1" s="1"/>
  <c r="M2823" i="1" a="1"/>
  <c r="M2823" i="1" s="1"/>
  <c r="M2831" i="1" a="1"/>
  <c r="M2831" i="1" s="1"/>
  <c r="M2839" i="1" a="1"/>
  <c r="M2839" i="1" s="1"/>
  <c r="M2847" i="1" a="1"/>
  <c r="M2847" i="1" s="1"/>
  <c r="M2855" i="1" a="1"/>
  <c r="M2855" i="1" s="1"/>
  <c r="M2863" i="1" a="1"/>
  <c r="M2863" i="1" s="1"/>
  <c r="M2871" i="1" a="1"/>
  <c r="M2871" i="1" s="1"/>
  <c r="M2879" i="1" a="1"/>
  <c r="M2879" i="1" s="1"/>
  <c r="M2887" i="1" a="1"/>
  <c r="M2887" i="1" s="1"/>
  <c r="M2895" i="1" a="1"/>
  <c r="M2895" i="1" s="1"/>
  <c r="M2903" i="1" a="1"/>
  <c r="M2903" i="1" s="1"/>
  <c r="M2911" i="1" a="1"/>
  <c r="M2911" i="1" s="1"/>
  <c r="M2919" i="1" a="1"/>
  <c r="M2919" i="1" s="1"/>
  <c r="M2927" i="1" a="1"/>
  <c r="M2927" i="1" s="1"/>
  <c r="M2935" i="1" a="1"/>
  <c r="M2935" i="1" s="1"/>
  <c r="M2943" i="1" a="1"/>
  <c r="M2943" i="1" s="1"/>
  <c r="M2951" i="1" a="1"/>
  <c r="M2951" i="1" s="1"/>
  <c r="M2959" i="1" a="1"/>
  <c r="M2959" i="1" s="1"/>
  <c r="M2967" i="1" a="1"/>
  <c r="M2967" i="1" s="1"/>
  <c r="M2975" i="1" a="1"/>
  <c r="M2975" i="1" s="1"/>
  <c r="M2983" i="1" a="1"/>
  <c r="M2983" i="1" s="1"/>
  <c r="M2991" i="1" a="1"/>
  <c r="M2991" i="1" s="1"/>
  <c r="M2999" i="1" a="1"/>
  <c r="M2999" i="1" s="1"/>
  <c r="M3007" i="1" a="1"/>
  <c r="M3007" i="1" s="1"/>
  <c r="M3015" i="1" a="1"/>
  <c r="M3015" i="1" s="1"/>
  <c r="M3023" i="1" a="1"/>
  <c r="M3023" i="1" s="1"/>
  <c r="M3031" i="1" a="1"/>
  <c r="M3031" i="1" s="1"/>
  <c r="M3039" i="1" a="1"/>
  <c r="M3039" i="1" s="1"/>
  <c r="M3047" i="1" a="1"/>
  <c r="M3047" i="1" s="1"/>
  <c r="M3055" i="1" a="1"/>
  <c r="M3055" i="1" s="1"/>
  <c r="M3063" i="1" a="1"/>
  <c r="M3063" i="1" s="1"/>
  <c r="M3071" i="1" a="1"/>
  <c r="M3071" i="1" s="1"/>
  <c r="M3079" i="1" a="1"/>
  <c r="M3079" i="1" s="1"/>
  <c r="M3087" i="1" a="1"/>
  <c r="M3087" i="1" s="1"/>
  <c r="M3095" i="1" a="1"/>
  <c r="M3095" i="1" s="1"/>
  <c r="M3103" i="1" a="1"/>
  <c r="M3103" i="1" s="1"/>
  <c r="M3111" i="1" a="1"/>
  <c r="M3111" i="1" s="1"/>
  <c r="M3119" i="1" a="1"/>
  <c r="M3119" i="1" s="1"/>
  <c r="M3127" i="1" a="1"/>
  <c r="M3127" i="1" s="1"/>
  <c r="M3135" i="1" a="1"/>
  <c r="M3135" i="1" s="1"/>
  <c r="M3143" i="1" a="1"/>
  <c r="M3143" i="1" s="1"/>
  <c r="M3151" i="1" a="1"/>
  <c r="M3151" i="1" s="1"/>
  <c r="M3159" i="1" a="1"/>
  <c r="M3159" i="1" s="1"/>
  <c r="M3167" i="1" a="1"/>
  <c r="M3167" i="1" s="1"/>
  <c r="M3175" i="1" a="1"/>
  <c r="M3175" i="1" s="1"/>
  <c r="M3183" i="1" a="1"/>
  <c r="M3183" i="1" s="1"/>
  <c r="M3191" i="1" a="1"/>
  <c r="M3191" i="1" s="1"/>
  <c r="M3199" i="1" a="1"/>
  <c r="M3199" i="1" s="1"/>
  <c r="M3207" i="1" a="1"/>
  <c r="M3207" i="1" s="1"/>
  <c r="M3215" i="1" a="1"/>
  <c r="M3215" i="1" s="1"/>
  <c r="M3223" i="1" a="1"/>
  <c r="M3223" i="1" s="1"/>
  <c r="M3231" i="1" a="1"/>
  <c r="M3231" i="1" s="1"/>
  <c r="M3239" i="1" a="1"/>
  <c r="M3239" i="1" s="1"/>
  <c r="M3247" i="1" a="1"/>
  <c r="M3247" i="1" s="1"/>
  <c r="M3255" i="1" a="1"/>
  <c r="M3255" i="1" s="1"/>
  <c r="M3263" i="1" a="1"/>
  <c r="M3263" i="1" s="1"/>
  <c r="M3271" i="1" a="1"/>
  <c r="M3271" i="1" s="1"/>
  <c r="M3279" i="1" a="1"/>
  <c r="M3279" i="1" s="1"/>
  <c r="M3287" i="1" a="1"/>
  <c r="M3287" i="1" s="1"/>
  <c r="M3295" i="1" a="1"/>
  <c r="M3295" i="1" s="1"/>
  <c r="M3303" i="1" a="1"/>
  <c r="M3303" i="1" s="1"/>
  <c r="M3311" i="1" a="1"/>
  <c r="M3311" i="1" s="1"/>
  <c r="M3319" i="1" a="1"/>
  <c r="M3319" i="1" s="1"/>
  <c r="M3327" i="1" a="1"/>
  <c r="M3327" i="1" s="1"/>
  <c r="M3335" i="1" a="1"/>
  <c r="M3335" i="1" s="1"/>
  <c r="M3343" i="1" a="1"/>
  <c r="M3343" i="1" s="1"/>
  <c r="M3351" i="1" a="1"/>
  <c r="M3351" i="1" s="1"/>
  <c r="M3359" i="1" a="1"/>
  <c r="M3359" i="1" s="1"/>
  <c r="M3367" i="1" a="1"/>
  <c r="M3367" i="1" s="1"/>
  <c r="M3375" i="1" a="1"/>
  <c r="M3375" i="1" s="1"/>
  <c r="M3383" i="1" a="1"/>
  <c r="M3383" i="1" s="1"/>
  <c r="M3391" i="1" a="1"/>
  <c r="M3391" i="1" s="1"/>
  <c r="M3399" i="1" a="1"/>
  <c r="M3399" i="1" s="1"/>
  <c r="M3407" i="1" a="1"/>
  <c r="M3407" i="1" s="1"/>
  <c r="M3415" i="1" a="1"/>
  <c r="M3415" i="1" s="1"/>
  <c r="M3423" i="1" a="1"/>
  <c r="M3423" i="1" s="1"/>
  <c r="M3431" i="1" a="1"/>
  <c r="M3431" i="1" s="1"/>
  <c r="M3439" i="1" a="1"/>
  <c r="M3439" i="1" s="1"/>
  <c r="M3447" i="1" a="1"/>
  <c r="M3447" i="1" s="1"/>
  <c r="M1677" i="1" a="1"/>
  <c r="M1677" i="1" s="1"/>
  <c r="M1745" i="1" a="1"/>
  <c r="M1745" i="1" s="1"/>
  <c r="M1809" i="1" a="1"/>
  <c r="M1809" i="1" s="1"/>
  <c r="M1873" i="1" a="1"/>
  <c r="M1873" i="1" s="1"/>
  <c r="M1937" i="1" a="1"/>
  <c r="M1937" i="1" s="1"/>
  <c r="M2001" i="1" a="1"/>
  <c r="M2001" i="1" s="1"/>
  <c r="M2065" i="1" a="1"/>
  <c r="M2065" i="1" s="1"/>
  <c r="M2129" i="1" a="1"/>
  <c r="M2129" i="1" s="1"/>
  <c r="M2193" i="1" a="1"/>
  <c r="M2193" i="1" s="1"/>
  <c r="M2257" i="1" a="1"/>
  <c r="M2257" i="1" s="1"/>
  <c r="M2281" i="1" a="1"/>
  <c r="M2281" i="1" s="1"/>
  <c r="M2300" i="1" a="1"/>
  <c r="M2300" i="1" s="1"/>
  <c r="M2323" i="1" a="1"/>
  <c r="M2323" i="1" s="1"/>
  <c r="M2339" i="1" a="1"/>
  <c r="M2339" i="1" s="1"/>
  <c r="M2353" i="1" a="1"/>
  <c r="M2353" i="1" s="1"/>
  <c r="M2364" i="1" a="1"/>
  <c r="M2364" i="1" s="1"/>
  <c r="M2378" i="1" a="1"/>
  <c r="M2378" i="1" s="1"/>
  <c r="M2391" i="1" a="1"/>
  <c r="M2391" i="1" s="1"/>
  <c r="M2401" i="1" a="1"/>
  <c r="M2401" i="1" s="1"/>
  <c r="M2411" i="1" a="1"/>
  <c r="M2411" i="1" s="1"/>
  <c r="M2421" i="1" a="1"/>
  <c r="M2421" i="1" s="1"/>
  <c r="M2431" i="1" a="1"/>
  <c r="M2431" i="1" s="1"/>
  <c r="M2440" i="1" a="1"/>
  <c r="M2440" i="1" s="1"/>
  <c r="M2448" i="1" a="1"/>
  <c r="M2448" i="1" s="1"/>
  <c r="M2456" i="1" a="1"/>
  <c r="M2456" i="1" s="1"/>
  <c r="M2464" i="1" a="1"/>
  <c r="M2464" i="1" s="1"/>
  <c r="M2472" i="1" a="1"/>
  <c r="M2472" i="1" s="1"/>
  <c r="M2480" i="1" a="1"/>
  <c r="M2480" i="1" s="1"/>
  <c r="M2488" i="1" a="1"/>
  <c r="M2488" i="1" s="1"/>
  <c r="M2496" i="1" a="1"/>
  <c r="M2496" i="1" s="1"/>
  <c r="M2504" i="1" a="1"/>
  <c r="M2504" i="1" s="1"/>
  <c r="M2512" i="1" a="1"/>
  <c r="M2512" i="1" s="1"/>
  <c r="M2520" i="1" a="1"/>
  <c r="M2520" i="1" s="1"/>
  <c r="M2528" i="1" a="1"/>
  <c r="M2528" i="1" s="1"/>
  <c r="M2536" i="1" a="1"/>
  <c r="M2536" i="1" s="1"/>
  <c r="M2544" i="1" a="1"/>
  <c r="M2544" i="1" s="1"/>
  <c r="M2552" i="1" a="1"/>
  <c r="M2552" i="1" s="1"/>
  <c r="M2560" i="1" a="1"/>
  <c r="M2560" i="1" s="1"/>
  <c r="M2568" i="1" a="1"/>
  <c r="M2568" i="1" s="1"/>
  <c r="M2576" i="1" a="1"/>
  <c r="M2576" i="1" s="1"/>
  <c r="M2584" i="1" a="1"/>
  <c r="M2584" i="1" s="1"/>
  <c r="M2592" i="1" a="1"/>
  <c r="M2592" i="1" s="1"/>
  <c r="M2600" i="1" a="1"/>
  <c r="M2600" i="1" s="1"/>
  <c r="M2608" i="1" a="1"/>
  <c r="M2608" i="1" s="1"/>
  <c r="M2616" i="1" a="1"/>
  <c r="M2616" i="1" s="1"/>
  <c r="M2624" i="1" a="1"/>
  <c r="M2624" i="1" s="1"/>
  <c r="M2632" i="1" a="1"/>
  <c r="M2632" i="1" s="1"/>
  <c r="M2640" i="1" a="1"/>
  <c r="M2640" i="1" s="1"/>
  <c r="M2648" i="1" a="1"/>
  <c r="M2648" i="1" s="1"/>
  <c r="M2656" i="1" a="1"/>
  <c r="M2656" i="1" s="1"/>
  <c r="M2664" i="1" a="1"/>
  <c r="M2664" i="1" s="1"/>
  <c r="M2672" i="1" a="1"/>
  <c r="M2672" i="1" s="1"/>
  <c r="M2680" i="1" a="1"/>
  <c r="M2680" i="1" s="1"/>
  <c r="M2688" i="1" a="1"/>
  <c r="M2688" i="1" s="1"/>
  <c r="M2696" i="1" a="1"/>
  <c r="M2696" i="1" s="1"/>
  <c r="M2704" i="1" a="1"/>
  <c r="M2704" i="1" s="1"/>
  <c r="M2712" i="1" a="1"/>
  <c r="M2712" i="1" s="1"/>
  <c r="M2720" i="1" a="1"/>
  <c r="M2720" i="1" s="1"/>
  <c r="M2728" i="1" a="1"/>
  <c r="M2728" i="1" s="1"/>
  <c r="M2736" i="1" a="1"/>
  <c r="M2736" i="1" s="1"/>
  <c r="M2744" i="1" a="1"/>
  <c r="M2744" i="1" s="1"/>
  <c r="M2752" i="1" a="1"/>
  <c r="M2752" i="1" s="1"/>
  <c r="M2760" i="1" a="1"/>
  <c r="M2760" i="1" s="1"/>
  <c r="M2768" i="1" a="1"/>
  <c r="M2768" i="1" s="1"/>
  <c r="M2776" i="1" a="1"/>
  <c r="M2776" i="1" s="1"/>
  <c r="M2784" i="1" a="1"/>
  <c r="M2784" i="1" s="1"/>
  <c r="M2792" i="1" a="1"/>
  <c r="M2792" i="1" s="1"/>
  <c r="M2800" i="1" a="1"/>
  <c r="M2800" i="1" s="1"/>
  <c r="M2808" i="1" a="1"/>
  <c r="M2808" i="1" s="1"/>
  <c r="M2816" i="1" a="1"/>
  <c r="M2816" i="1" s="1"/>
  <c r="M2824" i="1" a="1"/>
  <c r="M2824" i="1" s="1"/>
  <c r="M2832" i="1" a="1"/>
  <c r="M2832" i="1" s="1"/>
  <c r="M2840" i="1" a="1"/>
  <c r="M2840" i="1" s="1"/>
  <c r="M2848" i="1" a="1"/>
  <c r="M2848" i="1" s="1"/>
  <c r="M2856" i="1" a="1"/>
  <c r="M2856" i="1" s="1"/>
  <c r="M2864" i="1" a="1"/>
  <c r="M2864" i="1" s="1"/>
  <c r="M2872" i="1" a="1"/>
  <c r="M2872" i="1" s="1"/>
  <c r="M2880" i="1" a="1"/>
  <c r="M2880" i="1" s="1"/>
  <c r="M2888" i="1" a="1"/>
  <c r="M2888" i="1" s="1"/>
  <c r="M2896" i="1" a="1"/>
  <c r="M2896" i="1" s="1"/>
  <c r="M2904" i="1" a="1"/>
  <c r="M2904" i="1" s="1"/>
  <c r="M2912" i="1" a="1"/>
  <c r="M2912" i="1" s="1"/>
  <c r="M2920" i="1" a="1"/>
  <c r="M2920" i="1" s="1"/>
  <c r="M2928" i="1" a="1"/>
  <c r="M2928" i="1" s="1"/>
  <c r="M2936" i="1" a="1"/>
  <c r="M2936" i="1" s="1"/>
  <c r="M2944" i="1" a="1"/>
  <c r="M2944" i="1" s="1"/>
  <c r="M2952" i="1" a="1"/>
  <c r="M2952" i="1" s="1"/>
  <c r="M2960" i="1" a="1"/>
  <c r="M2960" i="1" s="1"/>
  <c r="M2968" i="1" a="1"/>
  <c r="M2968" i="1" s="1"/>
  <c r="M2976" i="1" a="1"/>
  <c r="M2976" i="1" s="1"/>
  <c r="M2984" i="1" a="1"/>
  <c r="M2984" i="1" s="1"/>
  <c r="M2992" i="1" a="1"/>
  <c r="M2992" i="1" s="1"/>
  <c r="M3000" i="1" a="1"/>
  <c r="M3000" i="1" s="1"/>
  <c r="M3008" i="1" a="1"/>
  <c r="M3008" i="1" s="1"/>
  <c r="M3016" i="1" a="1"/>
  <c r="M3016" i="1" s="1"/>
  <c r="M3024" i="1" a="1"/>
  <c r="M3024" i="1" s="1"/>
  <c r="M3032" i="1" a="1"/>
  <c r="M3032" i="1" s="1"/>
  <c r="M3040" i="1" a="1"/>
  <c r="M3040" i="1" s="1"/>
  <c r="M3048" i="1" a="1"/>
  <c r="M3048" i="1" s="1"/>
  <c r="M3056" i="1" a="1"/>
  <c r="M3056" i="1" s="1"/>
  <c r="M3064" i="1" a="1"/>
  <c r="M3064" i="1" s="1"/>
  <c r="M3072" i="1" a="1"/>
  <c r="M3072" i="1" s="1"/>
  <c r="M3080" i="1" a="1"/>
  <c r="M3080" i="1" s="1"/>
  <c r="M3088" i="1" a="1"/>
  <c r="M3088" i="1" s="1"/>
  <c r="M3096" i="1" a="1"/>
  <c r="M3096" i="1" s="1"/>
  <c r="M3104" i="1" a="1"/>
  <c r="M3104" i="1" s="1"/>
  <c r="M3112" i="1" a="1"/>
  <c r="M3112" i="1" s="1"/>
  <c r="M3120" i="1" a="1"/>
  <c r="M3120" i="1" s="1"/>
  <c r="M3128" i="1" a="1"/>
  <c r="M3128" i="1" s="1"/>
  <c r="M3136" i="1" a="1"/>
  <c r="M3136" i="1" s="1"/>
  <c r="M3144" i="1" a="1"/>
  <c r="M3144" i="1" s="1"/>
  <c r="M3152" i="1" a="1"/>
  <c r="M3152" i="1" s="1"/>
  <c r="M3160" i="1" a="1"/>
  <c r="M3160" i="1" s="1"/>
  <c r="M3168" i="1" a="1"/>
  <c r="M3168" i="1" s="1"/>
  <c r="M3176" i="1" a="1"/>
  <c r="M3176" i="1" s="1"/>
  <c r="M3184" i="1" a="1"/>
  <c r="M3184" i="1" s="1"/>
  <c r="M3192" i="1" a="1"/>
  <c r="M3192" i="1" s="1"/>
  <c r="M3200" i="1" a="1"/>
  <c r="M3200" i="1" s="1"/>
  <c r="M3208" i="1" a="1"/>
  <c r="M3208" i="1" s="1"/>
  <c r="M3216" i="1" a="1"/>
  <c r="M3216" i="1" s="1"/>
  <c r="M3224" i="1" a="1"/>
  <c r="M3224" i="1" s="1"/>
  <c r="M3232" i="1" a="1"/>
  <c r="M3232" i="1" s="1"/>
  <c r="M3240" i="1" a="1"/>
  <c r="M3240" i="1" s="1"/>
  <c r="M3248" i="1" a="1"/>
  <c r="M3248" i="1" s="1"/>
  <c r="M3256" i="1" a="1"/>
  <c r="M3256" i="1" s="1"/>
  <c r="M3264" i="1" a="1"/>
  <c r="M3264" i="1" s="1"/>
  <c r="M3272" i="1" a="1"/>
  <c r="M3272" i="1" s="1"/>
  <c r="M3280" i="1" a="1"/>
  <c r="M3280" i="1" s="1"/>
  <c r="M3288" i="1" a="1"/>
  <c r="M3288" i="1" s="1"/>
  <c r="M3296" i="1" a="1"/>
  <c r="M3296" i="1" s="1"/>
  <c r="M3304" i="1" a="1"/>
  <c r="M3304" i="1" s="1"/>
  <c r="M3312" i="1" a="1"/>
  <c r="M3312" i="1" s="1"/>
  <c r="M3320" i="1" a="1"/>
  <c r="M3320" i="1" s="1"/>
  <c r="M3328" i="1" a="1"/>
  <c r="M3328" i="1" s="1"/>
  <c r="M3336" i="1" a="1"/>
  <c r="M3336" i="1" s="1"/>
  <c r="M3344" i="1" a="1"/>
  <c r="M3344" i="1" s="1"/>
  <c r="M3352" i="1" a="1"/>
  <c r="M3352" i="1" s="1"/>
  <c r="M3360" i="1" a="1"/>
  <c r="M3360" i="1" s="1"/>
  <c r="M3368" i="1" a="1"/>
  <c r="M3368" i="1" s="1"/>
  <c r="M3376" i="1" a="1"/>
  <c r="M3376" i="1" s="1"/>
  <c r="M3384" i="1" a="1"/>
  <c r="M3384" i="1" s="1"/>
  <c r="M3392" i="1" a="1"/>
  <c r="M3392" i="1" s="1"/>
  <c r="M3400" i="1" a="1"/>
  <c r="M3400" i="1" s="1"/>
  <c r="M3408" i="1" a="1"/>
  <c r="M3408" i="1" s="1"/>
  <c r="M3416" i="1" a="1"/>
  <c r="M3416" i="1" s="1"/>
  <c r="M3424" i="1" a="1"/>
  <c r="M3424" i="1" s="1"/>
  <c r="M3432" i="1" a="1"/>
  <c r="M3432" i="1" s="1"/>
  <c r="M3440" i="1" a="1"/>
  <c r="M3440" i="1" s="1"/>
  <c r="M3448" i="1" a="1"/>
  <c r="M3448" i="1" s="1"/>
  <c r="M3456" i="1" a="1"/>
  <c r="M3456" i="1" s="1"/>
  <c r="M3464" i="1" a="1"/>
  <c r="M3464" i="1" s="1"/>
  <c r="M3472" i="1" a="1"/>
  <c r="M3472" i="1" s="1"/>
  <c r="M3480" i="1" a="1"/>
  <c r="M3480" i="1" s="1"/>
  <c r="M3488" i="1" a="1"/>
  <c r="M3488" i="1" s="1"/>
  <c r="M3496" i="1" a="1"/>
  <c r="M3496" i="1" s="1"/>
  <c r="M3504" i="1" a="1"/>
  <c r="M3504" i="1" s="1"/>
  <c r="M3512" i="1" a="1"/>
  <c r="M3512" i="1" s="1"/>
  <c r="M3520" i="1" a="1"/>
  <c r="M3520" i="1" s="1"/>
  <c r="M3528" i="1" a="1"/>
  <c r="M3528" i="1" s="1"/>
  <c r="M1689" i="1" a="1"/>
  <c r="M1689" i="1" s="1"/>
  <c r="M1753" i="1" a="1"/>
  <c r="M1753" i="1" s="1"/>
  <c r="M1817" i="1" a="1"/>
  <c r="M1817" i="1" s="1"/>
  <c r="M1881" i="1" a="1"/>
  <c r="M1881" i="1" s="1"/>
  <c r="M1945" i="1" a="1"/>
  <c r="M1945" i="1" s="1"/>
  <c r="M2009" i="1" a="1"/>
  <c r="M2009" i="1" s="1"/>
  <c r="M2073" i="1" a="1"/>
  <c r="M2073" i="1" s="1"/>
  <c r="M2137" i="1" a="1"/>
  <c r="M2137" i="1" s="1"/>
  <c r="M2201" i="1" a="1"/>
  <c r="M2201" i="1" s="1"/>
  <c r="M2259" i="1" a="1"/>
  <c r="M2259" i="1" s="1"/>
  <c r="M2283" i="1" a="1"/>
  <c r="M2283" i="1" s="1"/>
  <c r="M2305" i="1" a="1"/>
  <c r="M2305" i="1" s="1"/>
  <c r="M2324" i="1" a="1"/>
  <c r="M2324" i="1" s="1"/>
  <c r="M2340" i="1" a="1"/>
  <c r="M2340" i="1" s="1"/>
  <c r="M2354" i="1" a="1"/>
  <c r="M2354" i="1" s="1"/>
  <c r="M2367" i="1" a="1"/>
  <c r="M2367" i="1" s="1"/>
  <c r="M2379" i="1" a="1"/>
  <c r="M2379" i="1" s="1"/>
  <c r="M2392" i="1" a="1"/>
  <c r="M2392" i="1" s="1"/>
  <c r="M2402" i="1" a="1"/>
  <c r="M2402" i="1" s="1"/>
  <c r="M2412" i="1" a="1"/>
  <c r="M2412" i="1" s="1"/>
  <c r="M2423" i="1" a="1"/>
  <c r="M2423" i="1" s="1"/>
  <c r="M2432" i="1" a="1"/>
  <c r="M2432" i="1" s="1"/>
  <c r="M2441" i="1" a="1"/>
  <c r="M2441" i="1" s="1"/>
  <c r="M2449" i="1" a="1"/>
  <c r="M2449" i="1" s="1"/>
  <c r="M2457" i="1" a="1"/>
  <c r="M2457" i="1" s="1"/>
  <c r="M2465" i="1" a="1"/>
  <c r="M2465" i="1" s="1"/>
  <c r="M2473" i="1" a="1"/>
  <c r="M2473" i="1" s="1"/>
  <c r="M2481" i="1" a="1"/>
  <c r="M2481" i="1" s="1"/>
  <c r="M2489" i="1" a="1"/>
  <c r="M2489" i="1" s="1"/>
  <c r="M2497" i="1" a="1"/>
  <c r="M2497" i="1" s="1"/>
  <c r="M2505" i="1" a="1"/>
  <c r="M2505" i="1" s="1"/>
  <c r="M2513" i="1" a="1"/>
  <c r="M2513" i="1" s="1"/>
  <c r="M2521" i="1" a="1"/>
  <c r="M2521" i="1" s="1"/>
  <c r="M2529" i="1" a="1"/>
  <c r="M2529" i="1" s="1"/>
  <c r="M2537" i="1" a="1"/>
  <c r="M2537" i="1" s="1"/>
  <c r="M2545" i="1" a="1"/>
  <c r="M2545" i="1" s="1"/>
  <c r="M2553" i="1" a="1"/>
  <c r="M2553" i="1" s="1"/>
  <c r="M2561" i="1" a="1"/>
  <c r="M2561" i="1" s="1"/>
  <c r="M2569" i="1" a="1"/>
  <c r="M2569" i="1" s="1"/>
  <c r="M2577" i="1" a="1"/>
  <c r="M2577" i="1" s="1"/>
  <c r="M2585" i="1" a="1"/>
  <c r="M2585" i="1" s="1"/>
  <c r="M2593" i="1" a="1"/>
  <c r="M2593" i="1" s="1"/>
  <c r="M2601" i="1" a="1"/>
  <c r="M2601" i="1" s="1"/>
  <c r="M2609" i="1" a="1"/>
  <c r="M2609" i="1" s="1"/>
  <c r="M2617" i="1" a="1"/>
  <c r="M2617" i="1" s="1"/>
  <c r="M2625" i="1" a="1"/>
  <c r="M2625" i="1" s="1"/>
  <c r="M2633" i="1" a="1"/>
  <c r="M2633" i="1" s="1"/>
  <c r="M2641" i="1" a="1"/>
  <c r="M2641" i="1" s="1"/>
  <c r="M2649" i="1" a="1"/>
  <c r="M2649" i="1" s="1"/>
  <c r="M2657" i="1" a="1"/>
  <c r="M2657" i="1" s="1"/>
  <c r="M2665" i="1" a="1"/>
  <c r="M2665" i="1" s="1"/>
  <c r="M2673" i="1" a="1"/>
  <c r="M2673" i="1" s="1"/>
  <c r="M2681" i="1" a="1"/>
  <c r="M2681" i="1" s="1"/>
  <c r="M2689" i="1" a="1"/>
  <c r="M2689" i="1" s="1"/>
  <c r="M2697" i="1" a="1"/>
  <c r="M2697" i="1" s="1"/>
  <c r="M2705" i="1" a="1"/>
  <c r="M2705" i="1" s="1"/>
  <c r="M2713" i="1" a="1"/>
  <c r="M2713" i="1" s="1"/>
  <c r="M2721" i="1" a="1"/>
  <c r="M2721" i="1" s="1"/>
  <c r="M2729" i="1" a="1"/>
  <c r="M2729" i="1" s="1"/>
  <c r="M2737" i="1" a="1"/>
  <c r="M2737" i="1" s="1"/>
  <c r="M2745" i="1" a="1"/>
  <c r="M2745" i="1" s="1"/>
  <c r="M2753" i="1" a="1"/>
  <c r="M2753" i="1" s="1"/>
  <c r="M2761" i="1" a="1"/>
  <c r="M2761" i="1" s="1"/>
  <c r="M2769" i="1" a="1"/>
  <c r="M2769" i="1" s="1"/>
  <c r="M2777" i="1" a="1"/>
  <c r="M2777" i="1" s="1"/>
  <c r="M2785" i="1" a="1"/>
  <c r="M2785" i="1" s="1"/>
  <c r="M2793" i="1" a="1"/>
  <c r="M2793" i="1" s="1"/>
  <c r="M2801" i="1" a="1"/>
  <c r="M2801" i="1" s="1"/>
  <c r="M2809" i="1" a="1"/>
  <c r="M2809" i="1" s="1"/>
  <c r="M2817" i="1" a="1"/>
  <c r="M2817" i="1" s="1"/>
  <c r="M2825" i="1" a="1"/>
  <c r="M2825" i="1" s="1"/>
  <c r="M2833" i="1" a="1"/>
  <c r="M2833" i="1" s="1"/>
  <c r="M2841" i="1" a="1"/>
  <c r="M2841" i="1" s="1"/>
  <c r="M2849" i="1" a="1"/>
  <c r="M2849" i="1" s="1"/>
  <c r="M2857" i="1" a="1"/>
  <c r="M2857" i="1" s="1"/>
  <c r="M2865" i="1" a="1"/>
  <c r="M2865" i="1" s="1"/>
  <c r="M2873" i="1" a="1"/>
  <c r="M2873" i="1" s="1"/>
  <c r="M2881" i="1" a="1"/>
  <c r="M2881" i="1" s="1"/>
  <c r="M2889" i="1" a="1"/>
  <c r="M2889" i="1" s="1"/>
  <c r="M2897" i="1" a="1"/>
  <c r="M2897" i="1" s="1"/>
  <c r="M2905" i="1" a="1"/>
  <c r="M2905" i="1" s="1"/>
  <c r="M2913" i="1" a="1"/>
  <c r="M2913" i="1" s="1"/>
  <c r="M2921" i="1" a="1"/>
  <c r="M2921" i="1" s="1"/>
  <c r="M2929" i="1" a="1"/>
  <c r="M2929" i="1" s="1"/>
  <c r="M2937" i="1" a="1"/>
  <c r="M2937" i="1" s="1"/>
  <c r="M2945" i="1" a="1"/>
  <c r="M2945" i="1" s="1"/>
  <c r="M2953" i="1" a="1"/>
  <c r="M2953" i="1" s="1"/>
  <c r="M2961" i="1" a="1"/>
  <c r="M2961" i="1" s="1"/>
  <c r="M2969" i="1" a="1"/>
  <c r="M2969" i="1" s="1"/>
  <c r="M2977" i="1" a="1"/>
  <c r="M2977" i="1" s="1"/>
  <c r="M2985" i="1" a="1"/>
  <c r="M2985" i="1" s="1"/>
  <c r="M2993" i="1" a="1"/>
  <c r="M2993" i="1" s="1"/>
  <c r="M3001" i="1" a="1"/>
  <c r="M3001" i="1" s="1"/>
  <c r="M3009" i="1" a="1"/>
  <c r="M3009" i="1" s="1"/>
  <c r="M3017" i="1" a="1"/>
  <c r="M3017" i="1" s="1"/>
  <c r="M3025" i="1" a="1"/>
  <c r="M3025" i="1" s="1"/>
  <c r="M3033" i="1" a="1"/>
  <c r="M3033" i="1" s="1"/>
  <c r="M3041" i="1" a="1"/>
  <c r="M3041" i="1" s="1"/>
  <c r="M3049" i="1" a="1"/>
  <c r="M3049" i="1" s="1"/>
  <c r="M3057" i="1" a="1"/>
  <c r="M3057" i="1" s="1"/>
  <c r="M3065" i="1" a="1"/>
  <c r="M3065" i="1" s="1"/>
  <c r="M3073" i="1" a="1"/>
  <c r="M3073" i="1" s="1"/>
  <c r="M3081" i="1" a="1"/>
  <c r="M3081" i="1" s="1"/>
  <c r="M3089" i="1" a="1"/>
  <c r="M3089" i="1" s="1"/>
  <c r="M3097" i="1" a="1"/>
  <c r="M3097" i="1" s="1"/>
  <c r="M3105" i="1" a="1"/>
  <c r="M3105" i="1" s="1"/>
  <c r="M3113" i="1" a="1"/>
  <c r="M3113" i="1" s="1"/>
  <c r="M3121" i="1" a="1"/>
  <c r="M3121" i="1" s="1"/>
  <c r="M3129" i="1" a="1"/>
  <c r="M3129" i="1" s="1"/>
  <c r="M3137" i="1" a="1"/>
  <c r="M3137" i="1" s="1"/>
  <c r="M3145" i="1" a="1"/>
  <c r="M3145" i="1" s="1"/>
  <c r="M3153" i="1" a="1"/>
  <c r="M3153" i="1" s="1"/>
  <c r="M3161" i="1" a="1"/>
  <c r="M3161" i="1" s="1"/>
  <c r="M3169" i="1" a="1"/>
  <c r="M3169" i="1" s="1"/>
  <c r="M3177" i="1" a="1"/>
  <c r="M3177" i="1" s="1"/>
  <c r="M3185" i="1" a="1"/>
  <c r="M3185" i="1" s="1"/>
  <c r="M3193" i="1" a="1"/>
  <c r="M3193" i="1" s="1"/>
  <c r="M3201" i="1" a="1"/>
  <c r="M3201" i="1" s="1"/>
  <c r="M3209" i="1" a="1"/>
  <c r="M3209" i="1" s="1"/>
  <c r="M3217" i="1" a="1"/>
  <c r="M3217" i="1" s="1"/>
  <c r="M3225" i="1" a="1"/>
  <c r="M3225" i="1" s="1"/>
  <c r="M3233" i="1" a="1"/>
  <c r="M3233" i="1" s="1"/>
  <c r="M3241" i="1" a="1"/>
  <c r="M3241" i="1" s="1"/>
  <c r="M3249" i="1" a="1"/>
  <c r="M3249" i="1" s="1"/>
  <c r="M3257" i="1" a="1"/>
  <c r="M3257" i="1" s="1"/>
  <c r="M3265" i="1" a="1"/>
  <c r="M3265" i="1" s="1"/>
  <c r="M3273" i="1" a="1"/>
  <c r="M3273" i="1" s="1"/>
  <c r="M3281" i="1" a="1"/>
  <c r="M3281" i="1" s="1"/>
  <c r="M3289" i="1" a="1"/>
  <c r="M3289" i="1" s="1"/>
  <c r="M3297" i="1" a="1"/>
  <c r="M3297" i="1" s="1"/>
  <c r="M3305" i="1" a="1"/>
  <c r="M3305" i="1" s="1"/>
  <c r="M3313" i="1" a="1"/>
  <c r="M3313" i="1" s="1"/>
  <c r="M3321" i="1" a="1"/>
  <c r="M3321" i="1" s="1"/>
  <c r="M3329" i="1" a="1"/>
  <c r="M3329" i="1" s="1"/>
  <c r="M3337" i="1" a="1"/>
  <c r="M3337" i="1" s="1"/>
  <c r="M3345" i="1" a="1"/>
  <c r="M3345" i="1" s="1"/>
  <c r="M3353" i="1" a="1"/>
  <c r="M3353" i="1" s="1"/>
  <c r="M3361" i="1" a="1"/>
  <c r="M3361" i="1" s="1"/>
  <c r="M3369" i="1" a="1"/>
  <c r="M3369" i="1" s="1"/>
  <c r="M3377" i="1" a="1"/>
  <c r="M3377" i="1" s="1"/>
  <c r="M3385" i="1" a="1"/>
  <c r="M3385" i="1" s="1"/>
  <c r="M3393" i="1" a="1"/>
  <c r="M3393" i="1" s="1"/>
  <c r="M3401" i="1" a="1"/>
  <c r="M3401" i="1" s="1"/>
  <c r="M3409" i="1" a="1"/>
  <c r="M3409" i="1" s="1"/>
  <c r="M3417" i="1" a="1"/>
  <c r="M3417" i="1" s="1"/>
  <c r="M3425" i="1" a="1"/>
  <c r="M3425" i="1" s="1"/>
  <c r="M3433" i="1" a="1"/>
  <c r="M3433" i="1" s="1"/>
  <c r="M3441" i="1" a="1"/>
  <c r="M3441" i="1" s="1"/>
  <c r="M3449" i="1" a="1"/>
  <c r="M3449" i="1" s="1"/>
  <c r="M3457" i="1" a="1"/>
  <c r="M3457" i="1" s="1"/>
  <c r="M3465" i="1" a="1"/>
  <c r="M3465" i="1" s="1"/>
  <c r="M3473" i="1" a="1"/>
  <c r="M3473" i="1" s="1"/>
  <c r="M3481" i="1" a="1"/>
  <c r="M3481" i="1" s="1"/>
  <c r="M3489" i="1" a="1"/>
  <c r="M3489" i="1" s="1"/>
  <c r="M3497" i="1" a="1"/>
  <c r="M3497" i="1" s="1"/>
  <c r="M3505" i="1" a="1"/>
  <c r="M3505" i="1" s="1"/>
  <c r="M3513" i="1" a="1"/>
  <c r="M3513" i="1" s="1"/>
  <c r="M3521" i="1" a="1"/>
  <c r="M3521" i="1" s="1"/>
  <c r="M3529" i="1" a="1"/>
  <c r="M3529" i="1" s="1"/>
  <c r="M3537" i="1" a="1"/>
  <c r="M3537" i="1" s="1"/>
  <c r="M3545" i="1" a="1"/>
  <c r="M3545" i="1" s="1"/>
  <c r="M3553" i="1" a="1"/>
  <c r="M3553" i="1" s="1"/>
  <c r="M3561" i="1" a="1"/>
  <c r="M3561" i="1" s="1"/>
  <c r="M3569" i="1" a="1"/>
  <c r="M3569" i="1" s="1"/>
  <c r="M3577" i="1" a="1"/>
  <c r="M3577" i="1" s="1"/>
  <c r="M3585" i="1" a="1"/>
  <c r="M3585" i="1" s="1"/>
  <c r="M3593" i="1" a="1"/>
  <c r="M3593" i="1" s="1"/>
  <c r="M3601" i="1" a="1"/>
  <c r="M3601" i="1" s="1"/>
  <c r="M3609" i="1" a="1"/>
  <c r="M3609" i="1" s="1"/>
  <c r="M3617" i="1" a="1"/>
  <c r="M3617" i="1" s="1"/>
  <c r="M1697" i="1" a="1"/>
  <c r="M1697" i="1" s="1"/>
  <c r="M1761" i="1" a="1"/>
  <c r="M1761" i="1" s="1"/>
  <c r="M1825" i="1" a="1"/>
  <c r="M1825" i="1" s="1"/>
  <c r="M1889" i="1" a="1"/>
  <c r="M1889" i="1" s="1"/>
  <c r="M1953" i="1" a="1"/>
  <c r="M1953" i="1" s="1"/>
  <c r="M2017" i="1" a="1"/>
  <c r="M2017" i="1" s="1"/>
  <c r="M2081" i="1" a="1"/>
  <c r="M2081" i="1" s="1"/>
  <c r="M2145" i="1" a="1"/>
  <c r="M2145" i="1" s="1"/>
  <c r="M2209" i="1" a="1"/>
  <c r="M2209" i="1" s="1"/>
  <c r="M2265" i="1" a="1"/>
  <c r="M2265" i="1" s="1"/>
  <c r="M2284" i="1" a="1"/>
  <c r="M2284" i="1" s="1"/>
  <c r="M2307" i="1" a="1"/>
  <c r="M2307" i="1" s="1"/>
  <c r="M2329" i="1" a="1"/>
  <c r="M2329" i="1" s="1"/>
  <c r="M2343" i="1" a="1"/>
  <c r="M2343" i="1" s="1"/>
  <c r="M2355" i="1" a="1"/>
  <c r="M2355" i="1" s="1"/>
  <c r="M2369" i="1" a="1"/>
  <c r="M2369" i="1" s="1"/>
  <c r="M2380" i="1" a="1"/>
  <c r="M2380" i="1" s="1"/>
  <c r="M2393" i="1" a="1"/>
  <c r="M2393" i="1" s="1"/>
  <c r="M2403" i="1" a="1"/>
  <c r="M2403" i="1" s="1"/>
  <c r="M2415" i="1" a="1"/>
  <c r="M2415" i="1" s="1"/>
  <c r="M2424" i="1" a="1"/>
  <c r="M2424" i="1" s="1"/>
  <c r="M2433" i="1" a="1"/>
  <c r="M2433" i="1" s="1"/>
  <c r="M2442" i="1" a="1"/>
  <c r="M2442" i="1" s="1"/>
  <c r="M2450" i="1" a="1"/>
  <c r="M2450" i="1" s="1"/>
  <c r="M2458" i="1" a="1"/>
  <c r="M2458" i="1" s="1"/>
  <c r="M2466" i="1" a="1"/>
  <c r="M2466" i="1" s="1"/>
  <c r="M2474" i="1" a="1"/>
  <c r="M2474" i="1" s="1"/>
  <c r="M2482" i="1" a="1"/>
  <c r="M2482" i="1" s="1"/>
  <c r="M2490" i="1" a="1"/>
  <c r="M2490" i="1" s="1"/>
  <c r="M2498" i="1" a="1"/>
  <c r="M2498" i="1" s="1"/>
  <c r="M2506" i="1" a="1"/>
  <c r="M2506" i="1" s="1"/>
  <c r="M2514" i="1" a="1"/>
  <c r="M2514" i="1" s="1"/>
  <c r="M2522" i="1" a="1"/>
  <c r="M2522" i="1" s="1"/>
  <c r="M2530" i="1" a="1"/>
  <c r="M2530" i="1" s="1"/>
  <c r="M2538" i="1" a="1"/>
  <c r="M2538" i="1" s="1"/>
  <c r="M2546" i="1" a="1"/>
  <c r="M2546" i="1" s="1"/>
  <c r="M2554" i="1" a="1"/>
  <c r="M2554" i="1" s="1"/>
  <c r="M2562" i="1" a="1"/>
  <c r="M2562" i="1" s="1"/>
  <c r="M2570" i="1" a="1"/>
  <c r="M2570" i="1" s="1"/>
  <c r="M2578" i="1" a="1"/>
  <c r="M2578" i="1" s="1"/>
  <c r="M2586" i="1" a="1"/>
  <c r="M2586" i="1" s="1"/>
  <c r="M2594" i="1" a="1"/>
  <c r="M2594" i="1" s="1"/>
  <c r="M2602" i="1" a="1"/>
  <c r="M2602" i="1" s="1"/>
  <c r="M2610" i="1" a="1"/>
  <c r="M2610" i="1" s="1"/>
  <c r="M2618" i="1" a="1"/>
  <c r="M2618" i="1" s="1"/>
  <c r="M2626" i="1" a="1"/>
  <c r="M2626" i="1" s="1"/>
  <c r="M2634" i="1" a="1"/>
  <c r="M2634" i="1" s="1"/>
  <c r="M2642" i="1" a="1"/>
  <c r="M2642" i="1" s="1"/>
  <c r="M2650" i="1" a="1"/>
  <c r="M2650" i="1" s="1"/>
  <c r="M2658" i="1" a="1"/>
  <c r="M2658" i="1" s="1"/>
  <c r="M2666" i="1" a="1"/>
  <c r="M2666" i="1" s="1"/>
  <c r="M2674" i="1" a="1"/>
  <c r="M2674" i="1" s="1"/>
  <c r="M2682" i="1" a="1"/>
  <c r="M2682" i="1" s="1"/>
  <c r="M2690" i="1" a="1"/>
  <c r="M2690" i="1" s="1"/>
  <c r="M2698" i="1" a="1"/>
  <c r="M2698" i="1" s="1"/>
  <c r="M2706" i="1" a="1"/>
  <c r="M2706" i="1" s="1"/>
  <c r="M2714" i="1" a="1"/>
  <c r="M2714" i="1" s="1"/>
  <c r="M2722" i="1" a="1"/>
  <c r="M2722" i="1" s="1"/>
  <c r="M2730" i="1" a="1"/>
  <c r="M2730" i="1" s="1"/>
  <c r="M2738" i="1" a="1"/>
  <c r="M2738" i="1" s="1"/>
  <c r="M2746" i="1" a="1"/>
  <c r="M2746" i="1" s="1"/>
  <c r="M2754" i="1" a="1"/>
  <c r="M2754" i="1" s="1"/>
  <c r="M2762" i="1" a="1"/>
  <c r="M2762" i="1" s="1"/>
  <c r="M2770" i="1" a="1"/>
  <c r="M2770" i="1" s="1"/>
  <c r="M2778" i="1" a="1"/>
  <c r="M2778" i="1" s="1"/>
  <c r="M2786" i="1" a="1"/>
  <c r="M2786" i="1" s="1"/>
  <c r="M2794" i="1" a="1"/>
  <c r="M2794" i="1" s="1"/>
  <c r="M2802" i="1" a="1"/>
  <c r="M2802" i="1" s="1"/>
  <c r="M2810" i="1" a="1"/>
  <c r="M2810" i="1" s="1"/>
  <c r="M2818" i="1" a="1"/>
  <c r="M2818" i="1" s="1"/>
  <c r="M2826" i="1" a="1"/>
  <c r="M2826" i="1" s="1"/>
  <c r="M2834" i="1" a="1"/>
  <c r="M2834" i="1" s="1"/>
  <c r="M2842" i="1" a="1"/>
  <c r="M2842" i="1" s="1"/>
  <c r="M2850" i="1" a="1"/>
  <c r="M2850" i="1" s="1"/>
  <c r="M2858" i="1" a="1"/>
  <c r="M2858" i="1" s="1"/>
  <c r="M2866" i="1" a="1"/>
  <c r="M2866" i="1" s="1"/>
  <c r="M2874" i="1" a="1"/>
  <c r="M2874" i="1" s="1"/>
  <c r="M2882" i="1" a="1"/>
  <c r="M2882" i="1" s="1"/>
  <c r="M2890" i="1" a="1"/>
  <c r="M2890" i="1" s="1"/>
  <c r="M2898" i="1" a="1"/>
  <c r="M2898" i="1" s="1"/>
  <c r="M2906" i="1" a="1"/>
  <c r="M2906" i="1" s="1"/>
  <c r="M2914" i="1" a="1"/>
  <c r="M2914" i="1" s="1"/>
  <c r="M2922" i="1" a="1"/>
  <c r="M2922" i="1" s="1"/>
  <c r="M2930" i="1" a="1"/>
  <c r="M2930" i="1" s="1"/>
  <c r="M2938" i="1" a="1"/>
  <c r="M2938" i="1" s="1"/>
  <c r="M2946" i="1" a="1"/>
  <c r="M2946" i="1" s="1"/>
  <c r="M2954" i="1" a="1"/>
  <c r="M2954" i="1" s="1"/>
  <c r="M2962" i="1" a="1"/>
  <c r="M2962" i="1" s="1"/>
  <c r="M2970" i="1" a="1"/>
  <c r="M2970" i="1" s="1"/>
  <c r="M2978" i="1" a="1"/>
  <c r="M2978" i="1" s="1"/>
  <c r="M2986" i="1" a="1"/>
  <c r="M2986" i="1" s="1"/>
  <c r="M2994" i="1" a="1"/>
  <c r="M2994" i="1" s="1"/>
  <c r="M3002" i="1" a="1"/>
  <c r="M3002" i="1" s="1"/>
  <c r="M3010" i="1" a="1"/>
  <c r="M3010" i="1" s="1"/>
  <c r="M3018" i="1" a="1"/>
  <c r="M3018" i="1" s="1"/>
  <c r="M3026" i="1" a="1"/>
  <c r="M3026" i="1" s="1"/>
  <c r="M3034" i="1" a="1"/>
  <c r="M3034" i="1" s="1"/>
  <c r="M3042" i="1" a="1"/>
  <c r="M3042" i="1" s="1"/>
  <c r="M3050" i="1" a="1"/>
  <c r="M3050" i="1" s="1"/>
  <c r="M3058" i="1" a="1"/>
  <c r="M3058" i="1" s="1"/>
  <c r="M3066" i="1" a="1"/>
  <c r="M3066" i="1" s="1"/>
  <c r="M3074" i="1" a="1"/>
  <c r="M3074" i="1" s="1"/>
  <c r="M3082" i="1" a="1"/>
  <c r="M3082" i="1" s="1"/>
  <c r="M3090" i="1" a="1"/>
  <c r="M3090" i="1" s="1"/>
  <c r="M3098" i="1" a="1"/>
  <c r="M3098" i="1" s="1"/>
  <c r="M3106" i="1" a="1"/>
  <c r="M3106" i="1" s="1"/>
  <c r="M3114" i="1" a="1"/>
  <c r="M3114" i="1" s="1"/>
  <c r="M3122" i="1" a="1"/>
  <c r="M3122" i="1" s="1"/>
  <c r="M3130" i="1" a="1"/>
  <c r="M3130" i="1" s="1"/>
  <c r="M3138" i="1" a="1"/>
  <c r="M3138" i="1" s="1"/>
  <c r="M3146" i="1" a="1"/>
  <c r="M3146" i="1" s="1"/>
  <c r="M3154" i="1" a="1"/>
  <c r="M3154" i="1" s="1"/>
  <c r="M3162" i="1" a="1"/>
  <c r="M3162" i="1" s="1"/>
  <c r="M3170" i="1" a="1"/>
  <c r="M3170" i="1" s="1"/>
  <c r="M3178" i="1" a="1"/>
  <c r="M3178" i="1" s="1"/>
  <c r="M3186" i="1" a="1"/>
  <c r="M3186" i="1" s="1"/>
  <c r="M3194" i="1" a="1"/>
  <c r="M3194" i="1" s="1"/>
  <c r="M3202" i="1" a="1"/>
  <c r="M3202" i="1" s="1"/>
  <c r="M3210" i="1" a="1"/>
  <c r="M3210" i="1" s="1"/>
  <c r="M3218" i="1" a="1"/>
  <c r="M3218" i="1" s="1"/>
  <c r="M3226" i="1" a="1"/>
  <c r="M3226" i="1" s="1"/>
  <c r="M3234" i="1" a="1"/>
  <c r="M3234" i="1" s="1"/>
  <c r="M3242" i="1" a="1"/>
  <c r="M3242" i="1" s="1"/>
  <c r="M3250" i="1" a="1"/>
  <c r="M3250" i="1" s="1"/>
  <c r="M3258" i="1" a="1"/>
  <c r="M3258" i="1" s="1"/>
  <c r="M3266" i="1" a="1"/>
  <c r="M3266" i="1" s="1"/>
  <c r="M3274" i="1" a="1"/>
  <c r="M3274" i="1" s="1"/>
  <c r="M3282" i="1" a="1"/>
  <c r="M3282" i="1" s="1"/>
  <c r="M3290" i="1" a="1"/>
  <c r="M3290" i="1" s="1"/>
  <c r="M3298" i="1" a="1"/>
  <c r="M3298" i="1" s="1"/>
  <c r="M3306" i="1" a="1"/>
  <c r="M3306" i="1" s="1"/>
  <c r="M3314" i="1" a="1"/>
  <c r="M3314" i="1" s="1"/>
  <c r="M3322" i="1" a="1"/>
  <c r="M3322" i="1" s="1"/>
  <c r="M3330" i="1" a="1"/>
  <c r="M3330" i="1" s="1"/>
  <c r="M3338" i="1" a="1"/>
  <c r="M3338" i="1" s="1"/>
  <c r="M3346" i="1" a="1"/>
  <c r="M3346" i="1" s="1"/>
  <c r="M3354" i="1" a="1"/>
  <c r="M3354" i="1" s="1"/>
  <c r="M3362" i="1" a="1"/>
  <c r="M3362" i="1" s="1"/>
  <c r="M3370" i="1" a="1"/>
  <c r="M3370" i="1" s="1"/>
  <c r="M3378" i="1" a="1"/>
  <c r="M3378" i="1" s="1"/>
  <c r="M3386" i="1" a="1"/>
  <c r="M3386" i="1" s="1"/>
  <c r="M3394" i="1" a="1"/>
  <c r="M3394" i="1" s="1"/>
  <c r="M3402" i="1" a="1"/>
  <c r="M3402" i="1" s="1"/>
  <c r="M3410" i="1" a="1"/>
  <c r="M3410" i="1" s="1"/>
  <c r="M3418" i="1" a="1"/>
  <c r="M3418" i="1" s="1"/>
  <c r="M3426" i="1" a="1"/>
  <c r="M3426" i="1" s="1"/>
  <c r="M3434" i="1" a="1"/>
  <c r="M3434" i="1" s="1"/>
  <c r="M3442" i="1" a="1"/>
  <c r="M3442" i="1" s="1"/>
  <c r="M3450" i="1" a="1"/>
  <c r="M3450" i="1" s="1"/>
  <c r="M3458" i="1" a="1"/>
  <c r="M3458" i="1" s="1"/>
  <c r="M3466" i="1" a="1"/>
  <c r="M3466" i="1" s="1"/>
  <c r="M3474" i="1" a="1"/>
  <c r="M3474" i="1" s="1"/>
  <c r="M3482" i="1" a="1"/>
  <c r="M3482" i="1" s="1"/>
  <c r="M3490" i="1" a="1"/>
  <c r="M3490" i="1" s="1"/>
  <c r="M3498" i="1" a="1"/>
  <c r="M3498" i="1" s="1"/>
  <c r="M3506" i="1" a="1"/>
  <c r="M3506" i="1" s="1"/>
  <c r="M3514" i="1" a="1"/>
  <c r="M3514" i="1" s="1"/>
  <c r="M3522" i="1" a="1"/>
  <c r="M3522" i="1" s="1"/>
  <c r="M3530" i="1" a="1"/>
  <c r="M3530" i="1" s="1"/>
  <c r="M3538" i="1" a="1"/>
  <c r="M3538" i="1" s="1"/>
  <c r="M3546" i="1" a="1"/>
  <c r="M3546" i="1" s="1"/>
  <c r="M3554" i="1" a="1"/>
  <c r="M3554" i="1" s="1"/>
  <c r="M3562" i="1" a="1"/>
  <c r="M3562" i="1" s="1"/>
  <c r="M3570" i="1" a="1"/>
  <c r="M3570" i="1" s="1"/>
  <c r="M1705" i="1" a="1"/>
  <c r="M1705" i="1" s="1"/>
  <c r="M1769" i="1" a="1"/>
  <c r="M1769" i="1" s="1"/>
  <c r="M1833" i="1" a="1"/>
  <c r="M1833" i="1" s="1"/>
  <c r="M1897" i="1" a="1"/>
  <c r="M1897" i="1" s="1"/>
  <c r="M1961" i="1" a="1"/>
  <c r="M1961" i="1" s="1"/>
  <c r="M2025" i="1" a="1"/>
  <c r="M2025" i="1" s="1"/>
  <c r="M2089" i="1" a="1"/>
  <c r="M2089" i="1" s="1"/>
  <c r="M2153" i="1" a="1"/>
  <c r="M2153" i="1" s="1"/>
  <c r="M2217" i="1" a="1"/>
  <c r="M2217" i="1" s="1"/>
  <c r="M2267" i="1" a="1"/>
  <c r="M2267" i="1" s="1"/>
  <c r="M2289" i="1" a="1"/>
  <c r="M2289" i="1" s="1"/>
  <c r="M2308" i="1" a="1"/>
  <c r="M2308" i="1" s="1"/>
  <c r="M2331" i="1" a="1"/>
  <c r="M2331" i="1" s="1"/>
  <c r="M2345" i="1" a="1"/>
  <c r="M2345" i="1" s="1"/>
  <c r="M2356" i="1" a="1"/>
  <c r="M2356" i="1" s="1"/>
  <c r="M2370" i="1" a="1"/>
  <c r="M2370" i="1" s="1"/>
  <c r="M2383" i="1" a="1"/>
  <c r="M2383" i="1" s="1"/>
  <c r="M2394" i="1" a="1"/>
  <c r="M2394" i="1" s="1"/>
  <c r="M2404" i="1" a="1"/>
  <c r="M2404" i="1" s="1"/>
  <c r="M2416" i="1" a="1"/>
  <c r="M2416" i="1" s="1"/>
  <c r="M2425" i="1" a="1"/>
  <c r="M2425" i="1" s="1"/>
  <c r="M2434" i="1" a="1"/>
  <c r="M2434" i="1" s="1"/>
  <c r="M2443" i="1" a="1"/>
  <c r="M2443" i="1" s="1"/>
  <c r="M2451" i="1" a="1"/>
  <c r="M2451" i="1" s="1"/>
  <c r="M2459" i="1" a="1"/>
  <c r="M2459" i="1" s="1"/>
  <c r="M2467" i="1" a="1"/>
  <c r="M2467" i="1" s="1"/>
  <c r="M2475" i="1" a="1"/>
  <c r="M2475" i="1" s="1"/>
  <c r="M2483" i="1" a="1"/>
  <c r="M2483" i="1" s="1"/>
  <c r="M2491" i="1" a="1"/>
  <c r="M2491" i="1" s="1"/>
  <c r="M2499" i="1" a="1"/>
  <c r="M2499" i="1" s="1"/>
  <c r="M2507" i="1" a="1"/>
  <c r="M2507" i="1" s="1"/>
  <c r="M2515" i="1" a="1"/>
  <c r="M2515" i="1" s="1"/>
  <c r="M2523" i="1" a="1"/>
  <c r="M2523" i="1" s="1"/>
  <c r="M2531" i="1" a="1"/>
  <c r="M2531" i="1" s="1"/>
  <c r="M2539" i="1" a="1"/>
  <c r="M2539" i="1" s="1"/>
  <c r="M2547" i="1" a="1"/>
  <c r="M2547" i="1" s="1"/>
  <c r="M2555" i="1" a="1"/>
  <c r="M2555" i="1" s="1"/>
  <c r="M2563" i="1" a="1"/>
  <c r="M2563" i="1" s="1"/>
  <c r="M2571" i="1" a="1"/>
  <c r="M2571" i="1" s="1"/>
  <c r="M2579" i="1" a="1"/>
  <c r="M2579" i="1" s="1"/>
  <c r="M2587" i="1" a="1"/>
  <c r="M2587" i="1" s="1"/>
  <c r="M2595" i="1" a="1"/>
  <c r="M2595" i="1" s="1"/>
  <c r="M2603" i="1" a="1"/>
  <c r="M2603" i="1" s="1"/>
  <c r="M2611" i="1" a="1"/>
  <c r="M2611" i="1" s="1"/>
  <c r="M2619" i="1" a="1"/>
  <c r="M2619" i="1" s="1"/>
  <c r="M2627" i="1" a="1"/>
  <c r="M2627" i="1" s="1"/>
  <c r="M2635" i="1" a="1"/>
  <c r="M2635" i="1" s="1"/>
  <c r="M2643" i="1" a="1"/>
  <c r="M2643" i="1" s="1"/>
  <c r="M2651" i="1" a="1"/>
  <c r="M2651" i="1" s="1"/>
  <c r="M2659" i="1" a="1"/>
  <c r="M2659" i="1" s="1"/>
  <c r="M2667" i="1" a="1"/>
  <c r="M2667" i="1" s="1"/>
  <c r="M2675" i="1" a="1"/>
  <c r="M2675" i="1" s="1"/>
  <c r="M2683" i="1" a="1"/>
  <c r="M2683" i="1" s="1"/>
  <c r="M2691" i="1" a="1"/>
  <c r="M2691" i="1" s="1"/>
  <c r="M2699" i="1" a="1"/>
  <c r="M2699" i="1" s="1"/>
  <c r="M2707" i="1" a="1"/>
  <c r="M2707" i="1" s="1"/>
  <c r="M2715" i="1" a="1"/>
  <c r="M2715" i="1" s="1"/>
  <c r="M2723" i="1" a="1"/>
  <c r="M2723" i="1" s="1"/>
  <c r="M2731" i="1" a="1"/>
  <c r="M2731" i="1" s="1"/>
  <c r="M2739" i="1" a="1"/>
  <c r="M2739" i="1" s="1"/>
  <c r="M2747" i="1" a="1"/>
  <c r="M2747" i="1" s="1"/>
  <c r="M2755" i="1" a="1"/>
  <c r="M2755" i="1" s="1"/>
  <c r="M2763" i="1" a="1"/>
  <c r="M2763" i="1" s="1"/>
  <c r="M2771" i="1" a="1"/>
  <c r="M2771" i="1" s="1"/>
  <c r="M2779" i="1" a="1"/>
  <c r="M2779" i="1" s="1"/>
  <c r="M2787" i="1" a="1"/>
  <c r="M2787" i="1" s="1"/>
  <c r="M2795" i="1" a="1"/>
  <c r="M2795" i="1" s="1"/>
  <c r="M2803" i="1" a="1"/>
  <c r="M2803" i="1" s="1"/>
  <c r="M2811" i="1" a="1"/>
  <c r="M2811" i="1" s="1"/>
  <c r="M2819" i="1" a="1"/>
  <c r="M2819" i="1" s="1"/>
  <c r="M2827" i="1" a="1"/>
  <c r="M2827" i="1" s="1"/>
  <c r="M2835" i="1" a="1"/>
  <c r="M2835" i="1" s="1"/>
  <c r="M2843" i="1" a="1"/>
  <c r="M2843" i="1" s="1"/>
  <c r="M2851" i="1" a="1"/>
  <c r="M2851" i="1" s="1"/>
  <c r="M2859" i="1" a="1"/>
  <c r="M2859" i="1" s="1"/>
  <c r="M2867" i="1" a="1"/>
  <c r="M2867" i="1" s="1"/>
  <c r="M2875" i="1" a="1"/>
  <c r="M2875" i="1" s="1"/>
  <c r="M2883" i="1" a="1"/>
  <c r="M2883" i="1" s="1"/>
  <c r="M2891" i="1" a="1"/>
  <c r="M2891" i="1" s="1"/>
  <c r="M2899" i="1" a="1"/>
  <c r="M2899" i="1" s="1"/>
  <c r="M2907" i="1" a="1"/>
  <c r="M2907" i="1" s="1"/>
  <c r="M2915" i="1" a="1"/>
  <c r="M2915" i="1" s="1"/>
  <c r="M2923" i="1" a="1"/>
  <c r="M2923" i="1" s="1"/>
  <c r="M2931" i="1" a="1"/>
  <c r="M2931" i="1" s="1"/>
  <c r="M2939" i="1" a="1"/>
  <c r="M2939" i="1" s="1"/>
  <c r="M2947" i="1" a="1"/>
  <c r="M2947" i="1" s="1"/>
  <c r="M2955" i="1" a="1"/>
  <c r="M2955" i="1" s="1"/>
  <c r="M2963" i="1" a="1"/>
  <c r="M2963" i="1" s="1"/>
  <c r="M2971" i="1" a="1"/>
  <c r="M2971" i="1" s="1"/>
  <c r="M2979" i="1" a="1"/>
  <c r="M2979" i="1" s="1"/>
  <c r="M2987" i="1" a="1"/>
  <c r="M2987" i="1" s="1"/>
  <c r="M2995" i="1" a="1"/>
  <c r="M2995" i="1" s="1"/>
  <c r="M3003" i="1" a="1"/>
  <c r="M3003" i="1" s="1"/>
  <c r="M3011" i="1" a="1"/>
  <c r="M3011" i="1" s="1"/>
  <c r="M3019" i="1" a="1"/>
  <c r="M3019" i="1" s="1"/>
  <c r="M3027" i="1" a="1"/>
  <c r="M3027" i="1" s="1"/>
  <c r="M3035" i="1" a="1"/>
  <c r="M3035" i="1" s="1"/>
  <c r="M3043" i="1" a="1"/>
  <c r="M3043" i="1" s="1"/>
  <c r="M3051" i="1" a="1"/>
  <c r="M3051" i="1" s="1"/>
  <c r="M3059" i="1" a="1"/>
  <c r="M3059" i="1" s="1"/>
  <c r="M3067" i="1" a="1"/>
  <c r="M3067" i="1" s="1"/>
  <c r="M3075" i="1" a="1"/>
  <c r="M3075" i="1" s="1"/>
  <c r="M3083" i="1" a="1"/>
  <c r="M3083" i="1" s="1"/>
  <c r="M3091" i="1" a="1"/>
  <c r="M3091" i="1" s="1"/>
  <c r="M3099" i="1" a="1"/>
  <c r="M3099" i="1" s="1"/>
  <c r="M3107" i="1" a="1"/>
  <c r="M3107" i="1" s="1"/>
  <c r="M3115" i="1" a="1"/>
  <c r="M3115" i="1" s="1"/>
  <c r="M3123" i="1" a="1"/>
  <c r="M3123" i="1" s="1"/>
  <c r="M3131" i="1" a="1"/>
  <c r="M3131" i="1" s="1"/>
  <c r="M3139" i="1" a="1"/>
  <c r="M3139" i="1" s="1"/>
  <c r="M3147" i="1" a="1"/>
  <c r="M3147" i="1" s="1"/>
  <c r="M3155" i="1" a="1"/>
  <c r="M3155" i="1" s="1"/>
  <c r="M3163" i="1" a="1"/>
  <c r="M3163" i="1" s="1"/>
  <c r="M3171" i="1" a="1"/>
  <c r="M3171" i="1" s="1"/>
  <c r="M3179" i="1" a="1"/>
  <c r="M3179" i="1" s="1"/>
  <c r="M3187" i="1" a="1"/>
  <c r="M3187" i="1" s="1"/>
  <c r="M3195" i="1" a="1"/>
  <c r="M3195" i="1" s="1"/>
  <c r="M3203" i="1" a="1"/>
  <c r="M3203" i="1" s="1"/>
  <c r="M3211" i="1" a="1"/>
  <c r="M3211" i="1" s="1"/>
  <c r="M3219" i="1" a="1"/>
  <c r="M3219" i="1" s="1"/>
  <c r="M3227" i="1" a="1"/>
  <c r="M3227" i="1" s="1"/>
  <c r="M3235" i="1" a="1"/>
  <c r="M3235" i="1" s="1"/>
  <c r="M3243" i="1" a="1"/>
  <c r="M3243" i="1" s="1"/>
  <c r="M3251" i="1" a="1"/>
  <c r="M3251" i="1" s="1"/>
  <c r="M3259" i="1" a="1"/>
  <c r="M3259" i="1" s="1"/>
  <c r="M3267" i="1" a="1"/>
  <c r="M3267" i="1" s="1"/>
  <c r="M3275" i="1" a="1"/>
  <c r="M3275" i="1" s="1"/>
  <c r="M3283" i="1" a="1"/>
  <c r="M3283" i="1" s="1"/>
  <c r="M3291" i="1" a="1"/>
  <c r="M3291" i="1" s="1"/>
  <c r="M3299" i="1" a="1"/>
  <c r="M3299" i="1" s="1"/>
  <c r="M3307" i="1" a="1"/>
  <c r="M3307" i="1" s="1"/>
  <c r="M3315" i="1" a="1"/>
  <c r="M3315" i="1" s="1"/>
  <c r="M3323" i="1" a="1"/>
  <c r="M3323" i="1" s="1"/>
  <c r="M3331" i="1" a="1"/>
  <c r="M3331" i="1" s="1"/>
  <c r="M3339" i="1" a="1"/>
  <c r="M3339" i="1" s="1"/>
  <c r="M3347" i="1" a="1"/>
  <c r="M3347" i="1" s="1"/>
  <c r="M3355" i="1" a="1"/>
  <c r="M3355" i="1" s="1"/>
  <c r="M3363" i="1" a="1"/>
  <c r="M3363" i="1" s="1"/>
  <c r="M3371" i="1" a="1"/>
  <c r="M3371" i="1" s="1"/>
  <c r="M3379" i="1" a="1"/>
  <c r="M3379" i="1" s="1"/>
  <c r="M3387" i="1" a="1"/>
  <c r="M3387" i="1" s="1"/>
  <c r="M3395" i="1" a="1"/>
  <c r="M3395" i="1" s="1"/>
  <c r="M3403" i="1" a="1"/>
  <c r="M3403" i="1" s="1"/>
  <c r="M3411" i="1" a="1"/>
  <c r="M3411" i="1" s="1"/>
  <c r="M3419" i="1" a="1"/>
  <c r="M3419" i="1" s="1"/>
  <c r="M3427" i="1" a="1"/>
  <c r="M3427" i="1" s="1"/>
  <c r="M3435" i="1" a="1"/>
  <c r="M3435" i="1" s="1"/>
  <c r="M3443" i="1" a="1"/>
  <c r="M3443" i="1" s="1"/>
  <c r="M3451" i="1" a="1"/>
  <c r="M3451" i="1" s="1"/>
  <c r="M3459" i="1" a="1"/>
  <c r="M3459" i="1" s="1"/>
  <c r="M3467" i="1" a="1"/>
  <c r="M3467" i="1" s="1"/>
  <c r="M3475" i="1" a="1"/>
  <c r="M3475" i="1" s="1"/>
  <c r="M3483" i="1" a="1"/>
  <c r="M3483" i="1" s="1"/>
  <c r="M3491" i="1" a="1"/>
  <c r="M3491" i="1" s="1"/>
  <c r="M3499" i="1" a="1"/>
  <c r="M3499" i="1" s="1"/>
  <c r="M3507" i="1" a="1"/>
  <c r="M3507" i="1" s="1"/>
  <c r="M3515" i="1" a="1"/>
  <c r="M3515" i="1" s="1"/>
  <c r="M3523" i="1" a="1"/>
  <c r="M3523" i="1" s="1"/>
  <c r="M3531" i="1" a="1"/>
  <c r="M3531" i="1" s="1"/>
  <c r="M3539" i="1" a="1"/>
  <c r="M3539" i="1" s="1"/>
  <c r="M3547" i="1" a="1"/>
  <c r="M3547" i="1" s="1"/>
  <c r="M3555" i="1" a="1"/>
  <c r="M3555" i="1" s="1"/>
  <c r="M3563" i="1" a="1"/>
  <c r="M3563" i="1" s="1"/>
  <c r="M3571" i="1" a="1"/>
  <c r="M3571" i="1" s="1"/>
  <c r="M1713" i="1" a="1"/>
  <c r="M1713" i="1" s="1"/>
  <c r="M2225" i="1" a="1"/>
  <c r="M2225" i="1" s="1"/>
  <c r="M2385" i="1" a="1"/>
  <c r="M2385" i="1" s="1"/>
  <c r="M2460" i="1" a="1"/>
  <c r="M2460" i="1" s="1"/>
  <c r="M2524" i="1" a="1"/>
  <c r="M2524" i="1" s="1"/>
  <c r="M2588" i="1" a="1"/>
  <c r="M2588" i="1" s="1"/>
  <c r="M2652" i="1" a="1"/>
  <c r="M2652" i="1" s="1"/>
  <c r="M2716" i="1" a="1"/>
  <c r="M2716" i="1" s="1"/>
  <c r="M2780" i="1" a="1"/>
  <c r="M2780" i="1" s="1"/>
  <c r="M2844" i="1" a="1"/>
  <c r="M2844" i="1" s="1"/>
  <c r="M2908" i="1" a="1"/>
  <c r="M2908" i="1" s="1"/>
  <c r="M2972" i="1" a="1"/>
  <c r="M2972" i="1" s="1"/>
  <c r="M3036" i="1" a="1"/>
  <c r="M3036" i="1" s="1"/>
  <c r="M3100" i="1" a="1"/>
  <c r="M3100" i="1" s="1"/>
  <c r="M3164" i="1" a="1"/>
  <c r="M3164" i="1" s="1"/>
  <c r="M3228" i="1" a="1"/>
  <c r="M3228" i="1" s="1"/>
  <c r="M3292" i="1" a="1"/>
  <c r="M3292" i="1" s="1"/>
  <c r="M3356" i="1" a="1"/>
  <c r="M3356" i="1" s="1"/>
  <c r="M3420" i="1" a="1"/>
  <c r="M3420" i="1" s="1"/>
  <c r="M3462" i="1" a="1"/>
  <c r="M3462" i="1" s="1"/>
  <c r="M3484" i="1" a="1"/>
  <c r="M3484" i="1" s="1"/>
  <c r="M3503" i="1" a="1"/>
  <c r="M3503" i="1" s="1"/>
  <c r="M3526" i="1" a="1"/>
  <c r="M3526" i="1" s="1"/>
  <c r="M3542" i="1" a="1"/>
  <c r="M3542" i="1" s="1"/>
  <c r="M3556" i="1" a="1"/>
  <c r="M3556" i="1" s="1"/>
  <c r="M3567" i="1" a="1"/>
  <c r="M3567" i="1" s="1"/>
  <c r="M3579" i="1" a="1"/>
  <c r="M3579" i="1" s="1"/>
  <c r="M3588" i="1" a="1"/>
  <c r="M3588" i="1" s="1"/>
  <c r="M3597" i="1" a="1"/>
  <c r="M3597" i="1" s="1"/>
  <c r="M3606" i="1" a="1"/>
  <c r="M3606" i="1" s="1"/>
  <c r="M3615" i="1" a="1"/>
  <c r="M3615" i="1" s="1"/>
  <c r="M3624" i="1" a="1"/>
  <c r="M3624" i="1" s="1"/>
  <c r="M3632" i="1" a="1"/>
  <c r="M3632" i="1" s="1"/>
  <c r="M3640" i="1" a="1"/>
  <c r="M3640" i="1" s="1"/>
  <c r="M3648" i="1" a="1"/>
  <c r="M3648" i="1" s="1"/>
  <c r="M3656" i="1" a="1"/>
  <c r="M3656" i="1" s="1"/>
  <c r="M3664" i="1" a="1"/>
  <c r="M3664" i="1" s="1"/>
  <c r="M3672" i="1" a="1"/>
  <c r="M3672" i="1" s="1"/>
  <c r="M3680" i="1" a="1"/>
  <c r="M3680" i="1" s="1"/>
  <c r="M3688" i="1" a="1"/>
  <c r="M3688" i="1" s="1"/>
  <c r="M3696" i="1" a="1"/>
  <c r="M3696" i="1" s="1"/>
  <c r="M3704" i="1" a="1"/>
  <c r="M3704" i="1" s="1"/>
  <c r="M3712" i="1" a="1"/>
  <c r="M3712" i="1" s="1"/>
  <c r="M3720" i="1" a="1"/>
  <c r="M3720" i="1" s="1"/>
  <c r="M3728" i="1" a="1"/>
  <c r="M3728" i="1" s="1"/>
  <c r="M3736" i="1" a="1"/>
  <c r="M3736" i="1" s="1"/>
  <c r="M3744" i="1" a="1"/>
  <c r="M3744" i="1" s="1"/>
  <c r="M3752" i="1" a="1"/>
  <c r="M3752" i="1" s="1"/>
  <c r="M3760" i="1" a="1"/>
  <c r="M3760" i="1" s="1"/>
  <c r="M3768" i="1" a="1"/>
  <c r="M3768" i="1" s="1"/>
  <c r="M3776" i="1" a="1"/>
  <c r="M3776" i="1" s="1"/>
  <c r="M3784" i="1" a="1"/>
  <c r="M3784" i="1" s="1"/>
  <c r="M3792" i="1" a="1"/>
  <c r="M3792" i="1" s="1"/>
  <c r="M3800" i="1" a="1"/>
  <c r="M3800" i="1" s="1"/>
  <c r="M3808" i="1" a="1"/>
  <c r="M3808" i="1" s="1"/>
  <c r="M3816" i="1" a="1"/>
  <c r="M3816" i="1" s="1"/>
  <c r="M3824" i="1" a="1"/>
  <c r="M3824" i="1" s="1"/>
  <c r="M3832" i="1" a="1"/>
  <c r="M3832" i="1" s="1"/>
  <c r="M3840" i="1" a="1"/>
  <c r="M3840" i="1" s="1"/>
  <c r="M3848" i="1" a="1"/>
  <c r="M3848" i="1" s="1"/>
  <c r="M3856" i="1" a="1"/>
  <c r="M3856" i="1" s="1"/>
  <c r="M3864" i="1" a="1"/>
  <c r="M3864" i="1" s="1"/>
  <c r="M3872" i="1" a="1"/>
  <c r="M3872" i="1" s="1"/>
  <c r="M3880" i="1" a="1"/>
  <c r="M3880" i="1" s="1"/>
  <c r="M3888" i="1" a="1"/>
  <c r="M3888" i="1" s="1"/>
  <c r="M3896" i="1" a="1"/>
  <c r="M3896" i="1" s="1"/>
  <c r="M3904" i="1" a="1"/>
  <c r="M3904" i="1" s="1"/>
  <c r="M3912" i="1" a="1"/>
  <c r="M3912" i="1" s="1"/>
  <c r="M3920" i="1" a="1"/>
  <c r="M3920" i="1" s="1"/>
  <c r="M3928" i="1" a="1"/>
  <c r="M3928" i="1" s="1"/>
  <c r="M3936" i="1" a="1"/>
  <c r="M3936" i="1" s="1"/>
  <c r="M3944" i="1" a="1"/>
  <c r="M3944" i="1" s="1"/>
  <c r="M3952" i="1" a="1"/>
  <c r="M3952" i="1" s="1"/>
  <c r="M3960" i="1" a="1"/>
  <c r="M3960" i="1" s="1"/>
  <c r="M3968" i="1" a="1"/>
  <c r="M3968" i="1" s="1"/>
  <c r="M3976" i="1" a="1"/>
  <c r="M3976" i="1" s="1"/>
  <c r="M3984" i="1" a="1"/>
  <c r="M3984" i="1" s="1"/>
  <c r="M3992" i="1" a="1"/>
  <c r="M3992" i="1" s="1"/>
  <c r="M4000" i="1" a="1"/>
  <c r="M4000" i="1" s="1"/>
  <c r="M4008" i="1" a="1"/>
  <c r="M4008" i="1" s="1"/>
  <c r="M4016" i="1" a="1"/>
  <c r="M4016" i="1" s="1"/>
  <c r="M4024" i="1" a="1"/>
  <c r="M4024" i="1" s="1"/>
  <c r="M4032" i="1" a="1"/>
  <c r="M4032" i="1" s="1"/>
  <c r="M4040" i="1" a="1"/>
  <c r="M4040" i="1" s="1"/>
  <c r="M4048" i="1" a="1"/>
  <c r="M4048" i="1" s="1"/>
  <c r="M4056" i="1" a="1"/>
  <c r="M4056" i="1" s="1"/>
  <c r="M4064" i="1" a="1"/>
  <c r="M4064" i="1" s="1"/>
  <c r="M4072" i="1" a="1"/>
  <c r="M4072" i="1" s="1"/>
  <c r="M4080" i="1" a="1"/>
  <c r="M4080" i="1" s="1"/>
  <c r="M4088" i="1" a="1"/>
  <c r="M4088" i="1" s="1"/>
  <c r="M4096" i="1" a="1"/>
  <c r="M4096" i="1" s="1"/>
  <c r="M4104" i="1" a="1"/>
  <c r="M4104" i="1" s="1"/>
  <c r="M4112" i="1" a="1"/>
  <c r="M4112" i="1" s="1"/>
  <c r="M4120" i="1" a="1"/>
  <c r="M4120" i="1" s="1"/>
  <c r="M4128" i="1" a="1"/>
  <c r="M4128" i="1" s="1"/>
  <c r="M4136" i="1" a="1"/>
  <c r="M4136" i="1" s="1"/>
  <c r="M4144" i="1" a="1"/>
  <c r="M4144" i="1" s="1"/>
  <c r="M4152" i="1" a="1"/>
  <c r="M4152" i="1" s="1"/>
  <c r="M4160" i="1" a="1"/>
  <c r="M4160" i="1" s="1"/>
  <c r="M4168" i="1" a="1"/>
  <c r="M4168" i="1" s="1"/>
  <c r="M4176" i="1" a="1"/>
  <c r="M4176" i="1" s="1"/>
  <c r="M4184" i="1" a="1"/>
  <c r="M4184" i="1" s="1"/>
  <c r="M4192" i="1" a="1"/>
  <c r="M4192" i="1" s="1"/>
  <c r="M4200" i="1" a="1"/>
  <c r="M4200" i="1" s="1"/>
  <c r="M4208" i="1" a="1"/>
  <c r="M4208" i="1" s="1"/>
  <c r="M4216" i="1" a="1"/>
  <c r="M4216" i="1" s="1"/>
  <c r="M4224" i="1" a="1"/>
  <c r="M4224" i="1" s="1"/>
  <c r="M4232" i="1" a="1"/>
  <c r="M4232" i="1" s="1"/>
  <c r="M4240" i="1" a="1"/>
  <c r="M4240" i="1" s="1"/>
  <c r="M4248" i="1" a="1"/>
  <c r="M4248" i="1" s="1"/>
  <c r="M4256" i="1" a="1"/>
  <c r="M4256" i="1" s="1"/>
  <c r="M4264" i="1" a="1"/>
  <c r="M4264" i="1" s="1"/>
  <c r="M4272" i="1" a="1"/>
  <c r="M4272" i="1" s="1"/>
  <c r="M4280" i="1" a="1"/>
  <c r="M4280" i="1" s="1"/>
  <c r="M4288" i="1" a="1"/>
  <c r="M4288" i="1" s="1"/>
  <c r="M4296" i="1" a="1"/>
  <c r="M4296" i="1" s="1"/>
  <c r="M4304" i="1" a="1"/>
  <c r="M4304" i="1" s="1"/>
  <c r="M4312" i="1" a="1"/>
  <c r="M4312" i="1" s="1"/>
  <c r="M4320" i="1" a="1"/>
  <c r="M4320" i="1" s="1"/>
  <c r="M4328" i="1" a="1"/>
  <c r="M4328" i="1" s="1"/>
  <c r="M4336" i="1" a="1"/>
  <c r="M4336" i="1" s="1"/>
  <c r="M4344" i="1" a="1"/>
  <c r="M4344" i="1" s="1"/>
  <c r="M4352" i="1" a="1"/>
  <c r="M4352" i="1" s="1"/>
  <c r="M4360" i="1" a="1"/>
  <c r="M4360" i="1" s="1"/>
  <c r="M4368" i="1" a="1"/>
  <c r="M4368" i="1" s="1"/>
  <c r="M4376" i="1" a="1"/>
  <c r="M4376" i="1" s="1"/>
  <c r="M4384" i="1" a="1"/>
  <c r="M4384" i="1" s="1"/>
  <c r="M4392" i="1" a="1"/>
  <c r="M4392" i="1" s="1"/>
  <c r="M4400" i="1" a="1"/>
  <c r="M4400" i="1" s="1"/>
  <c r="M4408" i="1" a="1"/>
  <c r="M4408" i="1" s="1"/>
  <c r="M4416" i="1" a="1"/>
  <c r="M4416" i="1" s="1"/>
  <c r="M4424" i="1" a="1"/>
  <c r="M4424" i="1" s="1"/>
  <c r="M4432" i="1" a="1"/>
  <c r="M4432" i="1" s="1"/>
  <c r="M4440" i="1" a="1"/>
  <c r="M4440" i="1" s="1"/>
  <c r="M4448" i="1" a="1"/>
  <c r="M4448" i="1" s="1"/>
  <c r="M4456" i="1" a="1"/>
  <c r="M4456" i="1" s="1"/>
  <c r="M4464" i="1" a="1"/>
  <c r="M4464" i="1" s="1"/>
  <c r="M4472" i="1" a="1"/>
  <c r="M4472" i="1" s="1"/>
  <c r="M4480" i="1" a="1"/>
  <c r="M4480" i="1" s="1"/>
  <c r="M4488" i="1" a="1"/>
  <c r="M4488" i="1" s="1"/>
  <c r="M4496" i="1" a="1"/>
  <c r="M4496" i="1" s="1"/>
  <c r="M4504" i="1" a="1"/>
  <c r="M4504" i="1" s="1"/>
  <c r="M4512" i="1" a="1"/>
  <c r="M4512" i="1" s="1"/>
  <c r="M4520" i="1" a="1"/>
  <c r="M4520" i="1" s="1"/>
  <c r="M4528" i="1" a="1"/>
  <c r="M4528" i="1" s="1"/>
  <c r="M4536" i="1" a="1"/>
  <c r="M4536" i="1" s="1"/>
  <c r="M4544" i="1" a="1"/>
  <c r="M4544" i="1" s="1"/>
  <c r="M4552" i="1" a="1"/>
  <c r="M4552" i="1" s="1"/>
  <c r="M4560" i="1" a="1"/>
  <c r="M4560" i="1" s="1"/>
  <c r="M4568" i="1" a="1"/>
  <c r="M4568" i="1" s="1"/>
  <c r="M4576" i="1" a="1"/>
  <c r="M4576" i="1" s="1"/>
  <c r="M4584" i="1" a="1"/>
  <c r="M4584" i="1" s="1"/>
  <c r="M4592" i="1" a="1"/>
  <c r="M4592" i="1" s="1"/>
  <c r="M4600" i="1" a="1"/>
  <c r="M4600" i="1" s="1"/>
  <c r="M4608" i="1" a="1"/>
  <c r="M4608" i="1" s="1"/>
  <c r="M4616" i="1" a="1"/>
  <c r="M4616" i="1" s="1"/>
  <c r="M4624" i="1" a="1"/>
  <c r="M4624" i="1" s="1"/>
  <c r="M4632" i="1" a="1"/>
  <c r="M4632" i="1" s="1"/>
  <c r="M4640" i="1" a="1"/>
  <c r="M4640" i="1" s="1"/>
  <c r="M4648" i="1" a="1"/>
  <c r="M4648" i="1" s="1"/>
  <c r="M4656" i="1" a="1"/>
  <c r="M4656" i="1" s="1"/>
  <c r="M4664" i="1" a="1"/>
  <c r="M4664" i="1" s="1"/>
  <c r="M4672" i="1" a="1"/>
  <c r="M4672" i="1" s="1"/>
  <c r="M4680" i="1" a="1"/>
  <c r="M4680" i="1" s="1"/>
  <c r="M4688" i="1" a="1"/>
  <c r="M4688" i="1" s="1"/>
  <c r="M4696" i="1" a="1"/>
  <c r="M4696" i="1" s="1"/>
  <c r="M4704" i="1" a="1"/>
  <c r="M4704" i="1" s="1"/>
  <c r="M4712" i="1" a="1"/>
  <c r="M4712" i="1" s="1"/>
  <c r="M4720" i="1" a="1"/>
  <c r="M4720" i="1" s="1"/>
  <c r="M1777" i="1" a="1"/>
  <c r="M1777" i="1" s="1"/>
  <c r="M2268" i="1" a="1"/>
  <c r="M2268" i="1" s="1"/>
  <c r="M2395" i="1" a="1"/>
  <c r="M2395" i="1" s="1"/>
  <c r="M2468" i="1" a="1"/>
  <c r="M2468" i="1" s="1"/>
  <c r="M2532" i="1" a="1"/>
  <c r="M2532" i="1" s="1"/>
  <c r="M2596" i="1" a="1"/>
  <c r="M2596" i="1" s="1"/>
  <c r="M2660" i="1" a="1"/>
  <c r="M2660" i="1" s="1"/>
  <c r="M2724" i="1" a="1"/>
  <c r="M2724" i="1" s="1"/>
  <c r="M2788" i="1" a="1"/>
  <c r="M2788" i="1" s="1"/>
  <c r="M2852" i="1" a="1"/>
  <c r="M2852" i="1" s="1"/>
  <c r="M2916" i="1" a="1"/>
  <c r="M2916" i="1" s="1"/>
  <c r="M2980" i="1" a="1"/>
  <c r="M2980" i="1" s="1"/>
  <c r="M3044" i="1" a="1"/>
  <c r="M3044" i="1" s="1"/>
  <c r="M3108" i="1" a="1"/>
  <c r="M3108" i="1" s="1"/>
  <c r="M3172" i="1" a="1"/>
  <c r="M3172" i="1" s="1"/>
  <c r="M3236" i="1" a="1"/>
  <c r="M3236" i="1" s="1"/>
  <c r="M3300" i="1" a="1"/>
  <c r="M3300" i="1" s="1"/>
  <c r="M3364" i="1" a="1"/>
  <c r="M3364" i="1" s="1"/>
  <c r="M3428" i="1" a="1"/>
  <c r="M3428" i="1" s="1"/>
  <c r="M3463" i="1" a="1"/>
  <c r="M3463" i="1" s="1"/>
  <c r="M3486" i="1" a="1"/>
  <c r="M3486" i="1" s="1"/>
  <c r="M3508" i="1" a="1"/>
  <c r="M3508" i="1" s="1"/>
  <c r="M3527" i="1" a="1"/>
  <c r="M3527" i="1" s="1"/>
  <c r="M3543" i="1" a="1"/>
  <c r="M3543" i="1" s="1"/>
  <c r="M3557" i="1" a="1"/>
  <c r="M3557" i="1" s="1"/>
  <c r="M3568" i="1" a="1"/>
  <c r="M3568" i="1" s="1"/>
  <c r="M3580" i="1" a="1"/>
  <c r="M3580" i="1" s="1"/>
  <c r="M3589" i="1" a="1"/>
  <c r="M3589" i="1" s="1"/>
  <c r="M3598" i="1" a="1"/>
  <c r="M3598" i="1" s="1"/>
  <c r="M3607" i="1" a="1"/>
  <c r="M3607" i="1" s="1"/>
  <c r="M3616" i="1" a="1"/>
  <c r="M3616" i="1" s="1"/>
  <c r="M3625" i="1" a="1"/>
  <c r="M3625" i="1" s="1"/>
  <c r="M3633" i="1" a="1"/>
  <c r="M3633" i="1" s="1"/>
  <c r="M3641" i="1" a="1"/>
  <c r="M3641" i="1" s="1"/>
  <c r="M3649" i="1" a="1"/>
  <c r="M3649" i="1" s="1"/>
  <c r="M3657" i="1" a="1"/>
  <c r="M3657" i="1" s="1"/>
  <c r="M3665" i="1" a="1"/>
  <c r="M3665" i="1" s="1"/>
  <c r="M3673" i="1" a="1"/>
  <c r="M3673" i="1" s="1"/>
  <c r="M3681" i="1" a="1"/>
  <c r="M3681" i="1" s="1"/>
  <c r="M3689" i="1" a="1"/>
  <c r="M3689" i="1" s="1"/>
  <c r="M3697" i="1" a="1"/>
  <c r="M3697" i="1" s="1"/>
  <c r="M3705" i="1" a="1"/>
  <c r="M3705" i="1" s="1"/>
  <c r="M3713" i="1" a="1"/>
  <c r="M3713" i="1" s="1"/>
  <c r="M3721" i="1" a="1"/>
  <c r="M3721" i="1" s="1"/>
  <c r="M3729" i="1" a="1"/>
  <c r="M3729" i="1" s="1"/>
  <c r="M3737" i="1" a="1"/>
  <c r="M3737" i="1" s="1"/>
  <c r="M3745" i="1" a="1"/>
  <c r="M3745" i="1" s="1"/>
  <c r="M3753" i="1" a="1"/>
  <c r="M3753" i="1" s="1"/>
  <c r="M3761" i="1" a="1"/>
  <c r="M3761" i="1" s="1"/>
  <c r="M3769" i="1" a="1"/>
  <c r="M3769" i="1" s="1"/>
  <c r="M3777" i="1" a="1"/>
  <c r="M3777" i="1" s="1"/>
  <c r="M3785" i="1" a="1"/>
  <c r="M3785" i="1" s="1"/>
  <c r="M3793" i="1" a="1"/>
  <c r="M3793" i="1" s="1"/>
  <c r="M3801" i="1" a="1"/>
  <c r="M3801" i="1" s="1"/>
  <c r="M3809" i="1" a="1"/>
  <c r="M3809" i="1" s="1"/>
  <c r="M3817" i="1" a="1"/>
  <c r="M3817" i="1" s="1"/>
  <c r="M3825" i="1" a="1"/>
  <c r="M3825" i="1" s="1"/>
  <c r="M3833" i="1" a="1"/>
  <c r="M3833" i="1" s="1"/>
  <c r="M3841" i="1" a="1"/>
  <c r="M3841" i="1" s="1"/>
  <c r="M3849" i="1" a="1"/>
  <c r="M3849" i="1" s="1"/>
  <c r="M3857" i="1" a="1"/>
  <c r="M3857" i="1" s="1"/>
  <c r="M3865" i="1" a="1"/>
  <c r="M3865" i="1" s="1"/>
  <c r="M3873" i="1" a="1"/>
  <c r="M3873" i="1" s="1"/>
  <c r="M3881" i="1" a="1"/>
  <c r="M3881" i="1" s="1"/>
  <c r="M3889" i="1" a="1"/>
  <c r="M3889" i="1" s="1"/>
  <c r="M3897" i="1" a="1"/>
  <c r="M3897" i="1" s="1"/>
  <c r="M3905" i="1" a="1"/>
  <c r="M3905" i="1" s="1"/>
  <c r="M3913" i="1" a="1"/>
  <c r="M3913" i="1" s="1"/>
  <c r="M3921" i="1" a="1"/>
  <c r="M3921" i="1" s="1"/>
  <c r="M3929" i="1" a="1"/>
  <c r="M3929" i="1" s="1"/>
  <c r="M3937" i="1" a="1"/>
  <c r="M3937" i="1" s="1"/>
  <c r="M3945" i="1" a="1"/>
  <c r="M3945" i="1" s="1"/>
  <c r="M3953" i="1" a="1"/>
  <c r="M3953" i="1" s="1"/>
  <c r="M3961" i="1" a="1"/>
  <c r="M3961" i="1" s="1"/>
  <c r="M3969" i="1" a="1"/>
  <c r="M3969" i="1" s="1"/>
  <c r="M3977" i="1" a="1"/>
  <c r="M3977" i="1" s="1"/>
  <c r="M3985" i="1" a="1"/>
  <c r="M3985" i="1" s="1"/>
  <c r="M3993" i="1" a="1"/>
  <c r="M3993" i="1" s="1"/>
  <c r="M4001" i="1" a="1"/>
  <c r="M4001" i="1" s="1"/>
  <c r="M4009" i="1" a="1"/>
  <c r="M4009" i="1" s="1"/>
  <c r="M4017" i="1" a="1"/>
  <c r="M4017" i="1" s="1"/>
  <c r="M4025" i="1" a="1"/>
  <c r="M4025" i="1" s="1"/>
  <c r="M4033" i="1" a="1"/>
  <c r="M4033" i="1" s="1"/>
  <c r="M4041" i="1" a="1"/>
  <c r="M4041" i="1" s="1"/>
  <c r="M4049" i="1" a="1"/>
  <c r="M4049" i="1" s="1"/>
  <c r="M4057" i="1" a="1"/>
  <c r="M4057" i="1" s="1"/>
  <c r="M4065" i="1" a="1"/>
  <c r="M4065" i="1" s="1"/>
  <c r="M4073" i="1" a="1"/>
  <c r="M4073" i="1" s="1"/>
  <c r="M4081" i="1" a="1"/>
  <c r="M4081" i="1" s="1"/>
  <c r="M4089" i="1" a="1"/>
  <c r="M4089" i="1" s="1"/>
  <c r="M4097" i="1" a="1"/>
  <c r="M4097" i="1" s="1"/>
  <c r="M4105" i="1" a="1"/>
  <c r="M4105" i="1" s="1"/>
  <c r="M4113" i="1" a="1"/>
  <c r="M4113" i="1" s="1"/>
  <c r="M4121" i="1" a="1"/>
  <c r="M4121" i="1" s="1"/>
  <c r="M4129" i="1" a="1"/>
  <c r="M4129" i="1" s="1"/>
  <c r="M4137" i="1" a="1"/>
  <c r="M4137" i="1" s="1"/>
  <c r="M4145" i="1" a="1"/>
  <c r="M4145" i="1" s="1"/>
  <c r="M4153" i="1" a="1"/>
  <c r="M4153" i="1" s="1"/>
  <c r="M4161" i="1" a="1"/>
  <c r="M4161" i="1" s="1"/>
  <c r="M4169" i="1" a="1"/>
  <c r="M4169" i="1" s="1"/>
  <c r="M4177" i="1" a="1"/>
  <c r="M4177" i="1" s="1"/>
  <c r="M4185" i="1" a="1"/>
  <c r="M4185" i="1" s="1"/>
  <c r="M4193" i="1" a="1"/>
  <c r="M4193" i="1" s="1"/>
  <c r="M4201" i="1" a="1"/>
  <c r="M4201" i="1" s="1"/>
  <c r="M4209" i="1" a="1"/>
  <c r="M4209" i="1" s="1"/>
  <c r="M4217" i="1" a="1"/>
  <c r="M4217" i="1" s="1"/>
  <c r="M4225" i="1" a="1"/>
  <c r="M4225" i="1" s="1"/>
  <c r="M4233" i="1" a="1"/>
  <c r="M4233" i="1" s="1"/>
  <c r="M4241" i="1" a="1"/>
  <c r="M4241" i="1" s="1"/>
  <c r="M4249" i="1" a="1"/>
  <c r="M4249" i="1" s="1"/>
  <c r="M4257" i="1" a="1"/>
  <c r="M4257" i="1" s="1"/>
  <c r="M4265" i="1" a="1"/>
  <c r="M4265" i="1" s="1"/>
  <c r="M4273" i="1" a="1"/>
  <c r="M4273" i="1" s="1"/>
  <c r="M4281" i="1" a="1"/>
  <c r="M4281" i="1" s="1"/>
  <c r="M4289" i="1" a="1"/>
  <c r="M4289" i="1" s="1"/>
  <c r="M4297" i="1" a="1"/>
  <c r="M4297" i="1" s="1"/>
  <c r="M4305" i="1" a="1"/>
  <c r="M4305" i="1" s="1"/>
  <c r="M4313" i="1" a="1"/>
  <c r="M4313" i="1" s="1"/>
  <c r="M4321" i="1" a="1"/>
  <c r="M4321" i="1" s="1"/>
  <c r="M4329" i="1" a="1"/>
  <c r="M4329" i="1" s="1"/>
  <c r="M4337" i="1" a="1"/>
  <c r="M4337" i="1" s="1"/>
  <c r="M4345" i="1" a="1"/>
  <c r="M4345" i="1" s="1"/>
  <c r="M4353" i="1" a="1"/>
  <c r="M4353" i="1" s="1"/>
  <c r="M4361" i="1" a="1"/>
  <c r="M4361" i="1" s="1"/>
  <c r="M4369" i="1" a="1"/>
  <c r="M4369" i="1" s="1"/>
  <c r="M4377" i="1" a="1"/>
  <c r="M4377" i="1" s="1"/>
  <c r="M4385" i="1" a="1"/>
  <c r="M4385" i="1" s="1"/>
  <c r="M4393" i="1" a="1"/>
  <c r="M4393" i="1" s="1"/>
  <c r="M4401" i="1" a="1"/>
  <c r="M4401" i="1" s="1"/>
  <c r="M4409" i="1" a="1"/>
  <c r="M4409" i="1" s="1"/>
  <c r="M4417" i="1" a="1"/>
  <c r="M4417" i="1" s="1"/>
  <c r="M4425" i="1" a="1"/>
  <c r="M4425" i="1" s="1"/>
  <c r="M4433" i="1" a="1"/>
  <c r="M4433" i="1" s="1"/>
  <c r="M4441" i="1" a="1"/>
  <c r="M4441" i="1" s="1"/>
  <c r="M4449" i="1" a="1"/>
  <c r="M4449" i="1" s="1"/>
  <c r="M4457" i="1" a="1"/>
  <c r="M4457" i="1" s="1"/>
  <c r="M4465" i="1" a="1"/>
  <c r="M4465" i="1" s="1"/>
  <c r="M4473" i="1" a="1"/>
  <c r="M4473" i="1" s="1"/>
  <c r="M4481" i="1" a="1"/>
  <c r="M4481" i="1" s="1"/>
  <c r="M4489" i="1" a="1"/>
  <c r="M4489" i="1" s="1"/>
  <c r="M4497" i="1" a="1"/>
  <c r="M4497" i="1" s="1"/>
  <c r="M4505" i="1" a="1"/>
  <c r="M4505" i="1" s="1"/>
  <c r="M4513" i="1" a="1"/>
  <c r="M4513" i="1" s="1"/>
  <c r="M4521" i="1" a="1"/>
  <c r="M4521" i="1" s="1"/>
  <c r="M4529" i="1" a="1"/>
  <c r="M4529" i="1" s="1"/>
  <c r="M4537" i="1" a="1"/>
  <c r="M4537" i="1" s="1"/>
  <c r="M4545" i="1" a="1"/>
  <c r="M4545" i="1" s="1"/>
  <c r="M4553" i="1" a="1"/>
  <c r="M4553" i="1" s="1"/>
  <c r="M4561" i="1" a="1"/>
  <c r="M4561" i="1" s="1"/>
  <c r="M4569" i="1" a="1"/>
  <c r="M4569" i="1" s="1"/>
  <c r="M4577" i="1" a="1"/>
  <c r="M4577" i="1" s="1"/>
  <c r="M4585" i="1" a="1"/>
  <c r="M4585" i="1" s="1"/>
  <c r="M4593" i="1" a="1"/>
  <c r="M4593" i="1" s="1"/>
  <c r="M4601" i="1" a="1"/>
  <c r="M4601" i="1" s="1"/>
  <c r="M4609" i="1" a="1"/>
  <c r="M4609" i="1" s="1"/>
  <c r="M4617" i="1" a="1"/>
  <c r="M4617" i="1" s="1"/>
  <c r="M4625" i="1" a="1"/>
  <c r="M4625" i="1" s="1"/>
  <c r="M4633" i="1" a="1"/>
  <c r="M4633" i="1" s="1"/>
  <c r="M4641" i="1" a="1"/>
  <c r="M4641" i="1" s="1"/>
  <c r="M1841" i="1" a="1"/>
  <c r="M1841" i="1" s="1"/>
  <c r="M2291" i="1" a="1"/>
  <c r="M2291" i="1" s="1"/>
  <c r="M2407" i="1" a="1"/>
  <c r="M2407" i="1" s="1"/>
  <c r="M2476" i="1" a="1"/>
  <c r="M2476" i="1" s="1"/>
  <c r="M2540" i="1" a="1"/>
  <c r="M2540" i="1" s="1"/>
  <c r="M2604" i="1" a="1"/>
  <c r="M2604" i="1" s="1"/>
  <c r="M2668" i="1" a="1"/>
  <c r="M2668" i="1" s="1"/>
  <c r="M2732" i="1" a="1"/>
  <c r="M2732" i="1" s="1"/>
  <c r="M2796" i="1" a="1"/>
  <c r="M2796" i="1" s="1"/>
  <c r="M2860" i="1" a="1"/>
  <c r="M2860" i="1" s="1"/>
  <c r="M2924" i="1" a="1"/>
  <c r="M2924" i="1" s="1"/>
  <c r="M2988" i="1" a="1"/>
  <c r="M2988" i="1" s="1"/>
  <c r="M3052" i="1" a="1"/>
  <c r="M3052" i="1" s="1"/>
  <c r="M3116" i="1" a="1"/>
  <c r="M3116" i="1" s="1"/>
  <c r="M3180" i="1" a="1"/>
  <c r="M3180" i="1" s="1"/>
  <c r="M3244" i="1" a="1"/>
  <c r="M3244" i="1" s="1"/>
  <c r="M3308" i="1" a="1"/>
  <c r="M3308" i="1" s="1"/>
  <c r="M3372" i="1" a="1"/>
  <c r="M3372" i="1" s="1"/>
  <c r="M3436" i="1" a="1"/>
  <c r="M3436" i="1" s="1"/>
  <c r="M3468" i="1" a="1"/>
  <c r="M3468" i="1" s="1"/>
  <c r="M3487" i="1" a="1"/>
  <c r="M3487" i="1" s="1"/>
  <c r="M3510" i="1" a="1"/>
  <c r="M3510" i="1" s="1"/>
  <c r="M3532" i="1" a="1"/>
  <c r="M3532" i="1" s="1"/>
  <c r="M3544" i="1" a="1"/>
  <c r="M3544" i="1" s="1"/>
  <c r="M3558" i="1" a="1"/>
  <c r="M3558" i="1" s="1"/>
  <c r="M3572" i="1" a="1"/>
  <c r="M3572" i="1" s="1"/>
  <c r="M3581" i="1" a="1"/>
  <c r="M3581" i="1" s="1"/>
  <c r="M3590" i="1" a="1"/>
  <c r="M3590" i="1" s="1"/>
  <c r="M3599" i="1" a="1"/>
  <c r="M3599" i="1" s="1"/>
  <c r="M3608" i="1" a="1"/>
  <c r="M3608" i="1" s="1"/>
  <c r="M3618" i="1" a="1"/>
  <c r="M3618" i="1" s="1"/>
  <c r="M3626" i="1" a="1"/>
  <c r="M3626" i="1" s="1"/>
  <c r="M3634" i="1" a="1"/>
  <c r="M3634" i="1" s="1"/>
  <c r="M3642" i="1" a="1"/>
  <c r="M3642" i="1" s="1"/>
  <c r="M3650" i="1" a="1"/>
  <c r="M3650" i="1" s="1"/>
  <c r="M3658" i="1" a="1"/>
  <c r="M3658" i="1" s="1"/>
  <c r="M3666" i="1" a="1"/>
  <c r="M3666" i="1" s="1"/>
  <c r="M3674" i="1" a="1"/>
  <c r="M3674" i="1" s="1"/>
  <c r="M3682" i="1" a="1"/>
  <c r="M3682" i="1" s="1"/>
  <c r="M3690" i="1" a="1"/>
  <c r="M3690" i="1" s="1"/>
  <c r="M3698" i="1" a="1"/>
  <c r="M3698" i="1" s="1"/>
  <c r="M3706" i="1" a="1"/>
  <c r="M3706" i="1" s="1"/>
  <c r="M3714" i="1" a="1"/>
  <c r="M3714" i="1" s="1"/>
  <c r="M3722" i="1" a="1"/>
  <c r="M3722" i="1" s="1"/>
  <c r="M3730" i="1" a="1"/>
  <c r="M3730" i="1" s="1"/>
  <c r="M3738" i="1" a="1"/>
  <c r="M3738" i="1" s="1"/>
  <c r="M3746" i="1" a="1"/>
  <c r="M3746" i="1" s="1"/>
  <c r="M3754" i="1" a="1"/>
  <c r="M3754" i="1" s="1"/>
  <c r="M3762" i="1" a="1"/>
  <c r="M3762" i="1" s="1"/>
  <c r="M3770" i="1" a="1"/>
  <c r="M3770" i="1" s="1"/>
  <c r="M3778" i="1" a="1"/>
  <c r="M3778" i="1" s="1"/>
  <c r="M3786" i="1" a="1"/>
  <c r="M3786" i="1" s="1"/>
  <c r="M3794" i="1" a="1"/>
  <c r="M3794" i="1" s="1"/>
  <c r="M3802" i="1" a="1"/>
  <c r="M3802" i="1" s="1"/>
  <c r="M3810" i="1" a="1"/>
  <c r="M3810" i="1" s="1"/>
  <c r="M3818" i="1" a="1"/>
  <c r="M3818" i="1" s="1"/>
  <c r="M3826" i="1" a="1"/>
  <c r="M3826" i="1" s="1"/>
  <c r="M3834" i="1" a="1"/>
  <c r="M3834" i="1" s="1"/>
  <c r="M3842" i="1" a="1"/>
  <c r="M3842" i="1" s="1"/>
  <c r="M3850" i="1" a="1"/>
  <c r="M3850" i="1" s="1"/>
  <c r="M3858" i="1" a="1"/>
  <c r="M3858" i="1" s="1"/>
  <c r="M3866" i="1" a="1"/>
  <c r="M3866" i="1" s="1"/>
  <c r="M3874" i="1" a="1"/>
  <c r="M3874" i="1" s="1"/>
  <c r="M3882" i="1" a="1"/>
  <c r="M3882" i="1" s="1"/>
  <c r="M3890" i="1" a="1"/>
  <c r="M3890" i="1" s="1"/>
  <c r="M3898" i="1" a="1"/>
  <c r="M3898" i="1" s="1"/>
  <c r="M3906" i="1" a="1"/>
  <c r="M3906" i="1" s="1"/>
  <c r="M3914" i="1" a="1"/>
  <c r="M3914" i="1" s="1"/>
  <c r="M3922" i="1" a="1"/>
  <c r="M3922" i="1" s="1"/>
  <c r="M3930" i="1" a="1"/>
  <c r="M3930" i="1" s="1"/>
  <c r="M3938" i="1" a="1"/>
  <c r="M3938" i="1" s="1"/>
  <c r="M3946" i="1" a="1"/>
  <c r="M3946" i="1" s="1"/>
  <c r="M3954" i="1" a="1"/>
  <c r="M3954" i="1" s="1"/>
  <c r="M3962" i="1" a="1"/>
  <c r="M3962" i="1" s="1"/>
  <c r="M3970" i="1" a="1"/>
  <c r="M3970" i="1" s="1"/>
  <c r="M3978" i="1" a="1"/>
  <c r="M3978" i="1" s="1"/>
  <c r="M3986" i="1" a="1"/>
  <c r="M3986" i="1" s="1"/>
  <c r="M3994" i="1" a="1"/>
  <c r="M3994" i="1" s="1"/>
  <c r="M4002" i="1" a="1"/>
  <c r="M4002" i="1" s="1"/>
  <c r="M4010" i="1" a="1"/>
  <c r="M4010" i="1" s="1"/>
  <c r="M4018" i="1" a="1"/>
  <c r="M4018" i="1" s="1"/>
  <c r="M4026" i="1" a="1"/>
  <c r="M4026" i="1" s="1"/>
  <c r="M4034" i="1" a="1"/>
  <c r="M4034" i="1" s="1"/>
  <c r="M4042" i="1" a="1"/>
  <c r="M4042" i="1" s="1"/>
  <c r="M4050" i="1" a="1"/>
  <c r="M4050" i="1" s="1"/>
  <c r="M4058" i="1" a="1"/>
  <c r="M4058" i="1" s="1"/>
  <c r="M4066" i="1" a="1"/>
  <c r="M4066" i="1" s="1"/>
  <c r="M4074" i="1" a="1"/>
  <c r="M4074" i="1" s="1"/>
  <c r="M4082" i="1" a="1"/>
  <c r="M4082" i="1" s="1"/>
  <c r="M4090" i="1" a="1"/>
  <c r="M4090" i="1" s="1"/>
  <c r="M4098" i="1" a="1"/>
  <c r="M4098" i="1" s="1"/>
  <c r="M4106" i="1" a="1"/>
  <c r="M4106" i="1" s="1"/>
  <c r="M4114" i="1" a="1"/>
  <c r="M4114" i="1" s="1"/>
  <c r="M4122" i="1" a="1"/>
  <c r="M4122" i="1" s="1"/>
  <c r="M4130" i="1" a="1"/>
  <c r="M4130" i="1" s="1"/>
  <c r="M4138" i="1" a="1"/>
  <c r="M4138" i="1" s="1"/>
  <c r="M4146" i="1" a="1"/>
  <c r="M4146" i="1" s="1"/>
  <c r="M4154" i="1" a="1"/>
  <c r="M4154" i="1" s="1"/>
  <c r="M4162" i="1" a="1"/>
  <c r="M4162" i="1" s="1"/>
  <c r="M4170" i="1" a="1"/>
  <c r="M4170" i="1" s="1"/>
  <c r="M4178" i="1" a="1"/>
  <c r="M4178" i="1" s="1"/>
  <c r="M4186" i="1" a="1"/>
  <c r="M4186" i="1" s="1"/>
  <c r="M4194" i="1" a="1"/>
  <c r="M4194" i="1" s="1"/>
  <c r="M4202" i="1" a="1"/>
  <c r="M4202" i="1" s="1"/>
  <c r="M4210" i="1" a="1"/>
  <c r="M4210" i="1" s="1"/>
  <c r="M4218" i="1" a="1"/>
  <c r="M4218" i="1" s="1"/>
  <c r="M4226" i="1" a="1"/>
  <c r="M4226" i="1" s="1"/>
  <c r="M4234" i="1" a="1"/>
  <c r="M4234" i="1" s="1"/>
  <c r="M4242" i="1" a="1"/>
  <c r="M4242" i="1" s="1"/>
  <c r="M4250" i="1" a="1"/>
  <c r="M4250" i="1" s="1"/>
  <c r="M4258" i="1" a="1"/>
  <c r="M4258" i="1" s="1"/>
  <c r="M4266" i="1" a="1"/>
  <c r="M4266" i="1" s="1"/>
  <c r="M4274" i="1" a="1"/>
  <c r="M4274" i="1" s="1"/>
  <c r="M4282" i="1" a="1"/>
  <c r="M4282" i="1" s="1"/>
  <c r="M4290" i="1" a="1"/>
  <c r="M4290" i="1" s="1"/>
  <c r="M4298" i="1" a="1"/>
  <c r="M4298" i="1" s="1"/>
  <c r="M4306" i="1" a="1"/>
  <c r="M4306" i="1" s="1"/>
  <c r="M4314" i="1" a="1"/>
  <c r="M4314" i="1" s="1"/>
  <c r="M4322" i="1" a="1"/>
  <c r="M4322" i="1" s="1"/>
  <c r="M4330" i="1" a="1"/>
  <c r="M4330" i="1" s="1"/>
  <c r="M4338" i="1" a="1"/>
  <c r="M4338" i="1" s="1"/>
  <c r="M4346" i="1" a="1"/>
  <c r="M4346" i="1" s="1"/>
  <c r="M4354" i="1" a="1"/>
  <c r="M4354" i="1" s="1"/>
  <c r="M4362" i="1" a="1"/>
  <c r="M4362" i="1" s="1"/>
  <c r="M4370" i="1" a="1"/>
  <c r="M4370" i="1" s="1"/>
  <c r="M4378" i="1" a="1"/>
  <c r="M4378" i="1" s="1"/>
  <c r="M4386" i="1" a="1"/>
  <c r="M4386" i="1" s="1"/>
  <c r="M4394" i="1" a="1"/>
  <c r="M4394" i="1" s="1"/>
  <c r="M4402" i="1" a="1"/>
  <c r="M4402" i="1" s="1"/>
  <c r="M4410" i="1" a="1"/>
  <c r="M4410" i="1" s="1"/>
  <c r="M4418" i="1" a="1"/>
  <c r="M4418" i="1" s="1"/>
  <c r="M4426" i="1" a="1"/>
  <c r="M4426" i="1" s="1"/>
  <c r="M4434" i="1" a="1"/>
  <c r="M4434" i="1" s="1"/>
  <c r="M4442" i="1" a="1"/>
  <c r="M4442" i="1" s="1"/>
  <c r="M4450" i="1" a="1"/>
  <c r="M4450" i="1" s="1"/>
  <c r="M4458" i="1" a="1"/>
  <c r="M4458" i="1" s="1"/>
  <c r="M4466" i="1" a="1"/>
  <c r="M4466" i="1" s="1"/>
  <c r="M4474" i="1" a="1"/>
  <c r="M4474" i="1" s="1"/>
  <c r="M4482" i="1" a="1"/>
  <c r="M4482" i="1" s="1"/>
  <c r="M4490" i="1" a="1"/>
  <c r="M4490" i="1" s="1"/>
  <c r="M4498" i="1" a="1"/>
  <c r="M4498" i="1" s="1"/>
  <c r="M4506" i="1" a="1"/>
  <c r="M4506" i="1" s="1"/>
  <c r="M4514" i="1" a="1"/>
  <c r="M4514" i="1" s="1"/>
  <c r="M4522" i="1" a="1"/>
  <c r="M4522" i="1" s="1"/>
  <c r="M4530" i="1" a="1"/>
  <c r="M4530" i="1" s="1"/>
  <c r="M4538" i="1" a="1"/>
  <c r="M4538" i="1" s="1"/>
  <c r="M4546" i="1" a="1"/>
  <c r="M4546" i="1" s="1"/>
  <c r="M4554" i="1" a="1"/>
  <c r="M4554" i="1" s="1"/>
  <c r="M4562" i="1" a="1"/>
  <c r="M4562" i="1" s="1"/>
  <c r="M4570" i="1" a="1"/>
  <c r="M4570" i="1" s="1"/>
  <c r="M4578" i="1" a="1"/>
  <c r="M4578" i="1" s="1"/>
  <c r="M4586" i="1" a="1"/>
  <c r="M4586" i="1" s="1"/>
  <c r="M4594" i="1" a="1"/>
  <c r="M4594" i="1" s="1"/>
  <c r="M4602" i="1" a="1"/>
  <c r="M4602" i="1" s="1"/>
  <c r="M4610" i="1" a="1"/>
  <c r="M4610" i="1" s="1"/>
  <c r="M4618" i="1" a="1"/>
  <c r="M4618" i="1" s="1"/>
  <c r="M4626" i="1" a="1"/>
  <c r="M4626" i="1" s="1"/>
  <c r="M4634" i="1" a="1"/>
  <c r="M4634" i="1" s="1"/>
  <c r="M4642" i="1" a="1"/>
  <c r="M4642" i="1" s="1"/>
  <c r="M1905" i="1" a="1"/>
  <c r="M1905" i="1" s="1"/>
  <c r="M2313" i="1" a="1"/>
  <c r="M2313" i="1" s="1"/>
  <c r="M2417" i="1" a="1"/>
  <c r="M2417" i="1" s="1"/>
  <c r="M2484" i="1" a="1"/>
  <c r="M2484" i="1" s="1"/>
  <c r="M2548" i="1" a="1"/>
  <c r="M2548" i="1" s="1"/>
  <c r="M2612" i="1" a="1"/>
  <c r="M2612" i="1" s="1"/>
  <c r="M2676" i="1" a="1"/>
  <c r="M2676" i="1" s="1"/>
  <c r="M2740" i="1" a="1"/>
  <c r="M2740" i="1" s="1"/>
  <c r="M2804" i="1" a="1"/>
  <c r="M2804" i="1" s="1"/>
  <c r="M2868" i="1" a="1"/>
  <c r="M2868" i="1" s="1"/>
  <c r="M2932" i="1" a="1"/>
  <c r="M2932" i="1" s="1"/>
  <c r="M2996" i="1" a="1"/>
  <c r="M2996" i="1" s="1"/>
  <c r="M3060" i="1" a="1"/>
  <c r="M3060" i="1" s="1"/>
  <c r="M3124" i="1" a="1"/>
  <c r="M3124" i="1" s="1"/>
  <c r="M3188" i="1" a="1"/>
  <c r="M3188" i="1" s="1"/>
  <c r="M3252" i="1" a="1"/>
  <c r="M3252" i="1" s="1"/>
  <c r="M3316" i="1" a="1"/>
  <c r="M3316" i="1" s="1"/>
  <c r="M3380" i="1" a="1"/>
  <c r="M3380" i="1" s="1"/>
  <c r="M3444" i="1" a="1"/>
  <c r="M3444" i="1" s="1"/>
  <c r="M3470" i="1" a="1"/>
  <c r="M3470" i="1" s="1"/>
  <c r="M3492" i="1" a="1"/>
  <c r="M3492" i="1" s="1"/>
  <c r="M3511" i="1" a="1"/>
  <c r="M3511" i="1" s="1"/>
  <c r="M3534" i="1" a="1"/>
  <c r="M3534" i="1" s="1"/>
  <c r="M3548" i="1" a="1"/>
  <c r="M3548" i="1" s="1"/>
  <c r="M3559" i="1" a="1"/>
  <c r="M3559" i="1" s="1"/>
  <c r="M3573" i="1" a="1"/>
  <c r="M3573" i="1" s="1"/>
  <c r="M3582" i="1" a="1"/>
  <c r="M3582" i="1" s="1"/>
  <c r="M3591" i="1" a="1"/>
  <c r="M3591" i="1" s="1"/>
  <c r="M3600" i="1" a="1"/>
  <c r="M3600" i="1" s="1"/>
  <c r="M3610" i="1" a="1"/>
  <c r="M3610" i="1" s="1"/>
  <c r="M3619" i="1" a="1"/>
  <c r="M3619" i="1" s="1"/>
  <c r="M3627" i="1" a="1"/>
  <c r="M3627" i="1" s="1"/>
  <c r="M3635" i="1" a="1"/>
  <c r="M3635" i="1" s="1"/>
  <c r="M3643" i="1" a="1"/>
  <c r="M3643" i="1" s="1"/>
  <c r="M3651" i="1" a="1"/>
  <c r="M3651" i="1" s="1"/>
  <c r="M3659" i="1" a="1"/>
  <c r="M3659" i="1" s="1"/>
  <c r="M3667" i="1" a="1"/>
  <c r="M3667" i="1" s="1"/>
  <c r="M3675" i="1" a="1"/>
  <c r="M3675" i="1" s="1"/>
  <c r="M3683" i="1" a="1"/>
  <c r="M3683" i="1" s="1"/>
  <c r="M3691" i="1" a="1"/>
  <c r="M3691" i="1" s="1"/>
  <c r="M3699" i="1" a="1"/>
  <c r="M3699" i="1" s="1"/>
  <c r="M3707" i="1" a="1"/>
  <c r="M3707" i="1" s="1"/>
  <c r="M3715" i="1" a="1"/>
  <c r="M3715" i="1" s="1"/>
  <c r="M3723" i="1" a="1"/>
  <c r="M3723" i="1" s="1"/>
  <c r="M3731" i="1" a="1"/>
  <c r="M3731" i="1" s="1"/>
  <c r="M3739" i="1" a="1"/>
  <c r="M3739" i="1" s="1"/>
  <c r="M3747" i="1" a="1"/>
  <c r="M3747" i="1" s="1"/>
  <c r="M3755" i="1" a="1"/>
  <c r="M3755" i="1" s="1"/>
  <c r="M3763" i="1" a="1"/>
  <c r="M3763" i="1" s="1"/>
  <c r="M3771" i="1" a="1"/>
  <c r="M3771" i="1" s="1"/>
  <c r="M3779" i="1" a="1"/>
  <c r="M3779" i="1" s="1"/>
  <c r="M3787" i="1" a="1"/>
  <c r="M3787" i="1" s="1"/>
  <c r="M3795" i="1" a="1"/>
  <c r="M3795" i="1" s="1"/>
  <c r="M3803" i="1" a="1"/>
  <c r="M3803" i="1" s="1"/>
  <c r="M3811" i="1" a="1"/>
  <c r="M3811" i="1" s="1"/>
  <c r="M3819" i="1" a="1"/>
  <c r="M3819" i="1" s="1"/>
  <c r="M3827" i="1" a="1"/>
  <c r="M3827" i="1" s="1"/>
  <c r="M3835" i="1" a="1"/>
  <c r="M3835" i="1" s="1"/>
  <c r="M3843" i="1" a="1"/>
  <c r="M3843" i="1" s="1"/>
  <c r="M3851" i="1" a="1"/>
  <c r="M3851" i="1" s="1"/>
  <c r="M3859" i="1" a="1"/>
  <c r="M3859" i="1" s="1"/>
  <c r="M3867" i="1" a="1"/>
  <c r="M3867" i="1" s="1"/>
  <c r="M3875" i="1" a="1"/>
  <c r="M3875" i="1" s="1"/>
  <c r="M3883" i="1" a="1"/>
  <c r="M3883" i="1" s="1"/>
  <c r="M3891" i="1" a="1"/>
  <c r="M3891" i="1" s="1"/>
  <c r="M3899" i="1" a="1"/>
  <c r="M3899" i="1" s="1"/>
  <c r="M3907" i="1" a="1"/>
  <c r="M3907" i="1" s="1"/>
  <c r="M3915" i="1" a="1"/>
  <c r="M3915" i="1" s="1"/>
  <c r="M3923" i="1" a="1"/>
  <c r="M3923" i="1" s="1"/>
  <c r="M3931" i="1" a="1"/>
  <c r="M3931" i="1" s="1"/>
  <c r="M3939" i="1" a="1"/>
  <c r="M3939" i="1" s="1"/>
  <c r="M3947" i="1" a="1"/>
  <c r="M3947" i="1" s="1"/>
  <c r="M3955" i="1" a="1"/>
  <c r="M3955" i="1" s="1"/>
  <c r="M3963" i="1" a="1"/>
  <c r="M3963" i="1" s="1"/>
  <c r="M3971" i="1" a="1"/>
  <c r="M3971" i="1" s="1"/>
  <c r="M3979" i="1" a="1"/>
  <c r="M3979" i="1" s="1"/>
  <c r="M3987" i="1" a="1"/>
  <c r="M3987" i="1" s="1"/>
  <c r="M3995" i="1" a="1"/>
  <c r="M3995" i="1" s="1"/>
  <c r="M4003" i="1" a="1"/>
  <c r="M4003" i="1" s="1"/>
  <c r="M4011" i="1" a="1"/>
  <c r="M4011" i="1" s="1"/>
  <c r="M4019" i="1" a="1"/>
  <c r="M4019" i="1" s="1"/>
  <c r="M4027" i="1" a="1"/>
  <c r="M4027" i="1" s="1"/>
  <c r="M4035" i="1" a="1"/>
  <c r="M4035" i="1" s="1"/>
  <c r="M4043" i="1" a="1"/>
  <c r="M4043" i="1" s="1"/>
  <c r="M4051" i="1" a="1"/>
  <c r="M4051" i="1" s="1"/>
  <c r="M4059" i="1" a="1"/>
  <c r="M4059" i="1" s="1"/>
  <c r="M4067" i="1" a="1"/>
  <c r="M4067" i="1" s="1"/>
  <c r="M4075" i="1" a="1"/>
  <c r="M4075" i="1" s="1"/>
  <c r="M4083" i="1" a="1"/>
  <c r="M4083" i="1" s="1"/>
  <c r="M4091" i="1" a="1"/>
  <c r="M4091" i="1" s="1"/>
  <c r="M4099" i="1" a="1"/>
  <c r="M4099" i="1" s="1"/>
  <c r="M4107" i="1" a="1"/>
  <c r="M4107" i="1" s="1"/>
  <c r="M4115" i="1" a="1"/>
  <c r="M4115" i="1" s="1"/>
  <c r="M4123" i="1" a="1"/>
  <c r="M4123" i="1" s="1"/>
  <c r="M4131" i="1" a="1"/>
  <c r="M4131" i="1" s="1"/>
  <c r="M4139" i="1" a="1"/>
  <c r="M4139" i="1" s="1"/>
  <c r="M4147" i="1" a="1"/>
  <c r="M4147" i="1" s="1"/>
  <c r="M4155" i="1" a="1"/>
  <c r="M4155" i="1" s="1"/>
  <c r="M4163" i="1" a="1"/>
  <c r="M4163" i="1" s="1"/>
  <c r="M4171" i="1" a="1"/>
  <c r="M4171" i="1" s="1"/>
  <c r="M4179" i="1" a="1"/>
  <c r="M4179" i="1" s="1"/>
  <c r="M4187" i="1" a="1"/>
  <c r="M4187" i="1" s="1"/>
  <c r="M4195" i="1" a="1"/>
  <c r="M4195" i="1" s="1"/>
  <c r="M4203" i="1" a="1"/>
  <c r="M4203" i="1" s="1"/>
  <c r="M4211" i="1" a="1"/>
  <c r="M4211" i="1" s="1"/>
  <c r="M4219" i="1" a="1"/>
  <c r="M4219" i="1" s="1"/>
  <c r="M4227" i="1" a="1"/>
  <c r="M4227" i="1" s="1"/>
  <c r="M4235" i="1" a="1"/>
  <c r="M4235" i="1" s="1"/>
  <c r="M4243" i="1" a="1"/>
  <c r="M4243" i="1" s="1"/>
  <c r="M4251" i="1" a="1"/>
  <c r="M4251" i="1" s="1"/>
  <c r="M4259" i="1" a="1"/>
  <c r="M4259" i="1" s="1"/>
  <c r="M4267" i="1" a="1"/>
  <c r="M4267" i="1" s="1"/>
  <c r="M4275" i="1" a="1"/>
  <c r="M4275" i="1" s="1"/>
  <c r="M4283" i="1" a="1"/>
  <c r="M4283" i="1" s="1"/>
  <c r="M4291" i="1" a="1"/>
  <c r="M4291" i="1" s="1"/>
  <c r="M4299" i="1" a="1"/>
  <c r="M4299" i="1" s="1"/>
  <c r="M4307" i="1" a="1"/>
  <c r="M4307" i="1" s="1"/>
  <c r="M4315" i="1" a="1"/>
  <c r="M4315" i="1" s="1"/>
  <c r="M4323" i="1" a="1"/>
  <c r="M4323" i="1" s="1"/>
  <c r="M4331" i="1" a="1"/>
  <c r="M4331" i="1" s="1"/>
  <c r="M4339" i="1" a="1"/>
  <c r="M4339" i="1" s="1"/>
  <c r="M4347" i="1" a="1"/>
  <c r="M4347" i="1" s="1"/>
  <c r="M4355" i="1" a="1"/>
  <c r="M4355" i="1" s="1"/>
  <c r="M4363" i="1" a="1"/>
  <c r="M4363" i="1" s="1"/>
  <c r="M4371" i="1" a="1"/>
  <c r="M4371" i="1" s="1"/>
  <c r="M4379" i="1" a="1"/>
  <c r="M4379" i="1" s="1"/>
  <c r="M4387" i="1" a="1"/>
  <c r="M4387" i="1" s="1"/>
  <c r="M4395" i="1" a="1"/>
  <c r="M4395" i="1" s="1"/>
  <c r="M4403" i="1" a="1"/>
  <c r="M4403" i="1" s="1"/>
  <c r="M4411" i="1" a="1"/>
  <c r="M4411" i="1" s="1"/>
  <c r="M4419" i="1" a="1"/>
  <c r="M4419" i="1" s="1"/>
  <c r="M4427" i="1" a="1"/>
  <c r="M4427" i="1" s="1"/>
  <c r="M4435" i="1" a="1"/>
  <c r="M4435" i="1" s="1"/>
  <c r="M4443" i="1" a="1"/>
  <c r="M4443" i="1" s="1"/>
  <c r="M4451" i="1" a="1"/>
  <c r="M4451" i="1" s="1"/>
  <c r="M4459" i="1" a="1"/>
  <c r="M4459" i="1" s="1"/>
  <c r="M4467" i="1" a="1"/>
  <c r="M4467" i="1" s="1"/>
  <c r="M4475" i="1" a="1"/>
  <c r="M4475" i="1" s="1"/>
  <c r="M4483" i="1" a="1"/>
  <c r="M4483" i="1" s="1"/>
  <c r="M4491" i="1" a="1"/>
  <c r="M4491" i="1" s="1"/>
  <c r="M4499" i="1" a="1"/>
  <c r="M4499" i="1" s="1"/>
  <c r="M4507" i="1" a="1"/>
  <c r="M4507" i="1" s="1"/>
  <c r="M4515" i="1" a="1"/>
  <c r="M4515" i="1" s="1"/>
  <c r="M4523" i="1" a="1"/>
  <c r="M4523" i="1" s="1"/>
  <c r="M4531" i="1" a="1"/>
  <c r="M4531" i="1" s="1"/>
  <c r="M4539" i="1" a="1"/>
  <c r="M4539" i="1" s="1"/>
  <c r="M4547" i="1" a="1"/>
  <c r="M4547" i="1" s="1"/>
  <c r="M4555" i="1" a="1"/>
  <c r="M4555" i="1" s="1"/>
  <c r="M4563" i="1" a="1"/>
  <c r="M4563" i="1" s="1"/>
  <c r="M4571" i="1" a="1"/>
  <c r="M4571" i="1" s="1"/>
  <c r="M4579" i="1" a="1"/>
  <c r="M4579" i="1" s="1"/>
  <c r="M4587" i="1" a="1"/>
  <c r="M4587" i="1" s="1"/>
  <c r="M4595" i="1" a="1"/>
  <c r="M4595" i="1" s="1"/>
  <c r="M4603" i="1" a="1"/>
  <c r="M4603" i="1" s="1"/>
  <c r="M4611" i="1" a="1"/>
  <c r="M4611" i="1" s="1"/>
  <c r="M4619" i="1" a="1"/>
  <c r="M4619" i="1" s="1"/>
  <c r="M4627" i="1" a="1"/>
  <c r="M4627" i="1" s="1"/>
  <c r="M4635" i="1" a="1"/>
  <c r="M4635" i="1" s="1"/>
  <c r="M4643" i="1" a="1"/>
  <c r="M4643" i="1" s="1"/>
  <c r="M4651" i="1" a="1"/>
  <c r="M4651" i="1" s="1"/>
  <c r="M4659" i="1" a="1"/>
  <c r="M4659" i="1" s="1"/>
  <c r="M4667" i="1" a="1"/>
  <c r="M4667" i="1" s="1"/>
  <c r="M4675" i="1" a="1"/>
  <c r="M4675" i="1" s="1"/>
  <c r="M4683" i="1" a="1"/>
  <c r="M4683" i="1" s="1"/>
  <c r="M4691" i="1" a="1"/>
  <c r="M4691" i="1" s="1"/>
  <c r="M4699" i="1" a="1"/>
  <c r="M4699" i="1" s="1"/>
  <c r="M4707" i="1" a="1"/>
  <c r="M4707" i="1" s="1"/>
  <c r="M4715" i="1" a="1"/>
  <c r="M4715" i="1" s="1"/>
  <c r="M1969" i="1" a="1"/>
  <c r="M1969" i="1" s="1"/>
  <c r="M2332" i="1" a="1"/>
  <c r="M2332" i="1" s="1"/>
  <c r="M2426" i="1" a="1"/>
  <c r="M2426" i="1" s="1"/>
  <c r="M2492" i="1" a="1"/>
  <c r="M2492" i="1" s="1"/>
  <c r="M2556" i="1" a="1"/>
  <c r="M2556" i="1" s="1"/>
  <c r="M2620" i="1" a="1"/>
  <c r="M2620" i="1" s="1"/>
  <c r="M2684" i="1" a="1"/>
  <c r="M2684" i="1" s="1"/>
  <c r="M2748" i="1" a="1"/>
  <c r="M2748" i="1" s="1"/>
  <c r="M2812" i="1" a="1"/>
  <c r="M2812" i="1" s="1"/>
  <c r="M2876" i="1" a="1"/>
  <c r="M2876" i="1" s="1"/>
  <c r="M2940" i="1" a="1"/>
  <c r="M2940" i="1" s="1"/>
  <c r="M3004" i="1" a="1"/>
  <c r="M3004" i="1" s="1"/>
  <c r="M3068" i="1" a="1"/>
  <c r="M3068" i="1" s="1"/>
  <c r="M3132" i="1" a="1"/>
  <c r="M3132" i="1" s="1"/>
  <c r="M3196" i="1" a="1"/>
  <c r="M3196" i="1" s="1"/>
  <c r="M3260" i="1" a="1"/>
  <c r="M3260" i="1" s="1"/>
  <c r="M3324" i="1" a="1"/>
  <c r="M3324" i="1" s="1"/>
  <c r="M3388" i="1" a="1"/>
  <c r="M3388" i="1" s="1"/>
  <c r="M3452" i="1" a="1"/>
  <c r="M3452" i="1" s="1"/>
  <c r="M3471" i="1" a="1"/>
  <c r="M3471" i="1" s="1"/>
  <c r="M3494" i="1" a="1"/>
  <c r="M3494" i="1" s="1"/>
  <c r="M3516" i="1" a="1"/>
  <c r="M3516" i="1" s="1"/>
  <c r="M3535" i="1" a="1"/>
  <c r="M3535" i="1" s="1"/>
  <c r="M3549" i="1" a="1"/>
  <c r="M3549" i="1" s="1"/>
  <c r="M3560" i="1" a="1"/>
  <c r="M3560" i="1" s="1"/>
  <c r="M3574" i="1" a="1"/>
  <c r="M3574" i="1" s="1"/>
  <c r="M3583" i="1" a="1"/>
  <c r="M3583" i="1" s="1"/>
  <c r="M3592" i="1" a="1"/>
  <c r="M3592" i="1" s="1"/>
  <c r="M3602" i="1" a="1"/>
  <c r="M3602" i="1" s="1"/>
  <c r="M3611" i="1" a="1"/>
  <c r="M3611" i="1" s="1"/>
  <c r="M3620" i="1" a="1"/>
  <c r="M3620" i="1" s="1"/>
  <c r="M3628" i="1" a="1"/>
  <c r="M3628" i="1" s="1"/>
  <c r="M3636" i="1" a="1"/>
  <c r="M3636" i="1" s="1"/>
  <c r="M3644" i="1" a="1"/>
  <c r="M3644" i="1" s="1"/>
  <c r="M3652" i="1" a="1"/>
  <c r="M3652" i="1" s="1"/>
  <c r="M3660" i="1" a="1"/>
  <c r="M3660" i="1" s="1"/>
  <c r="M3668" i="1" a="1"/>
  <c r="M3668" i="1" s="1"/>
  <c r="M3676" i="1" a="1"/>
  <c r="M3676" i="1" s="1"/>
  <c r="M3684" i="1" a="1"/>
  <c r="M3684" i="1" s="1"/>
  <c r="M3692" i="1" a="1"/>
  <c r="M3692" i="1" s="1"/>
  <c r="M3700" i="1" a="1"/>
  <c r="M3700" i="1" s="1"/>
  <c r="M3708" i="1" a="1"/>
  <c r="M3708" i="1" s="1"/>
  <c r="M3716" i="1" a="1"/>
  <c r="M3716" i="1" s="1"/>
  <c r="M3724" i="1" a="1"/>
  <c r="M3724" i="1" s="1"/>
  <c r="M3732" i="1" a="1"/>
  <c r="M3732" i="1" s="1"/>
  <c r="M3740" i="1" a="1"/>
  <c r="M3740" i="1" s="1"/>
  <c r="M3748" i="1" a="1"/>
  <c r="M3748" i="1" s="1"/>
  <c r="M3756" i="1" a="1"/>
  <c r="M3756" i="1" s="1"/>
  <c r="M3764" i="1" a="1"/>
  <c r="M3764" i="1" s="1"/>
  <c r="M3772" i="1" a="1"/>
  <c r="M3772" i="1" s="1"/>
  <c r="M3780" i="1" a="1"/>
  <c r="M3780" i="1" s="1"/>
  <c r="M3788" i="1" a="1"/>
  <c r="M3788" i="1" s="1"/>
  <c r="M3796" i="1" a="1"/>
  <c r="M3796" i="1" s="1"/>
  <c r="M3804" i="1" a="1"/>
  <c r="M3804" i="1" s="1"/>
  <c r="M3812" i="1" a="1"/>
  <c r="M3812" i="1" s="1"/>
  <c r="M3820" i="1" a="1"/>
  <c r="M3820" i="1" s="1"/>
  <c r="M3828" i="1" a="1"/>
  <c r="M3828" i="1" s="1"/>
  <c r="M3836" i="1" a="1"/>
  <c r="M3836" i="1" s="1"/>
  <c r="M3844" i="1" a="1"/>
  <c r="M3844" i="1" s="1"/>
  <c r="M3852" i="1" a="1"/>
  <c r="M3852" i="1" s="1"/>
  <c r="M3860" i="1" a="1"/>
  <c r="M3860" i="1" s="1"/>
  <c r="M3868" i="1" a="1"/>
  <c r="M3868" i="1" s="1"/>
  <c r="M3876" i="1" a="1"/>
  <c r="M3876" i="1" s="1"/>
  <c r="M3884" i="1" a="1"/>
  <c r="M3884" i="1" s="1"/>
  <c r="M3892" i="1" a="1"/>
  <c r="M3892" i="1" s="1"/>
  <c r="M3900" i="1" a="1"/>
  <c r="M3900" i="1" s="1"/>
  <c r="M3908" i="1" a="1"/>
  <c r="M3908" i="1" s="1"/>
  <c r="M3916" i="1" a="1"/>
  <c r="M3916" i="1" s="1"/>
  <c r="M3924" i="1" a="1"/>
  <c r="M3924" i="1" s="1"/>
  <c r="M3932" i="1" a="1"/>
  <c r="M3932" i="1" s="1"/>
  <c r="M3940" i="1" a="1"/>
  <c r="M3940" i="1" s="1"/>
  <c r="M3948" i="1" a="1"/>
  <c r="M3948" i="1" s="1"/>
  <c r="M3956" i="1" a="1"/>
  <c r="M3956" i="1" s="1"/>
  <c r="M3964" i="1" a="1"/>
  <c r="M3964" i="1" s="1"/>
  <c r="M3972" i="1" a="1"/>
  <c r="M3972" i="1" s="1"/>
  <c r="M3980" i="1" a="1"/>
  <c r="M3980" i="1" s="1"/>
  <c r="M3988" i="1" a="1"/>
  <c r="M3988" i="1" s="1"/>
  <c r="M3996" i="1" a="1"/>
  <c r="M3996" i="1" s="1"/>
  <c r="M4004" i="1" a="1"/>
  <c r="M4004" i="1" s="1"/>
  <c r="M4012" i="1" a="1"/>
  <c r="M4012" i="1" s="1"/>
  <c r="M4020" i="1" a="1"/>
  <c r="M4020" i="1" s="1"/>
  <c r="M4028" i="1" a="1"/>
  <c r="M4028" i="1" s="1"/>
  <c r="M4036" i="1" a="1"/>
  <c r="M4036" i="1" s="1"/>
  <c r="M4044" i="1" a="1"/>
  <c r="M4044" i="1" s="1"/>
  <c r="M4052" i="1" a="1"/>
  <c r="M4052" i="1" s="1"/>
  <c r="M4060" i="1" a="1"/>
  <c r="M4060" i="1" s="1"/>
  <c r="M4068" i="1" a="1"/>
  <c r="M4068" i="1" s="1"/>
  <c r="M4076" i="1" a="1"/>
  <c r="M4076" i="1" s="1"/>
  <c r="M4084" i="1" a="1"/>
  <c r="M4084" i="1" s="1"/>
  <c r="M4092" i="1" a="1"/>
  <c r="M4092" i="1" s="1"/>
  <c r="M4100" i="1" a="1"/>
  <c r="M4100" i="1" s="1"/>
  <c r="M4108" i="1" a="1"/>
  <c r="M4108" i="1" s="1"/>
  <c r="M4116" i="1" a="1"/>
  <c r="M4116" i="1" s="1"/>
  <c r="M4124" i="1" a="1"/>
  <c r="M4124" i="1" s="1"/>
  <c r="M4132" i="1" a="1"/>
  <c r="M4132" i="1" s="1"/>
  <c r="M4140" i="1" a="1"/>
  <c r="M4140" i="1" s="1"/>
  <c r="M4148" i="1" a="1"/>
  <c r="M4148" i="1" s="1"/>
  <c r="M4156" i="1" a="1"/>
  <c r="M4156" i="1" s="1"/>
  <c r="M4164" i="1" a="1"/>
  <c r="M4164" i="1" s="1"/>
  <c r="M4172" i="1" a="1"/>
  <c r="M4172" i="1" s="1"/>
  <c r="M4180" i="1" a="1"/>
  <c r="M4180" i="1" s="1"/>
  <c r="M4188" i="1" a="1"/>
  <c r="M4188" i="1" s="1"/>
  <c r="M4196" i="1" a="1"/>
  <c r="M4196" i="1" s="1"/>
  <c r="M4204" i="1" a="1"/>
  <c r="M4204" i="1" s="1"/>
  <c r="M4212" i="1" a="1"/>
  <c r="M4212" i="1" s="1"/>
  <c r="M4220" i="1" a="1"/>
  <c r="M4220" i="1" s="1"/>
  <c r="M4228" i="1" a="1"/>
  <c r="M4228" i="1" s="1"/>
  <c r="M4236" i="1" a="1"/>
  <c r="M4236" i="1" s="1"/>
  <c r="M4244" i="1" a="1"/>
  <c r="M4244" i="1" s="1"/>
  <c r="M4252" i="1" a="1"/>
  <c r="M4252" i="1" s="1"/>
  <c r="M4260" i="1" a="1"/>
  <c r="M4260" i="1" s="1"/>
  <c r="M4268" i="1" a="1"/>
  <c r="M4268" i="1" s="1"/>
  <c r="M4276" i="1" a="1"/>
  <c r="M4276" i="1" s="1"/>
  <c r="M4284" i="1" a="1"/>
  <c r="M4284" i="1" s="1"/>
  <c r="M4292" i="1" a="1"/>
  <c r="M4292" i="1" s="1"/>
  <c r="M4300" i="1" a="1"/>
  <c r="M4300" i="1" s="1"/>
  <c r="M4308" i="1" a="1"/>
  <c r="M4308" i="1" s="1"/>
  <c r="M4316" i="1" a="1"/>
  <c r="M4316" i="1" s="1"/>
  <c r="M4324" i="1" a="1"/>
  <c r="M4324" i="1" s="1"/>
  <c r="M4332" i="1" a="1"/>
  <c r="M4332" i="1" s="1"/>
  <c r="M4340" i="1" a="1"/>
  <c r="M4340" i="1" s="1"/>
  <c r="M4348" i="1" a="1"/>
  <c r="M4348" i="1" s="1"/>
  <c r="M4356" i="1" a="1"/>
  <c r="M4356" i="1" s="1"/>
  <c r="M4364" i="1" a="1"/>
  <c r="M4364" i="1" s="1"/>
  <c r="M4372" i="1" a="1"/>
  <c r="M4372" i="1" s="1"/>
  <c r="M4380" i="1" a="1"/>
  <c r="M4380" i="1" s="1"/>
  <c r="M4388" i="1" a="1"/>
  <c r="M4388" i="1" s="1"/>
  <c r="M4396" i="1" a="1"/>
  <c r="M4396" i="1" s="1"/>
  <c r="M4404" i="1" a="1"/>
  <c r="M4404" i="1" s="1"/>
  <c r="M4412" i="1" a="1"/>
  <c r="M4412" i="1" s="1"/>
  <c r="M4420" i="1" a="1"/>
  <c r="M4420" i="1" s="1"/>
  <c r="M4428" i="1" a="1"/>
  <c r="M4428" i="1" s="1"/>
  <c r="M4436" i="1" a="1"/>
  <c r="M4436" i="1" s="1"/>
  <c r="M4444" i="1" a="1"/>
  <c r="M4444" i="1" s="1"/>
  <c r="M4452" i="1" a="1"/>
  <c r="M4452" i="1" s="1"/>
  <c r="M4460" i="1" a="1"/>
  <c r="M4460" i="1" s="1"/>
  <c r="M4468" i="1" a="1"/>
  <c r="M4468" i="1" s="1"/>
  <c r="M4476" i="1" a="1"/>
  <c r="M4476" i="1" s="1"/>
  <c r="M4484" i="1" a="1"/>
  <c r="M4484" i="1" s="1"/>
  <c r="M4492" i="1" a="1"/>
  <c r="M4492" i="1" s="1"/>
  <c r="M4500" i="1" a="1"/>
  <c r="M4500" i="1" s="1"/>
  <c r="M4508" i="1" a="1"/>
  <c r="M4508" i="1" s="1"/>
  <c r="M4516" i="1" a="1"/>
  <c r="M4516" i="1" s="1"/>
  <c r="M4524" i="1" a="1"/>
  <c r="M4524" i="1" s="1"/>
  <c r="M4532" i="1" a="1"/>
  <c r="M4532" i="1" s="1"/>
  <c r="M4540" i="1" a="1"/>
  <c r="M4540" i="1" s="1"/>
  <c r="M4548" i="1" a="1"/>
  <c r="M4548" i="1" s="1"/>
  <c r="M4556" i="1" a="1"/>
  <c r="M4556" i="1" s="1"/>
  <c r="M4564" i="1" a="1"/>
  <c r="M4564" i="1" s="1"/>
  <c r="M4572" i="1" a="1"/>
  <c r="M4572" i="1" s="1"/>
  <c r="M4580" i="1" a="1"/>
  <c r="M4580" i="1" s="1"/>
  <c r="M4588" i="1" a="1"/>
  <c r="M4588" i="1" s="1"/>
  <c r="M4596" i="1" a="1"/>
  <c r="M4596" i="1" s="1"/>
  <c r="M4604" i="1" a="1"/>
  <c r="M4604" i="1" s="1"/>
  <c r="M4612" i="1" a="1"/>
  <c r="M4612" i="1" s="1"/>
  <c r="M4620" i="1" a="1"/>
  <c r="M4620" i="1" s="1"/>
  <c r="M4628" i="1" a="1"/>
  <c r="M4628" i="1" s="1"/>
  <c r="M4636" i="1" a="1"/>
  <c r="M4636" i="1" s="1"/>
  <c r="M4644" i="1" a="1"/>
  <c r="M4644" i="1" s="1"/>
  <c r="M4652" i="1" a="1"/>
  <c r="M4652" i="1" s="1"/>
  <c r="M4660" i="1" a="1"/>
  <c r="M4660" i="1" s="1"/>
  <c r="M4668" i="1" a="1"/>
  <c r="M4668" i="1" s="1"/>
  <c r="M4676" i="1" a="1"/>
  <c r="M4676" i="1" s="1"/>
  <c r="M4684" i="1" a="1"/>
  <c r="M4684" i="1" s="1"/>
  <c r="M4692" i="1" a="1"/>
  <c r="M4692" i="1" s="1"/>
  <c r="M4700" i="1" a="1"/>
  <c r="M4700" i="1" s="1"/>
  <c r="M4708" i="1" a="1"/>
  <c r="M4708" i="1" s="1"/>
  <c r="M4716" i="1" a="1"/>
  <c r="M4716" i="1" s="1"/>
  <c r="M4724" i="1" a="1"/>
  <c r="M4724" i="1" s="1"/>
  <c r="M4732" i="1" a="1"/>
  <c r="M4732" i="1" s="1"/>
  <c r="M4740" i="1" a="1"/>
  <c r="M4740" i="1" s="1"/>
  <c r="M4748" i="1" a="1"/>
  <c r="M4748" i="1" s="1"/>
  <c r="M4756" i="1" a="1"/>
  <c r="M4756" i="1" s="1"/>
  <c r="M4764" i="1" a="1"/>
  <c r="M4764" i="1" s="1"/>
  <c r="M4772" i="1" a="1"/>
  <c r="M4772" i="1" s="1"/>
  <c r="M4780" i="1" a="1"/>
  <c r="M4780" i="1" s="1"/>
  <c r="M4788" i="1" a="1"/>
  <c r="M4788" i="1" s="1"/>
  <c r="M4796" i="1" a="1"/>
  <c r="M4796" i="1" s="1"/>
  <c r="M2033" i="1" a="1"/>
  <c r="M2033" i="1" s="1"/>
  <c r="M2346" i="1" a="1"/>
  <c r="M2346" i="1" s="1"/>
  <c r="M2435" i="1" a="1"/>
  <c r="M2435" i="1" s="1"/>
  <c r="M2500" i="1" a="1"/>
  <c r="M2500" i="1" s="1"/>
  <c r="M2564" i="1" a="1"/>
  <c r="M2564" i="1" s="1"/>
  <c r="M2628" i="1" a="1"/>
  <c r="M2628" i="1" s="1"/>
  <c r="M2692" i="1" a="1"/>
  <c r="M2692" i="1" s="1"/>
  <c r="M2756" i="1" a="1"/>
  <c r="M2756" i="1" s="1"/>
  <c r="M2820" i="1" a="1"/>
  <c r="M2820" i="1" s="1"/>
  <c r="M2884" i="1" a="1"/>
  <c r="M2884" i="1" s="1"/>
  <c r="M2948" i="1" a="1"/>
  <c r="M2948" i="1" s="1"/>
  <c r="M3012" i="1" a="1"/>
  <c r="M3012" i="1" s="1"/>
  <c r="M3076" i="1" a="1"/>
  <c r="M3076" i="1" s="1"/>
  <c r="M3140" i="1" a="1"/>
  <c r="M3140" i="1" s="1"/>
  <c r="M3204" i="1" a="1"/>
  <c r="M3204" i="1" s="1"/>
  <c r="M3268" i="1" a="1"/>
  <c r="M3268" i="1" s="1"/>
  <c r="M3332" i="1" a="1"/>
  <c r="M3332" i="1" s="1"/>
  <c r="M3396" i="1" a="1"/>
  <c r="M3396" i="1" s="1"/>
  <c r="M3454" i="1" a="1"/>
  <c r="M3454" i="1" s="1"/>
  <c r="M3476" i="1" a="1"/>
  <c r="M3476" i="1" s="1"/>
  <c r="M3495" i="1" a="1"/>
  <c r="M3495" i="1" s="1"/>
  <c r="M3518" i="1" a="1"/>
  <c r="M3518" i="1" s="1"/>
  <c r="M3536" i="1" a="1"/>
  <c r="M3536" i="1" s="1"/>
  <c r="M3550" i="1" a="1"/>
  <c r="M3550" i="1" s="1"/>
  <c r="M3564" i="1" a="1"/>
  <c r="M3564" i="1" s="1"/>
  <c r="M3575" i="1" a="1"/>
  <c r="M3575" i="1" s="1"/>
  <c r="M3584" i="1" a="1"/>
  <c r="M3584" i="1" s="1"/>
  <c r="M3594" i="1" a="1"/>
  <c r="M3594" i="1" s="1"/>
  <c r="M3603" i="1" a="1"/>
  <c r="M3603" i="1" s="1"/>
  <c r="M3612" i="1" a="1"/>
  <c r="M3612" i="1" s="1"/>
  <c r="M3621" i="1" a="1"/>
  <c r="M3621" i="1" s="1"/>
  <c r="M3629" i="1" a="1"/>
  <c r="M3629" i="1" s="1"/>
  <c r="M3637" i="1" a="1"/>
  <c r="M3637" i="1" s="1"/>
  <c r="M3645" i="1" a="1"/>
  <c r="M3645" i="1" s="1"/>
  <c r="M3653" i="1" a="1"/>
  <c r="M3653" i="1" s="1"/>
  <c r="M3661" i="1" a="1"/>
  <c r="M3661" i="1" s="1"/>
  <c r="M3669" i="1" a="1"/>
  <c r="M3669" i="1" s="1"/>
  <c r="M3677" i="1" a="1"/>
  <c r="M3677" i="1" s="1"/>
  <c r="M3685" i="1" a="1"/>
  <c r="M3685" i="1" s="1"/>
  <c r="M3693" i="1" a="1"/>
  <c r="M3693" i="1" s="1"/>
  <c r="M3701" i="1" a="1"/>
  <c r="M3701" i="1" s="1"/>
  <c r="M3709" i="1" a="1"/>
  <c r="M3709" i="1" s="1"/>
  <c r="M3717" i="1" a="1"/>
  <c r="M3717" i="1" s="1"/>
  <c r="M3725" i="1" a="1"/>
  <c r="M3725" i="1" s="1"/>
  <c r="M3733" i="1" a="1"/>
  <c r="M3733" i="1" s="1"/>
  <c r="M3741" i="1" a="1"/>
  <c r="M3741" i="1" s="1"/>
  <c r="M3749" i="1" a="1"/>
  <c r="M3749" i="1" s="1"/>
  <c r="M3757" i="1" a="1"/>
  <c r="M3757" i="1" s="1"/>
  <c r="M3765" i="1" a="1"/>
  <c r="M3765" i="1" s="1"/>
  <c r="M3773" i="1" a="1"/>
  <c r="M3773" i="1" s="1"/>
  <c r="M3781" i="1" a="1"/>
  <c r="M3781" i="1" s="1"/>
  <c r="M3789" i="1" a="1"/>
  <c r="M3789" i="1" s="1"/>
  <c r="M3797" i="1" a="1"/>
  <c r="M3797" i="1" s="1"/>
  <c r="M3805" i="1" a="1"/>
  <c r="M3805" i="1" s="1"/>
  <c r="M3813" i="1" a="1"/>
  <c r="M3813" i="1" s="1"/>
  <c r="M3821" i="1" a="1"/>
  <c r="M3821" i="1" s="1"/>
  <c r="M3829" i="1" a="1"/>
  <c r="M3829" i="1" s="1"/>
  <c r="M3837" i="1" a="1"/>
  <c r="M3837" i="1" s="1"/>
  <c r="M3845" i="1" a="1"/>
  <c r="M3845" i="1" s="1"/>
  <c r="M3853" i="1" a="1"/>
  <c r="M3853" i="1" s="1"/>
  <c r="M3861" i="1" a="1"/>
  <c r="M3861" i="1" s="1"/>
  <c r="M3869" i="1" a="1"/>
  <c r="M3869" i="1" s="1"/>
  <c r="M3877" i="1" a="1"/>
  <c r="M3877" i="1" s="1"/>
  <c r="M3885" i="1" a="1"/>
  <c r="M3885" i="1" s="1"/>
  <c r="M3893" i="1" a="1"/>
  <c r="M3893" i="1" s="1"/>
  <c r="M3901" i="1" a="1"/>
  <c r="M3901" i="1" s="1"/>
  <c r="M3909" i="1" a="1"/>
  <c r="M3909" i="1" s="1"/>
  <c r="M3917" i="1" a="1"/>
  <c r="M3917" i="1" s="1"/>
  <c r="M3925" i="1" a="1"/>
  <c r="M3925" i="1" s="1"/>
  <c r="M3933" i="1" a="1"/>
  <c r="M3933" i="1" s="1"/>
  <c r="M3941" i="1" a="1"/>
  <c r="M3941" i="1" s="1"/>
  <c r="M3949" i="1" a="1"/>
  <c r="M3949" i="1" s="1"/>
  <c r="M3957" i="1" a="1"/>
  <c r="M3957" i="1" s="1"/>
  <c r="M3965" i="1" a="1"/>
  <c r="M3965" i="1" s="1"/>
  <c r="M3973" i="1" a="1"/>
  <c r="M3973" i="1" s="1"/>
  <c r="M3981" i="1" a="1"/>
  <c r="M3981" i="1" s="1"/>
  <c r="M3989" i="1" a="1"/>
  <c r="M3989" i="1" s="1"/>
  <c r="M3997" i="1" a="1"/>
  <c r="M3997" i="1" s="1"/>
  <c r="M4005" i="1" a="1"/>
  <c r="M4005" i="1" s="1"/>
  <c r="M4013" i="1" a="1"/>
  <c r="M4013" i="1" s="1"/>
  <c r="M4021" i="1" a="1"/>
  <c r="M4021" i="1" s="1"/>
  <c r="M4029" i="1" a="1"/>
  <c r="M4029" i="1" s="1"/>
  <c r="M4037" i="1" a="1"/>
  <c r="M4037" i="1" s="1"/>
  <c r="M4045" i="1" a="1"/>
  <c r="M4045" i="1" s="1"/>
  <c r="M4053" i="1" a="1"/>
  <c r="M4053" i="1" s="1"/>
  <c r="M4061" i="1" a="1"/>
  <c r="M4061" i="1" s="1"/>
  <c r="M4069" i="1" a="1"/>
  <c r="M4069" i="1" s="1"/>
  <c r="M4077" i="1" a="1"/>
  <c r="M4077" i="1" s="1"/>
  <c r="M4085" i="1" a="1"/>
  <c r="M4085" i="1" s="1"/>
  <c r="M4093" i="1" a="1"/>
  <c r="M4093" i="1" s="1"/>
  <c r="M4101" i="1" a="1"/>
  <c r="M4101" i="1" s="1"/>
  <c r="M4109" i="1" a="1"/>
  <c r="M4109" i="1" s="1"/>
  <c r="M4117" i="1" a="1"/>
  <c r="M4117" i="1" s="1"/>
  <c r="M4125" i="1" a="1"/>
  <c r="M4125" i="1" s="1"/>
  <c r="M4133" i="1" a="1"/>
  <c r="M4133" i="1" s="1"/>
  <c r="M4141" i="1" a="1"/>
  <c r="M4141" i="1" s="1"/>
  <c r="M4149" i="1" a="1"/>
  <c r="M4149" i="1" s="1"/>
  <c r="M4157" i="1" a="1"/>
  <c r="M4157" i="1" s="1"/>
  <c r="M4165" i="1" a="1"/>
  <c r="M4165" i="1" s="1"/>
  <c r="M4173" i="1" a="1"/>
  <c r="M4173" i="1" s="1"/>
  <c r="M4181" i="1" a="1"/>
  <c r="M4181" i="1" s="1"/>
  <c r="M4189" i="1" a="1"/>
  <c r="M4189" i="1" s="1"/>
  <c r="M4197" i="1" a="1"/>
  <c r="M4197" i="1" s="1"/>
  <c r="M4205" i="1" a="1"/>
  <c r="M4205" i="1" s="1"/>
  <c r="M4213" i="1" a="1"/>
  <c r="M4213" i="1" s="1"/>
  <c r="M4221" i="1" a="1"/>
  <c r="M4221" i="1" s="1"/>
  <c r="M4229" i="1" a="1"/>
  <c r="M4229" i="1" s="1"/>
  <c r="M4237" i="1" a="1"/>
  <c r="M4237" i="1" s="1"/>
  <c r="M4245" i="1" a="1"/>
  <c r="M4245" i="1" s="1"/>
  <c r="M4253" i="1" a="1"/>
  <c r="M4253" i="1" s="1"/>
  <c r="M4261" i="1" a="1"/>
  <c r="M4261" i="1" s="1"/>
  <c r="M4269" i="1" a="1"/>
  <c r="M4269" i="1" s="1"/>
  <c r="M4277" i="1" a="1"/>
  <c r="M4277" i="1" s="1"/>
  <c r="M4285" i="1" a="1"/>
  <c r="M4285" i="1" s="1"/>
  <c r="M4293" i="1" a="1"/>
  <c r="M4293" i="1" s="1"/>
  <c r="M4301" i="1" a="1"/>
  <c r="M4301" i="1" s="1"/>
  <c r="M4309" i="1" a="1"/>
  <c r="M4309" i="1" s="1"/>
  <c r="M4317" i="1" a="1"/>
  <c r="M4317" i="1" s="1"/>
  <c r="M4325" i="1" a="1"/>
  <c r="M4325" i="1" s="1"/>
  <c r="M4333" i="1" a="1"/>
  <c r="M4333" i="1" s="1"/>
  <c r="M4341" i="1" a="1"/>
  <c r="M4341" i="1" s="1"/>
  <c r="M4349" i="1" a="1"/>
  <c r="M4349" i="1" s="1"/>
  <c r="M4357" i="1" a="1"/>
  <c r="M4357" i="1" s="1"/>
  <c r="M4365" i="1" a="1"/>
  <c r="M4365" i="1" s="1"/>
  <c r="M4373" i="1" a="1"/>
  <c r="M4373" i="1" s="1"/>
  <c r="M4381" i="1" a="1"/>
  <c r="M4381" i="1" s="1"/>
  <c r="M4389" i="1" a="1"/>
  <c r="M4389" i="1" s="1"/>
  <c r="M4397" i="1" a="1"/>
  <c r="M4397" i="1" s="1"/>
  <c r="M4405" i="1" a="1"/>
  <c r="M4405" i="1" s="1"/>
  <c r="M4413" i="1" a="1"/>
  <c r="M4413" i="1" s="1"/>
  <c r="M4421" i="1" a="1"/>
  <c r="M4421" i="1" s="1"/>
  <c r="M4429" i="1" a="1"/>
  <c r="M4429" i="1" s="1"/>
  <c r="M4437" i="1" a="1"/>
  <c r="M4437" i="1" s="1"/>
  <c r="M4445" i="1" a="1"/>
  <c r="M4445" i="1" s="1"/>
  <c r="M4453" i="1" a="1"/>
  <c r="M4453" i="1" s="1"/>
  <c r="M4461" i="1" a="1"/>
  <c r="M4461" i="1" s="1"/>
  <c r="M4469" i="1" a="1"/>
  <c r="M4469" i="1" s="1"/>
  <c r="M4477" i="1" a="1"/>
  <c r="M4477" i="1" s="1"/>
  <c r="M4485" i="1" a="1"/>
  <c r="M4485" i="1" s="1"/>
  <c r="M4493" i="1" a="1"/>
  <c r="M4493" i="1" s="1"/>
  <c r="M4501" i="1" a="1"/>
  <c r="M4501" i="1" s="1"/>
  <c r="M4509" i="1" a="1"/>
  <c r="M4509" i="1" s="1"/>
  <c r="M4517" i="1" a="1"/>
  <c r="M4517" i="1" s="1"/>
  <c r="M4525" i="1" a="1"/>
  <c r="M4525" i="1" s="1"/>
  <c r="M4533" i="1" a="1"/>
  <c r="M4533" i="1" s="1"/>
  <c r="M4541" i="1" a="1"/>
  <c r="M4541" i="1" s="1"/>
  <c r="M4549" i="1" a="1"/>
  <c r="M4549" i="1" s="1"/>
  <c r="M4557" i="1" a="1"/>
  <c r="M4557" i="1" s="1"/>
  <c r="M4565" i="1" a="1"/>
  <c r="M4565" i="1" s="1"/>
  <c r="M4573" i="1" a="1"/>
  <c r="M4573" i="1" s="1"/>
  <c r="M4581" i="1" a="1"/>
  <c r="M4581" i="1" s="1"/>
  <c r="M4589" i="1" a="1"/>
  <c r="M4589" i="1" s="1"/>
  <c r="M4597" i="1" a="1"/>
  <c r="M4597" i="1" s="1"/>
  <c r="M4605" i="1" a="1"/>
  <c r="M4605" i="1" s="1"/>
  <c r="M4613" i="1" a="1"/>
  <c r="M4613" i="1" s="1"/>
  <c r="M4621" i="1" a="1"/>
  <c r="M4621" i="1" s="1"/>
  <c r="M4629" i="1" a="1"/>
  <c r="M4629" i="1" s="1"/>
  <c r="M4637" i="1" a="1"/>
  <c r="M4637" i="1" s="1"/>
  <c r="M4645" i="1" a="1"/>
  <c r="M4645" i="1" s="1"/>
  <c r="M4653" i="1" a="1"/>
  <c r="M4653" i="1" s="1"/>
  <c r="M4661" i="1" a="1"/>
  <c r="M4661" i="1" s="1"/>
  <c r="M4669" i="1" a="1"/>
  <c r="M4669" i="1" s="1"/>
  <c r="M4677" i="1" a="1"/>
  <c r="M4677" i="1" s="1"/>
  <c r="M4685" i="1" a="1"/>
  <c r="M4685" i="1" s="1"/>
  <c r="M4693" i="1" a="1"/>
  <c r="M4693" i="1" s="1"/>
  <c r="M4701" i="1" a="1"/>
  <c r="M4701" i="1" s="1"/>
  <c r="M4709" i="1" a="1"/>
  <c r="M4709" i="1" s="1"/>
  <c r="M4717" i="1" a="1"/>
  <c r="M4717" i="1" s="1"/>
  <c r="M4725" i="1" a="1"/>
  <c r="M4725" i="1" s="1"/>
  <c r="M4733" i="1" a="1"/>
  <c r="M4733" i="1" s="1"/>
  <c r="M2097" i="1" a="1"/>
  <c r="M2097" i="1" s="1"/>
  <c r="M2359" i="1" a="1"/>
  <c r="M2359" i="1" s="1"/>
  <c r="M2444" i="1" a="1"/>
  <c r="M2444" i="1" s="1"/>
  <c r="M2508" i="1" a="1"/>
  <c r="M2508" i="1" s="1"/>
  <c r="M2572" i="1" a="1"/>
  <c r="M2572" i="1" s="1"/>
  <c r="M2636" i="1" a="1"/>
  <c r="M2636" i="1" s="1"/>
  <c r="M2700" i="1" a="1"/>
  <c r="M2700" i="1" s="1"/>
  <c r="M2764" i="1" a="1"/>
  <c r="M2764" i="1" s="1"/>
  <c r="M2828" i="1" a="1"/>
  <c r="M2828" i="1" s="1"/>
  <c r="M2892" i="1" a="1"/>
  <c r="M2892" i="1" s="1"/>
  <c r="M2956" i="1" a="1"/>
  <c r="M2956" i="1" s="1"/>
  <c r="M3020" i="1" a="1"/>
  <c r="M3020" i="1" s="1"/>
  <c r="M3084" i="1" a="1"/>
  <c r="M3084" i="1" s="1"/>
  <c r="M3148" i="1" a="1"/>
  <c r="M3148" i="1" s="1"/>
  <c r="M3212" i="1" a="1"/>
  <c r="M3212" i="1" s="1"/>
  <c r="M3276" i="1" a="1"/>
  <c r="M3276" i="1" s="1"/>
  <c r="M3340" i="1" a="1"/>
  <c r="M3340" i="1" s="1"/>
  <c r="M3404" i="1" a="1"/>
  <c r="M3404" i="1" s="1"/>
  <c r="M3455" i="1" a="1"/>
  <c r="M3455" i="1" s="1"/>
  <c r="M3478" i="1" a="1"/>
  <c r="M3478" i="1" s="1"/>
  <c r="M3500" i="1" a="1"/>
  <c r="M3500" i="1" s="1"/>
  <c r="M3519" i="1" a="1"/>
  <c r="M3519" i="1" s="1"/>
  <c r="M3540" i="1" a="1"/>
  <c r="M3540" i="1" s="1"/>
  <c r="M3551" i="1" a="1"/>
  <c r="M3551" i="1" s="1"/>
  <c r="M3565" i="1" a="1"/>
  <c r="M3565" i="1" s="1"/>
  <c r="M3576" i="1" a="1"/>
  <c r="M3576" i="1" s="1"/>
  <c r="M3586" i="1" a="1"/>
  <c r="M3586" i="1" s="1"/>
  <c r="M3595" i="1" a="1"/>
  <c r="M3595" i="1" s="1"/>
  <c r="M3604" i="1" a="1"/>
  <c r="M3604" i="1" s="1"/>
  <c r="M3613" i="1" a="1"/>
  <c r="M3613" i="1" s="1"/>
  <c r="M3622" i="1" a="1"/>
  <c r="M3622" i="1" s="1"/>
  <c r="M3630" i="1" a="1"/>
  <c r="M3630" i="1" s="1"/>
  <c r="M3638" i="1" a="1"/>
  <c r="M3638" i="1" s="1"/>
  <c r="M3646" i="1" a="1"/>
  <c r="M3646" i="1" s="1"/>
  <c r="M3654" i="1" a="1"/>
  <c r="M3654" i="1" s="1"/>
  <c r="M3662" i="1" a="1"/>
  <c r="M3662" i="1" s="1"/>
  <c r="M3670" i="1" a="1"/>
  <c r="M3670" i="1" s="1"/>
  <c r="M3678" i="1" a="1"/>
  <c r="M3678" i="1" s="1"/>
  <c r="M3686" i="1" a="1"/>
  <c r="M3686" i="1" s="1"/>
  <c r="M3694" i="1" a="1"/>
  <c r="M3694" i="1" s="1"/>
  <c r="M3702" i="1" a="1"/>
  <c r="M3702" i="1" s="1"/>
  <c r="M3710" i="1" a="1"/>
  <c r="M3710" i="1" s="1"/>
  <c r="M3718" i="1" a="1"/>
  <c r="M3718" i="1" s="1"/>
  <c r="M3726" i="1" a="1"/>
  <c r="M3726" i="1" s="1"/>
  <c r="M3734" i="1" a="1"/>
  <c r="M3734" i="1" s="1"/>
  <c r="M3742" i="1" a="1"/>
  <c r="M3742" i="1" s="1"/>
  <c r="M3750" i="1" a="1"/>
  <c r="M3750" i="1" s="1"/>
  <c r="M3758" i="1" a="1"/>
  <c r="M3758" i="1" s="1"/>
  <c r="M3766" i="1" a="1"/>
  <c r="M3766" i="1" s="1"/>
  <c r="M3774" i="1" a="1"/>
  <c r="M3774" i="1" s="1"/>
  <c r="M3782" i="1" a="1"/>
  <c r="M3782" i="1" s="1"/>
  <c r="M3790" i="1" a="1"/>
  <c r="M3790" i="1" s="1"/>
  <c r="M3798" i="1" a="1"/>
  <c r="M3798" i="1" s="1"/>
  <c r="M3806" i="1" a="1"/>
  <c r="M3806" i="1" s="1"/>
  <c r="M3814" i="1" a="1"/>
  <c r="M3814" i="1" s="1"/>
  <c r="M3822" i="1" a="1"/>
  <c r="M3822" i="1" s="1"/>
  <c r="M3830" i="1" a="1"/>
  <c r="M3830" i="1" s="1"/>
  <c r="M3838" i="1" a="1"/>
  <c r="M3838" i="1" s="1"/>
  <c r="M3846" i="1" a="1"/>
  <c r="M3846" i="1" s="1"/>
  <c r="M3854" i="1" a="1"/>
  <c r="M3854" i="1" s="1"/>
  <c r="M3862" i="1" a="1"/>
  <c r="M3862" i="1" s="1"/>
  <c r="M3870" i="1" a="1"/>
  <c r="M3870" i="1" s="1"/>
  <c r="M3878" i="1" a="1"/>
  <c r="M3878" i="1" s="1"/>
  <c r="M3886" i="1" a="1"/>
  <c r="M3886" i="1" s="1"/>
  <c r="M3894" i="1" a="1"/>
  <c r="M3894" i="1" s="1"/>
  <c r="M3902" i="1" a="1"/>
  <c r="M3902" i="1" s="1"/>
  <c r="M3910" i="1" a="1"/>
  <c r="M3910" i="1" s="1"/>
  <c r="M3918" i="1" a="1"/>
  <c r="M3918" i="1" s="1"/>
  <c r="M3926" i="1" a="1"/>
  <c r="M3926" i="1" s="1"/>
  <c r="M3934" i="1" a="1"/>
  <c r="M3934" i="1" s="1"/>
  <c r="M3942" i="1" a="1"/>
  <c r="M3942" i="1" s="1"/>
  <c r="M3950" i="1" a="1"/>
  <c r="M3950" i="1" s="1"/>
  <c r="M3958" i="1" a="1"/>
  <c r="M3958" i="1" s="1"/>
  <c r="M3966" i="1" a="1"/>
  <c r="M3966" i="1" s="1"/>
  <c r="M3974" i="1" a="1"/>
  <c r="M3974" i="1" s="1"/>
  <c r="M3982" i="1" a="1"/>
  <c r="M3982" i="1" s="1"/>
  <c r="M3990" i="1" a="1"/>
  <c r="M3990" i="1" s="1"/>
  <c r="M3998" i="1" a="1"/>
  <c r="M3998" i="1" s="1"/>
  <c r="M4006" i="1" a="1"/>
  <c r="M4006" i="1" s="1"/>
  <c r="M4014" i="1" a="1"/>
  <c r="M4014" i="1" s="1"/>
  <c r="M4022" i="1" a="1"/>
  <c r="M4022" i="1" s="1"/>
  <c r="M4030" i="1" a="1"/>
  <c r="M4030" i="1" s="1"/>
  <c r="M4038" i="1" a="1"/>
  <c r="M4038" i="1" s="1"/>
  <c r="M4046" i="1" a="1"/>
  <c r="M4046" i="1" s="1"/>
  <c r="M4054" i="1" a="1"/>
  <c r="M4054" i="1" s="1"/>
  <c r="M4062" i="1" a="1"/>
  <c r="M4062" i="1" s="1"/>
  <c r="M4070" i="1" a="1"/>
  <c r="M4070" i="1" s="1"/>
  <c r="M4078" i="1" a="1"/>
  <c r="M4078" i="1" s="1"/>
  <c r="M4086" i="1" a="1"/>
  <c r="M4086" i="1" s="1"/>
  <c r="M4094" i="1" a="1"/>
  <c r="M4094" i="1" s="1"/>
  <c r="M4102" i="1" a="1"/>
  <c r="M4102" i="1" s="1"/>
  <c r="M4110" i="1" a="1"/>
  <c r="M4110" i="1" s="1"/>
  <c r="M4118" i="1" a="1"/>
  <c r="M4118" i="1" s="1"/>
  <c r="M4126" i="1" a="1"/>
  <c r="M4126" i="1" s="1"/>
  <c r="M4134" i="1" a="1"/>
  <c r="M4134" i="1" s="1"/>
  <c r="M4142" i="1" a="1"/>
  <c r="M4142" i="1" s="1"/>
  <c r="M4150" i="1" a="1"/>
  <c r="M4150" i="1" s="1"/>
  <c r="M4158" i="1" a="1"/>
  <c r="M4158" i="1" s="1"/>
  <c r="M4166" i="1" a="1"/>
  <c r="M4166" i="1" s="1"/>
  <c r="M4174" i="1" a="1"/>
  <c r="M4174" i="1" s="1"/>
  <c r="M4182" i="1" a="1"/>
  <c r="M4182" i="1" s="1"/>
  <c r="M4190" i="1" a="1"/>
  <c r="M4190" i="1" s="1"/>
  <c r="M4198" i="1" a="1"/>
  <c r="M4198" i="1" s="1"/>
  <c r="M4206" i="1" a="1"/>
  <c r="M4206" i="1" s="1"/>
  <c r="M4214" i="1" a="1"/>
  <c r="M4214" i="1" s="1"/>
  <c r="M4222" i="1" a="1"/>
  <c r="M4222" i="1" s="1"/>
  <c r="M4230" i="1" a="1"/>
  <c r="M4230" i="1" s="1"/>
  <c r="M4238" i="1" a="1"/>
  <c r="M4238" i="1" s="1"/>
  <c r="M4246" i="1" a="1"/>
  <c r="M4246" i="1" s="1"/>
  <c r="M4254" i="1" a="1"/>
  <c r="M4254" i="1" s="1"/>
  <c r="M4262" i="1" a="1"/>
  <c r="M4262" i="1" s="1"/>
  <c r="M4270" i="1" a="1"/>
  <c r="M4270" i="1" s="1"/>
  <c r="M4278" i="1" a="1"/>
  <c r="M4278" i="1" s="1"/>
  <c r="M4286" i="1" a="1"/>
  <c r="M4286" i="1" s="1"/>
  <c r="M4294" i="1" a="1"/>
  <c r="M4294" i="1" s="1"/>
  <c r="M4302" i="1" a="1"/>
  <c r="M4302" i="1" s="1"/>
  <c r="M4310" i="1" a="1"/>
  <c r="M4310" i="1" s="1"/>
  <c r="M4318" i="1" a="1"/>
  <c r="M4318" i="1" s="1"/>
  <c r="M4326" i="1" a="1"/>
  <c r="M4326" i="1" s="1"/>
  <c r="M4334" i="1" a="1"/>
  <c r="M4334" i="1" s="1"/>
  <c r="M4342" i="1" a="1"/>
  <c r="M4342" i="1" s="1"/>
  <c r="M4350" i="1" a="1"/>
  <c r="M4350" i="1" s="1"/>
  <c r="M4358" i="1" a="1"/>
  <c r="M4358" i="1" s="1"/>
  <c r="M4366" i="1" a="1"/>
  <c r="M4366" i="1" s="1"/>
  <c r="M4374" i="1" a="1"/>
  <c r="M4374" i="1" s="1"/>
  <c r="M4382" i="1" a="1"/>
  <c r="M4382" i="1" s="1"/>
  <c r="M4390" i="1" a="1"/>
  <c r="M4390" i="1" s="1"/>
  <c r="M4398" i="1" a="1"/>
  <c r="M4398" i="1" s="1"/>
  <c r="M4406" i="1" a="1"/>
  <c r="M4406" i="1" s="1"/>
  <c r="M4414" i="1" a="1"/>
  <c r="M4414" i="1" s="1"/>
  <c r="M4422" i="1" a="1"/>
  <c r="M4422" i="1" s="1"/>
  <c r="M4430" i="1" a="1"/>
  <c r="M4430" i="1" s="1"/>
  <c r="M4438" i="1" a="1"/>
  <c r="M4438" i="1" s="1"/>
  <c r="M4446" i="1" a="1"/>
  <c r="M4446" i="1" s="1"/>
  <c r="M4454" i="1" a="1"/>
  <c r="M4454" i="1" s="1"/>
  <c r="M4462" i="1" a="1"/>
  <c r="M4462" i="1" s="1"/>
  <c r="M4470" i="1" a="1"/>
  <c r="M4470" i="1" s="1"/>
  <c r="M4478" i="1" a="1"/>
  <c r="M4478" i="1" s="1"/>
  <c r="M4486" i="1" a="1"/>
  <c r="M4486" i="1" s="1"/>
  <c r="M4494" i="1" a="1"/>
  <c r="M4494" i="1" s="1"/>
  <c r="M4502" i="1" a="1"/>
  <c r="M4502" i="1" s="1"/>
  <c r="M4510" i="1" a="1"/>
  <c r="M4510" i="1" s="1"/>
  <c r="M4518" i="1" a="1"/>
  <c r="M4518" i="1" s="1"/>
  <c r="M4526" i="1" a="1"/>
  <c r="M4526" i="1" s="1"/>
  <c r="M4534" i="1" a="1"/>
  <c r="M4534" i="1" s="1"/>
  <c r="M4542" i="1" a="1"/>
  <c r="M4542" i="1" s="1"/>
  <c r="M4550" i="1" a="1"/>
  <c r="M4550" i="1" s="1"/>
  <c r="M4558" i="1" a="1"/>
  <c r="M4558" i="1" s="1"/>
  <c r="M4566" i="1" a="1"/>
  <c r="M4566" i="1" s="1"/>
  <c r="M4574" i="1" a="1"/>
  <c r="M4574" i="1" s="1"/>
  <c r="M4582" i="1" a="1"/>
  <c r="M4582" i="1" s="1"/>
  <c r="M4590" i="1" a="1"/>
  <c r="M4590" i="1" s="1"/>
  <c r="M4598" i="1" a="1"/>
  <c r="M4598" i="1" s="1"/>
  <c r="M4606" i="1" a="1"/>
  <c r="M4606" i="1" s="1"/>
  <c r="M4614" i="1" a="1"/>
  <c r="M4614" i="1" s="1"/>
  <c r="M4622" i="1" a="1"/>
  <c r="M4622" i="1" s="1"/>
  <c r="M4630" i="1" a="1"/>
  <c r="M4630" i="1" s="1"/>
  <c r="M4638" i="1" a="1"/>
  <c r="M4638" i="1" s="1"/>
  <c r="M4646" i="1" a="1"/>
  <c r="M4646" i="1" s="1"/>
  <c r="M4654" i="1" a="1"/>
  <c r="M4654" i="1" s="1"/>
  <c r="M4662" i="1" a="1"/>
  <c r="M4662" i="1" s="1"/>
  <c r="M4670" i="1" a="1"/>
  <c r="M4670" i="1" s="1"/>
  <c r="M4678" i="1" a="1"/>
  <c r="M4678" i="1" s="1"/>
  <c r="M4686" i="1" a="1"/>
  <c r="M4686" i="1" s="1"/>
  <c r="M4694" i="1" a="1"/>
  <c r="M4694" i="1" s="1"/>
  <c r="M4702" i="1" a="1"/>
  <c r="M4702" i="1" s="1"/>
  <c r="M4710" i="1" a="1"/>
  <c r="M4710" i="1" s="1"/>
  <c r="M4718" i="1" a="1"/>
  <c r="M4718" i="1" s="1"/>
  <c r="M4726" i="1" a="1"/>
  <c r="M4726" i="1" s="1"/>
  <c r="M2161" i="1" a="1"/>
  <c r="M2161" i="1" s="1"/>
  <c r="M2836" i="1" a="1"/>
  <c r="M2836" i="1" s="1"/>
  <c r="M3348" i="1" a="1"/>
  <c r="M3348" i="1" s="1"/>
  <c r="M3566" i="1" a="1"/>
  <c r="M3566" i="1" s="1"/>
  <c r="M3639" i="1" a="1"/>
  <c r="M3639" i="1" s="1"/>
  <c r="M3703" i="1" a="1"/>
  <c r="M3703" i="1" s="1"/>
  <c r="M3767" i="1" a="1"/>
  <c r="M3767" i="1" s="1"/>
  <c r="M3831" i="1" a="1"/>
  <c r="M3831" i="1" s="1"/>
  <c r="M3895" i="1" a="1"/>
  <c r="M3895" i="1" s="1"/>
  <c r="M3959" i="1" a="1"/>
  <c r="M3959" i="1" s="1"/>
  <c r="M4023" i="1" a="1"/>
  <c r="M4023" i="1" s="1"/>
  <c r="M4087" i="1" a="1"/>
  <c r="M4087" i="1" s="1"/>
  <c r="M4151" i="1" a="1"/>
  <c r="M4151" i="1" s="1"/>
  <c r="M4215" i="1" a="1"/>
  <c r="M4215" i="1" s="1"/>
  <c r="M4279" i="1" a="1"/>
  <c r="M4279" i="1" s="1"/>
  <c r="M4343" i="1" a="1"/>
  <c r="M4343" i="1" s="1"/>
  <c r="M4407" i="1" a="1"/>
  <c r="M4407" i="1" s="1"/>
  <c r="M4471" i="1" a="1"/>
  <c r="M4471" i="1" s="1"/>
  <c r="M4535" i="1" a="1"/>
  <c r="M4535" i="1" s="1"/>
  <c r="M4599" i="1" a="1"/>
  <c r="M4599" i="1" s="1"/>
  <c r="M4650" i="1" a="1"/>
  <c r="M4650" i="1" s="1"/>
  <c r="M4673" i="1" a="1"/>
  <c r="M4673" i="1" s="1"/>
  <c r="M4695" i="1" a="1"/>
  <c r="M4695" i="1" s="1"/>
  <c r="M4714" i="1" a="1"/>
  <c r="M4714" i="1" s="1"/>
  <c r="M4730" i="1" a="1"/>
  <c r="M4730" i="1" s="1"/>
  <c r="M4741" i="1" a="1"/>
  <c r="M4741" i="1" s="1"/>
  <c r="M4750" i="1" a="1"/>
  <c r="M4750" i="1" s="1"/>
  <c r="M4759" i="1" a="1"/>
  <c r="M4759" i="1" s="1"/>
  <c r="M4768" i="1" a="1"/>
  <c r="M4768" i="1" s="1"/>
  <c r="M4777" i="1" a="1"/>
  <c r="M4777" i="1" s="1"/>
  <c r="M4786" i="1" a="1"/>
  <c r="M4786" i="1" s="1"/>
  <c r="M4795" i="1" a="1"/>
  <c r="M4795" i="1" s="1"/>
  <c r="M4804" i="1" a="1"/>
  <c r="M4804" i="1" s="1"/>
  <c r="M4812" i="1" a="1"/>
  <c r="M4812" i="1" s="1"/>
  <c r="M4820" i="1" a="1"/>
  <c r="M4820" i="1" s="1"/>
  <c r="M4828" i="1" a="1"/>
  <c r="M4828" i="1" s="1"/>
  <c r="M4836" i="1" a="1"/>
  <c r="M4836" i="1" s="1"/>
  <c r="M4844" i="1" a="1"/>
  <c r="M4844" i="1" s="1"/>
  <c r="M4852" i="1" a="1"/>
  <c r="M4852" i="1" s="1"/>
  <c r="M4860" i="1" a="1"/>
  <c r="M4860" i="1" s="1"/>
  <c r="M4868" i="1" a="1"/>
  <c r="M4868" i="1" s="1"/>
  <c r="M4876" i="1" a="1"/>
  <c r="M4876" i="1" s="1"/>
  <c r="M4884" i="1" a="1"/>
  <c r="M4884" i="1" s="1"/>
  <c r="M4892" i="1" a="1"/>
  <c r="M4892" i="1" s="1"/>
  <c r="M4900" i="1" a="1"/>
  <c r="M4900" i="1" s="1"/>
  <c r="M4908" i="1" a="1"/>
  <c r="M4908" i="1" s="1"/>
  <c r="M4916" i="1" a="1"/>
  <c r="M4916" i="1" s="1"/>
  <c r="M4924" i="1" a="1"/>
  <c r="M4924" i="1" s="1"/>
  <c r="M4932" i="1" a="1"/>
  <c r="M4932" i="1" s="1"/>
  <c r="M4940" i="1" a="1"/>
  <c r="M4940" i="1" s="1"/>
  <c r="M4948" i="1" a="1"/>
  <c r="M4948" i="1" s="1"/>
  <c r="M4956" i="1" a="1"/>
  <c r="M4956" i="1" s="1"/>
  <c r="M4964" i="1" a="1"/>
  <c r="M4964" i="1" s="1"/>
  <c r="M4972" i="1" a="1"/>
  <c r="M4972" i="1" s="1"/>
  <c r="M4980" i="1" a="1"/>
  <c r="M4980" i="1" s="1"/>
  <c r="M4988" i="1" a="1"/>
  <c r="M4988" i="1" s="1"/>
  <c r="M4996" i="1" a="1"/>
  <c r="M4996" i="1" s="1"/>
  <c r="M5004" i="1" a="1"/>
  <c r="M5004" i="1" s="1"/>
  <c r="M5012" i="1" a="1"/>
  <c r="M5012" i="1" s="1"/>
  <c r="M5020" i="1" a="1"/>
  <c r="M5020" i="1" s="1"/>
  <c r="M5028" i="1" a="1"/>
  <c r="M5028" i="1" s="1"/>
  <c r="M5036" i="1" a="1"/>
  <c r="M5036" i="1" s="1"/>
  <c r="M5044" i="1" a="1"/>
  <c r="M5044" i="1" s="1"/>
  <c r="M5052" i="1" a="1"/>
  <c r="M5052" i="1" s="1"/>
  <c r="M5060" i="1" a="1"/>
  <c r="M5060" i="1" s="1"/>
  <c r="M5068" i="1" a="1"/>
  <c r="M5068" i="1" s="1"/>
  <c r="M5076" i="1" a="1"/>
  <c r="M5076" i="1" s="1"/>
  <c r="M5084" i="1" a="1"/>
  <c r="M5084" i="1" s="1"/>
  <c r="M5092" i="1" a="1"/>
  <c r="M5092" i="1" s="1"/>
  <c r="M5100" i="1" a="1"/>
  <c r="M5100" i="1" s="1"/>
  <c r="M5108" i="1" a="1"/>
  <c r="M5108" i="1" s="1"/>
  <c r="M5116" i="1" a="1"/>
  <c r="M5116" i="1" s="1"/>
  <c r="M5124" i="1" a="1"/>
  <c r="M5124" i="1" s="1"/>
  <c r="M5132" i="1" a="1"/>
  <c r="M5132" i="1" s="1"/>
  <c r="M5140" i="1" a="1"/>
  <c r="M5140" i="1" s="1"/>
  <c r="M5148" i="1" a="1"/>
  <c r="M5148" i="1" s="1"/>
  <c r="M5156" i="1" a="1"/>
  <c r="M5156" i="1" s="1"/>
  <c r="M5164" i="1" a="1"/>
  <c r="M5164" i="1" s="1"/>
  <c r="M5172" i="1" a="1"/>
  <c r="M5172" i="1" s="1"/>
  <c r="M5180" i="1" a="1"/>
  <c r="M5180" i="1" s="1"/>
  <c r="M5188" i="1" a="1"/>
  <c r="M5188" i="1" s="1"/>
  <c r="M5196" i="1" a="1"/>
  <c r="M5196" i="1" s="1"/>
  <c r="M5204" i="1" a="1"/>
  <c r="M5204" i="1" s="1"/>
  <c r="M5212" i="1" a="1"/>
  <c r="M5212" i="1" s="1"/>
  <c r="M5220" i="1" a="1"/>
  <c r="M5220" i="1" s="1"/>
  <c r="M5228" i="1" a="1"/>
  <c r="M5228" i="1" s="1"/>
  <c r="M5236" i="1" a="1"/>
  <c r="M5236" i="1" s="1"/>
  <c r="M5244" i="1" a="1"/>
  <c r="M5244" i="1" s="1"/>
  <c r="M5252" i="1" a="1"/>
  <c r="M5252" i="1" s="1"/>
  <c r="M5260" i="1" a="1"/>
  <c r="M5260" i="1" s="1"/>
  <c r="M5268" i="1" a="1"/>
  <c r="M5268" i="1" s="1"/>
  <c r="M5276" i="1" a="1"/>
  <c r="M5276" i="1" s="1"/>
  <c r="M5284" i="1" a="1"/>
  <c r="M5284" i="1" s="1"/>
  <c r="M5292" i="1" a="1"/>
  <c r="M5292" i="1" s="1"/>
  <c r="M5300" i="1" a="1"/>
  <c r="M5300" i="1" s="1"/>
  <c r="M5308" i="1" a="1"/>
  <c r="M5308" i="1" s="1"/>
  <c r="M5316" i="1" a="1"/>
  <c r="M5316" i="1" s="1"/>
  <c r="M5324" i="1" a="1"/>
  <c r="M5324" i="1" s="1"/>
  <c r="M5332" i="1" a="1"/>
  <c r="M5332" i="1" s="1"/>
  <c r="M5340" i="1" a="1"/>
  <c r="M5340" i="1" s="1"/>
  <c r="M5348" i="1" a="1"/>
  <c r="M5348" i="1" s="1"/>
  <c r="M5356" i="1" a="1"/>
  <c r="M5356" i="1" s="1"/>
  <c r="M5364" i="1" a="1"/>
  <c r="M5364" i="1" s="1"/>
  <c r="M5372" i="1" a="1"/>
  <c r="M5372" i="1" s="1"/>
  <c r="M5380" i="1" a="1"/>
  <c r="M5380" i="1" s="1"/>
  <c r="M5388" i="1" a="1"/>
  <c r="M5388" i="1" s="1"/>
  <c r="M5396" i="1" a="1"/>
  <c r="M5396" i="1" s="1"/>
  <c r="M5404" i="1" a="1"/>
  <c r="M5404" i="1" s="1"/>
  <c r="M5412" i="1" a="1"/>
  <c r="M5412" i="1" s="1"/>
  <c r="M5420" i="1" a="1"/>
  <c r="M5420" i="1" s="1"/>
  <c r="M5428" i="1" a="1"/>
  <c r="M5428" i="1" s="1"/>
  <c r="M5436" i="1" a="1"/>
  <c r="M5436" i="1" s="1"/>
  <c r="M5444" i="1" a="1"/>
  <c r="M5444" i="1" s="1"/>
  <c r="M5452" i="1" a="1"/>
  <c r="M5452" i="1" s="1"/>
  <c r="M5460" i="1" a="1"/>
  <c r="M5460" i="1" s="1"/>
  <c r="M5468" i="1" a="1"/>
  <c r="M5468" i="1" s="1"/>
  <c r="M5476" i="1" a="1"/>
  <c r="M5476" i="1" s="1"/>
  <c r="M5484" i="1" a="1"/>
  <c r="M5484" i="1" s="1"/>
  <c r="M5492" i="1" a="1"/>
  <c r="M5492" i="1" s="1"/>
  <c r="M5500" i="1" a="1"/>
  <c r="M5500" i="1" s="1"/>
  <c r="M5508" i="1" a="1"/>
  <c r="M5508" i="1" s="1"/>
  <c r="M5516" i="1" a="1"/>
  <c r="M5516" i="1" s="1"/>
  <c r="M5524" i="1" a="1"/>
  <c r="M5524" i="1" s="1"/>
  <c r="M5532" i="1" a="1"/>
  <c r="M5532" i="1" s="1"/>
  <c r="M5540" i="1" a="1"/>
  <c r="M5540" i="1" s="1"/>
  <c r="M5548" i="1" a="1"/>
  <c r="M5548" i="1" s="1"/>
  <c r="M5556" i="1" a="1"/>
  <c r="M5556" i="1" s="1"/>
  <c r="M5564" i="1" a="1"/>
  <c r="M5564" i="1" s="1"/>
  <c r="M5572" i="1" a="1"/>
  <c r="M5572" i="1" s="1"/>
  <c r="M5580" i="1" a="1"/>
  <c r="M5580" i="1" s="1"/>
  <c r="M5588" i="1" a="1"/>
  <c r="M5588" i="1" s="1"/>
  <c r="M5596" i="1" a="1"/>
  <c r="M5596" i="1" s="1"/>
  <c r="M5604" i="1" a="1"/>
  <c r="M5604" i="1" s="1"/>
  <c r="M5612" i="1" a="1"/>
  <c r="M5612" i="1" s="1"/>
  <c r="M5620" i="1" a="1"/>
  <c r="M5620" i="1" s="1"/>
  <c r="M5628" i="1" a="1"/>
  <c r="M5628" i="1" s="1"/>
  <c r="M5636" i="1" a="1"/>
  <c r="M5636" i="1" s="1"/>
  <c r="M5644" i="1" a="1"/>
  <c r="M5644" i="1" s="1"/>
  <c r="M5652" i="1" a="1"/>
  <c r="M5652" i="1" s="1"/>
  <c r="M5660" i="1" a="1"/>
  <c r="M5660" i="1" s="1"/>
  <c r="M5668" i="1" a="1"/>
  <c r="M5668" i="1" s="1"/>
  <c r="M5676" i="1" a="1"/>
  <c r="M5676" i="1" s="1"/>
  <c r="M5684" i="1" a="1"/>
  <c r="M5684" i="1" s="1"/>
  <c r="M5692" i="1" a="1"/>
  <c r="M5692" i="1" s="1"/>
  <c r="M5700" i="1" a="1"/>
  <c r="M5700" i="1" s="1"/>
  <c r="M5708" i="1" a="1"/>
  <c r="M5708" i="1" s="1"/>
  <c r="M5716" i="1" a="1"/>
  <c r="M5716" i="1" s="1"/>
  <c r="M5724" i="1" a="1"/>
  <c r="M5724" i="1" s="1"/>
  <c r="M5732" i="1" a="1"/>
  <c r="M5732" i="1" s="1"/>
  <c r="M5740" i="1" a="1"/>
  <c r="M5740" i="1" s="1"/>
  <c r="M5748" i="1" a="1"/>
  <c r="M5748" i="1" s="1"/>
  <c r="M5756" i="1" a="1"/>
  <c r="M5756" i="1" s="1"/>
  <c r="M5764" i="1" a="1"/>
  <c r="M5764" i="1" s="1"/>
  <c r="M5772" i="1" a="1"/>
  <c r="M5772" i="1" s="1"/>
  <c r="M5780" i="1" a="1"/>
  <c r="M5780" i="1" s="1"/>
  <c r="M5788" i="1" a="1"/>
  <c r="M5788" i="1" s="1"/>
  <c r="M5796" i="1" a="1"/>
  <c r="M5796" i="1" s="1"/>
  <c r="M5804" i="1" a="1"/>
  <c r="M5804" i="1" s="1"/>
  <c r="M5812" i="1" a="1"/>
  <c r="M5812" i="1" s="1"/>
  <c r="M5820" i="1" a="1"/>
  <c r="M5820" i="1" s="1"/>
  <c r="M5828" i="1" a="1"/>
  <c r="M5828" i="1" s="1"/>
  <c r="M2371" i="1" a="1"/>
  <c r="M2371" i="1" s="1"/>
  <c r="M2900" i="1" a="1"/>
  <c r="M2900" i="1" s="1"/>
  <c r="M3412" i="1" a="1"/>
  <c r="M3412" i="1" s="1"/>
  <c r="M3578" i="1" a="1"/>
  <c r="M3578" i="1" s="1"/>
  <c r="M3647" i="1" a="1"/>
  <c r="M3647" i="1" s="1"/>
  <c r="M3711" i="1" a="1"/>
  <c r="M3711" i="1" s="1"/>
  <c r="M3775" i="1" a="1"/>
  <c r="M3775" i="1" s="1"/>
  <c r="M3839" i="1" a="1"/>
  <c r="M3839" i="1" s="1"/>
  <c r="M3903" i="1" a="1"/>
  <c r="M3903" i="1" s="1"/>
  <c r="M3967" i="1" a="1"/>
  <c r="M3967" i="1" s="1"/>
  <c r="M4031" i="1" a="1"/>
  <c r="M4031" i="1" s="1"/>
  <c r="M4095" i="1" a="1"/>
  <c r="M4095" i="1" s="1"/>
  <c r="M4159" i="1" a="1"/>
  <c r="M4159" i="1" s="1"/>
  <c r="M4223" i="1" a="1"/>
  <c r="M4223" i="1" s="1"/>
  <c r="M4287" i="1" a="1"/>
  <c r="M4287" i="1" s="1"/>
  <c r="M4351" i="1" a="1"/>
  <c r="M4351" i="1" s="1"/>
  <c r="M4415" i="1" a="1"/>
  <c r="M4415" i="1" s="1"/>
  <c r="M4479" i="1" a="1"/>
  <c r="M4479" i="1" s="1"/>
  <c r="M4543" i="1" a="1"/>
  <c r="M4543" i="1" s="1"/>
  <c r="M4607" i="1" a="1"/>
  <c r="M4607" i="1" s="1"/>
  <c r="M4655" i="1" a="1"/>
  <c r="M4655" i="1" s="1"/>
  <c r="M4674" i="1" a="1"/>
  <c r="M4674" i="1" s="1"/>
  <c r="M4697" i="1" a="1"/>
  <c r="M4697" i="1" s="1"/>
  <c r="M4719" i="1" a="1"/>
  <c r="M4719" i="1" s="1"/>
  <c r="M4731" i="1" a="1"/>
  <c r="M4731" i="1" s="1"/>
  <c r="M4742" i="1" a="1"/>
  <c r="M4742" i="1" s="1"/>
  <c r="M4751" i="1" a="1"/>
  <c r="M4751" i="1" s="1"/>
  <c r="M4760" i="1" a="1"/>
  <c r="M4760" i="1" s="1"/>
  <c r="M4769" i="1" a="1"/>
  <c r="M4769" i="1" s="1"/>
  <c r="M4778" i="1" a="1"/>
  <c r="M4778" i="1" s="1"/>
  <c r="M4787" i="1" a="1"/>
  <c r="M4787" i="1" s="1"/>
  <c r="M4797" i="1" a="1"/>
  <c r="M4797" i="1" s="1"/>
  <c r="M4805" i="1" a="1"/>
  <c r="M4805" i="1" s="1"/>
  <c r="M4813" i="1" a="1"/>
  <c r="M4813" i="1" s="1"/>
  <c r="M4821" i="1" a="1"/>
  <c r="M4821" i="1" s="1"/>
  <c r="M4829" i="1" a="1"/>
  <c r="M4829" i="1" s="1"/>
  <c r="M4837" i="1" a="1"/>
  <c r="M4837" i="1" s="1"/>
  <c r="M4845" i="1" a="1"/>
  <c r="M4845" i="1" s="1"/>
  <c r="M4853" i="1" a="1"/>
  <c r="M4853" i="1" s="1"/>
  <c r="M4861" i="1" a="1"/>
  <c r="M4861" i="1" s="1"/>
  <c r="M4869" i="1" a="1"/>
  <c r="M4869" i="1" s="1"/>
  <c r="M4877" i="1" a="1"/>
  <c r="M4877" i="1" s="1"/>
  <c r="M4885" i="1" a="1"/>
  <c r="M4885" i="1" s="1"/>
  <c r="M4893" i="1" a="1"/>
  <c r="M4893" i="1" s="1"/>
  <c r="M4901" i="1" a="1"/>
  <c r="M4901" i="1" s="1"/>
  <c r="M4909" i="1" a="1"/>
  <c r="M4909" i="1" s="1"/>
  <c r="M4917" i="1" a="1"/>
  <c r="M4917" i="1" s="1"/>
  <c r="M4925" i="1" a="1"/>
  <c r="M4925" i="1" s="1"/>
  <c r="M4933" i="1" a="1"/>
  <c r="M4933" i="1" s="1"/>
  <c r="M4941" i="1" a="1"/>
  <c r="M4941" i="1" s="1"/>
  <c r="M4949" i="1" a="1"/>
  <c r="M4949" i="1" s="1"/>
  <c r="M4957" i="1" a="1"/>
  <c r="M4957" i="1" s="1"/>
  <c r="M4965" i="1" a="1"/>
  <c r="M4965" i="1" s="1"/>
  <c r="M4973" i="1" a="1"/>
  <c r="M4973" i="1" s="1"/>
  <c r="M4981" i="1" a="1"/>
  <c r="M4981" i="1" s="1"/>
  <c r="M4989" i="1" a="1"/>
  <c r="M4989" i="1" s="1"/>
  <c r="M4997" i="1" a="1"/>
  <c r="M4997" i="1" s="1"/>
  <c r="M5005" i="1" a="1"/>
  <c r="M5005" i="1" s="1"/>
  <c r="M5013" i="1" a="1"/>
  <c r="M5013" i="1" s="1"/>
  <c r="M5021" i="1" a="1"/>
  <c r="M5021" i="1" s="1"/>
  <c r="M5029" i="1" a="1"/>
  <c r="M5029" i="1" s="1"/>
  <c r="M5037" i="1" a="1"/>
  <c r="M5037" i="1" s="1"/>
  <c r="M5045" i="1" a="1"/>
  <c r="M5045" i="1" s="1"/>
  <c r="M5053" i="1" a="1"/>
  <c r="M5053" i="1" s="1"/>
  <c r="M5061" i="1" a="1"/>
  <c r="M5061" i="1" s="1"/>
  <c r="M5069" i="1" a="1"/>
  <c r="M5069" i="1" s="1"/>
  <c r="M5077" i="1" a="1"/>
  <c r="M5077" i="1" s="1"/>
  <c r="M5085" i="1" a="1"/>
  <c r="M5085" i="1" s="1"/>
  <c r="M5093" i="1" a="1"/>
  <c r="M5093" i="1" s="1"/>
  <c r="M5101" i="1" a="1"/>
  <c r="M5101" i="1" s="1"/>
  <c r="M5109" i="1" a="1"/>
  <c r="M5109" i="1" s="1"/>
  <c r="M5117" i="1" a="1"/>
  <c r="M5117" i="1" s="1"/>
  <c r="M5125" i="1" a="1"/>
  <c r="M5125" i="1" s="1"/>
  <c r="M5133" i="1" a="1"/>
  <c r="M5133" i="1" s="1"/>
  <c r="M5141" i="1" a="1"/>
  <c r="M5141" i="1" s="1"/>
  <c r="M5149" i="1" a="1"/>
  <c r="M5149" i="1" s="1"/>
  <c r="M5157" i="1" a="1"/>
  <c r="M5157" i="1" s="1"/>
  <c r="M5165" i="1" a="1"/>
  <c r="M5165" i="1" s="1"/>
  <c r="M5173" i="1" a="1"/>
  <c r="M5173" i="1" s="1"/>
  <c r="M5181" i="1" a="1"/>
  <c r="M5181" i="1" s="1"/>
  <c r="M5189" i="1" a="1"/>
  <c r="M5189" i="1" s="1"/>
  <c r="M5197" i="1" a="1"/>
  <c r="M5197" i="1" s="1"/>
  <c r="M5205" i="1" a="1"/>
  <c r="M5205" i="1" s="1"/>
  <c r="M5213" i="1" a="1"/>
  <c r="M5213" i="1" s="1"/>
  <c r="M5221" i="1" a="1"/>
  <c r="M5221" i="1" s="1"/>
  <c r="M5229" i="1" a="1"/>
  <c r="M5229" i="1" s="1"/>
  <c r="M5237" i="1" a="1"/>
  <c r="M5237" i="1" s="1"/>
  <c r="M5245" i="1" a="1"/>
  <c r="M5245" i="1" s="1"/>
  <c r="M5253" i="1" a="1"/>
  <c r="M5253" i="1" s="1"/>
  <c r="M5261" i="1" a="1"/>
  <c r="M5261" i="1" s="1"/>
  <c r="M5269" i="1" a="1"/>
  <c r="M5269" i="1" s="1"/>
  <c r="M5277" i="1" a="1"/>
  <c r="M5277" i="1" s="1"/>
  <c r="M5285" i="1" a="1"/>
  <c r="M5285" i="1" s="1"/>
  <c r="M5293" i="1" a="1"/>
  <c r="M5293" i="1" s="1"/>
  <c r="M5301" i="1" a="1"/>
  <c r="M5301" i="1" s="1"/>
  <c r="M5309" i="1" a="1"/>
  <c r="M5309" i="1" s="1"/>
  <c r="M5317" i="1" a="1"/>
  <c r="M5317" i="1" s="1"/>
  <c r="M5325" i="1" a="1"/>
  <c r="M5325" i="1" s="1"/>
  <c r="M5333" i="1" a="1"/>
  <c r="M5333" i="1" s="1"/>
  <c r="M5341" i="1" a="1"/>
  <c r="M5341" i="1" s="1"/>
  <c r="M5349" i="1" a="1"/>
  <c r="M5349" i="1" s="1"/>
  <c r="M5357" i="1" a="1"/>
  <c r="M5357" i="1" s="1"/>
  <c r="M5365" i="1" a="1"/>
  <c r="M5365" i="1" s="1"/>
  <c r="M5373" i="1" a="1"/>
  <c r="M5373" i="1" s="1"/>
  <c r="M5381" i="1" a="1"/>
  <c r="M5381" i="1" s="1"/>
  <c r="M5389" i="1" a="1"/>
  <c r="M5389" i="1" s="1"/>
  <c r="M5397" i="1" a="1"/>
  <c r="M5397" i="1" s="1"/>
  <c r="M5405" i="1" a="1"/>
  <c r="M5405" i="1" s="1"/>
  <c r="M5413" i="1" a="1"/>
  <c r="M5413" i="1" s="1"/>
  <c r="M5421" i="1" a="1"/>
  <c r="M5421" i="1" s="1"/>
  <c r="M5429" i="1" a="1"/>
  <c r="M5429" i="1" s="1"/>
  <c r="M5437" i="1" a="1"/>
  <c r="M5437" i="1" s="1"/>
  <c r="M5445" i="1" a="1"/>
  <c r="M5445" i="1" s="1"/>
  <c r="M5453" i="1" a="1"/>
  <c r="M5453" i="1" s="1"/>
  <c r="M5461" i="1" a="1"/>
  <c r="M5461" i="1" s="1"/>
  <c r="M5469" i="1" a="1"/>
  <c r="M5469" i="1" s="1"/>
  <c r="M5477" i="1" a="1"/>
  <c r="M5477" i="1" s="1"/>
  <c r="M5485" i="1" a="1"/>
  <c r="M5485" i="1" s="1"/>
  <c r="M5493" i="1" a="1"/>
  <c r="M5493" i="1" s="1"/>
  <c r="M5501" i="1" a="1"/>
  <c r="M5501" i="1" s="1"/>
  <c r="M5509" i="1" a="1"/>
  <c r="M5509" i="1" s="1"/>
  <c r="M5517" i="1" a="1"/>
  <c r="M5517" i="1" s="1"/>
  <c r="M5525" i="1" a="1"/>
  <c r="M5525" i="1" s="1"/>
  <c r="M5533" i="1" a="1"/>
  <c r="M5533" i="1" s="1"/>
  <c r="M5541" i="1" a="1"/>
  <c r="M5541" i="1" s="1"/>
  <c r="M5549" i="1" a="1"/>
  <c r="M5549" i="1" s="1"/>
  <c r="M5557" i="1" a="1"/>
  <c r="M5557" i="1" s="1"/>
  <c r="M5565" i="1" a="1"/>
  <c r="M5565" i="1" s="1"/>
  <c r="M5573" i="1" a="1"/>
  <c r="M5573" i="1" s="1"/>
  <c r="M5581" i="1" a="1"/>
  <c r="M5581" i="1" s="1"/>
  <c r="M5589" i="1" a="1"/>
  <c r="M5589" i="1" s="1"/>
  <c r="M5597" i="1" a="1"/>
  <c r="M5597" i="1" s="1"/>
  <c r="M5605" i="1" a="1"/>
  <c r="M5605" i="1" s="1"/>
  <c r="M5613" i="1" a="1"/>
  <c r="M5613" i="1" s="1"/>
  <c r="M5621" i="1" a="1"/>
  <c r="M5621" i="1" s="1"/>
  <c r="M5629" i="1" a="1"/>
  <c r="M5629" i="1" s="1"/>
  <c r="M5637" i="1" a="1"/>
  <c r="M5637" i="1" s="1"/>
  <c r="M5645" i="1" a="1"/>
  <c r="M5645" i="1" s="1"/>
  <c r="M5653" i="1" a="1"/>
  <c r="M5653" i="1" s="1"/>
  <c r="M5661" i="1" a="1"/>
  <c r="M5661" i="1" s="1"/>
  <c r="M5669" i="1" a="1"/>
  <c r="M5669" i="1" s="1"/>
  <c r="M5677" i="1" a="1"/>
  <c r="M5677" i="1" s="1"/>
  <c r="M5685" i="1" a="1"/>
  <c r="M5685" i="1" s="1"/>
  <c r="M5693" i="1" a="1"/>
  <c r="M5693" i="1" s="1"/>
  <c r="M5701" i="1" a="1"/>
  <c r="M5701" i="1" s="1"/>
  <c r="M5709" i="1" a="1"/>
  <c r="M5709" i="1" s="1"/>
  <c r="M5717" i="1" a="1"/>
  <c r="M5717" i="1" s="1"/>
  <c r="M5725" i="1" a="1"/>
  <c r="M5725" i="1" s="1"/>
  <c r="M5733" i="1" a="1"/>
  <c r="M5733" i="1" s="1"/>
  <c r="M5741" i="1" a="1"/>
  <c r="M5741" i="1" s="1"/>
  <c r="M5749" i="1" a="1"/>
  <c r="M5749" i="1" s="1"/>
  <c r="M5757" i="1" a="1"/>
  <c r="M5757" i="1" s="1"/>
  <c r="M5765" i="1" a="1"/>
  <c r="M5765" i="1" s="1"/>
  <c r="M5773" i="1" a="1"/>
  <c r="M5773" i="1" s="1"/>
  <c r="M5781" i="1" a="1"/>
  <c r="M5781" i="1" s="1"/>
  <c r="M5789" i="1" a="1"/>
  <c r="M5789" i="1" s="1"/>
  <c r="M5797" i="1" a="1"/>
  <c r="M5797" i="1" s="1"/>
  <c r="M5805" i="1" a="1"/>
  <c r="M5805" i="1" s="1"/>
  <c r="M5813" i="1" a="1"/>
  <c r="M5813" i="1" s="1"/>
  <c r="M5821" i="1" a="1"/>
  <c r="M5821" i="1" s="1"/>
  <c r="M5829" i="1" a="1"/>
  <c r="M5829" i="1" s="1"/>
  <c r="M2452" i="1" a="1"/>
  <c r="M2452" i="1" s="1"/>
  <c r="M2964" i="1" a="1"/>
  <c r="M2964" i="1" s="1"/>
  <c r="M3460" i="1" a="1"/>
  <c r="M3460" i="1" s="1"/>
  <c r="M3587" i="1" a="1"/>
  <c r="M3587" i="1" s="1"/>
  <c r="M3655" i="1" a="1"/>
  <c r="M3655" i="1" s="1"/>
  <c r="M3719" i="1" a="1"/>
  <c r="M3719" i="1" s="1"/>
  <c r="M3783" i="1" a="1"/>
  <c r="M3783" i="1" s="1"/>
  <c r="M3847" i="1" a="1"/>
  <c r="M3847" i="1" s="1"/>
  <c r="M3911" i="1" a="1"/>
  <c r="M3911" i="1" s="1"/>
  <c r="M3975" i="1" a="1"/>
  <c r="M3975" i="1" s="1"/>
  <c r="M4039" i="1" a="1"/>
  <c r="M4039" i="1" s="1"/>
  <c r="M4103" i="1" a="1"/>
  <c r="M4103" i="1" s="1"/>
  <c r="M4167" i="1" a="1"/>
  <c r="M4167" i="1" s="1"/>
  <c r="M4231" i="1" a="1"/>
  <c r="M4231" i="1" s="1"/>
  <c r="M4295" i="1" a="1"/>
  <c r="M4295" i="1" s="1"/>
  <c r="M4359" i="1" a="1"/>
  <c r="M4359" i="1" s="1"/>
  <c r="M4423" i="1" a="1"/>
  <c r="M4423" i="1" s="1"/>
  <c r="M4487" i="1" a="1"/>
  <c r="M4487" i="1" s="1"/>
  <c r="M4551" i="1" a="1"/>
  <c r="M4551" i="1" s="1"/>
  <c r="M4615" i="1" a="1"/>
  <c r="M4615" i="1" s="1"/>
  <c r="M4657" i="1" a="1"/>
  <c r="M4657" i="1" s="1"/>
  <c r="M4679" i="1" a="1"/>
  <c r="M4679" i="1" s="1"/>
  <c r="M4698" i="1" a="1"/>
  <c r="M4698" i="1" s="1"/>
  <c r="M4721" i="1" a="1"/>
  <c r="M4721" i="1" s="1"/>
  <c r="M4734" i="1" a="1"/>
  <c r="M4734" i="1" s="1"/>
  <c r="M4743" i="1" a="1"/>
  <c r="M4743" i="1" s="1"/>
  <c r="M4752" i="1" a="1"/>
  <c r="M4752" i="1" s="1"/>
  <c r="M4761" i="1" a="1"/>
  <c r="M4761" i="1" s="1"/>
  <c r="M4770" i="1" a="1"/>
  <c r="M4770" i="1" s="1"/>
  <c r="M4779" i="1" a="1"/>
  <c r="M4779" i="1" s="1"/>
  <c r="M4789" i="1" a="1"/>
  <c r="M4789" i="1" s="1"/>
  <c r="M4798" i="1" a="1"/>
  <c r="M4798" i="1" s="1"/>
  <c r="M4806" i="1" a="1"/>
  <c r="M4806" i="1" s="1"/>
  <c r="M4814" i="1" a="1"/>
  <c r="M4814" i="1" s="1"/>
  <c r="M4822" i="1" a="1"/>
  <c r="M4822" i="1" s="1"/>
  <c r="M4830" i="1" a="1"/>
  <c r="M4830" i="1" s="1"/>
  <c r="M4838" i="1" a="1"/>
  <c r="M4838" i="1" s="1"/>
  <c r="M4846" i="1" a="1"/>
  <c r="M4846" i="1" s="1"/>
  <c r="M4854" i="1" a="1"/>
  <c r="M4854" i="1" s="1"/>
  <c r="M4862" i="1" a="1"/>
  <c r="M4862" i="1" s="1"/>
  <c r="M4870" i="1" a="1"/>
  <c r="M4870" i="1" s="1"/>
  <c r="M4878" i="1" a="1"/>
  <c r="M4878" i="1" s="1"/>
  <c r="M4886" i="1" a="1"/>
  <c r="M4886" i="1" s="1"/>
  <c r="M4894" i="1" a="1"/>
  <c r="M4894" i="1" s="1"/>
  <c r="M4902" i="1" a="1"/>
  <c r="M4902" i="1" s="1"/>
  <c r="M4910" i="1" a="1"/>
  <c r="M4910" i="1" s="1"/>
  <c r="M4918" i="1" a="1"/>
  <c r="M4918" i="1" s="1"/>
  <c r="M4926" i="1" a="1"/>
  <c r="M4926" i="1" s="1"/>
  <c r="M4934" i="1" a="1"/>
  <c r="M4934" i="1" s="1"/>
  <c r="M4942" i="1" a="1"/>
  <c r="M4942" i="1" s="1"/>
  <c r="M4950" i="1" a="1"/>
  <c r="M4950" i="1" s="1"/>
  <c r="M4958" i="1" a="1"/>
  <c r="M4958" i="1" s="1"/>
  <c r="M4966" i="1" a="1"/>
  <c r="M4966" i="1" s="1"/>
  <c r="M4974" i="1" a="1"/>
  <c r="M4974" i="1" s="1"/>
  <c r="M4982" i="1" a="1"/>
  <c r="M4982" i="1" s="1"/>
  <c r="M4990" i="1" a="1"/>
  <c r="M4990" i="1" s="1"/>
  <c r="M4998" i="1" a="1"/>
  <c r="M4998" i="1" s="1"/>
  <c r="M5006" i="1" a="1"/>
  <c r="M5006" i="1" s="1"/>
  <c r="M5014" i="1" a="1"/>
  <c r="M5014" i="1" s="1"/>
  <c r="M5022" i="1" a="1"/>
  <c r="M5022" i="1" s="1"/>
  <c r="M5030" i="1" a="1"/>
  <c r="M5030" i="1" s="1"/>
  <c r="M5038" i="1" a="1"/>
  <c r="M5038" i="1" s="1"/>
  <c r="M5046" i="1" a="1"/>
  <c r="M5046" i="1" s="1"/>
  <c r="M5054" i="1" a="1"/>
  <c r="M5054" i="1" s="1"/>
  <c r="M5062" i="1" a="1"/>
  <c r="M5062" i="1" s="1"/>
  <c r="M5070" i="1" a="1"/>
  <c r="M5070" i="1" s="1"/>
  <c r="M5078" i="1" a="1"/>
  <c r="M5078" i="1" s="1"/>
  <c r="M5086" i="1" a="1"/>
  <c r="M5086" i="1" s="1"/>
  <c r="M5094" i="1" a="1"/>
  <c r="M5094" i="1" s="1"/>
  <c r="M5102" i="1" a="1"/>
  <c r="M5102" i="1" s="1"/>
  <c r="M5110" i="1" a="1"/>
  <c r="M5110" i="1" s="1"/>
  <c r="M5118" i="1" a="1"/>
  <c r="M5118" i="1" s="1"/>
  <c r="M5126" i="1" a="1"/>
  <c r="M5126" i="1" s="1"/>
  <c r="M5134" i="1" a="1"/>
  <c r="M5134" i="1" s="1"/>
  <c r="M5142" i="1" a="1"/>
  <c r="M5142" i="1" s="1"/>
  <c r="M5150" i="1" a="1"/>
  <c r="M5150" i="1" s="1"/>
  <c r="M5158" i="1" a="1"/>
  <c r="M5158" i="1" s="1"/>
  <c r="M5166" i="1" a="1"/>
  <c r="M5166" i="1" s="1"/>
  <c r="M5174" i="1" a="1"/>
  <c r="M5174" i="1" s="1"/>
  <c r="M5182" i="1" a="1"/>
  <c r="M5182" i="1" s="1"/>
  <c r="M5190" i="1" a="1"/>
  <c r="M5190" i="1" s="1"/>
  <c r="M5198" i="1" a="1"/>
  <c r="M5198" i="1" s="1"/>
  <c r="M5206" i="1" a="1"/>
  <c r="M5206" i="1" s="1"/>
  <c r="M5214" i="1" a="1"/>
  <c r="M5214" i="1" s="1"/>
  <c r="M5222" i="1" a="1"/>
  <c r="M5222" i="1" s="1"/>
  <c r="M5230" i="1" a="1"/>
  <c r="M5230" i="1" s="1"/>
  <c r="M5238" i="1" a="1"/>
  <c r="M5238" i="1" s="1"/>
  <c r="M5246" i="1" a="1"/>
  <c r="M5246" i="1" s="1"/>
  <c r="M5254" i="1" a="1"/>
  <c r="M5254" i="1" s="1"/>
  <c r="M5262" i="1" a="1"/>
  <c r="M5262" i="1" s="1"/>
  <c r="M5270" i="1" a="1"/>
  <c r="M5270" i="1" s="1"/>
  <c r="M5278" i="1" a="1"/>
  <c r="M5278" i="1" s="1"/>
  <c r="M5286" i="1" a="1"/>
  <c r="M5286" i="1" s="1"/>
  <c r="M5294" i="1" a="1"/>
  <c r="M5294" i="1" s="1"/>
  <c r="M5302" i="1" a="1"/>
  <c r="M5302" i="1" s="1"/>
  <c r="M5310" i="1" a="1"/>
  <c r="M5310" i="1" s="1"/>
  <c r="M5318" i="1" a="1"/>
  <c r="M5318" i="1" s="1"/>
  <c r="M5326" i="1" a="1"/>
  <c r="M5326" i="1" s="1"/>
  <c r="M5334" i="1" a="1"/>
  <c r="M5334" i="1" s="1"/>
  <c r="M5342" i="1" a="1"/>
  <c r="M5342" i="1" s="1"/>
  <c r="M5350" i="1" a="1"/>
  <c r="M5350" i="1" s="1"/>
  <c r="M5358" i="1" a="1"/>
  <c r="M5358" i="1" s="1"/>
  <c r="M5366" i="1" a="1"/>
  <c r="M5366" i="1" s="1"/>
  <c r="M5374" i="1" a="1"/>
  <c r="M5374" i="1" s="1"/>
  <c r="M5382" i="1" a="1"/>
  <c r="M5382" i="1" s="1"/>
  <c r="M5390" i="1" a="1"/>
  <c r="M5390" i="1" s="1"/>
  <c r="M5398" i="1" a="1"/>
  <c r="M5398" i="1" s="1"/>
  <c r="M5406" i="1" a="1"/>
  <c r="M5406" i="1" s="1"/>
  <c r="M5414" i="1" a="1"/>
  <c r="M5414" i="1" s="1"/>
  <c r="M5422" i="1" a="1"/>
  <c r="M5422" i="1" s="1"/>
  <c r="M5430" i="1" a="1"/>
  <c r="M5430" i="1" s="1"/>
  <c r="M5438" i="1" a="1"/>
  <c r="M5438" i="1" s="1"/>
  <c r="M5446" i="1" a="1"/>
  <c r="M5446" i="1" s="1"/>
  <c r="M5454" i="1" a="1"/>
  <c r="M5454" i="1" s="1"/>
  <c r="M5462" i="1" a="1"/>
  <c r="M5462" i="1" s="1"/>
  <c r="M5470" i="1" a="1"/>
  <c r="M5470" i="1" s="1"/>
  <c r="M5478" i="1" a="1"/>
  <c r="M5478" i="1" s="1"/>
  <c r="M5486" i="1" a="1"/>
  <c r="M5486" i="1" s="1"/>
  <c r="M5494" i="1" a="1"/>
  <c r="M5494" i="1" s="1"/>
  <c r="M5502" i="1" a="1"/>
  <c r="M5502" i="1" s="1"/>
  <c r="M5510" i="1" a="1"/>
  <c r="M5510" i="1" s="1"/>
  <c r="M5518" i="1" a="1"/>
  <c r="M5518" i="1" s="1"/>
  <c r="M5526" i="1" a="1"/>
  <c r="M5526" i="1" s="1"/>
  <c r="M5534" i="1" a="1"/>
  <c r="M5534" i="1" s="1"/>
  <c r="M5542" i="1" a="1"/>
  <c r="M5542" i="1" s="1"/>
  <c r="M5550" i="1" a="1"/>
  <c r="M5550" i="1" s="1"/>
  <c r="M5558" i="1" a="1"/>
  <c r="M5558" i="1" s="1"/>
  <c r="M5566" i="1" a="1"/>
  <c r="M5566" i="1" s="1"/>
  <c r="M5574" i="1" a="1"/>
  <c r="M5574" i="1" s="1"/>
  <c r="M5582" i="1" a="1"/>
  <c r="M5582" i="1" s="1"/>
  <c r="M5590" i="1" a="1"/>
  <c r="M5590" i="1" s="1"/>
  <c r="M5598" i="1" a="1"/>
  <c r="M5598" i="1" s="1"/>
  <c r="M5606" i="1" a="1"/>
  <c r="M5606" i="1" s="1"/>
  <c r="M5614" i="1" a="1"/>
  <c r="M5614" i="1" s="1"/>
  <c r="M5622" i="1" a="1"/>
  <c r="M5622" i="1" s="1"/>
  <c r="M5630" i="1" a="1"/>
  <c r="M5630" i="1" s="1"/>
  <c r="M5638" i="1" a="1"/>
  <c r="M5638" i="1" s="1"/>
  <c r="M5646" i="1" a="1"/>
  <c r="M5646" i="1" s="1"/>
  <c r="M5654" i="1" a="1"/>
  <c r="M5654" i="1" s="1"/>
  <c r="M5662" i="1" a="1"/>
  <c r="M5662" i="1" s="1"/>
  <c r="M5670" i="1" a="1"/>
  <c r="M5670" i="1" s="1"/>
  <c r="M5678" i="1" a="1"/>
  <c r="M5678" i="1" s="1"/>
  <c r="M5686" i="1" a="1"/>
  <c r="M5686" i="1" s="1"/>
  <c r="M5694" i="1" a="1"/>
  <c r="M5694" i="1" s="1"/>
  <c r="M5702" i="1" a="1"/>
  <c r="M5702" i="1" s="1"/>
  <c r="M5710" i="1" a="1"/>
  <c r="M5710" i="1" s="1"/>
  <c r="M5718" i="1" a="1"/>
  <c r="M5718" i="1" s="1"/>
  <c r="M5726" i="1" a="1"/>
  <c r="M5726" i="1" s="1"/>
  <c r="M5734" i="1" a="1"/>
  <c r="M5734" i="1" s="1"/>
  <c r="M5742" i="1" a="1"/>
  <c r="M5742" i="1" s="1"/>
  <c r="M5750" i="1" a="1"/>
  <c r="M5750" i="1" s="1"/>
  <c r="M5758" i="1" a="1"/>
  <c r="M5758" i="1" s="1"/>
  <c r="M5766" i="1" a="1"/>
  <c r="M5766" i="1" s="1"/>
  <c r="M5774" i="1" a="1"/>
  <c r="M5774" i="1" s="1"/>
  <c r="M5782" i="1" a="1"/>
  <c r="M5782" i="1" s="1"/>
  <c r="M5790" i="1" a="1"/>
  <c r="M5790" i="1" s="1"/>
  <c r="M5798" i="1" a="1"/>
  <c r="M5798" i="1" s="1"/>
  <c r="M5806" i="1" a="1"/>
  <c r="M5806" i="1" s="1"/>
  <c r="M5814" i="1" a="1"/>
  <c r="M5814" i="1" s="1"/>
  <c r="M5822" i="1" a="1"/>
  <c r="M5822" i="1" s="1"/>
  <c r="M5830" i="1" a="1"/>
  <c r="M5830" i="1" s="1"/>
  <c r="M2516" i="1" a="1"/>
  <c r="M2516" i="1" s="1"/>
  <c r="M3028" i="1" a="1"/>
  <c r="M3028" i="1" s="1"/>
  <c r="M3479" i="1" a="1"/>
  <c r="M3479" i="1" s="1"/>
  <c r="M3596" i="1" a="1"/>
  <c r="M3596" i="1" s="1"/>
  <c r="M3663" i="1" a="1"/>
  <c r="M3663" i="1" s="1"/>
  <c r="M3727" i="1" a="1"/>
  <c r="M3727" i="1" s="1"/>
  <c r="M3791" i="1" a="1"/>
  <c r="M3791" i="1" s="1"/>
  <c r="M3855" i="1" a="1"/>
  <c r="M3855" i="1" s="1"/>
  <c r="M3919" i="1" a="1"/>
  <c r="M3919" i="1" s="1"/>
  <c r="M3983" i="1" a="1"/>
  <c r="M3983" i="1" s="1"/>
  <c r="M4047" i="1" a="1"/>
  <c r="M4047" i="1" s="1"/>
  <c r="M4111" i="1" a="1"/>
  <c r="M4111" i="1" s="1"/>
  <c r="M4175" i="1" a="1"/>
  <c r="M4175" i="1" s="1"/>
  <c r="M4239" i="1" a="1"/>
  <c r="M4239" i="1" s="1"/>
  <c r="M4303" i="1" a="1"/>
  <c r="M4303" i="1" s="1"/>
  <c r="M4367" i="1" a="1"/>
  <c r="M4367" i="1" s="1"/>
  <c r="M4431" i="1" a="1"/>
  <c r="M4431" i="1" s="1"/>
  <c r="M4495" i="1" a="1"/>
  <c r="M4495" i="1" s="1"/>
  <c r="M4559" i="1" a="1"/>
  <c r="M4559" i="1" s="1"/>
  <c r="M4623" i="1" a="1"/>
  <c r="M4623" i="1" s="1"/>
  <c r="M4658" i="1" a="1"/>
  <c r="M4658" i="1" s="1"/>
  <c r="M4681" i="1" a="1"/>
  <c r="M4681" i="1" s="1"/>
  <c r="M4703" i="1" a="1"/>
  <c r="M4703" i="1" s="1"/>
  <c r="M4722" i="1" a="1"/>
  <c r="M4722" i="1" s="1"/>
  <c r="M4735" i="1" a="1"/>
  <c r="M4735" i="1" s="1"/>
  <c r="M4744" i="1" a="1"/>
  <c r="M4744" i="1" s="1"/>
  <c r="M4753" i="1" a="1"/>
  <c r="M4753" i="1" s="1"/>
  <c r="M4762" i="1" a="1"/>
  <c r="M4762" i="1" s="1"/>
  <c r="M4771" i="1" a="1"/>
  <c r="M4771" i="1" s="1"/>
  <c r="M4781" i="1" a="1"/>
  <c r="M4781" i="1" s="1"/>
  <c r="M4790" i="1" a="1"/>
  <c r="M4790" i="1" s="1"/>
  <c r="M4799" i="1" a="1"/>
  <c r="M4799" i="1" s="1"/>
  <c r="M4807" i="1" a="1"/>
  <c r="M4807" i="1" s="1"/>
  <c r="M4815" i="1" a="1"/>
  <c r="M4815" i="1" s="1"/>
  <c r="M4823" i="1" a="1"/>
  <c r="M4823" i="1" s="1"/>
  <c r="M4831" i="1" a="1"/>
  <c r="M4831" i="1" s="1"/>
  <c r="M4839" i="1" a="1"/>
  <c r="M4839" i="1" s="1"/>
  <c r="M4847" i="1" a="1"/>
  <c r="M4847" i="1" s="1"/>
  <c r="M4855" i="1" a="1"/>
  <c r="M4855" i="1" s="1"/>
  <c r="M4863" i="1" a="1"/>
  <c r="M4863" i="1" s="1"/>
  <c r="M4871" i="1" a="1"/>
  <c r="M4871" i="1" s="1"/>
  <c r="M4879" i="1" a="1"/>
  <c r="M4879" i="1" s="1"/>
  <c r="M4887" i="1" a="1"/>
  <c r="M4887" i="1" s="1"/>
  <c r="M4895" i="1" a="1"/>
  <c r="M4895" i="1" s="1"/>
  <c r="M4903" i="1" a="1"/>
  <c r="M4903" i="1" s="1"/>
  <c r="M4911" i="1" a="1"/>
  <c r="M4911" i="1" s="1"/>
  <c r="M4919" i="1" a="1"/>
  <c r="M4919" i="1" s="1"/>
  <c r="M4927" i="1" a="1"/>
  <c r="M4927" i="1" s="1"/>
  <c r="M4935" i="1" a="1"/>
  <c r="M4935" i="1" s="1"/>
  <c r="M4943" i="1" a="1"/>
  <c r="M4943" i="1" s="1"/>
  <c r="M4951" i="1" a="1"/>
  <c r="M4951" i="1" s="1"/>
  <c r="M4959" i="1" a="1"/>
  <c r="M4959" i="1" s="1"/>
  <c r="M4967" i="1" a="1"/>
  <c r="M4967" i="1" s="1"/>
  <c r="M4975" i="1" a="1"/>
  <c r="M4975" i="1" s="1"/>
  <c r="M4983" i="1" a="1"/>
  <c r="M4983" i="1" s="1"/>
  <c r="M4991" i="1" a="1"/>
  <c r="M4991" i="1" s="1"/>
  <c r="M4999" i="1" a="1"/>
  <c r="M4999" i="1" s="1"/>
  <c r="M5007" i="1" a="1"/>
  <c r="M5007" i="1" s="1"/>
  <c r="M5015" i="1" a="1"/>
  <c r="M5015" i="1" s="1"/>
  <c r="M5023" i="1" a="1"/>
  <c r="M5023" i="1" s="1"/>
  <c r="M5031" i="1" a="1"/>
  <c r="M5031" i="1" s="1"/>
  <c r="M5039" i="1" a="1"/>
  <c r="M5039" i="1" s="1"/>
  <c r="M5047" i="1" a="1"/>
  <c r="M5047" i="1" s="1"/>
  <c r="M5055" i="1" a="1"/>
  <c r="M5055" i="1" s="1"/>
  <c r="M5063" i="1" a="1"/>
  <c r="M5063" i="1" s="1"/>
  <c r="M5071" i="1" a="1"/>
  <c r="M5071" i="1" s="1"/>
  <c r="M5079" i="1" a="1"/>
  <c r="M5079" i="1" s="1"/>
  <c r="M5087" i="1" a="1"/>
  <c r="M5087" i="1" s="1"/>
  <c r="M5095" i="1" a="1"/>
  <c r="M5095" i="1" s="1"/>
  <c r="M5103" i="1" a="1"/>
  <c r="M5103" i="1" s="1"/>
  <c r="M5111" i="1" a="1"/>
  <c r="M5111" i="1" s="1"/>
  <c r="M5119" i="1" a="1"/>
  <c r="M5119" i="1" s="1"/>
  <c r="M5127" i="1" a="1"/>
  <c r="M5127" i="1" s="1"/>
  <c r="M5135" i="1" a="1"/>
  <c r="M5135" i="1" s="1"/>
  <c r="M5143" i="1" a="1"/>
  <c r="M5143" i="1" s="1"/>
  <c r="M5151" i="1" a="1"/>
  <c r="M5151" i="1" s="1"/>
  <c r="M5159" i="1" a="1"/>
  <c r="M5159" i="1" s="1"/>
  <c r="M5167" i="1" a="1"/>
  <c r="M5167" i="1" s="1"/>
  <c r="M5175" i="1" a="1"/>
  <c r="M5175" i="1" s="1"/>
  <c r="M5183" i="1" a="1"/>
  <c r="M5183" i="1" s="1"/>
  <c r="M5191" i="1" a="1"/>
  <c r="M5191" i="1" s="1"/>
  <c r="M5199" i="1" a="1"/>
  <c r="M5199" i="1" s="1"/>
  <c r="M5207" i="1" a="1"/>
  <c r="M5207" i="1" s="1"/>
  <c r="M5215" i="1" a="1"/>
  <c r="M5215" i="1" s="1"/>
  <c r="M5223" i="1" a="1"/>
  <c r="M5223" i="1" s="1"/>
  <c r="M5231" i="1" a="1"/>
  <c r="M5231" i="1" s="1"/>
  <c r="M5239" i="1" a="1"/>
  <c r="M5239" i="1" s="1"/>
  <c r="M5247" i="1" a="1"/>
  <c r="M5247" i="1" s="1"/>
  <c r="M5255" i="1" a="1"/>
  <c r="M5255" i="1" s="1"/>
  <c r="M5263" i="1" a="1"/>
  <c r="M5263" i="1" s="1"/>
  <c r="M5271" i="1" a="1"/>
  <c r="M5271" i="1" s="1"/>
  <c r="M5279" i="1" a="1"/>
  <c r="M5279" i="1" s="1"/>
  <c r="M5287" i="1" a="1"/>
  <c r="M5287" i="1" s="1"/>
  <c r="M5295" i="1" a="1"/>
  <c r="M5295" i="1" s="1"/>
  <c r="M5303" i="1" a="1"/>
  <c r="M5303" i="1" s="1"/>
  <c r="M5311" i="1" a="1"/>
  <c r="M5311" i="1" s="1"/>
  <c r="M5319" i="1" a="1"/>
  <c r="M5319" i="1" s="1"/>
  <c r="M5327" i="1" a="1"/>
  <c r="M5327" i="1" s="1"/>
  <c r="M5335" i="1" a="1"/>
  <c r="M5335" i="1" s="1"/>
  <c r="M5343" i="1" a="1"/>
  <c r="M5343" i="1" s="1"/>
  <c r="M5351" i="1" a="1"/>
  <c r="M5351" i="1" s="1"/>
  <c r="M5359" i="1" a="1"/>
  <c r="M5359" i="1" s="1"/>
  <c r="M5367" i="1" a="1"/>
  <c r="M5367" i="1" s="1"/>
  <c r="M5375" i="1" a="1"/>
  <c r="M5375" i="1" s="1"/>
  <c r="M5383" i="1" a="1"/>
  <c r="M5383" i="1" s="1"/>
  <c r="M5391" i="1" a="1"/>
  <c r="M5391" i="1" s="1"/>
  <c r="M5399" i="1" a="1"/>
  <c r="M5399" i="1" s="1"/>
  <c r="M5407" i="1" a="1"/>
  <c r="M5407" i="1" s="1"/>
  <c r="M5415" i="1" a="1"/>
  <c r="M5415" i="1" s="1"/>
  <c r="M5423" i="1" a="1"/>
  <c r="M5423" i="1" s="1"/>
  <c r="M5431" i="1" a="1"/>
  <c r="M5431" i="1" s="1"/>
  <c r="M5439" i="1" a="1"/>
  <c r="M5439" i="1" s="1"/>
  <c r="M5447" i="1" a="1"/>
  <c r="M5447" i="1" s="1"/>
  <c r="M5455" i="1" a="1"/>
  <c r="M5455" i="1" s="1"/>
  <c r="M5463" i="1" a="1"/>
  <c r="M5463" i="1" s="1"/>
  <c r="M5471" i="1" a="1"/>
  <c r="M5471" i="1" s="1"/>
  <c r="M5479" i="1" a="1"/>
  <c r="M5479" i="1" s="1"/>
  <c r="M5487" i="1" a="1"/>
  <c r="M5487" i="1" s="1"/>
  <c r="M5495" i="1" a="1"/>
  <c r="M5495" i="1" s="1"/>
  <c r="M5503" i="1" a="1"/>
  <c r="M5503" i="1" s="1"/>
  <c r="M5511" i="1" a="1"/>
  <c r="M5511" i="1" s="1"/>
  <c r="M5519" i="1" a="1"/>
  <c r="M5519" i="1" s="1"/>
  <c r="M5527" i="1" a="1"/>
  <c r="M5527" i="1" s="1"/>
  <c r="M5535" i="1" a="1"/>
  <c r="M5535" i="1" s="1"/>
  <c r="M5543" i="1" a="1"/>
  <c r="M5543" i="1" s="1"/>
  <c r="M5551" i="1" a="1"/>
  <c r="M5551" i="1" s="1"/>
  <c r="M5559" i="1" a="1"/>
  <c r="M5559" i="1" s="1"/>
  <c r="M5567" i="1" a="1"/>
  <c r="M5567" i="1" s="1"/>
  <c r="M5575" i="1" a="1"/>
  <c r="M5575" i="1" s="1"/>
  <c r="M5583" i="1" a="1"/>
  <c r="M5583" i="1" s="1"/>
  <c r="M5591" i="1" a="1"/>
  <c r="M5591" i="1" s="1"/>
  <c r="M5599" i="1" a="1"/>
  <c r="M5599" i="1" s="1"/>
  <c r="M5607" i="1" a="1"/>
  <c r="M5607" i="1" s="1"/>
  <c r="M5615" i="1" a="1"/>
  <c r="M5615" i="1" s="1"/>
  <c r="M5623" i="1" a="1"/>
  <c r="M5623" i="1" s="1"/>
  <c r="M5631" i="1" a="1"/>
  <c r="M5631" i="1" s="1"/>
  <c r="M5639" i="1" a="1"/>
  <c r="M5639" i="1" s="1"/>
  <c r="M5647" i="1" a="1"/>
  <c r="M5647" i="1" s="1"/>
  <c r="M5655" i="1" a="1"/>
  <c r="M5655" i="1" s="1"/>
  <c r="M5663" i="1" a="1"/>
  <c r="M5663" i="1" s="1"/>
  <c r="M5671" i="1" a="1"/>
  <c r="M5671" i="1" s="1"/>
  <c r="M5679" i="1" a="1"/>
  <c r="M5679" i="1" s="1"/>
  <c r="M5687" i="1" a="1"/>
  <c r="M5687" i="1" s="1"/>
  <c r="M5695" i="1" a="1"/>
  <c r="M5695" i="1" s="1"/>
  <c r="M5703" i="1" a="1"/>
  <c r="M5703" i="1" s="1"/>
  <c r="M5711" i="1" a="1"/>
  <c r="M5711" i="1" s="1"/>
  <c r="M5719" i="1" a="1"/>
  <c r="M5719" i="1" s="1"/>
  <c r="M5727" i="1" a="1"/>
  <c r="M5727" i="1" s="1"/>
  <c r="M5735" i="1" a="1"/>
  <c r="M5735" i="1" s="1"/>
  <c r="M5743" i="1" a="1"/>
  <c r="M5743" i="1" s="1"/>
  <c r="M5751" i="1" a="1"/>
  <c r="M5751" i="1" s="1"/>
  <c r="M5759" i="1" a="1"/>
  <c r="M5759" i="1" s="1"/>
  <c r="M5767" i="1" a="1"/>
  <c r="M5767" i="1" s="1"/>
  <c r="M5775" i="1" a="1"/>
  <c r="M5775" i="1" s="1"/>
  <c r="M5783" i="1" a="1"/>
  <c r="M5783" i="1" s="1"/>
  <c r="M5791" i="1" a="1"/>
  <c r="M5791" i="1" s="1"/>
  <c r="M5799" i="1" a="1"/>
  <c r="M5799" i="1" s="1"/>
  <c r="M5807" i="1" a="1"/>
  <c r="M5807" i="1" s="1"/>
  <c r="M5815" i="1" a="1"/>
  <c r="M5815" i="1" s="1"/>
  <c r="M5823" i="1" a="1"/>
  <c r="M5823" i="1" s="1"/>
  <c r="M5831" i="1" a="1"/>
  <c r="M5831" i="1" s="1"/>
  <c r="M2580" i="1" a="1"/>
  <c r="M2580" i="1" s="1"/>
  <c r="M3092" i="1" a="1"/>
  <c r="M3092" i="1" s="1"/>
  <c r="M3502" i="1" a="1"/>
  <c r="M3502" i="1" s="1"/>
  <c r="M3605" i="1" a="1"/>
  <c r="M3605" i="1" s="1"/>
  <c r="M3671" i="1" a="1"/>
  <c r="M3671" i="1" s="1"/>
  <c r="M3735" i="1" a="1"/>
  <c r="M3735" i="1" s="1"/>
  <c r="M3799" i="1" a="1"/>
  <c r="M3799" i="1" s="1"/>
  <c r="M3863" i="1" a="1"/>
  <c r="M3863" i="1" s="1"/>
  <c r="M3927" i="1" a="1"/>
  <c r="M3927" i="1" s="1"/>
  <c r="M3991" i="1" a="1"/>
  <c r="M3991" i="1" s="1"/>
  <c r="M4055" i="1" a="1"/>
  <c r="M4055" i="1" s="1"/>
  <c r="M4119" i="1" a="1"/>
  <c r="M4119" i="1" s="1"/>
  <c r="M4183" i="1" a="1"/>
  <c r="M4183" i="1" s="1"/>
  <c r="M4247" i="1" a="1"/>
  <c r="M4247" i="1" s="1"/>
  <c r="M4311" i="1" a="1"/>
  <c r="M4311" i="1" s="1"/>
  <c r="M4375" i="1" a="1"/>
  <c r="M4375" i="1" s="1"/>
  <c r="M4439" i="1" a="1"/>
  <c r="M4439" i="1" s="1"/>
  <c r="M4503" i="1" a="1"/>
  <c r="M4503" i="1" s="1"/>
  <c r="M4567" i="1" a="1"/>
  <c r="M4567" i="1" s="1"/>
  <c r="M4631" i="1" a="1"/>
  <c r="M4631" i="1" s="1"/>
  <c r="M4663" i="1" a="1"/>
  <c r="M4663" i="1" s="1"/>
  <c r="M4682" i="1" a="1"/>
  <c r="M4682" i="1" s="1"/>
  <c r="M4705" i="1" a="1"/>
  <c r="M4705" i="1" s="1"/>
  <c r="M4723" i="1" a="1"/>
  <c r="M4723" i="1" s="1"/>
  <c r="M4736" i="1" a="1"/>
  <c r="M4736" i="1" s="1"/>
  <c r="M4745" i="1" a="1"/>
  <c r="M4745" i="1" s="1"/>
  <c r="M4754" i="1" a="1"/>
  <c r="M4754" i="1" s="1"/>
  <c r="M4763" i="1" a="1"/>
  <c r="M4763" i="1" s="1"/>
  <c r="M4773" i="1" a="1"/>
  <c r="M4773" i="1" s="1"/>
  <c r="M4782" i="1" a="1"/>
  <c r="M4782" i="1" s="1"/>
  <c r="M4791" i="1" a="1"/>
  <c r="M4791" i="1" s="1"/>
  <c r="M4800" i="1" a="1"/>
  <c r="M4800" i="1" s="1"/>
  <c r="M4808" i="1" a="1"/>
  <c r="M4808" i="1" s="1"/>
  <c r="M4816" i="1" a="1"/>
  <c r="M4816" i="1" s="1"/>
  <c r="M4824" i="1" a="1"/>
  <c r="M4824" i="1" s="1"/>
  <c r="M4832" i="1" a="1"/>
  <c r="M4832" i="1" s="1"/>
  <c r="M4840" i="1" a="1"/>
  <c r="M4840" i="1" s="1"/>
  <c r="M4848" i="1" a="1"/>
  <c r="M4848" i="1" s="1"/>
  <c r="M4856" i="1" a="1"/>
  <c r="M4856" i="1" s="1"/>
  <c r="M4864" i="1" a="1"/>
  <c r="M4864" i="1" s="1"/>
  <c r="M4872" i="1" a="1"/>
  <c r="M4872" i="1" s="1"/>
  <c r="M4880" i="1" a="1"/>
  <c r="M4880" i="1" s="1"/>
  <c r="M4888" i="1" a="1"/>
  <c r="M4888" i="1" s="1"/>
  <c r="M4896" i="1" a="1"/>
  <c r="M4896" i="1" s="1"/>
  <c r="M4904" i="1" a="1"/>
  <c r="M4904" i="1" s="1"/>
  <c r="M4912" i="1" a="1"/>
  <c r="M4912" i="1" s="1"/>
  <c r="M4920" i="1" a="1"/>
  <c r="M4920" i="1" s="1"/>
  <c r="M4928" i="1" a="1"/>
  <c r="M4928" i="1" s="1"/>
  <c r="M4936" i="1" a="1"/>
  <c r="M4936" i="1" s="1"/>
  <c r="M4944" i="1" a="1"/>
  <c r="M4944" i="1" s="1"/>
  <c r="M4952" i="1" a="1"/>
  <c r="M4952" i="1" s="1"/>
  <c r="M4960" i="1" a="1"/>
  <c r="M4960" i="1" s="1"/>
  <c r="M4968" i="1" a="1"/>
  <c r="M4968" i="1" s="1"/>
  <c r="M4976" i="1" a="1"/>
  <c r="M4976" i="1" s="1"/>
  <c r="M4984" i="1" a="1"/>
  <c r="M4984" i="1" s="1"/>
  <c r="M4992" i="1" a="1"/>
  <c r="M4992" i="1" s="1"/>
  <c r="M5000" i="1" a="1"/>
  <c r="M5000" i="1" s="1"/>
  <c r="M5008" i="1" a="1"/>
  <c r="M5008" i="1" s="1"/>
  <c r="M5016" i="1" a="1"/>
  <c r="M5016" i="1" s="1"/>
  <c r="M5024" i="1" a="1"/>
  <c r="M5024" i="1" s="1"/>
  <c r="M5032" i="1" a="1"/>
  <c r="M5032" i="1" s="1"/>
  <c r="M5040" i="1" a="1"/>
  <c r="M5040" i="1" s="1"/>
  <c r="M5048" i="1" a="1"/>
  <c r="M5048" i="1" s="1"/>
  <c r="M5056" i="1" a="1"/>
  <c r="M5056" i="1" s="1"/>
  <c r="M5064" i="1" a="1"/>
  <c r="M5064" i="1" s="1"/>
  <c r="M5072" i="1" a="1"/>
  <c r="M5072" i="1" s="1"/>
  <c r="M5080" i="1" a="1"/>
  <c r="M5080" i="1" s="1"/>
  <c r="M5088" i="1" a="1"/>
  <c r="M5088" i="1" s="1"/>
  <c r="M5096" i="1" a="1"/>
  <c r="M5096" i="1" s="1"/>
  <c r="M5104" i="1" a="1"/>
  <c r="M5104" i="1" s="1"/>
  <c r="M5112" i="1" a="1"/>
  <c r="M5112" i="1" s="1"/>
  <c r="M5120" i="1" a="1"/>
  <c r="M5120" i="1" s="1"/>
  <c r="M5128" i="1" a="1"/>
  <c r="M5128" i="1" s="1"/>
  <c r="M5136" i="1" a="1"/>
  <c r="M5136" i="1" s="1"/>
  <c r="M5144" i="1" a="1"/>
  <c r="M5144" i="1" s="1"/>
  <c r="M5152" i="1" a="1"/>
  <c r="M5152" i="1" s="1"/>
  <c r="M5160" i="1" a="1"/>
  <c r="M5160" i="1" s="1"/>
  <c r="M5168" i="1" a="1"/>
  <c r="M5168" i="1" s="1"/>
  <c r="M5176" i="1" a="1"/>
  <c r="M5176" i="1" s="1"/>
  <c r="M5184" i="1" a="1"/>
  <c r="M5184" i="1" s="1"/>
  <c r="M5192" i="1" a="1"/>
  <c r="M5192" i="1" s="1"/>
  <c r="M5200" i="1" a="1"/>
  <c r="M5200" i="1" s="1"/>
  <c r="M5208" i="1" a="1"/>
  <c r="M5208" i="1" s="1"/>
  <c r="M5216" i="1" a="1"/>
  <c r="M5216" i="1" s="1"/>
  <c r="M5224" i="1" a="1"/>
  <c r="M5224" i="1" s="1"/>
  <c r="M5232" i="1" a="1"/>
  <c r="M5232" i="1" s="1"/>
  <c r="M5240" i="1" a="1"/>
  <c r="M5240" i="1" s="1"/>
  <c r="M5248" i="1" a="1"/>
  <c r="M5248" i="1" s="1"/>
  <c r="M5256" i="1" a="1"/>
  <c r="M5256" i="1" s="1"/>
  <c r="M5264" i="1" a="1"/>
  <c r="M5264" i="1" s="1"/>
  <c r="M5272" i="1" a="1"/>
  <c r="M5272" i="1" s="1"/>
  <c r="M5280" i="1" a="1"/>
  <c r="M5280" i="1" s="1"/>
  <c r="M5288" i="1" a="1"/>
  <c r="M5288" i="1" s="1"/>
  <c r="M5296" i="1" a="1"/>
  <c r="M5296" i="1" s="1"/>
  <c r="M5304" i="1" a="1"/>
  <c r="M5304" i="1" s="1"/>
  <c r="M5312" i="1" a="1"/>
  <c r="M5312" i="1" s="1"/>
  <c r="M5320" i="1" a="1"/>
  <c r="M5320" i="1" s="1"/>
  <c r="M5328" i="1" a="1"/>
  <c r="M5328" i="1" s="1"/>
  <c r="M5336" i="1" a="1"/>
  <c r="M5336" i="1" s="1"/>
  <c r="M5344" i="1" a="1"/>
  <c r="M5344" i="1" s="1"/>
  <c r="M5352" i="1" a="1"/>
  <c r="M5352" i="1" s="1"/>
  <c r="M5360" i="1" a="1"/>
  <c r="M5360" i="1" s="1"/>
  <c r="M5368" i="1" a="1"/>
  <c r="M5368" i="1" s="1"/>
  <c r="M5376" i="1" a="1"/>
  <c r="M5376" i="1" s="1"/>
  <c r="M5384" i="1" a="1"/>
  <c r="M5384" i="1" s="1"/>
  <c r="M5392" i="1" a="1"/>
  <c r="M5392" i="1" s="1"/>
  <c r="M5400" i="1" a="1"/>
  <c r="M5400" i="1" s="1"/>
  <c r="M5408" i="1" a="1"/>
  <c r="M5408" i="1" s="1"/>
  <c r="M5416" i="1" a="1"/>
  <c r="M5416" i="1" s="1"/>
  <c r="M5424" i="1" a="1"/>
  <c r="M5424" i="1" s="1"/>
  <c r="M5432" i="1" a="1"/>
  <c r="M5432" i="1" s="1"/>
  <c r="M5440" i="1" a="1"/>
  <c r="M5440" i="1" s="1"/>
  <c r="M5448" i="1" a="1"/>
  <c r="M5448" i="1" s="1"/>
  <c r="M5456" i="1" a="1"/>
  <c r="M5456" i="1" s="1"/>
  <c r="M5464" i="1" a="1"/>
  <c r="M5464" i="1" s="1"/>
  <c r="M5472" i="1" a="1"/>
  <c r="M5472" i="1" s="1"/>
  <c r="M5480" i="1" a="1"/>
  <c r="M5480" i="1" s="1"/>
  <c r="M5488" i="1" a="1"/>
  <c r="M5488" i="1" s="1"/>
  <c r="M5496" i="1" a="1"/>
  <c r="M5496" i="1" s="1"/>
  <c r="M5504" i="1" a="1"/>
  <c r="M5504" i="1" s="1"/>
  <c r="M5512" i="1" a="1"/>
  <c r="M5512" i="1" s="1"/>
  <c r="M5520" i="1" a="1"/>
  <c r="M5520" i="1" s="1"/>
  <c r="M5528" i="1" a="1"/>
  <c r="M5528" i="1" s="1"/>
  <c r="M5536" i="1" a="1"/>
  <c r="M5536" i="1" s="1"/>
  <c r="M5544" i="1" a="1"/>
  <c r="M5544" i="1" s="1"/>
  <c r="M5552" i="1" a="1"/>
  <c r="M5552" i="1" s="1"/>
  <c r="M5560" i="1" a="1"/>
  <c r="M5560" i="1" s="1"/>
  <c r="M5568" i="1" a="1"/>
  <c r="M5568" i="1" s="1"/>
  <c r="M5576" i="1" a="1"/>
  <c r="M5576" i="1" s="1"/>
  <c r="M5584" i="1" a="1"/>
  <c r="M5584" i="1" s="1"/>
  <c r="M5592" i="1" a="1"/>
  <c r="M5592" i="1" s="1"/>
  <c r="M5600" i="1" a="1"/>
  <c r="M5600" i="1" s="1"/>
  <c r="M5608" i="1" a="1"/>
  <c r="M5608" i="1" s="1"/>
  <c r="M5616" i="1" a="1"/>
  <c r="M5616" i="1" s="1"/>
  <c r="M5624" i="1" a="1"/>
  <c r="M5624" i="1" s="1"/>
  <c r="M5632" i="1" a="1"/>
  <c r="M5632" i="1" s="1"/>
  <c r="M5640" i="1" a="1"/>
  <c r="M5640" i="1" s="1"/>
  <c r="M5648" i="1" a="1"/>
  <c r="M5648" i="1" s="1"/>
  <c r="M5656" i="1" a="1"/>
  <c r="M5656" i="1" s="1"/>
  <c r="M5664" i="1" a="1"/>
  <c r="M5664" i="1" s="1"/>
  <c r="M5672" i="1" a="1"/>
  <c r="M5672" i="1" s="1"/>
  <c r="M5680" i="1" a="1"/>
  <c r="M5680" i="1" s="1"/>
  <c r="M5688" i="1" a="1"/>
  <c r="M5688" i="1" s="1"/>
  <c r="M5696" i="1" a="1"/>
  <c r="M5696" i="1" s="1"/>
  <c r="M5704" i="1" a="1"/>
  <c r="M5704" i="1" s="1"/>
  <c r="M5712" i="1" a="1"/>
  <c r="M5712" i="1" s="1"/>
  <c r="M5720" i="1" a="1"/>
  <c r="M5720" i="1" s="1"/>
  <c r="M5728" i="1" a="1"/>
  <c r="M5728" i="1" s="1"/>
  <c r="M5736" i="1" a="1"/>
  <c r="M5736" i="1" s="1"/>
  <c r="M5744" i="1" a="1"/>
  <c r="M5744" i="1" s="1"/>
  <c r="M5752" i="1" a="1"/>
  <c r="M5752" i="1" s="1"/>
  <c r="M5760" i="1" a="1"/>
  <c r="M5760" i="1" s="1"/>
  <c r="M5768" i="1" a="1"/>
  <c r="M5768" i="1" s="1"/>
  <c r="M5776" i="1" a="1"/>
  <c r="M5776" i="1" s="1"/>
  <c r="M5784" i="1" a="1"/>
  <c r="M5784" i="1" s="1"/>
  <c r="M5792" i="1" a="1"/>
  <c r="M5792" i="1" s="1"/>
  <c r="M5800" i="1" a="1"/>
  <c r="M5800" i="1" s="1"/>
  <c r="M5808" i="1" a="1"/>
  <c r="M5808" i="1" s="1"/>
  <c r="M5816" i="1" a="1"/>
  <c r="M5816" i="1" s="1"/>
  <c r="M5824" i="1" a="1"/>
  <c r="M5824" i="1" s="1"/>
  <c r="M5832" i="1" a="1"/>
  <c r="M5832" i="1" s="1"/>
  <c r="M2644" i="1" a="1"/>
  <c r="M2644" i="1" s="1"/>
  <c r="M3156" i="1" a="1"/>
  <c r="M3156" i="1" s="1"/>
  <c r="M3524" i="1" a="1"/>
  <c r="M3524" i="1" s="1"/>
  <c r="M3614" i="1" a="1"/>
  <c r="M3614" i="1" s="1"/>
  <c r="M3679" i="1" a="1"/>
  <c r="M3679" i="1" s="1"/>
  <c r="M3743" i="1" a="1"/>
  <c r="M3743" i="1" s="1"/>
  <c r="M3807" i="1" a="1"/>
  <c r="M3807" i="1" s="1"/>
  <c r="M3871" i="1" a="1"/>
  <c r="M3871" i="1" s="1"/>
  <c r="M3935" i="1" a="1"/>
  <c r="M3935" i="1" s="1"/>
  <c r="M3999" i="1" a="1"/>
  <c r="M3999" i="1" s="1"/>
  <c r="M4063" i="1" a="1"/>
  <c r="M4063" i="1" s="1"/>
  <c r="M4127" i="1" a="1"/>
  <c r="M4127" i="1" s="1"/>
  <c r="M4191" i="1" a="1"/>
  <c r="M4191" i="1" s="1"/>
  <c r="M4255" i="1" a="1"/>
  <c r="M4255" i="1" s="1"/>
  <c r="M4319" i="1" a="1"/>
  <c r="M4319" i="1" s="1"/>
  <c r="M4383" i="1" a="1"/>
  <c r="M4383" i="1" s="1"/>
  <c r="M4447" i="1" a="1"/>
  <c r="M4447" i="1" s="1"/>
  <c r="M4511" i="1" a="1"/>
  <c r="M4511" i="1" s="1"/>
  <c r="M4575" i="1" a="1"/>
  <c r="M4575" i="1" s="1"/>
  <c r="M4639" i="1" a="1"/>
  <c r="M4639" i="1" s="1"/>
  <c r="M4665" i="1" a="1"/>
  <c r="M4665" i="1" s="1"/>
  <c r="M4687" i="1" a="1"/>
  <c r="M4687" i="1" s="1"/>
  <c r="M4706" i="1" a="1"/>
  <c r="M4706" i="1" s="1"/>
  <c r="M4727" i="1" a="1"/>
  <c r="M4727" i="1" s="1"/>
  <c r="M4737" i="1" a="1"/>
  <c r="M4737" i="1" s="1"/>
  <c r="M4746" i="1" a="1"/>
  <c r="M4746" i="1" s="1"/>
  <c r="M4755" i="1" a="1"/>
  <c r="M4755" i="1" s="1"/>
  <c r="M4765" i="1" a="1"/>
  <c r="M4765" i="1" s="1"/>
  <c r="M4774" i="1" a="1"/>
  <c r="M4774" i="1" s="1"/>
  <c r="M4783" i="1" a="1"/>
  <c r="M4783" i="1" s="1"/>
  <c r="M4792" i="1" a="1"/>
  <c r="M4792" i="1" s="1"/>
  <c r="M4801" i="1" a="1"/>
  <c r="M4801" i="1" s="1"/>
  <c r="M4809" i="1" a="1"/>
  <c r="M4809" i="1" s="1"/>
  <c r="M4817" i="1" a="1"/>
  <c r="M4817" i="1" s="1"/>
  <c r="M4825" i="1" a="1"/>
  <c r="M4825" i="1" s="1"/>
  <c r="M4833" i="1" a="1"/>
  <c r="M4833" i="1" s="1"/>
  <c r="M4841" i="1" a="1"/>
  <c r="M4841" i="1" s="1"/>
  <c r="M4849" i="1" a="1"/>
  <c r="M4849" i="1" s="1"/>
  <c r="M4857" i="1" a="1"/>
  <c r="M4857" i="1" s="1"/>
  <c r="M4865" i="1" a="1"/>
  <c r="M4865" i="1" s="1"/>
  <c r="M4873" i="1" a="1"/>
  <c r="M4873" i="1" s="1"/>
  <c r="M4881" i="1" a="1"/>
  <c r="M4881" i="1" s="1"/>
  <c r="M4889" i="1" a="1"/>
  <c r="M4889" i="1" s="1"/>
  <c r="M4897" i="1" a="1"/>
  <c r="M4897" i="1" s="1"/>
  <c r="M4905" i="1" a="1"/>
  <c r="M4905" i="1" s="1"/>
  <c r="M4913" i="1" a="1"/>
  <c r="M4913" i="1" s="1"/>
  <c r="M4921" i="1" a="1"/>
  <c r="M4921" i="1" s="1"/>
  <c r="M4929" i="1" a="1"/>
  <c r="M4929" i="1" s="1"/>
  <c r="M4937" i="1" a="1"/>
  <c r="M4937" i="1" s="1"/>
  <c r="M4945" i="1" a="1"/>
  <c r="M4945" i="1" s="1"/>
  <c r="M4953" i="1" a="1"/>
  <c r="M4953" i="1" s="1"/>
  <c r="M4961" i="1" a="1"/>
  <c r="M4961" i="1" s="1"/>
  <c r="M4969" i="1" a="1"/>
  <c r="M4969" i="1" s="1"/>
  <c r="M4977" i="1" a="1"/>
  <c r="M4977" i="1" s="1"/>
  <c r="M4985" i="1" a="1"/>
  <c r="M4985" i="1" s="1"/>
  <c r="M4993" i="1" a="1"/>
  <c r="M4993" i="1" s="1"/>
  <c r="M5001" i="1" a="1"/>
  <c r="M5001" i="1" s="1"/>
  <c r="M5009" i="1" a="1"/>
  <c r="M5009" i="1" s="1"/>
  <c r="M5017" i="1" a="1"/>
  <c r="M5017" i="1" s="1"/>
  <c r="M5025" i="1" a="1"/>
  <c r="M5025" i="1" s="1"/>
  <c r="M5033" i="1" a="1"/>
  <c r="M5033" i="1" s="1"/>
  <c r="M5041" i="1" a="1"/>
  <c r="M5041" i="1" s="1"/>
  <c r="M5049" i="1" a="1"/>
  <c r="M5049" i="1" s="1"/>
  <c r="M5057" i="1" a="1"/>
  <c r="M5057" i="1" s="1"/>
  <c r="M5065" i="1" a="1"/>
  <c r="M5065" i="1" s="1"/>
  <c r="M5073" i="1" a="1"/>
  <c r="M5073" i="1" s="1"/>
  <c r="M5081" i="1" a="1"/>
  <c r="M5081" i="1" s="1"/>
  <c r="M5089" i="1" a="1"/>
  <c r="M5089" i="1" s="1"/>
  <c r="M5097" i="1" a="1"/>
  <c r="M5097" i="1" s="1"/>
  <c r="M5105" i="1" a="1"/>
  <c r="M5105" i="1" s="1"/>
  <c r="M5113" i="1" a="1"/>
  <c r="M5113" i="1" s="1"/>
  <c r="M5121" i="1" a="1"/>
  <c r="M5121" i="1" s="1"/>
  <c r="M5129" i="1" a="1"/>
  <c r="M5129" i="1" s="1"/>
  <c r="M5137" i="1" a="1"/>
  <c r="M5137" i="1" s="1"/>
  <c r="M5145" i="1" a="1"/>
  <c r="M5145" i="1" s="1"/>
  <c r="M5153" i="1" a="1"/>
  <c r="M5153" i="1" s="1"/>
  <c r="M5161" i="1" a="1"/>
  <c r="M5161" i="1" s="1"/>
  <c r="M5169" i="1" a="1"/>
  <c r="M5169" i="1" s="1"/>
  <c r="M5177" i="1" a="1"/>
  <c r="M5177" i="1" s="1"/>
  <c r="M5185" i="1" a="1"/>
  <c r="M5185" i="1" s="1"/>
  <c r="M5193" i="1" a="1"/>
  <c r="M5193" i="1" s="1"/>
  <c r="M5201" i="1" a="1"/>
  <c r="M5201" i="1" s="1"/>
  <c r="M5209" i="1" a="1"/>
  <c r="M5209" i="1" s="1"/>
  <c r="M5217" i="1" a="1"/>
  <c r="M5217" i="1" s="1"/>
  <c r="M5225" i="1" a="1"/>
  <c r="M5225" i="1" s="1"/>
  <c r="M5233" i="1" a="1"/>
  <c r="M5233" i="1" s="1"/>
  <c r="M5241" i="1" a="1"/>
  <c r="M5241" i="1" s="1"/>
  <c r="M5249" i="1" a="1"/>
  <c r="M5249" i="1" s="1"/>
  <c r="M5257" i="1" a="1"/>
  <c r="M5257" i="1" s="1"/>
  <c r="M5265" i="1" a="1"/>
  <c r="M5265" i="1" s="1"/>
  <c r="M5273" i="1" a="1"/>
  <c r="M5273" i="1" s="1"/>
  <c r="M5281" i="1" a="1"/>
  <c r="M5281" i="1" s="1"/>
  <c r="M5289" i="1" a="1"/>
  <c r="M5289" i="1" s="1"/>
  <c r="M5297" i="1" a="1"/>
  <c r="M5297" i="1" s="1"/>
  <c r="M5305" i="1" a="1"/>
  <c r="M5305" i="1" s="1"/>
  <c r="M5313" i="1" a="1"/>
  <c r="M5313" i="1" s="1"/>
  <c r="M5321" i="1" a="1"/>
  <c r="M5321" i="1" s="1"/>
  <c r="M5329" i="1" a="1"/>
  <c r="M5329" i="1" s="1"/>
  <c r="M5337" i="1" a="1"/>
  <c r="M5337" i="1" s="1"/>
  <c r="M5345" i="1" a="1"/>
  <c r="M5345" i="1" s="1"/>
  <c r="M5353" i="1" a="1"/>
  <c r="M5353" i="1" s="1"/>
  <c r="M5361" i="1" a="1"/>
  <c r="M5361" i="1" s="1"/>
  <c r="M5369" i="1" a="1"/>
  <c r="M5369" i="1" s="1"/>
  <c r="M5377" i="1" a="1"/>
  <c r="M5377" i="1" s="1"/>
  <c r="M5385" i="1" a="1"/>
  <c r="M5385" i="1" s="1"/>
  <c r="M5393" i="1" a="1"/>
  <c r="M5393" i="1" s="1"/>
  <c r="M5401" i="1" a="1"/>
  <c r="M5401" i="1" s="1"/>
  <c r="M5409" i="1" a="1"/>
  <c r="M5409" i="1" s="1"/>
  <c r="M5417" i="1" a="1"/>
  <c r="M5417" i="1" s="1"/>
  <c r="M5425" i="1" a="1"/>
  <c r="M5425" i="1" s="1"/>
  <c r="M5433" i="1" a="1"/>
  <c r="M5433" i="1" s="1"/>
  <c r="M5441" i="1" a="1"/>
  <c r="M5441" i="1" s="1"/>
  <c r="M5449" i="1" a="1"/>
  <c r="M5449" i="1" s="1"/>
  <c r="M5457" i="1" a="1"/>
  <c r="M5457" i="1" s="1"/>
  <c r="M5465" i="1" a="1"/>
  <c r="M5465" i="1" s="1"/>
  <c r="M5473" i="1" a="1"/>
  <c r="M5473" i="1" s="1"/>
  <c r="M5481" i="1" a="1"/>
  <c r="M5481" i="1" s="1"/>
  <c r="M5489" i="1" a="1"/>
  <c r="M5489" i="1" s="1"/>
  <c r="M5497" i="1" a="1"/>
  <c r="M5497" i="1" s="1"/>
  <c r="M5505" i="1" a="1"/>
  <c r="M5505" i="1" s="1"/>
  <c r="M5513" i="1" a="1"/>
  <c r="M5513" i="1" s="1"/>
  <c r="M5521" i="1" a="1"/>
  <c r="M5521" i="1" s="1"/>
  <c r="M5529" i="1" a="1"/>
  <c r="M5529" i="1" s="1"/>
  <c r="M5537" i="1" a="1"/>
  <c r="M5537" i="1" s="1"/>
  <c r="M5545" i="1" a="1"/>
  <c r="M5545" i="1" s="1"/>
  <c r="M5553" i="1" a="1"/>
  <c r="M5553" i="1" s="1"/>
  <c r="M5561" i="1" a="1"/>
  <c r="M5561" i="1" s="1"/>
  <c r="M5569" i="1" a="1"/>
  <c r="M5569" i="1" s="1"/>
  <c r="M5577" i="1" a="1"/>
  <c r="M5577" i="1" s="1"/>
  <c r="M5585" i="1" a="1"/>
  <c r="M5585" i="1" s="1"/>
  <c r="M5593" i="1" a="1"/>
  <c r="M5593" i="1" s="1"/>
  <c r="M5601" i="1" a="1"/>
  <c r="M5601" i="1" s="1"/>
  <c r="M5609" i="1" a="1"/>
  <c r="M5609" i="1" s="1"/>
  <c r="M5617" i="1" a="1"/>
  <c r="M5617" i="1" s="1"/>
  <c r="M5625" i="1" a="1"/>
  <c r="M5625" i="1" s="1"/>
  <c r="M5633" i="1" a="1"/>
  <c r="M5633" i="1" s="1"/>
  <c r="M5641" i="1" a="1"/>
  <c r="M5641" i="1" s="1"/>
  <c r="M5649" i="1" a="1"/>
  <c r="M5649" i="1" s="1"/>
  <c r="M5657" i="1" a="1"/>
  <c r="M5657" i="1" s="1"/>
  <c r="M5665" i="1" a="1"/>
  <c r="M5665" i="1" s="1"/>
  <c r="M5673" i="1" a="1"/>
  <c r="M5673" i="1" s="1"/>
  <c r="M5681" i="1" a="1"/>
  <c r="M5681" i="1" s="1"/>
  <c r="M5689" i="1" a="1"/>
  <c r="M5689" i="1" s="1"/>
  <c r="M5697" i="1" a="1"/>
  <c r="M5697" i="1" s="1"/>
  <c r="M5705" i="1" a="1"/>
  <c r="M5705" i="1" s="1"/>
  <c r="M5713" i="1" a="1"/>
  <c r="M5713" i="1" s="1"/>
  <c r="M5721" i="1" a="1"/>
  <c r="M5721" i="1" s="1"/>
  <c r="M5729" i="1" a="1"/>
  <c r="M5729" i="1" s="1"/>
  <c r="M5737" i="1" a="1"/>
  <c r="M5737" i="1" s="1"/>
  <c r="M5745" i="1" a="1"/>
  <c r="M5745" i="1" s="1"/>
  <c r="M5753" i="1" a="1"/>
  <c r="M5753" i="1" s="1"/>
  <c r="M5761" i="1" a="1"/>
  <c r="M5761" i="1" s="1"/>
  <c r="M5769" i="1" a="1"/>
  <c r="M5769" i="1" s="1"/>
  <c r="M5777" i="1" a="1"/>
  <c r="M5777" i="1" s="1"/>
  <c r="M5785" i="1" a="1"/>
  <c r="M5785" i="1" s="1"/>
  <c r="M5793" i="1" a="1"/>
  <c r="M5793" i="1" s="1"/>
  <c r="M5801" i="1" a="1"/>
  <c r="M5801" i="1" s="1"/>
  <c r="M5809" i="1" a="1"/>
  <c r="M5809" i="1" s="1"/>
  <c r="M5817" i="1" a="1"/>
  <c r="M5817" i="1" s="1"/>
  <c r="M5825" i="1" a="1"/>
  <c r="M5825" i="1" s="1"/>
  <c r="M5833" i="1" a="1"/>
  <c r="M5833" i="1" s="1"/>
  <c r="M2708" i="1" a="1"/>
  <c r="M2708" i="1" s="1"/>
  <c r="M3220" i="1" a="1"/>
  <c r="M3220" i="1" s="1"/>
  <c r="M3541" i="1" a="1"/>
  <c r="M3541" i="1" s="1"/>
  <c r="M3623" i="1" a="1"/>
  <c r="M3623" i="1" s="1"/>
  <c r="M3687" i="1" a="1"/>
  <c r="M3687" i="1" s="1"/>
  <c r="M3751" i="1" a="1"/>
  <c r="M3751" i="1" s="1"/>
  <c r="M3815" i="1" a="1"/>
  <c r="M3815" i="1" s="1"/>
  <c r="M3879" i="1" a="1"/>
  <c r="M3879" i="1" s="1"/>
  <c r="M3943" i="1" a="1"/>
  <c r="M3943" i="1" s="1"/>
  <c r="M4007" i="1" a="1"/>
  <c r="M4007" i="1" s="1"/>
  <c r="M4071" i="1" a="1"/>
  <c r="M4071" i="1" s="1"/>
  <c r="M4135" i="1" a="1"/>
  <c r="M4135" i="1" s="1"/>
  <c r="M4199" i="1" a="1"/>
  <c r="M4199" i="1" s="1"/>
  <c r="M4263" i="1" a="1"/>
  <c r="M4263" i="1" s="1"/>
  <c r="M4327" i="1" a="1"/>
  <c r="M4327" i="1" s="1"/>
  <c r="M4391" i="1" a="1"/>
  <c r="M4391" i="1" s="1"/>
  <c r="M4455" i="1" a="1"/>
  <c r="M4455" i="1" s="1"/>
  <c r="M4519" i="1" a="1"/>
  <c r="M4519" i="1" s="1"/>
  <c r="M4583" i="1" a="1"/>
  <c r="M4583" i="1" s="1"/>
  <c r="M4647" i="1" a="1"/>
  <c r="M4647" i="1" s="1"/>
  <c r="M4666" i="1" a="1"/>
  <c r="M4666" i="1" s="1"/>
  <c r="M4689" i="1" a="1"/>
  <c r="M4689" i="1" s="1"/>
  <c r="M4711" i="1" a="1"/>
  <c r="M4711" i="1" s="1"/>
  <c r="M4728" i="1" a="1"/>
  <c r="M4728" i="1" s="1"/>
  <c r="M4738" i="1" a="1"/>
  <c r="M4738" i="1" s="1"/>
  <c r="M4747" i="1" a="1"/>
  <c r="M4747" i="1" s="1"/>
  <c r="M4757" i="1" a="1"/>
  <c r="M4757" i="1" s="1"/>
  <c r="M4766" i="1" a="1"/>
  <c r="M4766" i="1" s="1"/>
  <c r="M4775" i="1" a="1"/>
  <c r="M4775" i="1" s="1"/>
  <c r="M4784" i="1" a="1"/>
  <c r="M4784" i="1" s="1"/>
  <c r="M4793" i="1" a="1"/>
  <c r="M4793" i="1" s="1"/>
  <c r="M4802" i="1" a="1"/>
  <c r="M4802" i="1" s="1"/>
  <c r="M4810" i="1" a="1"/>
  <c r="M4810" i="1" s="1"/>
  <c r="M4818" i="1" a="1"/>
  <c r="M4818" i="1" s="1"/>
  <c r="M4826" i="1" a="1"/>
  <c r="M4826" i="1" s="1"/>
  <c r="M4834" i="1" a="1"/>
  <c r="M4834" i="1" s="1"/>
  <c r="M4842" i="1" a="1"/>
  <c r="M4842" i="1" s="1"/>
  <c r="M4850" i="1" a="1"/>
  <c r="M4850" i="1" s="1"/>
  <c r="M4858" i="1" a="1"/>
  <c r="M4858" i="1" s="1"/>
  <c r="M4866" i="1" a="1"/>
  <c r="M4866" i="1" s="1"/>
  <c r="M4874" i="1" a="1"/>
  <c r="M4874" i="1" s="1"/>
  <c r="M4882" i="1" a="1"/>
  <c r="M4882" i="1" s="1"/>
  <c r="M4890" i="1" a="1"/>
  <c r="M4890" i="1" s="1"/>
  <c r="M4898" i="1" a="1"/>
  <c r="M4898" i="1" s="1"/>
  <c r="M4906" i="1" a="1"/>
  <c r="M4906" i="1" s="1"/>
  <c r="M4914" i="1" a="1"/>
  <c r="M4914" i="1" s="1"/>
  <c r="M4922" i="1" a="1"/>
  <c r="M4922" i="1" s="1"/>
  <c r="M4930" i="1" a="1"/>
  <c r="M4930" i="1" s="1"/>
  <c r="M4938" i="1" a="1"/>
  <c r="M4938" i="1" s="1"/>
  <c r="M4946" i="1" a="1"/>
  <c r="M4946" i="1" s="1"/>
  <c r="M4954" i="1" a="1"/>
  <c r="M4954" i="1" s="1"/>
  <c r="M4962" i="1" a="1"/>
  <c r="M4962" i="1" s="1"/>
  <c r="M4970" i="1" a="1"/>
  <c r="M4970" i="1" s="1"/>
  <c r="M4978" i="1" a="1"/>
  <c r="M4978" i="1" s="1"/>
  <c r="M4986" i="1" a="1"/>
  <c r="M4986" i="1" s="1"/>
  <c r="M4994" i="1" a="1"/>
  <c r="M4994" i="1" s="1"/>
  <c r="M5002" i="1" a="1"/>
  <c r="M5002" i="1" s="1"/>
  <c r="M5010" i="1" a="1"/>
  <c r="M5010" i="1" s="1"/>
  <c r="M5018" i="1" a="1"/>
  <c r="M5018" i="1" s="1"/>
  <c r="M5026" i="1" a="1"/>
  <c r="M5026" i="1" s="1"/>
  <c r="M5034" i="1" a="1"/>
  <c r="M5034" i="1" s="1"/>
  <c r="M5042" i="1" a="1"/>
  <c r="M5042" i="1" s="1"/>
  <c r="M5050" i="1" a="1"/>
  <c r="M5050" i="1" s="1"/>
  <c r="M5058" i="1" a="1"/>
  <c r="M5058" i="1" s="1"/>
  <c r="M5066" i="1" a="1"/>
  <c r="M5066" i="1" s="1"/>
  <c r="M5074" i="1" a="1"/>
  <c r="M5074" i="1" s="1"/>
  <c r="M5082" i="1" a="1"/>
  <c r="M5082" i="1" s="1"/>
  <c r="M5090" i="1" a="1"/>
  <c r="M5090" i="1" s="1"/>
  <c r="M5098" i="1" a="1"/>
  <c r="M5098" i="1" s="1"/>
  <c r="M5106" i="1" a="1"/>
  <c r="M5106" i="1" s="1"/>
  <c r="M5114" i="1" a="1"/>
  <c r="M5114" i="1" s="1"/>
  <c r="M5122" i="1" a="1"/>
  <c r="M5122" i="1" s="1"/>
  <c r="M5130" i="1" a="1"/>
  <c r="M5130" i="1" s="1"/>
  <c r="M5138" i="1" a="1"/>
  <c r="M5138" i="1" s="1"/>
  <c r="M5146" i="1" a="1"/>
  <c r="M5146" i="1" s="1"/>
  <c r="M5154" i="1" a="1"/>
  <c r="M5154" i="1" s="1"/>
  <c r="M5162" i="1" a="1"/>
  <c r="M5162" i="1" s="1"/>
  <c r="M5170" i="1" a="1"/>
  <c r="M5170" i="1" s="1"/>
  <c r="M5178" i="1" a="1"/>
  <c r="M5178" i="1" s="1"/>
  <c r="M5186" i="1" a="1"/>
  <c r="M5186" i="1" s="1"/>
  <c r="M5194" i="1" a="1"/>
  <c r="M5194" i="1" s="1"/>
  <c r="M5202" i="1" a="1"/>
  <c r="M5202" i="1" s="1"/>
  <c r="M5210" i="1" a="1"/>
  <c r="M5210" i="1" s="1"/>
  <c r="M5218" i="1" a="1"/>
  <c r="M5218" i="1" s="1"/>
  <c r="M5226" i="1" a="1"/>
  <c r="M5226" i="1" s="1"/>
  <c r="M5234" i="1" a="1"/>
  <c r="M5234" i="1" s="1"/>
  <c r="M5242" i="1" a="1"/>
  <c r="M5242" i="1" s="1"/>
  <c r="M5250" i="1" a="1"/>
  <c r="M5250" i="1" s="1"/>
  <c r="M5258" i="1" a="1"/>
  <c r="M5258" i="1" s="1"/>
  <c r="M5266" i="1" a="1"/>
  <c r="M5266" i="1" s="1"/>
  <c r="M5274" i="1" a="1"/>
  <c r="M5274" i="1" s="1"/>
  <c r="M5282" i="1" a="1"/>
  <c r="M5282" i="1" s="1"/>
  <c r="M5290" i="1" a="1"/>
  <c r="M5290" i="1" s="1"/>
  <c r="M5298" i="1" a="1"/>
  <c r="M5298" i="1" s="1"/>
  <c r="M5306" i="1" a="1"/>
  <c r="M5306" i="1" s="1"/>
  <c r="M5314" i="1" a="1"/>
  <c r="M5314" i="1" s="1"/>
  <c r="M5322" i="1" a="1"/>
  <c r="M5322" i="1" s="1"/>
  <c r="M5330" i="1" a="1"/>
  <c r="M5330" i="1" s="1"/>
  <c r="M5338" i="1" a="1"/>
  <c r="M5338" i="1" s="1"/>
  <c r="M5346" i="1" a="1"/>
  <c r="M5346" i="1" s="1"/>
  <c r="M5354" i="1" a="1"/>
  <c r="M5354" i="1" s="1"/>
  <c r="M5362" i="1" a="1"/>
  <c r="M5362" i="1" s="1"/>
  <c r="M5370" i="1" a="1"/>
  <c r="M5370" i="1" s="1"/>
  <c r="M5378" i="1" a="1"/>
  <c r="M5378" i="1" s="1"/>
  <c r="M5386" i="1" a="1"/>
  <c r="M5386" i="1" s="1"/>
  <c r="M5394" i="1" a="1"/>
  <c r="M5394" i="1" s="1"/>
  <c r="M5402" i="1" a="1"/>
  <c r="M5402" i="1" s="1"/>
  <c r="M5410" i="1" a="1"/>
  <c r="M5410" i="1" s="1"/>
  <c r="M5418" i="1" a="1"/>
  <c r="M5418" i="1" s="1"/>
  <c r="M5426" i="1" a="1"/>
  <c r="M5426" i="1" s="1"/>
  <c r="M5434" i="1" a="1"/>
  <c r="M5434" i="1" s="1"/>
  <c r="M5442" i="1" a="1"/>
  <c r="M5442" i="1" s="1"/>
  <c r="M5450" i="1" a="1"/>
  <c r="M5450" i="1" s="1"/>
  <c r="M5458" i="1" a="1"/>
  <c r="M5458" i="1" s="1"/>
  <c r="M5466" i="1" a="1"/>
  <c r="M5466" i="1" s="1"/>
  <c r="M5474" i="1" a="1"/>
  <c r="M5474" i="1" s="1"/>
  <c r="M5482" i="1" a="1"/>
  <c r="M5482" i="1" s="1"/>
  <c r="M5490" i="1" a="1"/>
  <c r="M5490" i="1" s="1"/>
  <c r="M5498" i="1" a="1"/>
  <c r="M5498" i="1" s="1"/>
  <c r="M5506" i="1" a="1"/>
  <c r="M5506" i="1" s="1"/>
  <c r="M5514" i="1" a="1"/>
  <c r="M5514" i="1" s="1"/>
  <c r="M5522" i="1" a="1"/>
  <c r="M5522" i="1" s="1"/>
  <c r="M5530" i="1" a="1"/>
  <c r="M5530" i="1" s="1"/>
  <c r="M5538" i="1" a="1"/>
  <c r="M5538" i="1" s="1"/>
  <c r="M5546" i="1" a="1"/>
  <c r="M5546" i="1" s="1"/>
  <c r="M5554" i="1" a="1"/>
  <c r="M5554" i="1" s="1"/>
  <c r="M5562" i="1" a="1"/>
  <c r="M5562" i="1" s="1"/>
  <c r="M5570" i="1" a="1"/>
  <c r="M5570" i="1" s="1"/>
  <c r="M5578" i="1" a="1"/>
  <c r="M5578" i="1" s="1"/>
  <c r="M5586" i="1" a="1"/>
  <c r="M5586" i="1" s="1"/>
  <c r="M5594" i="1" a="1"/>
  <c r="M5594" i="1" s="1"/>
  <c r="M5602" i="1" a="1"/>
  <c r="M5602" i="1" s="1"/>
  <c r="M5610" i="1" a="1"/>
  <c r="M5610" i="1" s="1"/>
  <c r="M5618" i="1" a="1"/>
  <c r="M5618" i="1" s="1"/>
  <c r="M5626" i="1" a="1"/>
  <c r="M5626" i="1" s="1"/>
  <c r="M5634" i="1" a="1"/>
  <c r="M5634" i="1" s="1"/>
  <c r="M5642" i="1" a="1"/>
  <c r="M5642" i="1" s="1"/>
  <c r="M5650" i="1" a="1"/>
  <c r="M5650" i="1" s="1"/>
  <c r="M5658" i="1" a="1"/>
  <c r="M5658" i="1" s="1"/>
  <c r="M5666" i="1" a="1"/>
  <c r="M5666" i="1" s="1"/>
  <c r="M5674" i="1" a="1"/>
  <c r="M5674" i="1" s="1"/>
  <c r="M5682" i="1" a="1"/>
  <c r="M5682" i="1" s="1"/>
  <c r="M5690" i="1" a="1"/>
  <c r="M5690" i="1" s="1"/>
  <c r="M5698" i="1" a="1"/>
  <c r="M5698" i="1" s="1"/>
  <c r="M5706" i="1" a="1"/>
  <c r="M5706" i="1" s="1"/>
  <c r="M5714" i="1" a="1"/>
  <c r="M5714" i="1" s="1"/>
  <c r="M5722" i="1" a="1"/>
  <c r="M5722" i="1" s="1"/>
  <c r="M5730" i="1" a="1"/>
  <c r="M5730" i="1" s="1"/>
  <c r="M5738" i="1" a="1"/>
  <c r="M5738" i="1" s="1"/>
  <c r="M5746" i="1" a="1"/>
  <c r="M5746" i="1" s="1"/>
  <c r="M5754" i="1" a="1"/>
  <c r="M5754" i="1" s="1"/>
  <c r="M5762" i="1" a="1"/>
  <c r="M5762" i="1" s="1"/>
  <c r="M5770" i="1" a="1"/>
  <c r="M5770" i="1" s="1"/>
  <c r="M5778" i="1" a="1"/>
  <c r="M5778" i="1" s="1"/>
  <c r="M5786" i="1" a="1"/>
  <c r="M5786" i="1" s="1"/>
  <c r="M5794" i="1" a="1"/>
  <c r="M5794" i="1" s="1"/>
  <c r="M5802" i="1" a="1"/>
  <c r="M5802" i="1" s="1"/>
  <c r="M5810" i="1" a="1"/>
  <c r="M5810" i="1" s="1"/>
  <c r="M5818" i="1" a="1"/>
  <c r="M5818" i="1" s="1"/>
  <c r="M5826" i="1" a="1"/>
  <c r="M5826" i="1" s="1"/>
  <c r="M5834" i="1" a="1"/>
  <c r="M5834" i="1" s="1"/>
  <c r="M2772" i="1" a="1"/>
  <c r="M2772" i="1" s="1"/>
  <c r="M3284" i="1" a="1"/>
  <c r="M3284" i="1" s="1"/>
  <c r="M3552" i="1" a="1"/>
  <c r="M3552" i="1" s="1"/>
  <c r="M3631" i="1" a="1"/>
  <c r="M3631" i="1" s="1"/>
  <c r="M3695" i="1" a="1"/>
  <c r="M3695" i="1" s="1"/>
  <c r="M3759" i="1" a="1"/>
  <c r="M3759" i="1" s="1"/>
  <c r="M3823" i="1" a="1"/>
  <c r="M3823" i="1" s="1"/>
  <c r="M3887" i="1" a="1"/>
  <c r="M3887" i="1" s="1"/>
  <c r="M3951" i="1" a="1"/>
  <c r="M3951" i="1" s="1"/>
  <c r="M4015" i="1" a="1"/>
  <c r="M4015" i="1" s="1"/>
  <c r="M4079" i="1" a="1"/>
  <c r="M4079" i="1" s="1"/>
  <c r="M4143" i="1" a="1"/>
  <c r="M4143" i="1" s="1"/>
  <c r="M4207" i="1" a="1"/>
  <c r="M4207" i="1" s="1"/>
  <c r="M4271" i="1" a="1"/>
  <c r="M4271" i="1" s="1"/>
  <c r="M4335" i="1" a="1"/>
  <c r="M4335" i="1" s="1"/>
  <c r="M4399" i="1" a="1"/>
  <c r="M4399" i="1" s="1"/>
  <c r="M4463" i="1" a="1"/>
  <c r="M4463" i="1" s="1"/>
  <c r="M4527" i="1" a="1"/>
  <c r="M4527" i="1" s="1"/>
  <c r="M4591" i="1" a="1"/>
  <c r="M4591" i="1" s="1"/>
  <c r="M4649" i="1" a="1"/>
  <c r="M4649" i="1" s="1"/>
  <c r="M4671" i="1" a="1"/>
  <c r="M4671" i="1" s="1"/>
  <c r="M4690" i="1" a="1"/>
  <c r="M4690" i="1" s="1"/>
  <c r="M4713" i="1" a="1"/>
  <c r="M4713" i="1" s="1"/>
  <c r="M4729" i="1" a="1"/>
  <c r="M4729" i="1" s="1"/>
  <c r="M4739" i="1" a="1"/>
  <c r="M4739" i="1" s="1"/>
  <c r="M4749" i="1" a="1"/>
  <c r="M4749" i="1" s="1"/>
  <c r="M4758" i="1" a="1"/>
  <c r="M4758" i="1" s="1"/>
  <c r="M4767" i="1" a="1"/>
  <c r="M4767" i="1" s="1"/>
  <c r="M4776" i="1" a="1"/>
  <c r="M4776" i="1" s="1"/>
  <c r="M4785" i="1" a="1"/>
  <c r="M4785" i="1" s="1"/>
  <c r="M4794" i="1" a="1"/>
  <c r="M4794" i="1" s="1"/>
  <c r="M4803" i="1" a="1"/>
  <c r="M4803" i="1" s="1"/>
  <c r="M4811" i="1" a="1"/>
  <c r="M4811" i="1" s="1"/>
  <c r="M4819" i="1" a="1"/>
  <c r="M4819" i="1" s="1"/>
  <c r="M4827" i="1" a="1"/>
  <c r="M4827" i="1" s="1"/>
  <c r="M4835" i="1" a="1"/>
  <c r="M4835" i="1" s="1"/>
  <c r="M4843" i="1" a="1"/>
  <c r="M4843" i="1" s="1"/>
  <c r="M4851" i="1" a="1"/>
  <c r="M4851" i="1" s="1"/>
  <c r="M4859" i="1" a="1"/>
  <c r="M4859" i="1" s="1"/>
  <c r="M4867" i="1" a="1"/>
  <c r="M4867" i="1" s="1"/>
  <c r="M4875" i="1" a="1"/>
  <c r="M4875" i="1" s="1"/>
  <c r="M4883" i="1" a="1"/>
  <c r="M4883" i="1" s="1"/>
  <c r="M4891" i="1" a="1"/>
  <c r="M4891" i="1" s="1"/>
  <c r="M4955" i="1" a="1"/>
  <c r="M4955" i="1" s="1"/>
  <c r="M5019" i="1" a="1"/>
  <c r="M5019" i="1" s="1"/>
  <c r="M5083" i="1" a="1"/>
  <c r="M5083" i="1" s="1"/>
  <c r="M5147" i="1" a="1"/>
  <c r="M5147" i="1" s="1"/>
  <c r="M5211" i="1" a="1"/>
  <c r="M5211" i="1" s="1"/>
  <c r="M5275" i="1" a="1"/>
  <c r="M5275" i="1" s="1"/>
  <c r="M5339" i="1" a="1"/>
  <c r="M5339" i="1" s="1"/>
  <c r="M5403" i="1" a="1"/>
  <c r="M5403" i="1" s="1"/>
  <c r="M5467" i="1" a="1"/>
  <c r="M5467" i="1" s="1"/>
  <c r="M5531" i="1" a="1"/>
  <c r="M5531" i="1" s="1"/>
  <c r="M5595" i="1" a="1"/>
  <c r="M5595" i="1" s="1"/>
  <c r="M5659" i="1" a="1"/>
  <c r="M5659" i="1" s="1"/>
  <c r="M5723" i="1" a="1"/>
  <c r="M5723" i="1" s="1"/>
  <c r="M5787" i="1" a="1"/>
  <c r="M5787" i="1" s="1"/>
  <c r="M4899" i="1" a="1"/>
  <c r="M4899" i="1" s="1"/>
  <c r="M4963" i="1" a="1"/>
  <c r="M4963" i="1" s="1"/>
  <c r="M5027" i="1" a="1"/>
  <c r="M5027" i="1" s="1"/>
  <c r="M5091" i="1" a="1"/>
  <c r="M5091" i="1" s="1"/>
  <c r="M5155" i="1" a="1"/>
  <c r="M5155" i="1" s="1"/>
  <c r="M5219" i="1" a="1"/>
  <c r="M5219" i="1" s="1"/>
  <c r="M5283" i="1" a="1"/>
  <c r="M5283" i="1" s="1"/>
  <c r="M5347" i="1" a="1"/>
  <c r="M5347" i="1" s="1"/>
  <c r="M5411" i="1" a="1"/>
  <c r="M5411" i="1" s="1"/>
  <c r="M5475" i="1" a="1"/>
  <c r="M5475" i="1" s="1"/>
  <c r="M5539" i="1" a="1"/>
  <c r="M5539" i="1" s="1"/>
  <c r="M5603" i="1" a="1"/>
  <c r="M5603" i="1" s="1"/>
  <c r="M5667" i="1" a="1"/>
  <c r="M5667" i="1" s="1"/>
  <c r="M5731" i="1" a="1"/>
  <c r="M5731" i="1" s="1"/>
  <c r="M5795" i="1" a="1"/>
  <c r="M5795" i="1" s="1"/>
  <c r="M4907" i="1" a="1"/>
  <c r="M4907" i="1" s="1"/>
  <c r="M4971" i="1" a="1"/>
  <c r="M4971" i="1" s="1"/>
  <c r="M5035" i="1" a="1"/>
  <c r="M5035" i="1" s="1"/>
  <c r="M5099" i="1" a="1"/>
  <c r="M5099" i="1" s="1"/>
  <c r="M5163" i="1" a="1"/>
  <c r="M5163" i="1" s="1"/>
  <c r="M5227" i="1" a="1"/>
  <c r="M5227" i="1" s="1"/>
  <c r="M5291" i="1" a="1"/>
  <c r="M5291" i="1" s="1"/>
  <c r="M5355" i="1" a="1"/>
  <c r="M5355" i="1" s="1"/>
  <c r="M5419" i="1" a="1"/>
  <c r="M5419" i="1" s="1"/>
  <c r="M5483" i="1" a="1"/>
  <c r="M5483" i="1" s="1"/>
  <c r="M5547" i="1" a="1"/>
  <c r="M5547" i="1" s="1"/>
  <c r="M5611" i="1" a="1"/>
  <c r="M5611" i="1" s="1"/>
  <c r="M5675" i="1" a="1"/>
  <c r="M5675" i="1" s="1"/>
  <c r="M5739" i="1" a="1"/>
  <c r="M5739" i="1" s="1"/>
  <c r="M5803" i="1" a="1"/>
  <c r="M5803" i="1" s="1"/>
  <c r="M4915" i="1" a="1"/>
  <c r="M4915" i="1" s="1"/>
  <c r="M4979" i="1" a="1"/>
  <c r="M4979" i="1" s="1"/>
  <c r="M5043" i="1" a="1"/>
  <c r="M5043" i="1" s="1"/>
  <c r="M5107" i="1" a="1"/>
  <c r="M5107" i="1" s="1"/>
  <c r="M5171" i="1" a="1"/>
  <c r="M5171" i="1" s="1"/>
  <c r="M5235" i="1" a="1"/>
  <c r="M5235" i="1" s="1"/>
  <c r="M5299" i="1" a="1"/>
  <c r="M5299" i="1" s="1"/>
  <c r="M5363" i="1" a="1"/>
  <c r="M5363" i="1" s="1"/>
  <c r="M5427" i="1" a="1"/>
  <c r="M5427" i="1" s="1"/>
  <c r="M5491" i="1" a="1"/>
  <c r="M5491" i="1" s="1"/>
  <c r="M5555" i="1" a="1"/>
  <c r="M5555" i="1" s="1"/>
  <c r="M5619" i="1" a="1"/>
  <c r="M5619" i="1" s="1"/>
  <c r="M5683" i="1" a="1"/>
  <c r="M5683" i="1" s="1"/>
  <c r="M5747" i="1" a="1"/>
  <c r="M5747" i="1" s="1"/>
  <c r="M5811" i="1" a="1"/>
  <c r="M5811" i="1" s="1"/>
  <c r="M4923" i="1" a="1"/>
  <c r="M4923" i="1" s="1"/>
  <c r="M4987" i="1" a="1"/>
  <c r="M4987" i="1" s="1"/>
  <c r="M5051" i="1" a="1"/>
  <c r="M5051" i="1" s="1"/>
  <c r="M5115" i="1" a="1"/>
  <c r="M5115" i="1" s="1"/>
  <c r="M5179" i="1" a="1"/>
  <c r="M5179" i="1" s="1"/>
  <c r="M5243" i="1" a="1"/>
  <c r="M5243" i="1" s="1"/>
  <c r="M5307" i="1" a="1"/>
  <c r="M5307" i="1" s="1"/>
  <c r="M5371" i="1" a="1"/>
  <c r="M5371" i="1" s="1"/>
  <c r="M5435" i="1" a="1"/>
  <c r="M5435" i="1" s="1"/>
  <c r="M5499" i="1" a="1"/>
  <c r="M5499" i="1" s="1"/>
  <c r="M5563" i="1" a="1"/>
  <c r="M5563" i="1" s="1"/>
  <c r="M5627" i="1" a="1"/>
  <c r="M5627" i="1" s="1"/>
  <c r="M5691" i="1" a="1"/>
  <c r="M5691" i="1" s="1"/>
  <c r="M5755" i="1" a="1"/>
  <c r="M5755" i="1" s="1"/>
  <c r="M5819" i="1" a="1"/>
  <c r="M5819" i="1" s="1"/>
  <c r="M4931" i="1" a="1"/>
  <c r="M4931" i="1" s="1"/>
  <c r="M4995" i="1" a="1"/>
  <c r="M4995" i="1" s="1"/>
  <c r="M5059" i="1" a="1"/>
  <c r="M5059" i="1" s="1"/>
  <c r="M5123" i="1" a="1"/>
  <c r="M5123" i="1" s="1"/>
  <c r="M5187" i="1" a="1"/>
  <c r="M5187" i="1" s="1"/>
  <c r="M5251" i="1" a="1"/>
  <c r="M5251" i="1" s="1"/>
  <c r="M5315" i="1" a="1"/>
  <c r="M5315" i="1" s="1"/>
  <c r="M5379" i="1" a="1"/>
  <c r="M5379" i="1" s="1"/>
  <c r="M5443" i="1" a="1"/>
  <c r="M5443" i="1" s="1"/>
  <c r="M5507" i="1" a="1"/>
  <c r="M5507" i="1" s="1"/>
  <c r="M5571" i="1" a="1"/>
  <c r="M5571" i="1" s="1"/>
  <c r="M5635" i="1" a="1"/>
  <c r="M5635" i="1" s="1"/>
  <c r="M5699" i="1" a="1"/>
  <c r="M5699" i="1" s="1"/>
  <c r="M5763" i="1" a="1"/>
  <c r="M5763" i="1" s="1"/>
  <c r="M5827" i="1" a="1"/>
  <c r="M5827" i="1" s="1"/>
  <c r="M4939" i="1" a="1"/>
  <c r="M4939" i="1" s="1"/>
  <c r="M5003" i="1" a="1"/>
  <c r="M5003" i="1" s="1"/>
  <c r="M5067" i="1" a="1"/>
  <c r="M5067" i="1" s="1"/>
  <c r="M5131" i="1" a="1"/>
  <c r="M5131" i="1" s="1"/>
  <c r="M5195" i="1" a="1"/>
  <c r="M5195" i="1" s="1"/>
  <c r="M5259" i="1" a="1"/>
  <c r="M5259" i="1" s="1"/>
  <c r="M5323" i="1" a="1"/>
  <c r="M5323" i="1" s="1"/>
  <c r="M5387" i="1" a="1"/>
  <c r="M5387" i="1" s="1"/>
  <c r="M5451" i="1" a="1"/>
  <c r="M5451" i="1" s="1"/>
  <c r="M5515" i="1" a="1"/>
  <c r="M5515" i="1" s="1"/>
  <c r="M5579" i="1" a="1"/>
  <c r="M5579" i="1" s="1"/>
  <c r="M5643" i="1" a="1"/>
  <c r="M5643" i="1" s="1"/>
  <c r="M5707" i="1" a="1"/>
  <c r="M5707" i="1" s="1"/>
  <c r="M5771" i="1" a="1"/>
  <c r="M5771" i="1" s="1"/>
  <c r="M5835" i="1" a="1"/>
  <c r="M5835" i="1" s="1"/>
  <c r="M4947" i="1" a="1"/>
  <c r="M4947" i="1" s="1"/>
  <c r="M5011" i="1" a="1"/>
  <c r="M5011" i="1" s="1"/>
  <c r="M5075" i="1" a="1"/>
  <c r="M5075" i="1" s="1"/>
  <c r="M5139" i="1" a="1"/>
  <c r="M5139" i="1" s="1"/>
  <c r="M5203" i="1" a="1"/>
  <c r="M5203" i="1" s="1"/>
  <c r="M5267" i="1" a="1"/>
  <c r="M5267" i="1" s="1"/>
  <c r="M5331" i="1" a="1"/>
  <c r="M5331" i="1" s="1"/>
  <c r="M5395" i="1" a="1"/>
  <c r="M5395" i="1" s="1"/>
  <c r="M5459" i="1" a="1"/>
  <c r="M5459" i="1" s="1"/>
  <c r="M5523" i="1" a="1"/>
  <c r="M5523" i="1" s="1"/>
  <c r="M5587" i="1" a="1"/>
  <c r="M5587" i="1" s="1"/>
  <c r="M5651" i="1" a="1"/>
  <c r="M5651" i="1" s="1"/>
  <c r="M5715" i="1" a="1"/>
  <c r="M5715" i="1" s="1"/>
  <c r="M5779" i="1" a="1"/>
  <c r="M5779" i="1" s="1"/>
  <c r="AQ20" i="16"/>
  <c r="E19" i="16"/>
  <c r="F19" i="16" s="1"/>
  <c r="E20" i="16"/>
  <c r="E21" i="16" s="1"/>
  <c r="F50" i="16"/>
  <c r="E50" i="16"/>
  <c r="X22" i="16" l="1"/>
  <c r="AF22" i="16" s="1"/>
  <c r="N2094" i="1"/>
  <c r="N2142" i="1"/>
  <c r="AA21" i="16"/>
  <c r="M21" i="16" s="1"/>
  <c r="AF21" i="16"/>
  <c r="R21" i="16" s="1"/>
  <c r="G50" i="16"/>
  <c r="F51" i="16"/>
  <c r="AU27" i="16"/>
  <c r="O20" i="16"/>
  <c r="P20" i="16"/>
  <c r="AB21" i="16"/>
  <c r="N21" i="16" s="1"/>
  <c r="BJ135" i="16"/>
  <c r="AN135" i="16" s="1"/>
  <c r="AM138" i="16"/>
  <c r="Z21" i="16"/>
  <c r="L21" i="16" s="1"/>
  <c r="F13" i="16"/>
  <c r="I13" i="16" s="1"/>
  <c r="AD21" i="16"/>
  <c r="P21" i="16" s="1"/>
  <c r="AC21" i="16"/>
  <c r="O21" i="16" s="1"/>
  <c r="AP27" i="16"/>
  <c r="K21" i="16"/>
  <c r="S19" i="16"/>
  <c r="H188" i="16"/>
  <c r="H189" i="16"/>
  <c r="H190" i="16"/>
  <c r="E190" i="16"/>
  <c r="E189" i="16"/>
  <c r="F190" i="16"/>
  <c r="F188" i="16"/>
  <c r="E188" i="16"/>
  <c r="F189" i="16"/>
  <c r="BD86" i="16"/>
  <c r="BD87" i="16"/>
  <c r="BB86" i="16"/>
  <c r="AM88" i="16"/>
  <c r="BD88" i="16" s="1"/>
  <c r="BB87" i="16"/>
  <c r="BC87" i="16"/>
  <c r="BC86" i="16"/>
  <c r="N991" i="1"/>
  <c r="N727" i="1"/>
  <c r="N439" i="1"/>
  <c r="N1471" i="1"/>
  <c r="N295" i="1"/>
  <c r="N751" i="1"/>
  <c r="N151" i="1"/>
  <c r="N247" i="1"/>
  <c r="N1375" i="1"/>
  <c r="N2167" i="1"/>
  <c r="N1447" i="1"/>
  <c r="N943" i="1"/>
  <c r="N1519" i="1"/>
  <c r="N799" i="1"/>
  <c r="N463" i="1"/>
  <c r="N1735" i="1"/>
  <c r="N55" i="1"/>
  <c r="N1591" i="1"/>
  <c r="N1759" i="1"/>
  <c r="N415" i="1"/>
  <c r="N223" i="1"/>
  <c r="N535" i="1"/>
  <c r="N1207" i="1"/>
  <c r="N1783" i="1"/>
  <c r="N7" i="1"/>
  <c r="N343" i="1"/>
  <c r="N2023" i="1"/>
  <c r="N1183" i="1"/>
  <c r="N1927" i="1"/>
  <c r="N1399" i="1"/>
  <c r="N1087" i="1"/>
  <c r="N487" i="1"/>
  <c r="N919" i="1"/>
  <c r="N1663" i="1"/>
  <c r="N1039" i="1"/>
  <c r="N1543" i="1"/>
  <c r="N31" i="1"/>
  <c r="N1015" i="1"/>
  <c r="N175" i="1"/>
  <c r="N1615" i="1"/>
  <c r="N607" i="1"/>
  <c r="N271" i="1"/>
  <c r="N1951" i="1"/>
  <c r="N103" i="1"/>
  <c r="N511" i="1"/>
  <c r="N1687" i="1"/>
  <c r="N1639" i="1"/>
  <c r="N895" i="1"/>
  <c r="N1423" i="1"/>
  <c r="N559" i="1"/>
  <c r="N1999" i="1"/>
  <c r="N1879" i="1"/>
  <c r="N367" i="1"/>
  <c r="N871" i="1"/>
  <c r="N1111" i="1"/>
  <c r="N775" i="1"/>
  <c r="N847" i="1"/>
  <c r="N2119" i="1"/>
  <c r="N127" i="1"/>
  <c r="N1855" i="1"/>
  <c r="N679" i="1"/>
  <c r="N1903" i="1"/>
  <c r="N79" i="1"/>
  <c r="N1831" i="1"/>
  <c r="N319" i="1"/>
  <c r="N1711" i="1"/>
  <c r="N1279" i="1"/>
  <c r="N1303" i="1"/>
  <c r="N2143" i="1"/>
  <c r="N967" i="1"/>
  <c r="N2071" i="1"/>
  <c r="N655" i="1"/>
  <c r="N1495" i="1"/>
  <c r="N823" i="1"/>
  <c r="N2047" i="1"/>
  <c r="N199" i="1"/>
  <c r="N1135" i="1"/>
  <c r="N1807" i="1"/>
  <c r="N391" i="1"/>
  <c r="N583" i="1"/>
  <c r="N1255" i="1"/>
  <c r="N2095" i="1"/>
  <c r="N1567" i="1"/>
  <c r="N1159" i="1"/>
  <c r="N703" i="1"/>
  <c r="N631" i="1"/>
  <c r="N1063" i="1"/>
  <c r="N1327" i="1"/>
  <c r="N1975" i="1"/>
  <c r="N1351" i="1"/>
  <c r="N1231" i="1"/>
  <c r="AT17" i="16"/>
  <c r="AU17" i="16" s="1"/>
  <c r="AV17" i="16" s="1"/>
  <c r="G123" i="16"/>
  <c r="F123" i="16"/>
  <c r="H123" i="16"/>
  <c r="E123" i="16"/>
  <c r="E52" i="16" s="1"/>
  <c r="G72" i="16"/>
  <c r="G74" i="16"/>
  <c r="G76" i="16" s="1"/>
  <c r="F73" i="16"/>
  <c r="F75" i="16" s="1"/>
  <c r="G73" i="16"/>
  <c r="G75" i="16" s="1"/>
  <c r="I70" i="16"/>
  <c r="H74" i="16"/>
  <c r="H76" i="16" s="1"/>
  <c r="H73" i="16"/>
  <c r="H75" i="16" s="1"/>
  <c r="F74" i="16"/>
  <c r="H72" i="16"/>
  <c r="F72" i="16"/>
  <c r="I71" i="16"/>
  <c r="F53" i="16"/>
  <c r="F52" i="16"/>
  <c r="AP20" i="16"/>
  <c r="AD22" i="16"/>
  <c r="AE22" i="16"/>
  <c r="AB22" i="16"/>
  <c r="Z22" i="16"/>
  <c r="L22" i="16" s="1"/>
  <c r="AA22" i="16"/>
  <c r="M22" i="16" s="1"/>
  <c r="AC22" i="16"/>
  <c r="O22" i="16" s="1"/>
  <c r="Y22" i="16"/>
  <c r="N824" i="1"/>
  <c r="N1496" i="1"/>
  <c r="N992" i="1"/>
  <c r="N1688" i="1"/>
  <c r="AT18" i="16"/>
  <c r="AU18" i="16" s="1"/>
  <c r="AV18" i="16" s="1"/>
  <c r="AT28" i="16"/>
  <c r="AQ28" i="16"/>
  <c r="AP28" i="16"/>
  <c r="AU28" i="16"/>
  <c r="AG19" i="16"/>
  <c r="AO26" i="16"/>
  <c r="H29" i="16"/>
  <c r="AT20" i="16" s="1"/>
  <c r="AU20" i="16" s="1"/>
  <c r="AV20" i="16" s="1"/>
  <c r="AR17" i="16"/>
  <c r="H161" i="16"/>
  <c r="BL91" i="16"/>
  <c r="BJ91" i="16"/>
  <c r="BL90" i="16"/>
  <c r="BK88" i="16"/>
  <c r="BN135" i="16"/>
  <c r="AR135" i="16" s="1"/>
  <c r="BN89" i="16"/>
  <c r="AR19" i="16"/>
  <c r="BP91" i="16"/>
  <c r="BK91" i="16"/>
  <c r="F161" i="16"/>
  <c r="BO88" i="16"/>
  <c r="BM89" i="16"/>
  <c r="BL89" i="16"/>
  <c r="BL88" i="16"/>
  <c r="BO91" i="16"/>
  <c r="BK89" i="16"/>
  <c r="BJ89" i="16"/>
  <c r="BJ88" i="16"/>
  <c r="BO135" i="16"/>
  <c r="AS135" i="16" s="1"/>
  <c r="BM135" i="16"/>
  <c r="AQ135" i="16" s="1"/>
  <c r="BL135" i="16"/>
  <c r="AP135" i="16" s="1"/>
  <c r="BK135" i="16"/>
  <c r="AO135" i="16" s="1"/>
  <c r="BP135" i="16"/>
  <c r="AT135" i="16" s="1"/>
  <c r="G161" i="16"/>
  <c r="G160" i="16"/>
  <c r="BM91" i="16"/>
  <c r="BP136" i="16"/>
  <c r="AT136" i="16" s="1"/>
  <c r="BJ90" i="16"/>
  <c r="E122" i="16"/>
  <c r="H122" i="16"/>
  <c r="BM90" i="16"/>
  <c r="BN90" i="16"/>
  <c r="AZ87" i="16"/>
  <c r="AZ86" i="16"/>
  <c r="BO136" i="16"/>
  <c r="AS136" i="16" s="1"/>
  <c r="BP90" i="16"/>
  <c r="E160" i="16"/>
  <c r="E53" i="16" s="1"/>
  <c r="F122" i="16"/>
  <c r="G122" i="16"/>
  <c r="E162" i="16"/>
  <c r="BO89" i="16"/>
  <c r="H121" i="16"/>
  <c r="G162" i="16"/>
  <c r="E161" i="16"/>
  <c r="BK90" i="16"/>
  <c r="BJ136" i="16"/>
  <c r="AN136" i="16" s="1"/>
  <c r="BP88" i="16"/>
  <c r="BO90" i="16"/>
  <c r="F162" i="16"/>
  <c r="F121" i="16"/>
  <c r="F160" i="16"/>
  <c r="G121" i="16"/>
  <c r="BN87" i="16"/>
  <c r="AR87" i="16" s="1"/>
  <c r="BM87" i="16"/>
  <c r="AQ87" i="16" s="1"/>
  <c r="BJ87" i="16"/>
  <c r="AN87" i="16" s="1"/>
  <c r="H162" i="16"/>
  <c r="BN86" i="16"/>
  <c r="AR86" i="16" s="1"/>
  <c r="BA87" i="16"/>
  <c r="H160" i="16"/>
  <c r="AY87" i="16"/>
  <c r="AY86" i="16"/>
  <c r="BL86" i="16"/>
  <c r="AP86" i="16" s="1"/>
  <c r="BA86" i="16"/>
  <c r="BM86" i="16"/>
  <c r="BL87" i="16"/>
  <c r="AP87" i="16" s="1"/>
  <c r="BP87" i="16"/>
  <c r="AT87" i="16" s="1"/>
  <c r="BN136" i="16"/>
  <c r="AR136" i="16" s="1"/>
  <c r="BO86" i="16"/>
  <c r="AS86" i="16" s="1"/>
  <c r="BP89" i="16"/>
  <c r="BM136" i="16"/>
  <c r="AQ136" i="16" s="1"/>
  <c r="BK87" i="16"/>
  <c r="AO87" i="16" s="1"/>
  <c r="BP86" i="16"/>
  <c r="AT86" i="16" s="1"/>
  <c r="BL136" i="16"/>
  <c r="AP136" i="16" s="1"/>
  <c r="BJ86" i="16"/>
  <c r="BK86" i="16"/>
  <c r="BO87" i="16"/>
  <c r="AS87" i="16" s="1"/>
  <c r="BK136" i="16"/>
  <c r="AO136" i="16" s="1"/>
  <c r="BN91" i="16"/>
  <c r="BI92" i="16"/>
  <c r="BM88" i="16"/>
  <c r="AQ88" i="16" s="1"/>
  <c r="BN88" i="16"/>
  <c r="BK137" i="16"/>
  <c r="AO137" i="16" s="1"/>
  <c r="BL137" i="16"/>
  <c r="AP137" i="16" s="1"/>
  <c r="BM137" i="16"/>
  <c r="AQ137" i="16" s="1"/>
  <c r="BN137" i="16"/>
  <c r="AR137" i="16" s="1"/>
  <c r="BO137" i="16"/>
  <c r="AS137" i="16" s="1"/>
  <c r="BP137" i="16"/>
  <c r="AT137" i="16" s="1"/>
  <c r="BJ137" i="16"/>
  <c r="AN137" i="16" s="1"/>
  <c r="BI138" i="16"/>
  <c r="BA88" i="16"/>
  <c r="N1664" i="1" l="1"/>
  <c r="I26" i="16"/>
  <c r="X23" i="16"/>
  <c r="AF23" i="16" s="1"/>
  <c r="R23" i="16" s="1"/>
  <c r="N3151" i="1"/>
  <c r="N968" i="1"/>
  <c r="S20" i="16"/>
  <c r="AT88" i="16"/>
  <c r="AP88" i="16"/>
  <c r="AY88" i="16"/>
  <c r="AS88" i="16"/>
  <c r="AN88" i="16"/>
  <c r="N1520" i="1"/>
  <c r="E51" i="16"/>
  <c r="H51" i="16" s="1"/>
  <c r="I51" i="16" s="1"/>
  <c r="AR28" i="16"/>
  <c r="N584" i="1"/>
  <c r="AS28" i="16"/>
  <c r="AM139" i="16"/>
  <c r="AZ88" i="16"/>
  <c r="AO88" i="16"/>
  <c r="N1736" i="1"/>
  <c r="N22" i="16"/>
  <c r="AU29" i="16"/>
  <c r="R22" i="16"/>
  <c r="AT29" i="16"/>
  <c r="Q22" i="16"/>
  <c r="AS29" i="16"/>
  <c r="P22" i="16"/>
  <c r="K22" i="16"/>
  <c r="BE87" i="16"/>
  <c r="BE86" i="16"/>
  <c r="J188" i="16"/>
  <c r="J190" i="16"/>
  <c r="J189" i="16"/>
  <c r="G190" i="16"/>
  <c r="I190" i="16" s="1"/>
  <c r="E187" i="16"/>
  <c r="G188" i="16"/>
  <c r="I188" i="16" s="1"/>
  <c r="G189" i="16"/>
  <c r="I189" i="16" s="1"/>
  <c r="H187" i="16"/>
  <c r="F187" i="16"/>
  <c r="AM89" i="16"/>
  <c r="BB88" i="16"/>
  <c r="BC88" i="16"/>
  <c r="N632" i="1"/>
  <c r="N5335" i="1"/>
  <c r="N320" i="1"/>
  <c r="N1880" i="1"/>
  <c r="N2239" i="1"/>
  <c r="N944" i="1"/>
  <c r="N1448" i="1"/>
  <c r="N1832" i="1"/>
  <c r="N1712" i="1"/>
  <c r="I72" i="16"/>
  <c r="N800" i="1"/>
  <c r="N1256" i="1"/>
  <c r="N224" i="1"/>
  <c r="N368" i="1"/>
  <c r="N1064" i="1"/>
  <c r="N3775" i="1"/>
  <c r="N3463" i="1"/>
  <c r="N2527" i="1"/>
  <c r="N680" i="1"/>
  <c r="N656" i="1"/>
  <c r="N488" i="1"/>
  <c r="N416" i="1"/>
  <c r="N440" i="1"/>
  <c r="N608" i="1"/>
  <c r="N728" i="1"/>
  <c r="N2048" i="1"/>
  <c r="N872" i="1"/>
  <c r="N536" i="1"/>
  <c r="N5311" i="1"/>
  <c r="N2863" i="1"/>
  <c r="N4999" i="1"/>
  <c r="N4063" i="1"/>
  <c r="N896" i="1"/>
  <c r="N1400" i="1"/>
  <c r="N4399" i="1"/>
  <c r="N5599" i="1"/>
  <c r="N1016" i="1"/>
  <c r="N152" i="1"/>
  <c r="N2144" i="1"/>
  <c r="N1952" i="1"/>
  <c r="N1904" i="1"/>
  <c r="N3559" i="1"/>
  <c r="N848" i="1"/>
  <c r="N1856" i="1"/>
  <c r="N1328" i="1"/>
  <c r="N1808" i="1"/>
  <c r="N464" i="1"/>
  <c r="N1136" i="1"/>
  <c r="N104" i="1"/>
  <c r="N512" i="1"/>
  <c r="N1112" i="1"/>
  <c r="N344" i="1"/>
  <c r="N1040" i="1"/>
  <c r="N2096" i="1"/>
  <c r="N4327" i="1"/>
  <c r="N3127" i="1"/>
  <c r="N8" i="1"/>
  <c r="N1352" i="1"/>
  <c r="N1160" i="1"/>
  <c r="N2000" i="1"/>
  <c r="N128" i="1"/>
  <c r="N80" i="1"/>
  <c r="N1088" i="1"/>
  <c r="N2120" i="1"/>
  <c r="N920" i="1"/>
  <c r="N32" i="1"/>
  <c r="N2263" i="1"/>
  <c r="N4663" i="1"/>
  <c r="N4495" i="1"/>
  <c r="N2959" i="1"/>
  <c r="N4471" i="1"/>
  <c r="N2935" i="1"/>
  <c r="N3367" i="1"/>
  <c r="N5407" i="1"/>
  <c r="N3871" i="1"/>
  <c r="N2335" i="1"/>
  <c r="N4807" i="1"/>
  <c r="N3271" i="1"/>
  <c r="N5743" i="1"/>
  <c r="N4207" i="1"/>
  <c r="N2671" i="1"/>
  <c r="N5143" i="1"/>
  <c r="N3607" i="1"/>
  <c r="N2215" i="1"/>
  <c r="N5119" i="1"/>
  <c r="N3583" i="1"/>
  <c r="N4303" i="1"/>
  <c r="N2767" i="1"/>
  <c r="N4519" i="1"/>
  <c r="N5815" i="1"/>
  <c r="N4279" i="1"/>
  <c r="N2743" i="1"/>
  <c r="N2407" i="1"/>
  <c r="N5215" i="1"/>
  <c r="N3679" i="1"/>
  <c r="N5095" i="1"/>
  <c r="N4615" i="1"/>
  <c r="N3079" i="1"/>
  <c r="N4711" i="1"/>
  <c r="N5551" i="1"/>
  <c r="N4015" i="1"/>
  <c r="N2479" i="1"/>
  <c r="N4951" i="1"/>
  <c r="N3415" i="1"/>
  <c r="N4927" i="1"/>
  <c r="N3391" i="1"/>
  <c r="N5647" i="1"/>
  <c r="N4111" i="1"/>
  <c r="N2575" i="1"/>
  <c r="N3751" i="1"/>
  <c r="N5623" i="1"/>
  <c r="N4087" i="1"/>
  <c r="N2551" i="1"/>
  <c r="N5023" i="1"/>
  <c r="N3487" i="1"/>
  <c r="N3943" i="1"/>
  <c r="N4423" i="1"/>
  <c r="N2887" i="1"/>
  <c r="N2983" i="1"/>
  <c r="N5359" i="1"/>
  <c r="N3823" i="1"/>
  <c r="N2287" i="1"/>
  <c r="N4135" i="1"/>
  <c r="N4759" i="1"/>
  <c r="N3223" i="1"/>
  <c r="N4735" i="1"/>
  <c r="N3199" i="1"/>
  <c r="N5671" i="1"/>
  <c r="N200" i="1"/>
  <c r="N392" i="1"/>
  <c r="N1592" i="1"/>
  <c r="N1304" i="1"/>
  <c r="N296" i="1"/>
  <c r="N1184" i="1"/>
  <c r="N5455" i="1"/>
  <c r="N3919" i="1"/>
  <c r="N2383" i="1"/>
  <c r="N2599" i="1"/>
  <c r="N5431" i="1"/>
  <c r="N3895" i="1"/>
  <c r="N2359" i="1"/>
  <c r="N4831" i="1"/>
  <c r="N3295" i="1"/>
  <c r="N2791" i="1"/>
  <c r="N5767" i="1"/>
  <c r="N4231" i="1"/>
  <c r="N2695" i="1"/>
  <c r="N5167" i="1"/>
  <c r="N3631" i="1"/>
  <c r="N2168" i="1"/>
  <c r="N3175" i="1"/>
  <c r="N4567" i="1"/>
  <c r="N3031" i="1"/>
  <c r="N4543" i="1"/>
  <c r="N3007" i="1"/>
  <c r="N5479" i="1"/>
  <c r="N1544" i="1"/>
  <c r="N1568" i="1"/>
  <c r="N56" i="1"/>
  <c r="N1376" i="1"/>
  <c r="N1232" i="1"/>
  <c r="N1784" i="1"/>
  <c r="N776" i="1"/>
  <c r="N272" i="1"/>
  <c r="N1424" i="1"/>
  <c r="N1760" i="1"/>
  <c r="N752" i="1"/>
  <c r="N1976" i="1"/>
  <c r="N1472" i="1"/>
  <c r="N176" i="1"/>
  <c r="N5263" i="1"/>
  <c r="N3727" i="1"/>
  <c r="N2191" i="1"/>
  <c r="N5239" i="1"/>
  <c r="N3703" i="1"/>
  <c r="N4639" i="1"/>
  <c r="N3103" i="1"/>
  <c r="N5575" i="1"/>
  <c r="N4039" i="1"/>
  <c r="N2503" i="1"/>
  <c r="N4975" i="1"/>
  <c r="N3439" i="1"/>
  <c r="N4375" i="1"/>
  <c r="N2839" i="1"/>
  <c r="N4351" i="1"/>
  <c r="N2815" i="1"/>
  <c r="N5287" i="1"/>
  <c r="N560" i="1"/>
  <c r="N1208" i="1"/>
  <c r="N1616" i="1"/>
  <c r="N1280" i="1"/>
  <c r="N1640" i="1"/>
  <c r="N2024" i="1"/>
  <c r="N5071" i="1"/>
  <c r="N3535" i="1"/>
  <c r="N5047" i="1"/>
  <c r="N3511" i="1"/>
  <c r="N4447" i="1"/>
  <c r="N2911" i="1"/>
  <c r="N5383" i="1"/>
  <c r="N3847" i="1"/>
  <c r="N2311" i="1"/>
  <c r="N4783" i="1"/>
  <c r="N3247" i="1"/>
  <c r="N5719" i="1"/>
  <c r="N4183" i="1"/>
  <c r="N2647" i="1"/>
  <c r="N5695" i="1"/>
  <c r="N4159" i="1"/>
  <c r="N2623" i="1"/>
  <c r="N4879" i="1"/>
  <c r="N3343" i="1"/>
  <c r="N4855" i="1"/>
  <c r="N3319" i="1"/>
  <c r="N5791" i="1"/>
  <c r="N4255" i="1"/>
  <c r="N2719" i="1"/>
  <c r="N5191" i="1"/>
  <c r="N3655" i="1"/>
  <c r="N4591" i="1"/>
  <c r="N3055" i="1"/>
  <c r="N5527" i="1"/>
  <c r="N3991" i="1"/>
  <c r="N2455" i="1"/>
  <c r="N4903" i="1"/>
  <c r="N5503" i="1"/>
  <c r="N3967" i="1"/>
  <c r="N2431" i="1"/>
  <c r="N248" i="1"/>
  <c r="N1928" i="1"/>
  <c r="N2072" i="1"/>
  <c r="N704" i="1"/>
  <c r="N3799" i="1"/>
  <c r="N4687" i="1"/>
  <c r="I74" i="16"/>
  <c r="I76" i="16" s="1"/>
  <c r="F88" i="16"/>
  <c r="F93" i="16"/>
  <c r="E121" i="16"/>
  <c r="F76" i="16"/>
  <c r="I73" i="16"/>
  <c r="I75" i="16" s="1"/>
  <c r="H52" i="16"/>
  <c r="I52" i="16" s="1"/>
  <c r="H53" i="16"/>
  <c r="I53" i="16" s="1"/>
  <c r="N1665" i="1"/>
  <c r="N1041" i="1"/>
  <c r="AQ29" i="16"/>
  <c r="N33" i="1"/>
  <c r="N1833" i="1"/>
  <c r="AR29" i="16"/>
  <c r="AP29" i="16"/>
  <c r="AE23" i="16"/>
  <c r="AC23" i="16"/>
  <c r="Z23" i="16"/>
  <c r="L23" i="16" s="1"/>
  <c r="AD23" i="16"/>
  <c r="AB23" i="16"/>
  <c r="Y23" i="16"/>
  <c r="N609" i="1"/>
  <c r="N1617" i="1"/>
  <c r="N1281" i="1"/>
  <c r="N1929" i="1"/>
  <c r="N753" i="1"/>
  <c r="N1089" i="1"/>
  <c r="N2097" i="1"/>
  <c r="N249" i="1"/>
  <c r="N105" i="1"/>
  <c r="N1449" i="1"/>
  <c r="N633" i="1"/>
  <c r="N1593" i="1"/>
  <c r="X24" i="16"/>
  <c r="Z24" i="16" s="1"/>
  <c r="L24" i="16" s="1"/>
  <c r="AG20" i="16"/>
  <c r="AO27" i="16"/>
  <c r="AV27" i="16" s="1"/>
  <c r="AV26" i="16"/>
  <c r="AR20" i="16"/>
  <c r="I27" i="16"/>
  <c r="H157" i="16"/>
  <c r="I29" i="16"/>
  <c r="I28" i="16"/>
  <c r="BQ90" i="16"/>
  <c r="BQ136" i="16"/>
  <c r="AU135" i="16"/>
  <c r="BQ137" i="16"/>
  <c r="AW86" i="16"/>
  <c r="BI93" i="16"/>
  <c r="BJ92" i="16"/>
  <c r="BM92" i="16"/>
  <c r="BP92" i="16"/>
  <c r="BL92" i="16"/>
  <c r="BO92" i="16"/>
  <c r="BK92" i="16"/>
  <c r="BN92" i="16"/>
  <c r="BQ91" i="16"/>
  <c r="BQ89" i="16"/>
  <c r="AW87" i="16"/>
  <c r="AQ86" i="16"/>
  <c r="AO86" i="16"/>
  <c r="BQ88" i="16"/>
  <c r="AR88" i="16"/>
  <c r="AN86" i="16"/>
  <c r="BQ86" i="16"/>
  <c r="BQ87" i="16"/>
  <c r="BL138" i="16"/>
  <c r="AP138" i="16" s="1"/>
  <c r="BM138" i="16"/>
  <c r="AQ138" i="16" s="1"/>
  <c r="BN138" i="16"/>
  <c r="AR138" i="16" s="1"/>
  <c r="BO138" i="16"/>
  <c r="AS138" i="16" s="1"/>
  <c r="BP138" i="16"/>
  <c r="AT138" i="16" s="1"/>
  <c r="BJ138" i="16"/>
  <c r="AN138" i="16" s="1"/>
  <c r="BK138" i="16"/>
  <c r="AO138" i="16" s="1"/>
  <c r="BI139" i="16"/>
  <c r="BQ138" i="16"/>
  <c r="AA23" i="16" l="1"/>
  <c r="AP30" i="16" s="1"/>
  <c r="N4040" i="1"/>
  <c r="AW88" i="16"/>
  <c r="N2121" i="1"/>
  <c r="AV88" i="16"/>
  <c r="J187" i="16"/>
  <c r="AM140" i="16"/>
  <c r="AT30" i="16"/>
  <c r="Q23" i="16"/>
  <c r="AQ30" i="16"/>
  <c r="N23" i="16"/>
  <c r="AS30" i="16"/>
  <c r="P23" i="16"/>
  <c r="AR30" i="16"/>
  <c r="O23" i="16"/>
  <c r="S22" i="16"/>
  <c r="K23" i="16"/>
  <c r="S21" i="16"/>
  <c r="BE88" i="16"/>
  <c r="G187" i="16"/>
  <c r="AP89" i="16"/>
  <c r="BD89" i="16"/>
  <c r="AM90" i="16"/>
  <c r="BD90" i="16" s="1"/>
  <c r="BB89" i="16"/>
  <c r="BC89" i="16"/>
  <c r="AY89" i="16"/>
  <c r="BA89" i="16"/>
  <c r="AZ89" i="16"/>
  <c r="AN89" i="16"/>
  <c r="AQ89" i="16"/>
  <c r="AS89" i="16"/>
  <c r="AO89" i="16"/>
  <c r="AR89" i="16"/>
  <c r="AT89" i="16"/>
  <c r="N2960" i="1"/>
  <c r="N3608" i="1"/>
  <c r="N1641" i="1"/>
  <c r="N2145" i="1"/>
  <c r="N1953" i="1"/>
  <c r="N801" i="1"/>
  <c r="N657" i="1"/>
  <c r="N153" i="1"/>
  <c r="N2336" i="1"/>
  <c r="N1785" i="1"/>
  <c r="N441" i="1"/>
  <c r="N57" i="1"/>
  <c r="N2073" i="1"/>
  <c r="N1209" i="1"/>
  <c r="N537" i="1"/>
  <c r="N5072" i="1"/>
  <c r="N273" i="1"/>
  <c r="N1113" i="1"/>
  <c r="N777" i="1"/>
  <c r="N945" i="1"/>
  <c r="N4376" i="1"/>
  <c r="N2792" i="1"/>
  <c r="N1137" i="1"/>
  <c r="N1425" i="1"/>
  <c r="N417" i="1"/>
  <c r="N1401" i="1"/>
  <c r="N993" i="1"/>
  <c r="N2504" i="1"/>
  <c r="N3200" i="1"/>
  <c r="N1569" i="1"/>
  <c r="N5096" i="1"/>
  <c r="N4088" i="1"/>
  <c r="N849" i="1"/>
  <c r="N1017" i="1"/>
  <c r="N897" i="1"/>
  <c r="N2049" i="1"/>
  <c r="N2001" i="1"/>
  <c r="N3824" i="1"/>
  <c r="N4112" i="1"/>
  <c r="N5336" i="1"/>
  <c r="N2360" i="1"/>
  <c r="N3584" i="1"/>
  <c r="N4640" i="1"/>
  <c r="N129" i="1"/>
  <c r="N681" i="1"/>
  <c r="N1857" i="1"/>
  <c r="N1185" i="1"/>
  <c r="N561" i="1"/>
  <c r="N1329" i="1"/>
  <c r="N4904" i="1"/>
  <c r="N1305" i="1"/>
  <c r="N1905" i="1"/>
  <c r="N1065" i="1"/>
  <c r="N585" i="1"/>
  <c r="N1881" i="1"/>
  <c r="N1689" i="1"/>
  <c r="N4832" i="1"/>
  <c r="N5240" i="1"/>
  <c r="N5696" i="1"/>
  <c r="N3176" i="1"/>
  <c r="N4760" i="1"/>
  <c r="N1737" i="1"/>
  <c r="N5168" i="1"/>
  <c r="N5648" i="1"/>
  <c r="N4352" i="1"/>
  <c r="N5120" i="1"/>
  <c r="N5000" i="1"/>
  <c r="N9" i="1"/>
  <c r="N201" i="1"/>
  <c r="N825" i="1"/>
  <c r="N1161" i="1"/>
  <c r="N3560" i="1"/>
  <c r="N5024" i="1"/>
  <c r="N3008" i="1"/>
  <c r="N465" i="1"/>
  <c r="N969" i="1"/>
  <c r="N4568" i="1"/>
  <c r="N5816" i="1"/>
  <c r="N2697" i="1"/>
  <c r="N2169" i="1"/>
  <c r="N4041" i="1"/>
  <c r="N3128" i="1"/>
  <c r="N3296" i="1"/>
  <c r="N5192" i="1"/>
  <c r="N4448" i="1"/>
  <c r="N4856" i="1"/>
  <c r="N5792" i="1"/>
  <c r="N5144" i="1"/>
  <c r="N4520" i="1"/>
  <c r="N5624" i="1"/>
  <c r="N3344" i="1"/>
  <c r="N3152" i="1"/>
  <c r="N3488" i="1"/>
  <c r="N4424" i="1"/>
  <c r="N2480" i="1"/>
  <c r="N4784" i="1"/>
  <c r="N2192" i="1"/>
  <c r="N2912" i="1"/>
  <c r="N5672" i="1"/>
  <c r="N2648" i="1"/>
  <c r="N5552" i="1"/>
  <c r="N4592" i="1"/>
  <c r="N2432" i="1"/>
  <c r="N4256" i="1"/>
  <c r="N3656" i="1"/>
  <c r="N3800" i="1"/>
  <c r="N2552" i="1"/>
  <c r="N3248" i="1"/>
  <c r="N3368" i="1"/>
  <c r="N2456" i="1"/>
  <c r="N2744" i="1"/>
  <c r="N4688" i="1"/>
  <c r="N5384" i="1"/>
  <c r="N3416" i="1"/>
  <c r="N2816" i="1"/>
  <c r="N5504" i="1"/>
  <c r="N4712" i="1"/>
  <c r="N4736" i="1"/>
  <c r="N2600" i="1"/>
  <c r="N2840" i="1"/>
  <c r="N5216" i="1"/>
  <c r="N2768" i="1"/>
  <c r="N2624" i="1"/>
  <c r="N3032" i="1"/>
  <c r="N5048" i="1"/>
  <c r="N4976" i="1"/>
  <c r="N5408" i="1"/>
  <c r="N3464" i="1"/>
  <c r="N3873" i="1"/>
  <c r="N2672" i="1"/>
  <c r="N2264" i="1"/>
  <c r="N5720" i="1"/>
  <c r="N5312" i="1"/>
  <c r="N3752" i="1"/>
  <c r="N4544" i="1"/>
  <c r="N2984" i="1"/>
  <c r="N4160" i="1"/>
  <c r="N5744" i="1"/>
  <c r="N3224" i="1"/>
  <c r="N3632" i="1"/>
  <c r="N2312" i="1"/>
  <c r="N5768" i="1"/>
  <c r="N3320" i="1"/>
  <c r="N3944" i="1"/>
  <c r="N4304" i="1"/>
  <c r="N4328" i="1"/>
  <c r="N2576" i="1"/>
  <c r="N4928" i="1"/>
  <c r="N3536" i="1"/>
  <c r="N3680" i="1"/>
  <c r="N5217" i="1"/>
  <c r="N3440" i="1"/>
  <c r="N4880" i="1"/>
  <c r="N5432" i="1"/>
  <c r="N4952" i="1"/>
  <c r="N3392" i="1"/>
  <c r="N5288" i="1"/>
  <c r="N1377" i="1"/>
  <c r="N393" i="1"/>
  <c r="N369" i="1"/>
  <c r="N489" i="1"/>
  <c r="N1545" i="1"/>
  <c r="N1713" i="1"/>
  <c r="N1233" i="1"/>
  <c r="N513" i="1"/>
  <c r="N345" i="1"/>
  <c r="N1353" i="1"/>
  <c r="N1761" i="1"/>
  <c r="N297" i="1"/>
  <c r="N921" i="1"/>
  <c r="N1977" i="1"/>
  <c r="N5528" i="1"/>
  <c r="N4400" i="1"/>
  <c r="N3992" i="1"/>
  <c r="N3104" i="1"/>
  <c r="N4280" i="1"/>
  <c r="N3080" i="1"/>
  <c r="N3056" i="1"/>
  <c r="N4184" i="1"/>
  <c r="N2888" i="1"/>
  <c r="N5480" i="1"/>
  <c r="N2384" i="1"/>
  <c r="N5576" i="1"/>
  <c r="N5600" i="1"/>
  <c r="N3968" i="1"/>
  <c r="N4136" i="1"/>
  <c r="N3848" i="1"/>
  <c r="N4808" i="1"/>
  <c r="N2936" i="1"/>
  <c r="N3920" i="1"/>
  <c r="N5360" i="1"/>
  <c r="N3896" i="1"/>
  <c r="N4016" i="1"/>
  <c r="N4496" i="1"/>
  <c r="N2528" i="1"/>
  <c r="N5456" i="1"/>
  <c r="N2240" i="1"/>
  <c r="N4232" i="1"/>
  <c r="N3728" i="1"/>
  <c r="N3272" i="1"/>
  <c r="N5264" i="1"/>
  <c r="N2720" i="1"/>
  <c r="N4208" i="1"/>
  <c r="N2696" i="1"/>
  <c r="N2288" i="1"/>
  <c r="N3776" i="1"/>
  <c r="N3872" i="1"/>
  <c r="N2864" i="1"/>
  <c r="N3704" i="1"/>
  <c r="N4664" i="1"/>
  <c r="N4472" i="1"/>
  <c r="N4064" i="1"/>
  <c r="N2216" i="1"/>
  <c r="N4616" i="1"/>
  <c r="N321" i="1"/>
  <c r="N873" i="1"/>
  <c r="N1497" i="1"/>
  <c r="N705" i="1"/>
  <c r="N177" i="1"/>
  <c r="N81" i="1"/>
  <c r="N1473" i="1"/>
  <c r="N1257" i="1"/>
  <c r="N1809" i="1"/>
  <c r="N1521" i="1"/>
  <c r="N2025" i="1"/>
  <c r="N225" i="1"/>
  <c r="N729" i="1"/>
  <c r="N2408" i="1"/>
  <c r="N3512" i="1"/>
  <c r="F98" i="16"/>
  <c r="J73" i="16"/>
  <c r="J74" i="16"/>
  <c r="AU30" i="16"/>
  <c r="AB24" i="16"/>
  <c r="N2122" i="1" s="1"/>
  <c r="AA24" i="16"/>
  <c r="AC24" i="16"/>
  <c r="AE24" i="16"/>
  <c r="AF24" i="16"/>
  <c r="AD24" i="16"/>
  <c r="Y24" i="16"/>
  <c r="N178" i="1"/>
  <c r="N1690" i="1"/>
  <c r="N2026" i="1"/>
  <c r="N1330" i="1"/>
  <c r="N346" i="1"/>
  <c r="N1522" i="1"/>
  <c r="N1858" i="1"/>
  <c r="N682" i="1"/>
  <c r="N10" i="1"/>
  <c r="N514" i="1"/>
  <c r="N370" i="1"/>
  <c r="N2050" i="1"/>
  <c r="N2074" i="1"/>
  <c r="N1498" i="1"/>
  <c r="N850" i="1"/>
  <c r="N274" i="1"/>
  <c r="N826" i="1"/>
  <c r="N1234" i="1"/>
  <c r="N658" i="1"/>
  <c r="N778" i="1"/>
  <c r="N1162" i="1"/>
  <c r="N442" i="1"/>
  <c r="N610" i="1"/>
  <c r="N1282" i="1"/>
  <c r="N58" i="1"/>
  <c r="N1570" i="1"/>
  <c r="N1666" i="1"/>
  <c r="N946" i="1"/>
  <c r="N490" i="1"/>
  <c r="N1066" i="1"/>
  <c r="N322" i="1"/>
  <c r="N2002" i="1"/>
  <c r="N1906" i="1"/>
  <c r="N394" i="1"/>
  <c r="N1834" i="1"/>
  <c r="N730" i="1"/>
  <c r="N994" i="1"/>
  <c r="X25" i="16"/>
  <c r="Z25" i="16" s="1"/>
  <c r="L25" i="16" s="1"/>
  <c r="AO28" i="16"/>
  <c r="AG21" i="16"/>
  <c r="AV86" i="16"/>
  <c r="AU86" i="16"/>
  <c r="BN93" i="16"/>
  <c r="BK93" i="16"/>
  <c r="BJ93" i="16"/>
  <c r="BP93" i="16"/>
  <c r="BI94" i="16"/>
  <c r="BM93" i="16"/>
  <c r="BO93" i="16"/>
  <c r="BL93" i="16"/>
  <c r="BP139" i="16"/>
  <c r="AT139" i="16" s="1"/>
  <c r="BI140" i="16"/>
  <c r="BK139" i="16"/>
  <c r="AO139" i="16" s="1"/>
  <c r="BN139" i="16"/>
  <c r="AR139" i="16" s="1"/>
  <c r="BJ139" i="16"/>
  <c r="AN139" i="16" s="1"/>
  <c r="BM139" i="16"/>
  <c r="AQ139" i="16" s="1"/>
  <c r="BL139" i="16"/>
  <c r="AP139" i="16" s="1"/>
  <c r="BO139" i="16"/>
  <c r="AS139" i="16" s="1"/>
  <c r="BQ139" i="16"/>
  <c r="AU88" i="16"/>
  <c r="AU136" i="16"/>
  <c r="AU137" i="16"/>
  <c r="AV87" i="16"/>
  <c r="AU87" i="16"/>
  <c r="BQ92" i="16"/>
  <c r="M23" i="16" l="1"/>
  <c r="N2625" i="1"/>
  <c r="AM141" i="16"/>
  <c r="I187" i="16"/>
  <c r="M24" i="16"/>
  <c r="N226" i="1"/>
  <c r="N24" i="16"/>
  <c r="AR31" i="16"/>
  <c r="O24" i="16"/>
  <c r="P24" i="16"/>
  <c r="AU31" i="16"/>
  <c r="R24" i="16"/>
  <c r="N130" i="1"/>
  <c r="Q24" i="16"/>
  <c r="K24" i="16"/>
  <c r="S23" i="16"/>
  <c r="BE89" i="16"/>
  <c r="AW89" i="16"/>
  <c r="BB90" i="16"/>
  <c r="BC90" i="16"/>
  <c r="AM91" i="16"/>
  <c r="BD91" i="16" s="1"/>
  <c r="AY90" i="16"/>
  <c r="AZ90" i="16"/>
  <c r="BA90" i="16"/>
  <c r="AN90" i="16"/>
  <c r="AR90" i="16"/>
  <c r="AO90" i="16"/>
  <c r="AS90" i="16"/>
  <c r="AT90" i="16"/>
  <c r="AQ90" i="16"/>
  <c r="AP90" i="16"/>
  <c r="AV89" i="16"/>
  <c r="AU89" i="16"/>
  <c r="N538" i="1"/>
  <c r="N1114" i="1"/>
  <c r="N1546" i="1"/>
  <c r="N1618" i="1"/>
  <c r="N1378" i="1"/>
  <c r="N202" i="1"/>
  <c r="N2289" i="1"/>
  <c r="N3729" i="1"/>
  <c r="N562" i="1"/>
  <c r="N1450" i="1"/>
  <c r="N106" i="1"/>
  <c r="N1186" i="1"/>
  <c r="N1018" i="1"/>
  <c r="N1354" i="1"/>
  <c r="N1402" i="1"/>
  <c r="N1210" i="1"/>
  <c r="N3561" i="1"/>
  <c r="N2217" i="1"/>
  <c r="N4473" i="1"/>
  <c r="N3369" i="1"/>
  <c r="N3705" i="1"/>
  <c r="N1738" i="1"/>
  <c r="N1882" i="1"/>
  <c r="N1954" i="1"/>
  <c r="N1042" i="1"/>
  <c r="N5745" i="1"/>
  <c r="N2913" i="1"/>
  <c r="N2241" i="1"/>
  <c r="N4737" i="1"/>
  <c r="N4641" i="1"/>
  <c r="N3585" i="1"/>
  <c r="N2193" i="1"/>
  <c r="N874" i="1"/>
  <c r="N4809" i="1"/>
  <c r="N2553" i="1"/>
  <c r="N3009" i="1"/>
  <c r="N154" i="1"/>
  <c r="N1786" i="1"/>
  <c r="N34" i="1"/>
  <c r="N1714" i="1"/>
  <c r="N1762" i="1"/>
  <c r="N706" i="1"/>
  <c r="N898" i="1"/>
  <c r="N3921" i="1"/>
  <c r="N2721" i="1"/>
  <c r="N5721" i="1"/>
  <c r="N1978" i="1"/>
  <c r="N5505" i="1"/>
  <c r="N2098" i="1"/>
  <c r="N970" i="1"/>
  <c r="N298" i="1"/>
  <c r="N4497" i="1"/>
  <c r="N4665" i="1"/>
  <c r="N3105" i="1"/>
  <c r="N922" i="1"/>
  <c r="N250" i="1"/>
  <c r="N1306" i="1"/>
  <c r="N4425" i="1"/>
  <c r="N5577" i="1"/>
  <c r="N3969" i="1"/>
  <c r="N5601" i="1"/>
  <c r="N4377" i="1"/>
  <c r="N3609" i="1"/>
  <c r="N5193" i="1"/>
  <c r="N4161" i="1"/>
  <c r="N5025" i="1"/>
  <c r="N4209" i="1"/>
  <c r="N4353" i="1"/>
  <c r="N2769" i="1"/>
  <c r="N2385" i="1"/>
  <c r="N2337" i="1"/>
  <c r="N2937" i="1"/>
  <c r="N2601" i="1"/>
  <c r="N5553" i="1"/>
  <c r="N2313" i="1"/>
  <c r="N2841" i="1"/>
  <c r="N3153" i="1"/>
  <c r="N3801" i="1"/>
  <c r="N5673" i="1"/>
  <c r="N1426" i="1"/>
  <c r="N1642" i="1"/>
  <c r="N4905" i="1"/>
  <c r="N4689" i="1"/>
  <c r="N2481" i="1"/>
  <c r="N5361" i="1"/>
  <c r="N2409" i="1"/>
  <c r="N4593" i="1"/>
  <c r="N3321" i="1"/>
  <c r="N3777" i="1"/>
  <c r="N4713" i="1"/>
  <c r="N3897" i="1"/>
  <c r="N2361" i="1"/>
  <c r="N4953" i="1"/>
  <c r="N3993" i="1"/>
  <c r="N4617" i="1"/>
  <c r="N3345" i="1"/>
  <c r="N3177" i="1"/>
  <c r="N2649" i="1"/>
  <c r="N3825" i="1"/>
  <c r="N4329" i="1"/>
  <c r="N1090" i="1"/>
  <c r="N754" i="1"/>
  <c r="N802" i="1"/>
  <c r="N466" i="1"/>
  <c r="N5793" i="1"/>
  <c r="N3657" i="1"/>
  <c r="N5649" i="1"/>
  <c r="N4929" i="1"/>
  <c r="N5097" i="1"/>
  <c r="N4281" i="1"/>
  <c r="N2265" i="1"/>
  <c r="N5313" i="1"/>
  <c r="N3273" i="1"/>
  <c r="N3513" i="1"/>
  <c r="N3849" i="1"/>
  <c r="N3033" i="1"/>
  <c r="N3129" i="1"/>
  <c r="N5145" i="1"/>
  <c r="N3633" i="1"/>
  <c r="N5337" i="1"/>
  <c r="N5409" i="1"/>
  <c r="N82" i="1"/>
  <c r="N1594" i="1"/>
  <c r="N418" i="1"/>
  <c r="N1930" i="1"/>
  <c r="N2170" i="1"/>
  <c r="N5049" i="1"/>
  <c r="N5817" i="1"/>
  <c r="N4401" i="1"/>
  <c r="N3249" i="1"/>
  <c r="N5241" i="1"/>
  <c r="N2529" i="1"/>
  <c r="N2433" i="1"/>
  <c r="N5625" i="1"/>
  <c r="N4305" i="1"/>
  <c r="N4977" i="1"/>
  <c r="N4257" i="1"/>
  <c r="N1810" i="1"/>
  <c r="N2146" i="1"/>
  <c r="N634" i="1"/>
  <c r="N3537" i="1"/>
  <c r="N4833" i="1"/>
  <c r="N4449" i="1"/>
  <c r="N5121" i="1"/>
  <c r="N5073" i="1"/>
  <c r="N3417" i="1"/>
  <c r="N2577" i="1"/>
  <c r="N3681" i="1"/>
  <c r="N4857" i="1"/>
  <c r="N3201" i="1"/>
  <c r="N3753" i="1"/>
  <c r="N5457" i="1"/>
  <c r="N2961" i="1"/>
  <c r="N5001" i="1"/>
  <c r="N2505" i="1"/>
  <c r="N5385" i="1"/>
  <c r="N2817" i="1"/>
  <c r="N3393" i="1"/>
  <c r="N2985" i="1"/>
  <c r="N5433" i="1"/>
  <c r="N3081" i="1"/>
  <c r="N2889" i="1"/>
  <c r="N1474" i="1"/>
  <c r="N5769" i="1"/>
  <c r="N2793" i="1"/>
  <c r="N3945" i="1"/>
  <c r="N4089" i="1"/>
  <c r="N4065" i="1"/>
  <c r="N3297" i="1"/>
  <c r="N3441" i="1"/>
  <c r="N4185" i="1"/>
  <c r="N2457" i="1"/>
  <c r="N4545" i="1"/>
  <c r="N5169" i="1"/>
  <c r="N4137" i="1"/>
  <c r="N2673" i="1"/>
  <c r="N1258" i="1"/>
  <c r="N586" i="1"/>
  <c r="N1138" i="1"/>
  <c r="N5529" i="1"/>
  <c r="N3057" i="1"/>
  <c r="N5697" i="1"/>
  <c r="N2865" i="1"/>
  <c r="N5481" i="1"/>
  <c r="N5289" i="1"/>
  <c r="N4761" i="1"/>
  <c r="N4785" i="1"/>
  <c r="N2745" i="1"/>
  <c r="N5265" i="1"/>
  <c r="N4881" i="1"/>
  <c r="N4113" i="1"/>
  <c r="N4569" i="1"/>
  <c r="N3465" i="1"/>
  <c r="N3225" i="1"/>
  <c r="N4521" i="1"/>
  <c r="N3489" i="1"/>
  <c r="N4017" i="1"/>
  <c r="N4233" i="1"/>
  <c r="Y25" i="16"/>
  <c r="N4114" i="1" s="1"/>
  <c r="N1547" i="1"/>
  <c r="N1523" i="1"/>
  <c r="N563" i="1"/>
  <c r="N827" i="1"/>
  <c r="AB25" i="16"/>
  <c r="N25" i="16" s="1"/>
  <c r="AC25" i="16"/>
  <c r="O25" i="16" s="1"/>
  <c r="AD25" i="16"/>
  <c r="P25" i="16" s="1"/>
  <c r="AE25" i="16"/>
  <c r="Q25" i="16" s="1"/>
  <c r="AA25" i="16"/>
  <c r="M25" i="16" s="1"/>
  <c r="AF25" i="16"/>
  <c r="R25" i="16" s="1"/>
  <c r="N107" i="1"/>
  <c r="X26" i="16"/>
  <c r="AS31" i="16"/>
  <c r="AQ31" i="16"/>
  <c r="AP31" i="16"/>
  <c r="AT31" i="16"/>
  <c r="AV28" i="16"/>
  <c r="AO29" i="16"/>
  <c r="AV29" i="16" s="1"/>
  <c r="AG22" i="16"/>
  <c r="BQ93" i="16"/>
  <c r="BJ140" i="16"/>
  <c r="AN140" i="16" s="1"/>
  <c r="BI141" i="16"/>
  <c r="BO140" i="16"/>
  <c r="AS140" i="16" s="1"/>
  <c r="BN140" i="16"/>
  <c r="AR140" i="16" s="1"/>
  <c r="BK140" i="16"/>
  <c r="AO140" i="16" s="1"/>
  <c r="BP140" i="16"/>
  <c r="AT140" i="16" s="1"/>
  <c r="BM140" i="16"/>
  <c r="AQ140" i="16" s="1"/>
  <c r="BL140" i="16"/>
  <c r="AP140" i="16" s="1"/>
  <c r="AU138" i="16"/>
  <c r="BQ140" i="16"/>
  <c r="BI95" i="16"/>
  <c r="BK94" i="16"/>
  <c r="BO94" i="16"/>
  <c r="BN94" i="16"/>
  <c r="BP94" i="16"/>
  <c r="BL94" i="16"/>
  <c r="BM94" i="16"/>
  <c r="BJ94" i="16"/>
  <c r="AM142" i="16" l="1"/>
  <c r="K25" i="16"/>
  <c r="BE90" i="16"/>
  <c r="AW90" i="16"/>
  <c r="AU90" i="16"/>
  <c r="AV90" i="16"/>
  <c r="AM92" i="16"/>
  <c r="BD92" i="16" s="1"/>
  <c r="BB91" i="16"/>
  <c r="BC91" i="16"/>
  <c r="AY91" i="16"/>
  <c r="AZ91" i="16"/>
  <c r="BA91" i="16"/>
  <c r="AO91" i="16"/>
  <c r="AN91" i="16"/>
  <c r="AP91" i="16"/>
  <c r="AQ91" i="16"/>
  <c r="AS91" i="16"/>
  <c r="AR91" i="16"/>
  <c r="AT91" i="16"/>
  <c r="N1619" i="1"/>
  <c r="N923" i="1"/>
  <c r="N2075" i="1"/>
  <c r="N1091" i="1"/>
  <c r="N179" i="1"/>
  <c r="N3538" i="1"/>
  <c r="N2506" i="1"/>
  <c r="N4090" i="1"/>
  <c r="N5458" i="1"/>
  <c r="N899" i="1"/>
  <c r="N395" i="1"/>
  <c r="N155" i="1"/>
  <c r="N707" i="1"/>
  <c r="N4282" i="1"/>
  <c r="N3730" i="1"/>
  <c r="N1571" i="1"/>
  <c r="N371" i="1"/>
  <c r="N59" i="1"/>
  <c r="N1859" i="1"/>
  <c r="N11" i="1"/>
  <c r="N1907" i="1"/>
  <c r="N2123" i="1"/>
  <c r="N731" i="1"/>
  <c r="N227" i="1"/>
  <c r="N4906" i="1"/>
  <c r="N3298" i="1"/>
  <c r="N2842" i="1"/>
  <c r="N2626" i="1"/>
  <c r="N2194" i="1"/>
  <c r="N3106" i="1"/>
  <c r="N4786" i="1"/>
  <c r="N5194" i="1"/>
  <c r="N1835" i="1"/>
  <c r="N1763" i="1"/>
  <c r="N683" i="1"/>
  <c r="N2338" i="1"/>
  <c r="N5650" i="1"/>
  <c r="AS32" i="16"/>
  <c r="N419" i="1"/>
  <c r="N1691" i="1"/>
  <c r="N443" i="1"/>
  <c r="N5722" i="1"/>
  <c r="N2938" i="1"/>
  <c r="N2578" i="1"/>
  <c r="N2674" i="1"/>
  <c r="N3466" i="1"/>
  <c r="N587" i="1"/>
  <c r="N1235" i="1"/>
  <c r="N5266" i="1"/>
  <c r="N4234" i="1"/>
  <c r="N4834" i="1"/>
  <c r="N4498" i="1"/>
  <c r="N5002" i="1"/>
  <c r="N299" i="1"/>
  <c r="N635" i="1"/>
  <c r="N2147" i="1"/>
  <c r="N1307" i="1"/>
  <c r="N971" i="1"/>
  <c r="N131" i="1"/>
  <c r="N1811" i="1"/>
  <c r="N803" i="1"/>
  <c r="N1475" i="1"/>
  <c r="N1139" i="1"/>
  <c r="N2482" i="1"/>
  <c r="N2818" i="1"/>
  <c r="N3658" i="1"/>
  <c r="N1979" i="1"/>
  <c r="N4138" i="1"/>
  <c r="N1259" i="1"/>
  <c r="N83" i="1"/>
  <c r="N1883" i="1"/>
  <c r="N5698" i="1"/>
  <c r="N3706" i="1"/>
  <c r="N4042" i="1"/>
  <c r="N5410" i="1"/>
  <c r="N2290" i="1"/>
  <c r="N5314" i="1"/>
  <c r="N4186" i="1"/>
  <c r="N2770" i="1"/>
  <c r="N2794" i="1"/>
  <c r="N2722" i="1"/>
  <c r="N1283" i="1"/>
  <c r="N1787" i="1"/>
  <c r="N995" i="1"/>
  <c r="N491" i="1"/>
  <c r="N755" i="1"/>
  <c r="N2099" i="1"/>
  <c r="N515" i="1"/>
  <c r="N1187" i="1"/>
  <c r="N1019" i="1"/>
  <c r="N539" i="1"/>
  <c r="N2027" i="1"/>
  <c r="N4738" i="1"/>
  <c r="N4714" i="1"/>
  <c r="N3202" i="1"/>
  <c r="N3826" i="1"/>
  <c r="N4378" i="1"/>
  <c r="N2962" i="1"/>
  <c r="N3610" i="1"/>
  <c r="N4162" i="1"/>
  <c r="N4474" i="1"/>
  <c r="N3802" i="1"/>
  <c r="N3394" i="1"/>
  <c r="N5794" i="1"/>
  <c r="N4978" i="1"/>
  <c r="N5602" i="1"/>
  <c r="N2914" i="1"/>
  <c r="N1451" i="1"/>
  <c r="N251" i="1"/>
  <c r="N1163" i="1"/>
  <c r="N1499" i="1"/>
  <c r="N323" i="1"/>
  <c r="N35" i="1"/>
  <c r="N1043" i="1"/>
  <c r="N2051" i="1"/>
  <c r="N851" i="1"/>
  <c r="N2554" i="1"/>
  <c r="N4450" i="1"/>
  <c r="N3946" i="1"/>
  <c r="N5146" i="1"/>
  <c r="N3082" i="1"/>
  <c r="N5554" i="1"/>
  <c r="N2986" i="1"/>
  <c r="N2314" i="1"/>
  <c r="N5626" i="1"/>
  <c r="N2362" i="1"/>
  <c r="N3994" i="1"/>
  <c r="N5050" i="1"/>
  <c r="N3490" i="1"/>
  <c r="N3058" i="1"/>
  <c r="N3898" i="1"/>
  <c r="N275" i="1"/>
  <c r="N947" i="1"/>
  <c r="N1667" i="1"/>
  <c r="N467" i="1"/>
  <c r="N1331" i="1"/>
  <c r="N1643" i="1"/>
  <c r="N2003" i="1"/>
  <c r="N1403" i="1"/>
  <c r="N1379" i="1"/>
  <c r="N1715" i="1"/>
  <c r="N875" i="1"/>
  <c r="N5242" i="1"/>
  <c r="N3226" i="1"/>
  <c r="N5218" i="1"/>
  <c r="N5818" i="1"/>
  <c r="N5362" i="1"/>
  <c r="N2410" i="1"/>
  <c r="N3442" i="1"/>
  <c r="N2434" i="1"/>
  <c r="N2746" i="1"/>
  <c r="N5386" i="1"/>
  <c r="N4954" i="1"/>
  <c r="N4546" i="1"/>
  <c r="N5506" i="1"/>
  <c r="N3370" i="1"/>
  <c r="N2266" i="1"/>
  <c r="N2866" i="1"/>
  <c r="N2530" i="1"/>
  <c r="N5434" i="1"/>
  <c r="N779" i="1"/>
  <c r="N1115" i="1"/>
  <c r="N203" i="1"/>
  <c r="N4211" i="1"/>
  <c r="N5051" i="1"/>
  <c r="N4618" i="1"/>
  <c r="N3010" i="1"/>
  <c r="N4355" i="1"/>
  <c r="N3922" i="1"/>
  <c r="N4547" i="1"/>
  <c r="N2195" i="1"/>
  <c r="N2386" i="1"/>
  <c r="N5074" i="1"/>
  <c r="N4522" i="1"/>
  <c r="N4690" i="1"/>
  <c r="N4066" i="1"/>
  <c r="N5338" i="1"/>
  <c r="N2171" i="1"/>
  <c r="N2602" i="1"/>
  <c r="N4858" i="1"/>
  <c r="N5026" i="1"/>
  <c r="N3874" i="1"/>
  <c r="N5746" i="1"/>
  <c r="N4642" i="1"/>
  <c r="N4426" i="1"/>
  <c r="N4402" i="1"/>
  <c r="N3754" i="1"/>
  <c r="N4354" i="1"/>
  <c r="N2242" i="1"/>
  <c r="N3850" i="1"/>
  <c r="N5098" i="1"/>
  <c r="N1955" i="1"/>
  <c r="N3514" i="1"/>
  <c r="N4258" i="1"/>
  <c r="N5530" i="1"/>
  <c r="N4018" i="1"/>
  <c r="N3130" i="1"/>
  <c r="N2458" i="1"/>
  <c r="N5290" i="1"/>
  <c r="N4306" i="1"/>
  <c r="N4930" i="1"/>
  <c r="N3274" i="1"/>
  <c r="N3034" i="1"/>
  <c r="N5482" i="1"/>
  <c r="N2698" i="1"/>
  <c r="N5578" i="1"/>
  <c r="N4666" i="1"/>
  <c r="N4882" i="1"/>
  <c r="N3154" i="1"/>
  <c r="N4570" i="1"/>
  <c r="N3682" i="1"/>
  <c r="N1067" i="1"/>
  <c r="N1595" i="1"/>
  <c r="N1739" i="1"/>
  <c r="N1931" i="1"/>
  <c r="N659" i="1"/>
  <c r="N1427" i="1"/>
  <c r="N347" i="1"/>
  <c r="N1355" i="1"/>
  <c r="N1211" i="1"/>
  <c r="N611" i="1"/>
  <c r="N5170" i="1"/>
  <c r="N4762" i="1"/>
  <c r="N2890" i="1"/>
  <c r="N4810" i="1"/>
  <c r="N5674" i="1"/>
  <c r="N3634" i="1"/>
  <c r="N3250" i="1"/>
  <c r="N4330" i="1"/>
  <c r="N2650" i="1"/>
  <c r="N4594" i="1"/>
  <c r="N3322" i="1"/>
  <c r="N4210" i="1"/>
  <c r="N3970" i="1"/>
  <c r="N3418" i="1"/>
  <c r="N5122" i="1"/>
  <c r="N3778" i="1"/>
  <c r="N3586" i="1"/>
  <c r="N3562" i="1"/>
  <c r="N3346" i="1"/>
  <c r="N3178" i="1"/>
  <c r="N5770" i="1"/>
  <c r="N2218" i="1"/>
  <c r="AQ32" i="16"/>
  <c r="N1668" i="1"/>
  <c r="N828" i="1"/>
  <c r="N324" i="1"/>
  <c r="N636" i="1"/>
  <c r="N1812" i="1"/>
  <c r="AT32" i="16"/>
  <c r="AP32" i="16"/>
  <c r="AD26" i="16"/>
  <c r="AE26" i="16"/>
  <c r="AF26" i="16"/>
  <c r="Z26" i="16"/>
  <c r="L26" i="16" s="1"/>
  <c r="AC26" i="16"/>
  <c r="AB26" i="16"/>
  <c r="AA26" i="16"/>
  <c r="N252" i="1"/>
  <c r="N1428" i="1"/>
  <c r="N1260" i="1"/>
  <c r="N564" i="1"/>
  <c r="N204" i="1"/>
  <c r="N2052" i="1"/>
  <c r="N780" i="1"/>
  <c r="N1692" i="1"/>
  <c r="N2028" i="1"/>
  <c r="N1476" i="1"/>
  <c r="Y26" i="16"/>
  <c r="N1644" i="1"/>
  <c r="N2004" i="1"/>
  <c r="N180" i="1"/>
  <c r="N492" i="1"/>
  <c r="N1188" i="1"/>
  <c r="N660" i="1"/>
  <c r="AU32" i="16"/>
  <c r="AR32" i="16"/>
  <c r="X27" i="16"/>
  <c r="AO30" i="16"/>
  <c r="AV30" i="16" s="1"/>
  <c r="AG23" i="16"/>
  <c r="AU139" i="16"/>
  <c r="BK141" i="16"/>
  <c r="AO141" i="16" s="1"/>
  <c r="BI142" i="16"/>
  <c r="BL141" i="16"/>
  <c r="AP141" i="16" s="1"/>
  <c r="BO141" i="16"/>
  <c r="AS141" i="16" s="1"/>
  <c r="BN141" i="16"/>
  <c r="AR141" i="16" s="1"/>
  <c r="BP141" i="16"/>
  <c r="AT141" i="16" s="1"/>
  <c r="BJ141" i="16"/>
  <c r="AN141" i="16" s="1"/>
  <c r="BM141" i="16"/>
  <c r="AQ141" i="16" s="1"/>
  <c r="BQ141" i="16"/>
  <c r="BI96" i="16"/>
  <c r="BO95" i="16"/>
  <c r="BN95" i="16"/>
  <c r="BJ95" i="16"/>
  <c r="BL95" i="16"/>
  <c r="BP95" i="16"/>
  <c r="BK95" i="16"/>
  <c r="BM95" i="16"/>
  <c r="BQ94" i="16"/>
  <c r="N2076" i="1" l="1"/>
  <c r="AM143" i="16"/>
  <c r="AR33" i="16"/>
  <c r="O26" i="16"/>
  <c r="AP33" i="16"/>
  <c r="M26" i="16"/>
  <c r="N900" i="1"/>
  <c r="N26" i="16"/>
  <c r="AU33" i="16"/>
  <c r="R26" i="16"/>
  <c r="N5339" i="1"/>
  <c r="Q26" i="16"/>
  <c r="N948" i="1"/>
  <c r="P26" i="16"/>
  <c r="S24" i="16"/>
  <c r="K26" i="16"/>
  <c r="BE91" i="16"/>
  <c r="AW91" i="16"/>
  <c r="AU91" i="16"/>
  <c r="AV91" i="16"/>
  <c r="BB92" i="16"/>
  <c r="BC92" i="16"/>
  <c r="AZ92" i="16"/>
  <c r="BA92" i="16"/>
  <c r="AY92" i="16"/>
  <c r="AM93" i="16"/>
  <c r="BD93" i="16" s="1"/>
  <c r="AQ92" i="16"/>
  <c r="AT92" i="16"/>
  <c r="AN92" i="16"/>
  <c r="AP92" i="16"/>
  <c r="AR92" i="16"/>
  <c r="AO92" i="16"/>
  <c r="AS92" i="16"/>
  <c r="N276" i="1"/>
  <c r="N588" i="1"/>
  <c r="N2651" i="1"/>
  <c r="N4667" i="1"/>
  <c r="N4859" i="1"/>
  <c r="N5579" i="1"/>
  <c r="N4619" i="1"/>
  <c r="N1620" i="1"/>
  <c r="N36" i="1"/>
  <c r="N2483" i="1"/>
  <c r="N5795" i="1"/>
  <c r="N1332" i="1"/>
  <c r="N1956" i="1"/>
  <c r="N1932" i="1"/>
  <c r="N2531" i="1"/>
  <c r="N1524" i="1"/>
  <c r="N1836" i="1"/>
  <c r="N1116" i="1"/>
  <c r="N5171" i="1"/>
  <c r="N3563" i="1"/>
  <c r="N2507" i="1"/>
  <c r="N2435" i="1"/>
  <c r="N3131" i="1"/>
  <c r="N1788" i="1"/>
  <c r="N2124" i="1"/>
  <c r="N3011" i="1"/>
  <c r="N4691" i="1"/>
  <c r="N5483" i="1"/>
  <c r="N2555" i="1"/>
  <c r="N444" i="1"/>
  <c r="N1380" i="1"/>
  <c r="N1044" i="1"/>
  <c r="N300" i="1"/>
  <c r="N2627" i="1"/>
  <c r="N4955" i="1"/>
  <c r="N4475" i="1"/>
  <c r="N4643" i="1"/>
  <c r="N4499" i="1"/>
  <c r="N3803" i="1"/>
  <c r="N5819" i="1"/>
  <c r="N4331" i="1"/>
  <c r="N5723" i="1"/>
  <c r="N2963" i="1"/>
  <c r="N2939" i="1"/>
  <c r="N3323" i="1"/>
  <c r="N5771" i="1"/>
  <c r="N5603" i="1"/>
  <c r="N3419" i="1"/>
  <c r="N4763" i="1"/>
  <c r="N3755" i="1"/>
  <c r="N5459" i="1"/>
  <c r="N5267" i="1"/>
  <c r="N3611" i="1"/>
  <c r="N3275" i="1"/>
  <c r="N4115" i="1"/>
  <c r="N2579" i="1"/>
  <c r="N2915" i="1"/>
  <c r="N5123" i="1"/>
  <c r="N5627" i="1"/>
  <c r="N540" i="1"/>
  <c r="N1548" i="1"/>
  <c r="N396" i="1"/>
  <c r="N1908" i="1"/>
  <c r="N756" i="1"/>
  <c r="N1860" i="1"/>
  <c r="N1356" i="1"/>
  <c r="N5219" i="1"/>
  <c r="N4283" i="1"/>
  <c r="N4739" i="1"/>
  <c r="N2219" i="1"/>
  <c r="N4067" i="1"/>
  <c r="N4883" i="1"/>
  <c r="N5291" i="1"/>
  <c r="N5747" i="1"/>
  <c r="N4403" i="1"/>
  <c r="N5435" i="1"/>
  <c r="N3083" i="1"/>
  <c r="N4571" i="1"/>
  <c r="N2315" i="1"/>
  <c r="N2411" i="1"/>
  <c r="N132" i="1"/>
  <c r="N1452" i="1"/>
  <c r="N1020" i="1"/>
  <c r="N1212" i="1"/>
  <c r="N1404" i="1"/>
  <c r="N1236" i="1"/>
  <c r="N60" i="1"/>
  <c r="N468" i="1"/>
  <c r="N924" i="1"/>
  <c r="N1596" i="1"/>
  <c r="N804" i="1"/>
  <c r="N972" i="1"/>
  <c r="N1284" i="1"/>
  <c r="N3659" i="1"/>
  <c r="N3107" i="1"/>
  <c r="N3371" i="1"/>
  <c r="N3635" i="1"/>
  <c r="N3035" i="1"/>
  <c r="N5507" i="1"/>
  <c r="N3971" i="1"/>
  <c r="N5651" i="1"/>
  <c r="N2867" i="1"/>
  <c r="N4427" i="1"/>
  <c r="N4787" i="1"/>
  <c r="N4835" i="1"/>
  <c r="N4259" i="1"/>
  <c r="N2723" i="1"/>
  <c r="N3779" i="1"/>
  <c r="N5003" i="1"/>
  <c r="N5675" i="1"/>
  <c r="N348" i="1"/>
  <c r="N2148" i="1"/>
  <c r="N876" i="1"/>
  <c r="N1716" i="1"/>
  <c r="N228" i="1"/>
  <c r="N1740" i="1"/>
  <c r="N516" i="1"/>
  <c r="N84" i="1"/>
  <c r="N1764" i="1"/>
  <c r="N996" i="1"/>
  <c r="N5387" i="1"/>
  <c r="N3515" i="1"/>
  <c r="N4091" i="1"/>
  <c r="N3467" i="1"/>
  <c r="N2291" i="1"/>
  <c r="N4379" i="1"/>
  <c r="N3683" i="1"/>
  <c r="N5315" i="1"/>
  <c r="N5699" i="1"/>
  <c r="N3251" i="1"/>
  <c r="N2795" i="1"/>
  <c r="N2387" i="1"/>
  <c r="N2267" i="1"/>
  <c r="N2243" i="1"/>
  <c r="N2339" i="1"/>
  <c r="N3347" i="1"/>
  <c r="N2675" i="1"/>
  <c r="N3947" i="1"/>
  <c r="N3203" i="1"/>
  <c r="N5363" i="1"/>
  <c r="N3395" i="1"/>
  <c r="N3995" i="1"/>
  <c r="N2172" i="1"/>
  <c r="N4524" i="1"/>
  <c r="N2364" i="1"/>
  <c r="N1308" i="1"/>
  <c r="N12" i="1"/>
  <c r="N612" i="1"/>
  <c r="N1980" i="1"/>
  <c r="N708" i="1"/>
  <c r="N1140" i="1"/>
  <c r="N1500" i="1"/>
  <c r="N2100" i="1"/>
  <c r="N420" i="1"/>
  <c r="N3491" i="1"/>
  <c r="N3899" i="1"/>
  <c r="N3875" i="1"/>
  <c r="N3587" i="1"/>
  <c r="N4595" i="1"/>
  <c r="N3707" i="1"/>
  <c r="N3731" i="1"/>
  <c r="N3179" i="1"/>
  <c r="N4139" i="1"/>
  <c r="N5243" i="1"/>
  <c r="N2987" i="1"/>
  <c r="N4187" i="1"/>
  <c r="N4715" i="1"/>
  <c r="N4811" i="1"/>
  <c r="N3443" i="1"/>
  <c r="N3299" i="1"/>
  <c r="N684" i="1"/>
  <c r="N852" i="1"/>
  <c r="N372" i="1"/>
  <c r="N1884" i="1"/>
  <c r="N1068" i="1"/>
  <c r="N1092" i="1"/>
  <c r="N108" i="1"/>
  <c r="N1164" i="1"/>
  <c r="N156" i="1"/>
  <c r="N4019" i="1"/>
  <c r="N3059" i="1"/>
  <c r="N5531" i="1"/>
  <c r="N3155" i="1"/>
  <c r="N2843" i="1"/>
  <c r="N5555" i="1"/>
  <c r="N5411" i="1"/>
  <c r="N4979" i="1"/>
  <c r="N2459" i="1"/>
  <c r="N3923" i="1"/>
  <c r="N2363" i="1"/>
  <c r="N4907" i="1"/>
  <c r="N5027" i="1"/>
  <c r="N4235" i="1"/>
  <c r="N5075" i="1"/>
  <c r="N5195" i="1"/>
  <c r="N2699" i="1"/>
  <c r="N732" i="1"/>
  <c r="N1572" i="1"/>
  <c r="N5099" i="1"/>
  <c r="N4043" i="1"/>
  <c r="N2771" i="1"/>
  <c r="N2747" i="1"/>
  <c r="N4523" i="1"/>
  <c r="N2891" i="1"/>
  <c r="N5147" i="1"/>
  <c r="N3227" i="1"/>
  <c r="N2603" i="1"/>
  <c r="N4931" i="1"/>
  <c r="N3539" i="1"/>
  <c r="N3851" i="1"/>
  <c r="N4307" i="1"/>
  <c r="N2819" i="1"/>
  <c r="N4451" i="1"/>
  <c r="N4163" i="1"/>
  <c r="N3827" i="1"/>
  <c r="AF27" i="16"/>
  <c r="Z27" i="16"/>
  <c r="L27" i="16" s="1"/>
  <c r="AA27" i="16"/>
  <c r="AE27" i="16"/>
  <c r="AC27" i="16"/>
  <c r="AD27" i="16"/>
  <c r="AB27" i="16"/>
  <c r="N661" i="1"/>
  <c r="Y27" i="16"/>
  <c r="N1165" i="1"/>
  <c r="N589" i="1"/>
  <c r="N1117" i="1"/>
  <c r="N1789" i="1"/>
  <c r="N1957" i="1"/>
  <c r="N133" i="1"/>
  <c r="N613" i="1"/>
  <c r="N637" i="1"/>
  <c r="N1621" i="1"/>
  <c r="N1525" i="1"/>
  <c r="N1021" i="1"/>
  <c r="N2005" i="1"/>
  <c r="N829" i="1"/>
  <c r="N757" i="1"/>
  <c r="N685" i="1"/>
  <c r="N13" i="1"/>
  <c r="N1501" i="1"/>
  <c r="N733" i="1"/>
  <c r="N205" i="1"/>
  <c r="N181" i="1"/>
  <c r="N1333" i="1"/>
  <c r="N997" i="1"/>
  <c r="N349" i="1"/>
  <c r="N1861" i="1"/>
  <c r="N1213" i="1"/>
  <c r="N709" i="1"/>
  <c r="N1693" i="1"/>
  <c r="N1741" i="1"/>
  <c r="N517" i="1"/>
  <c r="N853" i="1"/>
  <c r="N2029" i="1"/>
  <c r="N1909" i="1"/>
  <c r="N1405" i="1"/>
  <c r="N1573" i="1"/>
  <c r="AT33" i="16"/>
  <c r="AS33" i="16"/>
  <c r="AQ33" i="16"/>
  <c r="X28" i="16"/>
  <c r="Z28" i="16" s="1"/>
  <c r="L28" i="16" s="1"/>
  <c r="AO31" i="16"/>
  <c r="AG24" i="16"/>
  <c r="BO96" i="16"/>
  <c r="BP96" i="16"/>
  <c r="BI97" i="16"/>
  <c r="BM96" i="16"/>
  <c r="BK96" i="16"/>
  <c r="BJ96" i="16"/>
  <c r="BL96" i="16"/>
  <c r="BN96" i="16"/>
  <c r="BQ142" i="16"/>
  <c r="AU140" i="16"/>
  <c r="BJ142" i="16"/>
  <c r="AN142" i="16" s="1"/>
  <c r="BK142" i="16"/>
  <c r="AO142" i="16" s="1"/>
  <c r="BL142" i="16"/>
  <c r="AP142" i="16" s="1"/>
  <c r="BM142" i="16"/>
  <c r="AQ142" i="16" s="1"/>
  <c r="BN142" i="16"/>
  <c r="AR142" i="16" s="1"/>
  <c r="BO142" i="16"/>
  <c r="AS142" i="16" s="1"/>
  <c r="BP142" i="16"/>
  <c r="AT142" i="16" s="1"/>
  <c r="BI143" i="16"/>
  <c r="BQ95" i="16"/>
  <c r="N2125" i="1" l="1"/>
  <c r="AM148" i="16"/>
  <c r="N541" i="1"/>
  <c r="M27" i="16"/>
  <c r="AU34" i="16"/>
  <c r="R27" i="16"/>
  <c r="AQ34" i="16"/>
  <c r="N27" i="16"/>
  <c r="N4812" i="1"/>
  <c r="P27" i="16"/>
  <c r="N925" i="1"/>
  <c r="O27" i="16"/>
  <c r="N3492" i="1"/>
  <c r="Q27" i="16"/>
  <c r="K27" i="16"/>
  <c r="S25" i="16"/>
  <c r="BE92" i="16"/>
  <c r="BB93" i="16"/>
  <c r="BC93" i="16"/>
  <c r="AM94" i="16"/>
  <c r="BD94" i="16" s="1"/>
  <c r="AY93" i="16"/>
  <c r="BA93" i="16"/>
  <c r="AZ93" i="16"/>
  <c r="AT93" i="16"/>
  <c r="AS93" i="16"/>
  <c r="AP93" i="16"/>
  <c r="AQ93" i="16"/>
  <c r="AO93" i="16"/>
  <c r="AR93" i="16"/>
  <c r="AN93" i="16"/>
  <c r="AU92" i="16"/>
  <c r="AV92" i="16"/>
  <c r="AW92" i="16"/>
  <c r="N5292" i="1"/>
  <c r="N5172" i="1"/>
  <c r="N3972" i="1"/>
  <c r="N5148" i="1"/>
  <c r="N2388" i="1"/>
  <c r="N5100" i="1"/>
  <c r="N85" i="1"/>
  <c r="N1645" i="1"/>
  <c r="N4284" i="1"/>
  <c r="N3300" i="1"/>
  <c r="N4740" i="1"/>
  <c r="N2892" i="1"/>
  <c r="N37" i="1"/>
  <c r="N373" i="1"/>
  <c r="N901" i="1"/>
  <c r="N1885" i="1"/>
  <c r="N1429" i="1"/>
  <c r="N109" i="1"/>
  <c r="N1597" i="1"/>
  <c r="N469" i="1"/>
  <c r="N5436" i="1"/>
  <c r="N4188" i="1"/>
  <c r="N4572" i="1"/>
  <c r="N3780" i="1"/>
  <c r="N5244" i="1"/>
  <c r="N3540" i="1"/>
  <c r="N61" i="1"/>
  <c r="N277" i="1"/>
  <c r="N1813" i="1"/>
  <c r="N1261" i="1"/>
  <c r="N445" i="1"/>
  <c r="N805" i="1"/>
  <c r="N3108" i="1"/>
  <c r="N5076" i="1"/>
  <c r="N3372" i="1"/>
  <c r="N565" i="1"/>
  <c r="N1981" i="1"/>
  <c r="N781" i="1"/>
  <c r="N2101" i="1"/>
  <c r="N1141" i="1"/>
  <c r="N2748" i="1"/>
  <c r="N4788" i="1"/>
  <c r="N1717" i="1"/>
  <c r="N1381" i="1"/>
  <c r="N1093" i="1"/>
  <c r="N949" i="1"/>
  <c r="N1453" i="1"/>
  <c r="N5700" i="1"/>
  <c r="N3996" i="1"/>
  <c r="N3924" i="1"/>
  <c r="N301" i="1"/>
  <c r="N2988" i="1"/>
  <c r="N5268" i="1"/>
  <c r="N1477" i="1"/>
  <c r="N2149" i="1"/>
  <c r="N4764" i="1"/>
  <c r="N2844" i="1"/>
  <c r="N2676" i="1"/>
  <c r="N3516" i="1"/>
  <c r="N4380" i="1"/>
  <c r="N4596" i="1"/>
  <c r="N2053" i="1"/>
  <c r="N877" i="1"/>
  <c r="N1045" i="1"/>
  <c r="N1357" i="1"/>
  <c r="N973" i="1"/>
  <c r="N253" i="1"/>
  <c r="N1285" i="1"/>
  <c r="N421" i="1"/>
  <c r="N1669" i="1"/>
  <c r="N1309" i="1"/>
  <c r="N1933" i="1"/>
  <c r="N2268" i="1"/>
  <c r="N3900" i="1"/>
  <c r="N3852" i="1"/>
  <c r="N5532" i="1"/>
  <c r="N3348" i="1"/>
  <c r="N4980" i="1"/>
  <c r="N4260" i="1"/>
  <c r="N4548" i="1"/>
  <c r="N5652" i="1"/>
  <c r="N2772" i="1"/>
  <c r="N4860" i="1"/>
  <c r="N5388" i="1"/>
  <c r="N3204" i="1"/>
  <c r="N5316" i="1"/>
  <c r="N3660" i="1"/>
  <c r="N4836" i="1"/>
  <c r="N1069" i="1"/>
  <c r="N2077" i="1"/>
  <c r="N493" i="1"/>
  <c r="N4932" i="1"/>
  <c r="N3445" i="1"/>
  <c r="N2197" i="1"/>
  <c r="N2701" i="1"/>
  <c r="N3276" i="1"/>
  <c r="N4020" i="1"/>
  <c r="N2556" i="1"/>
  <c r="N3444" i="1"/>
  <c r="N3468" i="1"/>
  <c r="N5676" i="1"/>
  <c r="N4332" i="1"/>
  <c r="N5460" i="1"/>
  <c r="N5484" i="1"/>
  <c r="N2244" i="1"/>
  <c r="N4308" i="1"/>
  <c r="N5028" i="1"/>
  <c r="N2508" i="1"/>
  <c r="N3948" i="1"/>
  <c r="N2628" i="1"/>
  <c r="N2173" i="1"/>
  <c r="N3613" i="1"/>
  <c r="N5340" i="1"/>
  <c r="N3564" i="1"/>
  <c r="N3420" i="1"/>
  <c r="N1237" i="1"/>
  <c r="N4092" i="1"/>
  <c r="N3036" i="1"/>
  <c r="N2964" i="1"/>
  <c r="N4956" i="1"/>
  <c r="N5004" i="1"/>
  <c r="N3588" i="1"/>
  <c r="N4212" i="1"/>
  <c r="N2196" i="1"/>
  <c r="N3636" i="1"/>
  <c r="N5748" i="1"/>
  <c r="N2796" i="1"/>
  <c r="N5604" i="1"/>
  <c r="N2724" i="1"/>
  <c r="N3804" i="1"/>
  <c r="N4044" i="1"/>
  <c r="N3876" i="1"/>
  <c r="N2436" i="1"/>
  <c r="N2484" i="1"/>
  <c r="N5508" i="1"/>
  <c r="N4068" i="1"/>
  <c r="N1189" i="1"/>
  <c r="N2316" i="1"/>
  <c r="N3732" i="1"/>
  <c r="N5628" i="1"/>
  <c r="N5196" i="1"/>
  <c r="N3180" i="1"/>
  <c r="N3228" i="1"/>
  <c r="N2412" i="1"/>
  <c r="N2292" i="1"/>
  <c r="N3084" i="1"/>
  <c r="N5580" i="1"/>
  <c r="N5052" i="1"/>
  <c r="N3252" i="1"/>
  <c r="N2220" i="1"/>
  <c r="N4716" i="1"/>
  <c r="N5124" i="1"/>
  <c r="N157" i="1"/>
  <c r="N397" i="1"/>
  <c r="N1549" i="1"/>
  <c r="N2652" i="1"/>
  <c r="N2940" i="1"/>
  <c r="N4140" i="1"/>
  <c r="N4644" i="1"/>
  <c r="N4356" i="1"/>
  <c r="N2868" i="1"/>
  <c r="N2460" i="1"/>
  <c r="N4692" i="1"/>
  <c r="N5820" i="1"/>
  <c r="N3012" i="1"/>
  <c r="N5724" i="1"/>
  <c r="N4404" i="1"/>
  <c r="N4236" i="1"/>
  <c r="N5772" i="1"/>
  <c r="N3708" i="1"/>
  <c r="N4884" i="1"/>
  <c r="N4164" i="1"/>
  <c r="N4620" i="1"/>
  <c r="N325" i="1"/>
  <c r="N1837" i="1"/>
  <c r="N1765" i="1"/>
  <c r="N3396" i="1"/>
  <c r="N3060" i="1"/>
  <c r="N5364" i="1"/>
  <c r="N5412" i="1"/>
  <c r="N2340" i="1"/>
  <c r="N4452" i="1"/>
  <c r="N3684" i="1"/>
  <c r="N3612" i="1"/>
  <c r="N3132" i="1"/>
  <c r="N3156" i="1"/>
  <c r="N5796" i="1"/>
  <c r="N2820" i="1"/>
  <c r="N4500" i="1"/>
  <c r="N5220" i="1"/>
  <c r="N3756" i="1"/>
  <c r="N4428" i="1"/>
  <c r="N229" i="1"/>
  <c r="N2532" i="1"/>
  <c r="N3324" i="1"/>
  <c r="N5556" i="1"/>
  <c r="N2700" i="1"/>
  <c r="N2916" i="1"/>
  <c r="N4116" i="1"/>
  <c r="N4668" i="1"/>
  <c r="N3828" i="1"/>
  <c r="N2580" i="1"/>
  <c r="N4908" i="1"/>
  <c r="N5629" i="1"/>
  <c r="N4476" i="1"/>
  <c r="N2604" i="1"/>
  <c r="N1070" i="1"/>
  <c r="N1502" i="1"/>
  <c r="N1262" i="1"/>
  <c r="AS34" i="16"/>
  <c r="N518" i="1"/>
  <c r="N1022" i="1"/>
  <c r="AP34" i="16"/>
  <c r="AT34" i="16"/>
  <c r="AR34" i="16"/>
  <c r="AB28" i="16"/>
  <c r="AC28" i="16"/>
  <c r="AE28" i="16"/>
  <c r="Q28" i="16" s="1"/>
  <c r="AF28" i="16"/>
  <c r="AD28" i="16"/>
  <c r="AA28" i="16"/>
  <c r="Y28" i="16"/>
  <c r="N1094" i="1"/>
  <c r="X29" i="16"/>
  <c r="AG25" i="16"/>
  <c r="AO32" i="16"/>
  <c r="AV32" i="16" s="1"/>
  <c r="AV31" i="16"/>
  <c r="BK143" i="16"/>
  <c r="AO143" i="16" s="1"/>
  <c r="BL143" i="16"/>
  <c r="AP143" i="16" s="1"/>
  <c r="BM143" i="16"/>
  <c r="AQ143" i="16" s="1"/>
  <c r="BN143" i="16"/>
  <c r="AR143" i="16" s="1"/>
  <c r="BO143" i="16"/>
  <c r="AS143" i="16" s="1"/>
  <c r="BP143" i="16"/>
  <c r="AT143" i="16" s="1"/>
  <c r="BJ143" i="16"/>
  <c r="AN143" i="16" s="1"/>
  <c r="BI148" i="16"/>
  <c r="BQ96" i="16"/>
  <c r="AU141" i="16"/>
  <c r="BM97" i="16"/>
  <c r="BK97" i="16"/>
  <c r="BP97" i="16"/>
  <c r="BJ97" i="16"/>
  <c r="BI98" i="16"/>
  <c r="BN97" i="16"/>
  <c r="BO97" i="16"/>
  <c r="BL97" i="16"/>
  <c r="BQ143" i="16"/>
  <c r="N2102" i="1" l="1"/>
  <c r="AM144" i="16"/>
  <c r="AP35" i="16"/>
  <c r="M28" i="16"/>
  <c r="AS35" i="16"/>
  <c r="P28" i="16"/>
  <c r="AU35" i="16"/>
  <c r="R28" i="16"/>
  <c r="AR35" i="16"/>
  <c r="O28" i="16"/>
  <c r="AQ35" i="16"/>
  <c r="N28" i="16"/>
  <c r="K28" i="16"/>
  <c r="S27" i="16"/>
  <c r="S26" i="16"/>
  <c r="BE93" i="16"/>
  <c r="BB94" i="16"/>
  <c r="BC94" i="16"/>
  <c r="AM95" i="16"/>
  <c r="BD95" i="16" s="1"/>
  <c r="BA94" i="16"/>
  <c r="AZ94" i="16"/>
  <c r="AY94" i="16"/>
  <c r="AP94" i="16"/>
  <c r="AQ94" i="16"/>
  <c r="AT94" i="16"/>
  <c r="AO94" i="16"/>
  <c r="AS94" i="16"/>
  <c r="AN94" i="16"/>
  <c r="AR94" i="16"/>
  <c r="AV93" i="16"/>
  <c r="AU93" i="16"/>
  <c r="AW93" i="16"/>
  <c r="N1718" i="1"/>
  <c r="N1046" i="1"/>
  <c r="N3421" i="1"/>
  <c r="N4573" i="1"/>
  <c r="N4645" i="1"/>
  <c r="N14" i="1"/>
  <c r="N3925" i="1"/>
  <c r="N4309" i="1"/>
  <c r="N278" i="1"/>
  <c r="N1838" i="1"/>
  <c r="N1238" i="1"/>
  <c r="N4261" i="1"/>
  <c r="N5773" i="1"/>
  <c r="N1550" i="1"/>
  <c r="N3229" i="1"/>
  <c r="N1670" i="1"/>
  <c r="N494" i="1"/>
  <c r="N998" i="1"/>
  <c r="N2461" i="1"/>
  <c r="N3181" i="1"/>
  <c r="N590" i="1"/>
  <c r="N302" i="1"/>
  <c r="N902" i="1"/>
  <c r="N758" i="1"/>
  <c r="N926" i="1"/>
  <c r="N158" i="1"/>
  <c r="N1574" i="1"/>
  <c r="N5821" i="1"/>
  <c r="N1982" i="1"/>
  <c r="N974" i="1"/>
  <c r="N4165" i="1"/>
  <c r="N5677" i="1"/>
  <c r="N1118" i="1"/>
  <c r="N1382" i="1"/>
  <c r="N230" i="1"/>
  <c r="N566" i="1"/>
  <c r="N1454" i="1"/>
  <c r="N686" i="1"/>
  <c r="N182" i="1"/>
  <c r="N1430" i="1"/>
  <c r="N86" i="1"/>
  <c r="N1310" i="1"/>
  <c r="N782" i="1"/>
  <c r="N710" i="1"/>
  <c r="N2150" i="1"/>
  <c r="N1478" i="1"/>
  <c r="N542" i="1"/>
  <c r="N2893" i="1"/>
  <c r="N3973" i="1"/>
  <c r="N2437" i="1"/>
  <c r="N3733" i="1"/>
  <c r="N4549" i="1"/>
  <c r="N4429" i="1"/>
  <c r="N2221" i="1"/>
  <c r="N2773" i="1"/>
  <c r="N5725" i="1"/>
  <c r="N2965" i="1"/>
  <c r="N3301" i="1"/>
  <c r="N5317" i="1"/>
  <c r="N4045" i="1"/>
  <c r="N3517" i="1"/>
  <c r="N5293" i="1"/>
  <c r="N4909" i="1"/>
  <c r="N4957" i="1"/>
  <c r="N2557" i="1"/>
  <c r="N5557" i="1"/>
  <c r="N2078" i="1"/>
  <c r="N1694" i="1"/>
  <c r="N2030" i="1"/>
  <c r="N1622" i="1"/>
  <c r="N2126" i="1"/>
  <c r="N1598" i="1"/>
  <c r="N1766" i="1"/>
  <c r="N134" i="1"/>
  <c r="N374" i="1"/>
  <c r="N206" i="1"/>
  <c r="N830" i="1"/>
  <c r="N2605" i="1"/>
  <c r="N4717" i="1"/>
  <c r="N5461" i="1"/>
  <c r="N4405" i="1"/>
  <c r="N5101" i="1"/>
  <c r="N2389" i="1"/>
  <c r="N5581" i="1"/>
  <c r="N3277" i="1"/>
  <c r="N5653" i="1"/>
  <c r="N5269" i="1"/>
  <c r="N3853" i="1"/>
  <c r="N4381" i="1"/>
  <c r="N2797" i="1"/>
  <c r="N5413" i="1"/>
  <c r="N4597" i="1"/>
  <c r="N2653" i="1"/>
  <c r="N4669" i="1"/>
  <c r="N4885" i="1"/>
  <c r="N1742" i="1"/>
  <c r="N854" i="1"/>
  <c r="N62" i="1"/>
  <c r="N326" i="1"/>
  <c r="N422" i="1"/>
  <c r="N878" i="1"/>
  <c r="N398" i="1"/>
  <c r="N350" i="1"/>
  <c r="N734" i="1"/>
  <c r="N5533" i="1"/>
  <c r="N3637" i="1"/>
  <c r="N5701" i="1"/>
  <c r="N3397" i="1"/>
  <c r="N5797" i="1"/>
  <c r="N3877" i="1"/>
  <c r="N4789" i="1"/>
  <c r="N5053" i="1"/>
  <c r="N5173" i="1"/>
  <c r="N4501" i="1"/>
  <c r="N5029" i="1"/>
  <c r="N4765" i="1"/>
  <c r="N3997" i="1"/>
  <c r="N2245" i="1"/>
  <c r="N2989" i="1"/>
  <c r="N3565" i="1"/>
  <c r="N4021" i="1"/>
  <c r="N3085" i="1"/>
  <c r="N2869" i="1"/>
  <c r="N4357" i="1"/>
  <c r="N5462" i="1"/>
  <c r="N3278" i="1"/>
  <c r="N3422" i="1"/>
  <c r="N5270" i="1"/>
  <c r="N2582" i="1"/>
  <c r="N4190" i="1"/>
  <c r="N2702" i="1"/>
  <c r="N2174" i="1"/>
  <c r="N4382" i="1"/>
  <c r="N2774" i="1"/>
  <c r="N4525" i="1"/>
  <c r="N4813" i="1"/>
  <c r="N3589" i="1"/>
  <c r="N4621" i="1"/>
  <c r="N2198" i="1"/>
  <c r="N2750" i="1"/>
  <c r="N4141" i="1"/>
  <c r="N2509" i="1"/>
  <c r="N2845" i="1"/>
  <c r="N2725" i="1"/>
  <c r="N2749" i="1"/>
  <c r="N4237" i="1"/>
  <c r="N3685" i="1"/>
  <c r="N1358" i="1"/>
  <c r="N950" i="1"/>
  <c r="N1190" i="1"/>
  <c r="N806" i="1"/>
  <c r="N1934" i="1"/>
  <c r="N110" i="1"/>
  <c r="N38" i="1"/>
  <c r="N1862" i="1"/>
  <c r="N470" i="1"/>
  <c r="N4693" i="1"/>
  <c r="N2941" i="1"/>
  <c r="N3373" i="1"/>
  <c r="N3013" i="1"/>
  <c r="N3205" i="1"/>
  <c r="N4117" i="1"/>
  <c r="N4981" i="1"/>
  <c r="N2917" i="1"/>
  <c r="N3757" i="1"/>
  <c r="N4333" i="1"/>
  <c r="N5341" i="1"/>
  <c r="N4189" i="1"/>
  <c r="N3253" i="1"/>
  <c r="N3926" i="1"/>
  <c r="N1166" i="1"/>
  <c r="N1814" i="1"/>
  <c r="N1790" i="1"/>
  <c r="N254" i="1"/>
  <c r="N662" i="1"/>
  <c r="N638" i="1"/>
  <c r="N1886" i="1"/>
  <c r="N2006" i="1"/>
  <c r="N1142" i="1"/>
  <c r="N1334" i="1"/>
  <c r="N2629" i="1"/>
  <c r="N2269" i="1"/>
  <c r="N4477" i="1"/>
  <c r="N2485" i="1"/>
  <c r="N5125" i="1"/>
  <c r="N3469" i="1"/>
  <c r="N3661" i="1"/>
  <c r="N2677" i="1"/>
  <c r="N3781" i="1"/>
  <c r="N4453" i="1"/>
  <c r="N5221" i="1"/>
  <c r="N4861" i="1"/>
  <c r="N4285" i="1"/>
  <c r="N3805" i="1"/>
  <c r="N4093" i="1"/>
  <c r="N2293" i="1"/>
  <c r="N5749" i="1"/>
  <c r="N2317" i="1"/>
  <c r="N5389" i="1"/>
  <c r="N1958" i="1"/>
  <c r="N614" i="1"/>
  <c r="N1646" i="1"/>
  <c r="N3061" i="1"/>
  <c r="N3709" i="1"/>
  <c r="N3901" i="1"/>
  <c r="N5245" i="1"/>
  <c r="N2821" i="1"/>
  <c r="N2581" i="1"/>
  <c r="N5149" i="1"/>
  <c r="N2413" i="1"/>
  <c r="N3493" i="1"/>
  <c r="N4741" i="1"/>
  <c r="N2533" i="1"/>
  <c r="N5365" i="1"/>
  <c r="N2365" i="1"/>
  <c r="N4213" i="1"/>
  <c r="N5605" i="1"/>
  <c r="N2341" i="1"/>
  <c r="N4933" i="1"/>
  <c r="N1406" i="1"/>
  <c r="N1910" i="1"/>
  <c r="N446" i="1"/>
  <c r="N1286" i="1"/>
  <c r="N1214" i="1"/>
  <c r="N2054" i="1"/>
  <c r="N5437" i="1"/>
  <c r="N5485" i="1"/>
  <c r="N3854" i="1"/>
  <c r="N3541" i="1"/>
  <c r="N3829" i="1"/>
  <c r="N5005" i="1"/>
  <c r="N5077" i="1"/>
  <c r="N3037" i="1"/>
  <c r="N3133" i="1"/>
  <c r="N4069" i="1"/>
  <c r="N5509" i="1"/>
  <c r="N3157" i="1"/>
  <c r="N3349" i="1"/>
  <c r="N4837" i="1"/>
  <c r="N5197" i="1"/>
  <c r="N3949" i="1"/>
  <c r="N3325" i="1"/>
  <c r="N3109" i="1"/>
  <c r="AT35" i="16"/>
  <c r="Y29" i="16"/>
  <c r="N5318" i="1" s="1"/>
  <c r="N1167" i="1"/>
  <c r="N855" i="1"/>
  <c r="N567" i="1"/>
  <c r="N63" i="1"/>
  <c r="N495" i="1"/>
  <c r="N255" i="1"/>
  <c r="N903" i="1"/>
  <c r="N927" i="1"/>
  <c r="N1359" i="1"/>
  <c r="N1263" i="1"/>
  <c r="N687" i="1"/>
  <c r="N15" i="1"/>
  <c r="N1191" i="1"/>
  <c r="N1239" i="1"/>
  <c r="N783" i="1"/>
  <c r="N2007" i="1"/>
  <c r="N1527" i="1"/>
  <c r="N1287" i="1"/>
  <c r="N207" i="1"/>
  <c r="N1023" i="1"/>
  <c r="N1935" i="1"/>
  <c r="N1791" i="1"/>
  <c r="N1623" i="1"/>
  <c r="AB29" i="16"/>
  <c r="AC29" i="16"/>
  <c r="AD29" i="16"/>
  <c r="Z29" i="16"/>
  <c r="AF29" i="16"/>
  <c r="AA29" i="16"/>
  <c r="AE29" i="16"/>
  <c r="X30" i="16"/>
  <c r="AG26" i="16"/>
  <c r="AO33" i="16"/>
  <c r="AU142" i="16"/>
  <c r="BK98" i="16"/>
  <c r="BJ98" i="16"/>
  <c r="BL98" i="16"/>
  <c r="BM98" i="16"/>
  <c r="BP98" i="16"/>
  <c r="BI99" i="16"/>
  <c r="BN98" i="16"/>
  <c r="BO98" i="16"/>
  <c r="BQ97" i="16"/>
  <c r="BL148" i="16"/>
  <c r="AP148" i="16" s="1"/>
  <c r="BM148" i="16"/>
  <c r="AQ148" i="16" s="1"/>
  <c r="BN148" i="16"/>
  <c r="AR148" i="16" s="1"/>
  <c r="BO148" i="16"/>
  <c r="AS148" i="16" s="1"/>
  <c r="BP148" i="16"/>
  <c r="AT148" i="16" s="1"/>
  <c r="BJ148" i="16"/>
  <c r="AN148" i="16" s="1"/>
  <c r="BK148" i="16"/>
  <c r="AO148" i="16" s="1"/>
  <c r="BI144" i="16"/>
  <c r="AU143" i="16"/>
  <c r="BQ144" i="16"/>
  <c r="AM145" i="16" l="1"/>
  <c r="AR36" i="16"/>
  <c r="O29" i="16"/>
  <c r="N1071" i="1"/>
  <c r="N29" i="16"/>
  <c r="Q29" i="16"/>
  <c r="M29" i="16"/>
  <c r="AU36" i="16"/>
  <c r="R29" i="16"/>
  <c r="N1695" i="1"/>
  <c r="L29" i="16"/>
  <c r="AS36" i="16"/>
  <c r="P29" i="16"/>
  <c r="K29" i="16"/>
  <c r="BE94" i="16"/>
  <c r="AW94" i="16"/>
  <c r="BB95" i="16"/>
  <c r="BC95" i="16"/>
  <c r="AZ95" i="16"/>
  <c r="AY95" i="16"/>
  <c r="BA95" i="16"/>
  <c r="AM96" i="16"/>
  <c r="AQ95" i="16"/>
  <c r="AP95" i="16"/>
  <c r="AT95" i="16"/>
  <c r="AO95" i="16"/>
  <c r="AN95" i="16"/>
  <c r="AR95" i="16"/>
  <c r="AS95" i="16"/>
  <c r="AV94" i="16"/>
  <c r="AU94" i="16"/>
  <c r="N1407" i="1"/>
  <c r="N1575" i="1"/>
  <c r="N1095" i="1"/>
  <c r="N4310" i="1"/>
  <c r="N2318" i="1"/>
  <c r="N2942" i="1"/>
  <c r="N3542" i="1"/>
  <c r="N4814" i="1"/>
  <c r="N4670" i="1"/>
  <c r="N2894" i="1"/>
  <c r="N4958" i="1"/>
  <c r="N5702" i="1"/>
  <c r="N5030" i="1"/>
  <c r="N231" i="1"/>
  <c r="N2079" i="1"/>
  <c r="N1839" i="1"/>
  <c r="N1431" i="1"/>
  <c r="N183" i="1"/>
  <c r="N4622" i="1"/>
  <c r="N3950" i="1"/>
  <c r="N3686" i="1"/>
  <c r="N3590" i="1"/>
  <c r="N2630" i="1"/>
  <c r="N4142" i="1"/>
  <c r="N279" i="1"/>
  <c r="N1503" i="1"/>
  <c r="N759" i="1"/>
  <c r="N5558" i="1"/>
  <c r="N5078" i="1"/>
  <c r="N3230" i="1"/>
  <c r="N3350" i="1"/>
  <c r="N3830" i="1"/>
  <c r="N3134" i="1"/>
  <c r="N4406" i="1"/>
  <c r="N3806" i="1"/>
  <c r="N1887" i="1"/>
  <c r="N951" i="1"/>
  <c r="N5654" i="1"/>
  <c r="N5822" i="1"/>
  <c r="N1119" i="1"/>
  <c r="N1743" i="1"/>
  <c r="N1959" i="1"/>
  <c r="N1911" i="1"/>
  <c r="N2055" i="1"/>
  <c r="N2270" i="1"/>
  <c r="N3974" i="1"/>
  <c r="N5798" i="1"/>
  <c r="N2534" i="1"/>
  <c r="N4598" i="1"/>
  <c r="N4790" i="1"/>
  <c r="N2246" i="1"/>
  <c r="N2822" i="1"/>
  <c r="N4430" i="1"/>
  <c r="N4478" i="1"/>
  <c r="N1143" i="1"/>
  <c r="N1479" i="1"/>
  <c r="N5342" i="1"/>
  <c r="N3326" i="1"/>
  <c r="N3158" i="1"/>
  <c r="N135" i="1"/>
  <c r="N1815" i="1"/>
  <c r="N807" i="1"/>
  <c r="N2390" i="1"/>
  <c r="N4862" i="1"/>
  <c r="N3398" i="1"/>
  <c r="N5534" i="1"/>
  <c r="N2510" i="1"/>
  <c r="N543" i="1"/>
  <c r="N2151" i="1"/>
  <c r="N1383" i="1"/>
  <c r="N711" i="1"/>
  <c r="N639" i="1"/>
  <c r="N663" i="1"/>
  <c r="N4070" i="1"/>
  <c r="N5486" i="1"/>
  <c r="N4742" i="1"/>
  <c r="N4214" i="1"/>
  <c r="N3638" i="1"/>
  <c r="N2870" i="1"/>
  <c r="N4934" i="1"/>
  <c r="N3470" i="1"/>
  <c r="N5198" i="1"/>
  <c r="N5606" i="1"/>
  <c r="N3902" i="1"/>
  <c r="N2846" i="1"/>
  <c r="N3710" i="1"/>
  <c r="N5126" i="1"/>
  <c r="N2462" i="1"/>
  <c r="N2726" i="1"/>
  <c r="N303" i="1"/>
  <c r="N447" i="1"/>
  <c r="N351" i="1"/>
  <c r="N1647" i="1"/>
  <c r="N1863" i="1"/>
  <c r="N615" i="1"/>
  <c r="N1455" i="1"/>
  <c r="N3038" i="1"/>
  <c r="N4838" i="1"/>
  <c r="N2366" i="1"/>
  <c r="N3614" i="1"/>
  <c r="N3110" i="1"/>
  <c r="N5054" i="1"/>
  <c r="N3446" i="1"/>
  <c r="N2918" i="1"/>
  <c r="N4166" i="1"/>
  <c r="N4334" i="1"/>
  <c r="N5582" i="1"/>
  <c r="N4094" i="1"/>
  <c r="N2678" i="1"/>
  <c r="N2222" i="1"/>
  <c r="N3782" i="1"/>
  <c r="N5678" i="1"/>
  <c r="N2342" i="1"/>
  <c r="N4550" i="1"/>
  <c r="N3182" i="1"/>
  <c r="N399" i="1"/>
  <c r="N975" i="1"/>
  <c r="N2031" i="1"/>
  <c r="N519" i="1"/>
  <c r="N3494" i="1"/>
  <c r="N4646" i="1"/>
  <c r="N5390" i="1"/>
  <c r="N5006" i="1"/>
  <c r="N3998" i="1"/>
  <c r="N2438" i="1"/>
  <c r="N4886" i="1"/>
  <c r="N2654" i="1"/>
  <c r="N5750" i="1"/>
  <c r="N4694" i="1"/>
  <c r="N4118" i="1"/>
  <c r="N4238" i="1"/>
  <c r="N5222" i="1"/>
  <c r="N3086" i="1"/>
  <c r="N5246" i="1"/>
  <c r="N2990" i="1"/>
  <c r="N4502" i="1"/>
  <c r="N3014" i="1"/>
  <c r="N375" i="1"/>
  <c r="N471" i="1"/>
  <c r="N879" i="1"/>
  <c r="N1599" i="1"/>
  <c r="N1671" i="1"/>
  <c r="N423" i="1"/>
  <c r="N159" i="1"/>
  <c r="N111" i="1"/>
  <c r="N999" i="1"/>
  <c r="N2103" i="1"/>
  <c r="N327" i="1"/>
  <c r="N1551" i="1"/>
  <c r="N1767" i="1"/>
  <c r="N5174" i="1"/>
  <c r="N2558" i="1"/>
  <c r="N5294" i="1"/>
  <c r="N3254" i="1"/>
  <c r="N2606" i="1"/>
  <c r="N5510" i="1"/>
  <c r="N3566" i="1"/>
  <c r="N4262" i="1"/>
  <c r="N3206" i="1"/>
  <c r="N4982" i="1"/>
  <c r="N5438" i="1"/>
  <c r="N3062" i="1"/>
  <c r="N2414" i="1"/>
  <c r="N3734" i="1"/>
  <c r="N4286" i="1"/>
  <c r="N5366" i="1"/>
  <c r="N735" i="1"/>
  <c r="N39" i="1"/>
  <c r="N1335" i="1"/>
  <c r="N1047" i="1"/>
  <c r="N2127" i="1"/>
  <c r="N1215" i="1"/>
  <c r="N1719" i="1"/>
  <c r="N87" i="1"/>
  <c r="N591" i="1"/>
  <c r="N2175" i="1"/>
  <c r="N3374" i="1"/>
  <c r="N4454" i="1"/>
  <c r="N2966" i="1"/>
  <c r="N3662" i="1"/>
  <c r="N3878" i="1"/>
  <c r="N4910" i="1"/>
  <c r="N5414" i="1"/>
  <c r="N3758" i="1"/>
  <c r="N5726" i="1"/>
  <c r="N3518" i="1"/>
  <c r="N3302" i="1"/>
  <c r="N4526" i="1"/>
  <c r="N5150" i="1"/>
  <c r="N4574" i="1"/>
  <c r="N4766" i="1"/>
  <c r="N2294" i="1"/>
  <c r="N4718" i="1"/>
  <c r="N5630" i="1"/>
  <c r="N5774" i="1"/>
  <c r="N4022" i="1"/>
  <c r="N5102" i="1"/>
  <c r="N4046" i="1"/>
  <c r="N4358" i="1"/>
  <c r="N2486" i="1"/>
  <c r="AT36" i="16"/>
  <c r="AP36" i="16"/>
  <c r="AQ36" i="16"/>
  <c r="AD30" i="16"/>
  <c r="P30" i="16" s="1"/>
  <c r="AE30" i="16"/>
  <c r="AF30" i="16"/>
  <c r="AA30" i="16"/>
  <c r="AC30" i="16"/>
  <c r="O30" i="16" s="1"/>
  <c r="AB30" i="16"/>
  <c r="Z30" i="16"/>
  <c r="L30" i="16" s="1"/>
  <c r="Y30" i="16"/>
  <c r="X31" i="16"/>
  <c r="AV33" i="16"/>
  <c r="AG27" i="16"/>
  <c r="AO34" i="16"/>
  <c r="AV34" i="16" s="1"/>
  <c r="BQ98" i="16"/>
  <c r="BL144" i="16"/>
  <c r="AP144" i="16" s="1"/>
  <c r="BM144" i="16"/>
  <c r="AQ144" i="16" s="1"/>
  <c r="BN144" i="16"/>
  <c r="AR144" i="16" s="1"/>
  <c r="BO144" i="16"/>
  <c r="AS144" i="16" s="1"/>
  <c r="BP144" i="16"/>
  <c r="AT144" i="16" s="1"/>
  <c r="BJ144" i="16"/>
  <c r="AN144" i="16" s="1"/>
  <c r="BK144" i="16"/>
  <c r="AO144" i="16" s="1"/>
  <c r="BI145" i="16"/>
  <c r="AU148" i="16"/>
  <c r="BQ149" i="16"/>
  <c r="BJ99" i="16"/>
  <c r="BI100" i="16"/>
  <c r="BN99" i="16"/>
  <c r="BM99" i="16"/>
  <c r="BL99" i="16"/>
  <c r="BP99" i="16"/>
  <c r="BO99" i="16"/>
  <c r="BK99" i="16"/>
  <c r="AM146" i="16" l="1"/>
  <c r="AQ37" i="16"/>
  <c r="N30" i="16"/>
  <c r="AP37" i="16"/>
  <c r="M30" i="16"/>
  <c r="AU37" i="16"/>
  <c r="R30" i="16"/>
  <c r="AT37" i="16"/>
  <c r="Q30" i="16"/>
  <c r="S28" i="16"/>
  <c r="K30" i="16"/>
  <c r="BE95" i="16"/>
  <c r="BC96" i="16"/>
  <c r="BD96" i="16"/>
  <c r="AW95" i="16"/>
  <c r="BB96" i="16"/>
  <c r="AY96" i="16"/>
  <c r="AM97" i="16"/>
  <c r="BD97" i="16" s="1"/>
  <c r="AZ96" i="16"/>
  <c r="BA96" i="16"/>
  <c r="AQ96" i="16"/>
  <c r="AR96" i="16"/>
  <c r="AO96" i="16"/>
  <c r="AS96" i="16"/>
  <c r="AT96" i="16"/>
  <c r="AP96" i="16"/>
  <c r="AN96" i="16"/>
  <c r="AU95" i="16"/>
  <c r="AV95" i="16"/>
  <c r="N4599" i="1"/>
  <c r="N5151" i="1"/>
  <c r="N4023" i="1"/>
  <c r="N4119" i="1"/>
  <c r="N2367" i="1"/>
  <c r="N4215" i="1"/>
  <c r="N4647" i="1"/>
  <c r="N1192" i="1"/>
  <c r="N2463" i="1"/>
  <c r="N3087" i="1"/>
  <c r="N5127" i="1"/>
  <c r="N4455" i="1"/>
  <c r="N2199" i="1"/>
  <c r="N3207" i="1"/>
  <c r="N5247" i="1"/>
  <c r="N4863" i="1"/>
  <c r="N3783" i="1"/>
  <c r="N5271" i="1"/>
  <c r="N5751" i="1"/>
  <c r="N5031" i="1"/>
  <c r="N3279" i="1"/>
  <c r="N328" i="1"/>
  <c r="N2535" i="1"/>
  <c r="N2727" i="1"/>
  <c r="N2967" i="1"/>
  <c r="N3807" i="1"/>
  <c r="N3303" i="1"/>
  <c r="N3639" i="1"/>
  <c r="N4143" i="1"/>
  <c r="N4311" i="1"/>
  <c r="N3831" i="1"/>
  <c r="Y31" i="16"/>
  <c r="N2176" i="1"/>
  <c r="N5295" i="1"/>
  <c r="N5415" i="1"/>
  <c r="N2799" i="1"/>
  <c r="N5535" i="1"/>
  <c r="N2751" i="1"/>
  <c r="N3447" i="1"/>
  <c r="N5583" i="1"/>
  <c r="N4551" i="1"/>
  <c r="N2895" i="1"/>
  <c r="N3471" i="1"/>
  <c r="N2439" i="1"/>
  <c r="N3567" i="1"/>
  <c r="N5775" i="1"/>
  <c r="N2847" i="1"/>
  <c r="N2319" i="1"/>
  <c r="N4431" i="1"/>
  <c r="N5679" i="1"/>
  <c r="N3063" i="1"/>
  <c r="N3423" i="1"/>
  <c r="N4719" i="1"/>
  <c r="N3615" i="1"/>
  <c r="N2223" i="1"/>
  <c r="N3231" i="1"/>
  <c r="N2631" i="1"/>
  <c r="N4911" i="1"/>
  <c r="N3591" i="1"/>
  <c r="N4191" i="1"/>
  <c r="N3327" i="1"/>
  <c r="N2919" i="1"/>
  <c r="N5319" i="1"/>
  <c r="N4407" i="1"/>
  <c r="N3255" i="1"/>
  <c r="N3735" i="1"/>
  <c r="N4359" i="1"/>
  <c r="N4239" i="1"/>
  <c r="N5367" i="1"/>
  <c r="N2391" i="1"/>
  <c r="N4743" i="1"/>
  <c r="N5607" i="1"/>
  <c r="N4383" i="1"/>
  <c r="N2607" i="1"/>
  <c r="N3159" i="1"/>
  <c r="N4623" i="1"/>
  <c r="N5703" i="1"/>
  <c r="N4671" i="1"/>
  <c r="N4983" i="1"/>
  <c r="N2679" i="1"/>
  <c r="N5199" i="1"/>
  <c r="N2871" i="1"/>
  <c r="N5391" i="1"/>
  <c r="N4095" i="1"/>
  <c r="N2775" i="1"/>
  <c r="N3879" i="1"/>
  <c r="N2703" i="1"/>
  <c r="N4695" i="1"/>
  <c r="N5799" i="1"/>
  <c r="N2823" i="1"/>
  <c r="N2487" i="1"/>
  <c r="N2415" i="1"/>
  <c r="N3999" i="1"/>
  <c r="N4503" i="1"/>
  <c r="N5223" i="1"/>
  <c r="N4263" i="1"/>
  <c r="N5655" i="1"/>
  <c r="N3399" i="1"/>
  <c r="N4887" i="1"/>
  <c r="N5727" i="1"/>
  <c r="N5079" i="1"/>
  <c r="N3951" i="1"/>
  <c r="N5343" i="1"/>
  <c r="N5511" i="1"/>
  <c r="N2583" i="1"/>
  <c r="N3927" i="1"/>
  <c r="N4335" i="1"/>
  <c r="N3135" i="1"/>
  <c r="N1360" i="1"/>
  <c r="N4479" i="1"/>
  <c r="N2295" i="1"/>
  <c r="N5055" i="1"/>
  <c r="N3375" i="1"/>
  <c r="N3543" i="1"/>
  <c r="N4167" i="1"/>
  <c r="N4071" i="1"/>
  <c r="N4935" i="1"/>
  <c r="N5103" i="1"/>
  <c r="N4047" i="1"/>
  <c r="N2559" i="1"/>
  <c r="N3495" i="1"/>
  <c r="N88" i="1"/>
  <c r="N2271" i="1"/>
  <c r="N4287" i="1"/>
  <c r="N5439" i="1"/>
  <c r="N5631" i="1"/>
  <c r="N4839" i="1"/>
  <c r="N4815" i="1"/>
  <c r="N5175" i="1"/>
  <c r="N3855" i="1"/>
  <c r="N2991" i="1"/>
  <c r="N3663" i="1"/>
  <c r="N4791" i="1"/>
  <c r="N1024" i="1"/>
  <c r="N5559" i="1"/>
  <c r="N2943" i="1"/>
  <c r="N2655" i="1"/>
  <c r="N3975" i="1"/>
  <c r="N2511" i="1"/>
  <c r="N3687" i="1"/>
  <c r="N4575" i="1"/>
  <c r="N3111" i="1"/>
  <c r="N4527" i="1"/>
  <c r="N3183" i="1"/>
  <c r="N64" i="1"/>
  <c r="N3711" i="1"/>
  <c r="N5487" i="1"/>
  <c r="N4767" i="1"/>
  <c r="N4959" i="1"/>
  <c r="N3519" i="1"/>
  <c r="N3759" i="1"/>
  <c r="N3039" i="1"/>
  <c r="N2343" i="1"/>
  <c r="N2247" i="1"/>
  <c r="N5007" i="1"/>
  <c r="N5463" i="1"/>
  <c r="N3351" i="1"/>
  <c r="N3903" i="1"/>
  <c r="N3015" i="1"/>
  <c r="AR37" i="16"/>
  <c r="AS37" i="16"/>
  <c r="AF31" i="16"/>
  <c r="AE31" i="16"/>
  <c r="AD31" i="16"/>
  <c r="AC31" i="16"/>
  <c r="AB31" i="16"/>
  <c r="AA31" i="16"/>
  <c r="Z31" i="16"/>
  <c r="X32" i="16"/>
  <c r="AG28" i="16"/>
  <c r="AO35" i="16"/>
  <c r="AV35" i="16" s="1"/>
  <c r="BI101" i="16"/>
  <c r="BM100" i="16"/>
  <c r="BO100" i="16"/>
  <c r="BJ100" i="16"/>
  <c r="BP100" i="16"/>
  <c r="BN100" i="16"/>
  <c r="BL100" i="16"/>
  <c r="BK100" i="16"/>
  <c r="BM145" i="16"/>
  <c r="AQ145" i="16" s="1"/>
  <c r="BN145" i="16"/>
  <c r="AR145" i="16" s="1"/>
  <c r="BO145" i="16"/>
  <c r="AS145" i="16" s="1"/>
  <c r="BP145" i="16"/>
  <c r="AT145" i="16" s="1"/>
  <c r="BJ145" i="16"/>
  <c r="AN145" i="16" s="1"/>
  <c r="BK145" i="16"/>
  <c r="AO145" i="16" s="1"/>
  <c r="BL145" i="16"/>
  <c r="AP145" i="16" s="1"/>
  <c r="BI146" i="16"/>
  <c r="BQ99" i="16"/>
  <c r="BQ145" i="16"/>
  <c r="AM147" i="16" l="1"/>
  <c r="AS38" i="16"/>
  <c r="P31" i="16"/>
  <c r="AT38" i="16"/>
  <c r="Q31" i="16"/>
  <c r="AU38" i="16"/>
  <c r="R31" i="16"/>
  <c r="N5392" i="1"/>
  <c r="L31" i="16"/>
  <c r="AP38" i="16"/>
  <c r="M31" i="16"/>
  <c r="AQ38" i="16"/>
  <c r="N31" i="16"/>
  <c r="AR38" i="16"/>
  <c r="O31" i="16"/>
  <c r="S29" i="16"/>
  <c r="K31" i="16"/>
  <c r="BE96" i="16"/>
  <c r="BB97" i="16"/>
  <c r="BC97" i="16"/>
  <c r="AZ97" i="16"/>
  <c r="AY97" i="16"/>
  <c r="AM98" i="16"/>
  <c r="BD98" i="16" s="1"/>
  <c r="BA97" i="16"/>
  <c r="AS97" i="16"/>
  <c r="AP97" i="16"/>
  <c r="AN97" i="16"/>
  <c r="AQ97" i="16"/>
  <c r="AO97" i="16"/>
  <c r="AT97" i="16"/>
  <c r="AR97" i="16"/>
  <c r="AW96" i="16"/>
  <c r="AV96" i="16"/>
  <c r="AU96" i="16"/>
  <c r="N2416" i="1"/>
  <c r="N3688" i="1"/>
  <c r="N5152" i="1"/>
  <c r="N4312" i="1"/>
  <c r="N3784" i="1"/>
  <c r="N2464" i="1"/>
  <c r="N5464" i="1"/>
  <c r="N5008" i="1"/>
  <c r="N3280" i="1"/>
  <c r="N2752" i="1"/>
  <c r="N3400" i="1"/>
  <c r="N4240" i="1"/>
  <c r="N3712" i="1"/>
  <c r="N2872" i="1"/>
  <c r="N3448" i="1"/>
  <c r="N5512" i="1"/>
  <c r="N2368" i="1"/>
  <c r="N3040" i="1"/>
  <c r="N4456" i="1"/>
  <c r="N3760" i="1"/>
  <c r="N4408" i="1"/>
  <c r="N4096" i="1"/>
  <c r="N4120" i="1"/>
  <c r="N2584" i="1"/>
  <c r="N3880" i="1"/>
  <c r="N3352" i="1"/>
  <c r="N2296" i="1"/>
  <c r="N1241" i="1"/>
  <c r="N5536" i="1"/>
  <c r="N5776" i="1"/>
  <c r="N4624" i="1"/>
  <c r="N5584" i="1"/>
  <c r="N4768" i="1"/>
  <c r="N5320" i="1"/>
  <c r="N2200" i="1"/>
  <c r="N4696" i="1"/>
  <c r="N4552" i="1"/>
  <c r="N3232" i="1"/>
  <c r="N4192" i="1"/>
  <c r="N3568" i="1"/>
  <c r="N4360" i="1"/>
  <c r="N2536" i="1"/>
  <c r="N5440" i="1"/>
  <c r="N2656" i="1"/>
  <c r="N5704" i="1"/>
  <c r="N4264" i="1"/>
  <c r="N5656" i="1"/>
  <c r="N3328" i="1"/>
  <c r="N5272" i="1"/>
  <c r="N4504" i="1"/>
  <c r="N5800" i="1"/>
  <c r="N4528" i="1"/>
  <c r="N3592" i="1"/>
  <c r="N5560" i="1"/>
  <c r="N3256" i="1"/>
  <c r="N2680" i="1"/>
  <c r="N5488" i="1"/>
  <c r="N3088" i="1"/>
  <c r="N3520" i="1"/>
  <c r="N2896" i="1"/>
  <c r="N2248" i="1"/>
  <c r="N5128" i="1"/>
  <c r="N2800" i="1"/>
  <c r="N4720" i="1"/>
  <c r="Y32" i="16"/>
  <c r="Y33" i="16" s="1"/>
  <c r="Y34" i="16" s="1"/>
  <c r="Y35" i="16" s="1"/>
  <c r="Y36" i="16" s="1"/>
  <c r="Y37" i="16" s="1"/>
  <c r="Y38" i="16" s="1"/>
  <c r="Y39" i="16" s="1"/>
  <c r="Y40" i="16" s="1"/>
  <c r="Y41" i="16" s="1"/>
  <c r="Y42" i="16" s="1"/>
  <c r="N4048" i="1"/>
  <c r="N3184" i="1"/>
  <c r="N2944" i="1"/>
  <c r="N4384" i="1"/>
  <c r="N3952" i="1"/>
  <c r="N3136" i="1"/>
  <c r="N3976" i="1"/>
  <c r="N5056" i="1"/>
  <c r="N5632" i="1"/>
  <c r="N2272" i="1"/>
  <c r="N3160" i="1"/>
  <c r="N4432" i="1"/>
  <c r="N4864" i="1"/>
  <c r="N4144" i="1"/>
  <c r="N2224" i="1"/>
  <c r="N3856" i="1"/>
  <c r="N5200" i="1"/>
  <c r="N2320" i="1"/>
  <c r="N3808" i="1"/>
  <c r="N4816" i="1"/>
  <c r="N2488" i="1"/>
  <c r="N3640" i="1"/>
  <c r="N4576" i="1"/>
  <c r="N3496" i="1"/>
  <c r="N5296" i="1"/>
  <c r="N5032" i="1"/>
  <c r="N4984" i="1"/>
  <c r="N3064" i="1"/>
  <c r="N3904" i="1"/>
  <c r="N5824" i="1"/>
  <c r="N3472" i="1"/>
  <c r="N4672" i="1"/>
  <c r="N2824" i="1"/>
  <c r="N4912" i="1"/>
  <c r="N5344" i="1"/>
  <c r="N4744" i="1"/>
  <c r="N5728" i="1"/>
  <c r="N5368" i="1"/>
  <c r="N4960" i="1"/>
  <c r="N2440" i="1"/>
  <c r="N5224" i="1"/>
  <c r="N4648" i="1"/>
  <c r="N4288" i="1"/>
  <c r="N5080" i="1"/>
  <c r="N5176" i="1"/>
  <c r="N2920" i="1"/>
  <c r="N4792" i="1"/>
  <c r="N5416" i="1"/>
  <c r="N2704" i="1"/>
  <c r="N2968" i="1"/>
  <c r="N4600" i="1"/>
  <c r="N3736" i="1"/>
  <c r="N2560" i="1"/>
  <c r="N3208" i="1"/>
  <c r="N2728" i="1"/>
  <c r="N3616" i="1"/>
  <c r="N2632" i="1"/>
  <c r="N4000" i="1"/>
  <c r="N4888" i="1"/>
  <c r="N4480" i="1"/>
  <c r="N2392" i="1"/>
  <c r="N3832" i="1"/>
  <c r="N2608" i="1"/>
  <c r="N2512" i="1"/>
  <c r="N4072" i="1"/>
  <c r="N3544" i="1"/>
  <c r="N3928" i="1"/>
  <c r="N3424" i="1"/>
  <c r="N3016" i="1"/>
  <c r="N4840" i="1"/>
  <c r="N2344" i="1"/>
  <c r="N2992" i="1"/>
  <c r="N5752" i="1"/>
  <c r="N3304" i="1"/>
  <c r="AU144" i="16"/>
  <c r="AB32" i="16"/>
  <c r="AF32" i="16"/>
  <c r="AE32" i="16"/>
  <c r="AD32" i="16"/>
  <c r="Z32" i="16"/>
  <c r="AA32" i="16"/>
  <c r="AC32" i="16"/>
  <c r="X33" i="16"/>
  <c r="AO36" i="16"/>
  <c r="AV36" i="16" s="1"/>
  <c r="AG29" i="16"/>
  <c r="BQ100" i="16"/>
  <c r="AU145" i="16"/>
  <c r="BQ146" i="16"/>
  <c r="BO101" i="16"/>
  <c r="BN101" i="16"/>
  <c r="BL101" i="16"/>
  <c r="BM101" i="16"/>
  <c r="BJ101" i="16"/>
  <c r="BP101" i="16"/>
  <c r="BK101" i="16"/>
  <c r="BI102" i="16"/>
  <c r="BO146" i="16"/>
  <c r="AS146" i="16" s="1"/>
  <c r="BP146" i="16"/>
  <c r="AT146" i="16" s="1"/>
  <c r="BI147" i="16"/>
  <c r="BJ146" i="16"/>
  <c r="AN146" i="16" s="1"/>
  <c r="BM146" i="16"/>
  <c r="AQ146" i="16" s="1"/>
  <c r="BL146" i="16"/>
  <c r="AP146" i="16" s="1"/>
  <c r="BK146" i="16"/>
  <c r="AO146" i="16" s="1"/>
  <c r="BN146" i="16"/>
  <c r="AR146" i="16" s="1"/>
  <c r="AM149" i="16" l="1"/>
  <c r="AP39" i="16"/>
  <c r="M32" i="16"/>
  <c r="N4553" i="1"/>
  <c r="L32" i="16"/>
  <c r="AS39" i="16"/>
  <c r="P32" i="16"/>
  <c r="AT39" i="16"/>
  <c r="Q32" i="16"/>
  <c r="AU39" i="16"/>
  <c r="R32" i="16"/>
  <c r="AQ39" i="16"/>
  <c r="N32" i="16"/>
  <c r="AR39" i="16"/>
  <c r="O32" i="16"/>
  <c r="S30" i="16"/>
  <c r="K32" i="16"/>
  <c r="BE97" i="16"/>
  <c r="BC98" i="16"/>
  <c r="BB98" i="16"/>
  <c r="AY98" i="16"/>
  <c r="AM99" i="16"/>
  <c r="BD99" i="16" s="1"/>
  <c r="BA98" i="16"/>
  <c r="AZ98" i="16"/>
  <c r="AN98" i="16"/>
  <c r="AP98" i="16"/>
  <c r="AT98" i="16"/>
  <c r="AQ98" i="16"/>
  <c r="AS98" i="16"/>
  <c r="AR98" i="16"/>
  <c r="AO98" i="16"/>
  <c r="AU97" i="16"/>
  <c r="AV97" i="16"/>
  <c r="AW97" i="16"/>
  <c r="N2969" i="1"/>
  <c r="N5297" i="1"/>
  <c r="N2345" i="1"/>
  <c r="N2273" i="1"/>
  <c r="N4913" i="1"/>
  <c r="N4721" i="1"/>
  <c r="N5729" i="1"/>
  <c r="N3209" i="1"/>
  <c r="N5057" i="1"/>
  <c r="N4001" i="1"/>
  <c r="N2465" i="1"/>
  <c r="AB33" i="16"/>
  <c r="N33" i="16" s="1"/>
  <c r="AC33" i="16"/>
  <c r="O33" i="16" s="1"/>
  <c r="AD33" i="16"/>
  <c r="Z33" i="16"/>
  <c r="L33" i="16" s="1"/>
  <c r="AE33" i="16"/>
  <c r="AA33" i="16"/>
  <c r="AF33" i="16"/>
  <c r="X34" i="16"/>
  <c r="AO37" i="16"/>
  <c r="AV37" i="16" s="1"/>
  <c r="AG30" i="16"/>
  <c r="BN102" i="16"/>
  <c r="BM102" i="16"/>
  <c r="BI103" i="16"/>
  <c r="BK102" i="16"/>
  <c r="BP102" i="16"/>
  <c r="BL102" i="16"/>
  <c r="BJ102" i="16"/>
  <c r="BO102" i="16"/>
  <c r="BQ147" i="16"/>
  <c r="AU146" i="16"/>
  <c r="BI149" i="16"/>
  <c r="BN147" i="16"/>
  <c r="AR147" i="16" s="1"/>
  <c r="BJ147" i="16"/>
  <c r="AN147" i="16" s="1"/>
  <c r="BK147" i="16"/>
  <c r="AO147" i="16" s="1"/>
  <c r="BM147" i="16"/>
  <c r="AQ147" i="16" s="1"/>
  <c r="BO147" i="16"/>
  <c r="AS147" i="16" s="1"/>
  <c r="BL147" i="16"/>
  <c r="AP147" i="16" s="1"/>
  <c r="BP147" i="16"/>
  <c r="AT147" i="16" s="1"/>
  <c r="BQ101" i="16"/>
  <c r="AM150" i="16" l="1"/>
  <c r="AS40" i="16"/>
  <c r="P33" i="16"/>
  <c r="AU40" i="16"/>
  <c r="R33" i="16"/>
  <c r="AP40" i="16"/>
  <c r="M33" i="16"/>
  <c r="AT40" i="16"/>
  <c r="Q33" i="16"/>
  <c r="S31" i="16"/>
  <c r="K33" i="16"/>
  <c r="BE98" i="16"/>
  <c r="AW98" i="16"/>
  <c r="BB99" i="16"/>
  <c r="BC99" i="16"/>
  <c r="AY99" i="16"/>
  <c r="BA99" i="16"/>
  <c r="AZ99" i="16"/>
  <c r="AM100" i="16"/>
  <c r="BD100" i="16" s="1"/>
  <c r="AR99" i="16"/>
  <c r="AO99" i="16"/>
  <c r="AN99" i="16"/>
  <c r="AT99" i="16"/>
  <c r="AQ99" i="16"/>
  <c r="AS99" i="16"/>
  <c r="AP99" i="16"/>
  <c r="AU98" i="16"/>
  <c r="AV98" i="16"/>
  <c r="N3762" i="1"/>
  <c r="N4122" i="1"/>
  <c r="AR40" i="16"/>
  <c r="AQ40" i="16"/>
  <c r="AD34" i="16"/>
  <c r="P34" i="16" s="1"/>
  <c r="AE34" i="16"/>
  <c r="Q34" i="16" s="1"/>
  <c r="AF34" i="16"/>
  <c r="AC34" i="16"/>
  <c r="AA34" i="16"/>
  <c r="Z34" i="16"/>
  <c r="L34" i="16" s="1"/>
  <c r="AB34" i="16"/>
  <c r="X35" i="16"/>
  <c r="AO38" i="16"/>
  <c r="AV38" i="16" s="1"/>
  <c r="AG31" i="16"/>
  <c r="BQ102" i="16"/>
  <c r="AU147" i="16"/>
  <c r="BQ148" i="16"/>
  <c r="BK149" i="16"/>
  <c r="AO149" i="16" s="1"/>
  <c r="BI150" i="16"/>
  <c r="BL149" i="16"/>
  <c r="AP149" i="16" s="1"/>
  <c r="BJ149" i="16"/>
  <c r="AN149" i="16" s="1"/>
  <c r="BN149" i="16"/>
  <c r="AR149" i="16" s="1"/>
  <c r="BM149" i="16"/>
  <c r="AQ149" i="16" s="1"/>
  <c r="BP149" i="16"/>
  <c r="AT149" i="16" s="1"/>
  <c r="BO149" i="16"/>
  <c r="AS149" i="16" s="1"/>
  <c r="BL103" i="16"/>
  <c r="BI104" i="16"/>
  <c r="BO103" i="16"/>
  <c r="BM103" i="16"/>
  <c r="BN103" i="16"/>
  <c r="BJ103" i="16"/>
  <c r="BP103" i="16"/>
  <c r="BK103" i="16"/>
  <c r="AM151" i="16" l="1"/>
  <c r="AQ41" i="16"/>
  <c r="N34" i="16"/>
  <c r="AP41" i="16"/>
  <c r="M34" i="16"/>
  <c r="AR41" i="16"/>
  <c r="O34" i="16"/>
  <c r="AU41" i="16"/>
  <c r="R34" i="16"/>
  <c r="S32" i="16"/>
  <c r="K34" i="16"/>
  <c r="BE99" i="16"/>
  <c r="AW99" i="16"/>
  <c r="AV99" i="16"/>
  <c r="AU99" i="16"/>
  <c r="BB100" i="16"/>
  <c r="BC100" i="16"/>
  <c r="AZ100" i="16"/>
  <c r="AM101" i="16"/>
  <c r="BD101" i="16" s="1"/>
  <c r="AY100" i="16"/>
  <c r="BA100" i="16"/>
  <c r="AR100" i="16"/>
  <c r="AS100" i="16"/>
  <c r="AO100" i="16"/>
  <c r="AQ100" i="16"/>
  <c r="AP100" i="16"/>
  <c r="AN100" i="16"/>
  <c r="AT100" i="16"/>
  <c r="N740" i="1"/>
  <c r="AT41" i="16"/>
  <c r="AS41" i="16"/>
  <c r="AF35" i="16"/>
  <c r="R35" i="16" s="1"/>
  <c r="AA35" i="16"/>
  <c r="Z35" i="16"/>
  <c r="L35" i="16" s="1"/>
  <c r="AD35" i="16"/>
  <c r="AB35" i="16"/>
  <c r="AE35" i="16"/>
  <c r="AC35" i="16"/>
  <c r="X36" i="16"/>
  <c r="AO39" i="16"/>
  <c r="AV39" i="16" s="1"/>
  <c r="AG32" i="16"/>
  <c r="AU149" i="16"/>
  <c r="BQ150" i="16"/>
  <c r="BJ104" i="16"/>
  <c r="BI105" i="16"/>
  <c r="BO104" i="16"/>
  <c r="BN104" i="16"/>
  <c r="BK104" i="16"/>
  <c r="BP104" i="16"/>
  <c r="BL104" i="16"/>
  <c r="BM104" i="16"/>
  <c r="BL150" i="16"/>
  <c r="AP150" i="16" s="1"/>
  <c r="BM150" i="16"/>
  <c r="AQ150" i="16" s="1"/>
  <c r="BN150" i="16"/>
  <c r="AR150" i="16" s="1"/>
  <c r="BO150" i="16"/>
  <c r="AS150" i="16" s="1"/>
  <c r="BP150" i="16"/>
  <c r="AT150" i="16" s="1"/>
  <c r="BJ150" i="16"/>
  <c r="AN150" i="16" s="1"/>
  <c r="BK150" i="16"/>
  <c r="AO150" i="16" s="1"/>
  <c r="BI151" i="16"/>
  <c r="BQ103" i="16"/>
  <c r="AM152" i="16" l="1"/>
  <c r="AR42" i="16"/>
  <c r="O35" i="16"/>
  <c r="AP42" i="16"/>
  <c r="M35" i="16"/>
  <c r="AT42" i="16"/>
  <c r="Q35" i="16"/>
  <c r="AQ42" i="16"/>
  <c r="N35" i="16"/>
  <c r="AS42" i="16"/>
  <c r="P35" i="16"/>
  <c r="S33" i="16"/>
  <c r="K35" i="16"/>
  <c r="BE100" i="16"/>
  <c r="AW100" i="16"/>
  <c r="AV100" i="16"/>
  <c r="AU100" i="16"/>
  <c r="BB101" i="16"/>
  <c r="BC101" i="16"/>
  <c r="AZ101" i="16"/>
  <c r="AM102" i="16"/>
  <c r="BD102" i="16" s="1"/>
  <c r="AY101" i="16"/>
  <c r="BA101" i="16"/>
  <c r="AS101" i="16"/>
  <c r="AQ101" i="16"/>
  <c r="AP101" i="16"/>
  <c r="AR101" i="16"/>
  <c r="AT101" i="16"/>
  <c r="AO101" i="16"/>
  <c r="AN101" i="16"/>
  <c r="N453" i="1"/>
  <c r="AU42" i="16"/>
  <c r="AA36" i="16"/>
  <c r="M36" i="16" s="1"/>
  <c r="AB36" i="16"/>
  <c r="Z36" i="16"/>
  <c r="L36" i="16" s="1"/>
  <c r="AC36" i="16"/>
  <c r="AF36" i="16"/>
  <c r="AD36" i="16"/>
  <c r="AE36" i="16"/>
  <c r="X37" i="16"/>
  <c r="AG33" i="16"/>
  <c r="AO40" i="16"/>
  <c r="AV40" i="16" s="1"/>
  <c r="AU150" i="16"/>
  <c r="BQ151" i="16"/>
  <c r="BN105" i="16"/>
  <c r="BI106" i="16"/>
  <c r="BL105" i="16"/>
  <c r="BM105" i="16"/>
  <c r="BO105" i="16"/>
  <c r="BP105" i="16"/>
  <c r="BJ105" i="16"/>
  <c r="BK105" i="16"/>
  <c r="BQ104" i="16"/>
  <c r="BM151" i="16"/>
  <c r="AQ151" i="16" s="1"/>
  <c r="BN151" i="16"/>
  <c r="AR151" i="16" s="1"/>
  <c r="BO151" i="16"/>
  <c r="AS151" i="16" s="1"/>
  <c r="BP151" i="16"/>
  <c r="AT151" i="16" s="1"/>
  <c r="BJ151" i="16"/>
  <c r="AN151" i="16" s="1"/>
  <c r="BK151" i="16"/>
  <c r="AO151" i="16" s="1"/>
  <c r="BL151" i="16"/>
  <c r="AP151" i="16" s="1"/>
  <c r="BI152" i="16"/>
  <c r="AM153" i="16" l="1"/>
  <c r="AT43" i="16"/>
  <c r="Q36" i="16"/>
  <c r="AS43" i="16"/>
  <c r="P36" i="16"/>
  <c r="AU43" i="16"/>
  <c r="R36" i="16"/>
  <c r="AR43" i="16"/>
  <c r="O36" i="16"/>
  <c r="AQ43" i="16"/>
  <c r="N36" i="16"/>
  <c r="S34" i="16"/>
  <c r="K36" i="16"/>
  <c r="BE101" i="16"/>
  <c r="AW101" i="16"/>
  <c r="AV101" i="16"/>
  <c r="AU101" i="16"/>
  <c r="BB102" i="16"/>
  <c r="BC102" i="16"/>
  <c r="BA102" i="16"/>
  <c r="AM103" i="16"/>
  <c r="BD103" i="16" s="1"/>
  <c r="AZ102" i="16"/>
  <c r="AY102" i="16"/>
  <c r="AT102" i="16"/>
  <c r="AQ102" i="16"/>
  <c r="AO102" i="16"/>
  <c r="AP102" i="16"/>
  <c r="AR102" i="16"/>
  <c r="AS102" i="16"/>
  <c r="AN102" i="16"/>
  <c r="AP43" i="16"/>
  <c r="N5253" i="1"/>
  <c r="AB37" i="16"/>
  <c r="N37" i="16" s="1"/>
  <c r="AC37" i="16"/>
  <c r="O37" i="16" s="1"/>
  <c r="AD37" i="16"/>
  <c r="AA37" i="16"/>
  <c r="Z37" i="16"/>
  <c r="L37" i="16" s="1"/>
  <c r="AE37" i="16"/>
  <c r="AF37" i="16"/>
  <c r="X38" i="16"/>
  <c r="AG34" i="16"/>
  <c r="AO41" i="16"/>
  <c r="AV41" i="16" s="1"/>
  <c r="BQ105" i="16"/>
  <c r="BN152" i="16"/>
  <c r="AR152" i="16" s="1"/>
  <c r="BO152" i="16"/>
  <c r="AS152" i="16" s="1"/>
  <c r="BP152" i="16"/>
  <c r="AT152" i="16" s="1"/>
  <c r="BJ152" i="16"/>
  <c r="AN152" i="16" s="1"/>
  <c r="BK152" i="16"/>
  <c r="AO152" i="16" s="1"/>
  <c r="BL152" i="16"/>
  <c r="AP152" i="16" s="1"/>
  <c r="BM152" i="16"/>
  <c r="AQ152" i="16" s="1"/>
  <c r="BI153" i="16"/>
  <c r="BJ106" i="16"/>
  <c r="BN106" i="16"/>
  <c r="BK106" i="16"/>
  <c r="BO106" i="16"/>
  <c r="BL106" i="16"/>
  <c r="BI107" i="16"/>
  <c r="BM106" i="16"/>
  <c r="BP106" i="16"/>
  <c r="AU151" i="16"/>
  <c r="BQ152" i="16"/>
  <c r="AM154" i="16" l="1"/>
  <c r="AU44" i="16"/>
  <c r="R37" i="16"/>
  <c r="AT44" i="16"/>
  <c r="Q37" i="16"/>
  <c r="AP44" i="16"/>
  <c r="M37" i="16"/>
  <c r="AS44" i="16"/>
  <c r="P37" i="16"/>
  <c r="K37" i="16"/>
  <c r="S35" i="16"/>
  <c r="BE102" i="16"/>
  <c r="AV102" i="16"/>
  <c r="AU102" i="16"/>
  <c r="AW102" i="16"/>
  <c r="BB103" i="16"/>
  <c r="BC103" i="16"/>
  <c r="AM104" i="16"/>
  <c r="BD104" i="16" s="1"/>
  <c r="BA103" i="16"/>
  <c r="AZ103" i="16"/>
  <c r="AY103" i="16"/>
  <c r="AP103" i="16"/>
  <c r="AT103" i="16"/>
  <c r="AN103" i="16"/>
  <c r="AO103" i="16"/>
  <c r="AR103" i="16"/>
  <c r="AQ103" i="16"/>
  <c r="AS103" i="16"/>
  <c r="AR44" i="16"/>
  <c r="N4462" i="1"/>
  <c r="AQ44" i="16"/>
  <c r="AF38" i="16"/>
  <c r="AD38" i="16"/>
  <c r="P38" i="16" s="1"/>
  <c r="AE38" i="16"/>
  <c r="Q38" i="16" s="1"/>
  <c r="AA38" i="16"/>
  <c r="AB38" i="16"/>
  <c r="Z38" i="16"/>
  <c r="L38" i="16" s="1"/>
  <c r="AC38" i="16"/>
  <c r="X39" i="16"/>
  <c r="AG35" i="16"/>
  <c r="AO42" i="16"/>
  <c r="AV42" i="16" s="1"/>
  <c r="AU152" i="16"/>
  <c r="BQ153" i="16"/>
  <c r="BQ106" i="16"/>
  <c r="BO107" i="16"/>
  <c r="BN107" i="16"/>
  <c r="BI108" i="16"/>
  <c r="BL107" i="16"/>
  <c r="BJ107" i="16"/>
  <c r="BM107" i="16"/>
  <c r="BP107" i="16"/>
  <c r="BK107" i="16"/>
  <c r="BO153" i="16"/>
  <c r="AS153" i="16" s="1"/>
  <c r="BP153" i="16"/>
  <c r="AT153" i="16" s="1"/>
  <c r="BJ153" i="16"/>
  <c r="AN153" i="16" s="1"/>
  <c r="BK153" i="16"/>
  <c r="AO153" i="16" s="1"/>
  <c r="BL153" i="16"/>
  <c r="AP153" i="16" s="1"/>
  <c r="BM153" i="16"/>
  <c r="AQ153" i="16" s="1"/>
  <c r="BN153" i="16"/>
  <c r="AR153" i="16" s="1"/>
  <c r="BI154" i="16"/>
  <c r="AM155" i="16" l="1"/>
  <c r="AU45" i="16"/>
  <c r="R38" i="16"/>
  <c r="AR45" i="16"/>
  <c r="O38" i="16"/>
  <c r="AQ45" i="16"/>
  <c r="N38" i="16"/>
  <c r="AP45" i="16"/>
  <c r="M38" i="16"/>
  <c r="S36" i="16"/>
  <c r="K38" i="16"/>
  <c r="BE103" i="16"/>
  <c r="AW103" i="16"/>
  <c r="AV103" i="16"/>
  <c r="AU103" i="16"/>
  <c r="BB104" i="16"/>
  <c r="BC104" i="16"/>
  <c r="AM105" i="16"/>
  <c r="BD105" i="16" s="1"/>
  <c r="AZ104" i="16"/>
  <c r="BA104" i="16"/>
  <c r="AY104" i="16"/>
  <c r="AR104" i="16"/>
  <c r="AT104" i="16"/>
  <c r="AN104" i="16"/>
  <c r="AQ104" i="16"/>
  <c r="AP104" i="16"/>
  <c r="AO104" i="16"/>
  <c r="AS104" i="16"/>
  <c r="N4847" i="1"/>
  <c r="AT45" i="16"/>
  <c r="AS45" i="16"/>
  <c r="AF39" i="16"/>
  <c r="R39" i="16" s="1"/>
  <c r="Z39" i="16"/>
  <c r="L39" i="16" s="1"/>
  <c r="AD39" i="16"/>
  <c r="AB39" i="16"/>
  <c r="AA39" i="16"/>
  <c r="AE39" i="16"/>
  <c r="AC39" i="16"/>
  <c r="X40" i="16"/>
  <c r="AG36" i="16"/>
  <c r="AO43" i="16"/>
  <c r="AV43" i="16" s="1"/>
  <c r="BQ107" i="16"/>
  <c r="AU153" i="16"/>
  <c r="BQ154" i="16"/>
  <c r="BP108" i="16"/>
  <c r="BI109" i="16"/>
  <c r="BL108" i="16"/>
  <c r="BM108" i="16"/>
  <c r="BO108" i="16"/>
  <c r="BN108" i="16"/>
  <c r="BK108" i="16"/>
  <c r="BJ108" i="16"/>
  <c r="BP154" i="16"/>
  <c r="AT154" i="16" s="1"/>
  <c r="BJ154" i="16"/>
  <c r="AN154" i="16" s="1"/>
  <c r="BK154" i="16"/>
  <c r="AO154" i="16" s="1"/>
  <c r="BL154" i="16"/>
  <c r="AP154" i="16" s="1"/>
  <c r="BM154" i="16"/>
  <c r="AQ154" i="16" s="1"/>
  <c r="BN154" i="16"/>
  <c r="AR154" i="16" s="1"/>
  <c r="BO154" i="16"/>
  <c r="AS154" i="16" s="1"/>
  <c r="BI155" i="16"/>
  <c r="AM156" i="16" l="1"/>
  <c r="AR46" i="16"/>
  <c r="O39" i="16"/>
  <c r="AT46" i="16"/>
  <c r="Q39" i="16"/>
  <c r="AP46" i="16"/>
  <c r="M39" i="16"/>
  <c r="AQ46" i="16"/>
  <c r="N39" i="16"/>
  <c r="AS46" i="16"/>
  <c r="P39" i="16"/>
  <c r="S37" i="16"/>
  <c r="K39" i="16"/>
  <c r="BE104" i="16"/>
  <c r="AW104" i="16"/>
  <c r="BB105" i="16"/>
  <c r="BC105" i="16"/>
  <c r="BA105" i="16"/>
  <c r="AY105" i="16"/>
  <c r="AM106" i="16"/>
  <c r="BD106" i="16" s="1"/>
  <c r="AZ105" i="16"/>
  <c r="AQ105" i="16"/>
  <c r="AO105" i="16"/>
  <c r="AP105" i="16"/>
  <c r="AS105" i="16"/>
  <c r="AR105" i="16"/>
  <c r="AN105" i="16"/>
  <c r="AT105" i="16"/>
  <c r="AU104" i="16"/>
  <c r="AV104" i="16"/>
  <c r="N793" i="1"/>
  <c r="AA40" i="16"/>
  <c r="M40" i="16" s="1"/>
  <c r="AB40" i="16"/>
  <c r="AF40" i="16"/>
  <c r="AD40" i="16"/>
  <c r="AC40" i="16"/>
  <c r="Z40" i="16"/>
  <c r="L40" i="16" s="1"/>
  <c r="AE40" i="16"/>
  <c r="AU46" i="16"/>
  <c r="X41" i="16"/>
  <c r="AO44" i="16"/>
  <c r="AV44" i="16" s="1"/>
  <c r="AG37" i="16"/>
  <c r="AU154" i="16"/>
  <c r="BQ155" i="16"/>
  <c r="BP155" i="16"/>
  <c r="AT155" i="16" s="1"/>
  <c r="BI156" i="16"/>
  <c r="BJ155" i="16"/>
  <c r="AN155" i="16" s="1"/>
  <c r="BM155" i="16"/>
  <c r="AQ155" i="16" s="1"/>
  <c r="BL155" i="16"/>
  <c r="AP155" i="16" s="1"/>
  <c r="BO155" i="16"/>
  <c r="AS155" i="16" s="1"/>
  <c r="BK155" i="16"/>
  <c r="AO155" i="16" s="1"/>
  <c r="BN155" i="16"/>
  <c r="AR155" i="16" s="1"/>
  <c r="BM109" i="16"/>
  <c r="BJ109" i="16"/>
  <c r="BP109" i="16"/>
  <c r="BN109" i="16"/>
  <c r="BO109" i="16"/>
  <c r="BL109" i="16"/>
  <c r="BK109" i="16"/>
  <c r="BI110" i="16"/>
  <c r="BQ108" i="16"/>
  <c r="AM157" i="16" l="1"/>
  <c r="AQ47" i="16"/>
  <c r="N40" i="16"/>
  <c r="AT47" i="16"/>
  <c r="Q40" i="16"/>
  <c r="AR47" i="16"/>
  <c r="O40" i="16"/>
  <c r="AS47" i="16"/>
  <c r="P40" i="16"/>
  <c r="AU47" i="16"/>
  <c r="R40" i="16"/>
  <c r="S38" i="16"/>
  <c r="K40" i="16"/>
  <c r="K41" i="16" s="1"/>
  <c r="BE105" i="16"/>
  <c r="AW105" i="16"/>
  <c r="BB106" i="16"/>
  <c r="BC106" i="16"/>
  <c r="AM107" i="16"/>
  <c r="BD107" i="16" s="1"/>
  <c r="BA106" i="16"/>
  <c r="AY106" i="16"/>
  <c r="AZ106" i="16"/>
  <c r="AS106" i="16"/>
  <c r="AO106" i="16"/>
  <c r="AR106" i="16"/>
  <c r="AT106" i="16"/>
  <c r="AQ106" i="16"/>
  <c r="AP106" i="16"/>
  <c r="AN106" i="16"/>
  <c r="AU105" i="16"/>
  <c r="AV105" i="16"/>
  <c r="AP47" i="16"/>
  <c r="N4921" i="1"/>
  <c r="N986" i="1"/>
  <c r="AB41" i="16"/>
  <c r="AC41" i="16"/>
  <c r="O41" i="16" s="1"/>
  <c r="AD41" i="16"/>
  <c r="AA41" i="16"/>
  <c r="AF41" i="16"/>
  <c r="AE41" i="16"/>
  <c r="Z41" i="16"/>
  <c r="L41" i="16" s="1"/>
  <c r="L42" i="16" s="1"/>
  <c r="X42" i="16"/>
  <c r="AO45" i="16"/>
  <c r="AV45" i="16" s="1"/>
  <c r="AG38" i="16"/>
  <c r="AU155" i="16"/>
  <c r="BQ156" i="16"/>
  <c r="BQ109" i="16"/>
  <c r="BJ156" i="16"/>
  <c r="AN156" i="16" s="1"/>
  <c r="BI157" i="16"/>
  <c r="BK156" i="16"/>
  <c r="AO156" i="16" s="1"/>
  <c r="BP156" i="16"/>
  <c r="AT156" i="16" s="1"/>
  <c r="BM156" i="16"/>
  <c r="AQ156" i="16" s="1"/>
  <c r="BO156" i="16"/>
  <c r="AS156" i="16" s="1"/>
  <c r="BL156" i="16"/>
  <c r="AP156" i="16" s="1"/>
  <c r="BN156" i="16"/>
  <c r="AR156" i="16" s="1"/>
  <c r="BJ110" i="16"/>
  <c r="BM110" i="16"/>
  <c r="BK110" i="16"/>
  <c r="BO110" i="16"/>
  <c r="BL110" i="16"/>
  <c r="BP110" i="16"/>
  <c r="BN110" i="16"/>
  <c r="O42" i="16" l="1"/>
  <c r="AM158" i="16"/>
  <c r="AT48" i="16"/>
  <c r="Q41" i="16"/>
  <c r="Q42" i="16" s="1"/>
  <c r="AU48" i="16"/>
  <c r="R41" i="16"/>
  <c r="R42" i="16" s="1"/>
  <c r="AP48" i="16"/>
  <c r="M41" i="16"/>
  <c r="M42" i="16" s="1"/>
  <c r="AS48" i="16"/>
  <c r="P41" i="16"/>
  <c r="P42" i="16" s="1"/>
  <c r="N5261" i="1"/>
  <c r="N41" i="16"/>
  <c r="N42" i="16" s="1"/>
  <c r="S40" i="16"/>
  <c r="S39" i="16"/>
  <c r="BE106" i="16"/>
  <c r="BC107" i="16"/>
  <c r="BB107" i="16"/>
  <c r="AY107" i="16"/>
  <c r="BA107" i="16"/>
  <c r="AZ107" i="16"/>
  <c r="AM108" i="16"/>
  <c r="BD108" i="16" s="1"/>
  <c r="AR107" i="16"/>
  <c r="AS107" i="16"/>
  <c r="AN107" i="16"/>
  <c r="AO107" i="16"/>
  <c r="AT107" i="16"/>
  <c r="AP107" i="16"/>
  <c r="AQ107" i="16"/>
  <c r="AW106" i="16"/>
  <c r="AV106" i="16"/>
  <c r="AU106" i="16"/>
  <c r="N5138" i="1"/>
  <c r="AR48" i="16"/>
  <c r="AQ48" i="16"/>
  <c r="AE42" i="16"/>
  <c r="AF42" i="16"/>
  <c r="N2165" i="1" s="1"/>
  <c r="AD42" i="16"/>
  <c r="AB42" i="16"/>
  <c r="N748" i="1" s="1"/>
  <c r="AA42" i="16"/>
  <c r="AC42" i="16"/>
  <c r="Z42" i="16"/>
  <c r="AO46" i="16"/>
  <c r="AV46" i="16" s="1"/>
  <c r="AG39" i="16"/>
  <c r="BM111" i="16"/>
  <c r="BM112" i="16" s="1"/>
  <c r="BK157" i="16"/>
  <c r="AO157" i="16" s="1"/>
  <c r="BI158" i="16"/>
  <c r="BJ157" i="16"/>
  <c r="AN157" i="16" s="1"/>
  <c r="BN157" i="16"/>
  <c r="AR157" i="16" s="1"/>
  <c r="BP157" i="16"/>
  <c r="AT157" i="16" s="1"/>
  <c r="BM157" i="16"/>
  <c r="AQ157" i="16" s="1"/>
  <c r="BO157" i="16"/>
  <c r="AS157" i="16" s="1"/>
  <c r="BL157" i="16"/>
  <c r="AP157" i="16" s="1"/>
  <c r="BO111" i="16"/>
  <c r="BO112" i="16" s="1"/>
  <c r="BQ110" i="16"/>
  <c r="BQ111" i="16" s="1"/>
  <c r="BJ111" i="16"/>
  <c r="AU156" i="16"/>
  <c r="BQ157" i="16"/>
  <c r="BN111" i="16"/>
  <c r="BN112" i="16" s="1"/>
  <c r="BP111" i="16"/>
  <c r="BP112" i="16" s="1"/>
  <c r="BL111" i="16"/>
  <c r="BL112" i="16" s="1"/>
  <c r="BK111" i="16"/>
  <c r="BK112" i="16" s="1"/>
  <c r="AM159" i="16" l="1"/>
  <c r="BE107" i="16"/>
  <c r="BC108" i="16"/>
  <c r="BB108" i="16"/>
  <c r="AY108" i="16"/>
  <c r="BA108" i="16"/>
  <c r="AM109" i="16"/>
  <c r="BD109" i="16" s="1"/>
  <c r="AZ108" i="16"/>
  <c r="AQ108" i="16"/>
  <c r="AO108" i="16"/>
  <c r="AS108" i="16"/>
  <c r="AP108" i="16"/>
  <c r="AR108" i="16"/>
  <c r="AT108" i="16"/>
  <c r="AN108" i="16"/>
  <c r="AU107" i="16"/>
  <c r="AV107" i="16"/>
  <c r="AW107" i="16"/>
  <c r="BQ112" i="16"/>
  <c r="AU49" i="16"/>
  <c r="AU50" i="16" s="1"/>
  <c r="G146" i="16"/>
  <c r="G147" i="16" s="1"/>
  <c r="G148" i="16" s="1"/>
  <c r="AF43" i="16"/>
  <c r="AT49" i="16"/>
  <c r="AT50" i="16" s="1"/>
  <c r="AE43" i="16"/>
  <c r="AP49" i="16"/>
  <c r="AP50" i="16" s="1"/>
  <c r="AA43" i="16"/>
  <c r="AS49" i="16"/>
  <c r="AS50" i="16" s="1"/>
  <c r="AD43" i="16"/>
  <c r="AQ49" i="16"/>
  <c r="AQ50" i="16" s="1"/>
  <c r="AB43" i="16"/>
  <c r="AR49" i="16"/>
  <c r="AR50" i="16" s="1"/>
  <c r="AC43" i="16"/>
  <c r="AO47" i="16"/>
  <c r="AV47" i="16" s="1"/>
  <c r="AG40" i="16"/>
  <c r="BJ112" i="16"/>
  <c r="AU157" i="16"/>
  <c r="BQ158" i="16"/>
  <c r="BN158" i="16"/>
  <c r="AR158" i="16" s="1"/>
  <c r="BO158" i="16"/>
  <c r="AS158" i="16" s="1"/>
  <c r="BP158" i="16"/>
  <c r="AT158" i="16" s="1"/>
  <c r="BJ158" i="16"/>
  <c r="AN158" i="16" s="1"/>
  <c r="BK158" i="16"/>
  <c r="AO158" i="16" s="1"/>
  <c r="BL158" i="16"/>
  <c r="AP158" i="16" s="1"/>
  <c r="BM158" i="16"/>
  <c r="AQ158" i="16" s="1"/>
  <c r="BI159" i="16"/>
  <c r="S41" i="16" l="1"/>
  <c r="S42" i="16" s="1"/>
  <c r="BE108" i="16"/>
  <c r="AU108" i="16"/>
  <c r="AV108" i="16"/>
  <c r="BB109" i="16"/>
  <c r="BC109" i="16"/>
  <c r="AM110" i="16"/>
  <c r="AY109" i="16"/>
  <c r="AY111" i="16" s="1"/>
  <c r="AZ109" i="16"/>
  <c r="AZ111" i="16" s="1"/>
  <c r="BA109" i="16"/>
  <c r="BA111" i="16" s="1"/>
  <c r="AR109" i="16"/>
  <c r="AO109" i="16"/>
  <c r="AN109" i="16"/>
  <c r="AQ109" i="16"/>
  <c r="AS109" i="16"/>
  <c r="AP109" i="16"/>
  <c r="AT109" i="16"/>
  <c r="AW108" i="16"/>
  <c r="AG41" i="16"/>
  <c r="AO48" i="16"/>
  <c r="AV48" i="16" s="1"/>
  <c r="AG42" i="16"/>
  <c r="AO49" i="16"/>
  <c r="Z43" i="16"/>
  <c r="G141" i="16"/>
  <c r="G142" i="16" s="1"/>
  <c r="G143" i="16" s="1"/>
  <c r="BO159" i="16"/>
  <c r="AS159" i="16" s="1"/>
  <c r="BP159" i="16"/>
  <c r="AT159" i="16" s="1"/>
  <c r="BJ159" i="16"/>
  <c r="AN159" i="16" s="1"/>
  <c r="BK159" i="16"/>
  <c r="AO159" i="16" s="1"/>
  <c r="BL159" i="16"/>
  <c r="AP159" i="16" s="1"/>
  <c r="BM159" i="16"/>
  <c r="AQ159" i="16" s="1"/>
  <c r="BN159" i="16"/>
  <c r="AR159" i="16" s="1"/>
  <c r="BQ159" i="16"/>
  <c r="N7453" i="1" l="1"/>
  <c r="N7565" i="1"/>
  <c r="N7318" i="1"/>
  <c r="N8021" i="1"/>
  <c r="N8685" i="1"/>
  <c r="N7267" i="1"/>
  <c r="N8409" i="1"/>
  <c r="N7221" i="1"/>
  <c r="N6746" i="1"/>
  <c r="N8822" i="1"/>
  <c r="N5840" i="1"/>
  <c r="N7597" i="1"/>
  <c r="N6416" i="1"/>
  <c r="N8330" i="1"/>
  <c r="N7244" i="1"/>
  <c r="N6513" i="1"/>
  <c r="N7238" i="1"/>
  <c r="N6660" i="1"/>
  <c r="N5950" i="1"/>
  <c r="N6962" i="1"/>
  <c r="N7311" i="1"/>
  <c r="N7725" i="1"/>
  <c r="N7935" i="1"/>
  <c r="N7956" i="1"/>
  <c r="N6570" i="1"/>
  <c r="N7309" i="1"/>
  <c r="N6776" i="1"/>
  <c r="N6137" i="1"/>
  <c r="N8891" i="1"/>
  <c r="N7790" i="1"/>
  <c r="N8942" i="1"/>
  <c r="N7482" i="1"/>
  <c r="N5845" i="1"/>
  <c r="N6667" i="1"/>
  <c r="N6512" i="1"/>
  <c r="N8450" i="1"/>
  <c r="N7243" i="1"/>
  <c r="N6727" i="1"/>
  <c r="N6385" i="1"/>
  <c r="N6268" i="1"/>
  <c r="N5934" i="1"/>
  <c r="N7186" i="1"/>
  <c r="N7507" i="1"/>
  <c r="N6922" i="1"/>
  <c r="N5949" i="1"/>
  <c r="N8918" i="1"/>
  <c r="N6369" i="1"/>
  <c r="N6285" i="1"/>
  <c r="N6980" i="1"/>
  <c r="N7686" i="1"/>
  <c r="N7944" i="1"/>
  <c r="N8547" i="1"/>
  <c r="N8522" i="1"/>
  <c r="N7498" i="1"/>
  <c r="N6745" i="1"/>
  <c r="N8511" i="1"/>
  <c r="N6267" i="1"/>
  <c r="N7162" i="1"/>
  <c r="N7892" i="1"/>
  <c r="N6053" i="1"/>
  <c r="N7296" i="1"/>
  <c r="N7206" i="1"/>
  <c r="N7983" i="1"/>
  <c r="N8009" i="1"/>
  <c r="N6505" i="1"/>
  <c r="N6450" i="1"/>
  <c r="N7971" i="1"/>
  <c r="N7677" i="1"/>
  <c r="N8225" i="1"/>
  <c r="N7107" i="1"/>
  <c r="N7558" i="1"/>
  <c r="N7758" i="1"/>
  <c r="N8391" i="1"/>
  <c r="N7310" i="1"/>
  <c r="N7675" i="1"/>
  <c r="N7468" i="1"/>
  <c r="N8615" i="1"/>
  <c r="N8090" i="1"/>
  <c r="N5886" i="1"/>
  <c r="N8321" i="1"/>
  <c r="N6766" i="1"/>
  <c r="N6226" i="1"/>
  <c r="N8885" i="1"/>
  <c r="N6765" i="1"/>
  <c r="N8571" i="1"/>
  <c r="N7219" i="1"/>
  <c r="N7277" i="1"/>
  <c r="N7304" i="1"/>
  <c r="N5885" i="1"/>
  <c r="N7551" i="1"/>
  <c r="N8718" i="1"/>
  <c r="N7351" i="1"/>
  <c r="N5980" i="1"/>
  <c r="N7187" i="1"/>
  <c r="N6546" i="1"/>
  <c r="N8886" i="1"/>
  <c r="N6229" i="1"/>
  <c r="N7106" i="1"/>
  <c r="N5959" i="1"/>
  <c r="N8525" i="1"/>
  <c r="N6703" i="1"/>
  <c r="N6348" i="1"/>
  <c r="N7654" i="1"/>
  <c r="N7676" i="1"/>
  <c r="N8322" i="1"/>
  <c r="N7258" i="1"/>
  <c r="N7580" i="1"/>
  <c r="N7969" i="1"/>
  <c r="N6093" i="1"/>
  <c r="N8062" i="1"/>
  <c r="N8521" i="1"/>
  <c r="N7261" i="1"/>
  <c r="N6055" i="1"/>
  <c r="N8136" i="1"/>
  <c r="N6709" i="1"/>
  <c r="N8741" i="1"/>
  <c r="N7621" i="1"/>
  <c r="N7788" i="1"/>
  <c r="N7124" i="1"/>
  <c r="N6620" i="1"/>
  <c r="N7560" i="1"/>
  <c r="N6616" i="1"/>
  <c r="N6192" i="1"/>
  <c r="N7357" i="1"/>
  <c r="N8602" i="1"/>
  <c r="N8449" i="1"/>
  <c r="N7885" i="1"/>
  <c r="N5895" i="1"/>
  <c r="N8857" i="1"/>
  <c r="N7893" i="1"/>
  <c r="N7116" i="1"/>
  <c r="N8073" i="1"/>
  <c r="N7571" i="1"/>
  <c r="N6997" i="1"/>
  <c r="N8548" i="1"/>
  <c r="N7822" i="1"/>
  <c r="N6893" i="1"/>
  <c r="N6888" i="1"/>
  <c r="N8201" i="1"/>
  <c r="N8861" i="1"/>
  <c r="N6782" i="1"/>
  <c r="N6243" i="1"/>
  <c r="N6483" i="1"/>
  <c r="N6165" i="1"/>
  <c r="N7757" i="1"/>
  <c r="N5846" i="1"/>
  <c r="N6276" i="1"/>
  <c r="N7821" i="1"/>
  <c r="N8345" i="1"/>
  <c r="N8159" i="1"/>
  <c r="N8696" i="1"/>
  <c r="N6326" i="1"/>
  <c r="N7771" i="1"/>
  <c r="N8138" i="1"/>
  <c r="N7701" i="1"/>
  <c r="N6957" i="1"/>
  <c r="N7990" i="1"/>
  <c r="N8344" i="1"/>
  <c r="N7756" i="1"/>
  <c r="N7741" i="1"/>
  <c r="N6504" i="1"/>
  <c r="N6408" i="1"/>
  <c r="N7256" i="1"/>
  <c r="N8865" i="1"/>
  <c r="N8781" i="1"/>
  <c r="N8567" i="1"/>
  <c r="N5884" i="1"/>
  <c r="N8701" i="1"/>
  <c r="N8233" i="1"/>
  <c r="N8242" i="1"/>
  <c r="N7317" i="1"/>
  <c r="N6754" i="1"/>
  <c r="N7268" i="1"/>
  <c r="N7084" i="1"/>
  <c r="N7463" i="1"/>
  <c r="N7844" i="1"/>
  <c r="N8407" i="1"/>
  <c r="N7966" i="1"/>
  <c r="N8281" i="1"/>
  <c r="N7294" i="1"/>
  <c r="N8097" i="1"/>
  <c r="N8589" i="1"/>
  <c r="N6885" i="1"/>
  <c r="N5917" i="1"/>
  <c r="N6924" i="1"/>
  <c r="N6143" i="1"/>
  <c r="N6443" i="1"/>
  <c r="N7798" i="1"/>
  <c r="N6069" i="1"/>
  <c r="N7660" i="1"/>
  <c r="N6358" i="1"/>
  <c r="N8660" i="1"/>
  <c r="N6705" i="1"/>
  <c r="N5908" i="1"/>
  <c r="N8693" i="1"/>
  <c r="N6211" i="1"/>
  <c r="N8774" i="1"/>
  <c r="N7255" i="1"/>
  <c r="N8176" i="1"/>
  <c r="N7929" i="1"/>
  <c r="N7004" i="1"/>
  <c r="N6560" i="1"/>
  <c r="N7091" i="1"/>
  <c r="N7052" i="1"/>
  <c r="N7060" i="1"/>
  <c r="N8096" i="1"/>
  <c r="N7405" i="1"/>
  <c r="N8106" i="1"/>
  <c r="N6298" i="1"/>
  <c r="N6661" i="1"/>
  <c r="N7445" i="1"/>
  <c r="N7590" i="1"/>
  <c r="N7155" i="1"/>
  <c r="N7231" i="1"/>
  <c r="N7010" i="1"/>
  <c r="N7980" i="1"/>
  <c r="N6260" i="1"/>
  <c r="N6168" i="1"/>
  <c r="N6282" i="1"/>
  <c r="N5853" i="1"/>
  <c r="N7501" i="1"/>
  <c r="N6821" i="1"/>
  <c r="N7122" i="1"/>
  <c r="N8231" i="1"/>
  <c r="N6767" i="1"/>
  <c r="N8023" i="1"/>
  <c r="N8271" i="1"/>
  <c r="N8314" i="1"/>
  <c r="N6307" i="1"/>
  <c r="N8120" i="1"/>
  <c r="N7612" i="1"/>
  <c r="N8908" i="1"/>
  <c r="N6363" i="1"/>
  <c r="N8038" i="1"/>
  <c r="N7130" i="1"/>
  <c r="N7157" i="1"/>
  <c r="N7595" i="1"/>
  <c r="N7266" i="1"/>
  <c r="N8757" i="1"/>
  <c r="N5916" i="1"/>
  <c r="N7141" i="1"/>
  <c r="N8594" i="1"/>
  <c r="N8033" i="1"/>
  <c r="N8755" i="1"/>
  <c r="N7934" i="1"/>
  <c r="N7854" i="1"/>
  <c r="N6722" i="1"/>
  <c r="N8668" i="1"/>
  <c r="N6370" i="1"/>
  <c r="N8433" i="1"/>
  <c r="N6514" i="1"/>
  <c r="N7196" i="1"/>
  <c r="N8362" i="1"/>
  <c r="N7333" i="1"/>
  <c r="N6005" i="1"/>
  <c r="N8377" i="1"/>
  <c r="N6798" i="1"/>
  <c r="N7716" i="1"/>
  <c r="N6368" i="1"/>
  <c r="N7436" i="1"/>
  <c r="N8239" i="1"/>
  <c r="N8044" i="1"/>
  <c r="N6642" i="1"/>
  <c r="N6649" i="1"/>
  <c r="N7391" i="1"/>
  <c r="N7400" i="1"/>
  <c r="N8288" i="1"/>
  <c r="N8207" i="1"/>
  <c r="N6585" i="1"/>
  <c r="N8955" i="1"/>
  <c r="N7795" i="1"/>
  <c r="N6684" i="1"/>
  <c r="N8287" i="1"/>
  <c r="N6156" i="1"/>
  <c r="N7715" i="1"/>
  <c r="N6386" i="1"/>
  <c r="N5860" i="1"/>
  <c r="N7443" i="1"/>
  <c r="N5935" i="1"/>
  <c r="N8634" i="1"/>
  <c r="N6813" i="1"/>
  <c r="N7884" i="1"/>
  <c r="N7349" i="1"/>
  <c r="N8650" i="1"/>
  <c r="N8575" i="1"/>
  <c r="N7270" i="1"/>
  <c r="N8600" i="1"/>
  <c r="N7285" i="1"/>
  <c r="N8636" i="1"/>
  <c r="N6903" i="1"/>
  <c r="N8336" i="1"/>
  <c r="N8851" i="1"/>
  <c r="N8814" i="1"/>
  <c r="N7921" i="1"/>
  <c r="N7242" i="1"/>
  <c r="N6481" i="1"/>
  <c r="N7748" i="1"/>
  <c r="N8520" i="1"/>
  <c r="N8378" i="1"/>
  <c r="N8031" i="1"/>
  <c r="N8717" i="1"/>
  <c r="N7312" i="1"/>
  <c r="N7099" i="1"/>
  <c r="N7437" i="1"/>
  <c r="N8069" i="1"/>
  <c r="N8639" i="1"/>
  <c r="N7547" i="1"/>
  <c r="N8917" i="1"/>
  <c r="N8867" i="1"/>
  <c r="N5902" i="1"/>
  <c r="N8489" i="1"/>
  <c r="N8241" i="1"/>
  <c r="N8941" i="1"/>
  <c r="N8460" i="1"/>
  <c r="N6696" i="1"/>
  <c r="N8467" i="1"/>
  <c r="N8079" i="1"/>
  <c r="N5998" i="1"/>
  <c r="N7709" i="1"/>
  <c r="N7125" i="1"/>
  <c r="N8683" i="1"/>
  <c r="N6683" i="1"/>
  <c r="N8059" i="1"/>
  <c r="N6806" i="1"/>
  <c r="N8644" i="1"/>
  <c r="N5973" i="1"/>
  <c r="N7915" i="1"/>
  <c r="N6836" i="1"/>
  <c r="N8428" i="1"/>
  <c r="N6066" i="1"/>
  <c r="N6490" i="1"/>
  <c r="N6728" i="1"/>
  <c r="N6571" i="1"/>
  <c r="N8618" i="1"/>
  <c r="N6169" i="1"/>
  <c r="N6182" i="1"/>
  <c r="N8127" i="1"/>
  <c r="N6292" i="1"/>
  <c r="N6234" i="1"/>
  <c r="N8536" i="1"/>
  <c r="N6124" i="1"/>
  <c r="N8776" i="1"/>
  <c r="N6083" i="1"/>
  <c r="N5982" i="1"/>
  <c r="N7026" i="1"/>
  <c r="N6741" i="1"/>
  <c r="N7283" i="1"/>
  <c r="N5838" i="1"/>
  <c r="N8153" i="1"/>
  <c r="N5900" i="1"/>
  <c r="N8425" i="1"/>
  <c r="N7115" i="1"/>
  <c r="N6617" i="1"/>
  <c r="N8474" i="1"/>
  <c r="N6861" i="1"/>
  <c r="N7996" i="1"/>
  <c r="N7021" i="1"/>
  <c r="N8443" i="1"/>
  <c r="N8104" i="1"/>
  <c r="N8402" i="1"/>
  <c r="N7430" i="1"/>
  <c r="N8559" i="1"/>
  <c r="N7806" i="1"/>
  <c r="N5964" i="1"/>
  <c r="N8813" i="1"/>
  <c r="N5855" i="1"/>
  <c r="N8848" i="1"/>
  <c r="N6822" i="1"/>
  <c r="N8824" i="1"/>
  <c r="N6545" i="1"/>
  <c r="N8902" i="1"/>
  <c r="N8439" i="1"/>
  <c r="N8707" i="1"/>
  <c r="N6274" i="1"/>
  <c r="N7207" i="1"/>
  <c r="N7140" i="1"/>
  <c r="N8923" i="1"/>
  <c r="N6426" i="1"/>
  <c r="N6102" i="1"/>
  <c r="N7733" i="1"/>
  <c r="N7661" i="1"/>
  <c r="N8655" i="1"/>
  <c r="N8152" i="1"/>
  <c r="N8514" i="1"/>
  <c r="N6941" i="1"/>
  <c r="N6829" i="1"/>
  <c r="N6140" i="1"/>
  <c r="N7100" i="1"/>
  <c r="N8457" i="1"/>
  <c r="N7899" i="1"/>
  <c r="N6697" i="1"/>
  <c r="N7651" i="1"/>
  <c r="N6402" i="1"/>
  <c r="N6159" i="1"/>
  <c r="N8731" i="1"/>
  <c r="N8790" i="1"/>
  <c r="N6227" i="1"/>
  <c r="N7909" i="1"/>
  <c r="N7132" i="1"/>
  <c r="N6715" i="1"/>
  <c r="N8045" i="1"/>
  <c r="N5932" i="1"/>
  <c r="N7035" i="1"/>
  <c r="N6244" i="1"/>
  <c r="N7428" i="1"/>
  <c r="N7131" i="1"/>
  <c r="N6464" i="1"/>
  <c r="N6901" i="1"/>
  <c r="N7637" i="1"/>
  <c r="N8537" i="1"/>
  <c r="N8320" i="1"/>
  <c r="N6086" i="1"/>
  <c r="N6142" i="1"/>
  <c r="N8586" i="1"/>
  <c r="N7931" i="1"/>
  <c r="N6364" i="1"/>
  <c r="N8475" i="1"/>
  <c r="N7629" i="1"/>
  <c r="N7589" i="1"/>
  <c r="N7358" i="1"/>
  <c r="N8869" i="1"/>
  <c r="N8798" i="1"/>
  <c r="N6218" i="1"/>
  <c r="N6845" i="1"/>
  <c r="N7723" i="1"/>
  <c r="N8088" i="1"/>
  <c r="N8434" i="1"/>
  <c r="N8119" i="1"/>
  <c r="N8451" i="1"/>
  <c r="N8643" i="1"/>
  <c r="N8853" i="1"/>
  <c r="N8720" i="1"/>
  <c r="N7974" i="1"/>
  <c r="N7467" i="1"/>
  <c r="N6004" i="1"/>
  <c r="N6126" i="1"/>
  <c r="N8677" i="1"/>
  <c r="N8495" i="1"/>
  <c r="N8620" i="1"/>
  <c r="N7876" i="1"/>
  <c r="N6791" i="1"/>
  <c r="N7891" i="1"/>
  <c r="N8070" i="1"/>
  <c r="N7534" i="1"/>
  <c r="N8162" i="1"/>
  <c r="N8658" i="1"/>
  <c r="N7820" i="1"/>
  <c r="N6855" i="1"/>
  <c r="N7525" i="1"/>
  <c r="N8617" i="1"/>
  <c r="N7328" i="1"/>
  <c r="N7692" i="1"/>
  <c r="N7139" i="1"/>
  <c r="N8787" i="1"/>
  <c r="N8303" i="1"/>
  <c r="N7710" i="1"/>
  <c r="N8081" i="1"/>
  <c r="N6949" i="1"/>
  <c r="N7325" i="1"/>
  <c r="N8186" i="1"/>
  <c r="N6835" i="1"/>
  <c r="N6827" i="1"/>
  <c r="N7147" i="1"/>
  <c r="N6552" i="1"/>
  <c r="N7341" i="1"/>
  <c r="N6659" i="1"/>
  <c r="N6939" i="1"/>
  <c r="N6474" i="1"/>
  <c r="N7662" i="1"/>
  <c r="N6996" i="1"/>
  <c r="N7335" i="1"/>
  <c r="N6418" i="1"/>
  <c r="N8621" i="1"/>
  <c r="N6874" i="1"/>
  <c r="N8442" i="1"/>
  <c r="N6050" i="1"/>
  <c r="N7517" i="1"/>
  <c r="N8909" i="1"/>
  <c r="N7755" i="1"/>
  <c r="N7548" i="1"/>
  <c r="N8641" i="1"/>
  <c r="N7098" i="1"/>
  <c r="N8509" i="1"/>
  <c r="N8218" i="1"/>
  <c r="N6698" i="1"/>
  <c r="N8145" i="1"/>
  <c r="N7342" i="1"/>
  <c r="N8551" i="1"/>
  <c r="N6325" i="1"/>
  <c r="N7867" i="1"/>
  <c r="N8840" i="1"/>
  <c r="N6547" i="1"/>
  <c r="N6716" i="1"/>
  <c r="N8135" i="1"/>
  <c r="N6145" i="1"/>
  <c r="N5926" i="1"/>
  <c r="N7932" i="1"/>
  <c r="N7295" i="1"/>
  <c r="N8642" i="1"/>
  <c r="N7630" i="1"/>
  <c r="N8530" i="1"/>
  <c r="N5989" i="1"/>
  <c r="N8784" i="1"/>
  <c r="N8410" i="1"/>
  <c r="N8280" i="1"/>
  <c r="N6656" i="1"/>
  <c r="N7484" i="1"/>
  <c r="N8652" i="1"/>
  <c r="N6435" i="1"/>
  <c r="N7213" i="1"/>
  <c r="N6179" i="1"/>
  <c r="N8870" i="1"/>
  <c r="N8830" i="1"/>
  <c r="N8854" i="1"/>
  <c r="N8892" i="1"/>
  <c r="N7068" i="1"/>
  <c r="N6603" i="1"/>
  <c r="N6195" i="1"/>
  <c r="N8924" i="1"/>
  <c r="N7487" i="1"/>
  <c r="N7667" i="1"/>
  <c r="N8385" i="1"/>
  <c r="N7622" i="1"/>
  <c r="N8947" i="1"/>
  <c r="N6812" i="1"/>
  <c r="N8199" i="1"/>
  <c r="N5919" i="1"/>
  <c r="N7765" i="1"/>
  <c r="N6158" i="1"/>
  <c r="N6107" i="1"/>
  <c r="N8956" i="1"/>
  <c r="N8048" i="1"/>
  <c r="N8782" i="1"/>
  <c r="N6480" i="1"/>
  <c r="N6253" i="1"/>
  <c r="N6769" i="1"/>
  <c r="N6346" i="1"/>
  <c r="N8351" i="1"/>
  <c r="N7812" i="1"/>
  <c r="N6044" i="1"/>
  <c r="N7982" i="1"/>
  <c r="N6866" i="1"/>
  <c r="N8587" i="1"/>
  <c r="N7012" i="1"/>
  <c r="N7803" i="1"/>
  <c r="N5965" i="1"/>
  <c r="N7772" i="1"/>
  <c r="N8061" i="1"/>
  <c r="N8933" i="1"/>
  <c r="N7862" i="1"/>
  <c r="N7853" i="1"/>
  <c r="N6266" i="1"/>
  <c r="N8361" i="1"/>
  <c r="N7943" i="1"/>
  <c r="N6729" i="1"/>
  <c r="N8676" i="1"/>
  <c r="N8256" i="1"/>
  <c r="N8337" i="1"/>
  <c r="N5975" i="1"/>
  <c r="N8503" i="1"/>
  <c r="N8255" i="1"/>
  <c r="N8105" i="1"/>
  <c r="N6379" i="1"/>
  <c r="N8329" i="1"/>
  <c r="N8499" i="1"/>
  <c r="N8367" i="1"/>
  <c r="N8304" i="1"/>
  <c r="N7280" i="1"/>
  <c r="N6915" i="1"/>
  <c r="N6650" i="1"/>
  <c r="N7764" i="1"/>
  <c r="N5918" i="1"/>
  <c r="N6393" i="1"/>
  <c r="N8628" i="1"/>
  <c r="N8862" i="1"/>
  <c r="N6491" i="1"/>
  <c r="N7869" i="1"/>
  <c r="N6465" i="1"/>
  <c r="N8907" i="1"/>
  <c r="N8128" i="1"/>
  <c r="N7421" i="1"/>
  <c r="N6563" i="1"/>
  <c r="N8112" i="1"/>
  <c r="N7875" i="1"/>
  <c r="N7344" i="1"/>
  <c r="N7146" i="1"/>
  <c r="N7292" i="1"/>
  <c r="N7960" i="1"/>
  <c r="N6623" i="1"/>
  <c r="N8394" i="1"/>
  <c r="N7868" i="1"/>
  <c r="N5887" i="1"/>
  <c r="N5924" i="1"/>
  <c r="N6037" i="1"/>
  <c r="N7774" i="1"/>
  <c r="N7678" i="1"/>
  <c r="N8877" i="1"/>
  <c r="N8121" i="1"/>
  <c r="N7940" i="1"/>
  <c r="N7382" i="1"/>
  <c r="N7163" i="1"/>
  <c r="N6578" i="1"/>
  <c r="N6237" i="1"/>
  <c r="N7092" i="1"/>
  <c r="N6529" i="1"/>
  <c r="N7550" i="1"/>
  <c r="N7399" i="1"/>
  <c r="N6220" i="1"/>
  <c r="N8384" i="1"/>
  <c r="N8883" i="1"/>
  <c r="N7090" i="1"/>
  <c r="N8845" i="1"/>
  <c r="N6781" i="1"/>
  <c r="N7109" i="1"/>
  <c r="N7439" i="1"/>
  <c r="N8926" i="1"/>
  <c r="N6174" i="1"/>
  <c r="N6805" i="1"/>
  <c r="N8185" i="1"/>
  <c r="N6071" i="1"/>
  <c r="N6125" i="1"/>
  <c r="N6301" i="1"/>
  <c r="N5927" i="1"/>
  <c r="N7901" i="1"/>
  <c r="N6916" i="1"/>
  <c r="N6840" i="1"/>
  <c r="N7643" i="1"/>
  <c r="N6839" i="1"/>
  <c r="N8014" i="1"/>
  <c r="N6587" i="1"/>
  <c r="N6077" i="1"/>
  <c r="N8465" i="1"/>
  <c r="N8592" i="1"/>
  <c r="N7804" i="1"/>
  <c r="N6863" i="1"/>
  <c r="N6657" i="1"/>
  <c r="N7536" i="1"/>
  <c r="N7447" i="1"/>
  <c r="N6283" i="1"/>
  <c r="N8876" i="1"/>
  <c r="N7360" i="1"/>
  <c r="N6203" i="1"/>
  <c r="N7246" i="1"/>
  <c r="N8736" i="1"/>
  <c r="N8343" i="1"/>
  <c r="N7668" i="1"/>
  <c r="N6902" i="1"/>
  <c r="N8319" i="1"/>
  <c r="N5847" i="1"/>
  <c r="N6995" i="1"/>
  <c r="N7652" i="1"/>
  <c r="N8752" i="1"/>
  <c r="N7429" i="1"/>
  <c r="N7352" i="1"/>
  <c r="N6250" i="1"/>
  <c r="N8403" i="1"/>
  <c r="N8540" i="1"/>
  <c r="N6994" i="1"/>
  <c r="N8074" i="1"/>
  <c r="N5933" i="1"/>
  <c r="N6070" i="1"/>
  <c r="N6528" i="1"/>
  <c r="N7284" i="1"/>
  <c r="N7486" i="1"/>
  <c r="N6828" i="1"/>
  <c r="N5943" i="1"/>
  <c r="N6972" i="1"/>
  <c r="N8819" i="1"/>
  <c r="N7861" i="1"/>
  <c r="N8346" i="1"/>
  <c r="N6356" i="1"/>
  <c r="N8739" i="1"/>
  <c r="N5868" i="1"/>
  <c r="N7051" i="1"/>
  <c r="N8183" i="1"/>
  <c r="N8649" i="1"/>
  <c r="N8272" i="1"/>
  <c r="N7999" i="1"/>
  <c r="N6284" i="1"/>
  <c r="N5997" i="1"/>
  <c r="N6930" i="1"/>
  <c r="N7694" i="1"/>
  <c r="N8702" i="1"/>
  <c r="N8508" i="1"/>
  <c r="N6371" i="1"/>
  <c r="N8779" i="1"/>
  <c r="N8008" i="1"/>
  <c r="N7067" i="1"/>
  <c r="N6259" i="1"/>
  <c r="N6007" i="1"/>
  <c r="N6854" i="1"/>
  <c r="N8210" i="1"/>
  <c r="N6252" i="1"/>
  <c r="N7173" i="1"/>
  <c r="N6133" i="1"/>
  <c r="N6322" i="1"/>
  <c r="N7199" i="1"/>
  <c r="N7438" i="1"/>
  <c r="N8948" i="1"/>
  <c r="N7237" i="1"/>
  <c r="N7198" i="1"/>
  <c r="N8264" i="1"/>
  <c r="N7878" i="1"/>
  <c r="N7520" i="1"/>
  <c r="N8257" i="1"/>
  <c r="N7883" i="1"/>
  <c r="N8168" i="1"/>
  <c r="N7291" i="1"/>
  <c r="N7431" i="1"/>
  <c r="N6290" i="1"/>
  <c r="N8940" i="1"/>
  <c r="N8095" i="1"/>
  <c r="N6150" i="1"/>
  <c r="N6537" i="1"/>
  <c r="N8789" i="1"/>
  <c r="N8529" i="1"/>
  <c r="N6770" i="1"/>
  <c r="N8130" i="1"/>
  <c r="N8273" i="1"/>
  <c r="N7707" i="1"/>
  <c r="N7613" i="1"/>
  <c r="N5876" i="1"/>
  <c r="N7604" i="1"/>
  <c r="N8490" i="1"/>
  <c r="N7541" i="1"/>
  <c r="N6914" i="1"/>
  <c r="N7942" i="1"/>
  <c r="N6448" i="1"/>
  <c r="N7194" i="1"/>
  <c r="N8364" i="1"/>
  <c r="N5878" i="1"/>
  <c r="N8768" i="1"/>
  <c r="N7732" i="1"/>
  <c r="N6521" i="1"/>
  <c r="N8071" i="1"/>
  <c r="N7860" i="1"/>
  <c r="N6031" i="1"/>
  <c r="N7532" i="1"/>
  <c r="N7020" i="1"/>
  <c r="N5893" i="1"/>
  <c r="N5901" i="1"/>
  <c r="N6554" i="1"/>
  <c r="N6021" i="1"/>
  <c r="N7167" i="1"/>
  <c r="N7027" i="1"/>
  <c r="N5844" i="1"/>
  <c r="N6837" i="1"/>
  <c r="N6411" i="1"/>
  <c r="N7670" i="1"/>
  <c r="N7846" i="1"/>
  <c r="N6046" i="1"/>
  <c r="N7005" i="1"/>
  <c r="N7374" i="1"/>
  <c r="N8296" i="1"/>
  <c r="N6894" i="1"/>
  <c r="N6553" i="1"/>
  <c r="N8601" i="1"/>
  <c r="N7614" i="1"/>
  <c r="N8712" i="1"/>
  <c r="N6876" i="1"/>
  <c r="N8581" i="1"/>
  <c r="N6593" i="1"/>
  <c r="N6134" i="1"/>
  <c r="N8744" i="1"/>
  <c r="N8506" i="1"/>
  <c r="N7229" i="1"/>
  <c r="N5990" i="1"/>
  <c r="N7271" i="1"/>
  <c r="N7151" i="1"/>
  <c r="N6637" i="1"/>
  <c r="N7066" i="1"/>
  <c r="N7466" i="1"/>
  <c r="N6459" i="1"/>
  <c r="N7523" i="1"/>
  <c r="N7013" i="1"/>
  <c r="N8289" i="1"/>
  <c r="N8585" i="1"/>
  <c r="N7797" i="1"/>
  <c r="N7101" i="1"/>
  <c r="N7408" i="1"/>
  <c r="N6219" i="1"/>
  <c r="N8901" i="1"/>
  <c r="N8538" i="1"/>
  <c r="N8408" i="1"/>
  <c r="N8539" i="1"/>
  <c r="N7367" i="1"/>
  <c r="N7227" i="1"/>
  <c r="N6536" i="1"/>
  <c r="N5841" i="1"/>
  <c r="N7693" i="1"/>
  <c r="N6562" i="1"/>
  <c r="N6932" i="1"/>
  <c r="N5863" i="1"/>
  <c r="N8111" i="1"/>
  <c r="N5941" i="1"/>
  <c r="N7950" i="1"/>
  <c r="N7734" i="1"/>
  <c r="N6862" i="1"/>
  <c r="N7957" i="1"/>
  <c r="N7535" i="1"/>
  <c r="N8436" i="1"/>
  <c r="N8626" i="1"/>
  <c r="N6648" i="1"/>
  <c r="N8623" i="1"/>
  <c r="N6309" i="1"/>
  <c r="N5903" i="1"/>
  <c r="N8900" i="1"/>
  <c r="N8098" i="1"/>
  <c r="N7781" i="1"/>
  <c r="N7230" i="1"/>
  <c r="N6878" i="1"/>
  <c r="N8464" i="1"/>
  <c r="N6028" i="1"/>
  <c r="N8733" i="1"/>
  <c r="N7981" i="1"/>
  <c r="N7985" i="1"/>
  <c r="N8435" i="1"/>
  <c r="N6880" i="1"/>
  <c r="N6752" i="1"/>
  <c r="N8458" i="1"/>
  <c r="N7226" i="1"/>
  <c r="N8417" i="1"/>
  <c r="N5894" i="1"/>
  <c r="N7968" i="1"/>
  <c r="N8856" i="1"/>
  <c r="N6210" i="1"/>
  <c r="N8175" i="1"/>
  <c r="N6466" i="1"/>
  <c r="N8035" i="1"/>
  <c r="N7827" i="1"/>
  <c r="N8312" i="1"/>
  <c r="N6269" i="1"/>
  <c r="N6242" i="1"/>
  <c r="N7472" i="1"/>
  <c r="N8868" i="1"/>
  <c r="N8468" i="1"/>
  <c r="N6261" i="1"/>
  <c r="N8612" i="1"/>
  <c r="N6482" i="1"/>
  <c r="N6988" i="1"/>
  <c r="N7813" i="1"/>
  <c r="N6425" i="1"/>
  <c r="N7461" i="1"/>
  <c r="N8498" i="1"/>
  <c r="N8950" i="1"/>
  <c r="N6058" i="1"/>
  <c r="N8144" i="1"/>
  <c r="N8483" i="1"/>
  <c r="N6251" i="1"/>
  <c r="N6899" i="1"/>
  <c r="N7819" i="1"/>
  <c r="N8473" i="1"/>
  <c r="N7218" i="1"/>
  <c r="N8471" i="1"/>
  <c r="N8247" i="1"/>
  <c r="N8528" i="1"/>
  <c r="N6072" i="1"/>
  <c r="N7413" i="1"/>
  <c r="N6012" i="1"/>
  <c r="N7381" i="1"/>
  <c r="N6190" i="1"/>
  <c r="N8400" i="1"/>
  <c r="N7462" i="1"/>
  <c r="N8383" i="1"/>
  <c r="N7247" i="1"/>
  <c r="N7638" i="1"/>
  <c r="N6350" i="1"/>
  <c r="N6522" i="1"/>
  <c r="N6198" i="1"/>
  <c r="N7398" i="1"/>
  <c r="N8765" i="1"/>
  <c r="N8202" i="1"/>
  <c r="N6204" i="1"/>
  <c r="N7926" i="1"/>
  <c r="N8674" i="1"/>
  <c r="N6955" i="1"/>
  <c r="N7302" i="1"/>
  <c r="N6314" i="1"/>
  <c r="N8723" i="1"/>
  <c r="N7138" i="1"/>
  <c r="N6631" i="1"/>
  <c r="N6579" i="1"/>
  <c r="N7747" i="1"/>
  <c r="N7018" i="1"/>
  <c r="N8517" i="1"/>
  <c r="N7392" i="1"/>
  <c r="N8369" i="1"/>
  <c r="N6736" i="1"/>
  <c r="N7003" i="1"/>
  <c r="N8734" i="1"/>
  <c r="N6609" i="1"/>
  <c r="N8057" i="1"/>
  <c r="N6082" i="1"/>
  <c r="N8766" i="1"/>
  <c r="N7967" i="1"/>
  <c r="N6940" i="1"/>
  <c r="N6850" i="1"/>
  <c r="N8386" i="1"/>
  <c r="N8177" i="1"/>
  <c r="N6978" i="1"/>
  <c r="N5958" i="1"/>
  <c r="N7851" i="1"/>
  <c r="N7172" i="1"/>
  <c r="N8279" i="1"/>
  <c r="N6674" i="1"/>
  <c r="N7845" i="1"/>
  <c r="N6084" i="1"/>
  <c r="N6047" i="1"/>
  <c r="N8679" i="1"/>
  <c r="N6971" i="1"/>
  <c r="N8248" i="1"/>
  <c r="N7740" i="1"/>
  <c r="N5870" i="1"/>
  <c r="N8758" i="1"/>
  <c r="N6592" i="1"/>
  <c r="N5892" i="1"/>
  <c r="N7262" i="1"/>
  <c r="N6038" i="1"/>
  <c r="N8604" i="1"/>
  <c r="N6117" i="1"/>
  <c r="N6221" i="1"/>
  <c r="N7133" i="1"/>
  <c r="N8803" i="1"/>
  <c r="N8482" i="1"/>
  <c r="N6965" i="1"/>
  <c r="N6202" i="1"/>
  <c r="N6306" i="1"/>
  <c r="N7164" i="1"/>
  <c r="N6706" i="1"/>
  <c r="N8827" i="1"/>
  <c r="N7496" i="1"/>
  <c r="N6671" i="1"/>
  <c r="N7511" i="1"/>
  <c r="N7645" i="1"/>
  <c r="N7114" i="1"/>
  <c r="N6757" i="1"/>
  <c r="N6807" i="1"/>
  <c r="N6063" i="1"/>
  <c r="N7149" i="1"/>
  <c r="N8584" i="1"/>
  <c r="N7470" i="1"/>
  <c r="N8274" i="1"/>
  <c r="N6245" i="1"/>
  <c r="N7389" i="1"/>
  <c r="N8030" i="1"/>
  <c r="N8841" i="1"/>
  <c r="N8224" i="1"/>
  <c r="N7220" i="1"/>
  <c r="N7336" i="1"/>
  <c r="N5974" i="1"/>
  <c r="N6497" i="1"/>
  <c r="N7724" i="1"/>
  <c r="N7562" i="1"/>
  <c r="N8934" i="1"/>
  <c r="N7549" i="1"/>
  <c r="N8209" i="1"/>
  <c r="N7700" i="1"/>
  <c r="N6760" i="1"/>
  <c r="N6432" i="1"/>
  <c r="N6690" i="1"/>
  <c r="N6299" i="1"/>
  <c r="N7469" i="1"/>
  <c r="N7045" i="1"/>
  <c r="N7493" i="1"/>
  <c r="N7477" i="1"/>
  <c r="N7920" i="1"/>
  <c r="N6091" i="1"/>
  <c r="N8859" i="1"/>
  <c r="N7414" i="1"/>
  <c r="N6869" i="1"/>
  <c r="N6449" i="1"/>
  <c r="N6324" i="1"/>
  <c r="N7375" i="1"/>
  <c r="N6909" i="1"/>
  <c r="N7702" i="1"/>
  <c r="N6954" i="1"/>
  <c r="N6569" i="1"/>
  <c r="N8178" i="1"/>
  <c r="N7053" i="1"/>
  <c r="N6555" i="1"/>
  <c r="N7034" i="1"/>
  <c r="N6434" i="1"/>
  <c r="N6531" i="1"/>
  <c r="N6879" i="1"/>
  <c r="N8835" i="1"/>
  <c r="N7919" i="1"/>
  <c r="N5948" i="1"/>
  <c r="N6673" i="1"/>
  <c r="N6384" i="1"/>
  <c r="N5942" i="1"/>
  <c r="N6658" i="1"/>
  <c r="N6235" i="1"/>
  <c r="N7572" i="1"/>
  <c r="N6442" i="1"/>
  <c r="N8432" i="1"/>
  <c r="N8353" i="1"/>
  <c r="N8811" i="1"/>
  <c r="N8258" i="1"/>
  <c r="N6357" i="1"/>
  <c r="N8843" i="1"/>
  <c r="N7319" i="1"/>
  <c r="N7044" i="1"/>
  <c r="N8063" i="1"/>
  <c r="N7082" i="1"/>
  <c r="N6891" i="1"/>
  <c r="N8146" i="1"/>
  <c r="N6499" i="1"/>
  <c r="N6987" i="1"/>
  <c r="N7717" i="1"/>
  <c r="N5861" i="1"/>
  <c r="N7303" i="1"/>
  <c r="N7606" i="1"/>
  <c r="N6419" i="1"/>
  <c r="N7859" i="1"/>
  <c r="N8354" i="1"/>
  <c r="N6963" i="1"/>
  <c r="N8763" i="1"/>
  <c r="N6788" i="1"/>
  <c r="N7422" i="1"/>
  <c r="N7945" i="1"/>
  <c r="N7390" i="1"/>
  <c r="N6440" i="1"/>
  <c r="N8704" i="1"/>
  <c r="N8645" i="1"/>
  <c r="N6395" i="1"/>
  <c r="N7628" i="1"/>
  <c r="N7984" i="1"/>
  <c r="N5983" i="1"/>
  <c r="N6355" i="1"/>
  <c r="N8554" i="1"/>
  <c r="N8578" i="1"/>
  <c r="N8216" i="1"/>
  <c r="N8932" i="1"/>
  <c r="N6672" i="1"/>
  <c r="N6925" i="1"/>
  <c r="N6742" i="1"/>
  <c r="N7886" i="1"/>
  <c r="N6979" i="1"/>
  <c r="N8375" i="1"/>
  <c r="N7423" i="1"/>
  <c r="N6118" i="1"/>
  <c r="N6820" i="1"/>
  <c r="N8742" i="1"/>
  <c r="N8631" i="1"/>
  <c r="N6947" i="1"/>
  <c r="N8725" i="1"/>
  <c r="N8749" i="1"/>
  <c r="N8916" i="1"/>
  <c r="N6989" i="1"/>
  <c r="N7510" i="1"/>
  <c r="N5879" i="1"/>
  <c r="N8338" i="1"/>
  <c r="N7636" i="1"/>
  <c r="N8931" i="1"/>
  <c r="N8426" i="1"/>
  <c r="N7050" i="1"/>
  <c r="N6392" i="1"/>
  <c r="N7253" i="1"/>
  <c r="N6377" i="1"/>
  <c r="N6626" i="1"/>
  <c r="N6094" i="1"/>
  <c r="N8573" i="1"/>
  <c r="N8313" i="1"/>
  <c r="N8715" i="1"/>
  <c r="N6184" i="1"/>
  <c r="N7998" i="1"/>
  <c r="N8306" i="1"/>
  <c r="N7598" i="1"/>
  <c r="N8240" i="1"/>
  <c r="N7524" i="1"/>
  <c r="N5951" i="1"/>
  <c r="N7596" i="1"/>
  <c r="N7189" i="1"/>
  <c r="N7557" i="1"/>
  <c r="N6116" i="1"/>
  <c r="N6595" i="1"/>
  <c r="N6676" i="1"/>
  <c r="N6387" i="1"/>
  <c r="N6378" i="1"/>
  <c r="N7407" i="1"/>
  <c r="N8024" i="1"/>
  <c r="N7780" i="1"/>
  <c r="N6400" i="1"/>
  <c r="N8129" i="1"/>
  <c r="N8006" i="1"/>
  <c r="N7588" i="1"/>
  <c r="N8431" i="1"/>
  <c r="N6717" i="1"/>
  <c r="N6092" i="1"/>
  <c r="N6539" i="1"/>
  <c r="N5925" i="1"/>
  <c r="N7993" i="1"/>
  <c r="N7838" i="1"/>
  <c r="N7837" i="1"/>
  <c r="N8562" i="1"/>
  <c r="N5909" i="1"/>
  <c r="N6317" i="1"/>
  <c r="N8805" i="1"/>
  <c r="N8020" i="1"/>
  <c r="N8939" i="1"/>
  <c r="N8192" i="1"/>
  <c r="N7742" i="1"/>
  <c r="N6755" i="1"/>
  <c r="N8089" i="1"/>
  <c r="N8899" i="1"/>
  <c r="N6679" i="1"/>
  <c r="N7836" i="1"/>
  <c r="N7212" i="1"/>
  <c r="N8311" i="1"/>
  <c r="N6608" i="1"/>
  <c r="N6100" i="1"/>
  <c r="N8419" i="1"/>
  <c r="N7205" i="1"/>
  <c r="N7093" i="1"/>
  <c r="N8760" i="1"/>
  <c r="N7559" i="1"/>
  <c r="N7334" i="1"/>
  <c r="N6164" i="1"/>
  <c r="N6236" i="1"/>
  <c r="N7579" i="1"/>
  <c r="N5967" i="1"/>
  <c r="N7739" i="1"/>
  <c r="N7587" i="1"/>
  <c r="N6394" i="1"/>
  <c r="N8957" i="1"/>
  <c r="N6332" i="1"/>
  <c r="N8170" i="1"/>
  <c r="N7282" i="1"/>
  <c r="N7979" i="1"/>
  <c r="N7343" i="1"/>
  <c r="N8047" i="1"/>
  <c r="N6946" i="1"/>
  <c r="N8846" i="1"/>
  <c r="N8169" i="1"/>
  <c r="N7076" i="1"/>
  <c r="N8666" i="1"/>
  <c r="N7512" i="1"/>
  <c r="N6586" i="1"/>
  <c r="N8232" i="1"/>
  <c r="N8466" i="1"/>
  <c r="N8910" i="1"/>
  <c r="N7635" i="1"/>
  <c r="N5910" i="1"/>
  <c r="N6489" i="1"/>
  <c r="N7448" i="1"/>
  <c r="N8376" i="1"/>
  <c r="N7718" i="1"/>
  <c r="N7123" i="1"/>
  <c r="N5839" i="1"/>
  <c r="N8925" i="1"/>
  <c r="N7506" i="1"/>
  <c r="N8404" i="1"/>
  <c r="N8388" i="1"/>
  <c r="N5956" i="1"/>
  <c r="N7958" i="1"/>
  <c r="N6600" i="1"/>
  <c r="N7900" i="1"/>
  <c r="N7653" i="1"/>
  <c r="N8265" i="1"/>
  <c r="N7043" i="1"/>
  <c r="N6409" i="1"/>
  <c r="N6213" i="1"/>
  <c r="N8610" i="1"/>
  <c r="N8032" i="1"/>
  <c r="N7002" i="1"/>
  <c r="N7684" i="1"/>
  <c r="N6917" i="1"/>
  <c r="N7440" i="1"/>
  <c r="N6594" i="1"/>
  <c r="N6401" i="1"/>
  <c r="N8603" i="1"/>
  <c r="N6601" i="1"/>
  <c r="N8894" i="1"/>
  <c r="N8327" i="1"/>
  <c r="N7368" i="1"/>
  <c r="N7075" i="1"/>
  <c r="N6523" i="1"/>
  <c r="N6584" i="1"/>
  <c r="N7750" i="1"/>
  <c r="N6618" i="1"/>
  <c r="N6488" i="1"/>
  <c r="N6814" i="1"/>
  <c r="N8441" i="1"/>
  <c r="N7659" i="1"/>
  <c r="N7059" i="1"/>
  <c r="N7326" i="1"/>
  <c r="N7941" i="1"/>
  <c r="N6619" i="1"/>
  <c r="N6714" i="1"/>
  <c r="N8396" i="1"/>
  <c r="N7829" i="1"/>
  <c r="N6986" i="1"/>
  <c r="N8533" i="1"/>
  <c r="N8161" i="1"/>
  <c r="N6923" i="1"/>
  <c r="N6826" i="1"/>
  <c r="N6074" i="1"/>
  <c r="N6293" i="1"/>
  <c r="N7620" i="1"/>
  <c r="N6023" i="1"/>
  <c r="N7166" i="1"/>
  <c r="N7069" i="1"/>
  <c r="N8519" i="1"/>
  <c r="N8832" i="1"/>
  <c r="N7605" i="1"/>
  <c r="N7894" i="1"/>
  <c r="N8191" i="1"/>
  <c r="N8154" i="1"/>
  <c r="N7195" i="1"/>
  <c r="N8816" i="1"/>
  <c r="N7611" i="1"/>
  <c r="N6376" i="1"/>
  <c r="N7789" i="1"/>
  <c r="N7830" i="1"/>
  <c r="N8290" i="1"/>
  <c r="N8747" i="1"/>
  <c r="N6744" i="1"/>
  <c r="N8114" i="1"/>
  <c r="N7917" i="1"/>
  <c r="N8372" i="1"/>
  <c r="N6472" i="1"/>
  <c r="N6779" i="1"/>
  <c r="N7843" i="1"/>
  <c r="N6804" i="1"/>
  <c r="N6042" i="1"/>
  <c r="N8699" i="1"/>
  <c r="N7763" i="1"/>
  <c r="N6475" i="1"/>
  <c r="N6340" i="1"/>
  <c r="N8282" i="1"/>
  <c r="N6561" i="1"/>
  <c r="N8226" i="1"/>
  <c r="N6768" i="1"/>
  <c r="N7910" i="1"/>
  <c r="N6473" i="1"/>
  <c r="N7269" i="1"/>
  <c r="N8463" i="1"/>
  <c r="N8523" i="1"/>
  <c r="N6498" i="1"/>
  <c r="N6853" i="1"/>
  <c r="N8305" i="1"/>
  <c r="N8915" i="1"/>
  <c r="N7019" i="1"/>
  <c r="N8399" i="1"/>
  <c r="N6119" i="1"/>
  <c r="N7814" i="1"/>
  <c r="N8726" i="1"/>
  <c r="N6417" i="1"/>
  <c r="N8250" i="1"/>
  <c r="N7955" i="1"/>
  <c r="N8864" i="1"/>
  <c r="N7627" i="1"/>
  <c r="N8576" i="1"/>
  <c r="N8751" i="1"/>
  <c r="N7965" i="1"/>
  <c r="N7424" i="1"/>
  <c r="N7657" i="1"/>
  <c r="N6013" i="1"/>
  <c r="N6734" i="1"/>
  <c r="N6691" i="1"/>
  <c r="N8583" i="1"/>
  <c r="N8543" i="1"/>
  <c r="N7509" i="1"/>
  <c r="N7834" i="1"/>
  <c r="N6787" i="1"/>
  <c r="N5971" i="1"/>
  <c r="N6990" i="1"/>
  <c r="N6130" i="1"/>
  <c r="N6344" i="1"/>
  <c r="N5968" i="1"/>
  <c r="N7177" i="1"/>
  <c r="N6090" i="1"/>
  <c r="N8898" i="1"/>
  <c r="N8058" i="1"/>
  <c r="N8334" i="1"/>
  <c r="N8050" i="1"/>
  <c r="N5881" i="1"/>
  <c r="N6223" i="1"/>
  <c r="N8259" i="1"/>
  <c r="N7442" i="1"/>
  <c r="N8234" i="1"/>
  <c r="N6362" i="1"/>
  <c r="N7354" i="1"/>
  <c r="N8387" i="1"/>
  <c r="N8026" i="1"/>
  <c r="N8632" i="1"/>
  <c r="N6427" i="1"/>
  <c r="N8103" i="1"/>
  <c r="N8370" i="1"/>
  <c r="N8401" i="1"/>
  <c r="N6424" i="1"/>
  <c r="N7531" i="1"/>
  <c r="N8212" i="1"/>
  <c r="N7086" i="1"/>
  <c r="N6858" i="1"/>
  <c r="N6161" i="1"/>
  <c r="N8889" i="1"/>
  <c r="N6794" i="1"/>
  <c r="N6104" i="1"/>
  <c r="N6687" i="1"/>
  <c r="N8359" i="1"/>
  <c r="N7085" i="1"/>
  <c r="N7197" i="1"/>
  <c r="N6956" i="1"/>
  <c r="N5940" i="1"/>
  <c r="N7656" i="1"/>
  <c r="N7410" i="1"/>
  <c r="N7833" i="1"/>
  <c r="N7176" i="1"/>
  <c r="N8833" i="1"/>
  <c r="N7863" i="1"/>
  <c r="N8422" i="1"/>
  <c r="N7989" i="1"/>
  <c r="N7128" i="1"/>
  <c r="N6857" i="1"/>
  <c r="N5930" i="1"/>
  <c r="N6702" i="1"/>
  <c r="N6751" i="1"/>
  <c r="N8756" i="1"/>
  <c r="N6128" i="1"/>
  <c r="N6913" i="1"/>
  <c r="N8244" i="1"/>
  <c r="N7015" i="1"/>
  <c r="N6602" i="1"/>
  <c r="N6611" i="1"/>
  <c r="N8500" i="1"/>
  <c r="N8700" i="1"/>
  <c r="N8494" i="1"/>
  <c r="N6613" i="1"/>
  <c r="N8420" i="1"/>
  <c r="N6833" i="1"/>
  <c r="N8937" i="1"/>
  <c r="N8527" i="1"/>
  <c r="N7449" i="1"/>
  <c r="N6206" i="1"/>
  <c r="N7378" i="1"/>
  <c r="N8227" i="1"/>
  <c r="N6085" i="1"/>
  <c r="N8075" i="1"/>
  <c r="N7276" i="1"/>
  <c r="N6375" i="1"/>
  <c r="N6342" i="1"/>
  <c r="N8453" i="1"/>
  <c r="N7738" i="1"/>
  <c r="N6146" i="1"/>
  <c r="N7241" i="1"/>
  <c r="N7388" i="1"/>
  <c r="N7970" i="1"/>
  <c r="N7601" i="1"/>
  <c r="N7396" i="1"/>
  <c r="N6969" i="1"/>
  <c r="N5873" i="1"/>
  <c r="N8769" i="1"/>
  <c r="N6762" i="1"/>
  <c r="N6881" i="1"/>
  <c r="N5979" i="1"/>
  <c r="N6749" i="1"/>
  <c r="N8729" i="1"/>
  <c r="N7727" i="1"/>
  <c r="N7316" i="1"/>
  <c r="N5864" i="1"/>
  <c r="N5978" i="1"/>
  <c r="N7182" i="1"/>
  <c r="N8563" i="1"/>
  <c r="N8194" i="1"/>
  <c r="N7383" i="1"/>
  <c r="N8113" i="1"/>
  <c r="N8893" i="1"/>
  <c r="N7835" i="1"/>
  <c r="N8949" i="1"/>
  <c r="N8328" i="1"/>
  <c r="N6693" i="1"/>
  <c r="N8459" i="1"/>
  <c r="N6780" i="1"/>
  <c r="N8515" i="1"/>
  <c r="N8275" i="1"/>
  <c r="N6557" i="1"/>
  <c r="N8236" i="1"/>
  <c r="N8263" i="1"/>
  <c r="N7397" i="1"/>
  <c r="N7204" i="1"/>
  <c r="N6228" i="1"/>
  <c r="N8556" i="1"/>
  <c r="N6108" i="1"/>
  <c r="N8477" i="1"/>
  <c r="N7826" i="1"/>
  <c r="N6615" i="1"/>
  <c r="N7331" i="1"/>
  <c r="N6444" i="1"/>
  <c r="N8326" i="1"/>
  <c r="N6692" i="1"/>
  <c r="N6025" i="1"/>
  <c r="N8897" i="1"/>
  <c r="N6199" i="1"/>
  <c r="N8374" i="1"/>
  <c r="N6801" i="1"/>
  <c r="N7489" i="1"/>
  <c r="N7542" i="1"/>
  <c r="N8518" i="1"/>
  <c r="N8834" i="1"/>
  <c r="N7490" i="1"/>
  <c r="N8691" i="1"/>
  <c r="N5991" i="1"/>
  <c r="N7324" i="1"/>
  <c r="N8157" i="1"/>
  <c r="N6312" i="1"/>
  <c r="N7159" i="1"/>
  <c r="N7380" i="1"/>
  <c r="N8013" i="1"/>
  <c r="N8297" i="1"/>
  <c r="N7041" i="1"/>
  <c r="N7842" i="1"/>
  <c r="N8657" i="1"/>
  <c r="N6567" i="1"/>
  <c r="N7033" i="1"/>
  <c r="N8922" i="1"/>
  <c r="N8788" i="1"/>
  <c r="N8293" i="1"/>
  <c r="N6897" i="1"/>
  <c r="N6713" i="1"/>
  <c r="N7193" i="1"/>
  <c r="N6138" i="1"/>
  <c r="N7713" i="1"/>
  <c r="N6493" i="1"/>
  <c r="N7105" i="1"/>
  <c r="N6610" i="1"/>
  <c r="N8962" i="1"/>
  <c r="N8213" i="1"/>
  <c r="N6373" i="1"/>
  <c r="N8150" i="1"/>
  <c r="N7185" i="1"/>
  <c r="N6809" i="1"/>
  <c r="N8140" i="1"/>
  <c r="N8365" i="1"/>
  <c r="N6943" i="1"/>
  <c r="N8283" i="1"/>
  <c r="N7454" i="1"/>
  <c r="N7248" i="1"/>
  <c r="N6743" i="1"/>
  <c r="N8878" i="1"/>
  <c r="N6193" i="1"/>
  <c r="N8958" i="1"/>
  <c r="N5869" i="1"/>
  <c r="N8800" i="1"/>
  <c r="N6183" i="1"/>
  <c r="N6471" i="1"/>
  <c r="N5837" i="1"/>
  <c r="N7648" i="1"/>
  <c r="N6111" i="1"/>
  <c r="N5867" i="1"/>
  <c r="N5850" i="1"/>
  <c r="N8025" i="1"/>
  <c r="N8648" i="1"/>
  <c r="N6506" i="1"/>
  <c r="N6890" i="1"/>
  <c r="N7154" i="1"/>
  <c r="N6141" i="1"/>
  <c r="N5981" i="1"/>
  <c r="N6366" i="1"/>
  <c r="N8099" i="1"/>
  <c r="N6942" i="1"/>
  <c r="N7530" i="1"/>
  <c r="N6188" i="1"/>
  <c r="N7474" i="1"/>
  <c r="N6844" i="1"/>
  <c r="N6468" i="1"/>
  <c r="N6846" i="1"/>
  <c r="N7554" i="1"/>
  <c r="N6998" i="1"/>
  <c r="N8630" i="1"/>
  <c r="N6524" i="1"/>
  <c r="N8810" i="1"/>
  <c r="N7784" i="1"/>
  <c r="N7583" i="1"/>
  <c r="N6295" i="1"/>
  <c r="N6859" i="1"/>
  <c r="N6668" i="1"/>
  <c r="N7273" i="1"/>
  <c r="N5883" i="1"/>
  <c r="N8307" i="1"/>
  <c r="N6287" i="1"/>
  <c r="N6882" i="1"/>
  <c r="N6645" i="1"/>
  <c r="N7973" i="1"/>
  <c r="N7435" i="1"/>
  <c r="N8904" i="1"/>
  <c r="N8276" i="1"/>
  <c r="N7811" i="1"/>
  <c r="N8863" i="1"/>
  <c r="N6406" i="1"/>
  <c r="N8953" i="1"/>
  <c r="N7794" i="1"/>
  <c r="N6337" i="1"/>
  <c r="N7690" i="1"/>
  <c r="N8501" i="1"/>
  <c r="N8613" i="1"/>
  <c r="N7372" i="1"/>
  <c r="N8355" i="1"/>
  <c r="N6818" i="1"/>
  <c r="N6898" i="1"/>
  <c r="N6336" i="1"/>
  <c r="N6872" i="1"/>
  <c r="N6095" i="1"/>
  <c r="N7792" i="1"/>
  <c r="N6176" i="1"/>
  <c r="N6257" i="1"/>
  <c r="N7513" i="1"/>
  <c r="N6666" i="1"/>
  <c r="N8086" i="1"/>
  <c r="N8335" i="1"/>
  <c r="N7350" i="1"/>
  <c r="N7058" i="1"/>
  <c r="N6538" i="1"/>
  <c r="N6302" i="1"/>
  <c r="N6792" i="1"/>
  <c r="N7896" i="1"/>
  <c r="N7938" i="1"/>
  <c r="N6999" i="1"/>
  <c r="N6639" i="1"/>
  <c r="N7127" i="1"/>
  <c r="N8166" i="1"/>
  <c r="N6068" i="1"/>
  <c r="N6347" i="1"/>
  <c r="N6036" i="1"/>
  <c r="N6458" i="1"/>
  <c r="N8040" i="1"/>
  <c r="N6429" i="1"/>
  <c r="N5993" i="1"/>
  <c r="N7866" i="1"/>
  <c r="N7348" i="1"/>
  <c r="N7964" i="1"/>
  <c r="N8761" i="1"/>
  <c r="N8356" i="1"/>
  <c r="N8172" i="1"/>
  <c r="N7281" i="1"/>
  <c r="N7988" i="1"/>
  <c r="N8783" i="1"/>
  <c r="N7418" i="1"/>
  <c r="N6477" i="1"/>
  <c r="N6196" i="1"/>
  <c r="N6630" i="1"/>
  <c r="N5928" i="1"/>
  <c r="N6365" i="1"/>
  <c r="N7865" i="1"/>
  <c r="N6238" i="1"/>
  <c r="N7749" i="1"/>
  <c r="N7008" i="1"/>
  <c r="N6929" i="1"/>
  <c r="N7403" i="1"/>
  <c r="N6873" i="1"/>
  <c r="N7117" i="1"/>
  <c r="N7208" i="1"/>
  <c r="N6518" i="1"/>
  <c r="N6207" i="1"/>
  <c r="N5859" i="1"/>
  <c r="N7118" i="1"/>
  <c r="N7406" i="1"/>
  <c r="N8310" i="1"/>
  <c r="N8772" i="1"/>
  <c r="N6224" i="1"/>
  <c r="N6215" i="1"/>
  <c r="N6726" i="1"/>
  <c r="N6212" i="1"/>
  <c r="N7722" i="1"/>
  <c r="N8340" i="1"/>
  <c r="N8708" i="1"/>
  <c r="N7347" i="1"/>
  <c r="N8004" i="1"/>
  <c r="N6944" i="1"/>
  <c r="N5931" i="1"/>
  <c r="N7623" i="1"/>
  <c r="N8001" i="1"/>
  <c r="N6907" i="1"/>
  <c r="N7766" i="1"/>
  <c r="N8092" i="1"/>
  <c r="N8022" i="1"/>
  <c r="N6275" i="1"/>
  <c r="N8688" i="1"/>
  <c r="N6783" i="1"/>
  <c r="N8137" i="1"/>
  <c r="N8773" i="1"/>
  <c r="N8302" i="1"/>
  <c r="N8638" i="1"/>
  <c r="N7529" i="1"/>
  <c r="N6272" i="1"/>
  <c r="N8780" i="1"/>
  <c r="N8091" i="1"/>
  <c r="N6525" i="1"/>
  <c r="N7483" i="1"/>
  <c r="N6682" i="1"/>
  <c r="N7704" i="1"/>
  <c r="N6492" i="1"/>
  <c r="N8927" i="1"/>
  <c r="N6175" i="1"/>
  <c r="N7783" i="1"/>
  <c r="N6040" i="1"/>
  <c r="N8064" i="1"/>
  <c r="N6739" i="1"/>
  <c r="N6976" i="1"/>
  <c r="N5994" i="1"/>
  <c r="N6815" i="1"/>
  <c r="N8505" i="1"/>
  <c r="N8640" i="1"/>
  <c r="N7816" i="1"/>
  <c r="N7356" i="1"/>
  <c r="N8301" i="1"/>
  <c r="N7170" i="1"/>
  <c r="N8606" i="1"/>
  <c r="N6372" i="1"/>
  <c r="N7097" i="1"/>
  <c r="N8295" i="1"/>
  <c r="N6067" i="1"/>
  <c r="N8836" i="1"/>
  <c r="N7190" i="1"/>
  <c r="N7978" i="1"/>
  <c r="N6802" i="1"/>
  <c r="N8595" i="1"/>
  <c r="N7251" i="1"/>
  <c r="N8125" i="1"/>
  <c r="N6918" i="1"/>
  <c r="N6189" i="1"/>
  <c r="N7476" i="1"/>
  <c r="N8211" i="1"/>
  <c r="N6173" i="1"/>
  <c r="N6688" i="1"/>
  <c r="N7913" i="1"/>
  <c r="N8398" i="1"/>
  <c r="N7136" i="1"/>
  <c r="N6653" i="1"/>
  <c r="N7777" i="1"/>
  <c r="N6045" i="1"/>
  <c r="N7313" i="1"/>
  <c r="N7600" i="1"/>
  <c r="N6896" i="1"/>
  <c r="N7687" i="1"/>
  <c r="N7769" i="1"/>
  <c r="N6061" i="1"/>
  <c r="N8504" i="1"/>
  <c r="N7148" i="1"/>
  <c r="N8352" i="1"/>
  <c r="N6520" i="1"/>
  <c r="N8481" i="1"/>
  <c r="N6731" i="1"/>
  <c r="N6099" i="1"/>
  <c r="N6329" i="1"/>
  <c r="N7584" i="1"/>
  <c r="N8324" i="1"/>
  <c r="N7308" i="1"/>
  <c r="N7689" i="1"/>
  <c r="N5899" i="1"/>
  <c r="N8664" i="1"/>
  <c r="N7933" i="1"/>
  <c r="N6456" i="1"/>
  <c r="N8564" i="1"/>
  <c r="N7305" i="1"/>
  <c r="N6686" i="1"/>
  <c r="N7254" i="1"/>
  <c r="N8000" i="1"/>
  <c r="N6017" i="1"/>
  <c r="N8850" i="1"/>
  <c r="N7873" i="1"/>
  <c r="N6612" i="1"/>
  <c r="N6936" i="1"/>
  <c r="N6420" i="1"/>
  <c r="N7330" i="1"/>
  <c r="N7362" i="1"/>
  <c r="N7364" i="1"/>
  <c r="N7936" i="1"/>
  <c r="N7321" i="1"/>
  <c r="N7465" i="1"/>
  <c r="N7371" i="1"/>
  <c r="N6591" i="1"/>
  <c r="N7665" i="1"/>
  <c r="N5961" i="1"/>
  <c r="N6249" i="1"/>
  <c r="N8919" i="1"/>
  <c r="N7274" i="1"/>
  <c r="N7307" i="1"/>
  <c r="N7516" i="1"/>
  <c r="N8142" i="1"/>
  <c r="N5889" i="1"/>
  <c r="N7907" i="1"/>
  <c r="N8572" i="1"/>
  <c r="N7807" i="1"/>
  <c r="N8873" i="1"/>
  <c r="N6180" i="1"/>
  <c r="N7427" i="1"/>
  <c r="N6399" i="1"/>
  <c r="N6016" i="1"/>
  <c r="N6614" i="1"/>
  <c r="N7264" i="1"/>
  <c r="N7298" i="1"/>
  <c r="N6509" i="1"/>
  <c r="N7031" i="1"/>
  <c r="N7519" i="1"/>
  <c r="N6964" i="1"/>
  <c r="N7491" i="1"/>
  <c r="N8684" i="1"/>
  <c r="N6327" i="1"/>
  <c r="N6248" i="1"/>
  <c r="N7161" i="1"/>
  <c r="N6799" i="1"/>
  <c r="N6532" i="1"/>
  <c r="N8080" i="1"/>
  <c r="N7573" i="1"/>
  <c r="N8249" i="1"/>
  <c r="N8266" i="1"/>
  <c r="N8184" i="1"/>
  <c r="N6704" i="1"/>
  <c r="N8254" i="1"/>
  <c r="N8860" i="1"/>
  <c r="N8560" i="1"/>
  <c r="N8229" i="1"/>
  <c r="N7000" i="1"/>
  <c r="N8083" i="1"/>
  <c r="N6824" i="1"/>
  <c r="N8570" i="1"/>
  <c r="N6973" i="1"/>
  <c r="N6110" i="1"/>
  <c r="N8452" i="1"/>
  <c r="N7540" i="1"/>
  <c r="N6542" i="1"/>
  <c r="N7001" i="1"/>
  <c r="N7521" i="1"/>
  <c r="N6208" i="1"/>
  <c r="N8331" i="1"/>
  <c r="N8844" i="1"/>
  <c r="N6723" i="1"/>
  <c r="N6147" i="1"/>
  <c r="N8037" i="1"/>
  <c r="N6867" i="1"/>
  <c r="N8818" i="1"/>
  <c r="N6486" i="1"/>
  <c r="N6597" i="1"/>
  <c r="N6991" i="1"/>
  <c r="N7332" i="1"/>
  <c r="N6761" i="1"/>
  <c r="N7275" i="1"/>
  <c r="N6397" i="1"/>
  <c r="N7441" i="1"/>
  <c r="N8545" i="1"/>
  <c r="N7578" i="1"/>
  <c r="N8823" i="1"/>
  <c r="N7916" i="1"/>
  <c r="N6793" i="1"/>
  <c r="N8716" i="1"/>
  <c r="N8796" i="1"/>
  <c r="N7047" i="1"/>
  <c r="N6106" i="1"/>
  <c r="N8051" i="1"/>
  <c r="N7022" i="1"/>
  <c r="N7634" i="1"/>
  <c r="N7799" i="1"/>
  <c r="N7420" i="1"/>
  <c r="N8421" i="1"/>
  <c r="N8513" i="1"/>
  <c r="N8117" i="1"/>
  <c r="N6163" i="1"/>
  <c r="N7599" i="1"/>
  <c r="N7373" i="1"/>
  <c r="N7016" i="1"/>
  <c r="N7102" i="1"/>
  <c r="N8455" i="1"/>
  <c r="N6010" i="1"/>
  <c r="N6383" i="1"/>
  <c r="N8143" i="1"/>
  <c r="N6428" i="1"/>
  <c r="N8492" i="1"/>
  <c r="N8546" i="1"/>
  <c r="N6006" i="1"/>
  <c r="N7779" i="1"/>
  <c r="N8072" i="1"/>
  <c r="N8007" i="1"/>
  <c r="N7582" i="1"/>
  <c r="N6484" i="1"/>
  <c r="N7903" i="1"/>
  <c r="N7951" i="1"/>
  <c r="N8682" i="1"/>
  <c r="N6808" i="1"/>
  <c r="N6230" i="1"/>
  <c r="N8880" i="1"/>
  <c r="N8122" i="1"/>
  <c r="N6790" i="1"/>
  <c r="N6665" i="1"/>
  <c r="N6877" i="1"/>
  <c r="N6186" i="1"/>
  <c r="N6823" i="1"/>
  <c r="N7610" i="1"/>
  <c r="N6171" i="1"/>
  <c r="N7355" i="1"/>
  <c r="N6136" i="1"/>
  <c r="N8052" i="1"/>
  <c r="N6487" i="1"/>
  <c r="N8524" i="1"/>
  <c r="N6975" i="1"/>
  <c r="N7753" i="1"/>
  <c r="N6311" i="1"/>
  <c r="N7038" i="1"/>
  <c r="N8802" i="1"/>
  <c r="N7972" i="1"/>
  <c r="N6286" i="1"/>
  <c r="N7287" i="1"/>
  <c r="N8591" i="1"/>
  <c r="N6496" i="1"/>
  <c r="N5862" i="1"/>
  <c r="N5992" i="1"/>
  <c r="N6308" i="1"/>
  <c r="N5988" i="1"/>
  <c r="N8771" i="1"/>
  <c r="N8065" i="1"/>
  <c r="N7897" i="1"/>
  <c r="N6669" i="1"/>
  <c r="N6310" i="1"/>
  <c r="N6097" i="1"/>
  <c r="N7455" i="1"/>
  <c r="N6646" i="1"/>
  <c r="N6753" i="1"/>
  <c r="N8497" i="1"/>
  <c r="N7640" i="1"/>
  <c r="N6737" i="1"/>
  <c r="N7545" i="1"/>
  <c r="N8659" i="1"/>
  <c r="N7473" i="1"/>
  <c r="N6641" i="1"/>
  <c r="N5905" i="1"/>
  <c r="N8196" i="1"/>
  <c r="N6625" i="1"/>
  <c r="N7849" i="1"/>
  <c r="N6078" i="1"/>
  <c r="N6664" i="1"/>
  <c r="N8671" i="1"/>
  <c r="N7805" i="1"/>
  <c r="N7110" i="1"/>
  <c r="N6778" i="1"/>
  <c r="N8181" i="1"/>
  <c r="N7065" i="1"/>
  <c r="N7504" i="1"/>
  <c r="N7895" i="1"/>
  <c r="N6860" i="1"/>
  <c r="N7209" i="1"/>
  <c r="N6177" i="1"/>
  <c r="N8341" i="1"/>
  <c r="N7858" i="1"/>
  <c r="N6895" i="1"/>
  <c r="N8721" i="1"/>
  <c r="N6103" i="1"/>
  <c r="N6967" i="1"/>
  <c r="N6200" i="1"/>
  <c r="N8447" i="1"/>
  <c r="N8633" i="1"/>
  <c r="N8414" i="1"/>
  <c r="N6076" i="1"/>
  <c r="N7384" i="1"/>
  <c r="N7365" i="1"/>
  <c r="N8710" i="1"/>
  <c r="N7214" i="1"/>
  <c r="N6349" i="1"/>
  <c r="N7011" i="1"/>
  <c r="N7593" i="1"/>
  <c r="N8108" i="1"/>
  <c r="N8614" i="1"/>
  <c r="N8110" i="1"/>
  <c r="N5945" i="1"/>
  <c r="N6628" i="1"/>
  <c r="N7924" i="1"/>
  <c r="N6921" i="1"/>
  <c r="N8379" i="1"/>
  <c r="N6035" i="1"/>
  <c r="N7759" i="1"/>
  <c r="N7556" i="1"/>
  <c r="N8395" i="1"/>
  <c r="N8237" i="1"/>
  <c r="N7673" i="1"/>
  <c r="N6343" i="1"/>
  <c r="N8629" i="1"/>
  <c r="N7152" i="1"/>
  <c r="N6701" i="1"/>
  <c r="N5996" i="1"/>
  <c r="N8019" i="1"/>
  <c r="N7685" i="1"/>
  <c r="N7508" i="1"/>
  <c r="N8043" i="1"/>
  <c r="N6843" i="1"/>
  <c r="N8380" i="1"/>
  <c r="N8156" i="1"/>
  <c r="N5880" i="1"/>
  <c r="N8339" i="1"/>
  <c r="N8382" i="1"/>
  <c r="N6265" i="1"/>
  <c r="N8675" i="1"/>
  <c r="N8252" i="1"/>
  <c r="N6154" i="1"/>
  <c r="N6041" i="1"/>
  <c r="N7825" i="1"/>
  <c r="N6303" i="1"/>
  <c r="N8793" i="1"/>
  <c r="N7492" i="1"/>
  <c r="N6842" i="1"/>
  <c r="N8921" i="1"/>
  <c r="N8109" i="1"/>
  <c r="N7239" i="1"/>
  <c r="N6796" i="1"/>
  <c r="N8005" i="1"/>
  <c r="N8728" i="1"/>
  <c r="N8160" i="1"/>
  <c r="N7708" i="1"/>
  <c r="N6712" i="1"/>
  <c r="N8180" i="1"/>
  <c r="N7616" i="1"/>
  <c r="N6590" i="1"/>
  <c r="N8017" i="1"/>
  <c r="N7744" i="1"/>
  <c r="N7048" i="1"/>
  <c r="N5922" i="1"/>
  <c r="N7688" i="1"/>
  <c r="N6847" i="1"/>
  <c r="N7752" i="1"/>
  <c r="N6129" i="1"/>
  <c r="N8350" i="1"/>
  <c r="N6120" i="1"/>
  <c r="N6886" i="1"/>
  <c r="N8299" i="1"/>
  <c r="N7379" i="1"/>
  <c r="N7079" i="1"/>
  <c r="N7538" i="1"/>
  <c r="N8418" i="1"/>
  <c r="N7726" i="1"/>
  <c r="N8393" i="1"/>
  <c r="N6908" i="1"/>
  <c r="N8139" i="1"/>
  <c r="N6983" i="1"/>
  <c r="N7696" i="1"/>
  <c r="N8427" i="1"/>
  <c r="N8558" i="1"/>
  <c r="N7737" i="1"/>
  <c r="N7949" i="1"/>
  <c r="N7345" i="1"/>
  <c r="N8905" i="1"/>
  <c r="N7450" i="1"/>
  <c r="N7009" i="1"/>
  <c r="N7479" i="1"/>
  <c r="N7017" i="1"/>
  <c r="N8126" i="1"/>
  <c r="N8544" i="1"/>
  <c r="N8411" i="1"/>
  <c r="N7259" i="1"/>
  <c r="N7168" i="1"/>
  <c r="N5857" i="1"/>
  <c r="N8245" i="1"/>
  <c r="N6463" i="1"/>
  <c r="N6112" i="1"/>
  <c r="N6485" i="1"/>
  <c r="N8687" i="1"/>
  <c r="N7029" i="1"/>
  <c r="N6109" i="1"/>
  <c r="N6139" i="1"/>
  <c r="N7191" i="1"/>
  <c r="N8445" i="1"/>
  <c r="N8574" i="1"/>
  <c r="N5946" i="1"/>
  <c r="N6352" i="1"/>
  <c r="N8719" i="1"/>
  <c r="N8189" i="1"/>
  <c r="N7222" i="1"/>
  <c r="N7810" i="1"/>
  <c r="N7387" i="1"/>
  <c r="N7871" i="1"/>
  <c r="N5939" i="1"/>
  <c r="N8946" i="1"/>
  <c r="N6644" i="1"/>
  <c r="N6982" i="1"/>
  <c r="N7078" i="1"/>
  <c r="N7887" i="1"/>
  <c r="N7564" i="1"/>
  <c r="N7563" i="1"/>
  <c r="N8808" i="1"/>
  <c r="N6875" i="1"/>
  <c r="N6020" i="1"/>
  <c r="N6121" i="1"/>
  <c r="N6832" i="1"/>
  <c r="N7215" i="1"/>
  <c r="N8944" i="1"/>
  <c r="N7073" i="1"/>
  <c r="N8479" i="1"/>
  <c r="N6800" i="1"/>
  <c r="N7576" i="1"/>
  <c r="N5891" i="1"/>
  <c r="N6517" i="1"/>
  <c r="N7729" i="1"/>
  <c r="N8415" i="1"/>
  <c r="N5913" i="1"/>
  <c r="N6977" i="1"/>
  <c r="N8552" i="1"/>
  <c r="N6816" i="1"/>
  <c r="N6670" i="1"/>
  <c r="N8839" i="1"/>
  <c r="N8534" i="1"/>
  <c r="N7263" i="1"/>
  <c r="N8068" i="1"/>
  <c r="N6544" i="1"/>
  <c r="N8046" i="1"/>
  <c r="N6771" i="1"/>
  <c r="N7077" i="1"/>
  <c r="N8825" i="1"/>
  <c r="N6019" i="1"/>
  <c r="N6054" i="1"/>
  <c r="N6724" i="1"/>
  <c r="N8656" i="1"/>
  <c r="N6367" i="1"/>
  <c r="N6247" i="1"/>
  <c r="N7192" i="1"/>
  <c r="N7377" i="1"/>
  <c r="N7767" i="1"/>
  <c r="N6256" i="1"/>
  <c r="N6856" i="1"/>
  <c r="N7394" i="1"/>
  <c r="N7030" i="1"/>
  <c r="N5898" i="1"/>
  <c r="N8067" i="1"/>
  <c r="N6566" i="1"/>
  <c r="N6740" i="1"/>
  <c r="N6457" i="1"/>
  <c r="N8360" i="1"/>
  <c r="N7181" i="1"/>
  <c r="N8838" i="1"/>
  <c r="N6315" i="1"/>
  <c r="N6300" i="1"/>
  <c r="N6510" i="1"/>
  <c r="N8214" i="1"/>
  <c r="N6381" i="1"/>
  <c r="N8903" i="1"/>
  <c r="N8566" i="1"/>
  <c r="N6605" i="1"/>
  <c r="N6865" i="1"/>
  <c r="N6122" i="1"/>
  <c r="N8849" i="1"/>
  <c r="N6961" i="1"/>
  <c r="N7361" i="1"/>
  <c r="N6663" i="1"/>
  <c r="N5920" i="1"/>
  <c r="N7393" i="1"/>
  <c r="N7672" i="1"/>
  <c r="N8392" i="1"/>
  <c r="N6773" i="1"/>
  <c r="N6240" i="1"/>
  <c r="N7232" i="1"/>
  <c r="N7188" i="1"/>
  <c r="N5957" i="1"/>
  <c r="N8200" i="1"/>
  <c r="N7228" i="1"/>
  <c r="N8507" i="1"/>
  <c r="N5999" i="1"/>
  <c r="N6027" i="1"/>
  <c r="N8397" i="1"/>
  <c r="N7697" i="1"/>
  <c r="N7754" i="1"/>
  <c r="N6225" i="1"/>
  <c r="N7395" i="1"/>
  <c r="N6115" i="1"/>
  <c r="N6011" i="1"/>
  <c r="N8011" i="1"/>
  <c r="N7925" i="1"/>
  <c r="N5970" i="1"/>
  <c r="N8680" i="1"/>
  <c r="N8847" i="1"/>
  <c r="N8887" i="1"/>
  <c r="N7072" i="1"/>
  <c r="N5977" i="1"/>
  <c r="N7233" i="1"/>
  <c r="N7954" i="1"/>
  <c r="N7533" i="1"/>
  <c r="N7165" i="1"/>
  <c r="N8060" i="1"/>
  <c r="N7327" i="1"/>
  <c r="N8759" i="1"/>
  <c r="N8487" i="1"/>
  <c r="N6937" i="1"/>
  <c r="N8308" i="1"/>
  <c r="N7419" i="1"/>
  <c r="N5904" i="1"/>
  <c r="N7144" i="1"/>
  <c r="N7171" i="1"/>
  <c r="N6870" i="1"/>
  <c r="N5921" i="1"/>
  <c r="N7456" i="1"/>
  <c r="N7561" i="1"/>
  <c r="N6209" i="1"/>
  <c r="N5952" i="1"/>
  <c r="N8598" i="1"/>
  <c r="N7626" i="1"/>
  <c r="N6508" i="1"/>
  <c r="N6868" i="1"/>
  <c r="N7126" i="1"/>
  <c r="N6575" i="1"/>
  <c r="N8480" i="1"/>
  <c r="N7113" i="1"/>
  <c r="N6864" i="1"/>
  <c r="N6049" i="1"/>
  <c r="N7543" i="1"/>
  <c r="N8875" i="1"/>
  <c r="N7522" i="1"/>
  <c r="N6931" i="1"/>
  <c r="N7363" i="1"/>
  <c r="N7962" i="1"/>
  <c r="N8219" i="1"/>
  <c r="N7505" i="1"/>
  <c r="N7518" i="1"/>
  <c r="N6430" i="1"/>
  <c r="N6294" i="1"/>
  <c r="N8762" i="1"/>
  <c r="N8461" i="1"/>
  <c r="N6431" i="1"/>
  <c r="N7006" i="1"/>
  <c r="N7879" i="1"/>
  <c r="N8815" i="1"/>
  <c r="N8829" i="1"/>
  <c r="N6113" i="1"/>
  <c r="N6543" i="1"/>
  <c r="N8053" i="1"/>
  <c r="N6008" i="1"/>
  <c r="N7591" i="1"/>
  <c r="N8054" i="1"/>
  <c r="N7485" i="1"/>
  <c r="N5972" i="1"/>
  <c r="N8795" i="1"/>
  <c r="N6540" i="1"/>
  <c r="N7386" i="1"/>
  <c r="N6775" i="1"/>
  <c r="N5995" i="1"/>
  <c r="N7346" i="1"/>
  <c r="N5944" i="1"/>
  <c r="N8673" i="1"/>
  <c r="N8705" i="1"/>
  <c r="N7706" i="1"/>
  <c r="N7007" i="1"/>
  <c r="N6391" i="1"/>
  <c r="N5986" i="1"/>
  <c r="N8588" i="1"/>
  <c r="N5865" i="1"/>
  <c r="N6051" i="1"/>
  <c r="N8791" i="1"/>
  <c r="N7129" i="1"/>
  <c r="N7831" i="1"/>
  <c r="N7987" i="1"/>
  <c r="N8930" i="1"/>
  <c r="N8215" i="1"/>
  <c r="N8806" i="1"/>
  <c r="N7646" i="1"/>
  <c r="N7293" i="1"/>
  <c r="N7415" i="1"/>
  <c r="N8665" i="1"/>
  <c r="N6415" i="1"/>
  <c r="N7802" i="1"/>
  <c r="N7046" i="1"/>
  <c r="N6654" i="1"/>
  <c r="N7288" i="1"/>
  <c r="N8724" i="1"/>
  <c r="N6689" i="1"/>
  <c r="N6834" i="1"/>
  <c r="N7568" i="1"/>
  <c r="N6398" i="1"/>
  <c r="N8624" i="1"/>
  <c r="N7225" i="1"/>
  <c r="N6711" i="1"/>
  <c r="N6599" i="1"/>
  <c r="N7585" i="1"/>
  <c r="N5914" i="1"/>
  <c r="N6952" i="1"/>
  <c r="N6675" i="1"/>
  <c r="N7581" i="1"/>
  <c r="N7494" i="1"/>
  <c r="N6015" i="1"/>
  <c r="N8082" i="1"/>
  <c r="N7446" i="1"/>
  <c r="N8430" i="1"/>
  <c r="N7839" i="1"/>
  <c r="N8713" i="1"/>
  <c r="N8078" i="1"/>
  <c r="N8579" i="1"/>
  <c r="N6478" i="1"/>
  <c r="N8881" i="1"/>
  <c r="N8777" i="1"/>
  <c r="N7300" i="1"/>
  <c r="N7618" i="1"/>
  <c r="N6469" i="1"/>
  <c r="N6527" i="1"/>
  <c r="N7338" i="1"/>
  <c r="N8879" i="1"/>
  <c r="N8390" i="1"/>
  <c r="N8148" i="1"/>
  <c r="N8484" i="1"/>
  <c r="N8896" i="1"/>
  <c r="N7632" i="1"/>
  <c r="N7898" i="1"/>
  <c r="N6014" i="1"/>
  <c r="N7272" i="1"/>
  <c r="N6181" i="1"/>
  <c r="N6191" i="1"/>
  <c r="N8223" i="1"/>
  <c r="N7087" i="1"/>
  <c r="N7329" i="1"/>
  <c r="N7882" i="1"/>
  <c r="N7890" i="1"/>
  <c r="N6984" i="1"/>
  <c r="N6289" i="1"/>
  <c r="N7416" i="1"/>
  <c r="N6414" i="1"/>
  <c r="N6043" i="1"/>
  <c r="N8116" i="1"/>
  <c r="N5874" i="1"/>
  <c r="N6564" i="1"/>
  <c r="N8647" i="1"/>
  <c r="N7014" i="1"/>
  <c r="N8171" i="1"/>
  <c r="N7594" i="1"/>
  <c r="N8550" i="1"/>
  <c r="N6453" i="1"/>
  <c r="N7959" i="1"/>
  <c r="N7366" i="1"/>
  <c r="N6167" i="1"/>
  <c r="N7156" i="1"/>
  <c r="N8669" i="1"/>
  <c r="N6048" i="1"/>
  <c r="N8132" i="1"/>
  <c r="N7024" i="1"/>
  <c r="N7775" i="1"/>
  <c r="N6764" i="1"/>
  <c r="N8182" i="1"/>
  <c r="N6380" i="1"/>
  <c r="N7664" i="1"/>
  <c r="N7786" i="1"/>
  <c r="N8101" i="1"/>
  <c r="N8661" i="1"/>
  <c r="N8485" i="1"/>
  <c r="N7930" i="1"/>
  <c r="N6550" i="1"/>
  <c r="N8228" i="1"/>
  <c r="N7991" i="1"/>
  <c r="N7928" i="1"/>
  <c r="N8123" i="1"/>
  <c r="N7457" i="1"/>
  <c r="N7279" i="1"/>
  <c r="N7039" i="1"/>
  <c r="N6892" i="1"/>
  <c r="N7179" i="1"/>
  <c r="N7096" i="1"/>
  <c r="N7286" i="1"/>
  <c r="N7037" i="1"/>
  <c r="N6467" i="1"/>
  <c r="N8866" i="1"/>
  <c r="N6114" i="1"/>
  <c r="N6330" i="1"/>
  <c r="N8541" i="1"/>
  <c r="N6910" i="1"/>
  <c r="N8698" i="1"/>
  <c r="N6817" i="1"/>
  <c r="N8711" i="1"/>
  <c r="N8767" i="1"/>
  <c r="N7850" i="1"/>
  <c r="N6678" i="1"/>
  <c r="N7049" i="1"/>
  <c r="N7480" i="1"/>
  <c r="N7249" i="1"/>
  <c r="N6026" i="1"/>
  <c r="N8662" i="1"/>
  <c r="N8936" i="1"/>
  <c r="N7458" i="1"/>
  <c r="N8695" i="1"/>
  <c r="N7808" i="1"/>
  <c r="N6938" i="1"/>
  <c r="N7644" i="1"/>
  <c r="N7828" i="1"/>
  <c r="N8694" i="1"/>
  <c r="N6685" i="1"/>
  <c r="N6089" i="1"/>
  <c r="N8363" i="1"/>
  <c r="N6919" i="1"/>
  <c r="N6500" i="1"/>
  <c r="N6239" i="1"/>
  <c r="N7735" i="1"/>
  <c r="N6194" i="1"/>
  <c r="N8807" i="1"/>
  <c r="N8651" i="1"/>
  <c r="N7947" i="1"/>
  <c r="N8569" i="1"/>
  <c r="N6953" i="1"/>
  <c r="N7426" i="1"/>
  <c r="N8164" i="1"/>
  <c r="N7569" i="1"/>
  <c r="N6152" i="1"/>
  <c r="N7905" i="1"/>
  <c r="N6389" i="1"/>
  <c r="N5866" i="1"/>
  <c r="N7028" i="1"/>
  <c r="N6530" i="1"/>
  <c r="N8049" i="1"/>
  <c r="N8686" i="1"/>
  <c r="N7586" i="1"/>
  <c r="N7666" i="1"/>
  <c r="N8077" i="1"/>
  <c r="N8837" i="1"/>
  <c r="N8195" i="1"/>
  <c r="N8012" i="1"/>
  <c r="N6974" i="1"/>
  <c r="N8174" i="1"/>
  <c r="N7385" i="1"/>
  <c r="N6911" i="1"/>
  <c r="N7412" i="1"/>
  <c r="N6353" i="1"/>
  <c r="N8066" i="1"/>
  <c r="N8469" i="1"/>
  <c r="N7145" i="1"/>
  <c r="N6263" i="1"/>
  <c r="N6694" i="1"/>
  <c r="N8056" i="1"/>
  <c r="N6446" i="1"/>
  <c r="N6039" i="1"/>
  <c r="N6258" i="1"/>
  <c r="N7444" i="1"/>
  <c r="N6970" i="1"/>
  <c r="N8727" i="1"/>
  <c r="N8368" i="1"/>
  <c r="N6297" i="1"/>
  <c r="N7992" i="1"/>
  <c r="N6516" i="1"/>
  <c r="N8278" i="1"/>
  <c r="N6889" i="1"/>
  <c r="N7088" i="1"/>
  <c r="N6928" i="1"/>
  <c r="N7566" i="1"/>
  <c r="N7631" i="1"/>
  <c r="N8206" i="1"/>
  <c r="N7791" i="1"/>
  <c r="N6335" i="1"/>
  <c r="N6445" i="1"/>
  <c r="N6264" i="1"/>
  <c r="N7680" i="1"/>
  <c r="N6412" i="1"/>
  <c r="N8300" i="1"/>
  <c r="N7650" i="1"/>
  <c r="N6838" i="1"/>
  <c r="N6433" i="1"/>
  <c r="N6451" i="1"/>
  <c r="N7870" i="1"/>
  <c r="N8167" i="1"/>
  <c r="N7902" i="1"/>
  <c r="N8285" i="1"/>
  <c r="N6503" i="1"/>
  <c r="N8557" i="1"/>
  <c r="N5890" i="1"/>
  <c r="N8010" i="1"/>
  <c r="N8438" i="1"/>
  <c r="N8133" i="1"/>
  <c r="N8316" i="1"/>
  <c r="N6470" i="1"/>
  <c r="N7235" i="1"/>
  <c r="N6748" i="1"/>
  <c r="N7063" i="1"/>
  <c r="N6217" i="1"/>
  <c r="N8872" i="1"/>
  <c r="N6710" i="1"/>
  <c r="N7682" i="1"/>
  <c r="N8221" i="1"/>
  <c r="N8416" i="1"/>
  <c r="N6030" i="1"/>
  <c r="N6634" i="1"/>
  <c r="N7359" i="1"/>
  <c r="N5911" i="1"/>
  <c r="N6680" i="1"/>
  <c r="N8188" i="1"/>
  <c r="N8016" i="1"/>
  <c r="N8358" i="1"/>
  <c r="N7927" i="1"/>
  <c r="N7647" i="1"/>
  <c r="N6992" i="1"/>
  <c r="N6288" i="1"/>
  <c r="N7986" i="1"/>
  <c r="N6810" i="1"/>
  <c r="N8510" i="1"/>
  <c r="N7745" i="1"/>
  <c r="N7815" i="1"/>
  <c r="N7770" i="1"/>
  <c r="N6494" i="1"/>
  <c r="N7546" i="1"/>
  <c r="N5848" i="1"/>
  <c r="N7183" i="1"/>
  <c r="N8270" i="1"/>
  <c r="N7963" i="1"/>
  <c r="N8502" i="1"/>
  <c r="N8084" i="1"/>
  <c r="N6062" i="1"/>
  <c r="N6904" i="1"/>
  <c r="N7174" i="1"/>
  <c r="N6633" i="1"/>
  <c r="N6534" i="1"/>
  <c r="N8732" i="1"/>
  <c r="N6439" i="1"/>
  <c r="N8124" i="1"/>
  <c r="N7055" i="1"/>
  <c r="N7175" i="1"/>
  <c r="N6559" i="1"/>
  <c r="N7070" i="1"/>
  <c r="N7736" i="1"/>
  <c r="N8678" i="1"/>
  <c r="N8131" i="1"/>
  <c r="N8609" i="1"/>
  <c r="N7481" i="1"/>
  <c r="N7841" i="1"/>
  <c r="N7023" i="1"/>
  <c r="N6830" i="1"/>
  <c r="N5851" i="1"/>
  <c r="N6018" i="1"/>
  <c r="N6065" i="1"/>
  <c r="N6079" i="1"/>
  <c r="N8801" i="1"/>
  <c r="N8179" i="1"/>
  <c r="N8448" i="1"/>
  <c r="N6436" i="1"/>
  <c r="N7939" i="1"/>
  <c r="N8333" i="1"/>
  <c r="N6197" i="1"/>
  <c r="N8812" i="1"/>
  <c r="N7625" i="1"/>
  <c r="N7502" i="1"/>
  <c r="N6359" i="1"/>
  <c r="N6589" i="1"/>
  <c r="N8253" i="1"/>
  <c r="N8597" i="1"/>
  <c r="N5985" i="1"/>
  <c r="N6568" i="1"/>
  <c r="N6052" i="1"/>
  <c r="N6730" i="1"/>
  <c r="N8208" i="1"/>
  <c r="N7178" i="1"/>
  <c r="N7460" i="1"/>
  <c r="N8913" i="1"/>
  <c r="N8238" i="1"/>
  <c r="N8292" i="1"/>
  <c r="N8277" i="1"/>
  <c r="N8938" i="1"/>
  <c r="N8697" i="1"/>
  <c r="N7297" i="1"/>
  <c r="N6313" i="1"/>
  <c r="N5906" i="1"/>
  <c r="N6495" i="1"/>
  <c r="N7184" i="1"/>
  <c r="N6075" i="1"/>
  <c r="N6056" i="1"/>
  <c r="N7793" i="1"/>
  <c r="N8284" i="1"/>
  <c r="N6064" i="1"/>
  <c r="N8205" i="1"/>
  <c r="N6933" i="1"/>
  <c r="N8663" i="1"/>
  <c r="N7074" i="1"/>
  <c r="N6763" i="1"/>
  <c r="N6281" i="1"/>
  <c r="N6341" i="1"/>
  <c r="N8286" i="1"/>
  <c r="N8291" i="1"/>
  <c r="N5923" i="1"/>
  <c r="N6927" i="1"/>
  <c r="N6278" i="1"/>
  <c r="N6088" i="1"/>
  <c r="N6003" i="1"/>
  <c r="N8549" i="1"/>
  <c r="N7217" i="1"/>
  <c r="N6413" i="1"/>
  <c r="N6388" i="1"/>
  <c r="N7888" i="1"/>
  <c r="N8165" i="1"/>
  <c r="N7817" i="1"/>
  <c r="N6583" i="1"/>
  <c r="N7301" i="1"/>
  <c r="N6339" i="1"/>
  <c r="N5954" i="1"/>
  <c r="N8147" i="1"/>
  <c r="N6574" i="1"/>
  <c r="N8568" i="1"/>
  <c r="N6024" i="1"/>
  <c r="N8928" i="1"/>
  <c r="N7104" i="1"/>
  <c r="N7369" i="1"/>
  <c r="N7278" i="1"/>
  <c r="N8444" i="1"/>
  <c r="N8488" i="1"/>
  <c r="N6073" i="1"/>
  <c r="N7160" i="1"/>
  <c r="N6849" i="1"/>
  <c r="N7674" i="1"/>
  <c r="N8646" i="1"/>
  <c r="N7071" i="1"/>
  <c r="N8028" i="1"/>
  <c r="N6565" i="1"/>
  <c r="N8018" i="1"/>
  <c r="N7320" i="1"/>
  <c r="N8797" i="1"/>
  <c r="N7691" i="1"/>
  <c r="N7061" i="1"/>
  <c r="N6101" i="1"/>
  <c r="N7083" i="1"/>
  <c r="N6551" i="1"/>
  <c r="N7785" i="1"/>
  <c r="N7553" i="1"/>
  <c r="N6131" i="1"/>
  <c r="N7721" i="1"/>
  <c r="N8745" i="1"/>
  <c r="N7592" i="1"/>
  <c r="N6607" i="1"/>
  <c r="N6304" i="1"/>
  <c r="N7663" i="1"/>
  <c r="N8405" i="1"/>
  <c r="N8959" i="1"/>
  <c r="N7607" i="1"/>
  <c r="N6580" i="1"/>
  <c r="N8535" i="1"/>
  <c r="N7642" i="1"/>
  <c r="N7608" i="1"/>
  <c r="N7337" i="1"/>
  <c r="N7918" i="1"/>
  <c r="N6277" i="1"/>
  <c r="N6157" i="1"/>
  <c r="N7495" i="1"/>
  <c r="N6029" i="1"/>
  <c r="N7180" i="1"/>
  <c r="N7655" i="1"/>
  <c r="N5836" i="1"/>
  <c r="N6708" i="1"/>
  <c r="N7908" i="1"/>
  <c r="N8914" i="1"/>
  <c r="N8158" i="1"/>
  <c r="N8855" i="1"/>
  <c r="N8243" i="1"/>
  <c r="N8616" i="1"/>
  <c r="N6526" i="1"/>
  <c r="N7211" i="1"/>
  <c r="N6461" i="1"/>
  <c r="N8163" i="1"/>
  <c r="N6535" i="1"/>
  <c r="N8553" i="1"/>
  <c r="N6960" i="1"/>
  <c r="N8424" i="1"/>
  <c r="N6951" i="1"/>
  <c r="N6338" i="1"/>
  <c r="N8735" i="1"/>
  <c r="N5963" i="1"/>
  <c r="N8532" i="1"/>
  <c r="N7977" i="1"/>
  <c r="N6621" i="1"/>
  <c r="N6187" i="1"/>
  <c r="N8151" i="1"/>
  <c r="N5966" i="1"/>
  <c r="N6316" i="1"/>
  <c r="N8654" i="1"/>
  <c r="N8325" i="1"/>
  <c r="N7353" i="1"/>
  <c r="N6318" i="1"/>
  <c r="N6841" i="1"/>
  <c r="N8262" i="1"/>
  <c r="N8093" i="1"/>
  <c r="N6328" i="1"/>
  <c r="N7874" i="1"/>
  <c r="N7409" i="1"/>
  <c r="N7370" i="1"/>
  <c r="N7848" i="1"/>
  <c r="N8149" i="1"/>
  <c r="N6404" i="1"/>
  <c r="N8437" i="1"/>
  <c r="N6319" i="1"/>
  <c r="N6759" i="1"/>
  <c r="N7339" i="1"/>
  <c r="N7714" i="1"/>
  <c r="N7782" i="1"/>
  <c r="N7376" i="1"/>
  <c r="N7796" i="1"/>
  <c r="N6403" i="1"/>
  <c r="N8323" i="1"/>
  <c r="N7609" i="1"/>
  <c r="N8516" i="1"/>
  <c r="N8605" i="1"/>
  <c r="N8115" i="1"/>
  <c r="N6246" i="1"/>
  <c r="N8670" i="1"/>
  <c r="N8561" i="1"/>
  <c r="N6774" i="1"/>
  <c r="N8486" i="1"/>
  <c r="N8413" i="1"/>
  <c r="N7575" i="1"/>
  <c r="N6334" i="1"/>
  <c r="N7153" i="1"/>
  <c r="N6279" i="1"/>
  <c r="N5953" i="1"/>
  <c r="N8496" i="1"/>
  <c r="N7711" i="1"/>
  <c r="N8817" i="1"/>
  <c r="N7570" i="1"/>
  <c r="N8440" i="1"/>
  <c r="N8298" i="1"/>
  <c r="N6912" i="1"/>
  <c r="N6476" i="1"/>
  <c r="N7976" i="1"/>
  <c r="N6034" i="1"/>
  <c r="N6747" i="1"/>
  <c r="N5947" i="1"/>
  <c r="N8261" i="1"/>
  <c r="N6934" i="1"/>
  <c r="N8778" i="1"/>
  <c r="N6549" i="1"/>
  <c r="N6707" i="1"/>
  <c r="N7488" i="1"/>
  <c r="N7112" i="1"/>
  <c r="N6254" i="1"/>
  <c r="N7953" i="1"/>
  <c r="N6396" i="1"/>
  <c r="N6148" i="1"/>
  <c r="N8912" i="1"/>
  <c r="N6507" i="1"/>
  <c r="N5877" i="1"/>
  <c r="N7995" i="1"/>
  <c r="N8884" i="1"/>
  <c r="N5969" i="1"/>
  <c r="N8462" i="1"/>
  <c r="N8625" i="1"/>
  <c r="N6655" i="1"/>
  <c r="N6582" i="1"/>
  <c r="N5984" i="1"/>
  <c r="N8611" i="1"/>
  <c r="N6374" i="1"/>
  <c r="N7080" i="1"/>
  <c r="N8102" i="1"/>
  <c r="N8858" i="1"/>
  <c r="N6081" i="1"/>
  <c r="N6581" i="1"/>
  <c r="N7719" i="1"/>
  <c r="N8672" i="1"/>
  <c r="N5875" i="1"/>
  <c r="N7314" i="1"/>
  <c r="N8389" i="1"/>
  <c r="N6033" i="1"/>
  <c r="N6624" i="1"/>
  <c r="N6060" i="1"/>
  <c r="N5852" i="1"/>
  <c r="N6441" i="1"/>
  <c r="N6576" i="1"/>
  <c r="N7603" i="1"/>
  <c r="N8951" i="1"/>
  <c r="N8607" i="1"/>
  <c r="N8406" i="1"/>
  <c r="N7025" i="1"/>
  <c r="N8738" i="1"/>
  <c r="N7260" i="1"/>
  <c r="N7322" i="1"/>
  <c r="N6883" i="1"/>
  <c r="N8943" i="1"/>
  <c r="N8820" i="1"/>
  <c r="N8294" i="1"/>
  <c r="N7216" i="1"/>
  <c r="N6280" i="1"/>
  <c r="N8619" i="1"/>
  <c r="N7730" i="1"/>
  <c r="N6438" i="1"/>
  <c r="N5888" i="1"/>
  <c r="N8203" i="1"/>
  <c r="N6233" i="1"/>
  <c r="N8087" i="1"/>
  <c r="N6852" i="1"/>
  <c r="N6144" i="1"/>
  <c r="N6900" i="1"/>
  <c r="N7904" i="1"/>
  <c r="N8852" i="1"/>
  <c r="N8929" i="1"/>
  <c r="N7340" i="1"/>
  <c r="N7946" i="1"/>
  <c r="N5937" i="1"/>
  <c r="N8582" i="1"/>
  <c r="N8476" i="1"/>
  <c r="N8804" i="1"/>
  <c r="N7760" i="1"/>
  <c r="N8027" i="1"/>
  <c r="N8722" i="1"/>
  <c r="N6935" i="1"/>
  <c r="N8754" i="1"/>
  <c r="N8349" i="1"/>
  <c r="N7475" i="1"/>
  <c r="N8472" i="1"/>
  <c r="N8373" i="1"/>
  <c r="N6627" i="1"/>
  <c r="N7801" i="1"/>
  <c r="N8764" i="1"/>
  <c r="N6123" i="1"/>
  <c r="N7464" i="1"/>
  <c r="N7712" i="1"/>
  <c r="N7497" i="1"/>
  <c r="N7787" i="1"/>
  <c r="N6981" i="1"/>
  <c r="N7036" i="1"/>
  <c r="N6452" i="1"/>
  <c r="N8828" i="1"/>
  <c r="N7751" i="1"/>
  <c r="N6848" i="1"/>
  <c r="N6460" i="1"/>
  <c r="N6700" i="1"/>
  <c r="N7889" i="1"/>
  <c r="N6643" i="1"/>
  <c r="N6831" i="1"/>
  <c r="N8945" i="1"/>
  <c r="N8190" i="1"/>
  <c r="N7103" i="1"/>
  <c r="N6732" i="1"/>
  <c r="N7203" i="1"/>
  <c r="N5938" i="1"/>
  <c r="N7762" i="1"/>
  <c r="N7527" i="1"/>
  <c r="N8446" i="1"/>
  <c r="N6222" i="1"/>
  <c r="N6651" i="1"/>
  <c r="N7699" i="1"/>
  <c r="N6155" i="1"/>
  <c r="N7731" i="1"/>
  <c r="N6577" i="1"/>
  <c r="N6437" i="1"/>
  <c r="N7094" i="1"/>
  <c r="N6172" i="1"/>
  <c r="N5907" i="1"/>
  <c r="N6462" i="1"/>
  <c r="N6950" i="1"/>
  <c r="N7433" i="1"/>
  <c r="N7695" i="1"/>
  <c r="N5955" i="1"/>
  <c r="N8637" i="1"/>
  <c r="N8141" i="1"/>
  <c r="N6149" i="1"/>
  <c r="N6598" i="1"/>
  <c r="N8531" i="1"/>
  <c r="N7120" i="1"/>
  <c r="N7515" i="1"/>
  <c r="N7143" i="1"/>
  <c r="N8381" i="1"/>
  <c r="N6032" i="1"/>
  <c r="N7471" i="1"/>
  <c r="N6331" i="1"/>
  <c r="N6797" i="1"/>
  <c r="N6166" i="1"/>
  <c r="N7681" i="1"/>
  <c r="N5849" i="1"/>
  <c r="N7743" i="1"/>
  <c r="N6361" i="1"/>
  <c r="N5960" i="1"/>
  <c r="N8770" i="1"/>
  <c r="N6920" i="1"/>
  <c r="N8222" i="1"/>
  <c r="N7401" i="1"/>
  <c r="N8429" i="1"/>
  <c r="N6572" i="1"/>
  <c r="N7056" i="1"/>
  <c r="N7201" i="1"/>
  <c r="N7200" i="1"/>
  <c r="N6001" i="1"/>
  <c r="N8890" i="1"/>
  <c r="N8895" i="1"/>
  <c r="N6573" i="1"/>
  <c r="N8217" i="1"/>
  <c r="N6948" i="1"/>
  <c r="N7852" i="1"/>
  <c r="N6127" i="1"/>
  <c r="N7224" i="1"/>
  <c r="N6629" i="1"/>
  <c r="N8371" i="1"/>
  <c r="N6080" i="1"/>
  <c r="N8809" i="1"/>
  <c r="N6652" i="1"/>
  <c r="N7975" i="1"/>
  <c r="N6185" i="1"/>
  <c r="N7306" i="1"/>
  <c r="N5858" i="1"/>
  <c r="N6262" i="1"/>
  <c r="N6390" i="1"/>
  <c r="N8748" i="1"/>
  <c r="N7111" i="1"/>
  <c r="N6968" i="1"/>
  <c r="N8478" i="1"/>
  <c r="N8456" i="1"/>
  <c r="N7451" i="1"/>
  <c r="N7728" i="1"/>
  <c r="N8786" i="1"/>
  <c r="N7108" i="1"/>
  <c r="N6205" i="1"/>
  <c r="N7912" i="1"/>
  <c r="N8888" i="1"/>
  <c r="N8821" i="1"/>
  <c r="N6511" i="1"/>
  <c r="N6096" i="1"/>
  <c r="N6786" i="1"/>
  <c r="N7872" i="1"/>
  <c r="N8555" i="1"/>
  <c r="N7800" i="1"/>
  <c r="N6422" i="1"/>
  <c r="N6926" i="1"/>
  <c r="N5843" i="1"/>
  <c r="N8577" i="1"/>
  <c r="N6273" i="1"/>
  <c r="N8268" i="1"/>
  <c r="N7922" i="1"/>
  <c r="N7315" i="1"/>
  <c r="N6098" i="1"/>
  <c r="N5897" i="1"/>
  <c r="N8193" i="1"/>
  <c r="N8709" i="1"/>
  <c r="N8596" i="1"/>
  <c r="N6606" i="1"/>
  <c r="N8076" i="1"/>
  <c r="N8689" i="1"/>
  <c r="N6000" i="1"/>
  <c r="N6231" i="1"/>
  <c r="N6777" i="1"/>
  <c r="N6905" i="1"/>
  <c r="N7847" i="1"/>
  <c r="N6756" i="1"/>
  <c r="N7202" i="1"/>
  <c r="N7818" i="1"/>
  <c r="N8039" i="1"/>
  <c r="N6541" i="1"/>
  <c r="N6305" i="1"/>
  <c r="N6105" i="1"/>
  <c r="N7245" i="1"/>
  <c r="N7679" i="1"/>
  <c r="N7776" i="1"/>
  <c r="N7119" i="1"/>
  <c r="N8015" i="1"/>
  <c r="N8036" i="1"/>
  <c r="N6323" i="1"/>
  <c r="N8412" i="1"/>
  <c r="N7432" i="1"/>
  <c r="N6170" i="1"/>
  <c r="N7555" i="1"/>
  <c r="N6320" i="1"/>
  <c r="N8332" i="1"/>
  <c r="N6162" i="1"/>
  <c r="N8775" i="1"/>
  <c r="N8792" i="1"/>
  <c r="N5871" i="1"/>
  <c r="N7703" i="1"/>
  <c r="N7641" i="1"/>
  <c r="N8348" i="1"/>
  <c r="N8743" i="1"/>
  <c r="N8251" i="1"/>
  <c r="N8681" i="1"/>
  <c r="N6758" i="1"/>
  <c r="N6407" i="1"/>
  <c r="N7877" i="1"/>
  <c r="N6009" i="1"/>
  <c r="N7526" i="1"/>
  <c r="N7669" i="1"/>
  <c r="N8911" i="1"/>
  <c r="N6735" i="1"/>
  <c r="N8055" i="1"/>
  <c r="N8580" i="1"/>
  <c r="N8317" i="1"/>
  <c r="N7537" i="1"/>
  <c r="N7210" i="1"/>
  <c r="N6351" i="1"/>
  <c r="N8246" i="1"/>
  <c r="N6638" i="1"/>
  <c r="N8220" i="1"/>
  <c r="N8960" i="1"/>
  <c r="N6906" i="1"/>
  <c r="N8197" i="1"/>
  <c r="N8794" i="1"/>
  <c r="N7617" i="1"/>
  <c r="N8874" i="1"/>
  <c r="N8599" i="1"/>
  <c r="N7880" i="1"/>
  <c r="N8737" i="1"/>
  <c r="N7042" i="1"/>
  <c r="N7997" i="1"/>
  <c r="N6345" i="1"/>
  <c r="N6985" i="1"/>
  <c r="N8260" i="1"/>
  <c r="N7240" i="1"/>
  <c r="N8269" i="1"/>
  <c r="N7252" i="1"/>
  <c r="N7289" i="1"/>
  <c r="N7840" i="1"/>
  <c r="N8542" i="1"/>
  <c r="N7671" i="1"/>
  <c r="N6296" i="1"/>
  <c r="N7544" i="1"/>
  <c r="N6479" i="1"/>
  <c r="N7577" i="1"/>
  <c r="N6596" i="1"/>
  <c r="N6871" i="1"/>
  <c r="N6635" i="1"/>
  <c r="N7720" i="1"/>
  <c r="N8882" i="1"/>
  <c r="N6719" i="1"/>
  <c r="N8920" i="1"/>
  <c r="N7683" i="1"/>
  <c r="N7619" i="1"/>
  <c r="N6819" i="1"/>
  <c r="N6851" i="1"/>
  <c r="N7773" i="1"/>
  <c r="N6789" i="1"/>
  <c r="N7539" i="1"/>
  <c r="N6725" i="1"/>
  <c r="N7299" i="1"/>
  <c r="N7250" i="1"/>
  <c r="N7057" i="1"/>
  <c r="N8034" i="1"/>
  <c r="N7528" i="1"/>
  <c r="N8029" i="1"/>
  <c r="N6721" i="1"/>
  <c r="N8635" i="1"/>
  <c r="N6784" i="1"/>
  <c r="N7411" i="1"/>
  <c r="N8347" i="1"/>
  <c r="N7404" i="1"/>
  <c r="N6632" i="1"/>
  <c r="N8042" i="1"/>
  <c r="N6354" i="1"/>
  <c r="N7142" i="1"/>
  <c r="N6291" i="1"/>
  <c r="N8593" i="1"/>
  <c r="N7574" i="1"/>
  <c r="N6022" i="1"/>
  <c r="N8750" i="1"/>
  <c r="N5962" i="1"/>
  <c r="N7567" i="1"/>
  <c r="N7452" i="1"/>
  <c r="N7639" i="1"/>
  <c r="N8831" i="1"/>
  <c r="N7062" i="1"/>
  <c r="N8961" i="1"/>
  <c r="N7746" i="1"/>
  <c r="N6556" i="1"/>
  <c r="N8267" i="1"/>
  <c r="N8627" i="1"/>
  <c r="N5912" i="1"/>
  <c r="N6533" i="1"/>
  <c r="N7633" i="1"/>
  <c r="N6588" i="1"/>
  <c r="N6622" i="1"/>
  <c r="N7081" i="1"/>
  <c r="N7705" i="1"/>
  <c r="N6410" i="1"/>
  <c r="N6515" i="1"/>
  <c r="N8173" i="1"/>
  <c r="N7459" i="1"/>
  <c r="N7778" i="1"/>
  <c r="N7040" i="1"/>
  <c r="N8653" i="1"/>
  <c r="N5854" i="1"/>
  <c r="N6884" i="1"/>
  <c r="N8608" i="1"/>
  <c r="N6360" i="1"/>
  <c r="N6887" i="1"/>
  <c r="N6153" i="1"/>
  <c r="N6382" i="1"/>
  <c r="N7832" i="1"/>
  <c r="N6160" i="1"/>
  <c r="N7500" i="1"/>
  <c r="N7425" i="1"/>
  <c r="N6718" i="1"/>
  <c r="N6959" i="1"/>
  <c r="N8002" i="1"/>
  <c r="N6604" i="1"/>
  <c r="N6059" i="1"/>
  <c r="N8470" i="1"/>
  <c r="N7417" i="1"/>
  <c r="N6795" i="1"/>
  <c r="N6178" i="1"/>
  <c r="N7089" i="1"/>
  <c r="N8134" i="1"/>
  <c r="N7434" i="1"/>
  <c r="N6966" i="1"/>
  <c r="N8155" i="1"/>
  <c r="N7499" i="1"/>
  <c r="N8003" i="1"/>
  <c r="N7265" i="1"/>
  <c r="N7054" i="1"/>
  <c r="N8491" i="1"/>
  <c r="N5976" i="1"/>
  <c r="N6502" i="1"/>
  <c r="N7658" i="1"/>
  <c r="N6699" i="1"/>
  <c r="N7552" i="1"/>
  <c r="N6636" i="1"/>
  <c r="N8740" i="1"/>
  <c r="N6087" i="1"/>
  <c r="N7257" i="1"/>
  <c r="N6057" i="1"/>
  <c r="N8309" i="1"/>
  <c r="N6785" i="1"/>
  <c r="N7624" i="1"/>
  <c r="N8100" i="1"/>
  <c r="N6132" i="1"/>
  <c r="N7169" i="1"/>
  <c r="N8714" i="1"/>
  <c r="N8692" i="1"/>
  <c r="N6201" i="1"/>
  <c r="N7135" i="1"/>
  <c r="N7478" i="1"/>
  <c r="N6002" i="1"/>
  <c r="N6270" i="1"/>
  <c r="N8565" i="1"/>
  <c r="N7223" i="1"/>
  <c r="N8107" i="1"/>
  <c r="N7032" i="1"/>
  <c r="N7856" i="1"/>
  <c r="N6135" i="1"/>
  <c r="N8906" i="1"/>
  <c r="N6271" i="1"/>
  <c r="N6232" i="1"/>
  <c r="N8318" i="1"/>
  <c r="N7906" i="1"/>
  <c r="N7402" i="1"/>
  <c r="N7937" i="1"/>
  <c r="N7881" i="1"/>
  <c r="N8746" i="1"/>
  <c r="N7994" i="1"/>
  <c r="N7137" i="1"/>
  <c r="N6558" i="1"/>
  <c r="N7961" i="1"/>
  <c r="N7809" i="1"/>
  <c r="N8198" i="1"/>
  <c r="N5915" i="1"/>
  <c r="N7503" i="1"/>
  <c r="N6519" i="1"/>
  <c r="N8315" i="1"/>
  <c r="N7823" i="1"/>
  <c r="N6662" i="1"/>
  <c r="N7768" i="1"/>
  <c r="N7064" i="1"/>
  <c r="N8935" i="1"/>
  <c r="N7615" i="1"/>
  <c r="N6151" i="1"/>
  <c r="N8667" i="1"/>
  <c r="N7914" i="1"/>
  <c r="N6447" i="1"/>
  <c r="N7857" i="1"/>
  <c r="N6501" i="1"/>
  <c r="N8041" i="1"/>
  <c r="N7698" i="1"/>
  <c r="N8118" i="1"/>
  <c r="N6640" i="1"/>
  <c r="N5987" i="1"/>
  <c r="N6825" i="1"/>
  <c r="N8423" i="1"/>
  <c r="N7158" i="1"/>
  <c r="N6681" i="1"/>
  <c r="N5882" i="1"/>
  <c r="N8952" i="1"/>
  <c r="N8826" i="1"/>
  <c r="N8799" i="1"/>
  <c r="N8493" i="1"/>
  <c r="N8871" i="1"/>
  <c r="N6216" i="1"/>
  <c r="N8690" i="1"/>
  <c r="N8342" i="1"/>
  <c r="N6214" i="1"/>
  <c r="N6677" i="1"/>
  <c r="N6405" i="1"/>
  <c r="N7649" i="1"/>
  <c r="N5842" i="1"/>
  <c r="N7290" i="1"/>
  <c r="N7095" i="1"/>
  <c r="N8842" i="1"/>
  <c r="N6958" i="1"/>
  <c r="N8094" i="1"/>
  <c r="N7864" i="1"/>
  <c r="N6421" i="1"/>
  <c r="N6811" i="1"/>
  <c r="N8512" i="1"/>
  <c r="N6695" i="1"/>
  <c r="N5936" i="1"/>
  <c r="N6647" i="1"/>
  <c r="N8204" i="1"/>
  <c r="N8753" i="1"/>
  <c r="N6733" i="1"/>
  <c r="N7236" i="1"/>
  <c r="N8785" i="1"/>
  <c r="N8357" i="1"/>
  <c r="N7323" i="1"/>
  <c r="N7855" i="1"/>
  <c r="N8703" i="1"/>
  <c r="N8590" i="1"/>
  <c r="N8730" i="1"/>
  <c r="N5856" i="1"/>
  <c r="N5872" i="1"/>
  <c r="N5896" i="1"/>
  <c r="N8085" i="1"/>
  <c r="N7923" i="1"/>
  <c r="N5929" i="1"/>
  <c r="N7150" i="1"/>
  <c r="N6321" i="1"/>
  <c r="N6333" i="1"/>
  <c r="N6255" i="1"/>
  <c r="N6750" i="1"/>
  <c r="N6738" i="1"/>
  <c r="N7761" i="1"/>
  <c r="N8187" i="1"/>
  <c r="N6720" i="1"/>
  <c r="N6803" i="1"/>
  <c r="N7234" i="1"/>
  <c r="N6772" i="1"/>
  <c r="N7952" i="1"/>
  <c r="N8954" i="1"/>
  <c r="N6423" i="1"/>
  <c r="N7824" i="1"/>
  <c r="N6993" i="1"/>
  <c r="N6455" i="1"/>
  <c r="N8454" i="1"/>
  <c r="N6548" i="1"/>
  <c r="N7514" i="1"/>
  <c r="N7911" i="1"/>
  <c r="N8622" i="1"/>
  <c r="N7134" i="1"/>
  <c r="N7121" i="1"/>
  <c r="N6454" i="1"/>
  <c r="N8526" i="1"/>
  <c r="N8230" i="1"/>
  <c r="N6241" i="1"/>
  <c r="N7602" i="1"/>
  <c r="N6945" i="1"/>
  <c r="N8235" i="1"/>
  <c r="N7948" i="1"/>
  <c r="N8706" i="1"/>
  <c r="N8366" i="1"/>
  <c r="F156" i="16"/>
  <c r="BE109" i="16"/>
  <c r="Q207" i="16" s="1"/>
  <c r="BC111" i="16"/>
  <c r="AW109" i="16"/>
  <c r="AR110" i="16"/>
  <c r="AR111" i="16" s="1"/>
  <c r="AN110" i="16"/>
  <c r="AN112" i="16" s="1"/>
  <c r="AP110" i="16"/>
  <c r="AP111" i="16" s="1"/>
  <c r="AQ110" i="16"/>
  <c r="AQ112" i="16" s="1"/>
  <c r="AO110" i="16"/>
  <c r="AO111" i="16" s="1"/>
  <c r="AS110" i="16"/>
  <c r="AS112" i="16" s="1"/>
  <c r="AT110" i="16"/>
  <c r="AT111" i="16" s="1"/>
  <c r="AV109" i="16"/>
  <c r="AV111" i="16" s="1"/>
  <c r="AU109" i="16"/>
  <c r="AU111" i="16" s="1"/>
  <c r="F143" i="16"/>
  <c r="H143" i="16" s="1"/>
  <c r="N5" i="1"/>
  <c r="N2574" i="1"/>
  <c r="N2382" i="1"/>
  <c r="N413" i="1"/>
  <c r="N4614" i="1"/>
  <c r="N5286" i="1"/>
  <c r="N1469" i="1"/>
  <c r="N3462" i="1"/>
  <c r="N5022" i="1"/>
  <c r="N3270" i="1"/>
  <c r="N5790" i="1"/>
  <c r="N3630" i="1"/>
  <c r="N1541" i="1"/>
  <c r="N3438" i="1"/>
  <c r="N3774" i="1"/>
  <c r="N3726" i="1"/>
  <c r="N389" i="1"/>
  <c r="N3942" i="1"/>
  <c r="N197" i="1"/>
  <c r="N3750" i="1"/>
  <c r="N5526" i="1"/>
  <c r="N1565" i="1"/>
  <c r="N2406" i="1"/>
  <c r="N293" i="1"/>
  <c r="N2286" i="1"/>
  <c r="N4038" i="1"/>
  <c r="N1613" i="1"/>
  <c r="N653" i="1"/>
  <c r="N2646" i="1"/>
  <c r="N5814" i="1"/>
  <c r="N269" i="1"/>
  <c r="N2454" i="1"/>
  <c r="N4158" i="1"/>
  <c r="N1085" i="1"/>
  <c r="N773" i="1"/>
  <c r="N5094" i="1"/>
  <c r="N893" i="1"/>
  <c r="N1253" i="1"/>
  <c r="N1061" i="1"/>
  <c r="N3390" i="1"/>
  <c r="N3558" i="1"/>
  <c r="N2910" i="1"/>
  <c r="N2982" i="1"/>
  <c r="N4518" i="1"/>
  <c r="N797" i="1"/>
  <c r="N4806" i="1"/>
  <c r="N1157" i="1"/>
  <c r="N4854" i="1"/>
  <c r="N3654" i="1"/>
  <c r="N2694" i="1"/>
  <c r="N4662" i="1"/>
  <c r="N1973" i="1"/>
  <c r="N2502" i="1"/>
  <c r="N77" i="1"/>
  <c r="N1781" i="1"/>
  <c r="N2141" i="1"/>
  <c r="N2622" i="1"/>
  <c r="N3918" i="1"/>
  <c r="N1949" i="1"/>
  <c r="N2790" i="1"/>
  <c r="N4926" i="1"/>
  <c r="N5262" i="1"/>
  <c r="N2766" i="1"/>
  <c r="N5622" i="1"/>
  <c r="N4542" i="1"/>
  <c r="N3798" i="1"/>
  <c r="N5718" i="1"/>
  <c r="N4638" i="1"/>
  <c r="N2478" i="1"/>
  <c r="N4998" i="1"/>
  <c r="N3486" i="1"/>
  <c r="N3894" i="1"/>
  <c r="N101" i="1"/>
  <c r="N3846" i="1"/>
  <c r="N3222" i="1"/>
  <c r="N5742" i="1"/>
  <c r="N3582" i="1"/>
  <c r="N3534" i="1"/>
  <c r="N5502" i="1"/>
  <c r="N1277" i="1"/>
  <c r="N965" i="1"/>
  <c r="N2310" i="1"/>
  <c r="N5310" i="1"/>
  <c r="N4278" i="1"/>
  <c r="N3150" i="1"/>
  <c r="N3678" i="1"/>
  <c r="N4446" i="1"/>
  <c r="N245" i="1"/>
  <c r="N4254" i="1"/>
  <c r="N605" i="1"/>
  <c r="N4302" i="1"/>
  <c r="N3102" i="1"/>
  <c r="N5334" i="1"/>
  <c r="N4374" i="1"/>
  <c r="N3174" i="1"/>
  <c r="N3414" i="1"/>
  <c r="N989" i="1"/>
  <c r="N1997" i="1"/>
  <c r="N509" i="1"/>
  <c r="N845" i="1"/>
  <c r="N2838" i="1"/>
  <c r="N1205" i="1"/>
  <c r="N3198" i="1"/>
  <c r="N5166" i="1"/>
  <c r="N1013" i="1"/>
  <c r="N4974" i="1"/>
  <c r="N3126" i="1"/>
  <c r="N2814" i="1"/>
  <c r="N5142" i="1"/>
  <c r="N2934" i="1"/>
  <c r="N5454" i="1"/>
  <c r="N4950" i="1"/>
  <c r="N3294" i="1"/>
  <c r="N3990" i="1"/>
  <c r="N2718" i="1"/>
  <c r="N5238" i="1"/>
  <c r="N2670" i="1"/>
  <c r="N3078" i="1"/>
  <c r="N4086" i="1"/>
  <c r="N2214" i="1"/>
  <c r="N701" i="1"/>
  <c r="N1925" i="1"/>
  <c r="N29" i="1"/>
  <c r="N1733" i="1"/>
  <c r="N4710" i="1"/>
  <c r="N5694" i="1"/>
  <c r="N4734" i="1"/>
  <c r="N5070" i="1"/>
  <c r="N461" i="1"/>
  <c r="N2358" i="1"/>
  <c r="N4470" i="1"/>
  <c r="N3342" i="1"/>
  <c r="N821" i="1"/>
  <c r="N2021" i="1"/>
  <c r="N4014" i="1"/>
  <c r="N5574" i="1"/>
  <c r="N3822" i="1"/>
  <c r="N2862" i="1"/>
  <c r="N437" i="1"/>
  <c r="N4182" i="1"/>
  <c r="N1445" i="1"/>
  <c r="N485" i="1"/>
  <c r="N1805" i="1"/>
  <c r="N2238" i="1"/>
  <c r="N2190" i="1"/>
  <c r="N4566" i="1"/>
  <c r="N3366" i="1"/>
  <c r="N3318" i="1"/>
  <c r="N1229" i="1"/>
  <c r="N1181" i="1"/>
  <c r="N1589" i="1"/>
  <c r="N5190" i="1"/>
  <c r="N5598" i="1"/>
  <c r="N3030" i="1"/>
  <c r="N5550" i="1"/>
  <c r="N53" i="1"/>
  <c r="N1349" i="1"/>
  <c r="N5358" i="1"/>
  <c r="N4398" i="1"/>
  <c r="N4350" i="1"/>
  <c r="N4206" i="1"/>
  <c r="N3006" i="1"/>
  <c r="N1637" i="1"/>
  <c r="N5646" i="1"/>
  <c r="N1373" i="1"/>
  <c r="N5382" i="1"/>
  <c r="N1421" i="1"/>
  <c r="N5430" i="1"/>
  <c r="N5478" i="1"/>
  <c r="N1829" i="1"/>
  <c r="N4422" i="1"/>
  <c r="N2262" i="1"/>
  <c r="N4782" i="1"/>
  <c r="N4902" i="1"/>
  <c r="N2742" i="1"/>
  <c r="N4110" i="1"/>
  <c r="N2550" i="1"/>
  <c r="N869" i="1"/>
  <c r="N4878" i="1"/>
  <c r="N5214" i="1"/>
  <c r="N3054" i="1"/>
  <c r="N629" i="1"/>
  <c r="N4830" i="1"/>
  <c r="N2045" i="1"/>
  <c r="N4590" i="1"/>
  <c r="N2117" i="1"/>
  <c r="N5046" i="1"/>
  <c r="N725" i="1"/>
  <c r="N2334" i="1"/>
  <c r="N365" i="1"/>
  <c r="N125" i="1"/>
  <c r="N1901" i="1"/>
  <c r="N1109" i="1"/>
  <c r="N2526" i="1"/>
  <c r="N3606" i="1"/>
  <c r="N1301" i="1"/>
  <c r="N1685" i="1"/>
  <c r="N2166" i="1"/>
  <c r="N581" i="1"/>
  <c r="N5670" i="1"/>
  <c r="N1877" i="1"/>
  <c r="N1517" i="1"/>
  <c r="N4230" i="1"/>
  <c r="N3702" i="1"/>
  <c r="N1397" i="1"/>
  <c r="N1325" i="1"/>
  <c r="N1853" i="1"/>
  <c r="N173" i="1"/>
  <c r="N917" i="1"/>
  <c r="N1757" i="1"/>
  <c r="N533" i="1"/>
  <c r="N749" i="1"/>
  <c r="N1493" i="1"/>
  <c r="N4062" i="1"/>
  <c r="N4326" i="1"/>
  <c r="N341" i="1"/>
  <c r="N4494" i="1"/>
  <c r="N5406" i="1"/>
  <c r="N2958" i="1"/>
  <c r="N941" i="1"/>
  <c r="N2886" i="1"/>
  <c r="N677" i="1"/>
  <c r="N3966" i="1"/>
  <c r="N557" i="1"/>
  <c r="N4134" i="1"/>
  <c r="N1037" i="1"/>
  <c r="N2430" i="1"/>
  <c r="N2598" i="1"/>
  <c r="N1133" i="1"/>
  <c r="N5766" i="1"/>
  <c r="N149" i="1"/>
  <c r="N3510" i="1"/>
  <c r="N5118" i="1"/>
  <c r="N1709" i="1"/>
  <c r="N3246" i="1"/>
  <c r="N2069" i="1"/>
  <c r="N4758" i="1"/>
  <c r="N221" i="1"/>
  <c r="N317" i="1"/>
  <c r="N4686" i="1"/>
  <c r="N3870" i="1"/>
  <c r="N1661" i="1"/>
  <c r="N2093" i="1"/>
  <c r="N2925" i="1"/>
  <c r="N3089" i="1"/>
  <c r="N4990" i="1"/>
  <c r="N3646" i="1"/>
  <c r="N4605" i="1"/>
  <c r="N5322" i="1"/>
  <c r="N5494" i="1"/>
  <c r="N2589" i="1"/>
  <c r="N5801" i="1"/>
  <c r="N2798" i="1"/>
  <c r="N5449" i="1"/>
  <c r="N5826" i="1"/>
  <c r="N3269" i="1"/>
  <c r="N3933" i="1"/>
  <c r="N5236" i="1"/>
  <c r="N3720" i="1"/>
  <c r="N3810" i="1"/>
  <c r="N3818" i="1"/>
  <c r="N3052" i="1"/>
  <c r="N3963" i="1"/>
  <c r="N1873" i="1"/>
  <c r="N5109" i="1"/>
  <c r="N1965" i="1"/>
  <c r="N4133" i="1"/>
  <c r="N1752" i="1"/>
  <c r="N5572" i="1"/>
  <c r="N3773" i="1"/>
  <c r="N2548" i="1"/>
  <c r="N5068" i="1"/>
  <c r="N4650" i="1"/>
  <c r="N4986" i="1"/>
  <c r="N4674" i="1"/>
  <c r="N3388" i="1"/>
  <c r="N4482" i="1"/>
  <c r="N5105" i="1"/>
  <c r="N5687" i="1"/>
  <c r="N3306" i="1"/>
  <c r="N3265" i="1"/>
  <c r="N3146" i="1"/>
  <c r="N1482" i="1"/>
  <c r="N4826" i="1"/>
  <c r="N5326" i="1"/>
  <c r="N3888" i="1"/>
  <c r="N4728" i="1"/>
  <c r="N3986" i="1"/>
  <c r="N5777" i="1"/>
  <c r="N3450" i="1"/>
  <c r="N5092" i="1"/>
  <c r="N3425" i="1"/>
  <c r="N3433" i="1"/>
  <c r="N5081" i="1"/>
  <c r="N3601" i="1"/>
  <c r="N5330" i="1"/>
  <c r="N4822" i="1"/>
  <c r="N2804" i="1"/>
  <c r="N2451" i="1"/>
  <c r="N4336" i="1"/>
  <c r="N1337" i="1"/>
  <c r="N4396" i="1"/>
  <c r="N2088" i="1"/>
  <c r="N5588" i="1"/>
  <c r="N2261" i="1"/>
  <c r="N4945" i="1"/>
  <c r="N2474" i="1"/>
  <c r="N4916" i="1"/>
  <c r="N5441" i="1"/>
  <c r="N3941" i="1"/>
  <c r="N3650" i="1"/>
  <c r="N4368" i="1"/>
  <c r="N3261" i="1"/>
  <c r="N2376" i="1"/>
  <c r="N3892" i="1"/>
  <c r="N2043" i="1"/>
  <c r="N5830" i="1"/>
  <c r="N4900" i="1"/>
  <c r="N4322" i="1"/>
  <c r="N5658" i="1"/>
  <c r="N2429" i="1"/>
  <c r="N2597" i="1"/>
  <c r="N3552" i="1"/>
  <c r="N3219" i="1"/>
  <c r="N3604" i="1"/>
  <c r="N2594" i="1"/>
  <c r="N483" i="1"/>
  <c r="N1628" i="1"/>
  <c r="N1698" i="1"/>
  <c r="N1684" i="1"/>
  <c r="N5571" i="1"/>
  <c r="N3725" i="1"/>
  <c r="N2421" i="1"/>
  <c r="N1920" i="1"/>
  <c r="N3048" i="1"/>
  <c r="N2129" i="1"/>
  <c r="N3793" i="1"/>
  <c r="N2933" i="1"/>
  <c r="N4154" i="1"/>
  <c r="N5736" i="1"/>
  <c r="N1707" i="1"/>
  <c r="N4170" i="1"/>
  <c r="N2716" i="1"/>
  <c r="N5544" i="1"/>
  <c r="N3138" i="1"/>
  <c r="N2634" i="1"/>
  <c r="N5277" i="1"/>
  <c r="N5141" i="1"/>
  <c r="N3478" i="1"/>
  <c r="N4318" i="1"/>
  <c r="N4560" i="1"/>
  <c r="N5248" i="1"/>
  <c r="N2712" i="1"/>
  <c r="N2921" i="1"/>
  <c r="N2753" i="1"/>
  <c r="N4937" i="1"/>
  <c r="N2757" i="1"/>
  <c r="N2257" i="1"/>
  <c r="N2970" i="1"/>
  <c r="N4584" i="1"/>
  <c r="N3978" i="1"/>
  <c r="N5281" i="1"/>
  <c r="N4490" i="1"/>
  <c r="N2761" i="1"/>
  <c r="N4941" i="1"/>
  <c r="N4314" i="1"/>
  <c r="N1385" i="1"/>
  <c r="N284" i="1"/>
  <c r="N5823" i="1"/>
  <c r="N4242" i="1"/>
  <c r="N431" i="1"/>
  <c r="N3482" i="1"/>
  <c r="N3257" i="1"/>
  <c r="N5753" i="1"/>
  <c r="N3474" i="1"/>
  <c r="N5785" i="1"/>
  <c r="N2810" i="1"/>
  <c r="N5400" i="1"/>
  <c r="N5404" i="1"/>
  <c r="N3790" i="1"/>
  <c r="N5498" i="1"/>
  <c r="N4224" i="1"/>
  <c r="N5113" i="1"/>
  <c r="N5453" i="1"/>
  <c r="N5781" i="1"/>
  <c r="N4392" i="1"/>
  <c r="N3814" i="1"/>
  <c r="N2253" i="1"/>
  <c r="N4658" i="1"/>
  <c r="N2642" i="1"/>
  <c r="N2425" i="1"/>
  <c r="N4024" i="1"/>
  <c r="N5158" i="1"/>
  <c r="N5834" i="1"/>
  <c r="N2806" i="1"/>
  <c r="N4227" i="1"/>
  <c r="N3329" i="1"/>
  <c r="N4226" i="1"/>
  <c r="N4107" i="1"/>
  <c r="N4053" i="1"/>
  <c r="N2978" i="1"/>
  <c r="N2212" i="1"/>
  <c r="N4613" i="1"/>
  <c r="N3093" i="1"/>
  <c r="N4654" i="1"/>
  <c r="N2133" i="1"/>
  <c r="N3101" i="1"/>
  <c r="N2154" i="1"/>
  <c r="N4732" i="1"/>
  <c r="N4130" i="1"/>
  <c r="N3761" i="1"/>
  <c r="N4601" i="1"/>
  <c r="N5662" i="1"/>
  <c r="N4433" i="1"/>
  <c r="N5305" i="1"/>
  <c r="N3437" i="1"/>
  <c r="N3556" i="1"/>
  <c r="N1912" i="1"/>
  <c r="N4252" i="1"/>
  <c r="N4265" i="1"/>
  <c r="N4769" i="1"/>
  <c r="N3142" i="1"/>
  <c r="N4781" i="1"/>
  <c r="N4437" i="1"/>
  <c r="N3929" i="1"/>
  <c r="N4486" i="1"/>
  <c r="N2848" i="1"/>
  <c r="N831" i="1"/>
  <c r="N5015" i="1"/>
  <c r="N4564" i="1"/>
  <c r="N1511" i="1"/>
  <c r="N2111" i="1"/>
  <c r="N5104" i="1"/>
  <c r="N1198" i="1"/>
  <c r="N1488" i="1"/>
  <c r="N3090" i="1"/>
  <c r="N1874" i="1"/>
  <c r="N407" i="1"/>
  <c r="N4445" i="1"/>
  <c r="N4818" i="1"/>
  <c r="N3765" i="1"/>
  <c r="N3310" i="1"/>
  <c r="N4101" i="1"/>
  <c r="N4056" i="1"/>
  <c r="N5285" i="1"/>
  <c r="N3220" i="1"/>
  <c r="N4105" i="1"/>
  <c r="N2298" i="1"/>
  <c r="N4801" i="1"/>
  <c r="N3982" i="1"/>
  <c r="N4757" i="1"/>
  <c r="N5376" i="1"/>
  <c r="N4060" i="1"/>
  <c r="N3605" i="1"/>
  <c r="N4994" i="1"/>
  <c r="N4773" i="1"/>
  <c r="N3593" i="1"/>
  <c r="N5117" i="1"/>
  <c r="N5421" i="1"/>
  <c r="N5162" i="1"/>
  <c r="N5621" i="1"/>
  <c r="N4097" i="1"/>
  <c r="N3097" i="1"/>
  <c r="N2929" i="1"/>
  <c r="N4609" i="1"/>
  <c r="N3216" i="1"/>
  <c r="N4109" i="1"/>
  <c r="N5129" i="1"/>
  <c r="N3597" i="1"/>
  <c r="N2466" i="1"/>
  <c r="N5617" i="1"/>
  <c r="N5089" i="1"/>
  <c r="N671" i="1"/>
  <c r="N2249" i="1"/>
  <c r="N5353" i="1"/>
  <c r="N3664" i="1"/>
  <c r="N675" i="1"/>
  <c r="N1967" i="1"/>
  <c r="N2328" i="1"/>
  <c r="N288" i="1"/>
  <c r="N1526" i="1"/>
  <c r="N3652" i="1"/>
  <c r="N2907" i="1"/>
  <c r="N2802" i="1"/>
  <c r="N5355" i="1"/>
  <c r="N4146" i="1"/>
  <c r="N2765" i="1"/>
  <c r="N4949" i="1"/>
  <c r="N4269" i="1"/>
  <c r="N5789" i="1"/>
  <c r="N2884" i="1"/>
  <c r="N4273" i="1"/>
  <c r="N3429" i="1"/>
  <c r="N5613" i="1"/>
  <c r="N2417" i="1"/>
  <c r="N4277" i="1"/>
  <c r="N2544" i="1"/>
  <c r="N5568" i="1"/>
  <c r="N4150" i="1"/>
  <c r="N5740" i="1"/>
  <c r="N2638" i="1"/>
  <c r="N408" i="1"/>
  <c r="N5260" i="1"/>
  <c r="N5490" i="1"/>
  <c r="N2080" i="1"/>
  <c r="N3314" i="1"/>
  <c r="N2593" i="1"/>
  <c r="N4777" i="1"/>
  <c r="N5186" i="1"/>
  <c r="N5429" i="1"/>
  <c r="N5666" i="1"/>
  <c r="N5428" i="1"/>
  <c r="N5756" i="1"/>
  <c r="N1875" i="1"/>
  <c r="N5232" i="1"/>
  <c r="N2380" i="1"/>
  <c r="N962" i="1"/>
  <c r="N3985" i="1"/>
  <c r="N5639" i="1"/>
  <c r="N5445" i="1"/>
  <c r="N2974" i="1"/>
  <c r="N3769" i="1"/>
  <c r="N1084" i="1"/>
  <c r="N2585" i="1"/>
  <c r="N5761" i="1"/>
  <c r="N4896" i="1"/>
  <c r="N4228" i="1"/>
  <c r="N3965" i="1"/>
  <c r="N3724" i="1"/>
  <c r="N2302" i="1"/>
  <c r="N3937" i="1"/>
  <c r="N4441" i="1"/>
  <c r="N2208" i="1"/>
  <c r="N5064" i="1"/>
  <c r="N2306" i="1"/>
  <c r="N1416" i="1"/>
  <c r="N5609" i="1"/>
  <c r="N3642" i="1"/>
  <c r="N2470" i="1"/>
  <c r="N5273" i="1"/>
  <c r="N3384" i="1"/>
  <c r="N5154" i="1"/>
  <c r="N5347" i="1"/>
  <c r="N5633" i="1"/>
  <c r="N2880" i="1"/>
  <c r="N976" i="1"/>
  <c r="N627" i="1"/>
  <c r="N1802" i="1"/>
  <c r="N5282" i="1"/>
  <c r="N4948" i="1"/>
  <c r="N2283" i="1"/>
  <c r="N2714" i="1"/>
  <c r="N4216" i="1"/>
  <c r="N3340" i="1"/>
  <c r="N4578" i="1"/>
  <c r="N5349" i="1"/>
  <c r="N291" i="1"/>
  <c r="N5610" i="1"/>
  <c r="N1311" i="1"/>
  <c r="N713" i="1"/>
  <c r="N4168" i="1"/>
  <c r="N1841" i="1"/>
  <c r="N4388" i="1"/>
  <c r="N5476" i="1"/>
  <c r="N1487" i="1"/>
  <c r="N3215" i="1"/>
  <c r="N1179" i="1"/>
  <c r="N913" i="1"/>
  <c r="N1533" i="1"/>
  <c r="N5567" i="1"/>
  <c r="N4530" i="1"/>
  <c r="N4222" i="1"/>
  <c r="N459" i="1"/>
  <c r="N2776" i="1"/>
  <c r="N4128" i="1"/>
  <c r="N1394" i="1"/>
  <c r="N5563" i="1"/>
  <c r="N1983" i="1"/>
  <c r="N4394" i="1"/>
  <c r="N3336" i="1"/>
  <c r="N3868" i="1"/>
  <c r="N721" i="1"/>
  <c r="N5608" i="1"/>
  <c r="N1419" i="1"/>
  <c r="N136" i="1"/>
  <c r="N4680" i="1"/>
  <c r="N2279" i="1"/>
  <c r="N4995" i="1"/>
  <c r="N5680" i="1"/>
  <c r="N1745" i="1"/>
  <c r="N1635" i="1"/>
  <c r="N3713" i="1"/>
  <c r="N5112" i="1"/>
  <c r="N5325" i="1"/>
  <c r="N1126" i="1"/>
  <c r="N810" i="1"/>
  <c r="N1242" i="1"/>
  <c r="N4555" i="1"/>
  <c r="N4049" i="1"/>
  <c r="N2448" i="1"/>
  <c r="N4774" i="1"/>
  <c r="N3857" i="1"/>
  <c r="N3893" i="1"/>
  <c r="N3112" i="1"/>
  <c r="N3647" i="1"/>
  <c r="N3098" i="1"/>
  <c r="N3817" i="1"/>
  <c r="N1082" i="1"/>
  <c r="N3264" i="1"/>
  <c r="N4726" i="1"/>
  <c r="N3714" i="1"/>
  <c r="N4936" i="1"/>
  <c r="N3376" i="1"/>
  <c r="N4562" i="1"/>
  <c r="N190" i="1"/>
  <c r="N3771" i="1"/>
  <c r="N1991" i="1"/>
  <c r="N4440" i="1"/>
  <c r="N1460" i="1"/>
  <c r="N1251" i="1"/>
  <c r="N1243" i="1"/>
  <c r="N2201" i="1"/>
  <c r="N2592" i="1"/>
  <c r="N4505" i="1"/>
  <c r="N1156" i="1"/>
  <c r="N2402" i="1"/>
  <c r="N3096" i="1"/>
  <c r="N1876" i="1"/>
  <c r="N2619" i="1"/>
  <c r="N2453" i="1"/>
  <c r="N953" i="1"/>
  <c r="N547" i="1"/>
  <c r="N2736" i="1"/>
  <c r="N4339" i="1"/>
  <c r="N3526" i="1"/>
  <c r="N379" i="1"/>
  <c r="N4124" i="1"/>
  <c r="N3330" i="1"/>
  <c r="N4704" i="1"/>
  <c r="N2419" i="1"/>
  <c r="N4011" i="1"/>
  <c r="N310" i="1"/>
  <c r="N1892" i="1"/>
  <c r="N3691" i="1"/>
  <c r="N5762" i="1"/>
  <c r="N4059" i="1"/>
  <c r="N386" i="1"/>
  <c r="N2876" i="1"/>
  <c r="N1993" i="1"/>
  <c r="N4922" i="1"/>
  <c r="N5513" i="1"/>
  <c r="N3599" i="1"/>
  <c r="N5332" i="1"/>
  <c r="N5759" i="1"/>
  <c r="N4341" i="1"/>
  <c r="N4673" i="1"/>
  <c r="N119" i="1"/>
  <c r="N3380" i="1"/>
  <c r="N4156" i="1"/>
  <c r="N4889" i="1"/>
  <c r="N626" i="1"/>
  <c r="N4127" i="1"/>
  <c r="N5660" i="1"/>
  <c r="N2615" i="1"/>
  <c r="N504" i="1"/>
  <c r="N2128" i="1"/>
  <c r="N1393" i="1"/>
  <c r="N1507" i="1"/>
  <c r="N4220" i="1"/>
  <c r="N5812" i="1"/>
  <c r="N2138" i="1"/>
  <c r="N1201" i="1"/>
  <c r="N3917" i="1"/>
  <c r="N5686" i="1"/>
  <c r="N4340" i="1"/>
  <c r="N4920" i="1"/>
  <c r="N4842" i="1"/>
  <c r="N3453" i="1"/>
  <c r="N3626" i="1"/>
  <c r="N4173" i="1"/>
  <c r="N5424" i="1"/>
  <c r="N2569" i="1"/>
  <c r="N3413" i="1"/>
  <c r="N646" i="1"/>
  <c r="N2067" i="1"/>
  <c r="N2737" i="1"/>
  <c r="N699" i="1"/>
  <c r="N265" i="1"/>
  <c r="N3286" i="1"/>
  <c r="N1516" i="1"/>
  <c r="N188" i="1"/>
  <c r="N1581" i="1"/>
  <c r="N4037" i="1"/>
  <c r="N861" i="1"/>
  <c r="N2928" i="1"/>
  <c r="N2755" i="1"/>
  <c r="N137" i="1"/>
  <c r="N2179" i="1"/>
  <c r="N4444" i="1"/>
  <c r="N2636" i="1"/>
  <c r="N693" i="1"/>
  <c r="N938" i="1"/>
  <c r="N1916" i="1"/>
  <c r="N885" i="1"/>
  <c r="N4661" i="1"/>
  <c r="N220" i="1"/>
  <c r="N4410" i="1"/>
  <c r="N3243" i="1"/>
  <c r="N2353" i="1"/>
  <c r="N4205" i="1"/>
  <c r="N3939" i="1"/>
  <c r="N2981" i="1"/>
  <c r="N2500" i="1"/>
  <c r="N2874" i="1"/>
  <c r="N242" i="1"/>
  <c r="N1492" i="1"/>
  <c r="N4841" i="1"/>
  <c r="N1515" i="1"/>
  <c r="N1913" i="1"/>
  <c r="N1654" i="1"/>
  <c r="N474" i="1"/>
  <c r="N4629" i="1"/>
  <c r="N5760" i="1"/>
  <c r="N4294" i="1"/>
  <c r="N1297" i="1"/>
  <c r="N1723" i="1"/>
  <c r="N2666" i="1"/>
  <c r="N5085" i="1"/>
  <c r="N5589" i="1"/>
  <c r="N1059" i="1"/>
  <c r="N97" i="1"/>
  <c r="N1864" i="1"/>
  <c r="N4217" i="1"/>
  <c r="N4529" i="1"/>
  <c r="N2860" i="1"/>
  <c r="N3653" i="1"/>
  <c r="N712" i="1"/>
  <c r="N2547" i="1"/>
  <c r="N1725" i="1"/>
  <c r="N1244" i="1"/>
  <c r="N336" i="1"/>
  <c r="N2477" i="1"/>
  <c r="N3308" i="1"/>
  <c r="N2259" i="1"/>
  <c r="N1636" i="1"/>
  <c r="N3699" i="1"/>
  <c r="N3449" i="1"/>
  <c r="N4725" i="1"/>
  <c r="N624" i="1"/>
  <c r="N2682" i="1"/>
  <c r="N841" i="1"/>
  <c r="N3863" i="1"/>
  <c r="N4082" i="1"/>
  <c r="N5066" i="1"/>
  <c r="N3387" i="1"/>
  <c r="N3840" i="1"/>
  <c r="N983" i="1"/>
  <c r="N5059" i="1"/>
  <c r="N312" i="1"/>
  <c r="N5732" i="1"/>
  <c r="N4682" i="1"/>
  <c r="N1318" i="1"/>
  <c r="N432" i="1"/>
  <c r="N2667" i="1"/>
  <c r="N3408" i="1"/>
  <c r="N2733" i="1"/>
  <c r="N2564" i="1"/>
  <c r="N1564" i="1"/>
  <c r="N166" i="1"/>
  <c r="N2157" i="1"/>
  <c r="N736" i="1"/>
  <c r="N839" i="1"/>
  <c r="N5765" i="1"/>
  <c r="N813" i="1"/>
  <c r="N2856" i="1"/>
  <c r="N4077" i="1"/>
  <c r="N4342" i="1"/>
  <c r="N2393" i="1"/>
  <c r="N4775" i="1"/>
  <c r="N5468" i="1"/>
  <c r="N1250" i="1"/>
  <c r="N4371" i="1"/>
  <c r="N1178" i="1"/>
  <c r="N1170" i="1"/>
  <c r="N313" i="1"/>
  <c r="N1120" i="1"/>
  <c r="N640" i="1"/>
  <c r="N1123" i="1"/>
  <c r="N2596" i="1"/>
  <c r="N90" i="1"/>
  <c r="N3485" i="1"/>
  <c r="N4102" i="1"/>
  <c r="N67" i="1"/>
  <c r="N5039" i="1"/>
  <c r="N987" i="1"/>
  <c r="N3066" i="1"/>
  <c r="N4825" i="1"/>
  <c r="N1656" i="1"/>
  <c r="N4013" i="1"/>
  <c r="N2635" i="1"/>
  <c r="N599" i="1"/>
  <c r="N4603" i="1"/>
  <c r="N3747" i="1"/>
  <c r="N114" i="1"/>
  <c r="N4992" i="1"/>
  <c r="N1560" i="1"/>
  <c r="N4897" i="1"/>
  <c r="N4626" i="1"/>
  <c r="N3236" i="1"/>
  <c r="N883" i="1"/>
  <c r="N2609" i="1"/>
  <c r="N593" i="1"/>
  <c r="N2663" i="1"/>
  <c r="N5420" i="1"/>
  <c r="N285" i="1"/>
  <c r="N4125" i="1"/>
  <c r="N3191" i="1"/>
  <c r="N3627" i="1"/>
  <c r="N3571" i="1"/>
  <c r="N4985" i="1"/>
  <c r="N2280" i="1"/>
  <c r="N2205" i="1"/>
  <c r="N1988" i="1"/>
  <c r="N1996" i="1"/>
  <c r="N289" i="1"/>
  <c r="N2641" i="1"/>
  <c r="N3411" i="1"/>
  <c r="N1344" i="1"/>
  <c r="N5116" i="1"/>
  <c r="N4997" i="1"/>
  <c r="N2213" i="1"/>
  <c r="N625" i="1"/>
  <c r="N2591" i="1"/>
  <c r="N1514" i="1"/>
  <c r="N1558" i="1"/>
  <c r="N4996" i="1"/>
  <c r="N1674" i="1"/>
  <c r="N452" i="1"/>
  <c r="N233" i="1"/>
  <c r="N3522" i="1"/>
  <c r="N266" i="1"/>
  <c r="N5065" i="1"/>
  <c r="N5378" i="1"/>
  <c r="N5637" i="1"/>
  <c r="N2441" i="1"/>
  <c r="N2063" i="1"/>
  <c r="N4463" i="1"/>
  <c r="N3240" i="1"/>
  <c r="N2236" i="1"/>
  <c r="N219" i="1"/>
  <c r="N261" i="1"/>
  <c r="N5691" i="1"/>
  <c r="N596" i="1"/>
  <c r="N195" i="1"/>
  <c r="N1002" i="1"/>
  <c r="N1486" i="1"/>
  <c r="N2777" i="1"/>
  <c r="N5038" i="1"/>
  <c r="N5707" i="1"/>
  <c r="N3672" i="1"/>
  <c r="N5405" i="1"/>
  <c r="N5517" i="1"/>
  <c r="N3118" i="1"/>
  <c r="N2209" i="1"/>
  <c r="N73" i="1"/>
  <c r="N2374" i="1"/>
  <c r="N4195" i="1"/>
  <c r="N2284" i="1"/>
  <c r="N2206" i="1"/>
  <c r="N1750" i="1"/>
  <c r="N2567" i="1"/>
  <c r="N4685" i="1"/>
  <c r="N259" i="1"/>
  <c r="N5131" i="1"/>
  <c r="N4148" i="1"/>
  <c r="N4513" i="1"/>
  <c r="N3070" i="1"/>
  <c r="N2902" i="1"/>
  <c r="N3018" i="1"/>
  <c r="N50" i="1"/>
  <c r="N3402" i="1"/>
  <c r="N4443" i="1"/>
  <c r="N480" i="1"/>
  <c r="N2571" i="1"/>
  <c r="N3698" i="1"/>
  <c r="N984" i="1"/>
  <c r="N963" i="1"/>
  <c r="N4098" i="1"/>
  <c r="N2178" i="1"/>
  <c r="N940" i="1"/>
  <c r="N5115" i="1"/>
  <c r="N4121" i="1"/>
  <c r="N5809" i="1"/>
  <c r="N572" i="1"/>
  <c r="N3785" i="1"/>
  <c r="N4179" i="1"/>
  <c r="N2561" i="1"/>
  <c r="N4080" i="1"/>
  <c r="N1432" i="1"/>
  <c r="N5088" i="1"/>
  <c r="N2686" i="1"/>
  <c r="N4917" i="1"/>
  <c r="N43" i="1"/>
  <c r="N435" i="1"/>
  <c r="N2132" i="1"/>
  <c r="N4153" i="1"/>
  <c r="N20" i="1"/>
  <c r="N5381" i="1"/>
  <c r="N4684" i="1"/>
  <c r="N2612" i="1"/>
  <c r="N1771" i="1"/>
  <c r="N116" i="1"/>
  <c r="N4345" i="1"/>
  <c r="N5731" i="1"/>
  <c r="N4697" i="1"/>
  <c r="N1130" i="1"/>
  <c r="N5612" i="1"/>
  <c r="N1390" i="1"/>
  <c r="N4636" i="1"/>
  <c r="N5275" i="1"/>
  <c r="N5060" i="1"/>
  <c r="N21" i="1"/>
  <c r="N3859" i="1"/>
  <c r="N3722" i="1"/>
  <c r="N3550" i="1"/>
  <c r="N1681" i="1"/>
  <c r="N4229" i="1"/>
  <c r="N1050" i="1"/>
  <c r="N2250" i="1"/>
  <c r="N665" i="1"/>
  <c r="N3935" i="1"/>
  <c r="N2090" i="1"/>
  <c r="N1774" i="1"/>
  <c r="N1538" i="1"/>
  <c r="N5165" i="1"/>
  <c r="N2057" i="1"/>
  <c r="N4387" i="1"/>
  <c r="N1586" i="1"/>
  <c r="N2332" i="1"/>
  <c r="N4915" i="1"/>
  <c r="N5523" i="1"/>
  <c r="N1937" i="1"/>
  <c r="N1961" i="1"/>
  <c r="N2397" i="1"/>
  <c r="N4970" i="1"/>
  <c r="N2954" i="1"/>
  <c r="N1633" i="1"/>
  <c r="N4290" i="1"/>
  <c r="N1227" i="1"/>
  <c r="N982" i="1"/>
  <c r="N5474" i="1"/>
  <c r="N1268" i="1"/>
  <c r="N477" i="1"/>
  <c r="N4009" i="1"/>
  <c r="N714" i="1"/>
  <c r="N3073" i="1"/>
  <c r="N3594" i="1"/>
  <c r="N3763" i="1"/>
  <c r="N5595" i="1"/>
  <c r="N1820" i="1"/>
  <c r="N3523" i="1"/>
  <c r="N4877" i="1"/>
  <c r="N526" i="1"/>
  <c r="N1822" i="1"/>
  <c r="N2996" i="1"/>
  <c r="N4300" i="1"/>
  <c r="N3317" i="1"/>
  <c r="N1798" i="1"/>
  <c r="N1970" i="1"/>
  <c r="N3379" i="1"/>
  <c r="N741" i="1"/>
  <c r="N168" i="1"/>
  <c r="N282" i="1"/>
  <c r="N5283" i="1"/>
  <c r="N5591" i="1"/>
  <c r="N2924" i="1"/>
  <c r="N2738" i="1"/>
  <c r="N2489" i="1"/>
  <c r="N5448" i="1"/>
  <c r="N2993" i="1"/>
  <c r="N5643" i="1"/>
  <c r="N569" i="1"/>
  <c r="N3354" i="1"/>
  <c r="N40" i="1"/>
  <c r="N5638" i="1"/>
  <c r="N5495" i="1"/>
  <c r="N3677" i="1"/>
  <c r="N3575" i="1"/>
  <c r="N4389" i="1"/>
  <c r="N771" i="1"/>
  <c r="N5012" i="1"/>
  <c r="N5329" i="1"/>
  <c r="N354" i="1"/>
  <c r="N1461" i="1"/>
  <c r="N2837" i="1"/>
  <c r="N1491" i="1"/>
  <c r="N5348" i="1"/>
  <c r="N5259" i="1"/>
  <c r="N5394" i="1"/>
  <c r="N4418" i="1"/>
  <c r="N4083" i="1"/>
  <c r="N1225" i="1"/>
  <c r="N5810" i="1"/>
  <c r="N3908" i="1"/>
  <c r="N3285" i="1"/>
  <c r="N1412" i="1"/>
  <c r="N281" i="1"/>
  <c r="N3115" i="1"/>
  <c r="N1720" i="1"/>
  <c r="N3338" i="1"/>
  <c r="N1653" i="1"/>
  <c r="N5182" i="1"/>
  <c r="N1127" i="1"/>
  <c r="N1200" i="1"/>
  <c r="N455" i="1"/>
  <c r="N1267" i="1"/>
  <c r="N1918" i="1"/>
  <c r="N3549" i="1"/>
  <c r="N4052" i="1"/>
  <c r="N4631" i="1"/>
  <c r="N3718" i="1"/>
  <c r="N4804" i="1"/>
  <c r="N3045" i="1"/>
  <c r="N3643" i="1"/>
  <c r="N952" i="1"/>
  <c r="N3812" i="1"/>
  <c r="N4967" i="1"/>
  <c r="N4750" i="1"/>
  <c r="N4152" i="1"/>
  <c r="N529" i="1"/>
  <c r="N1340" i="1"/>
  <c r="N2136" i="1"/>
  <c r="N4005" i="1"/>
  <c r="N3197" i="1"/>
  <c r="N3772" i="1"/>
  <c r="N4754" i="1"/>
  <c r="N3833" i="1"/>
  <c r="N5399" i="1"/>
  <c r="N1866" i="1"/>
  <c r="N4155" i="1"/>
  <c r="N2092" i="1"/>
  <c r="N4962" i="1"/>
  <c r="N720" i="1"/>
  <c r="N4634" i="1"/>
  <c r="N402" i="1"/>
  <c r="N1678" i="1"/>
  <c r="N1609" i="1"/>
  <c r="N1847" i="1"/>
  <c r="N3003" i="1"/>
  <c r="N4198" i="1"/>
  <c r="N3166" i="1"/>
  <c r="N503" i="1"/>
  <c r="N4347" i="1"/>
  <c r="N2275" i="1"/>
  <c r="N4361" i="1"/>
  <c r="N2325" i="1"/>
  <c r="N5061" i="1"/>
  <c r="N4174" i="1"/>
  <c r="N2230" i="1"/>
  <c r="N1193" i="1"/>
  <c r="N1534" i="1"/>
  <c r="N4942" i="1"/>
  <c r="N5754" i="1"/>
  <c r="N4481" i="1"/>
  <c r="N3046" i="1"/>
  <c r="N648" i="1"/>
  <c r="N3268" i="1"/>
  <c r="N4627" i="1"/>
  <c r="N766" i="1"/>
  <c r="N857" i="1"/>
  <c r="N4438" i="1"/>
  <c r="N889" i="1"/>
  <c r="N2472" i="1"/>
  <c r="N844" i="1"/>
  <c r="N5212" i="1"/>
  <c r="N2329" i="1"/>
  <c r="N3074" i="1"/>
  <c r="N2760" i="1"/>
  <c r="N5020" i="1"/>
  <c r="N2730" i="1"/>
  <c r="N762" i="1"/>
  <c r="N819" i="1"/>
  <c r="N5395" i="1"/>
  <c r="N5833" i="1"/>
  <c r="N5807" i="1"/>
  <c r="N2443" i="1"/>
  <c r="N598" i="1"/>
  <c r="N3866" i="1"/>
  <c r="N1273" i="1"/>
  <c r="N5757" i="1"/>
  <c r="N1420" i="1"/>
  <c r="N478" i="1"/>
  <c r="N959" i="1"/>
  <c r="N2233" i="1"/>
  <c r="N2826" i="1"/>
  <c r="N1924" i="1"/>
  <c r="N2905" i="1"/>
  <c r="N544" i="1"/>
  <c r="N814" i="1"/>
  <c r="N3580" i="1"/>
  <c r="N1104" i="1"/>
  <c r="N2735" i="1"/>
  <c r="N4893" i="1"/>
  <c r="N3234" i="1"/>
  <c r="N4817" i="1"/>
  <c r="N4587" i="1"/>
  <c r="N434" i="1"/>
  <c r="N364" i="1"/>
  <c r="N964" i="1"/>
  <c r="N1079" i="1"/>
  <c r="N5235" i="1"/>
  <c r="N3533" i="1"/>
  <c r="N5537" i="1"/>
  <c r="N2683" i="1"/>
  <c r="N5087" i="1"/>
  <c r="N1051" i="1"/>
  <c r="N1338" i="1"/>
  <c r="N4579" i="1"/>
  <c r="N3980" i="1"/>
  <c r="N194" i="1"/>
  <c r="N1673" i="1"/>
  <c r="N3983" i="1"/>
  <c r="N2110" i="1"/>
  <c r="N3043" i="1"/>
  <c r="N3120" i="1"/>
  <c r="N1775" i="1"/>
  <c r="N4895" i="1"/>
  <c r="N816" i="1"/>
  <c r="N1650" i="1"/>
  <c r="N4366" i="1"/>
  <c r="N4675" i="1"/>
  <c r="N2565" i="1"/>
  <c r="N268" i="1"/>
  <c r="N760" i="1"/>
  <c r="N744" i="1"/>
  <c r="N1818" i="1"/>
  <c r="N933" i="1"/>
  <c r="N4798" i="1"/>
  <c r="N1489" i="1"/>
  <c r="N47" i="1"/>
  <c r="N2331" i="1"/>
  <c r="N1073" i="1"/>
  <c r="N5827" i="1"/>
  <c r="N3475" i="1"/>
  <c r="N1779" i="1"/>
  <c r="N1897" i="1"/>
  <c r="N1029" i="1"/>
  <c r="N304" i="1"/>
  <c r="N3595" i="1"/>
  <c r="N787" i="1"/>
  <c r="N2276" i="1"/>
  <c r="N2706" i="1"/>
  <c r="N5586" i="1"/>
  <c r="N3743" i="1"/>
  <c r="N4488" i="1"/>
  <c r="N1387" i="1"/>
  <c r="N4651" i="1"/>
  <c r="N5803" i="1"/>
  <c r="N217" i="1"/>
  <c r="N3981" i="1"/>
  <c r="N3869" i="1"/>
  <c r="N2637" i="1"/>
  <c r="N2304" i="1"/>
  <c r="N1442" i="1"/>
  <c r="N915" i="1"/>
  <c r="N2764" i="1"/>
  <c r="N1510" i="1"/>
  <c r="N5014" i="1"/>
  <c r="N1443" i="1"/>
  <c r="N1941" i="1"/>
  <c r="N124" i="1"/>
  <c r="N1966" i="1"/>
  <c r="N1552" i="1"/>
  <c r="N1900" i="1"/>
  <c r="N1625" i="1"/>
  <c r="N3617" i="1"/>
  <c r="N1528" i="1"/>
  <c r="N1441" i="1"/>
  <c r="N2401" i="1"/>
  <c r="N3906" i="1"/>
  <c r="N4074" i="1"/>
  <c r="N676" i="1"/>
  <c r="N698" i="1"/>
  <c r="N2713" i="1"/>
  <c r="N2692" i="1"/>
  <c r="N4027" i="1"/>
  <c r="N2788" i="1"/>
  <c r="N1032" i="1"/>
  <c r="N2252" i="1"/>
  <c r="N3767" i="1"/>
  <c r="N4313" i="1"/>
  <c r="N163" i="1"/>
  <c r="N3531" i="1"/>
  <c r="N2786" i="1"/>
  <c r="N2321" i="1"/>
  <c r="N1658" i="1"/>
  <c r="N162" i="1"/>
  <c r="N1005" i="1"/>
  <c r="N4653" i="1"/>
  <c r="N2543" i="1"/>
  <c r="N4251" i="1"/>
  <c r="N2633" i="1"/>
  <c r="N4180" i="1"/>
  <c r="N209" i="1"/>
  <c r="N5469" i="1"/>
  <c r="N2330" i="1"/>
  <c r="N555" i="1"/>
  <c r="N4003" i="1"/>
  <c r="N5422" i="1"/>
  <c r="N3094" i="1"/>
  <c r="N937" i="1"/>
  <c r="N5019" i="1"/>
  <c r="N2998" i="1"/>
  <c r="N5324" i="1"/>
  <c r="N448" i="1"/>
  <c r="N2734" i="1"/>
  <c r="N2227" i="1"/>
  <c r="N1155" i="1"/>
  <c r="N4145" i="1"/>
  <c r="N1730" i="1"/>
  <c r="N743" i="1"/>
  <c r="N1701" i="1"/>
  <c r="N4172" i="1"/>
  <c r="N2032" i="1"/>
  <c r="N5835" i="1"/>
  <c r="N4057" i="1"/>
  <c r="N2008" i="1"/>
  <c r="N4271" i="1"/>
  <c r="N5709" i="1"/>
  <c r="N1792" i="1"/>
  <c r="N4036" i="1"/>
  <c r="N144" i="1"/>
  <c r="N1540" i="1"/>
  <c r="N2139" i="1"/>
  <c r="N1778" i="1"/>
  <c r="N4891" i="1"/>
  <c r="N2979" i="1"/>
  <c r="N4391" i="1"/>
  <c r="N26" i="1"/>
  <c r="N2930" i="1"/>
  <c r="N5524" i="1"/>
  <c r="N1384" i="1"/>
  <c r="N5764" i="1"/>
  <c r="N3307" i="1"/>
  <c r="N4843" i="1"/>
  <c r="N3244" i="1"/>
  <c r="N2232" i="1"/>
  <c r="N352" i="1"/>
  <c r="N4203" i="1"/>
  <c r="N3233" i="1"/>
  <c r="N1007" i="1"/>
  <c r="N695" i="1"/>
  <c r="N1055" i="1"/>
  <c r="N5011" i="1"/>
  <c r="N4588" i="1"/>
  <c r="N570" i="1"/>
  <c r="N2039" i="1"/>
  <c r="N5596" i="1"/>
  <c r="N882" i="1"/>
  <c r="N1414" i="1"/>
  <c r="N3455" i="1"/>
  <c r="N3932" i="1"/>
  <c r="N3211" i="1"/>
  <c r="N5228" i="1"/>
  <c r="N4583" i="1"/>
  <c r="N530" i="1"/>
  <c r="N484" i="1"/>
  <c r="N5442" i="1"/>
  <c r="N3596" i="1"/>
  <c r="N3484" i="1"/>
  <c r="N2858" i="1"/>
  <c r="N3891" i="1"/>
  <c r="N3909" i="1"/>
  <c r="N622" i="1"/>
  <c r="N5443" i="1"/>
  <c r="N3557" i="1"/>
  <c r="N3574" i="1"/>
  <c r="N115" i="1"/>
  <c r="N3428" i="1"/>
  <c r="N3195" i="1"/>
  <c r="N4709" i="1"/>
  <c r="N1753" i="1"/>
  <c r="N5331" i="1"/>
  <c r="N2204" i="1"/>
  <c r="N3545" i="1"/>
  <c r="N5689" i="1"/>
  <c r="N4722" i="1"/>
  <c r="N2562" i="1"/>
  <c r="N169" i="1"/>
  <c r="N4199" i="1"/>
  <c r="N3977" i="1"/>
  <c r="N3029" i="1"/>
  <c r="N5714" i="1"/>
  <c r="N4892" i="1"/>
  <c r="N1817" i="1"/>
  <c r="N1846" i="1"/>
  <c r="N880" i="1"/>
  <c r="N3405" i="1"/>
  <c r="N1948" i="1"/>
  <c r="N1990" i="1"/>
  <c r="N3786" i="1"/>
  <c r="N4678" i="1"/>
  <c r="N3789" i="1"/>
  <c r="N5825" i="1"/>
  <c r="N4507" i="1"/>
  <c r="N3053" i="1"/>
  <c r="N2068" i="1"/>
  <c r="N1288" i="1"/>
  <c r="N4727" i="1"/>
  <c r="N2690" i="1"/>
  <c r="N834" i="1"/>
  <c r="N1648" i="1"/>
  <c r="N1651" i="1"/>
  <c r="N3882" i="1"/>
  <c r="N2501" i="1"/>
  <c r="N5663" i="1"/>
  <c r="N2251" i="1"/>
  <c r="N5831" i="1"/>
  <c r="N1794" i="1"/>
  <c r="N2040" i="1"/>
  <c r="N4628" i="1"/>
  <c r="N2282" i="1"/>
  <c r="N5043" i="1"/>
  <c r="N3143" i="1"/>
  <c r="N2812" i="1"/>
  <c r="N3628" i="1"/>
  <c r="N5284" i="1"/>
  <c r="N737" i="1"/>
  <c r="N4104" i="1"/>
  <c r="N1151" i="1"/>
  <c r="N2754" i="1"/>
  <c r="N2260" i="1"/>
  <c r="N3890" i="1"/>
  <c r="N263" i="1"/>
  <c r="N4803" i="1"/>
  <c r="N3715" i="1"/>
  <c r="N2473" i="1"/>
  <c r="N1845" i="1"/>
  <c r="N3555" i="1"/>
  <c r="N4635" i="1"/>
  <c r="N3690" i="1"/>
  <c r="N3795" i="1"/>
  <c r="N1580" i="1"/>
  <c r="N3122" i="1"/>
  <c r="N2807" i="1"/>
  <c r="N5786" i="1"/>
  <c r="N2106" i="1"/>
  <c r="N2710" i="1"/>
  <c r="N2347" i="1"/>
  <c r="N4029" i="1"/>
  <c r="N5250" i="1"/>
  <c r="N4852" i="1"/>
  <c r="N2973" i="1"/>
  <c r="N3190" i="1"/>
  <c r="N1150" i="1"/>
  <c r="N1660" i="1"/>
  <c r="N3165" i="1"/>
  <c r="N3956" i="1"/>
  <c r="N3382" i="1"/>
  <c r="N66" i="1"/>
  <c r="N3619" i="1"/>
  <c r="N3816" i="1"/>
  <c r="N3931" i="1"/>
  <c r="N1468" i="1"/>
  <c r="N3313" i="1"/>
  <c r="N2231" i="1"/>
  <c r="N1146" i="1"/>
  <c r="N2904" i="1"/>
  <c r="N2620" i="1"/>
  <c r="N1003" i="1"/>
  <c r="N4219" i="1"/>
  <c r="N5371" i="1"/>
  <c r="N3116" i="1"/>
  <c r="N4297" i="1"/>
  <c r="N2492" i="1"/>
  <c r="N2324" i="1"/>
  <c r="N1799" i="1"/>
  <c r="N186" i="1"/>
  <c r="N4899" i="1"/>
  <c r="N5278" i="1"/>
  <c r="N2305" i="1"/>
  <c r="N5787" i="1"/>
  <c r="N2060" i="1"/>
  <c r="N5542" i="1"/>
  <c r="N1776" i="1"/>
  <c r="N3576" i="1"/>
  <c r="N3858" i="1"/>
  <c r="N2109" i="1"/>
  <c r="N2155" i="1"/>
  <c r="N1226" i="1"/>
  <c r="N2661" i="1"/>
  <c r="N1172" i="1"/>
  <c r="N577" i="1"/>
  <c r="N3186" i="1"/>
  <c r="N1466" i="1"/>
  <c r="N2957" i="1"/>
  <c r="N458" i="1"/>
  <c r="N450" i="1"/>
  <c r="N5642" i="1"/>
  <c r="N5778" i="1"/>
  <c r="N3363" i="1"/>
  <c r="N2852" i="1"/>
  <c r="N4943" i="1"/>
  <c r="N3333" i="1"/>
  <c r="N939" i="1"/>
  <c r="N5139" i="1"/>
  <c r="N4533" i="1"/>
  <c r="N2056" i="1"/>
  <c r="N865" i="1"/>
  <c r="N3578" i="1"/>
  <c r="N4849" i="1"/>
  <c r="N2182" i="1"/>
  <c r="N930" i="1"/>
  <c r="N2952" i="1"/>
  <c r="N1026" i="1"/>
  <c r="N2879" i="1"/>
  <c r="N1439" i="1"/>
  <c r="N1057" i="1"/>
  <c r="N3719" i="1"/>
  <c r="N358" i="1"/>
  <c r="N4439" i="1"/>
  <c r="N4681" i="1"/>
  <c r="N3953" i="1"/>
  <c r="N5465" i="1"/>
  <c r="N980" i="1"/>
  <c r="N3839" i="1"/>
  <c r="N4630" i="1"/>
  <c r="N208" i="1"/>
  <c r="N2831" i="1"/>
  <c r="N4171" i="1"/>
  <c r="N2618" i="1"/>
  <c r="N4868" i="1"/>
  <c r="N859" i="1"/>
  <c r="N2518" i="1"/>
  <c r="N1724" i="1"/>
  <c r="N4393" i="1"/>
  <c r="N68" i="1"/>
  <c r="N1797" i="1"/>
  <c r="N5716" i="1"/>
  <c r="N5739" i="1"/>
  <c r="N189" i="1"/>
  <c r="N5258" i="1"/>
  <c r="N1796" i="1"/>
  <c r="N4890" i="1"/>
  <c r="N3017" i="1"/>
  <c r="N2549" i="1"/>
  <c r="N147" i="1"/>
  <c r="N1291" i="1"/>
  <c r="N3692" i="1"/>
  <c r="N3051" i="1"/>
  <c r="N4012" i="1"/>
  <c r="N1894" i="1"/>
  <c r="N1240" i="1"/>
  <c r="N112" i="1"/>
  <c r="N4100" i="1"/>
  <c r="N4464" i="1"/>
  <c r="N3071" i="1"/>
  <c r="N2809" i="1"/>
  <c r="N22" i="1"/>
  <c r="N172" i="1"/>
  <c r="N620" i="1"/>
  <c r="N4266" i="1"/>
  <c r="N2189" i="1"/>
  <c r="N4323" i="1"/>
  <c r="N2762" i="1"/>
  <c r="N3644" i="1"/>
  <c r="N4731" i="1"/>
  <c r="N4177" i="1"/>
  <c r="N5518" i="1"/>
  <c r="N1121" i="1"/>
  <c r="N4364" i="1"/>
  <c r="N4581" i="1"/>
  <c r="N618" i="1"/>
  <c r="N215" i="1"/>
  <c r="N3024" i="1"/>
  <c r="N3401" i="1"/>
  <c r="N908" i="1"/>
  <c r="N5515" i="1"/>
  <c r="N3358" i="1"/>
  <c r="N363" i="1"/>
  <c r="N3717" i="1"/>
  <c r="N498" i="1"/>
  <c r="N4201" i="1"/>
  <c r="N307" i="1"/>
  <c r="N696" i="1"/>
  <c r="N3934" i="1"/>
  <c r="N4247" i="1"/>
  <c r="N5611" i="1"/>
  <c r="N4701" i="1"/>
  <c r="N1148" i="1"/>
  <c r="N329" i="1"/>
  <c r="N4181" i="1"/>
  <c r="N2015" i="1"/>
  <c r="N4035" i="1"/>
  <c r="N5569" i="1"/>
  <c r="N4292" i="1"/>
  <c r="N3915" i="1"/>
  <c r="N4874" i="1"/>
  <c r="N4755" i="1"/>
  <c r="N3004" i="1"/>
  <c r="N2922" i="1"/>
  <c r="N5423" i="1"/>
  <c r="N361" i="1"/>
  <c r="N3124" i="1"/>
  <c r="N3701" i="1"/>
  <c r="N4577" i="1"/>
  <c r="N2225" i="1"/>
  <c r="N1080" i="1"/>
  <c r="N3069" i="1"/>
  <c r="N3457" i="1"/>
  <c r="N3962" i="1"/>
  <c r="N1555" i="1"/>
  <c r="N1436" i="1"/>
  <c r="N789" i="1"/>
  <c r="N1899" i="1"/>
  <c r="N5661" i="1"/>
  <c r="N46" i="1"/>
  <c r="N4829" i="1"/>
  <c r="N5667" i="1"/>
  <c r="N1512" i="1"/>
  <c r="N3911" i="1"/>
  <c r="N820" i="1"/>
  <c r="N652" i="1"/>
  <c r="N3460" i="1"/>
  <c r="N1914" i="1"/>
  <c r="N4055" i="1"/>
  <c r="N3676" i="1"/>
  <c r="N4894" i="1"/>
  <c r="N4649" i="1"/>
  <c r="N4272" i="1"/>
  <c r="N2780" i="1"/>
  <c r="N4988" i="1"/>
  <c r="N5788" i="1"/>
  <c r="N4828" i="1"/>
  <c r="N603" i="1"/>
  <c r="N5254" i="1"/>
  <c r="N2065" i="1"/>
  <c r="N4940" i="1"/>
  <c r="N2085" i="1"/>
  <c r="N4698" i="1"/>
  <c r="N5640" i="1"/>
  <c r="N3000" i="1"/>
  <c r="N5155" i="1"/>
  <c r="N5592" i="1"/>
  <c r="N96" i="1"/>
  <c r="N121" i="1"/>
  <c r="N2781" i="1"/>
  <c r="N4802" i="1"/>
  <c r="N2499" i="1"/>
  <c r="N1940" i="1"/>
  <c r="N4752" i="1"/>
  <c r="N428" i="1"/>
  <c r="N863" i="1"/>
  <c r="N936" i="1"/>
  <c r="N3961" i="1"/>
  <c r="N4484" i="1"/>
  <c r="N886" i="1"/>
  <c r="N1012" i="1"/>
  <c r="N1435" i="1"/>
  <c r="N238" i="1"/>
  <c r="N4079" i="1"/>
  <c r="N1607" i="1"/>
  <c r="N4610" i="1"/>
  <c r="N2495" i="1"/>
  <c r="N1893" i="1"/>
  <c r="N815" i="1"/>
  <c r="N979" i="1"/>
  <c r="N4367" i="1"/>
  <c r="N356" i="1"/>
  <c r="N931" i="1"/>
  <c r="N5717" i="1"/>
  <c r="N3407" i="1"/>
  <c r="N2042" i="1"/>
  <c r="N1561" i="1"/>
  <c r="N2977" i="1"/>
  <c r="N4193" i="1"/>
  <c r="N2881" i="1"/>
  <c r="N881" i="1"/>
  <c r="N616" i="1"/>
  <c r="N4147" i="1"/>
  <c r="N5784" i="1"/>
  <c r="N4108" i="1"/>
  <c r="N862" i="1"/>
  <c r="N2378" i="1"/>
  <c r="N3910" i="1"/>
  <c r="N716" i="1"/>
  <c r="N1293" i="1"/>
  <c r="N571" i="1"/>
  <c r="N3581" i="1"/>
  <c r="N1793" i="1"/>
  <c r="N3092" i="1"/>
  <c r="N888" i="1"/>
  <c r="N2490" i="1"/>
  <c r="N1122" i="1"/>
  <c r="N3245" i="1"/>
  <c r="N5010" i="1"/>
  <c r="N2614" i="1"/>
  <c r="N4253" i="1"/>
  <c r="N212" i="1"/>
  <c r="N2326" i="1"/>
  <c r="N3281" i="1"/>
  <c r="N692" i="1"/>
  <c r="N5832" i="1"/>
  <c r="N786" i="1"/>
  <c r="N1508" i="1"/>
  <c r="N5369" i="1"/>
  <c r="N2803" i="1"/>
  <c r="N4607" i="1"/>
  <c r="N2877" i="1"/>
  <c r="N1221" i="1"/>
  <c r="N842" i="1"/>
  <c r="N2899" i="1"/>
  <c r="N3645" i="1"/>
  <c r="N3141" i="1"/>
  <c r="N3284" i="1"/>
  <c r="N267" i="1"/>
  <c r="N2427" i="1"/>
  <c r="N3145" i="1"/>
  <c r="N4386" i="1"/>
  <c r="N1336" i="1"/>
  <c r="N4246" i="1"/>
  <c r="N4417" i="1"/>
  <c r="N958" i="1"/>
  <c r="N2115" i="1"/>
  <c r="N91" i="1"/>
  <c r="N5234" i="1"/>
  <c r="N4700" i="1"/>
  <c r="N1705" i="1"/>
  <c r="N1128" i="1"/>
  <c r="N4204" i="1"/>
  <c r="N193" i="1"/>
  <c r="N2645" i="1"/>
  <c r="N4223" i="1"/>
  <c r="N3383" i="1"/>
  <c r="N292" i="1"/>
  <c r="N2020" i="1"/>
  <c r="N1816" i="1"/>
  <c r="N2711" i="1"/>
  <c r="N2828" i="1"/>
  <c r="N910" i="1"/>
  <c r="N3498" i="1"/>
  <c r="N670" i="1"/>
  <c r="N4872" i="1"/>
  <c r="N1097" i="1"/>
  <c r="N1772" i="1"/>
  <c r="N1264" i="1"/>
  <c r="N1535" i="1"/>
  <c r="N1554" i="1"/>
  <c r="N76" i="1"/>
  <c r="N4338" i="1"/>
  <c r="N623" i="1"/>
  <c r="N138" i="1"/>
  <c r="N2758" i="1"/>
  <c r="N3456" i="1"/>
  <c r="N2685" i="1"/>
  <c r="N4315" i="1"/>
  <c r="N290" i="1"/>
  <c r="N954" i="1"/>
  <c r="N140" i="1"/>
  <c r="N1418" i="1"/>
  <c r="N3481" i="1"/>
  <c r="N5063" i="1"/>
  <c r="N2354" i="1"/>
  <c r="N4919" i="1"/>
  <c r="N4707" i="1"/>
  <c r="N1747" i="1"/>
  <c r="N411" i="1"/>
  <c r="N4320" i="1"/>
  <c r="N3378" i="1"/>
  <c r="N2011" i="1"/>
  <c r="N1504" i="1"/>
  <c r="N4419" i="1"/>
  <c r="N5501" i="1"/>
  <c r="N3820" i="1"/>
  <c r="N5231" i="1"/>
  <c r="N3028" i="1"/>
  <c r="N1180" i="1"/>
  <c r="N1963" i="1"/>
  <c r="N960" i="1"/>
  <c r="N5130" i="1"/>
  <c r="N5710" i="1"/>
  <c r="N1289" i="1"/>
  <c r="N3864" i="1"/>
  <c r="N3989" i="1"/>
  <c r="N1100" i="1"/>
  <c r="N5137" i="1"/>
  <c r="N2573" i="1"/>
  <c r="N196" i="1"/>
  <c r="N5084" i="1"/>
  <c r="N315" i="1"/>
  <c r="N5477" i="1"/>
  <c r="N5251" i="1"/>
  <c r="N1603" i="1"/>
  <c r="N4197" i="1"/>
  <c r="N3140" i="1"/>
  <c r="N160" i="1"/>
  <c r="N4655" i="1"/>
  <c r="N5321" i="1"/>
  <c r="N860" i="1"/>
  <c r="N5566" i="1"/>
  <c r="N3431" i="1"/>
  <c r="N4606" i="1"/>
  <c r="N2444" i="1"/>
  <c r="N3022" i="1"/>
  <c r="N3213" i="1"/>
  <c r="N5327" i="1"/>
  <c r="N3072" i="1"/>
  <c r="N4586" i="1"/>
  <c r="N2971" i="1"/>
  <c r="N4557" i="1"/>
  <c r="N3125" i="1"/>
  <c r="N2853" i="1"/>
  <c r="N5111" i="1"/>
  <c r="N2850" i="1"/>
  <c r="N579" i="1"/>
  <c r="N5738" i="1"/>
  <c r="N4944" i="1"/>
  <c r="N4372" i="1"/>
  <c r="N5758" i="1"/>
  <c r="N792" i="1"/>
  <c r="N4876" i="1"/>
  <c r="N5451" i="1"/>
  <c r="N3547" i="1"/>
  <c r="N1985" i="1"/>
  <c r="N3843" i="1"/>
  <c r="N376" i="1"/>
  <c r="N3674" i="1"/>
  <c r="N1600" i="1"/>
  <c r="N4178" i="1"/>
  <c r="N5514" i="1"/>
  <c r="N2491" i="1"/>
  <c r="N5069" i="1"/>
  <c r="N3458" i="1"/>
  <c r="N27" i="1"/>
  <c r="N403" i="1"/>
  <c r="N1840" i="1"/>
  <c r="N5226" i="1"/>
  <c r="N1700" i="1"/>
  <c r="N3435" i="1"/>
  <c r="N809" i="1"/>
  <c r="N5573" i="1"/>
  <c r="N2497" i="1"/>
  <c r="N3524" i="1"/>
  <c r="N3497" i="1"/>
  <c r="N1197" i="1"/>
  <c r="N2160" i="1"/>
  <c r="N1756" i="1"/>
  <c r="N5227" i="1"/>
  <c r="N5091" i="1"/>
  <c r="N2524" i="1"/>
  <c r="N1177" i="1"/>
  <c r="N1632" i="1"/>
  <c r="N1583" i="1"/>
  <c r="N5345" i="1"/>
  <c r="N525" i="1"/>
  <c r="N3218" i="1"/>
  <c r="N4324" i="1"/>
  <c r="N99" i="1"/>
  <c r="N381" i="1"/>
  <c r="N746" i="1"/>
  <c r="N5570" i="1"/>
  <c r="N2805" i="1"/>
  <c r="N553" i="1"/>
  <c r="N767" i="1"/>
  <c r="N2134" i="1"/>
  <c r="N1011" i="1"/>
  <c r="N2975" i="1"/>
  <c r="N5520" i="1"/>
  <c r="N1036" i="1"/>
  <c r="N5179" i="1"/>
  <c r="N1129" i="1"/>
  <c r="N4511" i="1"/>
  <c r="N384" i="1"/>
  <c r="N4510" i="1"/>
  <c r="N1531" i="1"/>
  <c r="N1728" i="1"/>
  <c r="N576" i="1"/>
  <c r="N1972" i="1"/>
  <c r="N1703" i="1"/>
  <c r="N2038" i="1"/>
  <c r="N2523" i="1"/>
  <c r="N5090" i="1"/>
  <c r="N1000" i="1"/>
  <c r="N1697" i="1"/>
  <c r="N5493" i="1"/>
  <c r="N3479" i="1"/>
  <c r="N5140" i="1"/>
  <c r="N4459" i="1"/>
  <c r="N1456" i="1"/>
  <c r="N4625" i="1"/>
  <c r="N357" i="1"/>
  <c r="N2855" i="1"/>
  <c r="N3987" i="1"/>
  <c r="N1923" i="1"/>
  <c r="N1274" i="1"/>
  <c r="N2399" i="1"/>
  <c r="N4923" i="1"/>
  <c r="N4652" i="1"/>
  <c r="N3242" i="1"/>
  <c r="N3334" i="1"/>
  <c r="N4749" i="1"/>
  <c r="N3670" i="1"/>
  <c r="N2729" i="1"/>
  <c r="N3361" i="1"/>
  <c r="N449" i="1"/>
  <c r="N4461" i="1"/>
  <c r="N2659" i="1"/>
  <c r="N4702" i="1"/>
  <c r="N1649" i="1"/>
  <c r="N5593" i="1"/>
  <c r="N3289" i="1"/>
  <c r="N5425" i="1"/>
  <c r="N5730" i="1"/>
  <c r="N1459" i="1"/>
  <c r="N1655" i="1"/>
  <c r="N2801" i="1"/>
  <c r="N689" i="1"/>
  <c r="N3020" i="1"/>
  <c r="N4002" i="1"/>
  <c r="N2107" i="1"/>
  <c r="N1033" i="1"/>
  <c r="N3723" i="1"/>
  <c r="N1298" i="1"/>
  <c r="N1270" i="1"/>
  <c r="N2687" i="1"/>
  <c r="N1099" i="1"/>
  <c r="N1537" i="1"/>
  <c r="N2563" i="1"/>
  <c r="N4129" i="1"/>
  <c r="N3337" i="1"/>
  <c r="N2181" i="1"/>
  <c r="N5561" i="1"/>
  <c r="N3689" i="1"/>
  <c r="N287" i="1"/>
  <c r="N3459" i="1"/>
  <c r="N2091" i="1"/>
  <c r="N4176" i="1"/>
  <c r="N1169" i="1"/>
  <c r="N4099" i="1"/>
  <c r="N1001" i="1"/>
  <c r="N2836" i="1"/>
  <c r="N4316" i="1"/>
  <c r="N2404" i="1"/>
  <c r="N4771" i="1"/>
  <c r="N3171" i="1"/>
  <c r="N818" i="1"/>
  <c r="N3957" i="1"/>
  <c r="N146" i="1"/>
  <c r="N3912" i="1"/>
  <c r="N621" i="1"/>
  <c r="N1031" i="1"/>
  <c r="N4824" i="1"/>
  <c r="N545" i="1"/>
  <c r="N216" i="1"/>
  <c r="N4268" i="1"/>
  <c r="N5013" i="1"/>
  <c r="N4370" i="1"/>
  <c r="N5328" i="1"/>
  <c r="N2081" i="1"/>
  <c r="N2083" i="1"/>
  <c r="N5492" i="1"/>
  <c r="N353" i="1"/>
  <c r="N5472" i="1"/>
  <c r="N2346" i="1"/>
  <c r="N262" i="1"/>
  <c r="N5447" i="1"/>
  <c r="N5256" i="1"/>
  <c r="N644" i="1"/>
  <c r="N3267" i="1"/>
  <c r="N5403" i="1"/>
  <c r="N3792" i="1"/>
  <c r="N1312" i="1"/>
  <c r="N907" i="1"/>
  <c r="N3386" i="1"/>
  <c r="N3693" i="1"/>
  <c r="N1034" i="1"/>
  <c r="N3649" i="1"/>
  <c r="N3161" i="1"/>
  <c r="N2210" i="1"/>
  <c r="N377" i="1"/>
  <c r="N5252" i="1"/>
  <c r="N556" i="1"/>
  <c r="N4293" i="1"/>
  <c r="N3913" i="1"/>
  <c r="N355" i="1"/>
  <c r="N5354" i="1"/>
  <c r="N5350" i="1"/>
  <c r="N2950" i="1"/>
  <c r="N1768" i="1"/>
  <c r="N1132" i="1"/>
  <c r="N3196" i="1"/>
  <c r="N5308" i="1"/>
  <c r="N506" i="1"/>
  <c r="N4964" i="1"/>
  <c r="N311" i="1"/>
  <c r="N1852" i="1"/>
  <c r="N3389" i="1"/>
  <c r="N1921" i="1"/>
  <c r="N2114" i="1"/>
  <c r="N5041" i="1"/>
  <c r="N2525" i="1"/>
  <c r="N2041" i="1"/>
  <c r="N1578" i="1"/>
  <c r="N4660" i="1"/>
  <c r="N5685" i="1"/>
  <c r="N4677" i="1"/>
  <c r="N1868" i="1"/>
  <c r="N4221" i="1"/>
  <c r="N5737" i="1"/>
  <c r="N3841" i="1"/>
  <c r="N1562" i="1"/>
  <c r="N1849" i="1"/>
  <c r="N2787" i="1"/>
  <c r="N1942" i="1"/>
  <c r="N2019" i="1"/>
  <c r="N2932" i="1"/>
  <c r="N5213" i="1"/>
  <c r="N1490" i="1"/>
  <c r="N3749" i="1"/>
  <c r="N3506" i="1"/>
  <c r="N4793" i="1"/>
  <c r="N4534" i="1"/>
  <c r="N3740" i="1"/>
  <c r="N3353" i="1"/>
  <c r="N1395" i="1"/>
  <c r="N1203" i="1"/>
  <c r="N4973" i="1"/>
  <c r="N4585" i="1"/>
  <c r="N2949" i="1"/>
  <c r="N257" i="1"/>
  <c r="N1265" i="1"/>
  <c r="N2381" i="1"/>
  <c r="N1168" i="1"/>
  <c r="N628" i="1"/>
  <c r="N122" i="1"/>
  <c r="N4075" i="1"/>
  <c r="N578" i="1"/>
  <c r="N2493" i="1"/>
  <c r="N5446" i="1"/>
  <c r="N2513" i="1"/>
  <c r="N2082" i="1"/>
  <c r="N4276" i="1"/>
  <c r="N3865" i="1"/>
  <c r="N1630" i="1"/>
  <c r="N742" i="1"/>
  <c r="N5782" i="1"/>
  <c r="N1194" i="1"/>
  <c r="N3221" i="1"/>
  <c r="N4397" i="1"/>
  <c r="N763" i="1"/>
  <c r="N3988" i="1"/>
  <c r="N2203" i="1"/>
  <c r="N1247" i="1"/>
  <c r="N2541" i="1"/>
  <c r="N3147" i="1"/>
  <c r="N795" i="1"/>
  <c r="N724" i="1"/>
  <c r="N1819" i="1"/>
  <c r="N3838" i="1"/>
  <c r="N4007" i="1"/>
  <c r="N868" i="1"/>
  <c r="N649" i="1"/>
  <c r="N4925" i="1"/>
  <c r="N2953" i="1"/>
  <c r="N1871" i="1"/>
  <c r="N2999" i="1"/>
  <c r="N715" i="1"/>
  <c r="N4298" i="1"/>
  <c r="N552" i="1"/>
  <c r="N5134" i="1"/>
  <c r="N1217" i="1"/>
  <c r="N1295" i="1"/>
  <c r="N3266" i="1"/>
  <c r="N5565" i="1"/>
  <c r="N3697" i="1"/>
  <c r="N934" i="1"/>
  <c r="N3193" i="1"/>
  <c r="N4531" i="1"/>
  <c r="N427" i="1"/>
  <c r="N5396" i="1"/>
  <c r="N5713" i="1"/>
  <c r="N4054" i="1"/>
  <c r="N4435" i="1"/>
  <c r="N2681" i="1"/>
  <c r="N1576" i="1"/>
  <c r="N5114" i="1"/>
  <c r="N1171" i="1"/>
  <c r="N2013" i="1"/>
  <c r="N5545" i="1"/>
  <c r="N2211" i="1"/>
  <c r="N4602" i="1"/>
  <c r="N5373" i="1"/>
  <c r="N243" i="1"/>
  <c r="N1823" i="1"/>
  <c r="N856" i="1"/>
  <c r="N1483" i="1"/>
  <c r="N5811" i="1"/>
  <c r="N239" i="1"/>
  <c r="N5688" i="1"/>
  <c r="N5009" i="1"/>
  <c r="N482" i="1"/>
  <c r="N1224" i="1"/>
  <c r="N1252" i="1"/>
  <c r="N4457" i="1"/>
  <c r="N1780" i="1"/>
  <c r="N785" i="1"/>
  <c r="N2785" i="1"/>
  <c r="N3282" i="1"/>
  <c r="N1777" i="1"/>
  <c r="N840" i="1"/>
  <c r="N4493" i="1"/>
  <c r="N5615" i="1"/>
  <c r="N4632" i="1"/>
  <c r="N4604" i="1"/>
  <c r="N3959" i="1"/>
  <c r="N4821" i="1"/>
  <c r="N1074" i="1"/>
  <c r="N1054" i="1"/>
  <c r="N4365" i="1"/>
  <c r="N691" i="1"/>
  <c r="N2997" i="1"/>
  <c r="N4867" i="1"/>
  <c r="N2355" i="1"/>
  <c r="N2956" i="1"/>
  <c r="N1704" i="1"/>
  <c r="N4390" i="1"/>
  <c r="N2394" i="1"/>
  <c r="N5082" i="1"/>
  <c r="N5033" i="1"/>
  <c r="N3291" i="1"/>
  <c r="N4612" i="1"/>
  <c r="N1946" i="1"/>
  <c r="N5083" i="1"/>
  <c r="N2017" i="1"/>
  <c r="N2763" i="1"/>
  <c r="N4131" i="1"/>
  <c r="N4938" i="1"/>
  <c r="N4413" i="1"/>
  <c r="N1945" i="1"/>
  <c r="N772" i="1"/>
  <c r="N580" i="1"/>
  <c r="N5585" i="1"/>
  <c r="N892" i="1"/>
  <c r="N768" i="1"/>
  <c r="N5659" i="1"/>
  <c r="N2116" i="1"/>
  <c r="N3621" i="1"/>
  <c r="N2064" i="1"/>
  <c r="N1825" i="1"/>
  <c r="N2277" i="1"/>
  <c r="N4369" i="1"/>
  <c r="N5620" i="1"/>
  <c r="N3742" i="1"/>
  <c r="N4061" i="1"/>
  <c r="N3748" i="1"/>
  <c r="N283" i="1"/>
  <c r="N1746" i="1"/>
  <c r="N1627" i="1"/>
  <c r="N3651" i="1"/>
  <c r="N308" i="1"/>
  <c r="N456" i="1"/>
  <c r="N3217" i="1"/>
  <c r="N4346" i="1"/>
  <c r="N1842" i="1"/>
  <c r="N906" i="1"/>
  <c r="N3381" i="1"/>
  <c r="N1389" i="1"/>
  <c r="N2202" i="1"/>
  <c r="N1865" i="1"/>
  <c r="N5207" i="1"/>
  <c r="N4274" i="1"/>
  <c r="N3768" i="1"/>
  <c r="N2517" i="1"/>
  <c r="N3505" i="1"/>
  <c r="N98" i="1"/>
  <c r="N3019" i="1"/>
  <c r="N3315" i="1"/>
  <c r="N362" i="1"/>
  <c r="N2669" i="1"/>
  <c r="N1131" i="1"/>
  <c r="N5401" i="1"/>
  <c r="N2514" i="1"/>
  <c r="N505" i="1"/>
  <c r="N5735" i="1"/>
  <c r="N2226" i="1"/>
  <c r="N185" i="1"/>
  <c r="N2105" i="1"/>
  <c r="N100" i="1"/>
  <c r="N2621" i="1"/>
  <c r="N2377" i="1"/>
  <c r="N1601" i="1"/>
  <c r="N2285" i="1"/>
  <c r="N2112" i="1"/>
  <c r="N1604" i="1"/>
  <c r="N1396" i="1"/>
  <c r="N4460" i="1"/>
  <c r="N2923" i="1"/>
  <c r="N1346" i="1"/>
  <c r="N2034" i="1"/>
  <c r="N745" i="1"/>
  <c r="N1290" i="1"/>
  <c r="N2832" i="1"/>
  <c r="N5135" i="1"/>
  <c r="N3049" i="1"/>
  <c r="N843" i="1"/>
  <c r="N2688" i="1"/>
  <c r="N2449" i="1"/>
  <c r="N4748" i="1"/>
  <c r="N1388" i="1"/>
  <c r="N425" i="1"/>
  <c r="N1101" i="1"/>
  <c r="N1608" i="1"/>
  <c r="N5805" i="1"/>
  <c r="N5741" i="1"/>
  <c r="N2885" i="1"/>
  <c r="N3700" i="1"/>
  <c r="N5397" i="1"/>
  <c r="N2857" i="1"/>
  <c r="N4541" i="1"/>
  <c r="N5276" i="1"/>
  <c r="N3695" i="1"/>
  <c r="N3359" i="1"/>
  <c r="N1218" i="1"/>
  <c r="N1316" i="1"/>
  <c r="N5372" i="1"/>
  <c r="N2931" i="1"/>
  <c r="N1276" i="1"/>
  <c r="N2658" i="1"/>
  <c r="N454" i="1"/>
  <c r="N4515" i="1"/>
  <c r="N4467" i="1"/>
  <c r="N2235" i="1"/>
  <c r="N550" i="1"/>
  <c r="N2086" i="1"/>
  <c r="N5706" i="1"/>
  <c r="N3047" i="1"/>
  <c r="N1530" i="1"/>
  <c r="N573" i="1"/>
  <c r="N2586" i="1"/>
  <c r="N4006" i="1"/>
  <c r="N2184" i="1"/>
  <c r="N2778" i="1"/>
  <c r="N4301" i="1"/>
  <c r="N117" i="1"/>
  <c r="N2130" i="1"/>
  <c r="N74" i="1"/>
  <c r="N1890" i="1"/>
  <c r="N1872" i="1"/>
  <c r="N2516" i="1"/>
  <c r="N2159" i="1"/>
  <c r="N3837" i="1"/>
  <c r="N1795" i="1"/>
  <c r="N4004" i="1"/>
  <c r="N4411" i="1"/>
  <c r="N5380" i="1"/>
  <c r="N3432" i="1"/>
  <c r="N2161" i="1"/>
  <c r="N1462" i="1"/>
  <c r="N1634" i="1"/>
  <c r="N1077" i="1"/>
  <c r="N1708" i="1"/>
  <c r="N3821" i="1"/>
  <c r="N1339" i="1"/>
  <c r="N479" i="1"/>
  <c r="N5274" i="1"/>
  <c r="N5301" i="1"/>
  <c r="N642" i="1"/>
  <c r="N2662" i="1"/>
  <c r="N2061" i="1"/>
  <c r="N4972" i="1"/>
  <c r="N5203" i="1"/>
  <c r="N2180" i="1"/>
  <c r="N3189" i="1"/>
  <c r="N3503" i="1"/>
  <c r="N3819" i="1"/>
  <c r="N1659" i="1"/>
  <c r="N4914" i="1"/>
  <c r="N424" i="1"/>
  <c r="N3842" i="1"/>
  <c r="N264" i="1"/>
  <c r="N1891" i="1"/>
  <c r="N650" i="1"/>
  <c r="N2084" i="1"/>
  <c r="N2830" i="1"/>
  <c r="N4753" i="1"/>
  <c r="N2446" i="1"/>
  <c r="N4420" i="1"/>
  <c r="N5178" i="1"/>
  <c r="N3916" i="1"/>
  <c r="N961" i="1"/>
  <c r="N1076" i="1"/>
  <c r="N2300" i="1"/>
  <c r="N1444" i="1"/>
  <c r="N5188" i="1"/>
  <c r="N5452" i="1"/>
  <c r="N3005" i="1"/>
  <c r="N2187" i="1"/>
  <c r="N237" i="1"/>
  <c r="N2471" i="1"/>
  <c r="N2356" i="1"/>
  <c r="N866" i="1"/>
  <c r="N2131" i="1"/>
  <c r="N5594" i="1"/>
  <c r="N1315" i="1"/>
  <c r="N1770" i="1"/>
  <c r="N1025" i="1"/>
  <c r="N2135" i="1"/>
  <c r="N4794" i="1"/>
  <c r="N5471" i="1"/>
  <c r="N5538" i="1"/>
  <c r="N4776" i="1"/>
  <c r="N5016" i="1"/>
  <c r="N3364" i="1"/>
  <c r="N2256" i="1"/>
  <c r="N1577" i="1"/>
  <c r="N5780" i="1"/>
  <c r="N1505" i="1"/>
  <c r="N717" i="1"/>
  <c r="N4218" i="1"/>
  <c r="N2087" i="1"/>
  <c r="N3360" i="1"/>
  <c r="N3404" i="1"/>
  <c r="N433" i="1"/>
  <c r="N1223" i="1"/>
  <c r="N165" i="1"/>
  <c r="N1314" i="1"/>
  <c r="N3671" i="1"/>
  <c r="N167" i="1"/>
  <c r="N2281" i="1"/>
  <c r="N1149" i="1"/>
  <c r="N3618" i="1"/>
  <c r="N4421" i="1"/>
  <c r="N236" i="1"/>
  <c r="N5206" i="1"/>
  <c r="N2540" i="1"/>
  <c r="N4076" i="1"/>
  <c r="N5802" i="1"/>
  <c r="N2789" i="1"/>
  <c r="N5036" i="1"/>
  <c r="N3746" i="1"/>
  <c r="N1680" i="1"/>
  <c r="N3332" i="1"/>
  <c r="N747" i="1"/>
  <c r="N2468" i="1"/>
  <c r="N1987" i="1"/>
  <c r="N835" i="1"/>
  <c r="N4196" i="1"/>
  <c r="N3385" i="1"/>
  <c r="N5521" i="1"/>
  <c r="N5636" i="1"/>
  <c r="N4987" i="1"/>
  <c r="N3881" i="1"/>
  <c r="N2426" i="1"/>
  <c r="N2062" i="1"/>
  <c r="N4295" i="1"/>
  <c r="N1938" i="1"/>
  <c r="N1366" i="1"/>
  <c r="N2616" i="1"/>
  <c r="N3796" i="1"/>
  <c r="N4275" i="1"/>
  <c r="N1652" i="1"/>
  <c r="N3716" i="1"/>
  <c r="N2258" i="1"/>
  <c r="N2833" i="1"/>
  <c r="N4363" i="1"/>
  <c r="N858" i="1"/>
  <c r="N4028" i="1"/>
  <c r="N5136" i="1"/>
  <c r="N4058" i="1"/>
  <c r="N3532" i="1"/>
  <c r="N791" i="1"/>
  <c r="N666" i="1"/>
  <c r="N1249" i="1"/>
  <c r="N3554" i="1"/>
  <c r="N1199" i="1"/>
  <c r="N334" i="1"/>
  <c r="N4819" i="1"/>
  <c r="N400" i="1"/>
  <c r="N520" i="1"/>
  <c r="N232" i="1"/>
  <c r="N5522" i="1"/>
  <c r="N2323" i="1"/>
  <c r="N4536" i="1"/>
  <c r="N4085" i="1"/>
  <c r="N568" i="1"/>
  <c r="N3834" i="1"/>
  <c r="N2037" i="1"/>
  <c r="N256" i="1"/>
  <c r="N2254" i="1"/>
  <c r="N2972" i="1"/>
  <c r="N3050" i="1"/>
  <c r="N3737" i="1"/>
  <c r="N5587" i="1"/>
  <c r="N2859" i="1"/>
  <c r="N2739" i="1"/>
  <c r="N406" i="1"/>
  <c r="N956" i="1"/>
  <c r="N4939" i="1"/>
  <c r="N1372" i="1"/>
  <c r="N5427" i="1"/>
  <c r="N1804" i="1"/>
  <c r="N3501" i="1"/>
  <c r="N2301" i="1"/>
  <c r="N595" i="1"/>
  <c r="N5692" i="1"/>
  <c r="N382" i="1"/>
  <c r="N3426" i="1"/>
  <c r="N5210" i="1"/>
  <c r="N1009" i="1"/>
  <c r="N647" i="1"/>
  <c r="N5808" i="1"/>
  <c r="N5614" i="1"/>
  <c r="N645" i="1"/>
  <c r="N1769" i="1"/>
  <c r="N1539" i="1"/>
  <c r="N5257" i="1"/>
  <c r="N2740" i="1"/>
  <c r="N5645" i="1"/>
  <c r="N234" i="1"/>
  <c r="N3499" i="1"/>
  <c r="N5804" i="1"/>
  <c r="N145" i="1"/>
  <c r="N719" i="1"/>
  <c r="N2422" i="1"/>
  <c r="N5086" i="1"/>
  <c r="N2009" i="1"/>
  <c r="N4344" i="1"/>
  <c r="N1626" i="1"/>
  <c r="N3239" i="1"/>
  <c r="N4436" i="1"/>
  <c r="N4770" i="1"/>
  <c r="N911" i="1"/>
  <c r="N1553" i="1"/>
  <c r="N1611" i="1"/>
  <c r="N5153" i="1"/>
  <c r="N3867" i="1"/>
  <c r="N2588" i="1"/>
  <c r="N3521" i="1"/>
  <c r="N5500" i="1"/>
  <c r="N2066" i="1"/>
  <c r="N1624" i="1"/>
  <c r="N4751" i="1"/>
  <c r="N258" i="1"/>
  <c r="N4034" i="1"/>
  <c r="N3341" i="1"/>
  <c r="N2784" i="1"/>
  <c r="N5402" i="1"/>
  <c r="N5202" i="1"/>
  <c r="N3410" i="1"/>
  <c r="N2188" i="1"/>
  <c r="N5499" i="1"/>
  <c r="N2010" i="1"/>
  <c r="N2873" i="1"/>
  <c r="N5708" i="1"/>
  <c r="N5279" i="1"/>
  <c r="N2237" i="1"/>
  <c r="N4416" i="1"/>
  <c r="N981" i="1"/>
  <c r="N1154" i="1"/>
  <c r="N164" i="1"/>
  <c r="N429" i="1"/>
  <c r="N2104" i="1"/>
  <c r="N1559" i="1"/>
  <c r="N244" i="1"/>
  <c r="N387" i="1"/>
  <c r="N4245" i="1"/>
  <c r="N5641" i="1"/>
  <c r="N2108" i="1"/>
  <c r="N1971" i="1"/>
  <c r="N378" i="1"/>
  <c r="N796" i="1"/>
  <c r="N4676" i="1"/>
  <c r="N1481" i="1"/>
  <c r="N2395" i="1"/>
  <c r="N2348" i="1"/>
  <c r="N4465" i="1"/>
  <c r="N5300" i="1"/>
  <c r="N1434" i="1"/>
  <c r="N1992" i="1"/>
  <c r="N430" i="1"/>
  <c r="N1365" i="1"/>
  <c r="N337" i="1"/>
  <c r="N4865" i="1"/>
  <c r="N5783" i="1"/>
  <c r="N1411" i="1"/>
  <c r="N5370" i="1"/>
  <c r="N674" i="1"/>
  <c r="N4989" i="1"/>
  <c r="N4291" i="1"/>
  <c r="N5590" i="1"/>
  <c r="N4492" i="1"/>
  <c r="N5668" i="1"/>
  <c r="N3001" i="1"/>
  <c r="N5230" i="1"/>
  <c r="N1984" i="1"/>
  <c r="N496" i="1"/>
  <c r="N4539" i="1"/>
  <c r="N218" i="1"/>
  <c r="N481" i="1"/>
  <c r="N5302" i="1"/>
  <c r="N305" i="1"/>
  <c r="N604" i="1"/>
  <c r="N405" i="1"/>
  <c r="N3002" i="1"/>
  <c r="N4409" i="1"/>
  <c r="N4633" i="1"/>
  <c r="N457" i="1"/>
  <c r="N5540" i="1"/>
  <c r="N2882" i="1"/>
  <c r="N1721" i="1"/>
  <c r="N4699" i="1"/>
  <c r="N1947" i="1"/>
  <c r="N3739" i="1"/>
  <c r="N5426" i="1"/>
  <c r="N3960" i="1"/>
  <c r="N500" i="1"/>
  <c r="N3168" i="1"/>
  <c r="N672" i="1"/>
  <c r="N4703" i="1"/>
  <c r="N1174" i="1"/>
  <c r="N1484" i="1"/>
  <c r="N4343" i="1"/>
  <c r="N738" i="1"/>
  <c r="N2782" i="1"/>
  <c r="N2496" i="1"/>
  <c r="N3292" i="1"/>
  <c r="N95" i="1"/>
  <c r="N4706" i="1"/>
  <c r="N75" i="1"/>
  <c r="N3603" i="1"/>
  <c r="N3212" i="1"/>
  <c r="N554" i="1"/>
  <c r="N3287" i="1"/>
  <c r="N1348" i="1"/>
  <c r="N2428" i="1"/>
  <c r="N1706" i="1"/>
  <c r="N838" i="1"/>
  <c r="N1744" i="1"/>
  <c r="N5682" i="1"/>
  <c r="N2901" i="1"/>
  <c r="N2908" i="1"/>
  <c r="N92" i="1"/>
  <c r="N3461" i="1"/>
  <c r="N2945" i="1"/>
  <c r="N1588" i="1"/>
  <c r="N832" i="1"/>
  <c r="N4296" i="1"/>
  <c r="N502" i="1"/>
  <c r="N2909" i="1"/>
  <c r="N2164" i="1"/>
  <c r="N4844" i="1"/>
  <c r="N2018" i="1"/>
  <c r="N4243" i="1"/>
  <c r="N1176" i="1"/>
  <c r="N4871" i="1"/>
  <c r="N286" i="1"/>
  <c r="N2546" i="1"/>
  <c r="N4078" i="1"/>
  <c r="N2207" i="1"/>
  <c r="N2684" i="1"/>
  <c r="N3238" i="1"/>
  <c r="N1919" i="1"/>
  <c r="N139" i="1"/>
  <c r="N3355" i="1"/>
  <c r="N1755" i="1"/>
  <c r="N4050" i="1"/>
  <c r="N5299" i="1"/>
  <c r="N5377" i="1"/>
  <c r="N3648" i="1"/>
  <c r="N5356" i="1"/>
  <c r="N1299" i="1"/>
  <c r="N2980" i="1"/>
  <c r="N4442" i="1"/>
  <c r="N161" i="1"/>
  <c r="N385" i="1"/>
  <c r="N2475" i="1"/>
  <c r="N5058" i="1"/>
  <c r="N3884" i="1"/>
  <c r="N4657" i="1"/>
  <c r="N1754" i="1"/>
  <c r="N1343" i="1"/>
  <c r="N3412" i="1"/>
  <c r="N5634" i="1"/>
  <c r="N335" i="1"/>
  <c r="N383" i="1"/>
  <c r="N1732" i="1"/>
  <c r="N1748" i="1"/>
  <c r="N978" i="1"/>
  <c r="N4010" i="1"/>
  <c r="N4846" i="1"/>
  <c r="N1392" i="1"/>
  <c r="N1463" i="1"/>
  <c r="N4556" i="1"/>
  <c r="N4853" i="1"/>
  <c r="N3844" i="1"/>
  <c r="N3936" i="1"/>
  <c r="N2825" i="1"/>
  <c r="N5779" i="1"/>
  <c r="N2927" i="1"/>
  <c r="N3675" i="1"/>
  <c r="N5159" i="1"/>
  <c r="N718" i="1"/>
  <c r="N5715" i="1"/>
  <c r="N5189" i="1"/>
  <c r="N3809" i="1"/>
  <c r="N3502" i="1"/>
  <c r="N3262" i="1"/>
  <c r="N739" i="1"/>
  <c r="N1676" i="1"/>
  <c r="N5106" i="1"/>
  <c r="N17" i="1"/>
  <c r="N5357" i="1"/>
  <c r="N1844" i="1"/>
  <c r="N2371" i="1"/>
  <c r="N4373" i="1"/>
  <c r="N2418" i="1"/>
  <c r="N5379" i="1"/>
  <c r="N1341" i="1"/>
  <c r="N3548" i="1"/>
  <c r="N4848" i="1"/>
  <c r="N1107" i="1"/>
  <c r="N3504" i="1"/>
  <c r="N1049" i="1"/>
  <c r="N508" i="1"/>
  <c r="N1939" i="1"/>
  <c r="N2875" i="1"/>
  <c r="N3483" i="1"/>
  <c r="N643" i="1"/>
  <c r="N4538" i="1"/>
  <c r="N5044" i="1"/>
  <c r="N575" i="1"/>
  <c r="N118" i="1"/>
  <c r="N3577" i="1"/>
  <c r="N4797" i="1"/>
  <c r="N4073" i="1"/>
  <c r="N912" i="1"/>
  <c r="N235" i="1"/>
  <c r="N1368" i="1"/>
  <c r="N2834" i="1"/>
  <c r="N532" i="1"/>
  <c r="N914" i="1"/>
  <c r="N1053" i="1"/>
  <c r="N5280" i="1"/>
  <c r="N3434" i="1"/>
  <c r="N722" i="1"/>
  <c r="N3144" i="1"/>
  <c r="N2373" i="1"/>
  <c r="N521" i="1"/>
  <c r="N5375" i="1"/>
  <c r="N4532" i="1"/>
  <c r="N191" i="1"/>
  <c r="N4319" i="1"/>
  <c r="N5711" i="1"/>
  <c r="N5546" i="1"/>
  <c r="N1827" i="1"/>
  <c r="N1245" i="1"/>
  <c r="N3290" i="1"/>
  <c r="N3745" i="1"/>
  <c r="N1437" i="1"/>
  <c r="N2741" i="1"/>
  <c r="N617" i="1"/>
  <c r="N788" i="1"/>
  <c r="N5180" i="1"/>
  <c r="N4799" i="1"/>
  <c r="N4250" i="1"/>
  <c r="N1749" i="1"/>
  <c r="N2033" i="1"/>
  <c r="N2926" i="1"/>
  <c r="N3570" i="1"/>
  <c r="N3623" i="1"/>
  <c r="N5034" i="1"/>
  <c r="N5185" i="1"/>
  <c r="N4299" i="1"/>
  <c r="N2014" i="1"/>
  <c r="N1994" i="1"/>
  <c r="N5211" i="1"/>
  <c r="N5813" i="1"/>
  <c r="N1895" i="1"/>
  <c r="N1826" i="1"/>
  <c r="N3930" i="1"/>
  <c r="N1369" i="1"/>
  <c r="N2811" i="1"/>
  <c r="N574" i="1"/>
  <c r="N2036" i="1"/>
  <c r="N3885" i="1"/>
  <c r="N3194" i="1"/>
  <c r="N3527" i="1"/>
  <c r="N5444" i="1"/>
  <c r="N1683" i="1"/>
  <c r="N2708" i="1"/>
  <c r="N3569" i="1"/>
  <c r="N985" i="1"/>
  <c r="N2878" i="1"/>
  <c r="N2420" i="1"/>
  <c r="N2163" i="1"/>
  <c r="N2303" i="1"/>
  <c r="N332" i="1"/>
  <c r="N2156" i="1"/>
  <c r="N1296" i="1"/>
  <c r="N5619" i="1"/>
  <c r="N1195" i="1"/>
  <c r="N2322" i="1"/>
  <c r="N436" i="1"/>
  <c r="N2396" i="1"/>
  <c r="N5519" i="1"/>
  <c r="N1915" i="1"/>
  <c r="N4733" i="1"/>
  <c r="N2089" i="1"/>
  <c r="N3862" i="1"/>
  <c r="N3452" i="1"/>
  <c r="N5067" i="1"/>
  <c r="N4348" i="1"/>
  <c r="N2327" i="1"/>
  <c r="N359" i="1"/>
  <c r="N3835" i="1"/>
  <c r="N3811" i="1"/>
  <c r="N3741" i="1"/>
  <c r="N1851" i="1"/>
  <c r="N2779" i="1"/>
  <c r="N4851" i="1"/>
  <c r="N884" i="1"/>
  <c r="N1699" i="1"/>
  <c r="N409" i="1"/>
  <c r="N5042" i="1"/>
  <c r="N4489" i="1"/>
  <c r="N5184" i="1"/>
  <c r="N5161" i="1"/>
  <c r="N2854" i="1"/>
  <c r="N523" i="1"/>
  <c r="N4796" i="1"/>
  <c r="N1272" i="1"/>
  <c r="N811" i="1"/>
  <c r="N2158" i="1"/>
  <c r="N4084" i="1"/>
  <c r="N784" i="1"/>
  <c r="N1731" i="1"/>
  <c r="N5374" i="1"/>
  <c r="N1072" i="1"/>
  <c r="N1801" i="1"/>
  <c r="N3091" i="1"/>
  <c r="N5201" i="1"/>
  <c r="N1219" i="1"/>
  <c r="N4772" i="1"/>
  <c r="N2590" i="1"/>
  <c r="N1962" i="1"/>
  <c r="N3237" i="1"/>
  <c r="N3260" i="1"/>
  <c r="N812" i="1"/>
  <c r="N1602" i="1"/>
  <c r="N4200" i="1"/>
  <c r="N1103" i="1"/>
  <c r="N4582" i="1"/>
  <c r="N2044" i="1"/>
  <c r="N3188" i="1"/>
  <c r="N700" i="1"/>
  <c r="N94" i="1"/>
  <c r="N3283" i="1"/>
  <c r="N5541" i="1"/>
  <c r="N2538" i="1"/>
  <c r="N5204" i="1"/>
  <c r="N5333" i="1"/>
  <c r="N864" i="1"/>
  <c r="N3914" i="1"/>
  <c r="N507" i="1"/>
  <c r="N2664" i="1"/>
  <c r="N2611" i="1"/>
  <c r="N1173" i="1"/>
  <c r="N2177" i="1"/>
  <c r="N1944" i="1"/>
  <c r="N51" i="1"/>
  <c r="N214" i="1"/>
  <c r="N2445" i="1"/>
  <c r="N3905" i="1"/>
  <c r="N360" i="1"/>
  <c r="N2946" i="1"/>
  <c r="N4756" i="1"/>
  <c r="N4249" i="1"/>
  <c r="N5208" i="1"/>
  <c r="N5133" i="1"/>
  <c r="N2995" i="1"/>
  <c r="N4289" i="1"/>
  <c r="N5093" i="1"/>
  <c r="N1367" i="1"/>
  <c r="N333" i="1"/>
  <c r="N3167" i="1"/>
  <c r="N688" i="1"/>
  <c r="N2948" i="1"/>
  <c r="N1204" i="1"/>
  <c r="N2423" i="1"/>
  <c r="N5693" i="1"/>
  <c r="N3100" i="1"/>
  <c r="N2829" i="1"/>
  <c r="N1727" i="1"/>
  <c r="N3139" i="1"/>
  <c r="N143" i="1"/>
  <c r="N4395" i="1"/>
  <c r="N1582" i="1"/>
  <c r="N3214" i="1"/>
  <c r="N4898" i="1"/>
  <c r="N331" i="1"/>
  <c r="N3210" i="1"/>
  <c r="N1294" i="1"/>
  <c r="N1324" i="1"/>
  <c r="N3164" i="1"/>
  <c r="N3940" i="1"/>
  <c r="N4873" i="1"/>
  <c r="N5491" i="1"/>
  <c r="N2370" i="1"/>
  <c r="N1075" i="1"/>
  <c r="N4434" i="1"/>
  <c r="N192" i="1"/>
  <c r="N120" i="1"/>
  <c r="N5205" i="1"/>
  <c r="N3813" i="1"/>
  <c r="N2691" i="1"/>
  <c r="N1345" i="1"/>
  <c r="N1513" i="1"/>
  <c r="N3673" i="1"/>
  <c r="N2234" i="1"/>
  <c r="N1175" i="1"/>
  <c r="N1027" i="1"/>
  <c r="N1153" i="1"/>
  <c r="N916" i="1"/>
  <c r="N1584" i="1"/>
  <c r="N1248" i="1"/>
  <c r="N4412" i="1"/>
  <c r="N4823" i="1"/>
  <c r="N1612" i="1"/>
  <c r="N2162" i="1"/>
  <c r="N2153" i="1"/>
  <c r="N2900" i="1"/>
  <c r="N1587" i="1"/>
  <c r="N3095" i="1"/>
  <c r="N1124" i="1"/>
  <c r="N3316" i="1"/>
  <c r="N2229" i="1"/>
  <c r="N1008" i="1"/>
  <c r="N171" i="1"/>
  <c r="N28" i="1"/>
  <c r="N5539" i="1"/>
  <c r="N3529" i="1"/>
  <c r="N3667" i="1"/>
  <c r="N5037" i="1"/>
  <c r="N4123" i="1"/>
  <c r="N3641" i="1"/>
  <c r="N2657" i="1"/>
  <c r="N2689" i="1"/>
  <c r="N1960" i="1"/>
  <c r="N3235" i="1"/>
  <c r="N3026" i="1"/>
  <c r="N4537" i="1"/>
  <c r="N2255" i="1"/>
  <c r="N1506" i="1"/>
  <c r="N1467" i="1"/>
  <c r="N1803" i="1"/>
  <c r="N2759" i="1"/>
  <c r="N1364" i="1"/>
  <c r="N2903" i="1"/>
  <c r="N2113" i="1"/>
  <c r="N2732" i="1"/>
  <c r="N765" i="1"/>
  <c r="N761" i="1"/>
  <c r="N597" i="1"/>
  <c r="N4225" i="1"/>
  <c r="N2405" i="1"/>
  <c r="N5346" i="1"/>
  <c r="N4961" i="1"/>
  <c r="N4248" i="1"/>
  <c r="N1363" i="1"/>
  <c r="N1006" i="1"/>
  <c r="N1465" i="1"/>
  <c r="N5309" i="1"/>
  <c r="N4805" i="1"/>
  <c r="N3148" i="1"/>
  <c r="N1196" i="1"/>
  <c r="N4918" i="1"/>
  <c r="N5657" i="1"/>
  <c r="N2545" i="1"/>
  <c r="N5255" i="1"/>
  <c r="N1058" i="1"/>
  <c r="N2976" i="1"/>
  <c r="N184" i="1"/>
  <c r="N2617" i="1"/>
  <c r="N1702" i="1"/>
  <c r="N4778" i="1"/>
  <c r="N4565" i="1"/>
  <c r="N4561" i="1"/>
  <c r="N1438" i="1"/>
  <c r="N794" i="1"/>
  <c r="N4971" i="1"/>
  <c r="N3551" i="1"/>
  <c r="N4866" i="1"/>
  <c r="N3362" i="1"/>
  <c r="N412" i="1"/>
  <c r="N1563" i="1"/>
  <c r="N5470" i="1"/>
  <c r="N891" i="1"/>
  <c r="N2827" i="1"/>
  <c r="N2835" i="1"/>
  <c r="N3629" i="1"/>
  <c r="N641" i="1"/>
  <c r="N887" i="1"/>
  <c r="N4969" i="1"/>
  <c r="N1986" i="1"/>
  <c r="N3480" i="1"/>
  <c r="N4506" i="1"/>
  <c r="N5298" i="1"/>
  <c r="N3979" i="1"/>
  <c r="N113" i="1"/>
  <c r="N3263" i="1"/>
  <c r="N3259" i="1"/>
  <c r="N668" i="1"/>
  <c r="N280" i="1"/>
  <c r="N240" i="1"/>
  <c r="N4535" i="1"/>
  <c r="N2570" i="1"/>
  <c r="N3149" i="1"/>
  <c r="N5307" i="1"/>
  <c r="N2568" i="1"/>
  <c r="N5669" i="1"/>
  <c r="N697" i="1"/>
  <c r="N1433" i="1"/>
  <c r="N1557" i="1"/>
  <c r="N664" i="1"/>
  <c r="N3187" i="1"/>
  <c r="N4362" i="1"/>
  <c r="N3787" i="1"/>
  <c r="N3477" i="1"/>
  <c r="N594" i="1"/>
  <c r="N4747" i="1"/>
  <c r="N1606" i="1"/>
  <c r="N241" i="1"/>
  <c r="N2643" i="1"/>
  <c r="N4993" i="1"/>
  <c r="N18" i="1"/>
  <c r="N4947" i="1"/>
  <c r="N2539" i="1"/>
  <c r="N4946" i="1"/>
  <c r="N4126" i="1"/>
  <c r="N3076" i="1"/>
  <c r="N669" i="1"/>
  <c r="N3068" i="1"/>
  <c r="N1629" i="1"/>
  <c r="N3335" i="1"/>
  <c r="N1605" i="1"/>
  <c r="N5683" i="1"/>
  <c r="N142" i="1"/>
  <c r="N904" i="1"/>
  <c r="N1579" i="1"/>
  <c r="N4901" i="1"/>
  <c r="N1004" i="1"/>
  <c r="N2035" i="1"/>
  <c r="N2572" i="1"/>
  <c r="N4483" i="1"/>
  <c r="N3357" i="1"/>
  <c r="N5062" i="1"/>
  <c r="N3500" i="1"/>
  <c r="N5181" i="1"/>
  <c r="N3602" i="1"/>
  <c r="N4270" i="1"/>
  <c r="N4516" i="1"/>
  <c r="N2357" i="1"/>
  <c r="N1529" i="1"/>
  <c r="N3955" i="1"/>
  <c r="N4517" i="1"/>
  <c r="N1848" i="1"/>
  <c r="N3579" i="1"/>
  <c r="N1968" i="1"/>
  <c r="N2715" i="1"/>
  <c r="N2644" i="1"/>
  <c r="N2906" i="1"/>
  <c r="N5549" i="1"/>
  <c r="N1867" i="1"/>
  <c r="N5183" i="1"/>
  <c r="N1989" i="1"/>
  <c r="N3572" i="1"/>
  <c r="N1969" i="1"/>
  <c r="N4241" i="1"/>
  <c r="N524" i="1"/>
  <c r="N4466" i="1"/>
  <c r="N957" i="1"/>
  <c r="N3794" i="1"/>
  <c r="N1321" i="1"/>
  <c r="N1313" i="1"/>
  <c r="N3331" i="1"/>
  <c r="N23" i="1"/>
  <c r="N2498" i="1"/>
  <c r="N2861" i="1"/>
  <c r="N1300" i="1"/>
  <c r="N380" i="1"/>
  <c r="N5489" i="1"/>
  <c r="N1936" i="1"/>
  <c r="N2349" i="1"/>
  <c r="N3137" i="1"/>
  <c r="N3509" i="1"/>
  <c r="N1751" i="1"/>
  <c r="N2467" i="1"/>
  <c r="N4487" i="1"/>
  <c r="N65" i="1"/>
  <c r="N69" i="1"/>
  <c r="N1585" i="1"/>
  <c r="N5132" i="1"/>
  <c r="N2851" i="1"/>
  <c r="N316" i="1"/>
  <c r="N472" i="1"/>
  <c r="N1292" i="1"/>
  <c r="N4705" i="1"/>
  <c r="N3525" i="1"/>
  <c r="N2307" i="1"/>
  <c r="N1995" i="1"/>
  <c r="N1610" i="1"/>
  <c r="N5548" i="1"/>
  <c r="N3309" i="1"/>
  <c r="N2587" i="1"/>
  <c r="N1888" i="1"/>
  <c r="N5209" i="1"/>
  <c r="N2494" i="1"/>
  <c r="N3162" i="1"/>
  <c r="N388" i="1"/>
  <c r="N1060" i="1"/>
  <c r="N2897" i="1"/>
  <c r="N4030" i="1"/>
  <c r="N3508" i="1"/>
  <c r="N3293" i="1"/>
  <c r="N2352" i="1"/>
  <c r="N1821" i="1"/>
  <c r="N4514" i="1"/>
  <c r="N1556" i="1"/>
  <c r="N2542" i="1"/>
  <c r="N3021" i="1"/>
  <c r="N5635" i="1"/>
  <c r="N5467" i="1"/>
  <c r="N2522" i="1"/>
  <c r="N2452" i="1"/>
  <c r="N1030" i="1"/>
  <c r="N2883" i="1"/>
  <c r="N3860" i="1"/>
  <c r="N2140" i="1"/>
  <c r="N330" i="1"/>
  <c r="N3553" i="1"/>
  <c r="N4385" i="1"/>
  <c r="N3624" i="1"/>
  <c r="N3770" i="1"/>
  <c r="N4729" i="1"/>
  <c r="N4512" i="1"/>
  <c r="N1106" i="1"/>
  <c r="N3075" i="1"/>
  <c r="N5564" i="1"/>
  <c r="N1320" i="1"/>
  <c r="N2693" i="1"/>
  <c r="N2519" i="1"/>
  <c r="N5237" i="1"/>
  <c r="N25" i="1"/>
  <c r="N1922" i="1"/>
  <c r="N837" i="1"/>
  <c r="N770" i="1"/>
  <c r="N4540" i="1"/>
  <c r="N833" i="1"/>
  <c r="N905" i="1"/>
  <c r="N1672" i="1"/>
  <c r="N4724" i="1"/>
  <c r="N3041" i="1"/>
  <c r="N4608" i="1"/>
  <c r="N5233" i="1"/>
  <c r="N790" i="1"/>
  <c r="N3883" i="1"/>
  <c r="N4659" i="1"/>
  <c r="N5393" i="1"/>
  <c r="N4008" i="1"/>
  <c r="N5618" i="1"/>
  <c r="N5304" i="1"/>
  <c r="N2665" i="1"/>
  <c r="N4779" i="1"/>
  <c r="N5475" i="1"/>
  <c r="N501" i="1"/>
  <c r="N1105" i="1"/>
  <c r="N3528" i="1"/>
  <c r="N2442" i="1"/>
  <c r="N3573" i="1"/>
  <c r="N1266" i="1"/>
  <c r="N1391" i="1"/>
  <c r="N3625" i="1"/>
  <c r="N1408" i="1"/>
  <c r="N1096" i="1"/>
  <c r="N52" i="1"/>
  <c r="N314" i="1"/>
  <c r="N3622" i="1"/>
  <c r="N1216" i="1"/>
  <c r="N2756" i="1"/>
  <c r="N4730" i="1"/>
  <c r="N5021" i="1"/>
  <c r="N3666" i="1"/>
  <c r="N4033" i="1"/>
  <c r="N1410" i="1"/>
  <c r="N5164" i="1"/>
  <c r="N4558" i="1"/>
  <c r="N4081" i="1"/>
  <c r="N619" i="1"/>
  <c r="N2849" i="1"/>
  <c r="N4509" i="1"/>
  <c r="N3721" i="1"/>
  <c r="N1480" i="1"/>
  <c r="N2640" i="1"/>
  <c r="N3764" i="1"/>
  <c r="N338" i="1"/>
  <c r="N1202" i="1"/>
  <c r="N1362" i="1"/>
  <c r="N4025" i="1"/>
  <c r="N1964" i="1"/>
  <c r="N4468" i="1"/>
  <c r="N1943" i="1"/>
  <c r="N2152" i="1"/>
  <c r="N1722" i="1"/>
  <c r="N836" i="1"/>
  <c r="N3938" i="1"/>
  <c r="N602" i="1"/>
  <c r="N808" i="1"/>
  <c r="N1319" i="1"/>
  <c r="N1323" i="1"/>
  <c r="N3117" i="1"/>
  <c r="N592" i="1"/>
  <c r="N4679" i="1"/>
  <c r="N404" i="1"/>
  <c r="N3907" i="1"/>
  <c r="N5597" i="1"/>
  <c r="N1056" i="1"/>
  <c r="N2610" i="1"/>
  <c r="N600" i="1"/>
  <c r="N817" i="1"/>
  <c r="N306" i="1"/>
  <c r="N1773" i="1"/>
  <c r="N3620" i="1"/>
  <c r="N1347" i="1"/>
  <c r="N3665" i="1"/>
  <c r="N476" i="1"/>
  <c r="N4554" i="1"/>
  <c r="N1078" i="1"/>
  <c r="N2566" i="1"/>
  <c r="N3113" i="1"/>
  <c r="N3669" i="1"/>
  <c r="N4963" i="1"/>
  <c r="N1631" i="1"/>
  <c r="N5525" i="1"/>
  <c r="N1275" i="1"/>
  <c r="N4563" i="1"/>
  <c r="N3430" i="1"/>
  <c r="N3473" i="1"/>
  <c r="N5562" i="1"/>
  <c r="N3377" i="1"/>
  <c r="N5110" i="1"/>
  <c r="N426" i="1"/>
  <c r="N1675" i="1"/>
  <c r="N1246" i="1"/>
  <c r="N3861" i="1"/>
  <c r="N5665" i="1"/>
  <c r="N1083" i="1"/>
  <c r="N3436" i="1"/>
  <c r="N2813" i="1"/>
  <c r="N410" i="1"/>
  <c r="N890" i="1"/>
  <c r="N3241" i="1"/>
  <c r="N3170" i="1"/>
  <c r="N44" i="1"/>
  <c r="N5187" i="1"/>
  <c r="N2994" i="1"/>
  <c r="N3192" i="1"/>
  <c r="N89" i="1"/>
  <c r="N551" i="1"/>
  <c r="N4875" i="1"/>
  <c r="N2613" i="1"/>
  <c r="N5018" i="1"/>
  <c r="N5419" i="1"/>
  <c r="N1147" i="1"/>
  <c r="N1843" i="1"/>
  <c r="N2898" i="1"/>
  <c r="N1361" i="1"/>
  <c r="N4267" i="1"/>
  <c r="N5156" i="1"/>
  <c r="N5497" i="1"/>
  <c r="N3339" i="1"/>
  <c r="N909" i="1"/>
  <c r="N3023" i="1"/>
  <c r="N2783" i="1"/>
  <c r="N4991" i="1"/>
  <c r="N2717" i="1"/>
  <c r="N932" i="1"/>
  <c r="N955" i="1"/>
  <c r="N3403" i="1"/>
  <c r="N2375" i="1"/>
  <c r="N5644" i="1"/>
  <c r="N2398" i="1"/>
  <c r="N5163" i="1"/>
  <c r="N2309" i="1"/>
  <c r="N4325" i="1"/>
  <c r="N2639" i="1"/>
  <c r="N2058" i="1"/>
  <c r="N1010" i="1"/>
  <c r="N4031" i="1"/>
  <c r="N2424" i="1"/>
  <c r="N3173" i="1"/>
  <c r="N522" i="1"/>
  <c r="N3258" i="1"/>
  <c r="N690" i="1"/>
  <c r="N5157" i="1"/>
  <c r="N1035" i="1"/>
  <c r="N5473" i="1"/>
  <c r="N1228" i="1"/>
  <c r="N1850" i="1"/>
  <c r="N4683" i="1"/>
  <c r="N4589" i="1"/>
  <c r="N2400" i="1"/>
  <c r="N1052" i="1"/>
  <c r="N3696" i="1"/>
  <c r="N2137" i="1"/>
  <c r="N1220" i="1"/>
  <c r="N5806" i="1"/>
  <c r="N977" i="1"/>
  <c r="N769" i="1"/>
  <c r="N3454" i="1"/>
  <c r="N3797" i="1"/>
  <c r="N5398" i="1"/>
  <c r="N473" i="1"/>
  <c r="N3530" i="1"/>
  <c r="N3406" i="1"/>
  <c r="N2515" i="1"/>
  <c r="N2278" i="1"/>
  <c r="N2537" i="1"/>
  <c r="N5734" i="1"/>
  <c r="N2333" i="1"/>
  <c r="N2297" i="1"/>
  <c r="N1726" i="1"/>
  <c r="N3476" i="1"/>
  <c r="N1386" i="1"/>
  <c r="N4415" i="1"/>
  <c r="N667" i="1"/>
  <c r="N1370" i="1"/>
  <c r="N1889" i="1"/>
  <c r="N2947" i="1"/>
  <c r="N4106" i="1"/>
  <c r="N673" i="1"/>
  <c r="N340" i="1"/>
  <c r="N3984" i="1"/>
  <c r="N2308" i="1"/>
  <c r="N1657" i="1"/>
  <c r="N867" i="1"/>
  <c r="N5417" i="1"/>
  <c r="N4580" i="1"/>
  <c r="N1125" i="1"/>
  <c r="N3744" i="1"/>
  <c r="N764" i="1"/>
  <c r="N3409" i="1"/>
  <c r="N4032" i="1"/>
  <c r="N601" i="1"/>
  <c r="N1098" i="1"/>
  <c r="N5303" i="1"/>
  <c r="N4508" i="1"/>
  <c r="N3099" i="1"/>
  <c r="N210" i="1"/>
  <c r="N3546" i="1"/>
  <c r="N3887" i="1"/>
  <c r="N4745" i="1"/>
  <c r="N2595" i="1"/>
  <c r="N4656" i="1"/>
  <c r="N2372" i="1"/>
  <c r="N5705" i="1"/>
  <c r="N4491" i="1"/>
  <c r="N3845" i="1"/>
  <c r="N3791" i="1"/>
  <c r="N2016" i="1"/>
  <c r="N5225" i="1"/>
  <c r="N2520" i="1"/>
  <c r="N1271" i="1"/>
  <c r="N1677" i="1"/>
  <c r="N2369" i="1"/>
  <c r="N1458" i="1"/>
  <c r="N4845" i="1"/>
  <c r="N170" i="1"/>
  <c r="N935" i="1"/>
  <c r="N1800" i="1"/>
  <c r="N1417" i="1"/>
  <c r="N4559" i="1"/>
  <c r="N3172" i="1"/>
  <c r="N5828" i="1"/>
  <c r="N141" i="1"/>
  <c r="N3163" i="1"/>
  <c r="N4151" i="1"/>
  <c r="N723" i="1"/>
  <c r="N3694" i="1"/>
  <c r="N1317" i="1"/>
  <c r="N1048" i="1"/>
  <c r="N2228" i="1"/>
  <c r="N187" i="1"/>
  <c r="N2521" i="1"/>
  <c r="N4965" i="1"/>
  <c r="N2350" i="1"/>
  <c r="N3077" i="1"/>
  <c r="N4244" i="1"/>
  <c r="N5733" i="1"/>
  <c r="N5466" i="1"/>
  <c r="N2660" i="1"/>
  <c r="N4870" i="1"/>
  <c r="N3025" i="1"/>
  <c r="N3305" i="1"/>
  <c r="N2274" i="1"/>
  <c r="N2185" i="1"/>
  <c r="N5690" i="1"/>
  <c r="N148" i="1"/>
  <c r="N5323" i="1"/>
  <c r="N2707" i="1"/>
  <c r="N460" i="1"/>
  <c r="N3312" i="1"/>
  <c r="N42" i="1"/>
  <c r="N70" i="1"/>
  <c r="N16" i="1"/>
  <c r="N41" i="1"/>
  <c r="N3119" i="1"/>
  <c r="N123" i="1"/>
  <c r="N1696" i="1"/>
  <c r="N651" i="1"/>
  <c r="N1152" i="1"/>
  <c r="N71" i="1"/>
  <c r="N1144" i="1"/>
  <c r="N1409" i="1"/>
  <c r="N1464" i="1"/>
  <c r="N2476" i="1"/>
  <c r="N2951" i="1"/>
  <c r="N5306" i="1"/>
  <c r="N5681" i="1"/>
  <c r="N928" i="1"/>
  <c r="N72" i="1"/>
  <c r="N3886" i="1"/>
  <c r="N211" i="1"/>
  <c r="N19" i="1"/>
  <c r="N3958" i="1"/>
  <c r="N1457" i="1"/>
  <c r="N531" i="1"/>
  <c r="N3954" i="1"/>
  <c r="N2183" i="1"/>
  <c r="N1269" i="1"/>
  <c r="N1222" i="1"/>
  <c r="N5177" i="1"/>
  <c r="N2731" i="1"/>
  <c r="N5045" i="1"/>
  <c r="N3121" i="1"/>
  <c r="N4349" i="1"/>
  <c r="N4966" i="1"/>
  <c r="N451" i="1"/>
  <c r="N3507" i="1"/>
  <c r="N5035" i="1"/>
  <c r="N546" i="1"/>
  <c r="N4169" i="1"/>
  <c r="N4780" i="1"/>
  <c r="N5543" i="1"/>
  <c r="N4611" i="1"/>
  <c r="N2709" i="1"/>
  <c r="N3067" i="1"/>
  <c r="N1102" i="1"/>
  <c r="N3788" i="1"/>
  <c r="N1413" i="1"/>
  <c r="N1898" i="1"/>
  <c r="N339" i="1"/>
  <c r="N3738" i="1"/>
  <c r="N4317" i="1"/>
  <c r="N2705" i="1"/>
  <c r="N3169" i="1"/>
  <c r="N1870" i="1"/>
  <c r="N5351" i="1"/>
  <c r="N1342" i="1"/>
  <c r="N5249" i="1"/>
  <c r="N1679" i="1"/>
  <c r="N1440" i="1"/>
  <c r="N528" i="1"/>
  <c r="N4637" i="1"/>
  <c r="N5712" i="1"/>
  <c r="N929" i="1"/>
  <c r="N2450" i="1"/>
  <c r="N2059" i="1"/>
  <c r="N3114" i="1"/>
  <c r="N4337" i="1"/>
  <c r="N48" i="1"/>
  <c r="N1028" i="1"/>
  <c r="N3185" i="1"/>
  <c r="N3027" i="1"/>
  <c r="N3365" i="1"/>
  <c r="N5108" i="1"/>
  <c r="N4321" i="1"/>
  <c r="N3042" i="1"/>
  <c r="N213" i="1"/>
  <c r="N3123" i="1"/>
  <c r="N497" i="1"/>
  <c r="N4103" i="1"/>
  <c r="N5418" i="1"/>
  <c r="N5450" i="1"/>
  <c r="N1824" i="1"/>
  <c r="N5829" i="1"/>
  <c r="N1415" i="1"/>
  <c r="N2186" i="1"/>
  <c r="N4149" i="1"/>
  <c r="N5684" i="1"/>
  <c r="N1509" i="1"/>
  <c r="N4194" i="1"/>
  <c r="N5496" i="1"/>
  <c r="N4026" i="1"/>
  <c r="N260" i="1"/>
  <c r="N1145" i="1"/>
  <c r="N548" i="1"/>
  <c r="N1536" i="1"/>
  <c r="N3598" i="1"/>
  <c r="N49" i="1"/>
  <c r="N5017" i="1"/>
  <c r="N4175" i="1"/>
  <c r="N309" i="1"/>
  <c r="N3451" i="1"/>
  <c r="N4469" i="1"/>
  <c r="N2668" i="1"/>
  <c r="N4051" i="1"/>
  <c r="N4132" i="1"/>
  <c r="N3668" i="1"/>
  <c r="N499" i="1"/>
  <c r="N5040" i="1"/>
  <c r="N1869" i="1"/>
  <c r="N401" i="1"/>
  <c r="N5160" i="1"/>
  <c r="N1108" i="1"/>
  <c r="N2469" i="1"/>
  <c r="N3427" i="1"/>
  <c r="N3065" i="1"/>
  <c r="N5229" i="1"/>
  <c r="N4827" i="1"/>
  <c r="N1729" i="1"/>
  <c r="N549" i="1"/>
  <c r="N4924" i="1"/>
  <c r="N24" i="1"/>
  <c r="N3815" i="1"/>
  <c r="N2299" i="1"/>
  <c r="N527" i="1"/>
  <c r="N93" i="1"/>
  <c r="N2012" i="1"/>
  <c r="N2351" i="1"/>
  <c r="N4414" i="1"/>
  <c r="N4746" i="1"/>
  <c r="N4795" i="1"/>
  <c r="N1532" i="1"/>
  <c r="N4820" i="1"/>
  <c r="N5763" i="1"/>
  <c r="N1485" i="1"/>
  <c r="N1896" i="1"/>
  <c r="N45" i="1"/>
  <c r="N475" i="1"/>
  <c r="N2955" i="1"/>
  <c r="N4968" i="1"/>
  <c r="N1371" i="1"/>
  <c r="N1081" i="1"/>
  <c r="N3356" i="1"/>
  <c r="N4708" i="1"/>
  <c r="N3836" i="1"/>
  <c r="N1917" i="1"/>
  <c r="N2403" i="1"/>
  <c r="N4850" i="1"/>
  <c r="N5547" i="1"/>
  <c r="N1682" i="1"/>
  <c r="N4485" i="1"/>
  <c r="N4800" i="1"/>
  <c r="N3964" i="1"/>
  <c r="N1322" i="1"/>
  <c r="N3766" i="1"/>
  <c r="N1828" i="1"/>
  <c r="N5352" i="1"/>
  <c r="N2447" i="1"/>
  <c r="N5616" i="1"/>
  <c r="N5107" i="1"/>
  <c r="N3889" i="1"/>
  <c r="N4458" i="1"/>
  <c r="N988" i="1"/>
  <c r="N4202" i="1"/>
  <c r="N4157" i="1"/>
  <c r="N694" i="1"/>
  <c r="N5755" i="1"/>
  <c r="N4723" i="1"/>
  <c r="N5516" i="1"/>
  <c r="N3600" i="1"/>
  <c r="N3311" i="1"/>
  <c r="N2379" i="1"/>
  <c r="N3044" i="1"/>
  <c r="N5664" i="1"/>
  <c r="N3288" i="1"/>
  <c r="N4869" i="1"/>
  <c r="N2808" i="1"/>
  <c r="AV49" i="16"/>
  <c r="AV50" i="16" s="1"/>
  <c r="AO50" i="16"/>
  <c r="AG43" i="16"/>
  <c r="BP160" i="16"/>
  <c r="BP161" i="16" s="1"/>
  <c r="BO160" i="16"/>
  <c r="BO161" i="16" s="1"/>
  <c r="BQ160" i="16"/>
  <c r="BQ161" i="16" s="1"/>
  <c r="BJ160" i="16"/>
  <c r="G52" i="16"/>
  <c r="BN160" i="16"/>
  <c r="BN161" i="16" s="1"/>
  <c r="BM160" i="16"/>
  <c r="BM161" i="16" s="1"/>
  <c r="J52" i="16"/>
  <c r="AU158" i="16"/>
  <c r="AV135" i="16" s="1"/>
  <c r="G51" i="16"/>
  <c r="BL160" i="16"/>
  <c r="BL161" i="16" s="1"/>
  <c r="BK160" i="16"/>
  <c r="BK161" i="16" s="1"/>
  <c r="F86" i="16" l="1"/>
  <c r="BF109" i="16"/>
  <c r="BG109" i="16" s="1"/>
  <c r="Q209" i="16"/>
  <c r="Q210" i="16"/>
  <c r="BF104" i="16"/>
  <c r="BG104" i="16" s="1"/>
  <c r="BF96" i="16"/>
  <c r="BG96" i="16" s="1"/>
  <c r="BF103" i="16"/>
  <c r="BG103" i="16" s="1"/>
  <c r="BF95" i="16"/>
  <c r="BG95" i="16" s="1"/>
  <c r="BF102" i="16"/>
  <c r="BG102" i="16" s="1"/>
  <c r="BF92" i="16"/>
  <c r="BG92" i="16" s="1"/>
  <c r="BF101" i="16"/>
  <c r="BG101" i="16" s="1"/>
  <c r="BF91" i="16"/>
  <c r="BG91" i="16" s="1"/>
  <c r="BF108" i="16"/>
  <c r="BG108" i="16" s="1"/>
  <c r="BF100" i="16"/>
  <c r="BG100" i="16" s="1"/>
  <c r="BF90" i="16"/>
  <c r="BG90" i="16" s="1"/>
  <c r="BF107" i="16"/>
  <c r="BG107" i="16" s="1"/>
  <c r="BF99" i="16"/>
  <c r="BG99" i="16" s="1"/>
  <c r="BF89" i="16"/>
  <c r="BG89" i="16" s="1"/>
  <c r="BF106" i="16"/>
  <c r="BG106" i="16" s="1"/>
  <c r="BF98" i="16"/>
  <c r="BG98" i="16" s="1"/>
  <c r="BF88" i="16"/>
  <c r="BG88" i="16" s="1"/>
  <c r="BF105" i="16"/>
  <c r="BG105" i="16" s="1"/>
  <c r="BF97" i="16"/>
  <c r="BG97" i="16" s="1"/>
  <c r="AN111" i="16"/>
  <c r="AN113" i="16" s="1"/>
  <c r="BF87" i="16"/>
  <c r="BG87" i="16" s="1"/>
  <c r="BF94" i="16"/>
  <c r="BG94" i="16" s="1"/>
  <c r="BF86" i="16"/>
  <c r="BG86" i="16" s="1"/>
  <c r="BF93" i="16"/>
  <c r="BG93" i="16" s="1"/>
  <c r="AT112" i="16"/>
  <c r="AT113" i="16" s="1"/>
  <c r="AW110" i="16"/>
  <c r="AW111" i="16" s="1"/>
  <c r="AO112" i="16"/>
  <c r="AO113" i="16" s="1"/>
  <c r="AP112" i="16"/>
  <c r="AP113" i="16" s="1"/>
  <c r="AR112" i="16"/>
  <c r="AR113" i="16" s="1"/>
  <c r="AQ111" i="16"/>
  <c r="AQ113" i="16" s="1"/>
  <c r="AS111" i="16"/>
  <c r="AU160" i="16"/>
  <c r="K111" i="16"/>
  <c r="K112" i="16"/>
  <c r="G92" i="16"/>
  <c r="F92" i="16"/>
  <c r="G91" i="16"/>
  <c r="F91" i="16"/>
  <c r="G87" i="16"/>
  <c r="G86" i="16"/>
  <c r="F87" i="16"/>
  <c r="AZ114" i="16"/>
  <c r="K106" i="16"/>
  <c r="K105" i="16"/>
  <c r="I105" i="16"/>
  <c r="I106" i="16"/>
  <c r="J105" i="16"/>
  <c r="I112" i="16"/>
  <c r="J106" i="16"/>
  <c r="I109" i="16"/>
  <c r="BA114" i="16"/>
  <c r="J109" i="16"/>
  <c r="J111" i="16"/>
  <c r="J112" i="16"/>
  <c r="K109" i="16"/>
  <c r="I111" i="16"/>
  <c r="AY114" i="16"/>
  <c r="BQ162" i="16"/>
  <c r="BJ161" i="16"/>
  <c r="AR160" i="16"/>
  <c r="AR161" i="16"/>
  <c r="AN161" i="16"/>
  <c r="AN160" i="16"/>
  <c r="AQ160" i="16"/>
  <c r="AQ161" i="16"/>
  <c r="AS160" i="16"/>
  <c r="AS161" i="16"/>
  <c r="AP161" i="16"/>
  <c r="AP160" i="16"/>
  <c r="F148" i="16"/>
  <c r="F146" i="16"/>
  <c r="H146" i="16" s="1"/>
  <c r="F147" i="16"/>
  <c r="AT160" i="16"/>
  <c r="AT161" i="16"/>
  <c r="J108" i="16" l="1"/>
  <c r="G57" i="16"/>
  <c r="H57" i="16" s="1"/>
  <c r="AS115" i="16"/>
  <c r="AP116" i="16"/>
  <c r="AS114" i="16"/>
  <c r="AS113" i="16"/>
  <c r="AS116" i="16" s="1"/>
  <c r="AP115" i="16"/>
  <c r="AP114" i="16"/>
  <c r="F94" i="16"/>
  <c r="AS163" i="16"/>
  <c r="F111" i="16"/>
  <c r="J117" i="16"/>
  <c r="AY112" i="16"/>
  <c r="AY113" i="16" s="1"/>
  <c r="G111" i="16"/>
  <c r="H87" i="16"/>
  <c r="G93" i="16"/>
  <c r="H93" i="16" s="1"/>
  <c r="AZ112" i="16"/>
  <c r="AZ113" i="16" s="1"/>
  <c r="H91" i="16"/>
  <c r="F106" i="16"/>
  <c r="I108" i="16"/>
  <c r="BA112" i="16"/>
  <c r="BA113" i="16" s="1"/>
  <c r="H106" i="16"/>
  <c r="K108" i="16"/>
  <c r="F112" i="16"/>
  <c r="I117" i="16"/>
  <c r="F89" i="16"/>
  <c r="K117" i="16"/>
  <c r="G105" i="16"/>
  <c r="H92" i="16"/>
  <c r="H105" i="16"/>
  <c r="H86" i="16"/>
  <c r="BA115" i="16"/>
  <c r="G88" i="16"/>
  <c r="H88" i="16" s="1"/>
  <c r="J51" i="16" s="1"/>
  <c r="G106" i="16"/>
  <c r="AY115" i="16"/>
  <c r="F105" i="16"/>
  <c r="K116" i="16"/>
  <c r="K114" i="16"/>
  <c r="H111" i="16"/>
  <c r="AZ115" i="16"/>
  <c r="I114" i="16"/>
  <c r="J114" i="16"/>
  <c r="I116" i="16"/>
  <c r="H112" i="16"/>
  <c r="G112" i="16"/>
  <c r="J116" i="16"/>
  <c r="AS164" i="16"/>
  <c r="AP162" i="16"/>
  <c r="AR162" i="16"/>
  <c r="AS162" i="16"/>
  <c r="AT162" i="16"/>
  <c r="H147" i="16"/>
  <c r="F149" i="16"/>
  <c r="AQ162" i="16"/>
  <c r="AN162" i="16"/>
  <c r="F153" i="16"/>
  <c r="H148" i="16"/>
  <c r="G56" i="16" l="1"/>
  <c r="H56" i="16" s="1"/>
  <c r="AX86" i="16"/>
  <c r="H149" i="16"/>
  <c r="H154" i="16"/>
  <c r="H99" i="16"/>
  <c r="G116" i="16"/>
  <c r="H89" i="16"/>
  <c r="AX108" i="16"/>
  <c r="G114" i="16"/>
  <c r="F141" i="16"/>
  <c r="H141" i="16" s="1"/>
  <c r="H151" i="16" s="1"/>
  <c r="H156" i="16"/>
  <c r="AO161" i="16"/>
  <c r="AP164" i="16" s="1"/>
  <c r="AO160" i="16"/>
  <c r="AP163" i="16" s="1"/>
  <c r="F142" i="16"/>
  <c r="AX87" i="16"/>
  <c r="AX89" i="16"/>
  <c r="AX93" i="16"/>
  <c r="AX90" i="16"/>
  <c r="AX92" i="16"/>
  <c r="AX107" i="16"/>
  <c r="AX88" i="16"/>
  <c r="AX109" i="16"/>
  <c r="AX91" i="16"/>
  <c r="F107" i="16"/>
  <c r="H94" i="16"/>
  <c r="H96" i="16"/>
  <c r="H97" i="16"/>
  <c r="G107" i="16"/>
  <c r="AX105" i="16"/>
  <c r="AX101" i="16"/>
  <c r="H107" i="16"/>
  <c r="G108" i="16"/>
  <c r="H108" i="16"/>
  <c r="H116" i="16"/>
  <c r="AX98" i="16"/>
  <c r="AX102" i="16"/>
  <c r="AX99" i="16"/>
  <c r="AX106" i="16"/>
  <c r="AX95" i="16"/>
  <c r="AX97" i="16"/>
  <c r="AX96" i="16"/>
  <c r="AX104" i="16"/>
  <c r="AX100" i="16"/>
  <c r="AX94" i="16"/>
  <c r="AX103" i="16"/>
  <c r="AY116" i="16"/>
  <c r="F108" i="16"/>
  <c r="F116" i="16"/>
  <c r="H114" i="16"/>
  <c r="G113" i="16"/>
  <c r="H113" i="16"/>
  <c r="F114" i="16"/>
  <c r="F113" i="16"/>
  <c r="AS165" i="16"/>
  <c r="J53" i="16"/>
  <c r="G53" i="16"/>
  <c r="AV136" i="16" l="1"/>
  <c r="AV137" i="16" s="1"/>
  <c r="AV138" i="16" s="1"/>
  <c r="AV139" i="16" s="1"/>
  <c r="AV140" i="16" s="1"/>
  <c r="AV141" i="16" s="1"/>
  <c r="G118" i="16"/>
  <c r="F144" i="16"/>
  <c r="H142" i="16"/>
  <c r="AO162" i="16"/>
  <c r="AP165" i="16" s="1"/>
  <c r="F118" i="16"/>
  <c r="H118" i="16"/>
  <c r="AV142" i="16" l="1"/>
  <c r="AV143" i="16" s="1"/>
  <c r="AV148" i="16" s="1"/>
  <c r="AV144" i="16" s="1"/>
  <c r="AV145" i="16" s="1"/>
  <c r="AV146" i="16" s="1"/>
  <c r="AV147" i="16" s="1"/>
  <c r="AV149" i="16" s="1"/>
  <c r="AV150" i="16" s="1"/>
  <c r="AV151" i="16" s="1"/>
  <c r="AV152" i="16" s="1"/>
  <c r="AV153" i="16" s="1"/>
  <c r="AV154" i="16" s="1"/>
  <c r="AV155" i="16" s="1"/>
  <c r="AV156" i="16" s="1"/>
  <c r="AV157" i="16" s="1"/>
  <c r="AV158" i="16" s="1"/>
  <c r="H144" i="16"/>
  <c r="H152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garciafra</author>
  </authors>
  <commentList>
    <comment ref="E4" authorId="0" shapeId="0" xr:uid="{C5D9A4F5-FC99-4BC3-978B-22A3C51685E0}">
      <text>
        <r>
          <rPr>
            <b/>
            <sz val="9"/>
            <color indexed="81"/>
            <rFont val="Tahoma"/>
            <family val="2"/>
          </rPr>
          <t>garciafra:</t>
        </r>
        <r>
          <rPr>
            <sz val="9"/>
            <color indexed="81"/>
            <rFont val="Tahoma"/>
            <family val="2"/>
          </rPr>
          <t xml:space="preserve">
Energia Entrant de xarxa pel comptador</t>
        </r>
      </text>
    </comment>
    <comment ref="F4" authorId="0" shapeId="0" xr:uid="{8D8EE40A-CC2C-4FB2-A4DE-B950A2E38BA2}">
      <text>
        <r>
          <rPr>
            <b/>
            <sz val="9"/>
            <color indexed="81"/>
            <rFont val="Tahoma"/>
            <family val="2"/>
          </rPr>
          <t>garciafra
Excedent fotovoltaic</t>
        </r>
      </text>
    </comment>
    <comment ref="G4" authorId="0" shapeId="0" xr:uid="{62D69A6E-4368-4584-9EE7-CE8EA2428EB7}">
      <text>
        <r>
          <rPr>
            <b/>
            <sz val="9"/>
            <color indexed="81"/>
            <rFont val="Tahoma"/>
            <family val="2"/>
          </rPr>
          <t>garciafra:</t>
        </r>
        <r>
          <rPr>
            <sz val="9"/>
            <color indexed="81"/>
            <rFont val="Tahoma"/>
            <family val="2"/>
          </rPr>
          <t xml:space="preserve">
Energia FV autoconsimda</t>
        </r>
      </text>
    </comment>
    <comment ref="I4" authorId="0" shapeId="0" xr:uid="{DA6C37E1-1EE1-4E3E-9B1E-6AE8DF327A4F}">
      <text>
        <r>
          <rPr>
            <b/>
            <sz val="9"/>
            <color indexed="81"/>
            <rFont val="Tahoma"/>
            <family val="2"/>
          </rPr>
          <t>garciafra:</t>
        </r>
        <r>
          <rPr>
            <sz val="9"/>
            <color indexed="81"/>
            <rFont val="Tahoma"/>
            <family val="2"/>
          </rPr>
          <t xml:space="preserve">
energia consumida (xarxa+FV)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garciafra</author>
  </authors>
  <commentList>
    <comment ref="I25" authorId="0" shapeId="0" xr:uid="{492A0371-664B-4376-ABE4-9FA7179A2695}">
      <text>
        <r>
          <rPr>
            <b/>
            <sz val="12"/>
            <color indexed="81"/>
            <rFont val="Tahoma"/>
            <family val="2"/>
          </rPr>
          <t>garciafra:</t>
        </r>
        <r>
          <rPr>
            <sz val="12"/>
            <color indexed="81"/>
            <rFont val="Tahoma"/>
            <family val="2"/>
          </rPr>
          <t xml:space="preserve">
calcula el rati R M/V (consum Mínim vacacional sobre consum Vacacional) agafant de referència el consum mínim vacacional com a mínim assolible (tot i que es pugui millorar).  Es considera com més petit el rati més correcte:
 RMV ≤20% es considera OK, consums semblants, pot ser difícil identificar estalvis
 20%&lt; RMV ≤50% hi ha marge de millora (imitar protocol de vacances del període amb el mínim consum)
 RMV &gt; 50% hi ha massa diferència amb el mínim, cal revisar protocol aplicat de tancament per vacances, o potser les dades o els períodes definits contenen errors</t>
        </r>
      </text>
    </comment>
    <comment ref="C89" authorId="0" shapeId="0" xr:uid="{00E93859-93F5-4377-93C0-A2D4CB7F5707}">
      <text>
        <r>
          <rPr>
            <b/>
            <sz val="12"/>
            <color indexed="81"/>
            <rFont val="Tahoma"/>
            <family val="2"/>
          </rPr>
          <t>garciafra:</t>
        </r>
        <r>
          <rPr>
            <sz val="12"/>
            <color indexed="81"/>
            <rFont val="Tahoma"/>
            <family val="2"/>
          </rPr>
          <t xml:space="preserve">
calcula el rati R T/O (consum en tancat sobre obert) agafant de referència el consum de tancat com un mínim assolible (tot i que es pugui millorar).  Es considera com més petit el rati més correcte:
 RTO ≤20% es considera OK
 20%&lt;RTO ≤50% hi ha marge de millora (apagada circuits elèctrics?)
 RTO&gt; 50% inadmissible, es gasta més de la meitat que en horari feiner (detectar errors a nivell usuari o possibles desprogramació d’automatismes)</t>
        </r>
      </text>
    </comment>
    <comment ref="H89" authorId="0" shapeId="0" xr:uid="{9BDF6F0E-4CF3-4D94-86E3-CAC853F2229E}">
      <text>
        <r>
          <rPr>
            <b/>
            <sz val="12"/>
            <color indexed="81"/>
            <rFont val="Tahoma"/>
            <family val="2"/>
          </rPr>
          <t>garciafra:</t>
        </r>
        <r>
          <rPr>
            <sz val="12"/>
            <color indexed="81"/>
            <rFont val="Tahoma"/>
            <family val="2"/>
          </rPr>
          <t xml:space="preserve">
calcula el rati R T/O (consum en tancat sobre obert) agafant de referència el consum de tancat com un mínim assolible (tot i que es pugui millorar).  Es considera com més petit el rati més correcte:
 RTO ≤20% es considera OK
 20%&lt;RTO ≤50% hi ha marge de millora (apagada circuits elèctrics?)
 RTO&gt; 50% inadmissible, es gasta més de la meitat que en horari feiner (detectar errors a nivell usuari o possibles desprogramació d’automatismes)</t>
        </r>
      </text>
    </comment>
    <comment ref="C97" authorId="0" shapeId="0" xr:uid="{00782C0D-5D56-4012-8C17-49C3078585AB}">
      <text>
        <r>
          <rPr>
            <b/>
            <sz val="12"/>
            <color indexed="81"/>
            <rFont val="Tahoma"/>
            <family val="2"/>
          </rPr>
          <t>garciafra:</t>
        </r>
        <r>
          <rPr>
            <sz val="12"/>
            <color indexed="81"/>
            <rFont val="Tahoma"/>
            <family val="2"/>
          </rPr>
          <t xml:space="preserve">
calcula el rati C/F (tancat cap de setmana sobre tancat feiner) agafant de referència el consum en cap de setmana com un mínim possible (tot i que es pugui millorar). Es considera com més proper a 100% el més correcte:
 RCF &lt;80% hi ha marge de millora en les nits de feiner (identificar la reducció del cap de setmana)
 80%≤RCF &lt;110% es considera OK (consum similar en tancat de cap de setmana i feiner)
 RCF ≥ 110% inadmissible, el cap de setmana es consumeix més que les nits de feiner (identificar consumidor)</t>
        </r>
      </text>
    </comment>
    <comment ref="H97" authorId="0" shapeId="0" xr:uid="{F3A50F5C-BF79-40C3-AE07-37CB672BAAA7}">
      <text>
        <r>
          <rPr>
            <b/>
            <sz val="12"/>
            <color indexed="81"/>
            <rFont val="Tahoma"/>
            <family val="2"/>
          </rPr>
          <t>garciafra:</t>
        </r>
        <r>
          <rPr>
            <sz val="12"/>
            <color indexed="81"/>
            <rFont val="Tahoma"/>
            <family val="2"/>
          </rPr>
          <t xml:space="preserve">
calcula el rati C/F (tancat cap de setmana sobre tancat feiner) agafant de referència el consum en cap de setmana com un mínim possible (tot i que es pugui millorar). Es considera com més proper a 100% el més correcte:
 RCF &lt;80% hi ha marge de millora en les nits de feiner (identificar la reducció del cap de setmana)
 80%≤RCF &lt;110% es considera OK (consum similar en tancat de cap de setmana i feiner)
 RCF ≥ 110% inadmissible, el cap de setmana es consumeix més que les nits de feiner (identificar consumidor)</t>
        </r>
      </text>
    </comment>
    <comment ref="C99" authorId="0" shapeId="0" xr:uid="{BD11B03F-4852-47C2-AFEC-7981FDC96A1C}">
      <text>
        <r>
          <rPr>
            <b/>
            <sz val="12"/>
            <color indexed="81"/>
            <rFont val="Tahoma"/>
            <family val="2"/>
          </rPr>
          <t xml:space="preserve">garciafra:
</t>
        </r>
        <r>
          <rPr>
            <sz val="12"/>
            <color indexed="81"/>
            <rFont val="Tahoma"/>
            <family val="2"/>
          </rPr>
          <t>calcula el rati R V/N (consum mínim Vacacional sobre consum en tancat de cap de setmana No vacacional) agafant de referència el consum mínim en Vacances com un mínim assolible  (tot i que es pugui millorar) en horaris de tancament.  Es considera com més proper a 100% el més correcte:
 RVN &lt;80% hi ha marge de millora en horari de tancament (identificar la reducció del període vacacional mínim)
 80%≤ RVN &lt;110% es considera OK (consum similar en període vacacional i tancat no vacacional)
 RCF ≥ 110% inadmissible, els períodes de tancament es consumeix més que els dies en vacances mínim (identificar l'element consumidor que no s'apaga en vacances)</t>
        </r>
      </text>
    </comment>
    <comment ref="C108" authorId="0" shapeId="0" xr:uid="{ECAD6C41-4D77-4A1B-B29E-E518DFE5E9F3}">
      <text>
        <r>
          <rPr>
            <b/>
            <sz val="12"/>
            <color indexed="81"/>
            <rFont val="Tahoma"/>
            <family val="2"/>
          </rPr>
          <t xml:space="preserve">garciafra:
</t>
        </r>
        <r>
          <rPr>
            <sz val="12"/>
            <color indexed="81"/>
            <rFont val="Tahoma"/>
            <family val="2"/>
          </rPr>
          <t>calcula el rati R T/O (consum en tancat sobre obert) agafant de referència el consum de tancat com un mínim assolible (tot i que es pugui millorar).  Es considera com més petit el rati més correcte:
 RTO ≤20% es considera OK
 20%&lt;RTO ≤50% hi ha marge de millora (apagada circuits elèctrics?)
 RTO&gt; 50% inadmissible, es gasta més de la meitat que en horari feiner (detectar errors a nivell usuari o possibles desprogramació d’automatismes)</t>
        </r>
      </text>
    </comment>
    <comment ref="I108" authorId="0" shapeId="0" xr:uid="{AC398AEC-A8DB-426F-A06F-C5FFB5B1069C}">
      <text>
        <r>
          <rPr>
            <b/>
            <sz val="12"/>
            <color indexed="81"/>
            <rFont val="Tahoma"/>
            <family val="2"/>
          </rPr>
          <t>garciafra:</t>
        </r>
        <r>
          <rPr>
            <sz val="12"/>
            <color indexed="81"/>
            <rFont val="Tahoma"/>
            <family val="2"/>
          </rPr>
          <t xml:space="preserve">
calcula el rati R T/O (consum en tancat sobre obert) agafant de referència el consum de tancat com un mínim assolible (tot i que es pugui millorar).  Es considera com més petit el rati més correcte:
 RTO ≤20% es considera OK
 20%&lt;RTO ≤50% hi ha marge de millora (apagada circuits elèctrics?)
 RTO&gt; 50% inadmissible, es gasta més de la meitat que en horari feiner (detectar errors a nivell usuari o possibles desprogramació d’automatismes)</t>
        </r>
      </text>
    </comment>
    <comment ref="C117" authorId="0" shapeId="0" xr:uid="{F01A3F4C-8743-4BB3-AA23-72C0A6F286B7}">
      <text>
        <r>
          <rPr>
            <b/>
            <sz val="12"/>
            <color indexed="81"/>
            <rFont val="Tahoma"/>
            <family val="2"/>
          </rPr>
          <t>garciafra:</t>
        </r>
        <r>
          <rPr>
            <sz val="12"/>
            <color indexed="81"/>
            <rFont val="Tahoma"/>
            <family val="2"/>
          </rPr>
          <t xml:space="preserve">
calcula el rati C/F (tancat cap de setmana sobre tancat feiner) agafant de referència el consum en cap de setmana com un mínim possible (tot i que es pugui millorar). Es considera com més proper a 100% el més correcte:
 RCF &lt;80% hi ha marge de millora en les nits de feiner (identificar la reducció del cap de setmana)
 80%≤RCF &lt;110% es considera OK (consum similar en tancat de cap de setmana i feiner)
 RCF ≥ 110% inadmissible, el cap de setmana sense ús es consumeix més que els dies feiners sense ús (identificar consumidor)</t>
        </r>
      </text>
    </comment>
    <comment ref="I117" authorId="0" shapeId="0" xr:uid="{E5091A06-8898-496C-9ED6-73749DAE13C8}">
      <text>
        <r>
          <rPr>
            <b/>
            <sz val="12"/>
            <color indexed="81"/>
            <rFont val="Tahoma"/>
            <family val="2"/>
          </rPr>
          <t>garciafra:</t>
        </r>
        <r>
          <rPr>
            <sz val="12"/>
            <color indexed="81"/>
            <rFont val="Tahoma"/>
            <family val="2"/>
          </rPr>
          <t xml:space="preserve">
calcula el rati C/F (tancat cap de setmana sobre tancat feiner) agafant de referència el consum en cap de setmana com un mínim possible (tot i que es pugui millorar). Es considera com més proper a 100% el més correcte:
 RCF &lt;80% hi ha marge de millora en les nits de feiner (identificar la reducció del cap de setmana)
 80%≤RCF &lt;110% es considera OK (consum similar en tancat de cap de setmana i feiner)
 RCF ≥ 110% inadmissible, el cap de setmana sense ús es consumeix més que els dies feiners sense ús (identificar consumidor)
</t>
        </r>
      </text>
    </comment>
    <comment ref="C154" authorId="0" shapeId="0" xr:uid="{CADDAB82-22EE-48C7-84D1-A1B128251420}">
      <text>
        <r>
          <rPr>
            <b/>
            <sz val="12"/>
            <color indexed="81"/>
            <rFont val="Tahoma"/>
            <family val="2"/>
          </rPr>
          <t xml:space="preserve">garciafra:
</t>
        </r>
        <r>
          <rPr>
            <sz val="12"/>
            <color indexed="81"/>
            <rFont val="Tahoma"/>
            <family val="2"/>
          </rPr>
          <t>calcula el rati R V/N (consum mínim Vacacional sobre consum en tancat de cap de setmana No vacacional) agafant de referència el consum mínim en Vacances com un mínim assolible  (tot i que es pugui millorar) en horaris de tancament.  Es considera com més proper a 100% el més correcte:
 RVN &lt;80% hi ha marge de millora en horari de tancament (identificar la reducció del període vacacional mínim)
 80%≤ RVN &lt;110% es considera OK (consum similar en període vacacional i tancat no vacacional)
 RCF ≥ 110% inadmissible, els períodes de tancament es consumeix més que els dies en vacances mínim (identificar l'element consumidor que no s'apaga en vacances)</t>
        </r>
      </text>
    </comment>
    <comment ref="I185" authorId="0" shapeId="0" xr:uid="{A6C72908-4351-480B-B319-B3EC0CBA9D14}">
      <text>
        <r>
          <rPr>
            <b/>
            <sz val="9"/>
            <color indexed="81"/>
            <rFont val="Tahoma"/>
            <family val="2"/>
          </rPr>
          <t>garciafra:</t>
        </r>
        <r>
          <rPr>
            <sz val="9"/>
            <color indexed="81"/>
            <rFont val="Tahoma"/>
            <family val="2"/>
          </rPr>
          <t xml:space="preserve">
% d'energia consumida provinent de la FV</t>
        </r>
      </text>
    </comment>
    <comment ref="J185" authorId="0" shapeId="0" xr:uid="{B7B42821-AA4B-4799-BDD6-BD950F56CDB9}">
      <text>
        <r>
          <rPr>
            <b/>
            <sz val="9"/>
            <color indexed="81"/>
            <rFont val="Tahoma"/>
            <family val="2"/>
          </rPr>
          <t>garciafra:</t>
        </r>
        <r>
          <rPr>
            <sz val="9"/>
            <color indexed="81"/>
            <rFont val="Tahoma"/>
            <family val="2"/>
          </rPr>
          <t xml:space="preserve">
% de l'energia FV que es consumeix (que no s'exporta a la xarxa)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 de dade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18E09F1-1588-43BD-9BC6-5C6122D5FB95}" name="WorksheetConnection_Introducció dades consum!$C$4:$I$9533" type="102" refreshedVersion="8" minRefreshableVersion="5">
    <extLst>
      <ext xmlns:x15="http://schemas.microsoft.com/office/spreadsheetml/2010/11/main" uri="{DE250136-89BD-433C-8126-D09CA5730AF9}">
        <x15:connection id="Interval 1" autoDelete="1">
          <x15:rangePr sourceName="_xlcn.WorksheetConnection_IntroducciódadesconsumC4I9533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<sst xmlns="http://schemas.openxmlformats.org/spreadsheetml/2006/main" count="6280" uniqueCount="282">
  <si>
    <r>
      <t xml:space="preserve">Eina d'anàlisi de consum elèctric
</t>
    </r>
    <r>
      <rPr>
        <sz val="16"/>
        <color rgb="FF9E1732"/>
        <rFont val="Neue Haas Grotesk Text Pro"/>
        <family val="2"/>
      </rPr>
      <t xml:space="preserve">
Anàlisi energètic d'equipaments municipals</t>
    </r>
  </si>
  <si>
    <t>Data actualització:</t>
  </si>
  <si>
    <t>OBJECTIU</t>
  </si>
  <si>
    <t>Aquesta eina serveix per analitzar el consum elèctric d'un subministrament a partir de la corba horària de consum proporcionada per l'empresa subministradora (habitualment e-distribución). 
Permet:
- Comparar els consums entre diferents tipologies de dies: laborable, cap de setmana o vacances. 
- Comparar entre temporades de l'any per detectar l'estacionalitat dels consums.</t>
  </si>
  <si>
    <t>FUNCIONAMENT GENERAL</t>
  </si>
  <si>
    <t>1. S'introdueixen les dades de consums horaris proporcionades per la companyia elèctrica distribuidora.</t>
  </si>
  <si>
    <t>2. Cal introduir les dades dels diferents consums energètics, ja siguin elèctrics o de combustibles, del/s edificis que es vulguin analitzar.</t>
  </si>
  <si>
    <t>3. Es mostren els resultats en dues pestanyes diferenciades</t>
  </si>
  <si>
    <t>INSTRUCCIONS GENERALS D'ÚS</t>
  </si>
  <si>
    <t>Full on s'expliquen les instruccions de manera més detallada</t>
  </si>
  <si>
    <t>Full on s'introdueixen les dades generals dels equipaments/anualitats</t>
  </si>
  <si>
    <t>valors a introduir obligatoris</t>
  </si>
  <si>
    <t>valors adicionals que es poden introduir optativament</t>
  </si>
  <si>
    <t>Full on s'introdueixen les dades de consums energètics dels diferents equipaments</t>
  </si>
  <si>
    <t>Full on es mostra una visualització gràfica del consum diari de tot el periode.</t>
  </si>
  <si>
    <t>Amb el menú de cronologia es pot seleccionar el periode a mostrar</t>
  </si>
  <si>
    <t>Full on es mostra una visualització gràfica del consum mensual de tot el periode.</t>
  </si>
  <si>
    <t>Full on es mostra un anàlisi dels consum en funció de les diferents situacions d'ús:
- Dies laborables
- Caps de setmana
- Periodes vacacionals
- Diferents èpoques de l'any</t>
  </si>
  <si>
    <t>Com fer servir aquesta eina</t>
  </si>
  <si>
    <t>Pestanya INTRODUCCIÓ DADES GENERALS</t>
  </si>
  <si>
    <t>Cal introduir dades bàsiques de l'equipament i dades que s'introduiran. Les caselles grogues són obligatòries, mentre que les verdes són opcionals.</t>
  </si>
  <si>
    <t>Pestanya INTRODUCCIÓ DADES CONSUMS</t>
  </si>
  <si>
    <t>Mitjançant taula dinàmica es presenta el gràfic d'energia elèctrica activa acumulada mensual. La primera vegada cal situar el cursor sobre la taula dinàmica i al menú "Taula dinàmica" prémer "actualitzar". Es pot triar el període a graficar amb l'escala del temps de sota el gràfic.</t>
  </si>
  <si>
    <t>Pestanya RESULTATS MENSUALS</t>
  </si>
  <si>
    <t>Mitjançant taula dinàmica es presenta el gràfic d'energia elèctrica activa acumulada diari. La primera vegada cal situar el cursor sobre la taula dinàmica i al menú "Taula dinàmica" prémer "actualitzar". Es pot triar el període a graficar amb l'escala del temps de sota el gràfic.</t>
  </si>
  <si>
    <t>Pestanya RESULTATS - INFORME</t>
  </si>
  <si>
    <t>No s'hi ha de realitzar cap introducció de dades.</t>
  </si>
  <si>
    <t>Per comentaris, dubtes i esmenes: escriure a garciafra@diba.cat</t>
  </si>
  <si>
    <t>INTRODUCCIÓ DE DADES</t>
  </si>
  <si>
    <t>Generals</t>
  </si>
  <si>
    <t>Municipi</t>
  </si>
  <si>
    <t>Equipament</t>
  </si>
  <si>
    <t>General</t>
  </si>
  <si>
    <t>Inici</t>
  </si>
  <si>
    <t>Final</t>
  </si>
  <si>
    <t>Període global d'anàlisi</t>
  </si>
  <si>
    <t>Periodes de vacances</t>
  </si>
  <si>
    <t>Horari d'ús</t>
  </si>
  <si>
    <t>Hora apertura</t>
  </si>
  <si>
    <t>Hora tancament</t>
  </si>
  <si>
    <t>Dilluns</t>
  </si>
  <si>
    <t>Dimarts</t>
  </si>
  <si>
    <t>Dimecres</t>
  </si>
  <si>
    <t>Dijous</t>
  </si>
  <si>
    <t>Divendres</t>
  </si>
  <si>
    <t>Dissabte</t>
  </si>
  <si>
    <t>Diumenge</t>
  </si>
  <si>
    <t>Consums horaris</t>
  </si>
  <si>
    <t>CUPS</t>
  </si>
  <si>
    <t>Fecha</t>
  </si>
  <si>
    <t>Hora</t>
  </si>
  <si>
    <t>AE_kWh</t>
  </si>
  <si>
    <t>AS_KWh</t>
  </si>
  <si>
    <t>AE_AUTOCONS_kWh</t>
  </si>
  <si>
    <t>REAL/ESTIMADO</t>
  </si>
  <si>
    <t>data</t>
  </si>
  <si>
    <t>dia setmana</t>
  </si>
  <si>
    <t>analitzar</t>
  </si>
  <si>
    <t>període no vacacional</t>
  </si>
  <si>
    <t>obert/tancat</t>
  </si>
  <si>
    <t>època</t>
  </si>
  <si>
    <t>R</t>
  </si>
  <si>
    <t>RESULTATS</t>
  </si>
  <si>
    <t>Diaris</t>
  </si>
  <si>
    <t>Etiquetes de fila</t>
  </si>
  <si>
    <t>Ajustar els mesos que es volen analitzar i visualitzar al gràfic</t>
  </si>
  <si>
    <t>Total general</t>
  </si>
  <si>
    <t xml:space="preserve">RESULTATS </t>
  </si>
  <si>
    <t>Mensuals</t>
  </si>
  <si>
    <t>gen</t>
  </si>
  <si>
    <t>febr</t>
  </si>
  <si>
    <t>març</t>
  </si>
  <si>
    <t>abr</t>
  </si>
  <si>
    <t>maig</t>
  </si>
  <si>
    <t>juny</t>
  </si>
  <si>
    <t>jul</t>
  </si>
  <si>
    <t>Informe d'anàlisi de consum elèctric</t>
  </si>
  <si>
    <t xml:space="preserve">Data informe: </t>
  </si>
  <si>
    <t>DADES GENERALS</t>
  </si>
  <si>
    <t>MUNICIPI</t>
  </si>
  <si>
    <t>ÀREA CÀLCULS NO MANIPULAR</t>
  </si>
  <si>
    <t>EQUIPAMENT</t>
  </si>
  <si>
    <t>QUADRE ELÈCTRIC</t>
  </si>
  <si>
    <t>DADES DISPONIBLES</t>
  </si>
  <si>
    <t>del</t>
  </si>
  <si>
    <t>al</t>
  </si>
  <si>
    <t>dies del període</t>
  </si>
  <si>
    <t>si valors disponibles &lt; 168h dades inferior a 1 setmana</t>
  </si>
  <si>
    <t>hores del període</t>
  </si>
  <si>
    <t>si valors disponibles &lt;100% no es té info de totes les hores</t>
  </si>
  <si>
    <t>valors disponibles</t>
  </si>
  <si>
    <t>d'hores amb dada disponible</t>
  </si>
  <si>
    <t>PERÍODE ANÀLISI</t>
  </si>
  <si>
    <t>Total hores per FRANJA</t>
  </si>
  <si>
    <t>dies de l'interval</t>
  </si>
  <si>
    <t>Hora (hh:mm)</t>
  </si>
  <si>
    <t>Hora (numèric)</t>
  </si>
  <si>
    <t>hores de l'interval</t>
  </si>
  <si>
    <t>dies entre setmana</t>
  </si>
  <si>
    <t>dies en cap de setmana</t>
  </si>
  <si>
    <t>HORARI TANCAMENT</t>
  </si>
  <si>
    <t>nom</t>
  </si>
  <si>
    <t>dia inici</t>
  </si>
  <si>
    <t>dia fi</t>
  </si>
  <si>
    <t>consum període (kWh)</t>
  </si>
  <si>
    <t xml:space="preserve">consum promig (kWh/h)
</t>
  </si>
  <si>
    <t>estalvi potencial</t>
  </si>
  <si>
    <t>VARIABILITAT CONSUM EN LABORABLE OBERT</t>
  </si>
  <si>
    <t>TOTAL PER HORES</t>
  </si>
  <si>
    <t>dades disponibles</t>
  </si>
  <si>
    <t>consum max
[kWh/h]</t>
  </si>
  <si>
    <t>consum max / promig</t>
  </si>
  <si>
    <t>amplitud rang per sobre promig</t>
  </si>
  <si>
    <t>màx rang definit
[kWh/h]</t>
  </si>
  <si>
    <t>valors per sobre del rang</t>
  </si>
  <si>
    <t>% de la mostra per sobre del rang</t>
  </si>
  <si>
    <t>hores</t>
  </si>
  <si>
    <t>si valor max és 1kWh/h (sense decimals) segurament el comptador digital només emmagatzema valors horaris en comptes de quart-horaris i els consums sempre per sota de 1kWh/h s'acumulen en 1 valor</t>
  </si>
  <si>
    <t>Total hores per DIES</t>
  </si>
  <si>
    <t>ESTACIONALITAT DEL CONSUM ELÈCTRIC</t>
  </si>
  <si>
    <t>HIVERN</t>
  </si>
  <si>
    <t>ENTRETEMPS</t>
  </si>
  <si>
    <t>ESTIU</t>
  </si>
  <si>
    <t>TOTAL</t>
  </si>
  <si>
    <t>dies</t>
  </si>
  <si>
    <t>consum temporada</t>
  </si>
  <si>
    <t>kWh/temporada</t>
  </si>
  <si>
    <t>consum promig setmanal</t>
  </si>
  <si>
    <t>kWh/setmana</t>
  </si>
  <si>
    <t>TOTAL PER DIES</t>
  </si>
  <si>
    <t>consum no vacacional</t>
  </si>
  <si>
    <t>consum vacacional</t>
  </si>
  <si>
    <t>consum promig setmanal no vacacional</t>
  </si>
  <si>
    <t>consum promig setmanal vacacional</t>
  </si>
  <si>
    <t>CONSUM ELÈCTRIC PER TIPLOGIA DE DIA</t>
  </si>
  <si>
    <t>Dies</t>
  </si>
  <si>
    <t>Consum període</t>
  </si>
  <si>
    <t>Consum diari</t>
  </si>
  <si>
    <t>Consum horari</t>
  </si>
  <si>
    <t>(kWh)</t>
  </si>
  <si>
    <t>(kWh/dia)</t>
  </si>
  <si>
    <t>(kWh/h)</t>
  </si>
  <si>
    <t>TOTAL PERÍODE</t>
  </si>
  <si>
    <t>Feiner</t>
  </si>
  <si>
    <t>Cap de setmana</t>
  </si>
  <si>
    <t>Vacances</t>
  </si>
  <si>
    <t>ANÀLISI DE CONSUMS HORARIS</t>
  </si>
  <si>
    <t>QUANTITAT DE DADES DISPONIBLE EN L'INTERVAL D'ANÀLISIS I NO VACACIONAL</t>
  </si>
  <si>
    <t>dia</t>
  </si>
  <si>
    <t>horari</t>
  </si>
  <si>
    <t>Consum dia
kWh</t>
  </si>
  <si>
    <t>hores/dia</t>
  </si>
  <si>
    <t>P mitja
(kWh/h)</t>
  </si>
  <si>
    <t>MITJANA HORARI</t>
  </si>
  <si>
    <t>MITJANA DIA LABORAL</t>
  </si>
  <si>
    <t>MITJANA CAP DE SETMANA</t>
  </si>
  <si>
    <t xml:space="preserve">POTÈNCIA LABORABLE MITJANA OBERT/TANCAT </t>
  </si>
  <si>
    <t>MITJANA DIA LABORAL
HIVERN</t>
  </si>
  <si>
    <t>MITJANA DIA LABORAL
ENTRETEMPS</t>
  </si>
  <si>
    <t>MITJANA DIA LABORAL
ESTIU</t>
  </si>
  <si>
    <t>TOTAL x HORES</t>
  </si>
  <si>
    <t>DIA ENTRE SETMANA</t>
  </si>
  <si>
    <t>kWh/h</t>
  </si>
  <si>
    <t>kW</t>
  </si>
  <si>
    <t>kWh</t>
  </si>
  <si>
    <t xml:space="preserve">obert </t>
  </si>
  <si>
    <t xml:space="preserve">tancat </t>
  </si>
  <si>
    <t>total</t>
  </si>
  <si>
    <t>RTO</t>
  </si>
  <si>
    <t>tancat/obert</t>
  </si>
  <si>
    <t>DIA EN CAP DE SETMANA</t>
  </si>
  <si>
    <t>obert cap de setmana/laboral</t>
  </si>
  <si>
    <t>RCF</t>
  </si>
  <si>
    <t>tancat cap de setmana/feiner</t>
  </si>
  <si>
    <t>total cap de setmana/laboral</t>
  </si>
  <si>
    <t>PERÍODE</t>
  </si>
  <si>
    <t>total dies no vacacionals del període</t>
  </si>
  <si>
    <t>dies laborables</t>
  </si>
  <si>
    <t>màxim</t>
  </si>
  <si>
    <t>kWh/dia</t>
  </si>
  <si>
    <t>obert</t>
  </si>
  <si>
    <t xml:space="preserve">MITJANA </t>
  </si>
  <si>
    <t>tancat</t>
  </si>
  <si>
    <t>COMPARATIVA</t>
  </si>
  <si>
    <t>obert finde/labo</t>
  </si>
  <si>
    <t>tancat finde/labo</t>
  </si>
  <si>
    <t>total  finde/labo</t>
  </si>
  <si>
    <t>QUANTITAT DE DADES DISPONIBLE EN L'INTERVAL D'ANÀLISIS I VACACIONAL</t>
  </si>
  <si>
    <t>PROMIG HORARI (kWh/h)</t>
  </si>
  <si>
    <t>POTÈNCIA MITJANA (kW)</t>
  </si>
  <si>
    <t>tancat vacances/tancat no vacances</t>
  </si>
  <si>
    <t>PROMIG SETMANAL</t>
  </si>
  <si>
    <t>total dia promig</t>
  </si>
  <si>
    <t>període vacances menys consum promig</t>
  </si>
  <si>
    <t xml:space="preserve">minim vacas/no vacances </t>
  </si>
  <si>
    <t>total dies vacacionals del període</t>
  </si>
  <si>
    <t>tancat finde/feiner</t>
  </si>
  <si>
    <t>obert finde/feiner</t>
  </si>
  <si>
    <t>total  finde/feiner</t>
  </si>
  <si>
    <t>COMPARATIVA CAP DE SETMANA vs FEINER</t>
  </si>
  <si>
    <t>RTO ≤20% es considera OK (check verd)</t>
  </si>
  <si>
    <t>20%&lt;RTO ≤50% hi ha marge de millora (apagada circuits elèctrics?) [banderola verda]</t>
  </si>
  <si>
    <t>RTO&gt; 50% inadmissible, es gasta més de la meitat que en horari feiner (detectar errors a nivell usuari o possibles desprogramació d’automatismes) [aspa roja]</t>
  </si>
  <si>
    <t>RCF &lt;80% hi ha marge de millora en les nits de feiner (identificar la reducció del cap de setmana) [banderola verda]</t>
  </si>
  <si>
    <t>80%≤RCF &lt;110% es considera OK (consum similar en tancat de cap de setmana i feiner) [check verd]</t>
  </si>
  <si>
    <t>RCF ≥ 110% inadmissible, el cap de setmana es consumeix més que les nits de feiner (identificar consumidor) [aspa roja]</t>
  </si>
  <si>
    <t>A l'informe es pot veure el perfil de consum tipus segons tipologia de temporada, setmana, dia i horari.</t>
  </si>
  <si>
    <t>Però amb la informació disponible es pot analitzar si el consum en franges de temps sense activitat és significativament més baix que en franges equivalents amb activitat.</t>
  </si>
  <si>
    <t>Per tant, comparant els kWh/h (potència mitjana horària) amb i sense activitat es pot detectar possibles marges d'estalvi en franges sense activitat (rati RTO), o entre franges sense activitat de diferents perídoes (rati RCF).</t>
  </si>
  <si>
    <t>R T/O (Rati consum en horari Tancat sobre Obert) agafa de referència el consum en horari tancat com un mínim de consum assolible (tot i que es pugui millorar).  Es considera com més petit el rati més correcte:</t>
  </si>
  <si>
    <t>RVN</t>
  </si>
  <si>
    <t>R C/F (Rati consum horari tancat Cap de setmana sobre tancat Feiner) agafa de referència el consum en horari tancat de cap de setmana com un mínim possible (tot i que es pugui millorar). Es considera com més proper a 100% el més correcte:</t>
  </si>
  <si>
    <t>R V/N (Rati consum mínim) agafa de referència el consum mínim en Vacances com un mínim assolible  (tot i que es pugui millorar) en horaris de tancament.  Es considera com més proper a 100% el més correcte:</t>
  </si>
  <si>
    <t>RVN &lt;80% hi ha marge de millora en horari de tancament (identificar la reducció del període vacacional mínim)</t>
  </si>
  <si>
    <t>80%≤ RVN &lt;110% es considera OK (consum similar en període vacacional i tancat no vacacional)</t>
  </si>
  <si>
    <t>RVN ≥ 110% inadmissible, els períodes de tancament es consumeix més que els dies en vacances mínim (identificar l'element consumidor que no s'apaga en vacances)</t>
  </si>
  <si>
    <t>RVM</t>
  </si>
  <si>
    <t xml:space="preserve">R M/V (Rati consum Mínim vacacional sobre consum Vacacional) agafa de referència el consum mínim vacacional com a mínim assolible (tot i que es pugui millorar).  Es considera com més petit el rati més correcte:
</t>
  </si>
  <si>
    <t>RMV ≤20% es considera OK, consums semblants, pot ser difícil identificar estalvis</t>
  </si>
  <si>
    <t>20%&lt; RMV ≤50% hi ha marge de millora (imitar protocol de vacances del període amb el mínim consum)</t>
  </si>
  <si>
    <t>RMV &gt; 50% hi ha massa diferència amb el mínim, cal revisar protocol aplicat de tancament per vacances, o potser les dades o els períodes definits contenen errors</t>
  </si>
  <si>
    <t>Pestanya RESULTATS DIARIS</t>
  </si>
  <si>
    <t xml:space="preserve">Com que no s'està analitzant com es consumeix l'energia elèctrica, no se sap si el consum horari és el mínim possible o si està optimitzat. </t>
  </si>
  <si>
    <t>Alguns ratis tenen notes explicatòries i simbols que indiquen una valoració de millora amb el següent criteri:</t>
  </si>
  <si>
    <r>
      <t xml:space="preserve">HORARI OBERTURA </t>
    </r>
    <r>
      <rPr>
        <sz val="11"/>
        <color theme="1"/>
        <rFont val="Neue Haas Grotesk Text Pro"/>
        <family val="2"/>
      </rPr>
      <t>[desprotegint la pestanya es poden afegir franges de tancament de migdia]</t>
    </r>
  </si>
  <si>
    <t>hivern: desembre, gener, febrer, març / entretemps: abril, maig, octubre, novembre / estiu: juny, juliol, agost, setembre</t>
  </si>
  <si>
    <t xml:space="preserve">Úniques dades a introduir tenen el fons de color groc. Per tal que l'excel funcioni correctament, no s'han de manipular les columnes grises.
A la dreta de les dades hi ha un gràfic de consums horaris per detectar visualment possibles errors d'entrada de dades (periodes en blanc, valors anòmals, etc) i fer un primer anàlisis del consum.
També es presenta un histograma on s'observen les potència mitjanes (kWh/h) més freqüents.
</t>
  </si>
  <si>
    <t>Quadre elèctric analitzat</t>
  </si>
  <si>
    <r>
      <rPr>
        <u/>
        <sz val="12"/>
        <rFont val="Calibri"/>
        <family val="2"/>
      </rPr>
      <t>Atenció:</t>
    </r>
    <r>
      <rPr>
        <sz val="12"/>
        <rFont val="Calibri"/>
        <family val="2"/>
      </rPr>
      <t xml:space="preserve"> quan observem dades d'energia durant 1 hora, vol dir que el comptador ens acumula el total d'energia consumit durant aquest període de temps. Cal considerar que consumeix el mateix 1kW durant 1 hora que 2kW durant 0,5h, o 4kW durant 0,25h. Per tant si veiem 1kWh de consum, pot haver estat un equip molt potent durant poca estona o un equip poc potent durant molta estona. Cal tenir-ho en compte per no prendre conclusions errònies.</t>
    </r>
  </si>
  <si>
    <r>
      <rPr>
        <u/>
        <sz val="12"/>
        <rFont val="Calibri"/>
        <family val="2"/>
      </rPr>
      <t>Atenció:</t>
    </r>
    <r>
      <rPr>
        <sz val="12"/>
        <rFont val="Calibri"/>
        <family val="2"/>
      </rPr>
      <t xml:space="preserve"> segons la precisió de mesura dels comptadors, la unitat mínima de la lectura pot variar entre 1kWh o inferior (més precisió, p.e. 0,1 kWh). Quan tens poca precisió (1 kWh) pots visualitzar 0kWh de consum però en realitat si hi ha consum inferior a 1kWh. Fins que el comptador no acumula 1kWh no indica 1 (o per arrodoniments a 0,5kWh consumits ja indica 1kWh, depenent de la programació del comptador). Per tant els consums a vegades poden presentar-se decalats per aquest efecte acumulatiu en consums baixos (inferiors a la resolució del comptador) (p.e. un consum de 0,5kW ens indicarà 0kWh la primera hora i 1kWh consumit la 2a hora, o un consum de 200W no es visualitzarà fins a la 5a hora com 1kWh).</t>
    </r>
  </si>
  <si>
    <t>Aquesta pestanya conté un anàlisis del consum en format informe imprimible, sobre el consum en diferents tipus de dies: laborable, cap de setmana o vacances. També analitzar entre horari d'obertura o tancament, o entre estiu, hivern i entretemps.</t>
  </si>
  <si>
    <t>Com extreure conclusions:</t>
  </si>
  <si>
    <t>ANÀLISIS CONSUM ELÈCTRIC EN VACANCES</t>
  </si>
  <si>
    <t>ANÀLISIS CONSUM ELÈCTRIC PERÍODE</t>
  </si>
  <si>
    <r>
      <rPr>
        <u/>
        <sz val="12"/>
        <rFont val="Calibri"/>
        <family val="2"/>
      </rPr>
      <t>Atenció:</t>
    </r>
    <r>
      <rPr>
        <sz val="12"/>
        <rFont val="Calibri"/>
        <family val="2"/>
      </rPr>
      <t xml:space="preserve"> Si s'introdueixen més de 9.530 files de dades (un any té 8.760 files de dades horàries) les pestanyes Resultats-diaris i Resultat-mensuals no funcionaran bé. 
</t>
    </r>
  </si>
  <si>
    <t>E</t>
  </si>
  <si>
    <t>Set Santa</t>
  </si>
  <si>
    <t>Nadal</t>
  </si>
  <si>
    <t>ag</t>
  </si>
  <si>
    <t>Pont Agost</t>
  </si>
  <si>
    <t>Energia  Consumida</t>
  </si>
  <si>
    <t>FV  autoconsumida</t>
  </si>
  <si>
    <t>FV excedent</t>
  </si>
  <si>
    <t>Energia xarxa</t>
  </si>
  <si>
    <t>ANÀLISI D'AUTOCONSUM</t>
  </si>
  <si>
    <t>Energia de xarxa</t>
  </si>
  <si>
    <t>% autoconsum</t>
  </si>
  <si>
    <t>Energia consumida total</t>
  </si>
  <si>
    <t>Energia FV autoconsumida</t>
  </si>
  <si>
    <t>Energia FV excedent</t>
  </si>
  <si>
    <t>% autarquia</t>
  </si>
  <si>
    <t>%autarquia</t>
  </si>
  <si>
    <t>Ampliació de FV possible</t>
  </si>
  <si>
    <t>vegades la potència existent.</t>
  </si>
  <si>
    <t xml:space="preserve">Calculat per no excedir la mitjana horària de consum en dia feiner. </t>
  </si>
  <si>
    <t>FV autoncons ampliada</t>
  </si>
  <si>
    <t>nou consum xarxa</t>
  </si>
  <si>
    <t xml:space="preserve">FV </t>
  </si>
  <si>
    <t>FV ampliada</t>
  </si>
  <si>
    <t>Total per FRANJA</t>
  </si>
  <si>
    <t>Total per DIES</t>
  </si>
  <si>
    <t xml:space="preserve">HORARI OBERTURA </t>
  </si>
  <si>
    <t>Aquest nou escenari assoliria un</t>
  </si>
  <si>
    <t>I una reducció del consum de xarxa de</t>
  </si>
  <si>
    <t>Ajustar els mesos que es volen analitzar per a què s'actualitzi la taula dinàmica</t>
  </si>
  <si>
    <t>de cobertura solar.</t>
  </si>
  <si>
    <t>CONSUM HORARI EN MITJANA DIARIA NO VACACIONAL (kWh/h) PER ESTACIONS</t>
  </si>
  <si>
    <t>CONSUM HORARI EN MITJANA DIARIA NO VACACIONAL (kWh/h) DEL PERÍODE D'ANÀLISIS</t>
  </si>
  <si>
    <t>CONSUM HORARI EN MITJANA DIARIA VACACIONAL DE L'INTERVAL  (kWh/h)</t>
  </si>
  <si>
    <t>Consum innactiu (en horari tancat i vacances)</t>
  </si>
  <si>
    <t>Consum actiu (en horari d'obertura)</t>
  </si>
  <si>
    <t>reis</t>
  </si>
  <si>
    <t>Suma de AE_kWh</t>
  </si>
  <si>
    <t>DIES</t>
  </si>
  <si>
    <t>CONSUM ELÈCTRIC SEGONS ACTIVITAT</t>
  </si>
  <si>
    <t>Cal descarregar la corba horària (NO QUART-HORÀRIA) de l'equipament a analitzar de e-distribución. Obrir el fitxer excel, comprovar que els conceptes de la capçalera de l'arxiu de e-distribucion coincideix amb la capçalera de les columnes B fins a H d'aquesta pestanya (color fons groc), esborrar les dades actuals de B5 fins a HXXXX (on XXXX és la última fila amb dades) i enganxar totes les CEL·LES amb dades de e-distribución a partir de la cel·la B5 (CUPs de la primera hora del llistat). Anar fins la última fila amb dades i assegurar que totes les files tenen copiades les fórmules de les columnes I fins a O (fons blanc)</t>
  </si>
  <si>
    <t>v26a</t>
  </si>
  <si>
    <t xml:space="preserve"> - Nom i denominació equipament
- Periode de temps que es vol analitzar (ha de ser igual o inferior al període de dades que s'introduiran)
- Periodes vacacionals (ús de l'equipament restringit o sense ús)
- Horari d'ús del centre en periode no vacacional (per horaris partit cal modificar manualment a "resultat-informe")</t>
  </si>
  <si>
    <t>set</t>
  </si>
  <si>
    <t>oct</t>
  </si>
  <si>
    <t>nov</t>
  </si>
  <si>
    <t>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</si>
</sst>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[$-F800]dddd\,\ mmmm\ dd\,\ yyyy"/>
    <numFmt numFmtId="165" formatCode="[$-403]dddd\,\ d\ mmmm&quot; de &quot;yyyy;@"/>
    <numFmt numFmtId="166" formatCode="0.0"/>
    <numFmt numFmtId="167" formatCode="0.0%"/>
    <numFmt numFmtId="168" formatCode="#,##0.0"/>
    <numFmt numFmtId="169" formatCode="#,##0&quot; h/any&quot;"/>
    <numFmt numFmtId="170" formatCode="[$-F400]h:mm:ss\ AM/PM"/>
    <numFmt numFmtId="171" formatCode="h:mm;@"/>
    <numFmt numFmtId="172" formatCode="#,##0.000"/>
    <numFmt numFmtId="173" formatCode="#,##0.0000"/>
  </numFmts>
  <fonts count="8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8"/>
      <color indexed="72"/>
      <name val="Arial"/>
      <family val="2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1"/>
      <name val="Calibri"/>
      <family val="2"/>
    </font>
    <font>
      <u/>
      <sz val="10"/>
      <color indexed="12"/>
      <name val="Arial"/>
      <family val="2"/>
    </font>
    <font>
      <b/>
      <u/>
      <sz val="11"/>
      <color indexed="12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24"/>
      <color theme="1"/>
      <name val="Calibri"/>
      <family val="2"/>
    </font>
    <font>
      <b/>
      <sz val="20"/>
      <color rgb="FF9E1732"/>
      <name val="Neue Haas Grotesk Text Pro"/>
      <family val="2"/>
    </font>
    <font>
      <sz val="16"/>
      <color rgb="FF9E1732"/>
      <name val="Neue Haas Grotesk Text Pro"/>
      <family val="2"/>
    </font>
    <font>
      <b/>
      <sz val="24"/>
      <color theme="4"/>
      <name val="Calibri"/>
      <family val="2"/>
    </font>
    <font>
      <b/>
      <sz val="16"/>
      <color theme="4"/>
      <name val="Calibri"/>
      <family val="2"/>
    </font>
    <font>
      <sz val="18"/>
      <color theme="4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</font>
    <font>
      <sz val="16"/>
      <color theme="1"/>
      <name val="Calibri"/>
      <family val="2"/>
    </font>
    <font>
      <b/>
      <sz val="16"/>
      <color rgb="FF9E1732"/>
      <name val="Neue Haas Grotesk Text Pro"/>
      <family val="2"/>
    </font>
    <font>
      <b/>
      <sz val="12"/>
      <color theme="1"/>
      <name val="Neue Haas Grotesk Text Pro"/>
      <family val="2"/>
    </font>
    <font>
      <sz val="11"/>
      <color theme="1"/>
      <name val="Neue Haas Grotesk Text Pro"/>
      <family val="2"/>
    </font>
    <font>
      <sz val="11"/>
      <name val="Neue Haas Grotesk Text Pro"/>
      <family val="2"/>
    </font>
    <font>
      <sz val="11"/>
      <color rgb="FFFF0000"/>
      <name val="Neue Haas Grotesk Text Pro"/>
      <family val="2"/>
    </font>
    <font>
      <sz val="16"/>
      <color theme="1"/>
      <name val="Neue Haas Grotesk Text Pro"/>
      <family val="2"/>
    </font>
    <font>
      <sz val="16"/>
      <name val="Neue Haas Grotesk Text Pro"/>
      <family val="2"/>
    </font>
    <font>
      <b/>
      <sz val="12"/>
      <color theme="9"/>
      <name val="Calibri"/>
      <family val="2"/>
    </font>
    <font>
      <u/>
      <sz val="11"/>
      <color theme="9"/>
      <name val="Calibri"/>
      <family val="2"/>
    </font>
    <font>
      <b/>
      <sz val="11"/>
      <color theme="9"/>
      <name val="Calibri"/>
      <family val="2"/>
    </font>
    <font>
      <sz val="12"/>
      <color theme="9"/>
      <name val="Calibri"/>
      <family val="2"/>
    </font>
    <font>
      <u/>
      <sz val="11"/>
      <name val="Calibri"/>
      <family val="2"/>
    </font>
    <font>
      <b/>
      <sz val="14"/>
      <color theme="1"/>
      <name val="Neue Haas Grotesk Text Pro"/>
      <family val="2"/>
    </font>
    <font>
      <sz val="14"/>
      <color theme="1"/>
      <name val="Calibri"/>
      <family val="2"/>
      <scheme val="minor"/>
    </font>
    <font>
      <sz val="14"/>
      <color theme="1"/>
      <name val="Neue Haas Grotesk Text Pro"/>
      <family val="2"/>
    </font>
    <font>
      <i/>
      <sz val="14"/>
      <color theme="1"/>
      <name val="Neue Haas Grotesk Text Pro"/>
      <family val="2"/>
    </font>
    <font>
      <b/>
      <sz val="11"/>
      <color theme="1"/>
      <name val="Neue Haas Grotesk Text Pro"/>
      <family val="2"/>
    </font>
    <font>
      <sz val="10"/>
      <color theme="1"/>
      <name val="Neue Haas Grotesk Text Pro"/>
      <family val="2"/>
    </font>
    <font>
      <sz val="8"/>
      <color theme="1"/>
      <name val="Neue Haas Grotesk Text Pro"/>
      <family val="2"/>
    </font>
    <font>
      <b/>
      <sz val="20"/>
      <color theme="1"/>
      <name val="Neue Haas Grotesk Text Pro"/>
      <family val="2"/>
    </font>
    <font>
      <b/>
      <sz val="18"/>
      <color theme="1"/>
      <name val="Neue Haas Grotesk Text Pro"/>
      <family val="2"/>
    </font>
    <font>
      <sz val="18"/>
      <color theme="1"/>
      <name val="Neue Haas Grotesk Text Pro"/>
      <family val="2"/>
    </font>
    <font>
      <b/>
      <sz val="11"/>
      <color rgb="FF00B050"/>
      <name val="Neue Haas Grotesk Text Pro"/>
      <family val="2"/>
    </font>
    <font>
      <sz val="10"/>
      <color theme="0" tint="-4.9989318521683403E-2"/>
      <name val="Neue Haas Grotesk Text Pro"/>
      <family val="2"/>
    </font>
    <font>
      <sz val="9"/>
      <name val="Neue Haas Grotesk Text Pro"/>
      <family val="2"/>
    </font>
    <font>
      <b/>
      <sz val="11"/>
      <name val="Neue Haas Grotesk Text Pro"/>
      <family val="2"/>
    </font>
    <font>
      <b/>
      <sz val="11"/>
      <color theme="0" tint="-0.499984740745262"/>
      <name val="Neue Haas Grotesk Text Pro"/>
      <family val="2"/>
    </font>
    <font>
      <i/>
      <sz val="11"/>
      <name val="Neue Haas Grotesk Text Pro"/>
      <family val="2"/>
    </font>
    <font>
      <i/>
      <sz val="11"/>
      <color theme="1"/>
      <name val="Neue Haas Grotesk Text Pro"/>
      <family val="2"/>
    </font>
    <font>
      <sz val="11"/>
      <color theme="0" tint="-0.499984740745262"/>
      <name val="Neue Haas Grotesk Text Pro"/>
      <family val="2"/>
    </font>
    <font>
      <i/>
      <sz val="10"/>
      <color theme="1"/>
      <name val="Neue Haas Grotesk Text Pro"/>
      <family val="2"/>
    </font>
    <font>
      <i/>
      <sz val="11"/>
      <color theme="0" tint="-0.499984740745262"/>
      <name val="Neue Haas Grotesk Text Pro"/>
      <family val="2"/>
    </font>
    <font>
      <u/>
      <sz val="12"/>
      <name val="Calibri"/>
      <family val="2"/>
    </font>
    <font>
      <i/>
      <sz val="11"/>
      <color rgb="FFFF0000"/>
      <name val="Calibri"/>
      <family val="2"/>
      <scheme val="minor"/>
    </font>
    <font>
      <i/>
      <sz val="12"/>
      <color theme="1"/>
      <name val="Neue Haas Grotesk Text Pro"/>
      <family val="2"/>
    </font>
    <font>
      <b/>
      <sz val="10"/>
      <color theme="1"/>
      <name val="Neue Haas Grotesk Text Pro"/>
      <family val="2"/>
    </font>
    <font>
      <sz val="10"/>
      <color theme="0" tint="-0.499984740745262"/>
      <name val="Neue Haas Grotesk Text Pro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b/>
      <i/>
      <sz val="18"/>
      <color rgb="FFFF0000"/>
      <name val="Neue Haas Grotesk Text Pro"/>
      <family val="2"/>
    </font>
    <font>
      <sz val="11"/>
      <color theme="0"/>
      <name val="Neue Haas Grotesk Text Pro"/>
      <family val="2"/>
    </font>
    <font>
      <sz val="12"/>
      <color theme="1"/>
      <name val="Neue Haas Grotesk Text Pro"/>
      <family val="2"/>
    </font>
    <font>
      <b/>
      <sz val="16"/>
      <color theme="0" tint="-0.499984740745262"/>
      <name val="Neue Haas Grotesk Text Pro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9E173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theme="0" tint="-0.14996795556505021"/>
      </bottom>
      <diagonal/>
    </border>
    <border>
      <left/>
      <right/>
      <top style="thick">
        <color theme="0" tint="-0.14996795556505021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/>
      <bottom style="thick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ck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ck">
        <color theme="0" tint="-0.24994659260841701"/>
      </bottom>
      <diagonal/>
    </border>
    <border>
      <left style="thick">
        <color theme="0" tint="-0.14993743705557422"/>
      </left>
      <right style="thin">
        <color theme="0" tint="-0.24994659260841701"/>
      </right>
      <top/>
      <bottom style="thick">
        <color theme="0" tint="-0.24994659260841701"/>
      </bottom>
      <diagonal/>
    </border>
    <border>
      <left style="thin">
        <color theme="0" tint="-0.24994659260841701"/>
      </left>
      <right/>
      <top/>
      <bottom style="thick">
        <color theme="0" tint="-0.14993743705557422"/>
      </bottom>
      <diagonal/>
    </border>
    <border>
      <left style="thick">
        <color theme="0" tint="-0.14993743705557422"/>
      </left>
      <right style="thin">
        <color theme="0" tint="-0.24994659260841701"/>
      </right>
      <top/>
      <bottom style="thick">
        <color theme="0" tint="-0.14996795556505021"/>
      </bottom>
      <diagonal/>
    </border>
    <border>
      <left style="thin">
        <color theme="0" tint="-0.24994659260841701"/>
      </left>
      <right/>
      <top style="thick">
        <color theme="0" tint="-0.14993743705557422"/>
      </top>
      <bottom style="thick">
        <color theme="0" tint="-0.14993743705557422"/>
      </bottom>
      <diagonal/>
    </border>
    <border>
      <left style="thin">
        <color theme="0" tint="-0.24994659260841701"/>
      </left>
      <right/>
      <top style="thick">
        <color theme="0" tint="-0.14993743705557422"/>
      </top>
      <bottom style="thick">
        <color theme="0" tint="-0.14996795556505021"/>
      </bottom>
      <diagonal/>
    </border>
    <border>
      <left style="thin">
        <color theme="0" tint="-0.24994659260841701"/>
      </left>
      <right/>
      <top style="thick">
        <color theme="0" tint="-0.1499679555650502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44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Alignment="0">
      <alignment vertical="top" wrapText="1"/>
      <protection locked="0"/>
    </xf>
    <xf numFmtId="9" fontId="1" fillId="0" borderId="0" applyFont="0" applyFill="0" applyBorder="0" applyAlignment="0" applyProtection="0"/>
    <xf numFmtId="0" fontId="2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</cellStyleXfs>
  <cellXfs count="4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5" fillId="0" borderId="0" xfId="49" applyFont="1"/>
    <xf numFmtId="0" fontId="28" fillId="0" borderId="0" xfId="49" applyFont="1"/>
    <xf numFmtId="0" fontId="29" fillId="0" borderId="0" xfId="49" applyFont="1"/>
    <xf numFmtId="0" fontId="30" fillId="0" borderId="0" xfId="50" applyFont="1" applyAlignment="1" applyProtection="1"/>
    <xf numFmtId="0" fontId="29" fillId="0" borderId="0" xfId="49" applyFont="1" applyAlignment="1">
      <alignment horizontal="left" vertical="top" wrapText="1"/>
    </xf>
    <xf numFmtId="0" fontId="0" fillId="0" borderId="0" xfId="0" applyProtection="1">
      <protection locked="0"/>
    </xf>
    <xf numFmtId="0" fontId="0" fillId="35" borderId="0" xfId="0" applyFill="1"/>
    <xf numFmtId="0" fontId="0" fillId="36" borderId="0" xfId="0" applyFill="1"/>
    <xf numFmtId="0" fontId="32" fillId="35" borderId="0" xfId="0" applyFont="1" applyFill="1"/>
    <xf numFmtId="0" fontId="32" fillId="37" borderId="0" xfId="0" applyFont="1" applyFill="1"/>
    <xf numFmtId="0" fontId="32" fillId="38" borderId="0" xfId="0" applyFont="1" applyFill="1"/>
    <xf numFmtId="0" fontId="32" fillId="36" borderId="0" xfId="0" applyFont="1" applyFill="1"/>
    <xf numFmtId="0" fontId="32" fillId="39" borderId="0" xfId="0" applyFont="1" applyFill="1"/>
    <xf numFmtId="0" fontId="35" fillId="37" borderId="0" xfId="0" applyFont="1" applyFill="1" applyAlignment="1">
      <alignment horizontal="center" vertical="center" wrapText="1"/>
    </xf>
    <xf numFmtId="0" fontId="35" fillId="39" borderId="0" xfId="0" applyFont="1" applyFill="1" applyAlignment="1">
      <alignment vertical="center" wrapText="1"/>
    </xf>
    <xf numFmtId="0" fontId="35" fillId="37" borderId="0" xfId="0" applyFont="1" applyFill="1" applyAlignment="1">
      <alignment vertical="center" wrapText="1"/>
    </xf>
    <xf numFmtId="0" fontId="35" fillId="35" borderId="0" xfId="0" applyFont="1" applyFill="1" applyAlignment="1">
      <alignment vertical="center" wrapText="1"/>
    </xf>
    <xf numFmtId="0" fontId="35" fillId="36" borderId="0" xfId="0" applyFont="1" applyFill="1" applyAlignment="1">
      <alignment vertical="center" wrapText="1"/>
    </xf>
    <xf numFmtId="0" fontId="36" fillId="37" borderId="0" xfId="0" applyFont="1" applyFill="1" applyAlignment="1">
      <alignment vertical="center" wrapText="1"/>
    </xf>
    <xf numFmtId="0" fontId="37" fillId="37" borderId="0" xfId="0" applyFont="1" applyFill="1" applyAlignment="1">
      <alignment horizontal="right" vertical="center" wrapText="1"/>
    </xf>
    <xf numFmtId="14" fontId="37" fillId="37" borderId="0" xfId="0" applyNumberFormat="1" applyFont="1" applyFill="1" applyAlignment="1">
      <alignment vertical="center" wrapText="1"/>
    </xf>
    <xf numFmtId="0" fontId="0" fillId="37" borderId="0" xfId="0" applyFill="1"/>
    <xf numFmtId="0" fontId="38" fillId="38" borderId="0" xfId="44" applyFont="1" applyFill="1" applyAlignment="1">
      <alignment horizontal="right"/>
    </xf>
    <xf numFmtId="0" fontId="39" fillId="38" borderId="0" xfId="0" applyFont="1" applyFill="1"/>
    <xf numFmtId="0" fontId="40" fillId="38" borderId="0" xfId="44" applyFont="1" applyFill="1"/>
    <xf numFmtId="0" fontId="41" fillId="38" borderId="0" xfId="44" applyFont="1" applyFill="1" applyAlignment="1">
      <alignment horizontal="right"/>
    </xf>
    <xf numFmtId="0" fontId="42" fillId="38" borderId="0" xfId="44" applyFont="1" applyFill="1" applyAlignment="1">
      <alignment horizontal="right"/>
    </xf>
    <xf numFmtId="0" fontId="41" fillId="38" borderId="0" xfId="44" applyFont="1" applyFill="1" applyAlignment="1">
      <alignment horizontal="right" vertical="top" wrapText="1"/>
    </xf>
    <xf numFmtId="0" fontId="44" fillId="38" borderId="0" xfId="0" applyFont="1" applyFill="1" applyAlignment="1">
      <alignment vertical="top"/>
    </xf>
    <xf numFmtId="0" fontId="44" fillId="38" borderId="0" xfId="44" applyFont="1" applyFill="1"/>
    <xf numFmtId="0" fontId="45" fillId="38" borderId="0" xfId="0" applyFont="1" applyFill="1"/>
    <xf numFmtId="0" fontId="46" fillId="38" borderId="0" xfId="44" applyFont="1" applyFill="1"/>
    <xf numFmtId="0" fontId="43" fillId="38" borderId="0" xfId="44" applyFont="1" applyFill="1" applyAlignment="1">
      <alignment vertical="top"/>
    </xf>
    <xf numFmtId="0" fontId="46" fillId="38" borderId="0" xfId="44" applyFont="1" applyFill="1" applyAlignment="1">
      <alignment vertical="top"/>
    </xf>
    <xf numFmtId="0" fontId="47" fillId="38" borderId="0" xfId="44" applyFont="1" applyFill="1" applyAlignment="1">
      <alignment vertical="top"/>
    </xf>
    <xf numFmtId="0" fontId="47" fillId="38" borderId="0" xfId="44" applyFont="1" applyFill="1"/>
    <xf numFmtId="0" fontId="52" fillId="0" borderId="0" xfId="50" applyFont="1" applyAlignment="1" applyProtection="1"/>
    <xf numFmtId="0" fontId="53" fillId="43" borderId="0" xfId="0" applyFont="1" applyFill="1"/>
    <xf numFmtId="0" fontId="55" fillId="44" borderId="0" xfId="0" applyFont="1" applyFill="1"/>
    <xf numFmtId="0" fontId="56" fillId="44" borderId="0" xfId="0" applyFont="1" applyFill="1"/>
    <xf numFmtId="0" fontId="55" fillId="35" borderId="0" xfId="0" applyFont="1" applyFill="1"/>
    <xf numFmtId="0" fontId="43" fillId="35" borderId="0" xfId="0" applyFont="1" applyFill="1"/>
    <xf numFmtId="0" fontId="57" fillId="37" borderId="0" xfId="0" applyFont="1" applyFill="1" applyAlignment="1">
      <alignment horizontal="center" vertical="center"/>
    </xf>
    <xf numFmtId="0" fontId="43" fillId="37" borderId="0" xfId="0" applyFont="1" applyFill="1" applyAlignment="1">
      <alignment horizontal="center" vertical="center"/>
    </xf>
    <xf numFmtId="0" fontId="43" fillId="37" borderId="0" xfId="0" applyFont="1" applyFill="1" applyAlignment="1">
      <alignment horizontal="right" vertical="center" wrapText="1"/>
    </xf>
    <xf numFmtId="0" fontId="43" fillId="37" borderId="0" xfId="0" applyFont="1" applyFill="1" applyAlignment="1" applyProtection="1">
      <alignment horizontal="center" vertical="center"/>
      <protection locked="0"/>
    </xf>
    <xf numFmtId="0" fontId="43" fillId="37" borderId="0" xfId="0" applyFont="1" applyFill="1" applyAlignment="1">
      <alignment vertical="center"/>
    </xf>
    <xf numFmtId="0" fontId="57" fillId="37" borderId="0" xfId="0" applyFont="1" applyFill="1" applyAlignment="1">
      <alignment horizontal="center" vertical="center" wrapText="1"/>
    </xf>
    <xf numFmtId="0" fontId="58" fillId="37" borderId="0" xfId="0" applyFont="1" applyFill="1" applyAlignment="1">
      <alignment horizontal="right" vertical="center" wrapText="1"/>
    </xf>
    <xf numFmtId="0" fontId="57" fillId="37" borderId="0" xfId="0" applyFont="1" applyFill="1" applyAlignment="1">
      <alignment horizontal="right" vertical="center"/>
    </xf>
    <xf numFmtId="0" fontId="57" fillId="37" borderId="0" xfId="0" applyFont="1" applyFill="1" applyAlignment="1">
      <alignment horizontal="right" vertical="center" wrapText="1"/>
    </xf>
    <xf numFmtId="0" fontId="57" fillId="37" borderId="0" xfId="0" applyFont="1" applyFill="1" applyAlignment="1">
      <alignment vertical="center"/>
    </xf>
    <xf numFmtId="0" fontId="43" fillId="37" borderId="0" xfId="0" applyFont="1" applyFill="1" applyAlignment="1">
      <alignment horizontal="right" vertical="center"/>
    </xf>
    <xf numFmtId="0" fontId="58" fillId="37" borderId="0" xfId="0" applyFont="1" applyFill="1" applyAlignment="1">
      <alignment horizontal="center" vertical="center"/>
    </xf>
    <xf numFmtId="0" fontId="59" fillId="37" borderId="0" xfId="0" applyFont="1" applyFill="1" applyAlignment="1">
      <alignment horizontal="center" vertical="center" wrapText="1"/>
    </xf>
    <xf numFmtId="169" fontId="58" fillId="37" borderId="0" xfId="0" applyNumberFormat="1" applyFont="1" applyFill="1" applyAlignment="1">
      <alignment horizontal="center" vertical="center"/>
    </xf>
    <xf numFmtId="0" fontId="0" fillId="44" borderId="0" xfId="0" applyFill="1" applyProtection="1">
      <protection locked="0"/>
    </xf>
    <xf numFmtId="14" fontId="0" fillId="44" borderId="0" xfId="0" applyNumberFormat="1" applyFill="1" applyProtection="1">
      <protection locked="0"/>
    </xf>
    <xf numFmtId="0" fontId="43" fillId="42" borderId="0" xfId="0" applyFont="1" applyFill="1"/>
    <xf numFmtId="0" fontId="22" fillId="36" borderId="0" xfId="0" applyFont="1" applyFill="1"/>
    <xf numFmtId="0" fontId="43" fillId="45" borderId="0" xfId="0" applyFont="1" applyFill="1"/>
    <xf numFmtId="0" fontId="61" fillId="45" borderId="0" xfId="0" applyFont="1" applyFill="1" applyAlignment="1">
      <alignment horizontal="center"/>
    </xf>
    <xf numFmtId="0" fontId="62" fillId="45" borderId="0" xfId="0" applyFont="1" applyFill="1" applyAlignment="1">
      <alignment horizontal="left"/>
    </xf>
    <xf numFmtId="0" fontId="60" fillId="42" borderId="0" xfId="0" applyFont="1" applyFill="1" applyAlignment="1">
      <alignment horizontal="left"/>
    </xf>
    <xf numFmtId="0" fontId="60" fillId="42" borderId="0" xfId="0" applyFont="1" applyFill="1"/>
    <xf numFmtId="0" fontId="60" fillId="42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61" fillId="35" borderId="0" xfId="0" applyFont="1" applyFill="1" applyAlignment="1">
      <alignment horizontal="center"/>
    </xf>
    <xf numFmtId="0" fontId="62" fillId="35" borderId="0" xfId="0" applyFont="1" applyFill="1" applyAlignment="1">
      <alignment horizontal="left"/>
    </xf>
    <xf numFmtId="165" fontId="0" fillId="37" borderId="0" xfId="0" applyNumberFormat="1" applyFill="1"/>
    <xf numFmtId="0" fontId="56" fillId="33" borderId="0" xfId="0" applyFont="1" applyFill="1"/>
    <xf numFmtId="0" fontId="43" fillId="37" borderId="0" xfId="0" applyFont="1" applyFill="1"/>
    <xf numFmtId="0" fontId="63" fillId="37" borderId="0" xfId="0" applyFont="1" applyFill="1"/>
    <xf numFmtId="0" fontId="57" fillId="37" borderId="0" xfId="0" applyFont="1" applyFill="1"/>
    <xf numFmtId="14" fontId="43" fillId="37" borderId="0" xfId="0" applyNumberFormat="1" applyFont="1" applyFill="1"/>
    <xf numFmtId="0" fontId="43" fillId="37" borderId="0" xfId="0" applyFont="1" applyFill="1" applyAlignment="1">
      <alignment horizontal="center"/>
    </xf>
    <xf numFmtId="3" fontId="43" fillId="37" borderId="0" xfId="0" applyNumberFormat="1" applyFont="1" applyFill="1"/>
    <xf numFmtId="10" fontId="43" fillId="37" borderId="0" xfId="48" applyNumberFormat="1" applyFont="1" applyFill="1"/>
    <xf numFmtId="0" fontId="44" fillId="37" borderId="0" xfId="0" applyFont="1" applyFill="1" applyProtection="1">
      <protection locked="0"/>
    </xf>
    <xf numFmtId="0" fontId="43" fillId="37" borderId="0" xfId="0" applyFont="1" applyFill="1" applyAlignment="1">
      <alignment horizontal="right"/>
    </xf>
    <xf numFmtId="0" fontId="43" fillId="37" borderId="0" xfId="0" applyFont="1" applyFill="1" applyAlignment="1">
      <alignment horizontal="left"/>
    </xf>
    <xf numFmtId="14" fontId="44" fillId="37" borderId="0" xfId="0" applyNumberFormat="1" applyFont="1" applyFill="1" applyProtection="1">
      <protection locked="0"/>
    </xf>
    <xf numFmtId="0" fontId="44" fillId="37" borderId="0" xfId="0" applyFont="1" applyFill="1" applyAlignment="1">
      <alignment horizontal="center"/>
    </xf>
    <xf numFmtId="0" fontId="57" fillId="36" borderId="0" xfId="0" applyFont="1" applyFill="1"/>
    <xf numFmtId="0" fontId="43" fillId="36" borderId="0" xfId="0" applyFont="1" applyFill="1"/>
    <xf numFmtId="14" fontId="58" fillId="37" borderId="0" xfId="0" applyNumberFormat="1" applyFont="1" applyFill="1" applyAlignment="1">
      <alignment horizontal="center" vertical="center"/>
    </xf>
    <xf numFmtId="170" fontId="58" fillId="37" borderId="0" xfId="0" applyNumberFormat="1" applyFont="1" applyFill="1" applyAlignment="1">
      <alignment horizontal="center" vertical="center"/>
    </xf>
    <xf numFmtId="170" fontId="59" fillId="37" borderId="0" xfId="0" applyNumberFormat="1" applyFont="1" applyFill="1" applyAlignment="1">
      <alignment horizontal="center" vertical="center" wrapText="1"/>
    </xf>
    <xf numFmtId="170" fontId="43" fillId="37" borderId="0" xfId="0" applyNumberFormat="1" applyFont="1" applyFill="1" applyAlignment="1">
      <alignment vertical="center"/>
    </xf>
    <xf numFmtId="171" fontId="58" fillId="37" borderId="0" xfId="0" applyNumberFormat="1" applyFont="1" applyFill="1" applyAlignment="1">
      <alignment horizontal="right" vertical="center" wrapText="1"/>
    </xf>
    <xf numFmtId="0" fontId="54" fillId="36" borderId="0" xfId="0" applyFont="1" applyFill="1"/>
    <xf numFmtId="171" fontId="64" fillId="36" borderId="0" xfId="0" applyNumberFormat="1" applyFont="1" applyFill="1" applyAlignment="1">
      <alignment horizontal="right" vertical="center" wrapText="1"/>
    </xf>
    <xf numFmtId="0" fontId="56" fillId="37" borderId="0" xfId="0" applyFont="1" applyFill="1"/>
    <xf numFmtId="14" fontId="57" fillId="37" borderId="0" xfId="0" applyNumberFormat="1" applyFont="1" applyFill="1" applyAlignment="1">
      <alignment vertical="center"/>
    </xf>
    <xf numFmtId="0" fontId="65" fillId="37" borderId="0" xfId="0" applyFont="1" applyFill="1"/>
    <xf numFmtId="0" fontId="44" fillId="37" borderId="0" xfId="0" applyFont="1" applyFill="1" applyAlignment="1">
      <alignment horizontal="center" vertical="top" wrapText="1"/>
    </xf>
    <xf numFmtId="0" fontId="44" fillId="37" borderId="0" xfId="0" applyFont="1" applyFill="1"/>
    <xf numFmtId="0" fontId="44" fillId="37" borderId="11" xfId="0" applyFont="1" applyFill="1" applyBorder="1" applyAlignment="1" applyProtection="1">
      <alignment horizontal="left"/>
      <protection locked="0"/>
    </xf>
    <xf numFmtId="14" fontId="44" fillId="37" borderId="11" xfId="0" applyNumberFormat="1" applyFont="1" applyFill="1" applyBorder="1" applyProtection="1">
      <protection locked="0"/>
    </xf>
    <xf numFmtId="3" fontId="44" fillId="37" borderId="11" xfId="0" applyNumberFormat="1" applyFont="1" applyFill="1" applyBorder="1" applyAlignment="1">
      <alignment horizontal="center"/>
    </xf>
    <xf numFmtId="0" fontId="44" fillId="37" borderId="11" xfId="0" applyFont="1" applyFill="1" applyBorder="1" applyAlignment="1">
      <alignment horizontal="center"/>
    </xf>
    <xf numFmtId="2" fontId="66" fillId="37" borderId="11" xfId="0" applyNumberFormat="1" applyFont="1" applyFill="1" applyBorder="1" applyAlignment="1">
      <alignment horizontal="center"/>
    </xf>
    <xf numFmtId="9" fontId="44" fillId="37" borderId="11" xfId="48" applyFont="1" applyFill="1" applyBorder="1" applyAlignment="1">
      <alignment horizontal="center"/>
    </xf>
    <xf numFmtId="14" fontId="57" fillId="36" borderId="0" xfId="0" applyNumberFormat="1" applyFont="1" applyFill="1"/>
    <xf numFmtId="0" fontId="68" fillId="37" borderId="0" xfId="0" applyFont="1" applyFill="1"/>
    <xf numFmtId="0" fontId="69" fillId="37" borderId="0" xfId="0" applyFont="1" applyFill="1"/>
    <xf numFmtId="0" fontId="44" fillId="33" borderId="0" xfId="0" applyFont="1" applyFill="1" applyAlignment="1">
      <alignment horizontal="center"/>
    </xf>
    <xf numFmtId="1" fontId="44" fillId="37" borderId="22" xfId="0" applyNumberFormat="1" applyFont="1" applyFill="1" applyBorder="1" applyAlignment="1" applyProtection="1">
      <alignment horizontal="center"/>
      <protection locked="0"/>
    </xf>
    <xf numFmtId="1" fontId="66" fillId="36" borderId="0" xfId="0" applyNumberFormat="1" applyFont="1" applyFill="1" applyAlignment="1">
      <alignment horizontal="center" vertical="center"/>
    </xf>
    <xf numFmtId="0" fontId="43" fillId="33" borderId="0" xfId="0" applyFont="1" applyFill="1"/>
    <xf numFmtId="0" fontId="43" fillId="37" borderId="0" xfId="0" applyFont="1" applyFill="1" applyAlignment="1">
      <alignment horizontal="center" wrapText="1"/>
    </xf>
    <xf numFmtId="0" fontId="43" fillId="37" borderId="17" xfId="0" applyFont="1" applyFill="1" applyBorder="1" applyAlignment="1">
      <alignment horizontal="left"/>
    </xf>
    <xf numFmtId="0" fontId="43" fillId="37" borderId="17" xfId="0" applyFont="1" applyFill="1" applyBorder="1"/>
    <xf numFmtId="3" fontId="43" fillId="37" borderId="17" xfId="0" applyNumberFormat="1" applyFont="1" applyFill="1" applyBorder="1" applyAlignment="1">
      <alignment horizontal="center"/>
    </xf>
    <xf numFmtId="9" fontId="43" fillId="37" borderId="17" xfId="48" applyFont="1" applyFill="1" applyBorder="1" applyAlignment="1">
      <alignment horizontal="center"/>
    </xf>
    <xf numFmtId="0" fontId="43" fillId="37" borderId="11" xfId="0" applyFont="1" applyFill="1" applyBorder="1" applyAlignment="1">
      <alignment horizontal="left"/>
    </xf>
    <xf numFmtId="0" fontId="43" fillId="37" borderId="11" xfId="0" applyFont="1" applyFill="1" applyBorder="1"/>
    <xf numFmtId="3" fontId="43" fillId="37" borderId="11" xfId="0" applyNumberFormat="1" applyFont="1" applyFill="1" applyBorder="1" applyAlignment="1">
      <alignment horizontal="center"/>
    </xf>
    <xf numFmtId="9" fontId="43" fillId="37" borderId="11" xfId="48" applyFont="1" applyFill="1" applyBorder="1" applyAlignment="1">
      <alignment horizontal="center"/>
    </xf>
    <xf numFmtId="168" fontId="43" fillId="37" borderId="11" xfId="0" applyNumberFormat="1" applyFont="1" applyFill="1" applyBorder="1" applyAlignment="1">
      <alignment horizontal="center"/>
    </xf>
    <xf numFmtId="0" fontId="43" fillId="37" borderId="10" xfId="0" applyFont="1" applyFill="1" applyBorder="1" applyAlignment="1">
      <alignment horizontal="left"/>
    </xf>
    <xf numFmtId="0" fontId="43" fillId="37" borderId="10" xfId="0" applyFont="1" applyFill="1" applyBorder="1"/>
    <xf numFmtId="3" fontId="43" fillId="37" borderId="10" xfId="0" applyNumberFormat="1" applyFont="1" applyFill="1" applyBorder="1" applyAlignment="1">
      <alignment horizontal="center"/>
    </xf>
    <xf numFmtId="9" fontId="43" fillId="37" borderId="10" xfId="48" applyFont="1" applyFill="1" applyBorder="1" applyAlignment="1">
      <alignment horizontal="center"/>
    </xf>
    <xf numFmtId="168" fontId="43" fillId="37" borderId="10" xfId="0" applyNumberFormat="1" applyFont="1" applyFill="1" applyBorder="1" applyAlignment="1">
      <alignment horizontal="center"/>
    </xf>
    <xf numFmtId="0" fontId="43" fillId="37" borderId="13" xfId="0" applyFont="1" applyFill="1" applyBorder="1" applyAlignment="1">
      <alignment horizontal="center"/>
    </xf>
    <xf numFmtId="0" fontId="43" fillId="37" borderId="13" xfId="0" applyFont="1" applyFill="1" applyBorder="1" applyAlignment="1">
      <alignment horizontal="center" wrapText="1"/>
    </xf>
    <xf numFmtId="166" fontId="43" fillId="37" borderId="11" xfId="0" applyNumberFormat="1" applyFont="1" applyFill="1" applyBorder="1" applyAlignment="1">
      <alignment horizontal="center"/>
    </xf>
    <xf numFmtId="1" fontId="43" fillId="37" borderId="11" xfId="0" applyNumberFormat="1" applyFont="1" applyFill="1" applyBorder="1" applyAlignment="1">
      <alignment horizontal="center"/>
    </xf>
    <xf numFmtId="1" fontId="43" fillId="37" borderId="0" xfId="0" applyNumberFormat="1" applyFont="1" applyFill="1" applyAlignment="1">
      <alignment horizontal="center"/>
    </xf>
    <xf numFmtId="0" fontId="43" fillId="37" borderId="13" xfId="0" applyFont="1" applyFill="1" applyBorder="1"/>
    <xf numFmtId="0" fontId="43" fillId="37" borderId="10" xfId="0" applyFont="1" applyFill="1" applyBorder="1" applyAlignment="1">
      <alignment horizontal="right"/>
    </xf>
    <xf numFmtId="1" fontId="43" fillId="37" borderId="10" xfId="48" applyNumberFormat="1" applyFont="1" applyFill="1" applyBorder="1" applyAlignment="1">
      <alignment horizontal="center"/>
    </xf>
    <xf numFmtId="1" fontId="43" fillId="37" borderId="0" xfId="0" applyNumberFormat="1" applyFont="1" applyFill="1"/>
    <xf numFmtId="0" fontId="43" fillId="37" borderId="11" xfId="0" applyFont="1" applyFill="1" applyBorder="1" applyAlignment="1">
      <alignment horizontal="right"/>
    </xf>
    <xf numFmtId="0" fontId="43" fillId="37" borderId="15" xfId="0" applyFont="1" applyFill="1" applyBorder="1"/>
    <xf numFmtId="3" fontId="43" fillId="37" borderId="15" xfId="0" applyNumberFormat="1" applyFont="1" applyFill="1" applyBorder="1" applyAlignment="1">
      <alignment horizontal="center"/>
    </xf>
    <xf numFmtId="0" fontId="43" fillId="37" borderId="0" xfId="0" applyFont="1" applyFill="1" applyAlignment="1">
      <alignment wrapText="1"/>
    </xf>
    <xf numFmtId="0" fontId="57" fillId="37" borderId="14" xfId="0" applyFont="1" applyFill="1" applyBorder="1" applyAlignment="1">
      <alignment horizontal="center" wrapText="1"/>
    </xf>
    <xf numFmtId="0" fontId="57" fillId="37" borderId="0" xfId="0" applyFont="1" applyFill="1" applyAlignment="1">
      <alignment horizontal="center" wrapText="1"/>
    </xf>
    <xf numFmtId="0" fontId="43" fillId="37" borderId="18" xfId="0" applyFont="1" applyFill="1" applyBorder="1" applyAlignment="1">
      <alignment horizontal="center" wrapText="1"/>
    </xf>
    <xf numFmtId="0" fontId="43" fillId="37" borderId="14" xfId="0" applyFont="1" applyFill="1" applyBorder="1"/>
    <xf numFmtId="166" fontId="57" fillId="37" borderId="16" xfId="0" applyNumberFormat="1" applyFont="1" applyFill="1" applyBorder="1" applyAlignment="1">
      <alignment horizontal="center"/>
    </xf>
    <xf numFmtId="2" fontId="57" fillId="37" borderId="11" xfId="0" applyNumberFormat="1" applyFont="1" applyFill="1" applyBorder="1" applyAlignment="1">
      <alignment horizontal="center"/>
    </xf>
    <xf numFmtId="166" fontId="43" fillId="37" borderId="16" xfId="0" applyNumberFormat="1" applyFont="1" applyFill="1" applyBorder="1" applyAlignment="1">
      <alignment horizontal="center"/>
    </xf>
    <xf numFmtId="2" fontId="43" fillId="37" borderId="11" xfId="0" applyNumberFormat="1" applyFont="1" applyFill="1" applyBorder="1" applyAlignment="1">
      <alignment horizontal="center"/>
    </xf>
    <xf numFmtId="166" fontId="43" fillId="37" borderId="0" xfId="0" applyNumberFormat="1" applyFont="1" applyFill="1" applyAlignment="1">
      <alignment horizontal="center"/>
    </xf>
    <xf numFmtId="9" fontId="43" fillId="37" borderId="16" xfId="48" applyFont="1" applyFill="1" applyBorder="1" applyAlignment="1">
      <alignment horizontal="center"/>
    </xf>
    <xf numFmtId="0" fontId="43" fillId="37" borderId="13" xfId="0" applyFont="1" applyFill="1" applyBorder="1" applyAlignment="1">
      <alignment horizontal="left"/>
    </xf>
    <xf numFmtId="166" fontId="43" fillId="37" borderId="19" xfId="0" applyNumberFormat="1" applyFont="1" applyFill="1" applyBorder="1" applyAlignment="1">
      <alignment horizontal="center"/>
    </xf>
    <xf numFmtId="166" fontId="43" fillId="37" borderId="13" xfId="0" applyNumberFormat="1" applyFont="1" applyFill="1" applyBorder="1" applyAlignment="1">
      <alignment horizontal="center"/>
    </xf>
    <xf numFmtId="0" fontId="43" fillId="37" borderId="15" xfId="0" applyFont="1" applyFill="1" applyBorder="1" applyAlignment="1">
      <alignment horizontal="center"/>
    </xf>
    <xf numFmtId="9" fontId="43" fillId="37" borderId="19" xfId="48" applyFont="1" applyFill="1" applyBorder="1" applyAlignment="1">
      <alignment horizontal="center"/>
    </xf>
    <xf numFmtId="0" fontId="71" fillId="37" borderId="0" xfId="0" applyFont="1" applyFill="1"/>
    <xf numFmtId="168" fontId="43" fillId="37" borderId="0" xfId="0" applyNumberFormat="1" applyFont="1" applyFill="1" applyAlignment="1">
      <alignment horizontal="right"/>
    </xf>
    <xf numFmtId="4" fontId="43" fillId="37" borderId="11" xfId="0" applyNumberFormat="1" applyFont="1" applyFill="1" applyBorder="1" applyAlignment="1">
      <alignment horizontal="center"/>
    </xf>
    <xf numFmtId="166" fontId="43" fillId="37" borderId="15" xfId="0" applyNumberFormat="1" applyFont="1" applyFill="1" applyBorder="1" applyAlignment="1">
      <alignment horizontal="center"/>
    </xf>
    <xf numFmtId="4" fontId="43" fillId="37" borderId="15" xfId="0" applyNumberFormat="1" applyFont="1" applyFill="1" applyBorder="1" applyAlignment="1">
      <alignment horizontal="center"/>
    </xf>
    <xf numFmtId="0" fontId="43" fillId="37" borderId="15" xfId="0" applyFont="1" applyFill="1" applyBorder="1" applyAlignment="1">
      <alignment horizontal="left"/>
    </xf>
    <xf numFmtId="0" fontId="43" fillId="37" borderId="15" xfId="0" applyFont="1" applyFill="1" applyBorder="1" applyAlignment="1">
      <alignment horizontal="right"/>
    </xf>
    <xf numFmtId="9" fontId="43" fillId="37" borderId="15" xfId="48" applyFont="1" applyFill="1" applyBorder="1" applyAlignment="1">
      <alignment horizontal="center"/>
    </xf>
    <xf numFmtId="0" fontId="43" fillId="37" borderId="12" xfId="0" applyFont="1" applyFill="1" applyBorder="1" applyAlignment="1">
      <alignment horizontal="left"/>
    </xf>
    <xf numFmtId="0" fontId="43" fillId="37" borderId="12" xfId="0" applyFont="1" applyFill="1" applyBorder="1" applyAlignment="1">
      <alignment horizontal="right"/>
    </xf>
    <xf numFmtId="9" fontId="43" fillId="37" borderId="12" xfId="48" applyFont="1" applyFill="1" applyBorder="1" applyAlignment="1">
      <alignment horizontal="center"/>
    </xf>
    <xf numFmtId="0" fontId="57" fillId="37" borderId="13" xfId="0" applyFont="1" applyFill="1" applyBorder="1" applyAlignment="1">
      <alignment horizontal="left"/>
    </xf>
    <xf numFmtId="0" fontId="57" fillId="37" borderId="13" xfId="0" applyFont="1" applyFill="1" applyBorder="1" applyAlignment="1">
      <alignment horizontal="right"/>
    </xf>
    <xf numFmtId="9" fontId="57" fillId="37" borderId="13" xfId="48" applyFont="1" applyFill="1" applyBorder="1" applyAlignment="1">
      <alignment horizontal="center"/>
    </xf>
    <xf numFmtId="1" fontId="57" fillId="37" borderId="13" xfId="48" applyNumberFormat="1" applyFont="1" applyFill="1" applyBorder="1" applyAlignment="1">
      <alignment horizontal="center"/>
    </xf>
    <xf numFmtId="0" fontId="44" fillId="37" borderId="12" xfId="0" applyFont="1" applyFill="1" applyBorder="1"/>
    <xf numFmtId="0" fontId="44" fillId="37" borderId="17" xfId="0" applyFont="1" applyFill="1" applyBorder="1"/>
    <xf numFmtId="168" fontId="44" fillId="37" borderId="17" xfId="0" applyNumberFormat="1" applyFont="1" applyFill="1" applyBorder="1" applyAlignment="1">
      <alignment horizontal="center"/>
    </xf>
    <xf numFmtId="0" fontId="44" fillId="37" borderId="17" xfId="0" applyFont="1" applyFill="1" applyBorder="1" applyAlignment="1">
      <alignment horizontal="center"/>
    </xf>
    <xf numFmtId="0" fontId="44" fillId="37" borderId="15" xfId="0" applyFont="1" applyFill="1" applyBorder="1"/>
    <xf numFmtId="168" fontId="44" fillId="37" borderId="15" xfId="0" applyNumberFormat="1" applyFont="1" applyFill="1" applyBorder="1" applyAlignment="1">
      <alignment horizontal="center"/>
    </xf>
    <xf numFmtId="1" fontId="44" fillId="37" borderId="15" xfId="0" applyNumberFormat="1" applyFont="1" applyFill="1" applyBorder="1" applyAlignment="1">
      <alignment horizontal="center"/>
    </xf>
    <xf numFmtId="2" fontId="44" fillId="37" borderId="15" xfId="0" applyNumberFormat="1" applyFont="1" applyFill="1" applyBorder="1" applyAlignment="1">
      <alignment horizontal="center"/>
    </xf>
    <xf numFmtId="0" fontId="70" fillId="37" borderId="11" xfId="0" applyFont="1" applyFill="1" applyBorder="1"/>
    <xf numFmtId="3" fontId="70" fillId="37" borderId="11" xfId="0" applyNumberFormat="1" applyFont="1" applyFill="1" applyBorder="1" applyAlignment="1">
      <alignment horizontal="center"/>
    </xf>
    <xf numFmtId="0" fontId="70" fillId="37" borderId="10" xfId="0" applyFont="1" applyFill="1" applyBorder="1"/>
    <xf numFmtId="3" fontId="70" fillId="37" borderId="10" xfId="0" applyNumberFormat="1" applyFont="1" applyFill="1" applyBorder="1" applyAlignment="1">
      <alignment horizontal="center"/>
    </xf>
    <xf numFmtId="14" fontId="57" fillId="37" borderId="0" xfId="0" applyNumberFormat="1" applyFont="1" applyFill="1"/>
    <xf numFmtId="0" fontId="70" fillId="33" borderId="0" xfId="0" applyFont="1" applyFill="1"/>
    <xf numFmtId="0" fontId="67" fillId="33" borderId="0" xfId="0" applyFont="1" applyFill="1"/>
    <xf numFmtId="3" fontId="70" fillId="33" borderId="0" xfId="0" applyNumberFormat="1" applyFont="1" applyFill="1" applyAlignment="1">
      <alignment horizontal="center"/>
    </xf>
    <xf numFmtId="168" fontId="70" fillId="33" borderId="0" xfId="0" applyNumberFormat="1" applyFont="1" applyFill="1" applyAlignment="1">
      <alignment horizontal="center"/>
    </xf>
    <xf numFmtId="168" fontId="70" fillId="33" borderId="0" xfId="0" applyNumberFormat="1" applyFont="1" applyFill="1" applyAlignment="1">
      <alignment horizontal="right"/>
    </xf>
    <xf numFmtId="0" fontId="72" fillId="33" borderId="0" xfId="0" applyFont="1" applyFill="1"/>
    <xf numFmtId="0" fontId="70" fillId="33" borderId="21" xfId="0" applyFont="1" applyFill="1" applyBorder="1" applyAlignment="1">
      <alignment horizontal="center"/>
    </xf>
    <xf numFmtId="0" fontId="70" fillId="33" borderId="27" xfId="0" applyFont="1" applyFill="1" applyBorder="1" applyAlignment="1">
      <alignment horizontal="center"/>
    </xf>
    <xf numFmtId="0" fontId="70" fillId="33" borderId="31" xfId="0" applyFont="1" applyFill="1" applyBorder="1" applyAlignment="1">
      <alignment horizontal="center"/>
    </xf>
    <xf numFmtId="1" fontId="70" fillId="33" borderId="34" xfId="0" applyNumberFormat="1" applyFont="1" applyFill="1" applyBorder="1" applyAlignment="1">
      <alignment horizontal="center"/>
    </xf>
    <xf numFmtId="1" fontId="70" fillId="33" borderId="21" xfId="0" applyNumberFormat="1" applyFont="1" applyFill="1" applyBorder="1" applyAlignment="1">
      <alignment horizontal="center"/>
    </xf>
    <xf numFmtId="1" fontId="70" fillId="33" borderId="0" xfId="0" applyNumberFormat="1" applyFont="1" applyFill="1" applyAlignment="1">
      <alignment horizontal="center"/>
    </xf>
    <xf numFmtId="1" fontId="70" fillId="33" borderId="32" xfId="0" applyNumberFormat="1" applyFont="1" applyFill="1" applyBorder="1" applyAlignment="1">
      <alignment horizontal="center"/>
    </xf>
    <xf numFmtId="166" fontId="70" fillId="33" borderId="34" xfId="0" applyNumberFormat="1" applyFont="1" applyFill="1" applyBorder="1" applyAlignment="1">
      <alignment horizontal="center"/>
    </xf>
    <xf numFmtId="166" fontId="70" fillId="33" borderId="21" xfId="0" applyNumberFormat="1" applyFont="1" applyFill="1" applyBorder="1" applyAlignment="1">
      <alignment horizontal="center"/>
    </xf>
    <xf numFmtId="0" fontId="70" fillId="33" borderId="31" xfId="0" applyFont="1" applyFill="1" applyBorder="1" applyAlignment="1">
      <alignment horizontal="right" wrapText="1"/>
    </xf>
    <xf numFmtId="166" fontId="70" fillId="33" borderId="32" xfId="0" applyNumberFormat="1" applyFont="1" applyFill="1" applyBorder="1" applyAlignment="1">
      <alignment horizontal="center"/>
    </xf>
    <xf numFmtId="168" fontId="70" fillId="33" borderId="21" xfId="0" applyNumberFormat="1" applyFont="1" applyFill="1" applyBorder="1" applyAlignment="1">
      <alignment horizontal="center"/>
    </xf>
    <xf numFmtId="168" fontId="70" fillId="33" borderId="21" xfId="0" applyNumberFormat="1" applyFont="1" applyFill="1" applyBorder="1" applyAlignment="1">
      <alignment horizontal="right"/>
    </xf>
    <xf numFmtId="0" fontId="70" fillId="33" borderId="21" xfId="0" applyFont="1" applyFill="1" applyBorder="1" applyAlignment="1">
      <alignment horizontal="right" wrapText="1"/>
    </xf>
    <xf numFmtId="0" fontId="70" fillId="33" borderId="24" xfId="0" applyFont="1" applyFill="1" applyBorder="1" applyAlignment="1">
      <alignment horizontal="center"/>
    </xf>
    <xf numFmtId="0" fontId="70" fillId="33" borderId="28" xfId="0" applyFont="1" applyFill="1" applyBorder="1" applyAlignment="1">
      <alignment horizontal="center"/>
    </xf>
    <xf numFmtId="0" fontId="70" fillId="33" borderId="20" xfId="0" applyFont="1" applyFill="1" applyBorder="1" applyAlignment="1">
      <alignment horizontal="center"/>
    </xf>
    <xf numFmtId="0" fontId="70" fillId="33" borderId="35" xfId="0" applyFont="1" applyFill="1" applyBorder="1" applyAlignment="1">
      <alignment horizontal="center"/>
    </xf>
    <xf numFmtId="0" fontId="70" fillId="33" borderId="25" xfId="0" applyFont="1" applyFill="1" applyBorder="1" applyAlignment="1">
      <alignment horizontal="center"/>
    </xf>
    <xf numFmtId="0" fontId="70" fillId="33" borderId="29" xfId="0" applyFont="1" applyFill="1" applyBorder="1" applyAlignment="1">
      <alignment horizontal="center"/>
    </xf>
    <xf numFmtId="0" fontId="70" fillId="33" borderId="20" xfId="0" applyFont="1" applyFill="1" applyBorder="1" applyAlignment="1">
      <alignment horizontal="center" wrapText="1"/>
    </xf>
    <xf numFmtId="0" fontId="70" fillId="33" borderId="25" xfId="0" applyFont="1" applyFill="1" applyBorder="1" applyAlignment="1">
      <alignment horizontal="center" wrapText="1"/>
    </xf>
    <xf numFmtId="3" fontId="70" fillId="33" borderId="21" xfId="0" applyNumberFormat="1" applyFont="1" applyFill="1" applyBorder="1" applyAlignment="1">
      <alignment horizontal="center"/>
    </xf>
    <xf numFmtId="168" fontId="70" fillId="33" borderId="24" xfId="0" applyNumberFormat="1" applyFont="1" applyFill="1" applyBorder="1" applyAlignment="1">
      <alignment horizontal="right"/>
    </xf>
    <xf numFmtId="168" fontId="70" fillId="33" borderId="26" xfId="0" applyNumberFormat="1" applyFont="1" applyFill="1" applyBorder="1" applyAlignment="1">
      <alignment horizontal="center"/>
    </xf>
    <xf numFmtId="168" fontId="70" fillId="33" borderId="31" xfId="0" applyNumberFormat="1" applyFont="1" applyFill="1" applyBorder="1" applyAlignment="1">
      <alignment horizontal="center"/>
    </xf>
    <xf numFmtId="168" fontId="70" fillId="33" borderId="32" xfId="0" applyNumberFormat="1" applyFont="1" applyFill="1" applyBorder="1" applyAlignment="1">
      <alignment horizontal="center"/>
    </xf>
    <xf numFmtId="168" fontId="70" fillId="33" borderId="31" xfId="0" applyNumberFormat="1" applyFont="1" applyFill="1" applyBorder="1" applyAlignment="1">
      <alignment horizontal="right"/>
    </xf>
    <xf numFmtId="168" fontId="70" fillId="33" borderId="33" xfId="0" applyNumberFormat="1" applyFont="1" applyFill="1" applyBorder="1" applyAlignment="1">
      <alignment horizontal="center"/>
    </xf>
    <xf numFmtId="0" fontId="70" fillId="33" borderId="26" xfId="0" applyFont="1" applyFill="1" applyBorder="1" applyAlignment="1">
      <alignment horizontal="center" wrapText="1"/>
    </xf>
    <xf numFmtId="0" fontId="70" fillId="33" borderId="30" xfId="0" applyFont="1" applyFill="1" applyBorder="1" applyAlignment="1">
      <alignment horizontal="center"/>
    </xf>
    <xf numFmtId="0" fontId="57" fillId="33" borderId="0" xfId="0" applyFont="1" applyFill="1" applyAlignment="1">
      <alignment vertical="center"/>
    </xf>
    <xf numFmtId="0" fontId="56" fillId="33" borderId="0" xfId="0" applyFont="1" applyFill="1" applyAlignment="1">
      <alignment vertical="center"/>
    </xf>
    <xf numFmtId="0" fontId="69" fillId="33" borderId="0" xfId="0" applyFont="1" applyFill="1" applyAlignment="1">
      <alignment horizontal="right" vertical="center"/>
    </xf>
    <xf numFmtId="14" fontId="69" fillId="33" borderId="0" xfId="0" applyNumberFormat="1" applyFont="1" applyFill="1" applyAlignment="1">
      <alignment vertical="center"/>
    </xf>
    <xf numFmtId="0" fontId="69" fillId="33" borderId="0" xfId="0" applyFont="1" applyFill="1" applyAlignment="1">
      <alignment horizontal="center" vertical="center"/>
    </xf>
    <xf numFmtId="0" fontId="43" fillId="38" borderId="0" xfId="44" applyFont="1" applyFill="1" applyAlignment="1">
      <alignment horizontal="left" vertical="top" wrapText="1"/>
    </xf>
    <xf numFmtId="0" fontId="43" fillId="38" borderId="0" xfId="44" applyFont="1" applyFill="1" applyAlignment="1">
      <alignment horizontal="left" vertical="top"/>
    </xf>
    <xf numFmtId="0" fontId="41" fillId="38" borderId="0" xfId="44" applyFont="1" applyFill="1" applyAlignment="1">
      <alignment horizontal="right" vertical="top"/>
    </xf>
    <xf numFmtId="0" fontId="23" fillId="36" borderId="0" xfId="49" applyFill="1"/>
    <xf numFmtId="0" fontId="28" fillId="36" borderId="0" xfId="49" applyFont="1" applyFill="1"/>
    <xf numFmtId="0" fontId="25" fillId="36" borderId="0" xfId="49" applyFont="1" applyFill="1"/>
    <xf numFmtId="0" fontId="27" fillId="36" borderId="0" xfId="50" applyFont="1" applyFill="1" applyAlignment="1" applyProtection="1"/>
    <xf numFmtId="0" fontId="31" fillId="36" borderId="0" xfId="51" applyFill="1"/>
    <xf numFmtId="164" fontId="28" fillId="36" borderId="0" xfId="49" quotePrefix="1" applyNumberFormat="1" applyFont="1" applyFill="1"/>
    <xf numFmtId="0" fontId="48" fillId="36" borderId="0" xfId="49" applyFont="1" applyFill="1"/>
    <xf numFmtId="0" fontId="49" fillId="36" borderId="0" xfId="50" applyFont="1" applyFill="1" applyAlignment="1" applyProtection="1"/>
    <xf numFmtId="0" fontId="50" fillId="36" borderId="0" xfId="49" applyFont="1" applyFill="1"/>
    <xf numFmtId="0" fontId="51" fillId="36" borderId="0" xfId="49" applyFont="1" applyFill="1" applyAlignment="1">
      <alignment horizontal="left" vertical="top" wrapText="1"/>
    </xf>
    <xf numFmtId="0" fontId="41" fillId="33" borderId="0" xfId="44" applyFont="1" applyFill="1" applyAlignment="1">
      <alignment horizontal="left"/>
    </xf>
    <xf numFmtId="0" fontId="24" fillId="33" borderId="0" xfId="49" applyFont="1" applyFill="1"/>
    <xf numFmtId="0" fontId="28" fillId="0" borderId="0" xfId="49" applyFont="1" applyAlignment="1">
      <alignment vertical="center"/>
    </xf>
    <xf numFmtId="0" fontId="44" fillId="38" borderId="0" xfId="0" applyFont="1" applyFill="1" applyAlignment="1">
      <alignment vertical="center"/>
    </xf>
    <xf numFmtId="0" fontId="54" fillId="0" borderId="0" xfId="0" applyFont="1"/>
    <xf numFmtId="0" fontId="20" fillId="36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/>
    </xf>
    <xf numFmtId="0" fontId="55" fillId="0" borderId="0" xfId="0" applyFont="1"/>
    <xf numFmtId="0" fontId="55" fillId="0" borderId="0" xfId="0" applyFont="1" applyProtection="1">
      <protection locked="0"/>
    </xf>
    <xf numFmtId="0" fontId="74" fillId="36" borderId="0" xfId="0" applyFont="1" applyFill="1"/>
    <xf numFmtId="0" fontId="56" fillId="45" borderId="0" xfId="0" applyFont="1" applyFill="1"/>
    <xf numFmtId="14" fontId="75" fillId="33" borderId="0" xfId="0" applyNumberFormat="1" applyFont="1" applyFill="1" applyAlignment="1">
      <alignment vertical="center"/>
    </xf>
    <xf numFmtId="9" fontId="43" fillId="37" borderId="11" xfId="48" applyFont="1" applyFill="1" applyBorder="1" applyAlignment="1">
      <alignment horizontal="left"/>
    </xf>
    <xf numFmtId="9" fontId="43" fillId="37" borderId="10" xfId="48" applyFont="1" applyFill="1" applyBorder="1" applyAlignment="1">
      <alignment horizontal="left"/>
    </xf>
    <xf numFmtId="3" fontId="57" fillId="37" borderId="17" xfId="0" applyNumberFormat="1" applyFont="1" applyFill="1" applyBorder="1" applyAlignment="1">
      <alignment horizontal="center"/>
    </xf>
    <xf numFmtId="0" fontId="43" fillId="0" borderId="0" xfId="0" applyFont="1"/>
    <xf numFmtId="14" fontId="34" fillId="37" borderId="0" xfId="0" applyNumberFormat="1" applyFont="1" applyFill="1" applyAlignment="1">
      <alignment vertical="center"/>
    </xf>
    <xf numFmtId="0" fontId="43" fillId="38" borderId="0" xfId="44" applyFont="1" applyFill="1"/>
    <xf numFmtId="0" fontId="43" fillId="38" borderId="0" xfId="0" applyFont="1" applyFill="1"/>
    <xf numFmtId="0" fontId="44" fillId="40" borderId="20" xfId="0" applyFont="1" applyFill="1" applyBorder="1" applyAlignment="1">
      <alignment vertical="top"/>
    </xf>
    <xf numFmtId="0" fontId="44" fillId="41" borderId="21" xfId="0" applyFont="1" applyFill="1" applyBorder="1" applyAlignment="1">
      <alignment vertical="top"/>
    </xf>
    <xf numFmtId="0" fontId="46" fillId="45" borderId="0" xfId="0" applyFont="1" applyFill="1" applyAlignment="1">
      <alignment horizontal="left"/>
    </xf>
    <xf numFmtId="0" fontId="46" fillId="35" borderId="0" xfId="0" applyFont="1" applyFill="1" applyAlignment="1">
      <alignment horizontal="left"/>
    </xf>
    <xf numFmtId="0" fontId="57" fillId="37" borderId="13" xfId="0" applyFont="1" applyFill="1" applyBorder="1" applyAlignment="1">
      <alignment horizontal="center"/>
    </xf>
    <xf numFmtId="0" fontId="57" fillId="37" borderId="0" xfId="0" applyFont="1" applyFill="1" applyAlignment="1">
      <alignment horizontal="center"/>
    </xf>
    <xf numFmtId="9" fontId="43" fillId="0" borderId="16" xfId="48" applyFont="1" applyBorder="1" applyAlignment="1">
      <alignment horizontal="center"/>
    </xf>
    <xf numFmtId="9" fontId="43" fillId="0" borderId="11" xfId="48" applyFont="1" applyBorder="1" applyAlignment="1">
      <alignment horizontal="center"/>
    </xf>
    <xf numFmtId="0" fontId="58" fillId="37" borderId="0" xfId="0" applyFont="1" applyFill="1"/>
    <xf numFmtId="0" fontId="76" fillId="35" borderId="0" xfId="0" applyFont="1" applyFill="1" applyAlignment="1">
      <alignment horizontal="center"/>
    </xf>
    <xf numFmtId="0" fontId="77" fillId="33" borderId="0" xfId="0" applyFont="1" applyFill="1"/>
    <xf numFmtId="0" fontId="58" fillId="33" borderId="0" xfId="0" applyFont="1" applyFill="1"/>
    <xf numFmtId="9" fontId="43" fillId="0" borderId="10" xfId="48" applyFont="1" applyBorder="1" applyAlignment="1">
      <alignment horizontal="center"/>
    </xf>
    <xf numFmtId="0" fontId="80" fillId="0" borderId="0" xfId="0" applyFont="1"/>
    <xf numFmtId="0" fontId="43" fillId="44" borderId="0" xfId="0" applyFont="1" applyFill="1" applyAlignment="1" applyProtection="1">
      <alignment horizontal="center" vertical="center"/>
      <protection locked="0"/>
    </xf>
    <xf numFmtId="0" fontId="43" fillId="47" borderId="0" xfId="0" applyFont="1" applyFill="1" applyAlignment="1" applyProtection="1">
      <alignment horizontal="center" vertical="center"/>
      <protection locked="0"/>
    </xf>
    <xf numFmtId="14" fontId="58" fillId="44" borderId="0" xfId="0" applyNumberFormat="1" applyFont="1" applyFill="1" applyAlignment="1" applyProtection="1">
      <alignment horizontal="center" vertical="center"/>
      <protection locked="0"/>
    </xf>
    <xf numFmtId="171" fontId="58" fillId="44" borderId="0" xfId="0" applyNumberFormat="1" applyFont="1" applyFill="1" applyAlignment="1" applyProtection="1">
      <alignment horizontal="center" vertical="center"/>
      <protection locked="0"/>
    </xf>
    <xf numFmtId="0" fontId="29" fillId="0" borderId="0" xfId="49" applyFont="1" applyAlignment="1">
      <alignment vertical="center"/>
    </xf>
    <xf numFmtId="0" fontId="66" fillId="37" borderId="0" xfId="0" applyFont="1" applyFill="1" applyAlignment="1">
      <alignment horizontal="center"/>
    </xf>
    <xf numFmtId="0" fontId="16" fillId="0" borderId="0" xfId="0" applyFont="1"/>
    <xf numFmtId="0" fontId="44" fillId="37" borderId="15" xfId="0" applyFont="1" applyFill="1" applyBorder="1" applyAlignment="1">
      <alignment horizontal="center"/>
    </xf>
    <xf numFmtId="0" fontId="82" fillId="45" borderId="0" xfId="0" applyFont="1" applyFill="1" applyAlignment="1">
      <alignment horizontal="right"/>
    </xf>
    <xf numFmtId="0" fontId="83" fillId="33" borderId="0" xfId="0" applyFont="1" applyFill="1"/>
    <xf numFmtId="0" fontId="81" fillId="37" borderId="0" xfId="0" applyFont="1" applyFill="1"/>
    <xf numFmtId="167" fontId="81" fillId="37" borderId="0" xfId="48" applyNumberFormat="1" applyFont="1" applyFill="1" applyBorder="1"/>
    <xf numFmtId="167" fontId="43" fillId="37" borderId="0" xfId="48" applyNumberFormat="1" applyFont="1" applyFill="1" applyBorder="1"/>
    <xf numFmtId="0" fontId="45" fillId="37" borderId="0" xfId="0" applyFont="1" applyFill="1"/>
    <xf numFmtId="0" fontId="43" fillId="37" borderId="0" xfId="0" quotePrefix="1" applyFont="1" applyFill="1" applyAlignment="1">
      <alignment horizontal="center"/>
    </xf>
    <xf numFmtId="0" fontId="70" fillId="33" borderId="29" xfId="0" applyFont="1" applyFill="1" applyBorder="1"/>
    <xf numFmtId="0" fontId="70" fillId="33" borderId="0" xfId="0" applyFont="1" applyFill="1" applyAlignment="1">
      <alignment horizontal="center"/>
    </xf>
    <xf numFmtId="0" fontId="70" fillId="33" borderId="31" xfId="0" applyFont="1" applyFill="1" applyBorder="1" applyAlignment="1">
      <alignment horizontal="center" wrapText="1"/>
    </xf>
    <xf numFmtId="0" fontId="70" fillId="33" borderId="32" xfId="0" applyFont="1" applyFill="1" applyBorder="1" applyAlignment="1">
      <alignment horizontal="center" wrapText="1"/>
    </xf>
    <xf numFmtId="0" fontId="70" fillId="33" borderId="33" xfId="0" applyFont="1" applyFill="1" applyBorder="1" applyAlignment="1">
      <alignment horizontal="center" wrapText="1"/>
    </xf>
    <xf numFmtId="0" fontId="70" fillId="33" borderId="34" xfId="0" applyFont="1" applyFill="1" applyBorder="1" applyAlignment="1">
      <alignment horizontal="center"/>
    </xf>
    <xf numFmtId="3" fontId="70" fillId="33" borderId="31" xfId="0" applyNumberFormat="1" applyFont="1" applyFill="1" applyBorder="1" applyAlignment="1">
      <alignment horizontal="center"/>
    </xf>
    <xf numFmtId="3" fontId="70" fillId="33" borderId="32" xfId="0" applyNumberFormat="1" applyFont="1" applyFill="1" applyBorder="1" applyAlignment="1">
      <alignment horizontal="center"/>
    </xf>
    <xf numFmtId="167" fontId="70" fillId="33" borderId="32" xfId="48" applyNumberFormat="1" applyFont="1" applyFill="1" applyBorder="1" applyAlignment="1">
      <alignment horizontal="center"/>
    </xf>
    <xf numFmtId="2" fontId="70" fillId="33" borderId="32" xfId="0" applyNumberFormat="1" applyFont="1" applyFill="1" applyBorder="1" applyAlignment="1">
      <alignment horizontal="center"/>
    </xf>
    <xf numFmtId="9" fontId="70" fillId="33" borderId="32" xfId="48" applyFont="1" applyFill="1" applyBorder="1" applyAlignment="1">
      <alignment horizontal="center"/>
    </xf>
    <xf numFmtId="0" fontId="70" fillId="33" borderId="32" xfId="0" applyFont="1" applyFill="1" applyBorder="1" applyAlignment="1">
      <alignment horizontal="center"/>
    </xf>
    <xf numFmtId="9" fontId="70" fillId="33" borderId="33" xfId="48" applyFont="1" applyFill="1" applyBorder="1" applyAlignment="1">
      <alignment horizontal="center"/>
    </xf>
    <xf numFmtId="0" fontId="70" fillId="33" borderId="27" xfId="0" applyFont="1" applyFill="1" applyBorder="1"/>
    <xf numFmtId="167" fontId="70" fillId="33" borderId="0" xfId="48" applyNumberFormat="1" applyFont="1" applyFill="1" applyBorder="1" applyAlignment="1">
      <alignment horizontal="center"/>
    </xf>
    <xf numFmtId="2" fontId="70" fillId="33" borderId="0" xfId="0" applyNumberFormat="1" applyFont="1" applyFill="1" applyAlignment="1">
      <alignment horizontal="center"/>
    </xf>
    <xf numFmtId="9" fontId="70" fillId="33" borderId="0" xfId="48" applyFont="1" applyFill="1" applyBorder="1" applyAlignment="1">
      <alignment horizontal="center"/>
    </xf>
    <xf numFmtId="2" fontId="43" fillId="37" borderId="0" xfId="0" applyNumberFormat="1" applyFont="1" applyFill="1" applyAlignment="1">
      <alignment horizontal="center"/>
    </xf>
    <xf numFmtId="2" fontId="57" fillId="37" borderId="0" xfId="0" applyNumberFormat="1" applyFont="1" applyFill="1" applyAlignment="1">
      <alignment horizontal="center"/>
    </xf>
    <xf numFmtId="3" fontId="43" fillId="0" borderId="11" xfId="0" applyNumberFormat="1" applyFont="1" applyBorder="1" applyAlignment="1">
      <alignment horizontal="center"/>
    </xf>
    <xf numFmtId="3" fontId="43" fillId="0" borderId="10" xfId="0" applyNumberFormat="1" applyFont="1" applyBorder="1" applyAlignment="1">
      <alignment horizontal="center"/>
    </xf>
    <xf numFmtId="0" fontId="43" fillId="0" borderId="13" xfId="0" applyFont="1" applyBorder="1"/>
    <xf numFmtId="0" fontId="43" fillId="0" borderId="13" xfId="0" applyFont="1" applyBorder="1" applyAlignment="1">
      <alignment horizontal="center"/>
    </xf>
    <xf numFmtId="0" fontId="43" fillId="0" borderId="13" xfId="0" applyFont="1" applyBorder="1" applyAlignment="1">
      <alignment horizontal="center" wrapText="1"/>
    </xf>
    <xf numFmtId="0" fontId="43" fillId="0" borderId="15" xfId="0" applyFont="1" applyBorder="1"/>
    <xf numFmtId="3" fontId="43" fillId="0" borderId="15" xfId="0" applyNumberFormat="1" applyFont="1" applyBorder="1" applyAlignment="1">
      <alignment horizontal="center"/>
    </xf>
    <xf numFmtId="0" fontId="43" fillId="0" borderId="10" xfId="0" applyFont="1" applyBorder="1"/>
    <xf numFmtId="3" fontId="43" fillId="0" borderId="11" xfId="0" applyNumberFormat="1" applyFont="1" applyBorder="1" applyAlignment="1">
      <alignment horizontal="left"/>
    </xf>
    <xf numFmtId="9" fontId="43" fillId="0" borderId="15" xfId="48" applyFont="1" applyBorder="1" applyAlignment="1">
      <alignment horizontal="left"/>
    </xf>
    <xf numFmtId="9" fontId="43" fillId="0" borderId="11" xfId="48" applyFont="1" applyBorder="1" applyAlignment="1">
      <alignment horizontal="left"/>
    </xf>
    <xf numFmtId="0" fontId="57" fillId="37" borderId="17" xfId="0" applyFont="1" applyFill="1" applyBorder="1" applyAlignment="1">
      <alignment horizontal="left"/>
    </xf>
    <xf numFmtId="0" fontId="57" fillId="37" borderId="17" xfId="0" applyFont="1" applyFill="1" applyBorder="1"/>
    <xf numFmtId="0" fontId="57" fillId="0" borderId="11" xfId="0" applyFont="1" applyBorder="1"/>
    <xf numFmtId="3" fontId="57" fillId="0" borderId="11" xfId="0" applyNumberFormat="1" applyFont="1" applyBorder="1" applyAlignment="1">
      <alignment horizontal="center"/>
    </xf>
    <xf numFmtId="1" fontId="44" fillId="36" borderId="0" xfId="0" applyNumberFormat="1" applyFont="1" applyFill="1" applyAlignment="1">
      <alignment horizontal="center" vertical="center"/>
    </xf>
    <xf numFmtId="14" fontId="56" fillId="33" borderId="0" xfId="0" applyNumberFormat="1" applyFont="1" applyFill="1" applyAlignment="1">
      <alignment vertical="center"/>
    </xf>
    <xf numFmtId="0" fontId="43" fillId="47" borderId="0" xfId="0" applyFont="1" applyFill="1" applyAlignment="1" applyProtection="1">
      <alignment horizontal="right" vertical="center"/>
      <protection locked="0"/>
    </xf>
    <xf numFmtId="0" fontId="55" fillId="35" borderId="0" xfId="0" applyFont="1" applyFill="1" applyAlignment="1">
      <alignment wrapText="1"/>
    </xf>
    <xf numFmtId="0" fontId="0" fillId="36" borderId="0" xfId="0" applyFill="1" applyAlignment="1">
      <alignment wrapText="1"/>
    </xf>
    <xf numFmtId="9" fontId="43" fillId="37" borderId="13" xfId="48" applyFont="1" applyFill="1" applyBorder="1" applyAlignment="1">
      <alignment horizontal="center"/>
    </xf>
    <xf numFmtId="2" fontId="43" fillId="37" borderId="10" xfId="0" applyNumberFormat="1" applyFont="1" applyFill="1" applyBorder="1" applyAlignment="1">
      <alignment horizontal="center"/>
    </xf>
    <xf numFmtId="4" fontId="70" fillId="33" borderId="0" xfId="0" applyNumberFormat="1" applyFont="1" applyFill="1" applyAlignment="1">
      <alignment horizontal="center"/>
    </xf>
    <xf numFmtId="172" fontId="70" fillId="33" borderId="21" xfId="0" applyNumberFormat="1" applyFont="1" applyFill="1" applyBorder="1" applyAlignment="1">
      <alignment horizontal="right"/>
    </xf>
    <xf numFmtId="0" fontId="70" fillId="33" borderId="0" xfId="0" applyFont="1" applyFill="1" applyAlignment="1">
      <alignment horizontal="center" vertical="top" wrapText="1"/>
    </xf>
    <xf numFmtId="0" fontId="61" fillId="46" borderId="0" xfId="0" applyFont="1" applyFill="1" applyAlignment="1">
      <alignment horizontal="center"/>
    </xf>
    <xf numFmtId="0" fontId="43" fillId="46" borderId="0" xfId="0" applyFont="1" applyFill="1"/>
    <xf numFmtId="0" fontId="70" fillId="33" borderId="34" xfId="0" applyFont="1" applyFill="1" applyBorder="1" applyAlignment="1">
      <alignment horizontal="center" wrapText="1"/>
    </xf>
    <xf numFmtId="0" fontId="70" fillId="33" borderId="36" xfId="0" applyFont="1" applyFill="1" applyBorder="1"/>
    <xf numFmtId="0" fontId="70" fillId="33" borderId="37" xfId="0" applyFont="1" applyFill="1" applyBorder="1"/>
    <xf numFmtId="0" fontId="70" fillId="33" borderId="38" xfId="0" applyFont="1" applyFill="1" applyBorder="1"/>
    <xf numFmtId="0" fontId="70" fillId="33" borderId="39" xfId="0" applyFont="1" applyFill="1" applyBorder="1"/>
    <xf numFmtId="0" fontId="70" fillId="33" borderId="40" xfId="0" applyFont="1" applyFill="1" applyBorder="1"/>
    <xf numFmtId="0" fontId="70" fillId="33" borderId="41" xfId="0" applyFont="1" applyFill="1" applyBorder="1"/>
    <xf numFmtId="171" fontId="44" fillId="33" borderId="0" xfId="0" applyNumberFormat="1" applyFont="1" applyFill="1" applyAlignment="1" applyProtection="1">
      <alignment horizontal="center" vertical="top"/>
      <protection locked="0"/>
    </xf>
    <xf numFmtId="0" fontId="44" fillId="33" borderId="0" xfId="0" applyFont="1" applyFill="1" applyAlignment="1" applyProtection="1">
      <alignment horizontal="center" vertical="top"/>
      <protection locked="0"/>
    </xf>
    <xf numFmtId="171" fontId="70" fillId="33" borderId="22" xfId="0" applyNumberFormat="1" applyFont="1" applyFill="1" applyBorder="1" applyAlignment="1" applyProtection="1">
      <alignment horizontal="center" vertical="top"/>
      <protection locked="0"/>
    </xf>
    <xf numFmtId="1" fontId="70" fillId="33" borderId="22" xfId="0" applyNumberFormat="1" applyFont="1" applyFill="1" applyBorder="1" applyAlignment="1" applyProtection="1">
      <alignment horizontal="center" vertical="top"/>
      <protection locked="0"/>
    </xf>
    <xf numFmtId="166" fontId="44" fillId="36" borderId="22" xfId="0" applyNumberFormat="1" applyFont="1" applyFill="1" applyBorder="1" applyAlignment="1">
      <alignment horizontal="center"/>
    </xf>
    <xf numFmtId="1" fontId="44" fillId="36" borderId="22" xfId="0" applyNumberFormat="1" applyFont="1" applyFill="1" applyBorder="1" applyAlignment="1">
      <alignment horizontal="center"/>
    </xf>
    <xf numFmtId="0" fontId="57" fillId="0" borderId="0" xfId="0" applyFont="1"/>
    <xf numFmtId="0" fontId="57" fillId="37" borderId="0" xfId="0" applyFont="1" applyFill="1" applyAlignment="1">
      <alignment horizontal="right"/>
    </xf>
    <xf numFmtId="0" fontId="43" fillId="0" borderId="55" xfId="0" applyFont="1" applyBorder="1"/>
    <xf numFmtId="0" fontId="43" fillId="0" borderId="12" xfId="0" applyFont="1" applyBorder="1"/>
    <xf numFmtId="0" fontId="43" fillId="0" borderId="56" xfId="0" applyFont="1" applyBorder="1"/>
    <xf numFmtId="0" fontId="57" fillId="0" borderId="14" xfId="0" applyFont="1" applyBorder="1"/>
    <xf numFmtId="168" fontId="57" fillId="0" borderId="0" xfId="0" applyNumberFormat="1" applyFont="1"/>
    <xf numFmtId="0" fontId="43" fillId="0" borderId="57" xfId="0" applyFont="1" applyBorder="1"/>
    <xf numFmtId="0" fontId="43" fillId="0" borderId="14" xfId="0" applyFont="1" applyBorder="1"/>
    <xf numFmtId="9" fontId="43" fillId="0" borderId="0" xfId="48" applyFont="1" applyBorder="1"/>
    <xf numFmtId="0" fontId="43" fillId="0" borderId="58" xfId="0" applyFont="1" applyBorder="1"/>
    <xf numFmtId="9" fontId="43" fillId="0" borderId="15" xfId="48" applyFont="1" applyBorder="1"/>
    <xf numFmtId="0" fontId="43" fillId="0" borderId="59" xfId="0" applyFont="1" applyBorder="1"/>
    <xf numFmtId="2" fontId="20" fillId="0" borderId="60" xfId="0" applyNumberFormat="1" applyFont="1" applyBorder="1" applyAlignment="1">
      <alignment horizontal="center"/>
    </xf>
    <xf numFmtId="164" fontId="0" fillId="37" borderId="61" xfId="0" applyNumberFormat="1" applyFill="1" applyBorder="1"/>
    <xf numFmtId="0" fontId="20" fillId="0" borderId="61" xfId="0" applyFont="1" applyBorder="1" applyAlignment="1">
      <alignment horizontal="center"/>
    </xf>
    <xf numFmtId="0" fontId="20" fillId="0" borderId="62" xfId="0" applyFont="1" applyBorder="1" applyAlignment="1">
      <alignment horizontal="center"/>
    </xf>
    <xf numFmtId="2" fontId="20" fillId="0" borderId="63" xfId="0" applyNumberFormat="1" applyFont="1" applyBorder="1" applyAlignment="1">
      <alignment horizontal="center"/>
    </xf>
    <xf numFmtId="164" fontId="0" fillId="37" borderId="64" xfId="0" applyNumberFormat="1" applyFill="1" applyBorder="1"/>
    <xf numFmtId="0" fontId="20" fillId="0" borderId="64" xfId="0" applyFont="1" applyBorder="1" applyAlignment="1">
      <alignment horizontal="center"/>
    </xf>
    <xf numFmtId="0" fontId="20" fillId="0" borderId="65" xfId="0" applyFont="1" applyBorder="1" applyAlignment="1">
      <alignment horizontal="center"/>
    </xf>
    <xf numFmtId="2" fontId="20" fillId="37" borderId="63" xfId="0" applyNumberFormat="1" applyFont="1" applyFill="1" applyBorder="1" applyAlignment="1">
      <alignment horizontal="center"/>
    </xf>
    <xf numFmtId="0" fontId="20" fillId="37" borderId="64" xfId="0" applyFont="1" applyFill="1" applyBorder="1" applyAlignment="1">
      <alignment horizontal="center"/>
    </xf>
    <xf numFmtId="0" fontId="20" fillId="37" borderId="65" xfId="0" applyFont="1" applyFill="1" applyBorder="1" applyAlignment="1">
      <alignment horizontal="center"/>
    </xf>
    <xf numFmtId="0" fontId="20" fillId="37" borderId="63" xfId="0" applyFont="1" applyFill="1" applyBorder="1" applyAlignment="1">
      <alignment horizontal="center"/>
    </xf>
    <xf numFmtId="0" fontId="55" fillId="0" borderId="66" xfId="0" applyFont="1" applyBorder="1"/>
    <xf numFmtId="0" fontId="0" fillId="0" borderId="67" xfId="0" applyBorder="1"/>
    <xf numFmtId="0" fontId="55" fillId="0" borderId="67" xfId="0" applyFont="1" applyBorder="1"/>
    <xf numFmtId="0" fontId="55" fillId="0" borderId="68" xfId="0" applyFont="1" applyBorder="1"/>
    <xf numFmtId="0" fontId="43" fillId="35" borderId="0" xfId="0" applyFont="1" applyFill="1" applyAlignment="1">
      <alignment wrapText="1"/>
    </xf>
    <xf numFmtId="0" fontId="0" fillId="0" borderId="0" xfId="0" pivotButton="1" applyAlignment="1">
      <alignment horizontal="center" wrapText="1"/>
    </xf>
    <xf numFmtId="168" fontId="60" fillId="42" borderId="0" xfId="0" applyNumberFormat="1" applyFont="1" applyFill="1" applyAlignment="1">
      <alignment horizontal="center"/>
    </xf>
    <xf numFmtId="168" fontId="56" fillId="45" borderId="0" xfId="0" applyNumberFormat="1" applyFont="1" applyFill="1"/>
    <xf numFmtId="168" fontId="61" fillId="35" borderId="0" xfId="0" applyNumberFormat="1" applyFont="1" applyFill="1" applyAlignment="1">
      <alignment horizontal="center"/>
    </xf>
    <xf numFmtId="168" fontId="0" fillId="0" borderId="0" xfId="0" applyNumberFormat="1" applyAlignment="1">
      <alignment horizontal="center"/>
    </xf>
    <xf numFmtId="168" fontId="0" fillId="0" borderId="0" xfId="0" applyNumberFormat="1"/>
    <xf numFmtId="168" fontId="0" fillId="36" borderId="0" xfId="0" applyNumberFormat="1" applyFill="1"/>
    <xf numFmtId="3" fontId="0" fillId="0" borderId="0" xfId="0" applyNumberFormat="1"/>
    <xf numFmtId="4" fontId="70" fillId="33" borderId="21" xfId="0" applyNumberFormat="1" applyFont="1" applyFill="1" applyBorder="1" applyAlignment="1">
      <alignment horizontal="right"/>
    </xf>
    <xf numFmtId="173" fontId="70" fillId="33" borderId="21" xfId="0" applyNumberFormat="1" applyFont="1" applyFill="1" applyBorder="1" applyAlignment="1">
      <alignment horizontal="right"/>
    </xf>
    <xf numFmtId="2" fontId="43" fillId="37" borderId="16" xfId="0" applyNumberFormat="1" applyFont="1" applyFill="1" applyBorder="1" applyAlignment="1">
      <alignment horizontal="center"/>
    </xf>
    <xf numFmtId="0" fontId="57" fillId="37" borderId="11" xfId="0" applyFont="1" applyFill="1" applyBorder="1" applyAlignment="1">
      <alignment horizontal="left"/>
    </xf>
    <xf numFmtId="0" fontId="57" fillId="37" borderId="11" xfId="0" applyFont="1" applyFill="1" applyBorder="1"/>
    <xf numFmtId="3" fontId="57" fillId="37" borderId="11" xfId="0" applyNumberFormat="1" applyFont="1" applyFill="1" applyBorder="1" applyAlignment="1">
      <alignment horizontal="center"/>
    </xf>
    <xf numFmtId="9" fontId="57" fillId="37" borderId="11" xfId="48" applyFont="1" applyFill="1" applyBorder="1" applyAlignment="1">
      <alignment horizontal="center"/>
    </xf>
    <xf numFmtId="0" fontId="74" fillId="36" borderId="0" xfId="0" applyFont="1" applyFill="1" applyAlignment="1">
      <alignment wrapText="1"/>
    </xf>
    <xf numFmtId="14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  <xf numFmtId="0" fontId="0" fillId="34" borderId="0" xfId="0" applyFill="1" applyAlignment="1">
      <alignment wrapText="1"/>
    </xf>
    <xf numFmtId="14" fontId="34" fillId="37" borderId="0" xfId="0" applyNumberFormat="1" applyFont="1" applyFill="1" applyAlignment="1">
      <alignment horizontal="right" vertical="center"/>
    </xf>
    <xf numFmtId="0" fontId="68" fillId="0" borderId="43" xfId="0" applyFont="1" applyBorder="1"/>
    <xf numFmtId="0" fontId="44" fillId="0" borderId="44" xfId="0" applyFont="1" applyBorder="1" applyAlignment="1">
      <alignment horizontal="center"/>
    </xf>
    <xf numFmtId="0" fontId="68" fillId="0" borderId="46" xfId="0" applyFont="1" applyBorder="1"/>
    <xf numFmtId="0" fontId="44" fillId="0" borderId="42" xfId="0" applyFont="1" applyBorder="1" applyAlignment="1">
      <alignment horizontal="center"/>
    </xf>
    <xf numFmtId="171" fontId="44" fillId="0" borderId="48" xfId="0" applyNumberFormat="1" applyFont="1" applyBorder="1" applyAlignment="1">
      <alignment horizontal="center" vertical="top"/>
    </xf>
    <xf numFmtId="1" fontId="44" fillId="0" borderId="22" xfId="0" applyNumberFormat="1" applyFont="1" applyBorder="1" applyAlignment="1">
      <alignment horizontal="center"/>
    </xf>
    <xf numFmtId="166" fontId="44" fillId="0" borderId="49" xfId="0" applyNumberFormat="1" applyFont="1" applyBorder="1" applyAlignment="1">
      <alignment horizontal="center"/>
    </xf>
    <xf numFmtId="171" fontId="44" fillId="0" borderId="50" xfId="0" applyNumberFormat="1" applyFont="1" applyBorder="1" applyAlignment="1">
      <alignment horizontal="center" vertical="top"/>
    </xf>
    <xf numFmtId="1" fontId="44" fillId="0" borderId="49" xfId="0" applyNumberFormat="1" applyFont="1" applyBorder="1" applyAlignment="1">
      <alignment horizontal="center"/>
    </xf>
    <xf numFmtId="171" fontId="44" fillId="0" borderId="51" xfId="0" applyNumberFormat="1" applyFont="1" applyBorder="1" applyAlignment="1">
      <alignment horizontal="center" vertical="top"/>
    </xf>
    <xf numFmtId="0" fontId="44" fillId="0" borderId="52" xfId="0" applyFont="1" applyBorder="1" applyAlignment="1">
      <alignment vertical="center" wrapText="1"/>
    </xf>
    <xf numFmtId="1" fontId="44" fillId="0" borderId="53" xfId="0" applyNumberFormat="1" applyFont="1" applyBorder="1" applyAlignment="1">
      <alignment horizontal="center" vertical="center"/>
    </xf>
    <xf numFmtId="1" fontId="44" fillId="0" borderId="54" xfId="0" applyNumberFormat="1" applyFont="1" applyBorder="1" applyAlignment="1">
      <alignment horizontal="center" vertical="center"/>
    </xf>
    <xf numFmtId="0" fontId="57" fillId="0" borderId="13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43" fillId="33" borderId="0" xfId="0" applyFont="1" applyFill="1" applyAlignment="1">
      <alignment horizontal="center"/>
    </xf>
    <xf numFmtId="0" fontId="0" fillId="42" borderId="0" xfId="0" applyFill="1" applyAlignment="1">
      <alignment horizontal="center" wrapText="1"/>
    </xf>
    <xf numFmtId="168" fontId="0" fillId="42" borderId="0" xfId="0" applyNumberFormat="1" applyFill="1" applyAlignment="1">
      <alignment horizontal="center" wrapText="1"/>
    </xf>
    <xf numFmtId="22" fontId="0" fillId="0" borderId="0" xfId="0" applyNumberFormat="1" applyAlignment="1">
      <alignment horizontal="center"/>
    </xf>
    <xf numFmtId="0" fontId="24" fillId="36" borderId="0" xfId="49" applyFont="1" applyFill="1" applyAlignment="1">
      <alignment horizontal="left" wrapText="1"/>
    </xf>
    <xf numFmtId="0" fontId="33" fillId="37" borderId="0" xfId="0" applyFont="1" applyFill="1" applyAlignment="1">
      <alignment horizontal="center" vertical="center" wrapText="1"/>
    </xf>
    <xf numFmtId="0" fontId="34" fillId="37" borderId="0" xfId="0" applyFont="1" applyFill="1" applyAlignment="1">
      <alignment horizontal="right" vertical="center" wrapText="1"/>
    </xf>
    <xf numFmtId="0" fontId="43" fillId="38" borderId="0" xfId="44" applyFont="1" applyFill="1" applyAlignment="1">
      <alignment horizontal="left" vertical="center" wrapText="1"/>
    </xf>
    <xf numFmtId="0" fontId="41" fillId="38" borderId="0" xfId="44" applyFont="1" applyFill="1" applyAlignment="1">
      <alignment horizontal="right" vertical="top" wrapText="1"/>
    </xf>
    <xf numFmtId="0" fontId="44" fillId="38" borderId="0" xfId="0" quotePrefix="1" applyFont="1" applyFill="1" applyAlignment="1">
      <alignment horizontal="left" vertical="top" wrapText="1"/>
    </xf>
    <xf numFmtId="0" fontId="44" fillId="38" borderId="0" xfId="0" applyFont="1" applyFill="1" applyAlignment="1">
      <alignment horizontal="left" vertical="top"/>
    </xf>
    <xf numFmtId="0" fontId="31" fillId="35" borderId="0" xfId="51" applyFill="1" applyAlignment="1">
      <alignment horizontal="left" wrapText="1"/>
    </xf>
    <xf numFmtId="2" fontId="29" fillId="36" borderId="0" xfId="49" applyNumberFormat="1" applyFont="1" applyFill="1" applyAlignment="1">
      <alignment horizontal="left" vertical="center" wrapText="1"/>
    </xf>
    <xf numFmtId="2" fontId="29" fillId="36" borderId="0" xfId="49" applyNumberFormat="1" applyFont="1" applyFill="1" applyAlignment="1">
      <alignment horizontal="left" wrapText="1"/>
    </xf>
    <xf numFmtId="0" fontId="43" fillId="38" borderId="0" xfId="44" applyFont="1" applyFill="1" applyAlignment="1">
      <alignment horizontal="left" vertical="top" wrapText="1"/>
    </xf>
    <xf numFmtId="0" fontId="51" fillId="36" borderId="0" xfId="49" applyFont="1" applyFill="1" applyAlignment="1">
      <alignment horizontal="left" vertical="top" wrapText="1"/>
    </xf>
    <xf numFmtId="0" fontId="48" fillId="36" borderId="0" xfId="49" applyFont="1" applyFill="1" applyAlignment="1">
      <alignment horizontal="left" vertical="top" wrapText="1"/>
    </xf>
    <xf numFmtId="0" fontId="29" fillId="0" borderId="0" xfId="49" applyFont="1" applyAlignment="1">
      <alignment horizontal="left" vertical="center" wrapText="1"/>
    </xf>
    <xf numFmtId="0" fontId="29" fillId="0" borderId="0" xfId="49" applyFont="1" applyAlignment="1">
      <alignment horizontal="left" vertical="top" wrapText="1"/>
    </xf>
    <xf numFmtId="0" fontId="73" fillId="0" borderId="0" xfId="49" applyFont="1" applyAlignment="1">
      <alignment horizontal="left" vertical="center" wrapText="1"/>
    </xf>
    <xf numFmtId="0" fontId="28" fillId="0" borderId="0" xfId="49" applyFont="1" applyAlignment="1">
      <alignment horizontal="left" vertical="top" wrapText="1"/>
    </xf>
    <xf numFmtId="0" fontId="28" fillId="0" borderId="0" xfId="49" applyFont="1" applyAlignment="1">
      <alignment horizontal="left" vertical="center" wrapText="1"/>
    </xf>
    <xf numFmtId="0" fontId="28" fillId="0" borderId="0" xfId="49" applyFont="1" applyAlignment="1">
      <alignment horizontal="left" wrapText="1"/>
    </xf>
    <xf numFmtId="0" fontId="57" fillId="37" borderId="0" xfId="0" applyFont="1" applyFill="1" applyAlignment="1">
      <alignment horizontal="center" vertical="center"/>
    </xf>
    <xf numFmtId="14" fontId="82" fillId="45" borderId="0" xfId="0" applyNumberFormat="1" applyFont="1" applyFill="1" applyAlignment="1">
      <alignment horizontal="center"/>
    </xf>
    <xf numFmtId="0" fontId="44" fillId="37" borderId="0" xfId="0" applyFont="1" applyFill="1" applyAlignment="1">
      <alignment horizontal="center" vertical="top" wrapText="1"/>
    </xf>
    <xf numFmtId="0" fontId="44" fillId="37" borderId="15" xfId="0" applyFont="1" applyFill="1" applyBorder="1" applyAlignment="1">
      <alignment horizontal="center" vertical="top" wrapText="1"/>
    </xf>
    <xf numFmtId="0" fontId="66" fillId="37" borderId="0" xfId="0" applyFont="1" applyFill="1" applyAlignment="1">
      <alignment horizontal="center" vertical="top" wrapText="1"/>
    </xf>
    <xf numFmtId="0" fontId="66" fillId="37" borderId="15" xfId="0" applyFont="1" applyFill="1" applyBorder="1" applyAlignment="1">
      <alignment horizontal="center" vertical="top" wrapText="1"/>
    </xf>
    <xf numFmtId="0" fontId="44" fillId="33" borderId="0" xfId="0" applyFont="1" applyFill="1" applyAlignment="1">
      <alignment horizontal="center" wrapText="1"/>
    </xf>
    <xf numFmtId="0" fontId="44" fillId="33" borderId="23" xfId="0" applyFont="1" applyFill="1" applyBorder="1" applyAlignment="1">
      <alignment horizontal="right" vertical="center" wrapText="1"/>
    </xf>
    <xf numFmtId="0" fontId="44" fillId="0" borderId="45" xfId="0" applyFont="1" applyBorder="1" applyAlignment="1">
      <alignment horizontal="center" wrapText="1"/>
    </xf>
    <xf numFmtId="0" fontId="44" fillId="0" borderId="47" xfId="0" applyFont="1" applyBorder="1" applyAlignment="1">
      <alignment horizontal="center" wrapText="1"/>
    </xf>
  </cellXfs>
  <cellStyles count="5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llaç" xfId="51" builtinId="8"/>
    <cellStyle name="Enllaç 2" xfId="50" xr:uid="{168273AF-1892-47C8-8245-024FFA0A34E9}"/>
    <cellStyle name="Entrada" xfId="9" builtinId="20" customBuiltin="1"/>
    <cellStyle name="Incorrecte" xfId="7" builtinId="27" customBuiltin="1"/>
    <cellStyle name="Moneda 2" xfId="43" xr:uid="{17C03C5E-0516-47BC-8EF3-BC677127CD68}"/>
    <cellStyle name="Moneda 3" xfId="46" xr:uid="{EAE326EB-AC85-4E17-9B6A-22631685FA0D}"/>
    <cellStyle name="Neutral" xfId="8" builtinId="28" customBuiltin="1"/>
    <cellStyle name="Normal" xfId="0" builtinId="0"/>
    <cellStyle name="Normal 2" xfId="42" xr:uid="{DD4AD661-669A-4ED1-AFFB-2BDC38B31652}"/>
    <cellStyle name="Normal 2 2" xfId="49" xr:uid="{895F559D-5265-4E7B-B89D-4E2139FFB59A}"/>
    <cellStyle name="Normal 3" xfId="44" xr:uid="{A4281583-52FB-49AD-8D72-2CE539855605}"/>
    <cellStyle name="Normal 4" xfId="47" xr:uid="{40E26FAC-2CDF-4686-BC45-8D8D9665841C}"/>
    <cellStyle name="Nota" xfId="15" builtinId="10" customBuiltin="1"/>
    <cellStyle name="Percentatge" xfId="48" builtinId="5"/>
    <cellStyle name="Percentatge 2" xfId="45" xr:uid="{B893E16F-4CF0-4713-9F17-61E38749EAC4}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auto="1"/>
      </font>
      <fill>
        <patternFill>
          <bgColor rgb="FFF4CCCC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alignment wrapText="1"/>
    </dxf>
    <dxf>
      <alignment wrapText="1"/>
    </dxf>
    <dxf>
      <alignment horizontal="center"/>
    </dxf>
    <dxf>
      <alignment horizontal="center"/>
    </dxf>
    <dxf>
      <alignment wrapText="1"/>
    </dxf>
    <dxf>
      <numFmt numFmtId="3" formatCode="#,##0"/>
    </dxf>
    <dxf>
      <fill>
        <patternFill patternType="solid">
          <bgColor theme="8" tint="0.59999389629810485"/>
        </patternFill>
      </fill>
    </dxf>
    <dxf>
      <alignment wrapText="1"/>
    </dxf>
    <dxf>
      <alignment wrapText="1"/>
    </dxf>
    <dxf>
      <numFmt numFmtId="168" formatCode="#,##0.0"/>
    </dxf>
    <dxf>
      <numFmt numFmtId="168" formatCode="#,##0.0"/>
    </dxf>
    <dxf>
      <alignment wrapText="1"/>
    </dxf>
    <dxf>
      <fill>
        <patternFill patternType="solid">
          <bgColor theme="8" tint="0.59999389629810485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colors>
    <mruColors>
      <color rgb="FFF4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microsoft.com/office/2011/relationships/timelineCache" Target="timelineCaches/timelineCache1.xml"/><Relationship Id="rId18" Type="http://schemas.openxmlformats.org/officeDocument/2006/relationships/sharedStrings" Target="sharedStrings.xml"/><Relationship Id="rId26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styles" Target="styles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powerPivotData" Target="model/item.data"/><Relationship Id="rId29" Type="http://schemas.openxmlformats.org/officeDocument/2006/relationships/customXml" Target="../customXml/item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2.xml"/><Relationship Id="rId28" Type="http://schemas.openxmlformats.org/officeDocument/2006/relationships/customXml" Target="../customXml/item7.xml"/><Relationship Id="rId10" Type="http://schemas.openxmlformats.org/officeDocument/2006/relationships/pivotCacheDefinition" Target="pivotCache/pivotCacheDefinition2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11/relationships/timelineCache" Target="timelineCaches/timelineCache2.xml"/><Relationship Id="rId22" Type="http://schemas.openxmlformats.org/officeDocument/2006/relationships/customXml" Target="../customXml/item1.xml"/><Relationship Id="rId27" Type="http://schemas.openxmlformats.org/officeDocument/2006/relationships/customXml" Target="../customXml/item6.xml"/><Relationship Id="rId30" Type="http://schemas.openxmlformats.org/officeDocument/2006/relationships/customXml" Target="../customXml/item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Consum elèctric horari kWh/h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'Introducció dades consum'!$I$4</c:f>
              <c:strCache>
                <c:ptCount val="1"/>
                <c:pt idx="0">
                  <c:v>Energia  Consumida</c:v>
                </c:pt>
              </c:strCache>
            </c:strRef>
          </c:tx>
          <c:invertIfNegative val="0"/>
          <c:cat>
            <c:numRef>
              <c:f>'Introducció dades consum'!$C$5:$C$9532</c:f>
              <c:numCache>
                <c:formatCode>m/d/yyyy</c:formatCode>
                <c:ptCount val="9528"/>
              </c:numCache>
            </c:numRef>
          </c:cat>
          <c:val>
            <c:numRef>
              <c:f>'Introducció dades consum'!$I$5:$I$9532</c:f>
              <c:numCache>
                <c:formatCode>0.00</c:formatCode>
                <c:ptCount val="95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0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0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0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</c:v>
                </c:pt>
                <c:pt idx="4612">
                  <c:v>0</c:v>
                </c:pt>
                <c:pt idx="4613">
                  <c:v>0</c:v>
                </c:pt>
                <c:pt idx="4614">
                  <c:v>0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0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0</c:v>
                </c:pt>
                <c:pt idx="4788">
                  <c:v>0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0</c:v>
                </c:pt>
                <c:pt idx="4806">
                  <c:v>0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0</c:v>
                </c:pt>
                <c:pt idx="4863">
                  <c:v>0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0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</c:v>
                </c:pt>
                <c:pt idx="4963">
                  <c:v>0</c:v>
                </c:pt>
                <c:pt idx="4964">
                  <c:v>0</c:v>
                </c:pt>
                <c:pt idx="4965">
                  <c:v>0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0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0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0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0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0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0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0</c:v>
                </c:pt>
                <c:pt idx="5294">
                  <c:v>0</c:v>
                </c:pt>
                <c:pt idx="5295">
                  <c:v>0</c:v>
                </c:pt>
                <c:pt idx="5296">
                  <c:v>0</c:v>
                </c:pt>
                <c:pt idx="5297">
                  <c:v>0</c:v>
                </c:pt>
                <c:pt idx="5298">
                  <c:v>0</c:v>
                </c:pt>
                <c:pt idx="5299">
                  <c:v>0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0</c:v>
                </c:pt>
                <c:pt idx="5305">
                  <c:v>0</c:v>
                </c:pt>
                <c:pt idx="5306">
                  <c:v>0</c:v>
                </c:pt>
                <c:pt idx="5307">
                  <c:v>0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0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0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0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0</c:v>
                </c:pt>
                <c:pt idx="5537">
                  <c:v>0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0</c:v>
                </c:pt>
                <c:pt idx="5548">
                  <c:v>0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0</c:v>
                </c:pt>
                <c:pt idx="5567">
                  <c:v>0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0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0</c:v>
                </c:pt>
                <c:pt idx="5597">
                  <c:v>0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0</c:v>
                </c:pt>
                <c:pt idx="5604">
                  <c:v>0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0</c:v>
                </c:pt>
                <c:pt idx="5612">
                  <c:v>0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0</c:v>
                </c:pt>
                <c:pt idx="5623">
                  <c:v>0</c:v>
                </c:pt>
                <c:pt idx="5624">
                  <c:v>0</c:v>
                </c:pt>
                <c:pt idx="5625">
                  <c:v>0</c:v>
                </c:pt>
                <c:pt idx="5626">
                  <c:v>0</c:v>
                </c:pt>
                <c:pt idx="5627">
                  <c:v>0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0</c:v>
                </c:pt>
                <c:pt idx="5638">
                  <c:v>0</c:v>
                </c:pt>
                <c:pt idx="5639">
                  <c:v>0</c:v>
                </c:pt>
                <c:pt idx="5640">
                  <c:v>0</c:v>
                </c:pt>
                <c:pt idx="5641">
                  <c:v>0</c:v>
                </c:pt>
                <c:pt idx="5642">
                  <c:v>0</c:v>
                </c:pt>
                <c:pt idx="5643">
                  <c:v>0</c:v>
                </c:pt>
                <c:pt idx="5644">
                  <c:v>0</c:v>
                </c:pt>
                <c:pt idx="5645">
                  <c:v>0</c:v>
                </c:pt>
                <c:pt idx="5646">
                  <c:v>0</c:v>
                </c:pt>
                <c:pt idx="5647">
                  <c:v>0</c:v>
                </c:pt>
                <c:pt idx="5648">
                  <c:v>0</c:v>
                </c:pt>
                <c:pt idx="5649">
                  <c:v>0</c:v>
                </c:pt>
                <c:pt idx="5650">
                  <c:v>0</c:v>
                </c:pt>
                <c:pt idx="5651">
                  <c:v>0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0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0</c:v>
                </c:pt>
                <c:pt idx="5667">
                  <c:v>0</c:v>
                </c:pt>
                <c:pt idx="5668">
                  <c:v>0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0</c:v>
                </c:pt>
                <c:pt idx="5676">
                  <c:v>0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0</c:v>
                </c:pt>
                <c:pt idx="5683">
                  <c:v>0</c:v>
                </c:pt>
                <c:pt idx="5684">
                  <c:v>0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0</c:v>
                </c:pt>
                <c:pt idx="5692">
                  <c:v>0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0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0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0</c:v>
                </c:pt>
                <c:pt idx="5780">
                  <c:v>0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0</c:v>
                </c:pt>
                <c:pt idx="5812">
                  <c:v>0</c:v>
                </c:pt>
                <c:pt idx="5813">
                  <c:v>0</c:v>
                </c:pt>
                <c:pt idx="5814">
                  <c:v>0</c:v>
                </c:pt>
                <c:pt idx="5815">
                  <c:v>0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0</c:v>
                </c:pt>
                <c:pt idx="5825">
                  <c:v>0</c:v>
                </c:pt>
                <c:pt idx="5826">
                  <c:v>0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0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0</c:v>
                </c:pt>
                <c:pt idx="5876">
                  <c:v>0</c:v>
                </c:pt>
                <c:pt idx="5877">
                  <c:v>0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0</c:v>
                </c:pt>
                <c:pt idx="5885">
                  <c:v>0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0</c:v>
                </c:pt>
                <c:pt idx="5890">
                  <c:v>0</c:v>
                </c:pt>
                <c:pt idx="5891">
                  <c:v>0</c:v>
                </c:pt>
                <c:pt idx="5892">
                  <c:v>0</c:v>
                </c:pt>
                <c:pt idx="5893">
                  <c:v>0</c:v>
                </c:pt>
                <c:pt idx="5894">
                  <c:v>0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0</c:v>
                </c:pt>
                <c:pt idx="5908">
                  <c:v>0</c:v>
                </c:pt>
                <c:pt idx="5909">
                  <c:v>0</c:v>
                </c:pt>
                <c:pt idx="5910">
                  <c:v>0</c:v>
                </c:pt>
                <c:pt idx="5911">
                  <c:v>0</c:v>
                </c:pt>
                <c:pt idx="5912">
                  <c:v>0</c:v>
                </c:pt>
                <c:pt idx="5913">
                  <c:v>0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</c:v>
                </c:pt>
                <c:pt idx="5923">
                  <c:v>0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0</c:v>
                </c:pt>
                <c:pt idx="5942">
                  <c:v>0</c:v>
                </c:pt>
                <c:pt idx="5943">
                  <c:v>0</c:v>
                </c:pt>
                <c:pt idx="5944">
                  <c:v>0</c:v>
                </c:pt>
                <c:pt idx="5945">
                  <c:v>0</c:v>
                </c:pt>
                <c:pt idx="5946">
                  <c:v>0</c:v>
                </c:pt>
                <c:pt idx="5947">
                  <c:v>0</c:v>
                </c:pt>
                <c:pt idx="5948">
                  <c:v>0</c:v>
                </c:pt>
                <c:pt idx="5949">
                  <c:v>0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0</c:v>
                </c:pt>
                <c:pt idx="5959">
                  <c:v>0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0</c:v>
                </c:pt>
                <c:pt idx="5969">
                  <c:v>0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0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0</c:v>
                </c:pt>
                <c:pt idx="6017">
                  <c:v>0</c:v>
                </c:pt>
                <c:pt idx="6018">
                  <c:v>0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0</c:v>
                </c:pt>
                <c:pt idx="6028">
                  <c:v>0</c:v>
                </c:pt>
                <c:pt idx="6029">
                  <c:v>0</c:v>
                </c:pt>
                <c:pt idx="6030">
                  <c:v>0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0</c:v>
                </c:pt>
                <c:pt idx="6035">
                  <c:v>0</c:v>
                </c:pt>
                <c:pt idx="6036">
                  <c:v>0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0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0</c:v>
                </c:pt>
                <c:pt idx="6052">
                  <c:v>0</c:v>
                </c:pt>
                <c:pt idx="6053">
                  <c:v>0</c:v>
                </c:pt>
                <c:pt idx="6054">
                  <c:v>0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0</c:v>
                </c:pt>
                <c:pt idx="6066">
                  <c:v>0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0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0</c:v>
                </c:pt>
                <c:pt idx="6271">
                  <c:v>0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0</c:v>
                </c:pt>
                <c:pt idx="6320">
                  <c:v>0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</c:v>
                </c:pt>
                <c:pt idx="6342">
                  <c:v>0</c:v>
                </c:pt>
                <c:pt idx="6343">
                  <c:v>0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0</c:v>
                </c:pt>
                <c:pt idx="6366">
                  <c:v>0</c:v>
                </c:pt>
                <c:pt idx="6367">
                  <c:v>0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0</c:v>
                </c:pt>
                <c:pt idx="6372">
                  <c:v>0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0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0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0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0</c:v>
                </c:pt>
                <c:pt idx="6611">
                  <c:v>0</c:v>
                </c:pt>
                <c:pt idx="6612">
                  <c:v>0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0</c:v>
                </c:pt>
                <c:pt idx="6640">
                  <c:v>0</c:v>
                </c:pt>
                <c:pt idx="6641">
                  <c:v>0</c:v>
                </c:pt>
                <c:pt idx="6642">
                  <c:v>0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0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0</c:v>
                </c:pt>
                <c:pt idx="6679">
                  <c:v>0</c:v>
                </c:pt>
                <c:pt idx="6680">
                  <c:v>0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0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0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</c:v>
                </c:pt>
                <c:pt idx="6966">
                  <c:v>0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0</c:v>
                </c:pt>
                <c:pt idx="7013">
                  <c:v>0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0</c:v>
                </c:pt>
                <c:pt idx="7038">
                  <c:v>0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0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0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</c:v>
                </c:pt>
                <c:pt idx="7086">
                  <c:v>0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0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0</c:v>
                </c:pt>
                <c:pt idx="7109">
                  <c:v>0</c:v>
                </c:pt>
                <c:pt idx="7110">
                  <c:v>0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0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0</c:v>
                </c:pt>
                <c:pt idx="7183">
                  <c:v>0</c:v>
                </c:pt>
                <c:pt idx="7184">
                  <c:v>0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0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0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0</c:v>
                </c:pt>
                <c:pt idx="7327">
                  <c:v>0</c:v>
                </c:pt>
                <c:pt idx="7328">
                  <c:v>0</c:v>
                </c:pt>
                <c:pt idx="7329">
                  <c:v>0</c:v>
                </c:pt>
                <c:pt idx="7330">
                  <c:v>0</c:v>
                </c:pt>
                <c:pt idx="7331">
                  <c:v>0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0</c:v>
                </c:pt>
                <c:pt idx="7341">
                  <c:v>0</c:v>
                </c:pt>
                <c:pt idx="7342">
                  <c:v>0</c:v>
                </c:pt>
                <c:pt idx="7343">
                  <c:v>0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0</c:v>
                </c:pt>
                <c:pt idx="7370">
                  <c:v>0</c:v>
                </c:pt>
                <c:pt idx="7371">
                  <c:v>0</c:v>
                </c:pt>
                <c:pt idx="7372">
                  <c:v>0</c:v>
                </c:pt>
                <c:pt idx="7373">
                  <c:v>0</c:v>
                </c:pt>
                <c:pt idx="7374">
                  <c:v>0</c:v>
                </c:pt>
                <c:pt idx="7375">
                  <c:v>0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0</c:v>
                </c:pt>
                <c:pt idx="7380">
                  <c:v>0</c:v>
                </c:pt>
                <c:pt idx="7381">
                  <c:v>0</c:v>
                </c:pt>
                <c:pt idx="7382">
                  <c:v>0</c:v>
                </c:pt>
                <c:pt idx="7383">
                  <c:v>0</c:v>
                </c:pt>
                <c:pt idx="7384">
                  <c:v>0</c:v>
                </c:pt>
                <c:pt idx="7385">
                  <c:v>0</c:v>
                </c:pt>
                <c:pt idx="7386">
                  <c:v>0</c:v>
                </c:pt>
                <c:pt idx="7387">
                  <c:v>0</c:v>
                </c:pt>
                <c:pt idx="7388">
                  <c:v>0</c:v>
                </c:pt>
                <c:pt idx="7389">
                  <c:v>0</c:v>
                </c:pt>
                <c:pt idx="7390">
                  <c:v>0</c:v>
                </c:pt>
                <c:pt idx="7391">
                  <c:v>0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0</c:v>
                </c:pt>
                <c:pt idx="7396">
                  <c:v>0</c:v>
                </c:pt>
                <c:pt idx="7397">
                  <c:v>0</c:v>
                </c:pt>
                <c:pt idx="7398">
                  <c:v>0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0</c:v>
                </c:pt>
                <c:pt idx="7409">
                  <c:v>0</c:v>
                </c:pt>
                <c:pt idx="7410">
                  <c:v>0</c:v>
                </c:pt>
                <c:pt idx="7411">
                  <c:v>0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0</c:v>
                </c:pt>
                <c:pt idx="7418">
                  <c:v>0</c:v>
                </c:pt>
                <c:pt idx="7419">
                  <c:v>0</c:v>
                </c:pt>
                <c:pt idx="7420">
                  <c:v>0</c:v>
                </c:pt>
                <c:pt idx="7421">
                  <c:v>0</c:v>
                </c:pt>
                <c:pt idx="7422">
                  <c:v>0</c:v>
                </c:pt>
                <c:pt idx="7423">
                  <c:v>0</c:v>
                </c:pt>
                <c:pt idx="7424">
                  <c:v>0</c:v>
                </c:pt>
                <c:pt idx="7425">
                  <c:v>0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0</c:v>
                </c:pt>
                <c:pt idx="7430">
                  <c:v>0</c:v>
                </c:pt>
                <c:pt idx="7431">
                  <c:v>0</c:v>
                </c:pt>
                <c:pt idx="7432">
                  <c:v>0</c:v>
                </c:pt>
                <c:pt idx="7433">
                  <c:v>0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0</c:v>
                </c:pt>
                <c:pt idx="7438">
                  <c:v>0</c:v>
                </c:pt>
                <c:pt idx="7439">
                  <c:v>0</c:v>
                </c:pt>
                <c:pt idx="7440">
                  <c:v>0</c:v>
                </c:pt>
                <c:pt idx="7441">
                  <c:v>0</c:v>
                </c:pt>
                <c:pt idx="7442">
                  <c:v>0</c:v>
                </c:pt>
                <c:pt idx="7443">
                  <c:v>0</c:v>
                </c:pt>
                <c:pt idx="7444">
                  <c:v>0</c:v>
                </c:pt>
                <c:pt idx="7445">
                  <c:v>0</c:v>
                </c:pt>
                <c:pt idx="7446">
                  <c:v>0</c:v>
                </c:pt>
                <c:pt idx="7447">
                  <c:v>0</c:v>
                </c:pt>
                <c:pt idx="7448">
                  <c:v>0</c:v>
                </c:pt>
                <c:pt idx="7449">
                  <c:v>0</c:v>
                </c:pt>
                <c:pt idx="7450">
                  <c:v>0</c:v>
                </c:pt>
                <c:pt idx="7451">
                  <c:v>0</c:v>
                </c:pt>
                <c:pt idx="7452">
                  <c:v>0</c:v>
                </c:pt>
                <c:pt idx="7453">
                  <c:v>0</c:v>
                </c:pt>
                <c:pt idx="7454">
                  <c:v>0</c:v>
                </c:pt>
                <c:pt idx="7455">
                  <c:v>0</c:v>
                </c:pt>
                <c:pt idx="7456">
                  <c:v>0</c:v>
                </c:pt>
                <c:pt idx="7457">
                  <c:v>0</c:v>
                </c:pt>
                <c:pt idx="7458">
                  <c:v>0</c:v>
                </c:pt>
                <c:pt idx="7459">
                  <c:v>0</c:v>
                </c:pt>
                <c:pt idx="7460">
                  <c:v>0</c:v>
                </c:pt>
                <c:pt idx="7461">
                  <c:v>0</c:v>
                </c:pt>
                <c:pt idx="7462">
                  <c:v>0</c:v>
                </c:pt>
                <c:pt idx="7463">
                  <c:v>0</c:v>
                </c:pt>
                <c:pt idx="7464">
                  <c:v>0</c:v>
                </c:pt>
                <c:pt idx="7465">
                  <c:v>0</c:v>
                </c:pt>
                <c:pt idx="7466">
                  <c:v>0</c:v>
                </c:pt>
                <c:pt idx="7467">
                  <c:v>0</c:v>
                </c:pt>
                <c:pt idx="7468">
                  <c:v>0</c:v>
                </c:pt>
                <c:pt idx="7469">
                  <c:v>0</c:v>
                </c:pt>
                <c:pt idx="7470">
                  <c:v>0</c:v>
                </c:pt>
                <c:pt idx="7471">
                  <c:v>0</c:v>
                </c:pt>
                <c:pt idx="7472">
                  <c:v>0</c:v>
                </c:pt>
                <c:pt idx="7473">
                  <c:v>0</c:v>
                </c:pt>
                <c:pt idx="7474">
                  <c:v>0</c:v>
                </c:pt>
                <c:pt idx="7475">
                  <c:v>0</c:v>
                </c:pt>
                <c:pt idx="7476">
                  <c:v>0</c:v>
                </c:pt>
                <c:pt idx="7477">
                  <c:v>0</c:v>
                </c:pt>
                <c:pt idx="7478">
                  <c:v>0</c:v>
                </c:pt>
                <c:pt idx="7479">
                  <c:v>0</c:v>
                </c:pt>
                <c:pt idx="7480">
                  <c:v>0</c:v>
                </c:pt>
                <c:pt idx="7481">
                  <c:v>0</c:v>
                </c:pt>
                <c:pt idx="7482">
                  <c:v>0</c:v>
                </c:pt>
                <c:pt idx="7483">
                  <c:v>0</c:v>
                </c:pt>
                <c:pt idx="7484">
                  <c:v>0</c:v>
                </c:pt>
                <c:pt idx="7485">
                  <c:v>0</c:v>
                </c:pt>
                <c:pt idx="7486">
                  <c:v>0</c:v>
                </c:pt>
                <c:pt idx="7487">
                  <c:v>0</c:v>
                </c:pt>
                <c:pt idx="7488">
                  <c:v>0</c:v>
                </c:pt>
                <c:pt idx="7489">
                  <c:v>0</c:v>
                </c:pt>
                <c:pt idx="7490">
                  <c:v>0</c:v>
                </c:pt>
                <c:pt idx="7491">
                  <c:v>0</c:v>
                </c:pt>
                <c:pt idx="7492">
                  <c:v>0</c:v>
                </c:pt>
                <c:pt idx="7493">
                  <c:v>0</c:v>
                </c:pt>
                <c:pt idx="7494">
                  <c:v>0</c:v>
                </c:pt>
                <c:pt idx="7495">
                  <c:v>0</c:v>
                </c:pt>
                <c:pt idx="7496">
                  <c:v>0</c:v>
                </c:pt>
                <c:pt idx="7497">
                  <c:v>0</c:v>
                </c:pt>
                <c:pt idx="7498">
                  <c:v>0</c:v>
                </c:pt>
                <c:pt idx="7499">
                  <c:v>0</c:v>
                </c:pt>
                <c:pt idx="7500">
                  <c:v>0</c:v>
                </c:pt>
                <c:pt idx="7501">
                  <c:v>0</c:v>
                </c:pt>
                <c:pt idx="7502">
                  <c:v>0</c:v>
                </c:pt>
                <c:pt idx="7503">
                  <c:v>0</c:v>
                </c:pt>
                <c:pt idx="7504">
                  <c:v>0</c:v>
                </c:pt>
                <c:pt idx="7505">
                  <c:v>0</c:v>
                </c:pt>
                <c:pt idx="7506">
                  <c:v>0</c:v>
                </c:pt>
                <c:pt idx="7507">
                  <c:v>0</c:v>
                </c:pt>
                <c:pt idx="7508">
                  <c:v>0</c:v>
                </c:pt>
                <c:pt idx="7509">
                  <c:v>0</c:v>
                </c:pt>
                <c:pt idx="7510">
                  <c:v>0</c:v>
                </c:pt>
                <c:pt idx="7511">
                  <c:v>0</c:v>
                </c:pt>
                <c:pt idx="7512">
                  <c:v>0</c:v>
                </c:pt>
                <c:pt idx="7513">
                  <c:v>0</c:v>
                </c:pt>
                <c:pt idx="7514">
                  <c:v>0</c:v>
                </c:pt>
                <c:pt idx="7515">
                  <c:v>0</c:v>
                </c:pt>
                <c:pt idx="7516">
                  <c:v>0</c:v>
                </c:pt>
                <c:pt idx="7517">
                  <c:v>0</c:v>
                </c:pt>
                <c:pt idx="7518">
                  <c:v>0</c:v>
                </c:pt>
                <c:pt idx="7519">
                  <c:v>0</c:v>
                </c:pt>
                <c:pt idx="7520">
                  <c:v>0</c:v>
                </c:pt>
                <c:pt idx="7521">
                  <c:v>0</c:v>
                </c:pt>
                <c:pt idx="7522">
                  <c:v>0</c:v>
                </c:pt>
                <c:pt idx="7523">
                  <c:v>0</c:v>
                </c:pt>
                <c:pt idx="7524">
                  <c:v>0</c:v>
                </c:pt>
                <c:pt idx="7525">
                  <c:v>0</c:v>
                </c:pt>
                <c:pt idx="7526">
                  <c:v>0</c:v>
                </c:pt>
                <c:pt idx="7527">
                  <c:v>0</c:v>
                </c:pt>
                <c:pt idx="7528">
                  <c:v>0</c:v>
                </c:pt>
                <c:pt idx="7529">
                  <c:v>0</c:v>
                </c:pt>
                <c:pt idx="7530">
                  <c:v>0</c:v>
                </c:pt>
                <c:pt idx="7531">
                  <c:v>0</c:v>
                </c:pt>
                <c:pt idx="7532">
                  <c:v>0</c:v>
                </c:pt>
                <c:pt idx="7533">
                  <c:v>0</c:v>
                </c:pt>
                <c:pt idx="7534">
                  <c:v>0</c:v>
                </c:pt>
                <c:pt idx="7535">
                  <c:v>0</c:v>
                </c:pt>
                <c:pt idx="7536">
                  <c:v>0</c:v>
                </c:pt>
                <c:pt idx="7537">
                  <c:v>0</c:v>
                </c:pt>
                <c:pt idx="7538">
                  <c:v>0</c:v>
                </c:pt>
                <c:pt idx="7539">
                  <c:v>0</c:v>
                </c:pt>
                <c:pt idx="7540">
                  <c:v>0</c:v>
                </c:pt>
                <c:pt idx="7541">
                  <c:v>0</c:v>
                </c:pt>
                <c:pt idx="7542">
                  <c:v>0</c:v>
                </c:pt>
                <c:pt idx="7543">
                  <c:v>0</c:v>
                </c:pt>
                <c:pt idx="7544">
                  <c:v>0</c:v>
                </c:pt>
                <c:pt idx="7545">
                  <c:v>0</c:v>
                </c:pt>
                <c:pt idx="7546">
                  <c:v>0</c:v>
                </c:pt>
                <c:pt idx="7547">
                  <c:v>0</c:v>
                </c:pt>
                <c:pt idx="7548">
                  <c:v>0</c:v>
                </c:pt>
                <c:pt idx="7549">
                  <c:v>0</c:v>
                </c:pt>
                <c:pt idx="7550">
                  <c:v>0</c:v>
                </c:pt>
                <c:pt idx="7551">
                  <c:v>0</c:v>
                </c:pt>
                <c:pt idx="7552">
                  <c:v>0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0</c:v>
                </c:pt>
                <c:pt idx="7562">
                  <c:v>0</c:v>
                </c:pt>
                <c:pt idx="7563">
                  <c:v>0</c:v>
                </c:pt>
                <c:pt idx="7564">
                  <c:v>0</c:v>
                </c:pt>
                <c:pt idx="7565">
                  <c:v>0</c:v>
                </c:pt>
                <c:pt idx="7566">
                  <c:v>0</c:v>
                </c:pt>
                <c:pt idx="7567">
                  <c:v>0</c:v>
                </c:pt>
                <c:pt idx="7568">
                  <c:v>0</c:v>
                </c:pt>
                <c:pt idx="7569">
                  <c:v>0</c:v>
                </c:pt>
                <c:pt idx="7570">
                  <c:v>0</c:v>
                </c:pt>
                <c:pt idx="7571">
                  <c:v>0</c:v>
                </c:pt>
                <c:pt idx="7572">
                  <c:v>0</c:v>
                </c:pt>
                <c:pt idx="7573">
                  <c:v>0</c:v>
                </c:pt>
                <c:pt idx="7574">
                  <c:v>0</c:v>
                </c:pt>
                <c:pt idx="7575">
                  <c:v>0</c:v>
                </c:pt>
                <c:pt idx="7576">
                  <c:v>0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0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0</c:v>
                </c:pt>
                <c:pt idx="7592">
                  <c:v>0</c:v>
                </c:pt>
                <c:pt idx="7593">
                  <c:v>0</c:v>
                </c:pt>
                <c:pt idx="7594">
                  <c:v>0</c:v>
                </c:pt>
                <c:pt idx="7595">
                  <c:v>0</c:v>
                </c:pt>
                <c:pt idx="7596">
                  <c:v>0</c:v>
                </c:pt>
                <c:pt idx="7597">
                  <c:v>0</c:v>
                </c:pt>
                <c:pt idx="7598">
                  <c:v>0</c:v>
                </c:pt>
                <c:pt idx="7599">
                  <c:v>0</c:v>
                </c:pt>
                <c:pt idx="7600">
                  <c:v>0</c:v>
                </c:pt>
                <c:pt idx="7601">
                  <c:v>0</c:v>
                </c:pt>
                <c:pt idx="7602">
                  <c:v>0</c:v>
                </c:pt>
                <c:pt idx="7603">
                  <c:v>0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0</c:v>
                </c:pt>
                <c:pt idx="7616">
                  <c:v>0</c:v>
                </c:pt>
                <c:pt idx="7617">
                  <c:v>0</c:v>
                </c:pt>
                <c:pt idx="7618">
                  <c:v>0</c:v>
                </c:pt>
                <c:pt idx="7619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0</c:v>
                </c:pt>
                <c:pt idx="7626">
                  <c:v>0</c:v>
                </c:pt>
                <c:pt idx="7627">
                  <c:v>0</c:v>
                </c:pt>
                <c:pt idx="7628">
                  <c:v>0</c:v>
                </c:pt>
                <c:pt idx="7629">
                  <c:v>0</c:v>
                </c:pt>
                <c:pt idx="7630">
                  <c:v>0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0</c:v>
                </c:pt>
                <c:pt idx="7640">
                  <c:v>0</c:v>
                </c:pt>
                <c:pt idx="7641">
                  <c:v>0</c:v>
                </c:pt>
                <c:pt idx="7642">
                  <c:v>0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</c:v>
                </c:pt>
                <c:pt idx="7647">
                  <c:v>0</c:v>
                </c:pt>
                <c:pt idx="7648">
                  <c:v>0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0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0</c:v>
                </c:pt>
                <c:pt idx="7664">
                  <c:v>0</c:v>
                </c:pt>
                <c:pt idx="7665">
                  <c:v>0</c:v>
                </c:pt>
                <c:pt idx="7666">
                  <c:v>0</c:v>
                </c:pt>
                <c:pt idx="7667">
                  <c:v>0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0</c:v>
                </c:pt>
                <c:pt idx="7672">
                  <c:v>0</c:v>
                </c:pt>
                <c:pt idx="7673">
                  <c:v>0</c:v>
                </c:pt>
                <c:pt idx="7674">
                  <c:v>0</c:v>
                </c:pt>
                <c:pt idx="7675">
                  <c:v>0</c:v>
                </c:pt>
                <c:pt idx="7676">
                  <c:v>0</c:v>
                </c:pt>
                <c:pt idx="7677">
                  <c:v>0</c:v>
                </c:pt>
                <c:pt idx="7678">
                  <c:v>0</c:v>
                </c:pt>
                <c:pt idx="7679">
                  <c:v>0</c:v>
                </c:pt>
                <c:pt idx="7680">
                  <c:v>0</c:v>
                </c:pt>
                <c:pt idx="7681">
                  <c:v>0</c:v>
                </c:pt>
                <c:pt idx="7682">
                  <c:v>0</c:v>
                </c:pt>
                <c:pt idx="7683">
                  <c:v>0</c:v>
                </c:pt>
                <c:pt idx="7684">
                  <c:v>0</c:v>
                </c:pt>
                <c:pt idx="7685">
                  <c:v>0</c:v>
                </c:pt>
                <c:pt idx="7686">
                  <c:v>0</c:v>
                </c:pt>
                <c:pt idx="7687">
                  <c:v>0</c:v>
                </c:pt>
                <c:pt idx="7688">
                  <c:v>0</c:v>
                </c:pt>
                <c:pt idx="7689">
                  <c:v>0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0</c:v>
                </c:pt>
                <c:pt idx="7694">
                  <c:v>0</c:v>
                </c:pt>
                <c:pt idx="7695">
                  <c:v>0</c:v>
                </c:pt>
                <c:pt idx="7696">
                  <c:v>0</c:v>
                </c:pt>
                <c:pt idx="7697">
                  <c:v>0</c:v>
                </c:pt>
                <c:pt idx="7698">
                  <c:v>0</c:v>
                </c:pt>
                <c:pt idx="7699">
                  <c:v>0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0</c:v>
                </c:pt>
                <c:pt idx="7707">
                  <c:v>0</c:v>
                </c:pt>
                <c:pt idx="7708">
                  <c:v>0</c:v>
                </c:pt>
                <c:pt idx="7709">
                  <c:v>0</c:v>
                </c:pt>
                <c:pt idx="7710">
                  <c:v>0</c:v>
                </c:pt>
                <c:pt idx="7711">
                  <c:v>0</c:v>
                </c:pt>
                <c:pt idx="7712">
                  <c:v>0</c:v>
                </c:pt>
                <c:pt idx="7713">
                  <c:v>0</c:v>
                </c:pt>
                <c:pt idx="7714">
                  <c:v>0</c:v>
                </c:pt>
                <c:pt idx="7715">
                  <c:v>0</c:v>
                </c:pt>
                <c:pt idx="7716">
                  <c:v>0</c:v>
                </c:pt>
                <c:pt idx="7717">
                  <c:v>0</c:v>
                </c:pt>
                <c:pt idx="7718">
                  <c:v>0</c:v>
                </c:pt>
                <c:pt idx="7719">
                  <c:v>0</c:v>
                </c:pt>
                <c:pt idx="7720">
                  <c:v>0</c:v>
                </c:pt>
                <c:pt idx="7721">
                  <c:v>0</c:v>
                </c:pt>
                <c:pt idx="7722">
                  <c:v>0</c:v>
                </c:pt>
                <c:pt idx="7723">
                  <c:v>0</c:v>
                </c:pt>
                <c:pt idx="7724">
                  <c:v>0</c:v>
                </c:pt>
                <c:pt idx="7725">
                  <c:v>0</c:v>
                </c:pt>
                <c:pt idx="7726">
                  <c:v>0</c:v>
                </c:pt>
                <c:pt idx="7727">
                  <c:v>0</c:v>
                </c:pt>
                <c:pt idx="7728">
                  <c:v>0</c:v>
                </c:pt>
                <c:pt idx="7729">
                  <c:v>0</c:v>
                </c:pt>
                <c:pt idx="7730">
                  <c:v>0</c:v>
                </c:pt>
                <c:pt idx="7731">
                  <c:v>0</c:v>
                </c:pt>
                <c:pt idx="7732">
                  <c:v>0</c:v>
                </c:pt>
                <c:pt idx="7733">
                  <c:v>0</c:v>
                </c:pt>
                <c:pt idx="7734">
                  <c:v>0</c:v>
                </c:pt>
                <c:pt idx="7735">
                  <c:v>0</c:v>
                </c:pt>
                <c:pt idx="7736">
                  <c:v>0</c:v>
                </c:pt>
                <c:pt idx="7737">
                  <c:v>0</c:v>
                </c:pt>
                <c:pt idx="7738">
                  <c:v>0</c:v>
                </c:pt>
                <c:pt idx="7739">
                  <c:v>0</c:v>
                </c:pt>
                <c:pt idx="7740">
                  <c:v>0</c:v>
                </c:pt>
                <c:pt idx="7741">
                  <c:v>0</c:v>
                </c:pt>
                <c:pt idx="7742">
                  <c:v>0</c:v>
                </c:pt>
                <c:pt idx="7743">
                  <c:v>0</c:v>
                </c:pt>
                <c:pt idx="7744">
                  <c:v>0</c:v>
                </c:pt>
                <c:pt idx="7745">
                  <c:v>0</c:v>
                </c:pt>
                <c:pt idx="7746">
                  <c:v>0</c:v>
                </c:pt>
                <c:pt idx="7747">
                  <c:v>0</c:v>
                </c:pt>
                <c:pt idx="7748">
                  <c:v>0</c:v>
                </c:pt>
                <c:pt idx="7749">
                  <c:v>0</c:v>
                </c:pt>
                <c:pt idx="7750">
                  <c:v>0</c:v>
                </c:pt>
                <c:pt idx="7751">
                  <c:v>0</c:v>
                </c:pt>
                <c:pt idx="7752">
                  <c:v>0</c:v>
                </c:pt>
                <c:pt idx="7753">
                  <c:v>0</c:v>
                </c:pt>
                <c:pt idx="7754">
                  <c:v>0</c:v>
                </c:pt>
                <c:pt idx="7755">
                  <c:v>0</c:v>
                </c:pt>
                <c:pt idx="7756">
                  <c:v>0</c:v>
                </c:pt>
                <c:pt idx="7757">
                  <c:v>0</c:v>
                </c:pt>
                <c:pt idx="7758">
                  <c:v>0</c:v>
                </c:pt>
                <c:pt idx="7759">
                  <c:v>0</c:v>
                </c:pt>
                <c:pt idx="7760">
                  <c:v>0</c:v>
                </c:pt>
                <c:pt idx="7761">
                  <c:v>0</c:v>
                </c:pt>
                <c:pt idx="7762">
                  <c:v>0</c:v>
                </c:pt>
                <c:pt idx="7763">
                  <c:v>0</c:v>
                </c:pt>
                <c:pt idx="7764">
                  <c:v>0</c:v>
                </c:pt>
                <c:pt idx="7765">
                  <c:v>0</c:v>
                </c:pt>
                <c:pt idx="7766">
                  <c:v>0</c:v>
                </c:pt>
                <c:pt idx="7767">
                  <c:v>0</c:v>
                </c:pt>
                <c:pt idx="7768">
                  <c:v>0</c:v>
                </c:pt>
                <c:pt idx="7769">
                  <c:v>0</c:v>
                </c:pt>
                <c:pt idx="7770">
                  <c:v>0</c:v>
                </c:pt>
                <c:pt idx="7771">
                  <c:v>0</c:v>
                </c:pt>
                <c:pt idx="7772">
                  <c:v>0</c:v>
                </c:pt>
                <c:pt idx="7773">
                  <c:v>0</c:v>
                </c:pt>
                <c:pt idx="7774">
                  <c:v>0</c:v>
                </c:pt>
                <c:pt idx="7775">
                  <c:v>0</c:v>
                </c:pt>
                <c:pt idx="7776">
                  <c:v>0</c:v>
                </c:pt>
                <c:pt idx="7777">
                  <c:v>0</c:v>
                </c:pt>
                <c:pt idx="7778">
                  <c:v>0</c:v>
                </c:pt>
                <c:pt idx="7779">
                  <c:v>0</c:v>
                </c:pt>
                <c:pt idx="7780">
                  <c:v>0</c:v>
                </c:pt>
                <c:pt idx="7781">
                  <c:v>0</c:v>
                </c:pt>
                <c:pt idx="7782">
                  <c:v>0</c:v>
                </c:pt>
                <c:pt idx="7783">
                  <c:v>0</c:v>
                </c:pt>
                <c:pt idx="7784">
                  <c:v>0</c:v>
                </c:pt>
                <c:pt idx="7785">
                  <c:v>0</c:v>
                </c:pt>
                <c:pt idx="7786">
                  <c:v>0</c:v>
                </c:pt>
                <c:pt idx="7787">
                  <c:v>0</c:v>
                </c:pt>
                <c:pt idx="7788">
                  <c:v>0</c:v>
                </c:pt>
                <c:pt idx="7789">
                  <c:v>0</c:v>
                </c:pt>
                <c:pt idx="7790">
                  <c:v>0</c:v>
                </c:pt>
                <c:pt idx="7791">
                  <c:v>0</c:v>
                </c:pt>
                <c:pt idx="7792">
                  <c:v>0</c:v>
                </c:pt>
                <c:pt idx="7793">
                  <c:v>0</c:v>
                </c:pt>
                <c:pt idx="7794">
                  <c:v>0</c:v>
                </c:pt>
                <c:pt idx="7795">
                  <c:v>0</c:v>
                </c:pt>
                <c:pt idx="7796">
                  <c:v>0</c:v>
                </c:pt>
                <c:pt idx="7797">
                  <c:v>0</c:v>
                </c:pt>
                <c:pt idx="7798">
                  <c:v>0</c:v>
                </c:pt>
                <c:pt idx="7799">
                  <c:v>0</c:v>
                </c:pt>
                <c:pt idx="7800">
                  <c:v>0</c:v>
                </c:pt>
                <c:pt idx="7801">
                  <c:v>0</c:v>
                </c:pt>
                <c:pt idx="7802">
                  <c:v>0</c:v>
                </c:pt>
                <c:pt idx="7803">
                  <c:v>0</c:v>
                </c:pt>
                <c:pt idx="7804">
                  <c:v>0</c:v>
                </c:pt>
                <c:pt idx="7805">
                  <c:v>0</c:v>
                </c:pt>
                <c:pt idx="7806">
                  <c:v>0</c:v>
                </c:pt>
                <c:pt idx="7807">
                  <c:v>0</c:v>
                </c:pt>
                <c:pt idx="7808">
                  <c:v>0</c:v>
                </c:pt>
                <c:pt idx="7809">
                  <c:v>0</c:v>
                </c:pt>
                <c:pt idx="7810">
                  <c:v>0</c:v>
                </c:pt>
                <c:pt idx="7811">
                  <c:v>0</c:v>
                </c:pt>
                <c:pt idx="7812">
                  <c:v>0</c:v>
                </c:pt>
                <c:pt idx="7813">
                  <c:v>0</c:v>
                </c:pt>
                <c:pt idx="7814">
                  <c:v>0</c:v>
                </c:pt>
                <c:pt idx="7815">
                  <c:v>0</c:v>
                </c:pt>
                <c:pt idx="7816">
                  <c:v>0</c:v>
                </c:pt>
                <c:pt idx="7817">
                  <c:v>0</c:v>
                </c:pt>
                <c:pt idx="7818">
                  <c:v>0</c:v>
                </c:pt>
                <c:pt idx="7819">
                  <c:v>0</c:v>
                </c:pt>
                <c:pt idx="7820">
                  <c:v>0</c:v>
                </c:pt>
                <c:pt idx="7821">
                  <c:v>0</c:v>
                </c:pt>
                <c:pt idx="7822">
                  <c:v>0</c:v>
                </c:pt>
                <c:pt idx="7823">
                  <c:v>0</c:v>
                </c:pt>
                <c:pt idx="7824">
                  <c:v>0</c:v>
                </c:pt>
                <c:pt idx="7825">
                  <c:v>0</c:v>
                </c:pt>
                <c:pt idx="7826">
                  <c:v>0</c:v>
                </c:pt>
                <c:pt idx="7827">
                  <c:v>0</c:v>
                </c:pt>
                <c:pt idx="7828">
                  <c:v>0</c:v>
                </c:pt>
                <c:pt idx="7829">
                  <c:v>0</c:v>
                </c:pt>
                <c:pt idx="7830">
                  <c:v>0</c:v>
                </c:pt>
                <c:pt idx="7831">
                  <c:v>0</c:v>
                </c:pt>
                <c:pt idx="7832">
                  <c:v>0</c:v>
                </c:pt>
                <c:pt idx="7833">
                  <c:v>0</c:v>
                </c:pt>
                <c:pt idx="7834">
                  <c:v>0</c:v>
                </c:pt>
                <c:pt idx="7835">
                  <c:v>0</c:v>
                </c:pt>
                <c:pt idx="7836">
                  <c:v>0</c:v>
                </c:pt>
                <c:pt idx="7837">
                  <c:v>0</c:v>
                </c:pt>
                <c:pt idx="7838">
                  <c:v>0</c:v>
                </c:pt>
                <c:pt idx="7839">
                  <c:v>0</c:v>
                </c:pt>
                <c:pt idx="7840">
                  <c:v>0</c:v>
                </c:pt>
                <c:pt idx="7841">
                  <c:v>0</c:v>
                </c:pt>
                <c:pt idx="7842">
                  <c:v>0</c:v>
                </c:pt>
                <c:pt idx="7843">
                  <c:v>0</c:v>
                </c:pt>
                <c:pt idx="7844">
                  <c:v>0</c:v>
                </c:pt>
                <c:pt idx="7845">
                  <c:v>0</c:v>
                </c:pt>
                <c:pt idx="7846">
                  <c:v>0</c:v>
                </c:pt>
                <c:pt idx="7847">
                  <c:v>0</c:v>
                </c:pt>
                <c:pt idx="7848">
                  <c:v>0</c:v>
                </c:pt>
                <c:pt idx="7849">
                  <c:v>0</c:v>
                </c:pt>
                <c:pt idx="7850">
                  <c:v>0</c:v>
                </c:pt>
                <c:pt idx="7851">
                  <c:v>0</c:v>
                </c:pt>
                <c:pt idx="7852">
                  <c:v>0</c:v>
                </c:pt>
                <c:pt idx="7853">
                  <c:v>0</c:v>
                </c:pt>
                <c:pt idx="7854">
                  <c:v>0</c:v>
                </c:pt>
                <c:pt idx="7855">
                  <c:v>0</c:v>
                </c:pt>
                <c:pt idx="7856">
                  <c:v>0</c:v>
                </c:pt>
                <c:pt idx="7857">
                  <c:v>0</c:v>
                </c:pt>
                <c:pt idx="7858">
                  <c:v>0</c:v>
                </c:pt>
                <c:pt idx="7859">
                  <c:v>0</c:v>
                </c:pt>
                <c:pt idx="7860">
                  <c:v>0</c:v>
                </c:pt>
                <c:pt idx="7861">
                  <c:v>0</c:v>
                </c:pt>
                <c:pt idx="7862">
                  <c:v>0</c:v>
                </c:pt>
                <c:pt idx="7863">
                  <c:v>0</c:v>
                </c:pt>
                <c:pt idx="7864">
                  <c:v>0</c:v>
                </c:pt>
                <c:pt idx="7865">
                  <c:v>0</c:v>
                </c:pt>
                <c:pt idx="7866">
                  <c:v>0</c:v>
                </c:pt>
                <c:pt idx="7867">
                  <c:v>0</c:v>
                </c:pt>
                <c:pt idx="7868">
                  <c:v>0</c:v>
                </c:pt>
                <c:pt idx="7869">
                  <c:v>0</c:v>
                </c:pt>
                <c:pt idx="7870">
                  <c:v>0</c:v>
                </c:pt>
                <c:pt idx="7871">
                  <c:v>0</c:v>
                </c:pt>
                <c:pt idx="7872">
                  <c:v>0</c:v>
                </c:pt>
                <c:pt idx="7873">
                  <c:v>0</c:v>
                </c:pt>
                <c:pt idx="7874">
                  <c:v>0</c:v>
                </c:pt>
                <c:pt idx="7875">
                  <c:v>0</c:v>
                </c:pt>
                <c:pt idx="7876">
                  <c:v>0</c:v>
                </c:pt>
                <c:pt idx="7877">
                  <c:v>0</c:v>
                </c:pt>
                <c:pt idx="7878">
                  <c:v>0</c:v>
                </c:pt>
                <c:pt idx="7879">
                  <c:v>0</c:v>
                </c:pt>
                <c:pt idx="7880">
                  <c:v>0</c:v>
                </c:pt>
                <c:pt idx="7881">
                  <c:v>0</c:v>
                </c:pt>
                <c:pt idx="7882">
                  <c:v>0</c:v>
                </c:pt>
                <c:pt idx="7883">
                  <c:v>0</c:v>
                </c:pt>
                <c:pt idx="7884">
                  <c:v>0</c:v>
                </c:pt>
                <c:pt idx="7885">
                  <c:v>0</c:v>
                </c:pt>
                <c:pt idx="7886">
                  <c:v>0</c:v>
                </c:pt>
                <c:pt idx="7887">
                  <c:v>0</c:v>
                </c:pt>
                <c:pt idx="7888">
                  <c:v>0</c:v>
                </c:pt>
                <c:pt idx="7889">
                  <c:v>0</c:v>
                </c:pt>
                <c:pt idx="7890">
                  <c:v>0</c:v>
                </c:pt>
                <c:pt idx="7891">
                  <c:v>0</c:v>
                </c:pt>
                <c:pt idx="7892">
                  <c:v>0</c:v>
                </c:pt>
                <c:pt idx="7893">
                  <c:v>0</c:v>
                </c:pt>
                <c:pt idx="7894">
                  <c:v>0</c:v>
                </c:pt>
                <c:pt idx="7895">
                  <c:v>0</c:v>
                </c:pt>
                <c:pt idx="7896">
                  <c:v>0</c:v>
                </c:pt>
                <c:pt idx="7897">
                  <c:v>0</c:v>
                </c:pt>
                <c:pt idx="7898">
                  <c:v>0</c:v>
                </c:pt>
                <c:pt idx="7899">
                  <c:v>0</c:v>
                </c:pt>
                <c:pt idx="7900">
                  <c:v>0</c:v>
                </c:pt>
                <c:pt idx="7901">
                  <c:v>0</c:v>
                </c:pt>
                <c:pt idx="7902">
                  <c:v>0</c:v>
                </c:pt>
                <c:pt idx="7903">
                  <c:v>0</c:v>
                </c:pt>
                <c:pt idx="7904">
                  <c:v>0</c:v>
                </c:pt>
                <c:pt idx="7905">
                  <c:v>0</c:v>
                </c:pt>
                <c:pt idx="7906">
                  <c:v>0</c:v>
                </c:pt>
                <c:pt idx="7907">
                  <c:v>0</c:v>
                </c:pt>
                <c:pt idx="7908">
                  <c:v>0</c:v>
                </c:pt>
                <c:pt idx="7909">
                  <c:v>0</c:v>
                </c:pt>
                <c:pt idx="7910">
                  <c:v>0</c:v>
                </c:pt>
                <c:pt idx="7911">
                  <c:v>0</c:v>
                </c:pt>
                <c:pt idx="7912">
                  <c:v>0</c:v>
                </c:pt>
                <c:pt idx="7913">
                  <c:v>0</c:v>
                </c:pt>
                <c:pt idx="7914">
                  <c:v>0</c:v>
                </c:pt>
                <c:pt idx="7915">
                  <c:v>0</c:v>
                </c:pt>
                <c:pt idx="7916">
                  <c:v>0</c:v>
                </c:pt>
                <c:pt idx="7917">
                  <c:v>0</c:v>
                </c:pt>
                <c:pt idx="7918">
                  <c:v>0</c:v>
                </c:pt>
                <c:pt idx="7919">
                  <c:v>0</c:v>
                </c:pt>
                <c:pt idx="7920">
                  <c:v>0</c:v>
                </c:pt>
                <c:pt idx="7921">
                  <c:v>0</c:v>
                </c:pt>
                <c:pt idx="7922">
                  <c:v>0</c:v>
                </c:pt>
                <c:pt idx="7923">
                  <c:v>0</c:v>
                </c:pt>
                <c:pt idx="7924">
                  <c:v>0</c:v>
                </c:pt>
                <c:pt idx="7925">
                  <c:v>0</c:v>
                </c:pt>
                <c:pt idx="7926">
                  <c:v>0</c:v>
                </c:pt>
                <c:pt idx="7927">
                  <c:v>0</c:v>
                </c:pt>
                <c:pt idx="7928">
                  <c:v>0</c:v>
                </c:pt>
                <c:pt idx="7929">
                  <c:v>0</c:v>
                </c:pt>
                <c:pt idx="7930">
                  <c:v>0</c:v>
                </c:pt>
                <c:pt idx="7931">
                  <c:v>0</c:v>
                </c:pt>
                <c:pt idx="7932">
                  <c:v>0</c:v>
                </c:pt>
                <c:pt idx="7933">
                  <c:v>0</c:v>
                </c:pt>
                <c:pt idx="7934">
                  <c:v>0</c:v>
                </c:pt>
                <c:pt idx="7935">
                  <c:v>0</c:v>
                </c:pt>
                <c:pt idx="7936">
                  <c:v>0</c:v>
                </c:pt>
                <c:pt idx="7937">
                  <c:v>0</c:v>
                </c:pt>
                <c:pt idx="7938">
                  <c:v>0</c:v>
                </c:pt>
                <c:pt idx="7939">
                  <c:v>0</c:v>
                </c:pt>
                <c:pt idx="7940">
                  <c:v>0</c:v>
                </c:pt>
                <c:pt idx="7941">
                  <c:v>0</c:v>
                </c:pt>
                <c:pt idx="7942">
                  <c:v>0</c:v>
                </c:pt>
                <c:pt idx="7943">
                  <c:v>0</c:v>
                </c:pt>
                <c:pt idx="7944">
                  <c:v>0</c:v>
                </c:pt>
                <c:pt idx="7945">
                  <c:v>0</c:v>
                </c:pt>
                <c:pt idx="7946">
                  <c:v>0</c:v>
                </c:pt>
                <c:pt idx="7947">
                  <c:v>0</c:v>
                </c:pt>
                <c:pt idx="7948">
                  <c:v>0</c:v>
                </c:pt>
                <c:pt idx="7949">
                  <c:v>0</c:v>
                </c:pt>
                <c:pt idx="7950">
                  <c:v>0</c:v>
                </c:pt>
                <c:pt idx="7951">
                  <c:v>0</c:v>
                </c:pt>
                <c:pt idx="7952">
                  <c:v>0</c:v>
                </c:pt>
                <c:pt idx="7953">
                  <c:v>0</c:v>
                </c:pt>
                <c:pt idx="7954">
                  <c:v>0</c:v>
                </c:pt>
                <c:pt idx="7955">
                  <c:v>0</c:v>
                </c:pt>
                <c:pt idx="7956">
                  <c:v>0</c:v>
                </c:pt>
                <c:pt idx="7957">
                  <c:v>0</c:v>
                </c:pt>
                <c:pt idx="7958">
                  <c:v>0</c:v>
                </c:pt>
                <c:pt idx="7959">
                  <c:v>0</c:v>
                </c:pt>
                <c:pt idx="7960">
                  <c:v>0</c:v>
                </c:pt>
                <c:pt idx="7961">
                  <c:v>0</c:v>
                </c:pt>
                <c:pt idx="7962">
                  <c:v>0</c:v>
                </c:pt>
                <c:pt idx="7963">
                  <c:v>0</c:v>
                </c:pt>
                <c:pt idx="7964">
                  <c:v>0</c:v>
                </c:pt>
                <c:pt idx="7965">
                  <c:v>0</c:v>
                </c:pt>
                <c:pt idx="7966">
                  <c:v>0</c:v>
                </c:pt>
                <c:pt idx="7967">
                  <c:v>0</c:v>
                </c:pt>
                <c:pt idx="7968">
                  <c:v>0</c:v>
                </c:pt>
                <c:pt idx="7969">
                  <c:v>0</c:v>
                </c:pt>
                <c:pt idx="7970">
                  <c:v>0</c:v>
                </c:pt>
                <c:pt idx="7971">
                  <c:v>0</c:v>
                </c:pt>
                <c:pt idx="7972">
                  <c:v>0</c:v>
                </c:pt>
                <c:pt idx="7973">
                  <c:v>0</c:v>
                </c:pt>
                <c:pt idx="7974">
                  <c:v>0</c:v>
                </c:pt>
                <c:pt idx="7975">
                  <c:v>0</c:v>
                </c:pt>
                <c:pt idx="7976">
                  <c:v>0</c:v>
                </c:pt>
                <c:pt idx="7977">
                  <c:v>0</c:v>
                </c:pt>
                <c:pt idx="7978">
                  <c:v>0</c:v>
                </c:pt>
                <c:pt idx="7979">
                  <c:v>0</c:v>
                </c:pt>
                <c:pt idx="7980">
                  <c:v>0</c:v>
                </c:pt>
                <c:pt idx="7981">
                  <c:v>0</c:v>
                </c:pt>
                <c:pt idx="7982">
                  <c:v>0</c:v>
                </c:pt>
                <c:pt idx="7983">
                  <c:v>0</c:v>
                </c:pt>
                <c:pt idx="7984">
                  <c:v>0</c:v>
                </c:pt>
                <c:pt idx="7985">
                  <c:v>0</c:v>
                </c:pt>
                <c:pt idx="7986">
                  <c:v>0</c:v>
                </c:pt>
                <c:pt idx="7987">
                  <c:v>0</c:v>
                </c:pt>
                <c:pt idx="7988">
                  <c:v>0</c:v>
                </c:pt>
                <c:pt idx="7989">
                  <c:v>0</c:v>
                </c:pt>
                <c:pt idx="7990">
                  <c:v>0</c:v>
                </c:pt>
                <c:pt idx="7991">
                  <c:v>0</c:v>
                </c:pt>
                <c:pt idx="7992">
                  <c:v>0</c:v>
                </c:pt>
                <c:pt idx="7993">
                  <c:v>0</c:v>
                </c:pt>
                <c:pt idx="7994">
                  <c:v>0</c:v>
                </c:pt>
                <c:pt idx="7995">
                  <c:v>0</c:v>
                </c:pt>
                <c:pt idx="7996">
                  <c:v>0</c:v>
                </c:pt>
                <c:pt idx="7997">
                  <c:v>0</c:v>
                </c:pt>
                <c:pt idx="7998">
                  <c:v>0</c:v>
                </c:pt>
                <c:pt idx="7999">
                  <c:v>0</c:v>
                </c:pt>
                <c:pt idx="8000">
                  <c:v>0</c:v>
                </c:pt>
                <c:pt idx="8001">
                  <c:v>0</c:v>
                </c:pt>
                <c:pt idx="8002">
                  <c:v>0</c:v>
                </c:pt>
                <c:pt idx="8003">
                  <c:v>0</c:v>
                </c:pt>
                <c:pt idx="8004">
                  <c:v>0</c:v>
                </c:pt>
                <c:pt idx="8005">
                  <c:v>0</c:v>
                </c:pt>
                <c:pt idx="8006">
                  <c:v>0</c:v>
                </c:pt>
                <c:pt idx="8007">
                  <c:v>0</c:v>
                </c:pt>
                <c:pt idx="8008">
                  <c:v>0</c:v>
                </c:pt>
                <c:pt idx="8009">
                  <c:v>0</c:v>
                </c:pt>
                <c:pt idx="8010">
                  <c:v>0</c:v>
                </c:pt>
                <c:pt idx="8011">
                  <c:v>0</c:v>
                </c:pt>
                <c:pt idx="8012">
                  <c:v>0</c:v>
                </c:pt>
                <c:pt idx="8013">
                  <c:v>0</c:v>
                </c:pt>
                <c:pt idx="8014">
                  <c:v>0</c:v>
                </c:pt>
                <c:pt idx="8015">
                  <c:v>0</c:v>
                </c:pt>
                <c:pt idx="8016">
                  <c:v>0</c:v>
                </c:pt>
                <c:pt idx="8017">
                  <c:v>0</c:v>
                </c:pt>
                <c:pt idx="8018">
                  <c:v>0</c:v>
                </c:pt>
                <c:pt idx="8019">
                  <c:v>0</c:v>
                </c:pt>
                <c:pt idx="8020">
                  <c:v>0</c:v>
                </c:pt>
                <c:pt idx="8021">
                  <c:v>0</c:v>
                </c:pt>
                <c:pt idx="8022">
                  <c:v>0</c:v>
                </c:pt>
                <c:pt idx="8023">
                  <c:v>0</c:v>
                </c:pt>
                <c:pt idx="8024">
                  <c:v>0</c:v>
                </c:pt>
                <c:pt idx="8025">
                  <c:v>0</c:v>
                </c:pt>
                <c:pt idx="8026">
                  <c:v>0</c:v>
                </c:pt>
                <c:pt idx="8027">
                  <c:v>0</c:v>
                </c:pt>
                <c:pt idx="8028">
                  <c:v>0</c:v>
                </c:pt>
                <c:pt idx="8029">
                  <c:v>0</c:v>
                </c:pt>
                <c:pt idx="8030">
                  <c:v>0</c:v>
                </c:pt>
                <c:pt idx="8031">
                  <c:v>0</c:v>
                </c:pt>
                <c:pt idx="8032">
                  <c:v>0</c:v>
                </c:pt>
                <c:pt idx="8033">
                  <c:v>0</c:v>
                </c:pt>
                <c:pt idx="8034">
                  <c:v>0</c:v>
                </c:pt>
                <c:pt idx="8035">
                  <c:v>0</c:v>
                </c:pt>
                <c:pt idx="8036">
                  <c:v>0</c:v>
                </c:pt>
                <c:pt idx="8037">
                  <c:v>0</c:v>
                </c:pt>
                <c:pt idx="8038">
                  <c:v>0</c:v>
                </c:pt>
                <c:pt idx="8039">
                  <c:v>0</c:v>
                </c:pt>
                <c:pt idx="8040">
                  <c:v>0</c:v>
                </c:pt>
                <c:pt idx="8041">
                  <c:v>0</c:v>
                </c:pt>
                <c:pt idx="8042">
                  <c:v>0</c:v>
                </c:pt>
                <c:pt idx="8043">
                  <c:v>0</c:v>
                </c:pt>
                <c:pt idx="8044">
                  <c:v>0</c:v>
                </c:pt>
                <c:pt idx="8045">
                  <c:v>0</c:v>
                </c:pt>
                <c:pt idx="8046">
                  <c:v>0</c:v>
                </c:pt>
                <c:pt idx="8047">
                  <c:v>0</c:v>
                </c:pt>
                <c:pt idx="8048">
                  <c:v>0</c:v>
                </c:pt>
                <c:pt idx="8049">
                  <c:v>0</c:v>
                </c:pt>
                <c:pt idx="8050">
                  <c:v>0</c:v>
                </c:pt>
                <c:pt idx="8051">
                  <c:v>0</c:v>
                </c:pt>
                <c:pt idx="8052">
                  <c:v>0</c:v>
                </c:pt>
                <c:pt idx="8053">
                  <c:v>0</c:v>
                </c:pt>
                <c:pt idx="8054">
                  <c:v>0</c:v>
                </c:pt>
                <c:pt idx="8055">
                  <c:v>0</c:v>
                </c:pt>
                <c:pt idx="8056">
                  <c:v>0</c:v>
                </c:pt>
                <c:pt idx="8057">
                  <c:v>0</c:v>
                </c:pt>
                <c:pt idx="8058">
                  <c:v>0</c:v>
                </c:pt>
                <c:pt idx="8059">
                  <c:v>0</c:v>
                </c:pt>
                <c:pt idx="8060">
                  <c:v>0</c:v>
                </c:pt>
                <c:pt idx="8061">
                  <c:v>0</c:v>
                </c:pt>
                <c:pt idx="8062">
                  <c:v>0</c:v>
                </c:pt>
                <c:pt idx="8063">
                  <c:v>0</c:v>
                </c:pt>
                <c:pt idx="8064">
                  <c:v>0</c:v>
                </c:pt>
                <c:pt idx="8065">
                  <c:v>0</c:v>
                </c:pt>
                <c:pt idx="8066">
                  <c:v>0</c:v>
                </c:pt>
                <c:pt idx="8067">
                  <c:v>0</c:v>
                </c:pt>
                <c:pt idx="8068">
                  <c:v>0</c:v>
                </c:pt>
                <c:pt idx="8069">
                  <c:v>0</c:v>
                </c:pt>
                <c:pt idx="8070">
                  <c:v>0</c:v>
                </c:pt>
                <c:pt idx="8071">
                  <c:v>0</c:v>
                </c:pt>
                <c:pt idx="8072">
                  <c:v>0</c:v>
                </c:pt>
                <c:pt idx="8073">
                  <c:v>0</c:v>
                </c:pt>
                <c:pt idx="8074">
                  <c:v>0</c:v>
                </c:pt>
                <c:pt idx="8075">
                  <c:v>0</c:v>
                </c:pt>
                <c:pt idx="8076">
                  <c:v>0</c:v>
                </c:pt>
                <c:pt idx="8077">
                  <c:v>0</c:v>
                </c:pt>
                <c:pt idx="8078">
                  <c:v>0</c:v>
                </c:pt>
                <c:pt idx="8079">
                  <c:v>0</c:v>
                </c:pt>
                <c:pt idx="8080">
                  <c:v>0</c:v>
                </c:pt>
                <c:pt idx="8081">
                  <c:v>0</c:v>
                </c:pt>
                <c:pt idx="8082">
                  <c:v>0</c:v>
                </c:pt>
                <c:pt idx="8083">
                  <c:v>0</c:v>
                </c:pt>
                <c:pt idx="8084">
                  <c:v>0</c:v>
                </c:pt>
                <c:pt idx="8085">
                  <c:v>0</c:v>
                </c:pt>
                <c:pt idx="8086">
                  <c:v>0</c:v>
                </c:pt>
                <c:pt idx="8087">
                  <c:v>0</c:v>
                </c:pt>
                <c:pt idx="8088">
                  <c:v>0</c:v>
                </c:pt>
                <c:pt idx="8089">
                  <c:v>0</c:v>
                </c:pt>
                <c:pt idx="8090">
                  <c:v>0</c:v>
                </c:pt>
                <c:pt idx="8091">
                  <c:v>0</c:v>
                </c:pt>
                <c:pt idx="8092">
                  <c:v>0</c:v>
                </c:pt>
                <c:pt idx="8093">
                  <c:v>0</c:v>
                </c:pt>
                <c:pt idx="8094">
                  <c:v>0</c:v>
                </c:pt>
                <c:pt idx="8095">
                  <c:v>0</c:v>
                </c:pt>
                <c:pt idx="8096">
                  <c:v>0</c:v>
                </c:pt>
                <c:pt idx="8097">
                  <c:v>0</c:v>
                </c:pt>
                <c:pt idx="8098">
                  <c:v>0</c:v>
                </c:pt>
                <c:pt idx="8099">
                  <c:v>0</c:v>
                </c:pt>
                <c:pt idx="8100">
                  <c:v>0</c:v>
                </c:pt>
                <c:pt idx="8101">
                  <c:v>0</c:v>
                </c:pt>
                <c:pt idx="8102">
                  <c:v>0</c:v>
                </c:pt>
                <c:pt idx="8103">
                  <c:v>0</c:v>
                </c:pt>
                <c:pt idx="8104">
                  <c:v>0</c:v>
                </c:pt>
                <c:pt idx="8105">
                  <c:v>0</c:v>
                </c:pt>
                <c:pt idx="8106">
                  <c:v>0</c:v>
                </c:pt>
                <c:pt idx="8107">
                  <c:v>0</c:v>
                </c:pt>
                <c:pt idx="8108">
                  <c:v>0</c:v>
                </c:pt>
                <c:pt idx="8109">
                  <c:v>0</c:v>
                </c:pt>
                <c:pt idx="8110">
                  <c:v>0</c:v>
                </c:pt>
                <c:pt idx="8111">
                  <c:v>0</c:v>
                </c:pt>
                <c:pt idx="8112">
                  <c:v>0</c:v>
                </c:pt>
                <c:pt idx="8113">
                  <c:v>0</c:v>
                </c:pt>
                <c:pt idx="8114">
                  <c:v>0</c:v>
                </c:pt>
                <c:pt idx="8115">
                  <c:v>0</c:v>
                </c:pt>
                <c:pt idx="8116">
                  <c:v>0</c:v>
                </c:pt>
                <c:pt idx="8117">
                  <c:v>0</c:v>
                </c:pt>
                <c:pt idx="8118">
                  <c:v>0</c:v>
                </c:pt>
                <c:pt idx="8119">
                  <c:v>0</c:v>
                </c:pt>
                <c:pt idx="8120">
                  <c:v>0</c:v>
                </c:pt>
                <c:pt idx="8121">
                  <c:v>0</c:v>
                </c:pt>
                <c:pt idx="8122">
                  <c:v>0</c:v>
                </c:pt>
                <c:pt idx="8123">
                  <c:v>0</c:v>
                </c:pt>
                <c:pt idx="8124">
                  <c:v>0</c:v>
                </c:pt>
                <c:pt idx="8125">
                  <c:v>0</c:v>
                </c:pt>
                <c:pt idx="8126">
                  <c:v>0</c:v>
                </c:pt>
                <c:pt idx="8127">
                  <c:v>0</c:v>
                </c:pt>
                <c:pt idx="8128">
                  <c:v>0</c:v>
                </c:pt>
                <c:pt idx="8129">
                  <c:v>0</c:v>
                </c:pt>
                <c:pt idx="8130">
                  <c:v>0</c:v>
                </c:pt>
                <c:pt idx="8131">
                  <c:v>0</c:v>
                </c:pt>
                <c:pt idx="8132">
                  <c:v>0</c:v>
                </c:pt>
                <c:pt idx="8133">
                  <c:v>0</c:v>
                </c:pt>
                <c:pt idx="8134">
                  <c:v>0</c:v>
                </c:pt>
                <c:pt idx="8135">
                  <c:v>0</c:v>
                </c:pt>
                <c:pt idx="8136">
                  <c:v>0</c:v>
                </c:pt>
                <c:pt idx="8137">
                  <c:v>0</c:v>
                </c:pt>
                <c:pt idx="8138">
                  <c:v>0</c:v>
                </c:pt>
                <c:pt idx="8139">
                  <c:v>0</c:v>
                </c:pt>
                <c:pt idx="8140">
                  <c:v>0</c:v>
                </c:pt>
                <c:pt idx="8141">
                  <c:v>0</c:v>
                </c:pt>
                <c:pt idx="8142">
                  <c:v>0</c:v>
                </c:pt>
                <c:pt idx="8143">
                  <c:v>0</c:v>
                </c:pt>
                <c:pt idx="8144">
                  <c:v>0</c:v>
                </c:pt>
                <c:pt idx="8145">
                  <c:v>0</c:v>
                </c:pt>
                <c:pt idx="8146">
                  <c:v>0</c:v>
                </c:pt>
                <c:pt idx="8147">
                  <c:v>0</c:v>
                </c:pt>
                <c:pt idx="8148">
                  <c:v>0</c:v>
                </c:pt>
                <c:pt idx="8149">
                  <c:v>0</c:v>
                </c:pt>
                <c:pt idx="8150">
                  <c:v>0</c:v>
                </c:pt>
                <c:pt idx="8151">
                  <c:v>0</c:v>
                </c:pt>
                <c:pt idx="8152">
                  <c:v>0</c:v>
                </c:pt>
                <c:pt idx="8153">
                  <c:v>0</c:v>
                </c:pt>
                <c:pt idx="8154">
                  <c:v>0</c:v>
                </c:pt>
                <c:pt idx="8155">
                  <c:v>0</c:v>
                </c:pt>
                <c:pt idx="8156">
                  <c:v>0</c:v>
                </c:pt>
                <c:pt idx="8157">
                  <c:v>0</c:v>
                </c:pt>
                <c:pt idx="8158">
                  <c:v>0</c:v>
                </c:pt>
                <c:pt idx="8159">
                  <c:v>0</c:v>
                </c:pt>
                <c:pt idx="8160">
                  <c:v>0</c:v>
                </c:pt>
                <c:pt idx="8161">
                  <c:v>0</c:v>
                </c:pt>
                <c:pt idx="8162">
                  <c:v>0</c:v>
                </c:pt>
                <c:pt idx="8163">
                  <c:v>0</c:v>
                </c:pt>
                <c:pt idx="8164">
                  <c:v>0</c:v>
                </c:pt>
                <c:pt idx="8165">
                  <c:v>0</c:v>
                </c:pt>
                <c:pt idx="8166">
                  <c:v>0</c:v>
                </c:pt>
                <c:pt idx="8167">
                  <c:v>0</c:v>
                </c:pt>
                <c:pt idx="8168">
                  <c:v>0</c:v>
                </c:pt>
                <c:pt idx="8169">
                  <c:v>0</c:v>
                </c:pt>
                <c:pt idx="8170">
                  <c:v>0</c:v>
                </c:pt>
                <c:pt idx="8171">
                  <c:v>0</c:v>
                </c:pt>
                <c:pt idx="8172">
                  <c:v>0</c:v>
                </c:pt>
                <c:pt idx="8173">
                  <c:v>0</c:v>
                </c:pt>
                <c:pt idx="8174">
                  <c:v>0</c:v>
                </c:pt>
                <c:pt idx="8175">
                  <c:v>0</c:v>
                </c:pt>
                <c:pt idx="8176">
                  <c:v>0</c:v>
                </c:pt>
                <c:pt idx="8177">
                  <c:v>0</c:v>
                </c:pt>
                <c:pt idx="8178">
                  <c:v>0</c:v>
                </c:pt>
                <c:pt idx="8179">
                  <c:v>0</c:v>
                </c:pt>
                <c:pt idx="8180">
                  <c:v>0</c:v>
                </c:pt>
                <c:pt idx="8181">
                  <c:v>0</c:v>
                </c:pt>
                <c:pt idx="8182">
                  <c:v>0</c:v>
                </c:pt>
                <c:pt idx="8183">
                  <c:v>0</c:v>
                </c:pt>
                <c:pt idx="8184">
                  <c:v>0</c:v>
                </c:pt>
                <c:pt idx="8185">
                  <c:v>0</c:v>
                </c:pt>
                <c:pt idx="8186">
                  <c:v>0</c:v>
                </c:pt>
                <c:pt idx="8187">
                  <c:v>0</c:v>
                </c:pt>
                <c:pt idx="8188">
                  <c:v>0</c:v>
                </c:pt>
                <c:pt idx="8189">
                  <c:v>0</c:v>
                </c:pt>
                <c:pt idx="8190">
                  <c:v>0</c:v>
                </c:pt>
                <c:pt idx="8191">
                  <c:v>0</c:v>
                </c:pt>
                <c:pt idx="8192">
                  <c:v>0</c:v>
                </c:pt>
                <c:pt idx="8193">
                  <c:v>0</c:v>
                </c:pt>
                <c:pt idx="8194">
                  <c:v>0</c:v>
                </c:pt>
                <c:pt idx="8195">
                  <c:v>0</c:v>
                </c:pt>
                <c:pt idx="8196">
                  <c:v>0</c:v>
                </c:pt>
                <c:pt idx="8197">
                  <c:v>0</c:v>
                </c:pt>
                <c:pt idx="8198">
                  <c:v>0</c:v>
                </c:pt>
                <c:pt idx="8199">
                  <c:v>0</c:v>
                </c:pt>
                <c:pt idx="8200">
                  <c:v>0</c:v>
                </c:pt>
                <c:pt idx="8201">
                  <c:v>0</c:v>
                </c:pt>
                <c:pt idx="8202">
                  <c:v>0</c:v>
                </c:pt>
                <c:pt idx="8203">
                  <c:v>0</c:v>
                </c:pt>
                <c:pt idx="8204">
                  <c:v>0</c:v>
                </c:pt>
                <c:pt idx="8205">
                  <c:v>0</c:v>
                </c:pt>
                <c:pt idx="8206">
                  <c:v>0</c:v>
                </c:pt>
                <c:pt idx="8207">
                  <c:v>0</c:v>
                </c:pt>
                <c:pt idx="8208">
                  <c:v>0</c:v>
                </c:pt>
                <c:pt idx="8209">
                  <c:v>0</c:v>
                </c:pt>
                <c:pt idx="8210">
                  <c:v>0</c:v>
                </c:pt>
                <c:pt idx="8211">
                  <c:v>0</c:v>
                </c:pt>
                <c:pt idx="8212">
                  <c:v>0</c:v>
                </c:pt>
                <c:pt idx="8213">
                  <c:v>0</c:v>
                </c:pt>
                <c:pt idx="8214">
                  <c:v>0</c:v>
                </c:pt>
                <c:pt idx="8215">
                  <c:v>0</c:v>
                </c:pt>
                <c:pt idx="8216">
                  <c:v>0</c:v>
                </c:pt>
                <c:pt idx="8217">
                  <c:v>0</c:v>
                </c:pt>
                <c:pt idx="8218">
                  <c:v>0</c:v>
                </c:pt>
                <c:pt idx="8219">
                  <c:v>0</c:v>
                </c:pt>
                <c:pt idx="8220">
                  <c:v>0</c:v>
                </c:pt>
                <c:pt idx="8221">
                  <c:v>0</c:v>
                </c:pt>
                <c:pt idx="8222">
                  <c:v>0</c:v>
                </c:pt>
                <c:pt idx="8223">
                  <c:v>0</c:v>
                </c:pt>
                <c:pt idx="8224">
                  <c:v>0</c:v>
                </c:pt>
                <c:pt idx="8225">
                  <c:v>0</c:v>
                </c:pt>
                <c:pt idx="8226">
                  <c:v>0</c:v>
                </c:pt>
                <c:pt idx="8227">
                  <c:v>0</c:v>
                </c:pt>
                <c:pt idx="8228">
                  <c:v>0</c:v>
                </c:pt>
                <c:pt idx="8229">
                  <c:v>0</c:v>
                </c:pt>
                <c:pt idx="8230">
                  <c:v>0</c:v>
                </c:pt>
                <c:pt idx="8231">
                  <c:v>0</c:v>
                </c:pt>
                <c:pt idx="8232">
                  <c:v>0</c:v>
                </c:pt>
                <c:pt idx="8233">
                  <c:v>0</c:v>
                </c:pt>
                <c:pt idx="8234">
                  <c:v>0</c:v>
                </c:pt>
                <c:pt idx="8235">
                  <c:v>0</c:v>
                </c:pt>
                <c:pt idx="8236">
                  <c:v>0</c:v>
                </c:pt>
                <c:pt idx="8237">
                  <c:v>0</c:v>
                </c:pt>
                <c:pt idx="8238">
                  <c:v>0</c:v>
                </c:pt>
                <c:pt idx="8239">
                  <c:v>0</c:v>
                </c:pt>
                <c:pt idx="8240">
                  <c:v>0</c:v>
                </c:pt>
                <c:pt idx="8241">
                  <c:v>0</c:v>
                </c:pt>
                <c:pt idx="8242">
                  <c:v>0</c:v>
                </c:pt>
                <c:pt idx="8243">
                  <c:v>0</c:v>
                </c:pt>
                <c:pt idx="8244">
                  <c:v>0</c:v>
                </c:pt>
                <c:pt idx="8245">
                  <c:v>0</c:v>
                </c:pt>
                <c:pt idx="8246">
                  <c:v>0</c:v>
                </c:pt>
                <c:pt idx="8247">
                  <c:v>0</c:v>
                </c:pt>
                <c:pt idx="8248">
                  <c:v>0</c:v>
                </c:pt>
                <c:pt idx="8249">
                  <c:v>0</c:v>
                </c:pt>
                <c:pt idx="8250">
                  <c:v>0</c:v>
                </c:pt>
                <c:pt idx="8251">
                  <c:v>0</c:v>
                </c:pt>
                <c:pt idx="8252">
                  <c:v>0</c:v>
                </c:pt>
                <c:pt idx="8253">
                  <c:v>0</c:v>
                </c:pt>
                <c:pt idx="8254">
                  <c:v>0</c:v>
                </c:pt>
                <c:pt idx="8255">
                  <c:v>0</c:v>
                </c:pt>
                <c:pt idx="8256">
                  <c:v>0</c:v>
                </c:pt>
                <c:pt idx="8257">
                  <c:v>0</c:v>
                </c:pt>
                <c:pt idx="8258">
                  <c:v>0</c:v>
                </c:pt>
                <c:pt idx="8259">
                  <c:v>0</c:v>
                </c:pt>
                <c:pt idx="8260">
                  <c:v>0</c:v>
                </c:pt>
                <c:pt idx="8261">
                  <c:v>0</c:v>
                </c:pt>
                <c:pt idx="8262">
                  <c:v>0</c:v>
                </c:pt>
                <c:pt idx="8263">
                  <c:v>0</c:v>
                </c:pt>
                <c:pt idx="8264">
                  <c:v>0</c:v>
                </c:pt>
                <c:pt idx="8265">
                  <c:v>0</c:v>
                </c:pt>
                <c:pt idx="8266">
                  <c:v>0</c:v>
                </c:pt>
                <c:pt idx="8267">
                  <c:v>0</c:v>
                </c:pt>
                <c:pt idx="8268">
                  <c:v>0</c:v>
                </c:pt>
                <c:pt idx="8269">
                  <c:v>0</c:v>
                </c:pt>
                <c:pt idx="8270">
                  <c:v>0</c:v>
                </c:pt>
                <c:pt idx="8271">
                  <c:v>0</c:v>
                </c:pt>
                <c:pt idx="8272">
                  <c:v>0</c:v>
                </c:pt>
                <c:pt idx="8273">
                  <c:v>0</c:v>
                </c:pt>
                <c:pt idx="8274">
                  <c:v>0</c:v>
                </c:pt>
                <c:pt idx="8275">
                  <c:v>0</c:v>
                </c:pt>
                <c:pt idx="8276">
                  <c:v>0</c:v>
                </c:pt>
                <c:pt idx="8277">
                  <c:v>0</c:v>
                </c:pt>
                <c:pt idx="8278">
                  <c:v>0</c:v>
                </c:pt>
                <c:pt idx="8279">
                  <c:v>0</c:v>
                </c:pt>
                <c:pt idx="8280">
                  <c:v>0</c:v>
                </c:pt>
                <c:pt idx="8281">
                  <c:v>0</c:v>
                </c:pt>
                <c:pt idx="8282">
                  <c:v>0</c:v>
                </c:pt>
                <c:pt idx="8283">
                  <c:v>0</c:v>
                </c:pt>
                <c:pt idx="8284">
                  <c:v>0</c:v>
                </c:pt>
                <c:pt idx="8285">
                  <c:v>0</c:v>
                </c:pt>
                <c:pt idx="8286">
                  <c:v>0</c:v>
                </c:pt>
                <c:pt idx="8287">
                  <c:v>0</c:v>
                </c:pt>
                <c:pt idx="8288">
                  <c:v>0</c:v>
                </c:pt>
                <c:pt idx="8289">
                  <c:v>0</c:v>
                </c:pt>
                <c:pt idx="8290">
                  <c:v>0</c:v>
                </c:pt>
                <c:pt idx="8291">
                  <c:v>0</c:v>
                </c:pt>
                <c:pt idx="8292">
                  <c:v>0</c:v>
                </c:pt>
                <c:pt idx="8293">
                  <c:v>0</c:v>
                </c:pt>
                <c:pt idx="8294">
                  <c:v>0</c:v>
                </c:pt>
                <c:pt idx="8295">
                  <c:v>0</c:v>
                </c:pt>
                <c:pt idx="8296">
                  <c:v>0</c:v>
                </c:pt>
                <c:pt idx="8297">
                  <c:v>0</c:v>
                </c:pt>
                <c:pt idx="8298">
                  <c:v>0</c:v>
                </c:pt>
                <c:pt idx="8299">
                  <c:v>0</c:v>
                </c:pt>
                <c:pt idx="8300">
                  <c:v>0</c:v>
                </c:pt>
                <c:pt idx="8301">
                  <c:v>0</c:v>
                </c:pt>
                <c:pt idx="8302">
                  <c:v>0</c:v>
                </c:pt>
                <c:pt idx="8303">
                  <c:v>0</c:v>
                </c:pt>
                <c:pt idx="8304">
                  <c:v>0</c:v>
                </c:pt>
                <c:pt idx="8305">
                  <c:v>0</c:v>
                </c:pt>
                <c:pt idx="8306">
                  <c:v>0</c:v>
                </c:pt>
                <c:pt idx="8307">
                  <c:v>0</c:v>
                </c:pt>
                <c:pt idx="8308">
                  <c:v>0</c:v>
                </c:pt>
                <c:pt idx="8309">
                  <c:v>0</c:v>
                </c:pt>
                <c:pt idx="8310">
                  <c:v>0</c:v>
                </c:pt>
                <c:pt idx="8311">
                  <c:v>0</c:v>
                </c:pt>
                <c:pt idx="8312">
                  <c:v>0</c:v>
                </c:pt>
                <c:pt idx="8313">
                  <c:v>0</c:v>
                </c:pt>
                <c:pt idx="8314">
                  <c:v>0</c:v>
                </c:pt>
                <c:pt idx="8315">
                  <c:v>0</c:v>
                </c:pt>
                <c:pt idx="8316">
                  <c:v>0</c:v>
                </c:pt>
                <c:pt idx="8317">
                  <c:v>0</c:v>
                </c:pt>
                <c:pt idx="8318">
                  <c:v>0</c:v>
                </c:pt>
                <c:pt idx="8319">
                  <c:v>0</c:v>
                </c:pt>
                <c:pt idx="8320">
                  <c:v>0</c:v>
                </c:pt>
                <c:pt idx="8321">
                  <c:v>0</c:v>
                </c:pt>
                <c:pt idx="8322">
                  <c:v>0</c:v>
                </c:pt>
                <c:pt idx="8323">
                  <c:v>0</c:v>
                </c:pt>
                <c:pt idx="8324">
                  <c:v>0</c:v>
                </c:pt>
                <c:pt idx="8325">
                  <c:v>0</c:v>
                </c:pt>
                <c:pt idx="8326">
                  <c:v>0</c:v>
                </c:pt>
                <c:pt idx="8327">
                  <c:v>0</c:v>
                </c:pt>
                <c:pt idx="8328">
                  <c:v>0</c:v>
                </c:pt>
                <c:pt idx="8329">
                  <c:v>0</c:v>
                </c:pt>
                <c:pt idx="8330">
                  <c:v>0</c:v>
                </c:pt>
                <c:pt idx="8331">
                  <c:v>0</c:v>
                </c:pt>
                <c:pt idx="8332">
                  <c:v>0</c:v>
                </c:pt>
                <c:pt idx="8333">
                  <c:v>0</c:v>
                </c:pt>
                <c:pt idx="8334">
                  <c:v>0</c:v>
                </c:pt>
                <c:pt idx="8335">
                  <c:v>0</c:v>
                </c:pt>
                <c:pt idx="8336">
                  <c:v>0</c:v>
                </c:pt>
                <c:pt idx="8337">
                  <c:v>0</c:v>
                </c:pt>
                <c:pt idx="8338">
                  <c:v>0</c:v>
                </c:pt>
                <c:pt idx="8339">
                  <c:v>0</c:v>
                </c:pt>
                <c:pt idx="8340">
                  <c:v>0</c:v>
                </c:pt>
                <c:pt idx="8341">
                  <c:v>0</c:v>
                </c:pt>
                <c:pt idx="8342">
                  <c:v>0</c:v>
                </c:pt>
                <c:pt idx="8343">
                  <c:v>0</c:v>
                </c:pt>
                <c:pt idx="8344">
                  <c:v>0</c:v>
                </c:pt>
                <c:pt idx="8345">
                  <c:v>0</c:v>
                </c:pt>
                <c:pt idx="8346">
                  <c:v>0</c:v>
                </c:pt>
                <c:pt idx="8347">
                  <c:v>0</c:v>
                </c:pt>
                <c:pt idx="8348">
                  <c:v>0</c:v>
                </c:pt>
                <c:pt idx="8349">
                  <c:v>0</c:v>
                </c:pt>
                <c:pt idx="8350">
                  <c:v>0</c:v>
                </c:pt>
                <c:pt idx="8351">
                  <c:v>0</c:v>
                </c:pt>
                <c:pt idx="8352">
                  <c:v>0</c:v>
                </c:pt>
                <c:pt idx="8353">
                  <c:v>0</c:v>
                </c:pt>
                <c:pt idx="8354">
                  <c:v>0</c:v>
                </c:pt>
                <c:pt idx="8355">
                  <c:v>0</c:v>
                </c:pt>
                <c:pt idx="8356">
                  <c:v>0</c:v>
                </c:pt>
                <c:pt idx="8357">
                  <c:v>0</c:v>
                </c:pt>
                <c:pt idx="8358">
                  <c:v>0</c:v>
                </c:pt>
                <c:pt idx="8359">
                  <c:v>0</c:v>
                </c:pt>
                <c:pt idx="8360">
                  <c:v>0</c:v>
                </c:pt>
                <c:pt idx="8361">
                  <c:v>0</c:v>
                </c:pt>
                <c:pt idx="8362">
                  <c:v>0</c:v>
                </c:pt>
                <c:pt idx="8363">
                  <c:v>0</c:v>
                </c:pt>
                <c:pt idx="8364">
                  <c:v>0</c:v>
                </c:pt>
                <c:pt idx="8365">
                  <c:v>0</c:v>
                </c:pt>
                <c:pt idx="8366">
                  <c:v>0</c:v>
                </c:pt>
                <c:pt idx="8367">
                  <c:v>0</c:v>
                </c:pt>
                <c:pt idx="8368">
                  <c:v>0</c:v>
                </c:pt>
                <c:pt idx="8369">
                  <c:v>0</c:v>
                </c:pt>
                <c:pt idx="8370">
                  <c:v>0</c:v>
                </c:pt>
                <c:pt idx="8371">
                  <c:v>0</c:v>
                </c:pt>
                <c:pt idx="8372">
                  <c:v>0</c:v>
                </c:pt>
                <c:pt idx="8373">
                  <c:v>0</c:v>
                </c:pt>
                <c:pt idx="8374">
                  <c:v>0</c:v>
                </c:pt>
                <c:pt idx="8375">
                  <c:v>0</c:v>
                </c:pt>
                <c:pt idx="8376">
                  <c:v>0</c:v>
                </c:pt>
                <c:pt idx="8377">
                  <c:v>0</c:v>
                </c:pt>
                <c:pt idx="8378">
                  <c:v>0</c:v>
                </c:pt>
                <c:pt idx="8379">
                  <c:v>0</c:v>
                </c:pt>
                <c:pt idx="8380">
                  <c:v>0</c:v>
                </c:pt>
                <c:pt idx="8381">
                  <c:v>0</c:v>
                </c:pt>
                <c:pt idx="8382">
                  <c:v>0</c:v>
                </c:pt>
                <c:pt idx="8383">
                  <c:v>0</c:v>
                </c:pt>
                <c:pt idx="8384">
                  <c:v>0</c:v>
                </c:pt>
                <c:pt idx="8385">
                  <c:v>0</c:v>
                </c:pt>
                <c:pt idx="8386">
                  <c:v>0</c:v>
                </c:pt>
                <c:pt idx="8387">
                  <c:v>0</c:v>
                </c:pt>
                <c:pt idx="8388">
                  <c:v>0</c:v>
                </c:pt>
                <c:pt idx="8389">
                  <c:v>0</c:v>
                </c:pt>
                <c:pt idx="8390">
                  <c:v>0</c:v>
                </c:pt>
                <c:pt idx="8391">
                  <c:v>0</c:v>
                </c:pt>
                <c:pt idx="8392">
                  <c:v>0</c:v>
                </c:pt>
                <c:pt idx="8393">
                  <c:v>0</c:v>
                </c:pt>
                <c:pt idx="8394">
                  <c:v>0</c:v>
                </c:pt>
                <c:pt idx="8395">
                  <c:v>0</c:v>
                </c:pt>
                <c:pt idx="8396">
                  <c:v>0</c:v>
                </c:pt>
                <c:pt idx="8397">
                  <c:v>0</c:v>
                </c:pt>
                <c:pt idx="8398">
                  <c:v>0</c:v>
                </c:pt>
                <c:pt idx="8399">
                  <c:v>0</c:v>
                </c:pt>
                <c:pt idx="8400">
                  <c:v>0</c:v>
                </c:pt>
                <c:pt idx="8401">
                  <c:v>0</c:v>
                </c:pt>
                <c:pt idx="8402">
                  <c:v>0</c:v>
                </c:pt>
                <c:pt idx="8403">
                  <c:v>0</c:v>
                </c:pt>
                <c:pt idx="8404">
                  <c:v>0</c:v>
                </c:pt>
                <c:pt idx="8405">
                  <c:v>0</c:v>
                </c:pt>
                <c:pt idx="8406">
                  <c:v>0</c:v>
                </c:pt>
                <c:pt idx="8407">
                  <c:v>0</c:v>
                </c:pt>
                <c:pt idx="8408">
                  <c:v>0</c:v>
                </c:pt>
                <c:pt idx="8409">
                  <c:v>0</c:v>
                </c:pt>
                <c:pt idx="8410">
                  <c:v>0</c:v>
                </c:pt>
                <c:pt idx="8411">
                  <c:v>0</c:v>
                </c:pt>
                <c:pt idx="8412">
                  <c:v>0</c:v>
                </c:pt>
                <c:pt idx="8413">
                  <c:v>0</c:v>
                </c:pt>
                <c:pt idx="8414">
                  <c:v>0</c:v>
                </c:pt>
                <c:pt idx="8415">
                  <c:v>0</c:v>
                </c:pt>
                <c:pt idx="8416">
                  <c:v>0</c:v>
                </c:pt>
                <c:pt idx="8417">
                  <c:v>0</c:v>
                </c:pt>
                <c:pt idx="8418">
                  <c:v>0</c:v>
                </c:pt>
                <c:pt idx="8419">
                  <c:v>0</c:v>
                </c:pt>
                <c:pt idx="8420">
                  <c:v>0</c:v>
                </c:pt>
                <c:pt idx="8421">
                  <c:v>0</c:v>
                </c:pt>
                <c:pt idx="8422">
                  <c:v>0</c:v>
                </c:pt>
                <c:pt idx="8423">
                  <c:v>0</c:v>
                </c:pt>
                <c:pt idx="8424">
                  <c:v>0</c:v>
                </c:pt>
                <c:pt idx="8425">
                  <c:v>0</c:v>
                </c:pt>
                <c:pt idx="8426">
                  <c:v>0</c:v>
                </c:pt>
                <c:pt idx="8427">
                  <c:v>0</c:v>
                </c:pt>
                <c:pt idx="8428">
                  <c:v>0</c:v>
                </c:pt>
                <c:pt idx="8429">
                  <c:v>0</c:v>
                </c:pt>
                <c:pt idx="8430">
                  <c:v>0</c:v>
                </c:pt>
                <c:pt idx="8431">
                  <c:v>0</c:v>
                </c:pt>
                <c:pt idx="8432">
                  <c:v>0</c:v>
                </c:pt>
                <c:pt idx="8433">
                  <c:v>0</c:v>
                </c:pt>
                <c:pt idx="8434">
                  <c:v>0</c:v>
                </c:pt>
                <c:pt idx="8435">
                  <c:v>0</c:v>
                </c:pt>
                <c:pt idx="8436">
                  <c:v>0</c:v>
                </c:pt>
                <c:pt idx="8437">
                  <c:v>0</c:v>
                </c:pt>
                <c:pt idx="8438">
                  <c:v>0</c:v>
                </c:pt>
                <c:pt idx="8439">
                  <c:v>0</c:v>
                </c:pt>
                <c:pt idx="8440">
                  <c:v>0</c:v>
                </c:pt>
                <c:pt idx="8441">
                  <c:v>0</c:v>
                </c:pt>
                <c:pt idx="8442">
                  <c:v>0</c:v>
                </c:pt>
                <c:pt idx="8443">
                  <c:v>0</c:v>
                </c:pt>
                <c:pt idx="8444">
                  <c:v>0</c:v>
                </c:pt>
                <c:pt idx="8445">
                  <c:v>0</c:v>
                </c:pt>
                <c:pt idx="8446">
                  <c:v>0</c:v>
                </c:pt>
                <c:pt idx="8447">
                  <c:v>0</c:v>
                </c:pt>
                <c:pt idx="8448">
                  <c:v>0</c:v>
                </c:pt>
                <c:pt idx="8449">
                  <c:v>0</c:v>
                </c:pt>
                <c:pt idx="8450">
                  <c:v>0</c:v>
                </c:pt>
                <c:pt idx="8451">
                  <c:v>0</c:v>
                </c:pt>
                <c:pt idx="8452">
                  <c:v>0</c:v>
                </c:pt>
                <c:pt idx="8453">
                  <c:v>0</c:v>
                </c:pt>
                <c:pt idx="8454">
                  <c:v>0</c:v>
                </c:pt>
                <c:pt idx="8455">
                  <c:v>0</c:v>
                </c:pt>
                <c:pt idx="8456">
                  <c:v>0</c:v>
                </c:pt>
                <c:pt idx="8457">
                  <c:v>0</c:v>
                </c:pt>
                <c:pt idx="8458">
                  <c:v>0</c:v>
                </c:pt>
                <c:pt idx="8459">
                  <c:v>0</c:v>
                </c:pt>
                <c:pt idx="8460">
                  <c:v>0</c:v>
                </c:pt>
                <c:pt idx="8461">
                  <c:v>0</c:v>
                </c:pt>
                <c:pt idx="8462">
                  <c:v>0</c:v>
                </c:pt>
                <c:pt idx="8463">
                  <c:v>0</c:v>
                </c:pt>
                <c:pt idx="8464">
                  <c:v>0</c:v>
                </c:pt>
                <c:pt idx="8465">
                  <c:v>0</c:v>
                </c:pt>
                <c:pt idx="8466">
                  <c:v>0</c:v>
                </c:pt>
                <c:pt idx="8467">
                  <c:v>0</c:v>
                </c:pt>
                <c:pt idx="8468">
                  <c:v>0</c:v>
                </c:pt>
                <c:pt idx="8469">
                  <c:v>0</c:v>
                </c:pt>
                <c:pt idx="8470">
                  <c:v>0</c:v>
                </c:pt>
                <c:pt idx="8471">
                  <c:v>0</c:v>
                </c:pt>
                <c:pt idx="8472">
                  <c:v>0</c:v>
                </c:pt>
                <c:pt idx="8473">
                  <c:v>0</c:v>
                </c:pt>
                <c:pt idx="8474">
                  <c:v>0</c:v>
                </c:pt>
                <c:pt idx="8475">
                  <c:v>0</c:v>
                </c:pt>
                <c:pt idx="8476">
                  <c:v>0</c:v>
                </c:pt>
                <c:pt idx="8477">
                  <c:v>0</c:v>
                </c:pt>
                <c:pt idx="8478">
                  <c:v>0</c:v>
                </c:pt>
                <c:pt idx="8479">
                  <c:v>0</c:v>
                </c:pt>
                <c:pt idx="8480">
                  <c:v>0</c:v>
                </c:pt>
                <c:pt idx="8481">
                  <c:v>0</c:v>
                </c:pt>
                <c:pt idx="8482">
                  <c:v>0</c:v>
                </c:pt>
                <c:pt idx="8483">
                  <c:v>0</c:v>
                </c:pt>
                <c:pt idx="8484">
                  <c:v>0</c:v>
                </c:pt>
                <c:pt idx="8485">
                  <c:v>0</c:v>
                </c:pt>
                <c:pt idx="8486">
                  <c:v>0</c:v>
                </c:pt>
                <c:pt idx="8487">
                  <c:v>0</c:v>
                </c:pt>
                <c:pt idx="8488">
                  <c:v>0</c:v>
                </c:pt>
                <c:pt idx="8489">
                  <c:v>0</c:v>
                </c:pt>
                <c:pt idx="8490">
                  <c:v>0</c:v>
                </c:pt>
                <c:pt idx="8491">
                  <c:v>0</c:v>
                </c:pt>
                <c:pt idx="8492">
                  <c:v>0</c:v>
                </c:pt>
                <c:pt idx="8493">
                  <c:v>0</c:v>
                </c:pt>
                <c:pt idx="8494">
                  <c:v>0</c:v>
                </c:pt>
                <c:pt idx="8495">
                  <c:v>0</c:v>
                </c:pt>
                <c:pt idx="8496">
                  <c:v>0</c:v>
                </c:pt>
                <c:pt idx="8497">
                  <c:v>0</c:v>
                </c:pt>
                <c:pt idx="8498">
                  <c:v>0</c:v>
                </c:pt>
                <c:pt idx="8499">
                  <c:v>0</c:v>
                </c:pt>
                <c:pt idx="8500">
                  <c:v>0</c:v>
                </c:pt>
                <c:pt idx="8501">
                  <c:v>0</c:v>
                </c:pt>
                <c:pt idx="8502">
                  <c:v>0</c:v>
                </c:pt>
                <c:pt idx="8503">
                  <c:v>0</c:v>
                </c:pt>
                <c:pt idx="8504">
                  <c:v>0</c:v>
                </c:pt>
                <c:pt idx="8505">
                  <c:v>0</c:v>
                </c:pt>
                <c:pt idx="8506">
                  <c:v>0</c:v>
                </c:pt>
                <c:pt idx="8507">
                  <c:v>0</c:v>
                </c:pt>
                <c:pt idx="8508">
                  <c:v>0</c:v>
                </c:pt>
                <c:pt idx="8509">
                  <c:v>0</c:v>
                </c:pt>
                <c:pt idx="8510">
                  <c:v>0</c:v>
                </c:pt>
                <c:pt idx="8511">
                  <c:v>0</c:v>
                </c:pt>
                <c:pt idx="8512">
                  <c:v>0</c:v>
                </c:pt>
                <c:pt idx="8513">
                  <c:v>0</c:v>
                </c:pt>
                <c:pt idx="8514">
                  <c:v>0</c:v>
                </c:pt>
                <c:pt idx="8515">
                  <c:v>0</c:v>
                </c:pt>
                <c:pt idx="8516">
                  <c:v>0</c:v>
                </c:pt>
                <c:pt idx="8517">
                  <c:v>0</c:v>
                </c:pt>
                <c:pt idx="8518">
                  <c:v>0</c:v>
                </c:pt>
                <c:pt idx="8519">
                  <c:v>0</c:v>
                </c:pt>
                <c:pt idx="8520">
                  <c:v>0</c:v>
                </c:pt>
                <c:pt idx="8521">
                  <c:v>0</c:v>
                </c:pt>
                <c:pt idx="8522">
                  <c:v>0</c:v>
                </c:pt>
                <c:pt idx="8523">
                  <c:v>0</c:v>
                </c:pt>
                <c:pt idx="8524">
                  <c:v>0</c:v>
                </c:pt>
                <c:pt idx="8525">
                  <c:v>0</c:v>
                </c:pt>
                <c:pt idx="8526">
                  <c:v>0</c:v>
                </c:pt>
                <c:pt idx="8527">
                  <c:v>0</c:v>
                </c:pt>
                <c:pt idx="8528">
                  <c:v>0</c:v>
                </c:pt>
                <c:pt idx="8529">
                  <c:v>0</c:v>
                </c:pt>
                <c:pt idx="8530">
                  <c:v>0</c:v>
                </c:pt>
                <c:pt idx="8531">
                  <c:v>0</c:v>
                </c:pt>
                <c:pt idx="8532">
                  <c:v>0</c:v>
                </c:pt>
                <c:pt idx="8533">
                  <c:v>0</c:v>
                </c:pt>
                <c:pt idx="8534">
                  <c:v>0</c:v>
                </c:pt>
                <c:pt idx="8535">
                  <c:v>0</c:v>
                </c:pt>
                <c:pt idx="8536">
                  <c:v>0</c:v>
                </c:pt>
                <c:pt idx="8537">
                  <c:v>0</c:v>
                </c:pt>
                <c:pt idx="8538">
                  <c:v>0</c:v>
                </c:pt>
                <c:pt idx="8539">
                  <c:v>0</c:v>
                </c:pt>
                <c:pt idx="8540">
                  <c:v>0</c:v>
                </c:pt>
                <c:pt idx="8541">
                  <c:v>0</c:v>
                </c:pt>
                <c:pt idx="8542">
                  <c:v>0</c:v>
                </c:pt>
                <c:pt idx="8543">
                  <c:v>0</c:v>
                </c:pt>
                <c:pt idx="8544">
                  <c:v>0</c:v>
                </c:pt>
                <c:pt idx="8545">
                  <c:v>0</c:v>
                </c:pt>
                <c:pt idx="8546">
                  <c:v>0</c:v>
                </c:pt>
                <c:pt idx="8547">
                  <c:v>0</c:v>
                </c:pt>
                <c:pt idx="8548">
                  <c:v>0</c:v>
                </c:pt>
                <c:pt idx="8549">
                  <c:v>0</c:v>
                </c:pt>
                <c:pt idx="8550">
                  <c:v>0</c:v>
                </c:pt>
                <c:pt idx="8551">
                  <c:v>0</c:v>
                </c:pt>
                <c:pt idx="8552">
                  <c:v>0</c:v>
                </c:pt>
                <c:pt idx="8553">
                  <c:v>0</c:v>
                </c:pt>
                <c:pt idx="8554">
                  <c:v>0</c:v>
                </c:pt>
                <c:pt idx="8555">
                  <c:v>0</c:v>
                </c:pt>
                <c:pt idx="8556">
                  <c:v>0</c:v>
                </c:pt>
                <c:pt idx="8557">
                  <c:v>0</c:v>
                </c:pt>
                <c:pt idx="8558">
                  <c:v>0</c:v>
                </c:pt>
                <c:pt idx="8559">
                  <c:v>0</c:v>
                </c:pt>
                <c:pt idx="8560">
                  <c:v>0</c:v>
                </c:pt>
                <c:pt idx="8561">
                  <c:v>0</c:v>
                </c:pt>
                <c:pt idx="8562">
                  <c:v>0</c:v>
                </c:pt>
                <c:pt idx="8563">
                  <c:v>0</c:v>
                </c:pt>
                <c:pt idx="8564">
                  <c:v>0</c:v>
                </c:pt>
                <c:pt idx="8565">
                  <c:v>0</c:v>
                </c:pt>
                <c:pt idx="8566">
                  <c:v>0</c:v>
                </c:pt>
                <c:pt idx="8567">
                  <c:v>0</c:v>
                </c:pt>
                <c:pt idx="8568">
                  <c:v>0</c:v>
                </c:pt>
                <c:pt idx="8569">
                  <c:v>0</c:v>
                </c:pt>
                <c:pt idx="8570">
                  <c:v>0</c:v>
                </c:pt>
                <c:pt idx="8571">
                  <c:v>0</c:v>
                </c:pt>
                <c:pt idx="8572">
                  <c:v>0</c:v>
                </c:pt>
                <c:pt idx="8573">
                  <c:v>0</c:v>
                </c:pt>
                <c:pt idx="8574">
                  <c:v>0</c:v>
                </c:pt>
                <c:pt idx="8575">
                  <c:v>0</c:v>
                </c:pt>
                <c:pt idx="8576">
                  <c:v>0</c:v>
                </c:pt>
                <c:pt idx="8577">
                  <c:v>0</c:v>
                </c:pt>
                <c:pt idx="8578">
                  <c:v>0</c:v>
                </c:pt>
                <c:pt idx="8579">
                  <c:v>0</c:v>
                </c:pt>
                <c:pt idx="8580">
                  <c:v>0</c:v>
                </c:pt>
                <c:pt idx="8581">
                  <c:v>0</c:v>
                </c:pt>
                <c:pt idx="8582">
                  <c:v>0</c:v>
                </c:pt>
                <c:pt idx="8583">
                  <c:v>0</c:v>
                </c:pt>
                <c:pt idx="8584">
                  <c:v>0</c:v>
                </c:pt>
                <c:pt idx="8585">
                  <c:v>0</c:v>
                </c:pt>
                <c:pt idx="8586">
                  <c:v>0</c:v>
                </c:pt>
                <c:pt idx="8587">
                  <c:v>0</c:v>
                </c:pt>
                <c:pt idx="8588">
                  <c:v>0</c:v>
                </c:pt>
                <c:pt idx="8589">
                  <c:v>0</c:v>
                </c:pt>
                <c:pt idx="8590">
                  <c:v>0</c:v>
                </c:pt>
                <c:pt idx="8591">
                  <c:v>0</c:v>
                </c:pt>
                <c:pt idx="8592">
                  <c:v>0</c:v>
                </c:pt>
                <c:pt idx="8593">
                  <c:v>0</c:v>
                </c:pt>
                <c:pt idx="8594">
                  <c:v>0</c:v>
                </c:pt>
                <c:pt idx="8595">
                  <c:v>0</c:v>
                </c:pt>
                <c:pt idx="8596">
                  <c:v>0</c:v>
                </c:pt>
                <c:pt idx="8597">
                  <c:v>0</c:v>
                </c:pt>
                <c:pt idx="8598">
                  <c:v>0</c:v>
                </c:pt>
                <c:pt idx="8599">
                  <c:v>0</c:v>
                </c:pt>
                <c:pt idx="8600">
                  <c:v>0</c:v>
                </c:pt>
                <c:pt idx="8601">
                  <c:v>0</c:v>
                </c:pt>
                <c:pt idx="8602">
                  <c:v>0</c:v>
                </c:pt>
                <c:pt idx="8603">
                  <c:v>0</c:v>
                </c:pt>
                <c:pt idx="8604">
                  <c:v>0</c:v>
                </c:pt>
                <c:pt idx="8605">
                  <c:v>0</c:v>
                </c:pt>
                <c:pt idx="8606">
                  <c:v>0</c:v>
                </c:pt>
                <c:pt idx="8607">
                  <c:v>0</c:v>
                </c:pt>
                <c:pt idx="8608">
                  <c:v>0</c:v>
                </c:pt>
                <c:pt idx="8609">
                  <c:v>0</c:v>
                </c:pt>
                <c:pt idx="8610">
                  <c:v>0</c:v>
                </c:pt>
                <c:pt idx="8611">
                  <c:v>0</c:v>
                </c:pt>
                <c:pt idx="8612">
                  <c:v>0</c:v>
                </c:pt>
                <c:pt idx="8613">
                  <c:v>0</c:v>
                </c:pt>
                <c:pt idx="8614">
                  <c:v>0</c:v>
                </c:pt>
                <c:pt idx="8615">
                  <c:v>0</c:v>
                </c:pt>
                <c:pt idx="8616">
                  <c:v>0</c:v>
                </c:pt>
                <c:pt idx="8617">
                  <c:v>0</c:v>
                </c:pt>
                <c:pt idx="8618">
                  <c:v>0</c:v>
                </c:pt>
                <c:pt idx="8619">
                  <c:v>0</c:v>
                </c:pt>
                <c:pt idx="8620">
                  <c:v>0</c:v>
                </c:pt>
                <c:pt idx="8621">
                  <c:v>0</c:v>
                </c:pt>
                <c:pt idx="8622">
                  <c:v>0</c:v>
                </c:pt>
                <c:pt idx="8623">
                  <c:v>0</c:v>
                </c:pt>
                <c:pt idx="8624">
                  <c:v>0</c:v>
                </c:pt>
                <c:pt idx="8625">
                  <c:v>0</c:v>
                </c:pt>
                <c:pt idx="8626">
                  <c:v>0</c:v>
                </c:pt>
                <c:pt idx="8627">
                  <c:v>0</c:v>
                </c:pt>
                <c:pt idx="8628">
                  <c:v>0</c:v>
                </c:pt>
                <c:pt idx="8629">
                  <c:v>0</c:v>
                </c:pt>
                <c:pt idx="8630">
                  <c:v>0</c:v>
                </c:pt>
                <c:pt idx="8631">
                  <c:v>0</c:v>
                </c:pt>
                <c:pt idx="8632">
                  <c:v>0</c:v>
                </c:pt>
                <c:pt idx="8633">
                  <c:v>0</c:v>
                </c:pt>
                <c:pt idx="8634">
                  <c:v>0</c:v>
                </c:pt>
                <c:pt idx="8635">
                  <c:v>0</c:v>
                </c:pt>
                <c:pt idx="8636">
                  <c:v>0</c:v>
                </c:pt>
                <c:pt idx="8637">
                  <c:v>0</c:v>
                </c:pt>
                <c:pt idx="8638">
                  <c:v>0</c:v>
                </c:pt>
                <c:pt idx="8639">
                  <c:v>0</c:v>
                </c:pt>
                <c:pt idx="8640">
                  <c:v>0</c:v>
                </c:pt>
                <c:pt idx="8641">
                  <c:v>0</c:v>
                </c:pt>
                <c:pt idx="8642">
                  <c:v>0</c:v>
                </c:pt>
                <c:pt idx="8643">
                  <c:v>0</c:v>
                </c:pt>
                <c:pt idx="8644">
                  <c:v>0</c:v>
                </c:pt>
                <c:pt idx="8645">
                  <c:v>0</c:v>
                </c:pt>
                <c:pt idx="8646">
                  <c:v>0</c:v>
                </c:pt>
                <c:pt idx="8647">
                  <c:v>0</c:v>
                </c:pt>
                <c:pt idx="8648">
                  <c:v>0</c:v>
                </c:pt>
                <c:pt idx="8649">
                  <c:v>0</c:v>
                </c:pt>
                <c:pt idx="8650">
                  <c:v>0</c:v>
                </c:pt>
                <c:pt idx="8651">
                  <c:v>0</c:v>
                </c:pt>
                <c:pt idx="8652">
                  <c:v>0</c:v>
                </c:pt>
                <c:pt idx="8653">
                  <c:v>0</c:v>
                </c:pt>
                <c:pt idx="8654">
                  <c:v>0</c:v>
                </c:pt>
                <c:pt idx="8655">
                  <c:v>0</c:v>
                </c:pt>
                <c:pt idx="8656">
                  <c:v>0</c:v>
                </c:pt>
                <c:pt idx="8657">
                  <c:v>0</c:v>
                </c:pt>
                <c:pt idx="8658">
                  <c:v>0</c:v>
                </c:pt>
                <c:pt idx="8659">
                  <c:v>0</c:v>
                </c:pt>
                <c:pt idx="8660">
                  <c:v>0</c:v>
                </c:pt>
                <c:pt idx="8661">
                  <c:v>0</c:v>
                </c:pt>
                <c:pt idx="8662">
                  <c:v>0</c:v>
                </c:pt>
                <c:pt idx="8663">
                  <c:v>0</c:v>
                </c:pt>
                <c:pt idx="8664">
                  <c:v>0</c:v>
                </c:pt>
                <c:pt idx="8665">
                  <c:v>0</c:v>
                </c:pt>
                <c:pt idx="8666">
                  <c:v>0</c:v>
                </c:pt>
                <c:pt idx="8667">
                  <c:v>0</c:v>
                </c:pt>
                <c:pt idx="8668">
                  <c:v>0</c:v>
                </c:pt>
                <c:pt idx="8669">
                  <c:v>0</c:v>
                </c:pt>
                <c:pt idx="8670">
                  <c:v>0</c:v>
                </c:pt>
                <c:pt idx="8671">
                  <c:v>0</c:v>
                </c:pt>
                <c:pt idx="8672">
                  <c:v>0</c:v>
                </c:pt>
                <c:pt idx="8673">
                  <c:v>0</c:v>
                </c:pt>
                <c:pt idx="8674">
                  <c:v>0</c:v>
                </c:pt>
                <c:pt idx="8675">
                  <c:v>0</c:v>
                </c:pt>
                <c:pt idx="8676">
                  <c:v>0</c:v>
                </c:pt>
                <c:pt idx="8677">
                  <c:v>0</c:v>
                </c:pt>
                <c:pt idx="8678">
                  <c:v>0</c:v>
                </c:pt>
                <c:pt idx="8679">
                  <c:v>0</c:v>
                </c:pt>
                <c:pt idx="8680">
                  <c:v>0</c:v>
                </c:pt>
                <c:pt idx="8681">
                  <c:v>0</c:v>
                </c:pt>
                <c:pt idx="8682">
                  <c:v>0</c:v>
                </c:pt>
                <c:pt idx="8683">
                  <c:v>0</c:v>
                </c:pt>
                <c:pt idx="8684">
                  <c:v>0</c:v>
                </c:pt>
                <c:pt idx="8685">
                  <c:v>0</c:v>
                </c:pt>
                <c:pt idx="8686">
                  <c:v>0</c:v>
                </c:pt>
                <c:pt idx="8687">
                  <c:v>0</c:v>
                </c:pt>
                <c:pt idx="8688">
                  <c:v>0</c:v>
                </c:pt>
                <c:pt idx="8689">
                  <c:v>0</c:v>
                </c:pt>
                <c:pt idx="8690">
                  <c:v>0</c:v>
                </c:pt>
                <c:pt idx="8691">
                  <c:v>0</c:v>
                </c:pt>
                <c:pt idx="8692">
                  <c:v>0</c:v>
                </c:pt>
                <c:pt idx="8693">
                  <c:v>0</c:v>
                </c:pt>
                <c:pt idx="8694">
                  <c:v>0</c:v>
                </c:pt>
                <c:pt idx="8695">
                  <c:v>0</c:v>
                </c:pt>
                <c:pt idx="8696">
                  <c:v>0</c:v>
                </c:pt>
                <c:pt idx="8697">
                  <c:v>0</c:v>
                </c:pt>
                <c:pt idx="8698">
                  <c:v>0</c:v>
                </c:pt>
                <c:pt idx="8699">
                  <c:v>0</c:v>
                </c:pt>
                <c:pt idx="8700">
                  <c:v>0</c:v>
                </c:pt>
                <c:pt idx="8701">
                  <c:v>0</c:v>
                </c:pt>
                <c:pt idx="8702">
                  <c:v>0</c:v>
                </c:pt>
                <c:pt idx="8703">
                  <c:v>0</c:v>
                </c:pt>
                <c:pt idx="8704">
                  <c:v>0</c:v>
                </c:pt>
                <c:pt idx="8705">
                  <c:v>0</c:v>
                </c:pt>
                <c:pt idx="8706">
                  <c:v>0</c:v>
                </c:pt>
                <c:pt idx="8707">
                  <c:v>0</c:v>
                </c:pt>
                <c:pt idx="8708">
                  <c:v>0</c:v>
                </c:pt>
                <c:pt idx="8709">
                  <c:v>0</c:v>
                </c:pt>
                <c:pt idx="8710">
                  <c:v>0</c:v>
                </c:pt>
                <c:pt idx="8711">
                  <c:v>0</c:v>
                </c:pt>
                <c:pt idx="8712">
                  <c:v>0</c:v>
                </c:pt>
                <c:pt idx="8713">
                  <c:v>0</c:v>
                </c:pt>
                <c:pt idx="8714">
                  <c:v>0</c:v>
                </c:pt>
                <c:pt idx="8715">
                  <c:v>0</c:v>
                </c:pt>
                <c:pt idx="8716">
                  <c:v>0</c:v>
                </c:pt>
                <c:pt idx="8717">
                  <c:v>0</c:v>
                </c:pt>
                <c:pt idx="8718">
                  <c:v>0</c:v>
                </c:pt>
                <c:pt idx="8719">
                  <c:v>0</c:v>
                </c:pt>
                <c:pt idx="8720">
                  <c:v>0</c:v>
                </c:pt>
                <c:pt idx="8721">
                  <c:v>0</c:v>
                </c:pt>
                <c:pt idx="8722">
                  <c:v>0</c:v>
                </c:pt>
                <c:pt idx="8723">
                  <c:v>0</c:v>
                </c:pt>
                <c:pt idx="8724">
                  <c:v>0</c:v>
                </c:pt>
                <c:pt idx="8725">
                  <c:v>0</c:v>
                </c:pt>
                <c:pt idx="8726">
                  <c:v>0</c:v>
                </c:pt>
                <c:pt idx="8727">
                  <c:v>0</c:v>
                </c:pt>
                <c:pt idx="8728">
                  <c:v>0</c:v>
                </c:pt>
                <c:pt idx="8729">
                  <c:v>0</c:v>
                </c:pt>
                <c:pt idx="8730">
                  <c:v>0</c:v>
                </c:pt>
                <c:pt idx="8731">
                  <c:v>0</c:v>
                </c:pt>
                <c:pt idx="8732">
                  <c:v>0</c:v>
                </c:pt>
                <c:pt idx="8733">
                  <c:v>0</c:v>
                </c:pt>
                <c:pt idx="8734">
                  <c:v>0</c:v>
                </c:pt>
                <c:pt idx="8735">
                  <c:v>0</c:v>
                </c:pt>
                <c:pt idx="8736">
                  <c:v>0</c:v>
                </c:pt>
                <c:pt idx="8737">
                  <c:v>0</c:v>
                </c:pt>
                <c:pt idx="8738">
                  <c:v>0</c:v>
                </c:pt>
                <c:pt idx="8739">
                  <c:v>0</c:v>
                </c:pt>
                <c:pt idx="8740">
                  <c:v>0</c:v>
                </c:pt>
                <c:pt idx="8741">
                  <c:v>0</c:v>
                </c:pt>
                <c:pt idx="8742">
                  <c:v>0</c:v>
                </c:pt>
                <c:pt idx="8743">
                  <c:v>0</c:v>
                </c:pt>
                <c:pt idx="8744">
                  <c:v>0</c:v>
                </c:pt>
                <c:pt idx="8745">
                  <c:v>0</c:v>
                </c:pt>
                <c:pt idx="8746">
                  <c:v>0</c:v>
                </c:pt>
                <c:pt idx="8747">
                  <c:v>0</c:v>
                </c:pt>
                <c:pt idx="8748">
                  <c:v>0</c:v>
                </c:pt>
                <c:pt idx="8749">
                  <c:v>0</c:v>
                </c:pt>
                <c:pt idx="8750">
                  <c:v>0</c:v>
                </c:pt>
                <c:pt idx="8751">
                  <c:v>0</c:v>
                </c:pt>
                <c:pt idx="8752">
                  <c:v>0</c:v>
                </c:pt>
                <c:pt idx="8753">
                  <c:v>0</c:v>
                </c:pt>
                <c:pt idx="8754">
                  <c:v>0</c:v>
                </c:pt>
                <c:pt idx="8755">
                  <c:v>0</c:v>
                </c:pt>
                <c:pt idx="8756">
                  <c:v>0</c:v>
                </c:pt>
                <c:pt idx="8757">
                  <c:v>0</c:v>
                </c:pt>
                <c:pt idx="8758">
                  <c:v>0</c:v>
                </c:pt>
                <c:pt idx="8759">
                  <c:v>0</c:v>
                </c:pt>
                <c:pt idx="8760">
                  <c:v>0</c:v>
                </c:pt>
                <c:pt idx="8761">
                  <c:v>0</c:v>
                </c:pt>
                <c:pt idx="8762">
                  <c:v>0</c:v>
                </c:pt>
                <c:pt idx="8763">
                  <c:v>0</c:v>
                </c:pt>
                <c:pt idx="8764">
                  <c:v>0</c:v>
                </c:pt>
                <c:pt idx="8765">
                  <c:v>0</c:v>
                </c:pt>
                <c:pt idx="8766">
                  <c:v>0</c:v>
                </c:pt>
                <c:pt idx="8767">
                  <c:v>0</c:v>
                </c:pt>
                <c:pt idx="8768">
                  <c:v>0</c:v>
                </c:pt>
                <c:pt idx="8769">
                  <c:v>0</c:v>
                </c:pt>
                <c:pt idx="8770">
                  <c:v>0</c:v>
                </c:pt>
                <c:pt idx="8771">
                  <c:v>0</c:v>
                </c:pt>
                <c:pt idx="8772">
                  <c:v>0</c:v>
                </c:pt>
                <c:pt idx="8773">
                  <c:v>0</c:v>
                </c:pt>
                <c:pt idx="8774">
                  <c:v>0</c:v>
                </c:pt>
                <c:pt idx="8775">
                  <c:v>0</c:v>
                </c:pt>
                <c:pt idx="8776">
                  <c:v>0</c:v>
                </c:pt>
                <c:pt idx="8777">
                  <c:v>0</c:v>
                </c:pt>
                <c:pt idx="8778">
                  <c:v>0</c:v>
                </c:pt>
                <c:pt idx="8779">
                  <c:v>0</c:v>
                </c:pt>
                <c:pt idx="8780">
                  <c:v>0</c:v>
                </c:pt>
                <c:pt idx="8781">
                  <c:v>0</c:v>
                </c:pt>
                <c:pt idx="8782">
                  <c:v>0</c:v>
                </c:pt>
                <c:pt idx="8783">
                  <c:v>0</c:v>
                </c:pt>
                <c:pt idx="8784">
                  <c:v>0</c:v>
                </c:pt>
                <c:pt idx="8785">
                  <c:v>0</c:v>
                </c:pt>
                <c:pt idx="8786">
                  <c:v>0</c:v>
                </c:pt>
                <c:pt idx="8787">
                  <c:v>0</c:v>
                </c:pt>
                <c:pt idx="8788">
                  <c:v>0</c:v>
                </c:pt>
                <c:pt idx="8789">
                  <c:v>0</c:v>
                </c:pt>
                <c:pt idx="8790">
                  <c:v>0</c:v>
                </c:pt>
                <c:pt idx="8791">
                  <c:v>0</c:v>
                </c:pt>
                <c:pt idx="8792">
                  <c:v>0</c:v>
                </c:pt>
                <c:pt idx="8793">
                  <c:v>0</c:v>
                </c:pt>
                <c:pt idx="8794">
                  <c:v>0</c:v>
                </c:pt>
                <c:pt idx="8795">
                  <c:v>0</c:v>
                </c:pt>
                <c:pt idx="8796">
                  <c:v>0</c:v>
                </c:pt>
                <c:pt idx="8797">
                  <c:v>0</c:v>
                </c:pt>
                <c:pt idx="8798">
                  <c:v>0</c:v>
                </c:pt>
                <c:pt idx="8799">
                  <c:v>0</c:v>
                </c:pt>
                <c:pt idx="8800">
                  <c:v>0</c:v>
                </c:pt>
                <c:pt idx="8801">
                  <c:v>0</c:v>
                </c:pt>
                <c:pt idx="8802">
                  <c:v>0</c:v>
                </c:pt>
                <c:pt idx="8803">
                  <c:v>0</c:v>
                </c:pt>
                <c:pt idx="8804">
                  <c:v>0</c:v>
                </c:pt>
                <c:pt idx="8805">
                  <c:v>0</c:v>
                </c:pt>
                <c:pt idx="8806">
                  <c:v>0</c:v>
                </c:pt>
                <c:pt idx="8807">
                  <c:v>0</c:v>
                </c:pt>
                <c:pt idx="8808">
                  <c:v>0</c:v>
                </c:pt>
                <c:pt idx="8809">
                  <c:v>0</c:v>
                </c:pt>
                <c:pt idx="8810">
                  <c:v>0</c:v>
                </c:pt>
                <c:pt idx="8811">
                  <c:v>0</c:v>
                </c:pt>
                <c:pt idx="8812">
                  <c:v>0</c:v>
                </c:pt>
                <c:pt idx="8813">
                  <c:v>0</c:v>
                </c:pt>
                <c:pt idx="8814">
                  <c:v>0</c:v>
                </c:pt>
                <c:pt idx="8815">
                  <c:v>0</c:v>
                </c:pt>
                <c:pt idx="8816">
                  <c:v>0</c:v>
                </c:pt>
                <c:pt idx="8817">
                  <c:v>0</c:v>
                </c:pt>
                <c:pt idx="8818">
                  <c:v>0</c:v>
                </c:pt>
                <c:pt idx="8819">
                  <c:v>0</c:v>
                </c:pt>
                <c:pt idx="8820">
                  <c:v>0</c:v>
                </c:pt>
                <c:pt idx="8821">
                  <c:v>0</c:v>
                </c:pt>
                <c:pt idx="8822">
                  <c:v>0</c:v>
                </c:pt>
                <c:pt idx="8823">
                  <c:v>0</c:v>
                </c:pt>
                <c:pt idx="8824">
                  <c:v>0</c:v>
                </c:pt>
                <c:pt idx="8825">
                  <c:v>0</c:v>
                </c:pt>
                <c:pt idx="8826">
                  <c:v>0</c:v>
                </c:pt>
                <c:pt idx="8827">
                  <c:v>0</c:v>
                </c:pt>
                <c:pt idx="8828">
                  <c:v>0</c:v>
                </c:pt>
                <c:pt idx="8829">
                  <c:v>0</c:v>
                </c:pt>
                <c:pt idx="8830">
                  <c:v>0</c:v>
                </c:pt>
                <c:pt idx="8831">
                  <c:v>0</c:v>
                </c:pt>
                <c:pt idx="8832">
                  <c:v>0</c:v>
                </c:pt>
                <c:pt idx="8833">
                  <c:v>0</c:v>
                </c:pt>
                <c:pt idx="8834">
                  <c:v>0</c:v>
                </c:pt>
                <c:pt idx="8835">
                  <c:v>0</c:v>
                </c:pt>
                <c:pt idx="8836">
                  <c:v>0</c:v>
                </c:pt>
                <c:pt idx="8837">
                  <c:v>0</c:v>
                </c:pt>
                <c:pt idx="8838">
                  <c:v>0</c:v>
                </c:pt>
                <c:pt idx="8839">
                  <c:v>0</c:v>
                </c:pt>
                <c:pt idx="8840">
                  <c:v>0</c:v>
                </c:pt>
                <c:pt idx="8841">
                  <c:v>0</c:v>
                </c:pt>
                <c:pt idx="8842">
                  <c:v>0</c:v>
                </c:pt>
                <c:pt idx="8843">
                  <c:v>0</c:v>
                </c:pt>
                <c:pt idx="8844">
                  <c:v>0</c:v>
                </c:pt>
                <c:pt idx="8845">
                  <c:v>0</c:v>
                </c:pt>
                <c:pt idx="8846">
                  <c:v>0</c:v>
                </c:pt>
                <c:pt idx="8847">
                  <c:v>0</c:v>
                </c:pt>
                <c:pt idx="8848">
                  <c:v>0</c:v>
                </c:pt>
                <c:pt idx="8849">
                  <c:v>0</c:v>
                </c:pt>
                <c:pt idx="8850">
                  <c:v>0</c:v>
                </c:pt>
                <c:pt idx="8851">
                  <c:v>0</c:v>
                </c:pt>
                <c:pt idx="8852">
                  <c:v>0</c:v>
                </c:pt>
                <c:pt idx="8853">
                  <c:v>0</c:v>
                </c:pt>
                <c:pt idx="8854">
                  <c:v>0</c:v>
                </c:pt>
                <c:pt idx="8855">
                  <c:v>0</c:v>
                </c:pt>
                <c:pt idx="8856">
                  <c:v>0</c:v>
                </c:pt>
                <c:pt idx="8857">
                  <c:v>0</c:v>
                </c:pt>
                <c:pt idx="8858">
                  <c:v>0</c:v>
                </c:pt>
                <c:pt idx="8859">
                  <c:v>0</c:v>
                </c:pt>
                <c:pt idx="8860">
                  <c:v>0</c:v>
                </c:pt>
                <c:pt idx="8861">
                  <c:v>0</c:v>
                </c:pt>
                <c:pt idx="8862">
                  <c:v>0</c:v>
                </c:pt>
                <c:pt idx="8863">
                  <c:v>0</c:v>
                </c:pt>
                <c:pt idx="8864">
                  <c:v>0</c:v>
                </c:pt>
                <c:pt idx="8865">
                  <c:v>0</c:v>
                </c:pt>
                <c:pt idx="8866">
                  <c:v>0</c:v>
                </c:pt>
                <c:pt idx="8867">
                  <c:v>0</c:v>
                </c:pt>
                <c:pt idx="8868">
                  <c:v>0</c:v>
                </c:pt>
                <c:pt idx="8869">
                  <c:v>0</c:v>
                </c:pt>
                <c:pt idx="8870">
                  <c:v>0</c:v>
                </c:pt>
                <c:pt idx="8871">
                  <c:v>0</c:v>
                </c:pt>
                <c:pt idx="8872">
                  <c:v>0</c:v>
                </c:pt>
                <c:pt idx="8873">
                  <c:v>0</c:v>
                </c:pt>
                <c:pt idx="8874">
                  <c:v>0</c:v>
                </c:pt>
                <c:pt idx="8875">
                  <c:v>0</c:v>
                </c:pt>
                <c:pt idx="8876">
                  <c:v>0</c:v>
                </c:pt>
                <c:pt idx="8877">
                  <c:v>0</c:v>
                </c:pt>
                <c:pt idx="8878">
                  <c:v>0</c:v>
                </c:pt>
                <c:pt idx="8879">
                  <c:v>0</c:v>
                </c:pt>
                <c:pt idx="8880">
                  <c:v>0</c:v>
                </c:pt>
                <c:pt idx="8881">
                  <c:v>0</c:v>
                </c:pt>
                <c:pt idx="8882">
                  <c:v>0</c:v>
                </c:pt>
                <c:pt idx="8883">
                  <c:v>0</c:v>
                </c:pt>
                <c:pt idx="8884">
                  <c:v>0</c:v>
                </c:pt>
                <c:pt idx="8885">
                  <c:v>0</c:v>
                </c:pt>
                <c:pt idx="8886">
                  <c:v>0</c:v>
                </c:pt>
                <c:pt idx="8887">
                  <c:v>0</c:v>
                </c:pt>
                <c:pt idx="8888">
                  <c:v>0</c:v>
                </c:pt>
                <c:pt idx="8889">
                  <c:v>0</c:v>
                </c:pt>
                <c:pt idx="8890">
                  <c:v>0</c:v>
                </c:pt>
                <c:pt idx="8891">
                  <c:v>0</c:v>
                </c:pt>
                <c:pt idx="8892">
                  <c:v>0</c:v>
                </c:pt>
                <c:pt idx="8893">
                  <c:v>0</c:v>
                </c:pt>
                <c:pt idx="8894">
                  <c:v>0</c:v>
                </c:pt>
                <c:pt idx="8895">
                  <c:v>0</c:v>
                </c:pt>
                <c:pt idx="8896">
                  <c:v>0</c:v>
                </c:pt>
                <c:pt idx="8897">
                  <c:v>0</c:v>
                </c:pt>
                <c:pt idx="8898">
                  <c:v>0</c:v>
                </c:pt>
                <c:pt idx="8899">
                  <c:v>0</c:v>
                </c:pt>
                <c:pt idx="8900">
                  <c:v>0</c:v>
                </c:pt>
                <c:pt idx="8901">
                  <c:v>0</c:v>
                </c:pt>
                <c:pt idx="8902">
                  <c:v>0</c:v>
                </c:pt>
                <c:pt idx="8903">
                  <c:v>0</c:v>
                </c:pt>
                <c:pt idx="8904">
                  <c:v>0</c:v>
                </c:pt>
                <c:pt idx="8905">
                  <c:v>0</c:v>
                </c:pt>
                <c:pt idx="8906">
                  <c:v>0</c:v>
                </c:pt>
                <c:pt idx="8907">
                  <c:v>0</c:v>
                </c:pt>
                <c:pt idx="8908">
                  <c:v>0</c:v>
                </c:pt>
                <c:pt idx="8909">
                  <c:v>0</c:v>
                </c:pt>
                <c:pt idx="8910">
                  <c:v>0</c:v>
                </c:pt>
                <c:pt idx="8911">
                  <c:v>0</c:v>
                </c:pt>
                <c:pt idx="8912">
                  <c:v>0</c:v>
                </c:pt>
                <c:pt idx="8913">
                  <c:v>0</c:v>
                </c:pt>
                <c:pt idx="8914">
                  <c:v>0</c:v>
                </c:pt>
                <c:pt idx="8915">
                  <c:v>0</c:v>
                </c:pt>
                <c:pt idx="8916">
                  <c:v>0</c:v>
                </c:pt>
                <c:pt idx="8917">
                  <c:v>0</c:v>
                </c:pt>
                <c:pt idx="8918">
                  <c:v>0</c:v>
                </c:pt>
                <c:pt idx="8919">
                  <c:v>0</c:v>
                </c:pt>
                <c:pt idx="8920">
                  <c:v>0</c:v>
                </c:pt>
                <c:pt idx="8921">
                  <c:v>0</c:v>
                </c:pt>
                <c:pt idx="8922">
                  <c:v>0</c:v>
                </c:pt>
                <c:pt idx="8923">
                  <c:v>0</c:v>
                </c:pt>
                <c:pt idx="8924">
                  <c:v>0</c:v>
                </c:pt>
                <c:pt idx="8925">
                  <c:v>0</c:v>
                </c:pt>
                <c:pt idx="8926">
                  <c:v>0</c:v>
                </c:pt>
                <c:pt idx="8927">
                  <c:v>0</c:v>
                </c:pt>
                <c:pt idx="8928">
                  <c:v>0</c:v>
                </c:pt>
                <c:pt idx="8929">
                  <c:v>0</c:v>
                </c:pt>
                <c:pt idx="8930">
                  <c:v>0</c:v>
                </c:pt>
                <c:pt idx="8931">
                  <c:v>0</c:v>
                </c:pt>
                <c:pt idx="8932">
                  <c:v>0</c:v>
                </c:pt>
                <c:pt idx="8933">
                  <c:v>0</c:v>
                </c:pt>
                <c:pt idx="8934">
                  <c:v>0</c:v>
                </c:pt>
                <c:pt idx="8935">
                  <c:v>0</c:v>
                </c:pt>
                <c:pt idx="8936">
                  <c:v>0</c:v>
                </c:pt>
                <c:pt idx="8937">
                  <c:v>0</c:v>
                </c:pt>
                <c:pt idx="8938">
                  <c:v>0</c:v>
                </c:pt>
                <c:pt idx="8939">
                  <c:v>0</c:v>
                </c:pt>
                <c:pt idx="8940">
                  <c:v>0</c:v>
                </c:pt>
                <c:pt idx="8941">
                  <c:v>0</c:v>
                </c:pt>
                <c:pt idx="8942">
                  <c:v>0</c:v>
                </c:pt>
                <c:pt idx="8943">
                  <c:v>0</c:v>
                </c:pt>
                <c:pt idx="8944">
                  <c:v>0</c:v>
                </c:pt>
                <c:pt idx="8945">
                  <c:v>0</c:v>
                </c:pt>
                <c:pt idx="8946">
                  <c:v>0</c:v>
                </c:pt>
                <c:pt idx="8947">
                  <c:v>0</c:v>
                </c:pt>
                <c:pt idx="8948">
                  <c:v>0</c:v>
                </c:pt>
                <c:pt idx="8949">
                  <c:v>0</c:v>
                </c:pt>
                <c:pt idx="8950">
                  <c:v>0</c:v>
                </c:pt>
                <c:pt idx="8951">
                  <c:v>0</c:v>
                </c:pt>
                <c:pt idx="8952">
                  <c:v>0</c:v>
                </c:pt>
                <c:pt idx="8953">
                  <c:v>0</c:v>
                </c:pt>
                <c:pt idx="8954">
                  <c:v>0</c:v>
                </c:pt>
                <c:pt idx="8955">
                  <c:v>0</c:v>
                </c:pt>
                <c:pt idx="8956">
                  <c:v>0</c:v>
                </c:pt>
                <c:pt idx="895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C1-4C72-931A-5B8849FAA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3827608"/>
        <c:axId val="843827968"/>
      </c:barChart>
      <c:catAx>
        <c:axId val="84382760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43827968"/>
        <c:crosses val="autoZero"/>
        <c:auto val="0"/>
        <c:lblAlgn val="ctr"/>
        <c:lblOffset val="100"/>
        <c:noMultiLvlLbl val="1"/>
      </c:catAx>
      <c:valAx>
        <c:axId val="8438279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out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43827608"/>
        <c:crosses val="autoZero"/>
        <c:crossBetween val="between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  <c:extLst/>
  </c:chart>
  <c:txPr>
    <a:bodyPr/>
    <a:lstStyle/>
    <a:p>
      <a:pPr algn="ctr"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r>
              <a:rPr lang="en-US" sz="1100"/>
              <a:t>CONSUM HORARI EN MITJANA SETMANAL</a:t>
            </a:r>
            <a:r>
              <a:rPr lang="en-US" sz="1100" baseline="0"/>
              <a:t> </a:t>
            </a:r>
            <a:r>
              <a:rPr lang="en-US" sz="1100"/>
              <a:t>-</a:t>
            </a:r>
            <a:r>
              <a:rPr lang="en-US" sz="1100" baseline="0"/>
              <a:t> periode no vacacional -</a:t>
            </a:r>
            <a:endParaRPr lang="en-US" sz="1100"/>
          </a:p>
        </c:rich>
      </c:tx>
      <c:layout>
        <c:manualLayout>
          <c:xMode val="edge"/>
          <c:yMode val="edge"/>
          <c:x val="0.30573274474646372"/>
          <c:y val="2.5489652204734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1487659827345884E-2"/>
          <c:y val="8.0465178503755855E-2"/>
          <c:w val="0.93544137420723594"/>
          <c:h val="0.835969894037832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'Resultats - informe'!$C$82</c:f>
              <c:strCache>
                <c:ptCount val="1"/>
                <c:pt idx="0">
                  <c:v>CONSUM HORARI EN MITJANA DIARIA NO VACACIONAL (kWh/h) DEL PERÍODE D'ANÀLISIS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('Resultats - informe'!$AM$86:$AM$109,'Resultats - informe'!$AM$86:$AM$109,'Resultats - informe'!$AM$86:$AM$109,'Resultats - informe'!$AM$86:$AM$109,'Resultats - informe'!$AM$86:$AM$109,'Resultats - informe'!$AM$86:$AM$109,'Resultats - informe'!$AM$86:$AM$109)</c:f>
              <c:numCache>
                <c:formatCode>General</c:formatCode>
                <c:ptCount val="16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0</c:v>
                </c:pt>
                <c:pt idx="49">
                  <c:v>1</c:v>
                </c:pt>
                <c:pt idx="50">
                  <c:v>2</c:v>
                </c:pt>
                <c:pt idx="51">
                  <c:v>3</c:v>
                </c:pt>
                <c:pt idx="52">
                  <c:v>4</c:v>
                </c:pt>
                <c:pt idx="53">
                  <c:v>5</c:v>
                </c:pt>
                <c:pt idx="54">
                  <c:v>6</c:v>
                </c:pt>
                <c:pt idx="55">
                  <c:v>7</c:v>
                </c:pt>
                <c:pt idx="56">
                  <c:v>8</c:v>
                </c:pt>
                <c:pt idx="57">
                  <c:v>9</c:v>
                </c:pt>
                <c:pt idx="58">
                  <c:v>10</c:v>
                </c:pt>
                <c:pt idx="59">
                  <c:v>11</c:v>
                </c:pt>
                <c:pt idx="60">
                  <c:v>12</c:v>
                </c:pt>
                <c:pt idx="61">
                  <c:v>13</c:v>
                </c:pt>
                <c:pt idx="62">
                  <c:v>14</c:v>
                </c:pt>
                <c:pt idx="63">
                  <c:v>15</c:v>
                </c:pt>
                <c:pt idx="64">
                  <c:v>16</c:v>
                </c:pt>
                <c:pt idx="65">
                  <c:v>17</c:v>
                </c:pt>
                <c:pt idx="66">
                  <c:v>18</c:v>
                </c:pt>
                <c:pt idx="67">
                  <c:v>19</c:v>
                </c:pt>
                <c:pt idx="68">
                  <c:v>20</c:v>
                </c:pt>
                <c:pt idx="69">
                  <c:v>21</c:v>
                </c:pt>
                <c:pt idx="70">
                  <c:v>22</c:v>
                </c:pt>
                <c:pt idx="71">
                  <c:v>23</c:v>
                </c:pt>
                <c:pt idx="72">
                  <c:v>0</c:v>
                </c:pt>
                <c:pt idx="73">
                  <c:v>1</c:v>
                </c:pt>
                <c:pt idx="74">
                  <c:v>2</c:v>
                </c:pt>
                <c:pt idx="75">
                  <c:v>3</c:v>
                </c:pt>
                <c:pt idx="76">
                  <c:v>4</c:v>
                </c:pt>
                <c:pt idx="77">
                  <c:v>5</c:v>
                </c:pt>
                <c:pt idx="78">
                  <c:v>6</c:v>
                </c:pt>
                <c:pt idx="79">
                  <c:v>7</c:v>
                </c:pt>
                <c:pt idx="80">
                  <c:v>8</c:v>
                </c:pt>
                <c:pt idx="81">
                  <c:v>9</c:v>
                </c:pt>
                <c:pt idx="82">
                  <c:v>10</c:v>
                </c:pt>
                <c:pt idx="83">
                  <c:v>11</c:v>
                </c:pt>
                <c:pt idx="84">
                  <c:v>12</c:v>
                </c:pt>
                <c:pt idx="85">
                  <c:v>13</c:v>
                </c:pt>
                <c:pt idx="86">
                  <c:v>14</c:v>
                </c:pt>
                <c:pt idx="87">
                  <c:v>15</c:v>
                </c:pt>
                <c:pt idx="88">
                  <c:v>16</c:v>
                </c:pt>
                <c:pt idx="89">
                  <c:v>17</c:v>
                </c:pt>
                <c:pt idx="90">
                  <c:v>18</c:v>
                </c:pt>
                <c:pt idx="91">
                  <c:v>19</c:v>
                </c:pt>
                <c:pt idx="92">
                  <c:v>20</c:v>
                </c:pt>
                <c:pt idx="93">
                  <c:v>21</c:v>
                </c:pt>
                <c:pt idx="94">
                  <c:v>22</c:v>
                </c:pt>
                <c:pt idx="95">
                  <c:v>23</c:v>
                </c:pt>
                <c:pt idx="96">
                  <c:v>0</c:v>
                </c:pt>
                <c:pt idx="97">
                  <c:v>1</c:v>
                </c:pt>
                <c:pt idx="98">
                  <c:v>2</c:v>
                </c:pt>
                <c:pt idx="99">
                  <c:v>3</c:v>
                </c:pt>
                <c:pt idx="100">
                  <c:v>4</c:v>
                </c:pt>
                <c:pt idx="101">
                  <c:v>5</c:v>
                </c:pt>
                <c:pt idx="102">
                  <c:v>6</c:v>
                </c:pt>
                <c:pt idx="103">
                  <c:v>7</c:v>
                </c:pt>
                <c:pt idx="104">
                  <c:v>8</c:v>
                </c:pt>
                <c:pt idx="105">
                  <c:v>9</c:v>
                </c:pt>
                <c:pt idx="106">
                  <c:v>10</c:v>
                </c:pt>
                <c:pt idx="107">
                  <c:v>11</c:v>
                </c:pt>
                <c:pt idx="108">
                  <c:v>12</c:v>
                </c:pt>
                <c:pt idx="109">
                  <c:v>13</c:v>
                </c:pt>
                <c:pt idx="110">
                  <c:v>14</c:v>
                </c:pt>
                <c:pt idx="111">
                  <c:v>15</c:v>
                </c:pt>
                <c:pt idx="112">
                  <c:v>16</c:v>
                </c:pt>
                <c:pt idx="113">
                  <c:v>17</c:v>
                </c:pt>
                <c:pt idx="114">
                  <c:v>18</c:v>
                </c:pt>
                <c:pt idx="115">
                  <c:v>19</c:v>
                </c:pt>
                <c:pt idx="116">
                  <c:v>20</c:v>
                </c:pt>
                <c:pt idx="117">
                  <c:v>21</c:v>
                </c:pt>
                <c:pt idx="118">
                  <c:v>22</c:v>
                </c:pt>
                <c:pt idx="119">
                  <c:v>23</c:v>
                </c:pt>
                <c:pt idx="120">
                  <c:v>0</c:v>
                </c:pt>
                <c:pt idx="121">
                  <c:v>1</c:v>
                </c:pt>
                <c:pt idx="122">
                  <c:v>2</c:v>
                </c:pt>
                <c:pt idx="123">
                  <c:v>3</c:v>
                </c:pt>
                <c:pt idx="124">
                  <c:v>4</c:v>
                </c:pt>
                <c:pt idx="125">
                  <c:v>5</c:v>
                </c:pt>
                <c:pt idx="126">
                  <c:v>6</c:v>
                </c:pt>
                <c:pt idx="127">
                  <c:v>7</c:v>
                </c:pt>
                <c:pt idx="128">
                  <c:v>8</c:v>
                </c:pt>
                <c:pt idx="129">
                  <c:v>9</c:v>
                </c:pt>
                <c:pt idx="130">
                  <c:v>10</c:v>
                </c:pt>
                <c:pt idx="131">
                  <c:v>11</c:v>
                </c:pt>
                <c:pt idx="132">
                  <c:v>12</c:v>
                </c:pt>
                <c:pt idx="133">
                  <c:v>13</c:v>
                </c:pt>
                <c:pt idx="134">
                  <c:v>14</c:v>
                </c:pt>
                <c:pt idx="135">
                  <c:v>15</c:v>
                </c:pt>
                <c:pt idx="136">
                  <c:v>16</c:v>
                </c:pt>
                <c:pt idx="137">
                  <c:v>17</c:v>
                </c:pt>
                <c:pt idx="138">
                  <c:v>18</c:v>
                </c:pt>
                <c:pt idx="139">
                  <c:v>19</c:v>
                </c:pt>
                <c:pt idx="140">
                  <c:v>20</c:v>
                </c:pt>
                <c:pt idx="141">
                  <c:v>21</c:v>
                </c:pt>
                <c:pt idx="142">
                  <c:v>22</c:v>
                </c:pt>
                <c:pt idx="143">
                  <c:v>23</c:v>
                </c:pt>
                <c:pt idx="144">
                  <c:v>0</c:v>
                </c:pt>
                <c:pt idx="145">
                  <c:v>1</c:v>
                </c:pt>
                <c:pt idx="146">
                  <c:v>2</c:v>
                </c:pt>
                <c:pt idx="147">
                  <c:v>3</c:v>
                </c:pt>
                <c:pt idx="148">
                  <c:v>4</c:v>
                </c:pt>
                <c:pt idx="149">
                  <c:v>5</c:v>
                </c:pt>
                <c:pt idx="150">
                  <c:v>6</c:v>
                </c:pt>
                <c:pt idx="151">
                  <c:v>7</c:v>
                </c:pt>
                <c:pt idx="152">
                  <c:v>8</c:v>
                </c:pt>
                <c:pt idx="153">
                  <c:v>9</c:v>
                </c:pt>
                <c:pt idx="154">
                  <c:v>10</c:v>
                </c:pt>
                <c:pt idx="155">
                  <c:v>11</c:v>
                </c:pt>
                <c:pt idx="156">
                  <c:v>12</c:v>
                </c:pt>
                <c:pt idx="157">
                  <c:v>13</c:v>
                </c:pt>
                <c:pt idx="158">
                  <c:v>14</c:v>
                </c:pt>
                <c:pt idx="159">
                  <c:v>15</c:v>
                </c:pt>
                <c:pt idx="160">
                  <c:v>16</c:v>
                </c:pt>
                <c:pt idx="161">
                  <c:v>17</c:v>
                </c:pt>
                <c:pt idx="162">
                  <c:v>18</c:v>
                </c:pt>
                <c:pt idx="163">
                  <c:v>19</c:v>
                </c:pt>
                <c:pt idx="164">
                  <c:v>20</c:v>
                </c:pt>
                <c:pt idx="165">
                  <c:v>21</c:v>
                </c:pt>
                <c:pt idx="166">
                  <c:v>22</c:v>
                </c:pt>
                <c:pt idx="167">
                  <c:v>23</c:v>
                </c:pt>
              </c:numCache>
            </c:numRef>
          </c:cat>
          <c:val>
            <c:numRef>
              <c:f>('Resultats - informe'!$AN$86:$AN$109,'Resultats - informe'!$AO$86:$AO$109,'Resultats - informe'!$AP$86:$AP$109,'Resultats - informe'!$AQ$86:$AQ$109,'Resultats - informe'!$AR$86:$AR$109,'Resultats - informe'!$AS$86:$AS$109,'Resultats - informe'!$AT$86:$AT$109)</c:f>
              <c:numCache>
                <c:formatCode>#,##0.0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1D-4822-A43E-6DC0113CA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8887664"/>
        <c:axId val="428888384"/>
      </c:barChart>
      <c:catAx>
        <c:axId val="428887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28888384"/>
        <c:crosses val="autoZero"/>
        <c:auto val="1"/>
        <c:lblAlgn val="ctr"/>
        <c:lblOffset val="100"/>
        <c:tickLblSkip val="6"/>
        <c:tickMarkSkip val="6"/>
        <c:noMultiLvlLbl val="0"/>
      </c:catAx>
      <c:valAx>
        <c:axId val="42888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 Haas Grotesk Text Pro" panose="020B0504020202020204" pitchFamily="34" charset="0"/>
                    <a:ea typeface="+mn-ea"/>
                    <a:cs typeface="+mn-cs"/>
                  </a:defRPr>
                </a:pPr>
                <a:r>
                  <a:rPr lang="ca-ES" sz="1100"/>
                  <a:t>kWh/h</a:t>
                </a:r>
              </a:p>
            </c:rich>
          </c:tx>
          <c:layout>
            <c:manualLayout>
              <c:xMode val="edge"/>
              <c:yMode val="edge"/>
              <c:x val="6.9515794331203445E-3"/>
              <c:y val="0.41975202630489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 Haas Grotesk Text Pro" panose="020B0504020202020204" pitchFamily="34" charset="0"/>
                  <a:ea typeface="+mn-ea"/>
                  <a:cs typeface="+mn-cs"/>
                </a:defRPr>
              </a:pPr>
              <a:endParaRPr lang="ca-E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28887664"/>
        <c:crossesAt val="0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Neue Haas Grotesk Text Pro" panose="020B0504020202020204" pitchFamily="34" charset="0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r>
              <a:rPr lang="en-US" sz="1100"/>
              <a:t>CONSUM HORARI EN MITJANA</a:t>
            </a:r>
            <a:r>
              <a:rPr lang="en-US" sz="1100" baseline="0"/>
              <a:t> SETMANAL - periode vacacional -</a:t>
            </a:r>
            <a:endParaRPr lang="en-US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5159468984300066E-2"/>
          <c:y val="0.15321994965994057"/>
          <c:w val="0.94407000946625552"/>
          <c:h val="0.723488604701146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'Resultats - informe'!$C$137</c:f>
              <c:strCache>
                <c:ptCount val="1"/>
                <c:pt idx="0">
                  <c:v>CONSUM HORARI EN MITJANA DIARIA VACACIONAL DE L'INTERVAL  (kWh/h)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('Resultats - informe'!$AM$86:$AM$109,'Resultats - informe'!$AM$86:$AM$109,'Resultats - informe'!$AM$86:$AM$109,'Resultats - informe'!$AM$86:$AM$109,'Resultats - informe'!$AM$86:$AM$109,'Resultats - informe'!$AM$86:$AM$109,'Resultats - informe'!$AM$86:$AM$109)</c:f>
              <c:numCache>
                <c:formatCode>General</c:formatCode>
                <c:ptCount val="16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0</c:v>
                </c:pt>
                <c:pt idx="49">
                  <c:v>1</c:v>
                </c:pt>
                <c:pt idx="50">
                  <c:v>2</c:v>
                </c:pt>
                <c:pt idx="51">
                  <c:v>3</c:v>
                </c:pt>
                <c:pt idx="52">
                  <c:v>4</c:v>
                </c:pt>
                <c:pt idx="53">
                  <c:v>5</c:v>
                </c:pt>
                <c:pt idx="54">
                  <c:v>6</c:v>
                </c:pt>
                <c:pt idx="55">
                  <c:v>7</c:v>
                </c:pt>
                <c:pt idx="56">
                  <c:v>8</c:v>
                </c:pt>
                <c:pt idx="57">
                  <c:v>9</c:v>
                </c:pt>
                <c:pt idx="58">
                  <c:v>10</c:v>
                </c:pt>
                <c:pt idx="59">
                  <c:v>11</c:v>
                </c:pt>
                <c:pt idx="60">
                  <c:v>12</c:v>
                </c:pt>
                <c:pt idx="61">
                  <c:v>13</c:v>
                </c:pt>
                <c:pt idx="62">
                  <c:v>14</c:v>
                </c:pt>
                <c:pt idx="63">
                  <c:v>15</c:v>
                </c:pt>
                <c:pt idx="64">
                  <c:v>16</c:v>
                </c:pt>
                <c:pt idx="65">
                  <c:v>17</c:v>
                </c:pt>
                <c:pt idx="66">
                  <c:v>18</c:v>
                </c:pt>
                <c:pt idx="67">
                  <c:v>19</c:v>
                </c:pt>
                <c:pt idx="68">
                  <c:v>20</c:v>
                </c:pt>
                <c:pt idx="69">
                  <c:v>21</c:v>
                </c:pt>
                <c:pt idx="70">
                  <c:v>22</c:v>
                </c:pt>
                <c:pt idx="71">
                  <c:v>23</c:v>
                </c:pt>
                <c:pt idx="72">
                  <c:v>0</c:v>
                </c:pt>
                <c:pt idx="73">
                  <c:v>1</c:v>
                </c:pt>
                <c:pt idx="74">
                  <c:v>2</c:v>
                </c:pt>
                <c:pt idx="75">
                  <c:v>3</c:v>
                </c:pt>
                <c:pt idx="76">
                  <c:v>4</c:v>
                </c:pt>
                <c:pt idx="77">
                  <c:v>5</c:v>
                </c:pt>
                <c:pt idx="78">
                  <c:v>6</c:v>
                </c:pt>
                <c:pt idx="79">
                  <c:v>7</c:v>
                </c:pt>
                <c:pt idx="80">
                  <c:v>8</c:v>
                </c:pt>
                <c:pt idx="81">
                  <c:v>9</c:v>
                </c:pt>
                <c:pt idx="82">
                  <c:v>10</c:v>
                </c:pt>
                <c:pt idx="83">
                  <c:v>11</c:v>
                </c:pt>
                <c:pt idx="84">
                  <c:v>12</c:v>
                </c:pt>
                <c:pt idx="85">
                  <c:v>13</c:v>
                </c:pt>
                <c:pt idx="86">
                  <c:v>14</c:v>
                </c:pt>
                <c:pt idx="87">
                  <c:v>15</c:v>
                </c:pt>
                <c:pt idx="88">
                  <c:v>16</c:v>
                </c:pt>
                <c:pt idx="89">
                  <c:v>17</c:v>
                </c:pt>
                <c:pt idx="90">
                  <c:v>18</c:v>
                </c:pt>
                <c:pt idx="91">
                  <c:v>19</c:v>
                </c:pt>
                <c:pt idx="92">
                  <c:v>20</c:v>
                </c:pt>
                <c:pt idx="93">
                  <c:v>21</c:v>
                </c:pt>
                <c:pt idx="94">
                  <c:v>22</c:v>
                </c:pt>
                <c:pt idx="95">
                  <c:v>23</c:v>
                </c:pt>
                <c:pt idx="96">
                  <c:v>0</c:v>
                </c:pt>
                <c:pt idx="97">
                  <c:v>1</c:v>
                </c:pt>
                <c:pt idx="98">
                  <c:v>2</c:v>
                </c:pt>
                <c:pt idx="99">
                  <c:v>3</c:v>
                </c:pt>
                <c:pt idx="100">
                  <c:v>4</c:v>
                </c:pt>
                <c:pt idx="101">
                  <c:v>5</c:v>
                </c:pt>
                <c:pt idx="102">
                  <c:v>6</c:v>
                </c:pt>
                <c:pt idx="103">
                  <c:v>7</c:v>
                </c:pt>
                <c:pt idx="104">
                  <c:v>8</c:v>
                </c:pt>
                <c:pt idx="105">
                  <c:v>9</c:v>
                </c:pt>
                <c:pt idx="106">
                  <c:v>10</c:v>
                </c:pt>
                <c:pt idx="107">
                  <c:v>11</c:v>
                </c:pt>
                <c:pt idx="108">
                  <c:v>12</c:v>
                </c:pt>
                <c:pt idx="109">
                  <c:v>13</c:v>
                </c:pt>
                <c:pt idx="110">
                  <c:v>14</c:v>
                </c:pt>
                <c:pt idx="111">
                  <c:v>15</c:v>
                </c:pt>
                <c:pt idx="112">
                  <c:v>16</c:v>
                </c:pt>
                <c:pt idx="113">
                  <c:v>17</c:v>
                </c:pt>
                <c:pt idx="114">
                  <c:v>18</c:v>
                </c:pt>
                <c:pt idx="115">
                  <c:v>19</c:v>
                </c:pt>
                <c:pt idx="116">
                  <c:v>20</c:v>
                </c:pt>
                <c:pt idx="117">
                  <c:v>21</c:v>
                </c:pt>
                <c:pt idx="118">
                  <c:v>22</c:v>
                </c:pt>
                <c:pt idx="119">
                  <c:v>23</c:v>
                </c:pt>
                <c:pt idx="120">
                  <c:v>0</c:v>
                </c:pt>
                <c:pt idx="121">
                  <c:v>1</c:v>
                </c:pt>
                <c:pt idx="122">
                  <c:v>2</c:v>
                </c:pt>
                <c:pt idx="123">
                  <c:v>3</c:v>
                </c:pt>
                <c:pt idx="124">
                  <c:v>4</c:v>
                </c:pt>
                <c:pt idx="125">
                  <c:v>5</c:v>
                </c:pt>
                <c:pt idx="126">
                  <c:v>6</c:v>
                </c:pt>
                <c:pt idx="127">
                  <c:v>7</c:v>
                </c:pt>
                <c:pt idx="128">
                  <c:v>8</c:v>
                </c:pt>
                <c:pt idx="129">
                  <c:v>9</c:v>
                </c:pt>
                <c:pt idx="130">
                  <c:v>10</c:v>
                </c:pt>
                <c:pt idx="131">
                  <c:v>11</c:v>
                </c:pt>
                <c:pt idx="132">
                  <c:v>12</c:v>
                </c:pt>
                <c:pt idx="133">
                  <c:v>13</c:v>
                </c:pt>
                <c:pt idx="134">
                  <c:v>14</c:v>
                </c:pt>
                <c:pt idx="135">
                  <c:v>15</c:v>
                </c:pt>
                <c:pt idx="136">
                  <c:v>16</c:v>
                </c:pt>
                <c:pt idx="137">
                  <c:v>17</c:v>
                </c:pt>
                <c:pt idx="138">
                  <c:v>18</c:v>
                </c:pt>
                <c:pt idx="139">
                  <c:v>19</c:v>
                </c:pt>
                <c:pt idx="140">
                  <c:v>20</c:v>
                </c:pt>
                <c:pt idx="141">
                  <c:v>21</c:v>
                </c:pt>
                <c:pt idx="142">
                  <c:v>22</c:v>
                </c:pt>
                <c:pt idx="143">
                  <c:v>23</c:v>
                </c:pt>
                <c:pt idx="144">
                  <c:v>0</c:v>
                </c:pt>
                <c:pt idx="145">
                  <c:v>1</c:v>
                </c:pt>
                <c:pt idx="146">
                  <c:v>2</c:v>
                </c:pt>
                <c:pt idx="147">
                  <c:v>3</c:v>
                </c:pt>
                <c:pt idx="148">
                  <c:v>4</c:v>
                </c:pt>
                <c:pt idx="149">
                  <c:v>5</c:v>
                </c:pt>
                <c:pt idx="150">
                  <c:v>6</c:v>
                </c:pt>
                <c:pt idx="151">
                  <c:v>7</c:v>
                </c:pt>
                <c:pt idx="152">
                  <c:v>8</c:v>
                </c:pt>
                <c:pt idx="153">
                  <c:v>9</c:v>
                </c:pt>
                <c:pt idx="154">
                  <c:v>10</c:v>
                </c:pt>
                <c:pt idx="155">
                  <c:v>11</c:v>
                </c:pt>
                <c:pt idx="156">
                  <c:v>12</c:v>
                </c:pt>
                <c:pt idx="157">
                  <c:v>13</c:v>
                </c:pt>
                <c:pt idx="158">
                  <c:v>14</c:v>
                </c:pt>
                <c:pt idx="159">
                  <c:v>15</c:v>
                </c:pt>
                <c:pt idx="160">
                  <c:v>16</c:v>
                </c:pt>
                <c:pt idx="161">
                  <c:v>17</c:v>
                </c:pt>
                <c:pt idx="162">
                  <c:v>18</c:v>
                </c:pt>
                <c:pt idx="163">
                  <c:v>19</c:v>
                </c:pt>
                <c:pt idx="164">
                  <c:v>20</c:v>
                </c:pt>
                <c:pt idx="165">
                  <c:v>21</c:v>
                </c:pt>
                <c:pt idx="166">
                  <c:v>22</c:v>
                </c:pt>
                <c:pt idx="167">
                  <c:v>23</c:v>
                </c:pt>
              </c:numCache>
            </c:numRef>
          </c:cat>
          <c:val>
            <c:numRef>
              <c:f>('Resultats - informe'!$AN$135:$AN$158,'Resultats - informe'!$AO$135:$AO$158,'Resultats - informe'!$AP$135:$AP$158,'Resultats - informe'!$AQ$135:$AQ$158,'Resultats - informe'!$AR$135:$AR$158,'Resultats - informe'!$AS$135:$AS$158,'Resultats - informe'!$AT$135:$AT$158)</c:f>
              <c:numCache>
                <c:formatCode>#,##0.0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6-4AC7-8FA4-1E5FBB96A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8887664"/>
        <c:axId val="428888384"/>
      </c:barChart>
      <c:catAx>
        <c:axId val="4288876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28888384"/>
        <c:crosses val="autoZero"/>
        <c:auto val="1"/>
        <c:lblAlgn val="ctr"/>
        <c:lblOffset val="100"/>
        <c:tickLblSkip val="6"/>
        <c:noMultiLvlLbl val="0"/>
      </c:catAx>
      <c:valAx>
        <c:axId val="42888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 Haas Grotesk Text Pro" panose="020B0504020202020204" pitchFamily="34" charset="0"/>
                    <a:ea typeface="+mn-ea"/>
                    <a:cs typeface="+mn-cs"/>
                  </a:defRPr>
                </a:pPr>
                <a:r>
                  <a:rPr lang="ca-ES" sz="1100"/>
                  <a:t>kWh/h</a:t>
                </a:r>
              </a:p>
            </c:rich>
          </c:tx>
          <c:layout>
            <c:manualLayout>
              <c:xMode val="edge"/>
              <c:yMode val="edge"/>
              <c:x val="4.0986651288109251E-3"/>
              <c:y val="0.372630822481433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 Haas Grotesk Text Pro" panose="020B0504020202020204" pitchFamily="34" charset="0"/>
                  <a:ea typeface="+mn-ea"/>
                  <a:cs typeface="+mn-cs"/>
                </a:defRPr>
              </a:pPr>
              <a:endParaRPr lang="ca-E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28887664"/>
        <c:crossesAt val="0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Neue Haas Grotesk Text Pro" panose="020B0504020202020204" pitchFamily="34" charset="0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r>
              <a:rPr lang="en-US" sz="1100"/>
              <a:t>Consum per temporada (kWh)</a:t>
            </a:r>
          </a:p>
        </c:rich>
      </c:tx>
      <c:layout>
        <c:manualLayout>
          <c:xMode val="edge"/>
          <c:yMode val="edge"/>
          <c:x val="0.29371661899534496"/>
          <c:y val="1.95505948175741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0.14518833016094487"/>
          <c:y val="0.13327372151454023"/>
          <c:w val="0.70601328655325346"/>
          <c:h val="0.73308079836356632"/>
        </c:manualLayout>
      </c:layout>
      <c:pieChart>
        <c:varyColors val="1"/>
        <c:ser>
          <c:idx val="0"/>
          <c:order val="0"/>
          <c:tx>
            <c:strRef>
              <c:f>'Resultats - informe'!$F$48:$F$49</c:f>
              <c:strCache>
                <c:ptCount val="1"/>
                <c:pt idx="0">
                  <c:v>Consum període (kWh)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250-49CF-8337-A09B0C5202F2}"/>
              </c:ext>
            </c:extLst>
          </c:dPt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250-49CF-8337-A09B0C5202F2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250-49CF-8337-A09B0C5202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eue Haas Grotesk Text Pro" panose="020B0504020202020204" pitchFamily="34" charset="0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'Resultats - informe'!$F$69:$H$69</c:f>
              <c:strCache>
                <c:ptCount val="3"/>
                <c:pt idx="0">
                  <c:v>HIVERN</c:v>
                </c:pt>
                <c:pt idx="1">
                  <c:v>ENTRETEMPS</c:v>
                </c:pt>
                <c:pt idx="2">
                  <c:v>ESTIU</c:v>
                </c:pt>
              </c:strCache>
            </c:strRef>
          </c:cat>
          <c:val>
            <c:numRef>
              <c:f>'Resultats - informe'!$F$71:$H$71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50-49CF-8337-A09B0C520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Neue Haas Grotesk Text Pro" panose="020B0504020202020204" pitchFamily="34" charset="0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sz="1100"/>
              <a:t>Consum promig setmanal (kWh)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'Resultats - informe'!$F$69</c:f>
              <c:strCache>
                <c:ptCount val="1"/>
                <c:pt idx="0">
                  <c:v>HIVERN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setmana NO vacacional</c:v>
              </c:pt>
              <c:pt idx="1">
                <c:v>setmana vacances</c:v>
              </c:pt>
            </c:strLit>
          </c:cat>
          <c:val>
            <c:numRef>
              <c:f>'Resultats - informe'!$F$75:$F$76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34-443C-A8D1-9BB5701210D7}"/>
            </c:ext>
          </c:extLst>
        </c:ser>
        <c:ser>
          <c:idx val="1"/>
          <c:order val="1"/>
          <c:tx>
            <c:strRef>
              <c:f>'Resultats - informe'!$G$69</c:f>
              <c:strCache>
                <c:ptCount val="1"/>
                <c:pt idx="0">
                  <c:v>ENTRETEMPS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setmana NO vacacional</c:v>
              </c:pt>
              <c:pt idx="1">
                <c:v>setmana vacances</c:v>
              </c:pt>
            </c:strLit>
          </c:cat>
          <c:val>
            <c:numRef>
              <c:f>'Resultats - informe'!$G$75:$G$76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34-443C-A8D1-9BB5701210D7}"/>
            </c:ext>
          </c:extLst>
        </c:ser>
        <c:ser>
          <c:idx val="2"/>
          <c:order val="2"/>
          <c:tx>
            <c:strRef>
              <c:f>'Resultats - informe'!$H$69</c:f>
              <c:strCache>
                <c:ptCount val="1"/>
                <c:pt idx="0">
                  <c:v>ESTIU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setmana NO vacacional</c:v>
              </c:pt>
              <c:pt idx="1">
                <c:v>setmana vacances</c:v>
              </c:pt>
            </c:strLit>
          </c:cat>
          <c:val>
            <c:numRef>
              <c:f>'Resultats - informe'!$H$75:$H$76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34-443C-A8D1-9BB5701210D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22597704"/>
        <c:axId val="822600584"/>
      </c:barChart>
      <c:catAx>
        <c:axId val="822597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22600584"/>
        <c:crosses val="autoZero"/>
        <c:auto val="1"/>
        <c:lblAlgn val="ctr"/>
        <c:lblOffset val="100"/>
        <c:noMultiLvlLbl val="0"/>
      </c:catAx>
      <c:valAx>
        <c:axId val="822600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22597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r>
              <a:rPr lang="ca-ES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ue Haas Grotesk Text Pro" panose="020B0504020202020204" pitchFamily="34" charset="0"/>
              </a:rPr>
              <a:t>MITJANA DE CONSUM HORARI EN</a:t>
            </a:r>
            <a:r>
              <a:rPr lang="ca-ES" sz="1100"/>
              <a:t> DIA LABORABLE</a:t>
            </a:r>
            <a:br>
              <a:rPr lang="ca-ES" sz="1100"/>
            </a:br>
            <a:r>
              <a:rPr lang="ca-ES" sz="1100"/>
              <a:t>- FV autoconsumida i energia de xarxa-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0.10344531772951397"/>
          <c:y val="0.12506733173935747"/>
          <c:w val="0.87439333806913278"/>
          <c:h val="0.7119139945323406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'Resultats - informe'!$BC$84</c:f>
              <c:strCache>
                <c:ptCount val="1"/>
                <c:pt idx="0">
                  <c:v>FV  autoconsumida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'Resultats - informe'!$AM$86:$AM$109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'Resultats - informe'!$BC$86:$BC$109</c:f>
              <c:numCache>
                <c:formatCode>#,##0.0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1-4CEC-A1D4-7277E5759B3F}"/>
            </c:ext>
          </c:extLst>
        </c:ser>
        <c:ser>
          <c:idx val="0"/>
          <c:order val="1"/>
          <c:tx>
            <c:strRef>
              <c:f>'Resultats - informe'!$BB$84</c:f>
              <c:strCache>
                <c:ptCount val="1"/>
                <c:pt idx="0">
                  <c:v>Energia xarxa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'Resultats - informe'!$AM$86:$AM$109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'Resultats - informe'!$BB$86:$BB$109</c:f>
              <c:numCache>
                <c:formatCode>#,##0.0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61-4CEC-A1D4-7277E5759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946813152"/>
        <c:axId val="946804872"/>
        <c:extLst>
          <c:ext xmlns:c15="http://schemas.microsoft.com/office/drawing/2012/chart" uri="{02D57815-91ED-43cb-92C2-25804820EDAC}">
            <c15:filteredBar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'Resultats - informe'!$BD$84</c15:sqref>
                        </c15:formulaRef>
                      </c:ext>
                    </c:extLst>
                    <c:strCache>
                      <c:ptCount val="1"/>
                      <c:pt idx="0">
                        <c:v>FV excedent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'Resultats - informe'!$AM$86:$AM$109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'Resultats - informe'!$BD$86:$BD$109</c15:sqref>
                        </c15:formulaRef>
                      </c:ext>
                    </c:extLst>
                    <c:numCache>
                      <c:formatCode>#,##0.0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361-4CEC-A1D4-7277E5759B3F}"/>
                  </c:ext>
                </c:extLst>
              </c15:ser>
            </c15:filteredBarSeries>
          </c:ext>
        </c:extLst>
      </c:barChart>
      <c:catAx>
        <c:axId val="946813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 Haas Grotesk Text Pro" panose="020B0504020202020204" pitchFamily="34" charset="0"/>
                    <a:ea typeface="+mn-ea"/>
                    <a:cs typeface="+mn-cs"/>
                  </a:defRPr>
                </a:pPr>
                <a:r>
                  <a:rPr lang="ca-ES" sz="1200"/>
                  <a:t>Hora del dia</a:t>
                </a:r>
              </a:p>
            </c:rich>
          </c:tx>
          <c:layout>
            <c:manualLayout>
              <c:xMode val="edge"/>
              <c:yMode val="edge"/>
              <c:x val="0.44787828853801381"/>
              <c:y val="0.8883556380324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 Haas Grotesk Text Pro" panose="020B0504020202020204" pitchFamily="34" charset="0"/>
                  <a:ea typeface="+mn-ea"/>
                  <a:cs typeface="+mn-cs"/>
                </a:defRPr>
              </a:pPr>
              <a:endParaRPr lang="ca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endParaRPr lang="ca-ES"/>
          </a:p>
        </c:txPr>
        <c:crossAx val="946804872"/>
        <c:crosses val="autoZero"/>
        <c:auto val="1"/>
        <c:lblAlgn val="ctr"/>
        <c:lblOffset val="100"/>
        <c:noMultiLvlLbl val="0"/>
      </c:catAx>
      <c:valAx>
        <c:axId val="94680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 Haas Grotesk Text Pro" panose="020B0504020202020204" pitchFamily="34" charset="0"/>
                    <a:ea typeface="+mn-ea"/>
                    <a:cs typeface="+mn-cs"/>
                  </a:defRPr>
                </a:pPr>
                <a:r>
                  <a:rPr lang="ca-ES" sz="1100"/>
                  <a:t>kWh/h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 Haas Grotesk Text Pro" panose="020B0504020202020204" pitchFamily="34" charset="0"/>
                  <a:ea typeface="+mn-ea"/>
                  <a:cs typeface="+mn-cs"/>
                </a:defRPr>
              </a:pPr>
              <a:endParaRPr lang="ca-E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endParaRPr lang="ca-ES"/>
          </a:p>
        </c:txPr>
        <c:crossAx val="94681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Neue Haas Grotesk Text Pro" panose="020B0504020202020204" pitchFamily="34" charset="0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sz="1100"/>
              <a:t>Origen</a:t>
            </a:r>
            <a:r>
              <a:rPr lang="ca-ES" sz="1100" baseline="0"/>
              <a:t> de l'energia consumida</a:t>
            </a:r>
            <a:endParaRPr lang="ca-ES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20-4C94-8E89-B63271E38BE0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28E-4BD8-B47F-F88DEB8469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'Resultats - informe'!$E$185:$F$185</c:f>
              <c:strCache>
                <c:ptCount val="2"/>
                <c:pt idx="0">
                  <c:v>Energia de xarxa</c:v>
                </c:pt>
                <c:pt idx="1">
                  <c:v>Energia FV autoconsumida</c:v>
                </c:pt>
              </c:strCache>
            </c:strRef>
          </c:cat>
          <c:val>
            <c:numRef>
              <c:f>'Resultats - informe'!$E$187:$F$187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8E-4BD8-B47F-F88DEB84693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sz="1100"/>
              <a:t>Destí</a:t>
            </a:r>
            <a:r>
              <a:rPr lang="ca-ES" sz="1100" baseline="0"/>
              <a:t> de l'energia FV</a:t>
            </a:r>
            <a:endParaRPr lang="ca-ES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43B-414D-B1D5-76AFBD67A88D}"/>
              </c:ext>
            </c:extLst>
          </c:dPt>
          <c:dPt>
            <c:idx val="1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28E-4BD8-B47F-F88DEB8469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('Resultats - informe'!$F$185,'Resultats - informe'!$H$185)</c:f>
              <c:strCache>
                <c:ptCount val="2"/>
                <c:pt idx="0">
                  <c:v>Energia FV autoconsumida</c:v>
                </c:pt>
                <c:pt idx="1">
                  <c:v>Energia FV excedent</c:v>
                </c:pt>
              </c:strCache>
            </c:strRef>
          </c:cat>
          <c:val>
            <c:numRef>
              <c:f>('Resultats - informe'!$F$187,'Resultats - informe'!$H$187)</c:f>
              <c:numCache>
                <c:formatCode>#,##0</c:formatCode>
                <c:ptCount val="2"/>
                <c:pt idx="0">
                  <c:v>0</c:v>
                </c:pt>
                <c:pt idx="1">
                  <c:v>4716.4380000000046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8E-4BD8-B47F-F88DEB84693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r>
              <a:rPr lang="ca-ES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ue Haas Grotesk Text Pro" panose="020B0504020202020204" pitchFamily="34" charset="0"/>
              </a:rPr>
              <a:t>MITJANA DE CONSUM HORARI EN</a:t>
            </a:r>
            <a:r>
              <a:rPr lang="ca-ES" sz="1100"/>
              <a:t> DIA LABORABLE</a:t>
            </a:r>
            <a:br>
              <a:rPr lang="ca-ES" sz="1100"/>
            </a:br>
            <a:r>
              <a:rPr lang="ca-ES" sz="1100"/>
              <a:t>- FV autoconsumida AMPLIADA i energia de xarxa-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0.10344531772951397"/>
          <c:y val="0.12506733173935747"/>
          <c:w val="0.87439333806913278"/>
          <c:h val="0.7119139945323406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'Resultats - informe'!$BC$84</c:f>
              <c:strCache>
                <c:ptCount val="1"/>
                <c:pt idx="0">
                  <c:v>FV  autoconsumida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'Resultats - informe'!$AM$86:$AM$109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'Resultats - informe'!$BF$86:$BF$109</c:f>
              <c:numCache>
                <c:formatCode>#,##0.00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1-4CEC-A1D4-7277E5759B3F}"/>
            </c:ext>
          </c:extLst>
        </c:ser>
        <c:ser>
          <c:idx val="0"/>
          <c:order val="1"/>
          <c:tx>
            <c:strRef>
              <c:f>'Resultats - informe'!$BB$84</c:f>
              <c:strCache>
                <c:ptCount val="1"/>
                <c:pt idx="0">
                  <c:v>Energia xarxa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'Resultats - informe'!$AM$86:$AM$109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'Resultats - informe'!$BG$86:$BG$109</c:f>
              <c:numCache>
                <c:formatCode>#,##0.00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61-4CEC-A1D4-7277E5759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946813152"/>
        <c:axId val="946804872"/>
        <c:extLst>
          <c:ext xmlns:c15="http://schemas.microsoft.com/office/drawing/2012/chart" uri="{02D57815-91ED-43cb-92C2-25804820EDAC}">
            <c15:filteredBar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'Resultats - informe'!$BD$84</c15:sqref>
                        </c15:formulaRef>
                      </c:ext>
                    </c:extLst>
                    <c:strCache>
                      <c:ptCount val="1"/>
                      <c:pt idx="0">
                        <c:v>FV excedent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'Resultats - informe'!$AM$86:$AM$109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'Resultats - informe'!$BD$86:$BD$109</c15:sqref>
                        </c15:formulaRef>
                      </c:ext>
                    </c:extLst>
                    <c:numCache>
                      <c:formatCode>#,##0.0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361-4CEC-A1D4-7277E5759B3F}"/>
                  </c:ext>
                </c:extLst>
              </c15:ser>
            </c15:filteredBarSeries>
          </c:ext>
        </c:extLst>
      </c:barChart>
      <c:catAx>
        <c:axId val="946813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 Haas Grotesk Text Pro" panose="020B0504020202020204" pitchFamily="34" charset="0"/>
                    <a:ea typeface="+mn-ea"/>
                    <a:cs typeface="+mn-cs"/>
                  </a:defRPr>
                </a:pPr>
                <a:r>
                  <a:rPr lang="ca-ES" sz="1200"/>
                  <a:t>Hora del dia</a:t>
                </a:r>
              </a:p>
            </c:rich>
          </c:tx>
          <c:layout>
            <c:manualLayout>
              <c:xMode val="edge"/>
              <c:yMode val="edge"/>
              <c:x val="0.44787828853801381"/>
              <c:y val="0.8883556380324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 Haas Grotesk Text Pro" panose="020B0504020202020204" pitchFamily="34" charset="0"/>
                  <a:ea typeface="+mn-ea"/>
                  <a:cs typeface="+mn-cs"/>
                </a:defRPr>
              </a:pPr>
              <a:endParaRPr lang="ca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endParaRPr lang="ca-ES"/>
          </a:p>
        </c:txPr>
        <c:crossAx val="946804872"/>
        <c:crosses val="autoZero"/>
        <c:auto val="1"/>
        <c:lblAlgn val="ctr"/>
        <c:lblOffset val="100"/>
        <c:noMultiLvlLbl val="0"/>
      </c:catAx>
      <c:valAx>
        <c:axId val="94680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 Haas Grotesk Text Pro" panose="020B0504020202020204" pitchFamily="34" charset="0"/>
                    <a:ea typeface="+mn-ea"/>
                    <a:cs typeface="+mn-cs"/>
                  </a:defRPr>
                </a:pPr>
                <a:r>
                  <a:rPr lang="ca-ES" sz="1100"/>
                  <a:t>kWh/h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 Haas Grotesk Text Pro" panose="020B0504020202020204" pitchFamily="34" charset="0"/>
                  <a:ea typeface="+mn-ea"/>
                  <a:cs typeface="+mn-cs"/>
                </a:defRPr>
              </a:pPr>
              <a:endParaRPr lang="ca-E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endParaRPr lang="ca-ES"/>
          </a:p>
        </c:txPr>
        <c:crossAx val="94681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Neue Haas Grotesk Text Pro" panose="020B0504020202020204" pitchFamily="34" charset="0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r>
              <a:rPr lang="ca-ES" sz="1100">
                <a:latin typeface="Neue Haas Grotesk Text Pro" panose="020B0504020202020204" pitchFamily="34" charset="0"/>
              </a:rPr>
              <a:t>Consum segons obert o tancat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692-4F0F-BA5E-77028B6D81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692-4F0F-BA5E-77028B6D81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('Resultats - informe'!$C$56,'Resultats - informe'!$C$57)</c:f>
              <c:strCache>
                <c:ptCount val="2"/>
                <c:pt idx="0">
                  <c:v>Consum actiu (en horari d'obertura)</c:v>
                </c:pt>
                <c:pt idx="1">
                  <c:v>Consum innactiu (en horari tancat i vacances)</c:v>
                </c:pt>
              </c:strCache>
            </c:strRef>
          </c:cat>
          <c:val>
            <c:numRef>
              <c:f>('Resultats - informe'!$G$56,'Resultats - informe'!$G$57)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2B-4FB9-BFC9-4782EDBEF40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[Eina_analisis_consum_electric_v26a.xlsx]Resultats - diaris!Taula dinàmica2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r>
              <a:rPr lang="ca-ES" sz="1100">
                <a:latin typeface="Neue Haas Grotesk Text Pro" panose="020B0504020202020204" pitchFamily="34" charset="0"/>
              </a:rPr>
              <a:t>Consum elèctric</a:t>
            </a:r>
            <a:r>
              <a:rPr lang="ca-ES" sz="1100" baseline="0">
                <a:latin typeface="Neue Haas Grotesk Text Pro" panose="020B0504020202020204" pitchFamily="34" charset="0"/>
              </a:rPr>
              <a:t> diari (kWh)</a:t>
            </a:r>
          </a:p>
        </c:rich>
      </c:tx>
      <c:layout>
        <c:manualLayout>
          <c:xMode val="edge"/>
          <c:yMode val="edge"/>
          <c:x val="0.42947169632848403"/>
          <c:y val="3.5179173518125495E-2"/>
        </c:manualLayout>
      </c:layout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2.9480808380855428E-2"/>
          <c:y val="0.11825213214315172"/>
          <c:w val="0.95998149529232002"/>
          <c:h val="0.617287852752160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'Resultats - diaris'!$C$4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'Resultats - diaris'!$B$5:$B$372</c:f>
              <c:strCache>
                <c:ptCount val="367"/>
                <c:pt idx="0">
                  <c:v>01/01/2024</c:v>
                </c:pt>
                <c:pt idx="1">
                  <c:v>02/01/2024</c:v>
                </c:pt>
                <c:pt idx="2">
                  <c:v>03/01/2024</c:v>
                </c:pt>
                <c:pt idx="3">
                  <c:v>04/01/2024</c:v>
                </c:pt>
                <c:pt idx="4">
                  <c:v>05/01/2024</c:v>
                </c:pt>
                <c:pt idx="5">
                  <c:v>06/01/2024</c:v>
                </c:pt>
                <c:pt idx="6">
                  <c:v>07/01/2024</c:v>
                </c:pt>
                <c:pt idx="7">
                  <c:v>08/01/2024</c:v>
                </c:pt>
                <c:pt idx="8">
                  <c:v>09/01/2024</c:v>
                </c:pt>
                <c:pt idx="9">
                  <c:v>10/01/2024</c:v>
                </c:pt>
                <c:pt idx="10">
                  <c:v>11/01/2024</c:v>
                </c:pt>
                <c:pt idx="11">
                  <c:v>12/01/2024</c:v>
                </c:pt>
                <c:pt idx="12">
                  <c:v>13/01/2024</c:v>
                </c:pt>
                <c:pt idx="13">
                  <c:v>14/01/2024</c:v>
                </c:pt>
                <c:pt idx="14">
                  <c:v>15/01/2024</c:v>
                </c:pt>
                <c:pt idx="15">
                  <c:v>16/01/2024</c:v>
                </c:pt>
                <c:pt idx="16">
                  <c:v>17/01/2024</c:v>
                </c:pt>
                <c:pt idx="17">
                  <c:v>18/01/2024</c:v>
                </c:pt>
                <c:pt idx="18">
                  <c:v>19/01/2024</c:v>
                </c:pt>
                <c:pt idx="19">
                  <c:v>20/01/2024</c:v>
                </c:pt>
                <c:pt idx="20">
                  <c:v>21/01/2024</c:v>
                </c:pt>
                <c:pt idx="21">
                  <c:v>22/01/2024</c:v>
                </c:pt>
                <c:pt idx="22">
                  <c:v>23/01/2024</c:v>
                </c:pt>
                <c:pt idx="23">
                  <c:v>24/01/2024</c:v>
                </c:pt>
                <c:pt idx="24">
                  <c:v>25/01/2024</c:v>
                </c:pt>
                <c:pt idx="25">
                  <c:v>26/01/2024</c:v>
                </c:pt>
                <c:pt idx="26">
                  <c:v>27/01/2024</c:v>
                </c:pt>
                <c:pt idx="27">
                  <c:v>28/01/2024</c:v>
                </c:pt>
                <c:pt idx="28">
                  <c:v>29/01/2024</c:v>
                </c:pt>
                <c:pt idx="29">
                  <c:v>30/01/2024</c:v>
                </c:pt>
                <c:pt idx="30">
                  <c:v>31/01/2024</c:v>
                </c:pt>
                <c:pt idx="31">
                  <c:v>01/02/2024</c:v>
                </c:pt>
                <c:pt idx="32">
                  <c:v>02/02/2024</c:v>
                </c:pt>
                <c:pt idx="33">
                  <c:v>03/02/2024</c:v>
                </c:pt>
                <c:pt idx="34">
                  <c:v>04/02/2024</c:v>
                </c:pt>
                <c:pt idx="35">
                  <c:v>05/02/2024</c:v>
                </c:pt>
                <c:pt idx="36">
                  <c:v>06/02/2024</c:v>
                </c:pt>
                <c:pt idx="37">
                  <c:v>07/02/2024</c:v>
                </c:pt>
                <c:pt idx="38">
                  <c:v>08/02/2024</c:v>
                </c:pt>
                <c:pt idx="39">
                  <c:v>09/02/2024</c:v>
                </c:pt>
                <c:pt idx="40">
                  <c:v>10/02/2024</c:v>
                </c:pt>
                <c:pt idx="41">
                  <c:v>11/02/2024</c:v>
                </c:pt>
                <c:pt idx="42">
                  <c:v>12/02/2024</c:v>
                </c:pt>
                <c:pt idx="43">
                  <c:v>13/02/2024</c:v>
                </c:pt>
                <c:pt idx="44">
                  <c:v>14/02/2024</c:v>
                </c:pt>
                <c:pt idx="45">
                  <c:v>15/02/2024</c:v>
                </c:pt>
                <c:pt idx="46">
                  <c:v>16/02/2024</c:v>
                </c:pt>
                <c:pt idx="47">
                  <c:v>17/02/2024</c:v>
                </c:pt>
                <c:pt idx="48">
                  <c:v>18/02/2024</c:v>
                </c:pt>
                <c:pt idx="49">
                  <c:v>19/02/2024</c:v>
                </c:pt>
                <c:pt idx="50">
                  <c:v>20/02/2024</c:v>
                </c:pt>
                <c:pt idx="51">
                  <c:v>21/02/2024</c:v>
                </c:pt>
                <c:pt idx="52">
                  <c:v>22/02/2024</c:v>
                </c:pt>
                <c:pt idx="53">
                  <c:v>23/02/2024</c:v>
                </c:pt>
                <c:pt idx="54">
                  <c:v>24/02/2024</c:v>
                </c:pt>
                <c:pt idx="55">
                  <c:v>25/02/2024</c:v>
                </c:pt>
                <c:pt idx="56">
                  <c:v>26/02/2024</c:v>
                </c:pt>
                <c:pt idx="57">
                  <c:v>27/02/2024</c:v>
                </c:pt>
                <c:pt idx="58">
                  <c:v>28/02/2024</c:v>
                </c:pt>
                <c:pt idx="59">
                  <c:v>01/03/2024</c:v>
                </c:pt>
                <c:pt idx="60">
                  <c:v>02/03/2024</c:v>
                </c:pt>
                <c:pt idx="61">
                  <c:v>03/03/2024</c:v>
                </c:pt>
                <c:pt idx="62">
                  <c:v>04/03/2024</c:v>
                </c:pt>
                <c:pt idx="63">
                  <c:v>05/03/2024</c:v>
                </c:pt>
                <c:pt idx="64">
                  <c:v>06/03/2024</c:v>
                </c:pt>
                <c:pt idx="65">
                  <c:v>07/03/2024</c:v>
                </c:pt>
                <c:pt idx="66">
                  <c:v>08/03/2024</c:v>
                </c:pt>
                <c:pt idx="67">
                  <c:v>09/03/2024</c:v>
                </c:pt>
                <c:pt idx="68">
                  <c:v>10/03/2024</c:v>
                </c:pt>
                <c:pt idx="69">
                  <c:v>11/03/2024</c:v>
                </c:pt>
                <c:pt idx="70">
                  <c:v>12/03/2024</c:v>
                </c:pt>
                <c:pt idx="71">
                  <c:v>13/03/2024</c:v>
                </c:pt>
                <c:pt idx="72">
                  <c:v>14/03/2024</c:v>
                </c:pt>
                <c:pt idx="73">
                  <c:v>15/03/2024</c:v>
                </c:pt>
                <c:pt idx="74">
                  <c:v>16/03/2024</c:v>
                </c:pt>
                <c:pt idx="75">
                  <c:v>17/03/2024</c:v>
                </c:pt>
                <c:pt idx="76">
                  <c:v>18/03/2024</c:v>
                </c:pt>
                <c:pt idx="77">
                  <c:v>19/03/2024</c:v>
                </c:pt>
                <c:pt idx="78">
                  <c:v>20/03/2024</c:v>
                </c:pt>
                <c:pt idx="79">
                  <c:v>21/03/2024</c:v>
                </c:pt>
                <c:pt idx="80">
                  <c:v>22/03/2024</c:v>
                </c:pt>
                <c:pt idx="81">
                  <c:v>23/03/2024</c:v>
                </c:pt>
                <c:pt idx="82">
                  <c:v>24/03/2024</c:v>
                </c:pt>
                <c:pt idx="83">
                  <c:v>25/03/2024</c:v>
                </c:pt>
                <c:pt idx="84">
                  <c:v>26/03/2024</c:v>
                </c:pt>
                <c:pt idx="85">
                  <c:v>27/03/2024</c:v>
                </c:pt>
                <c:pt idx="86">
                  <c:v>28/03/2024</c:v>
                </c:pt>
                <c:pt idx="87">
                  <c:v>29/03/2024</c:v>
                </c:pt>
                <c:pt idx="88">
                  <c:v>30/03/2024</c:v>
                </c:pt>
                <c:pt idx="89">
                  <c:v>31/03/2024</c:v>
                </c:pt>
                <c:pt idx="90">
                  <c:v>01/04/2024</c:v>
                </c:pt>
                <c:pt idx="91">
                  <c:v>02/04/2024</c:v>
                </c:pt>
                <c:pt idx="92">
                  <c:v>03/04/2024</c:v>
                </c:pt>
                <c:pt idx="93">
                  <c:v>04/04/2024</c:v>
                </c:pt>
                <c:pt idx="94">
                  <c:v>05/04/2024</c:v>
                </c:pt>
                <c:pt idx="95">
                  <c:v>06/04/2024</c:v>
                </c:pt>
                <c:pt idx="96">
                  <c:v>07/04/2024</c:v>
                </c:pt>
                <c:pt idx="97">
                  <c:v>08/04/2024</c:v>
                </c:pt>
                <c:pt idx="98">
                  <c:v>09/04/2024</c:v>
                </c:pt>
                <c:pt idx="99">
                  <c:v>10/04/2024</c:v>
                </c:pt>
                <c:pt idx="100">
                  <c:v>11/04/2024</c:v>
                </c:pt>
                <c:pt idx="101">
                  <c:v>12/04/2024</c:v>
                </c:pt>
                <c:pt idx="102">
                  <c:v>13/04/2024</c:v>
                </c:pt>
                <c:pt idx="103">
                  <c:v>14/04/2024</c:v>
                </c:pt>
                <c:pt idx="104">
                  <c:v>15/04/2024</c:v>
                </c:pt>
                <c:pt idx="105">
                  <c:v>16/04/2024</c:v>
                </c:pt>
                <c:pt idx="106">
                  <c:v>17/04/2024</c:v>
                </c:pt>
                <c:pt idx="107">
                  <c:v>18/04/2024</c:v>
                </c:pt>
                <c:pt idx="108">
                  <c:v>19/04/2024</c:v>
                </c:pt>
                <c:pt idx="109">
                  <c:v>20/04/2024</c:v>
                </c:pt>
                <c:pt idx="110">
                  <c:v>21/04/2024</c:v>
                </c:pt>
                <c:pt idx="111">
                  <c:v>22/04/2024</c:v>
                </c:pt>
                <c:pt idx="112">
                  <c:v>23/04/2024</c:v>
                </c:pt>
                <c:pt idx="113">
                  <c:v>24/04/2024</c:v>
                </c:pt>
                <c:pt idx="114">
                  <c:v>25/04/2024</c:v>
                </c:pt>
                <c:pt idx="115">
                  <c:v>26/04/2024</c:v>
                </c:pt>
                <c:pt idx="116">
                  <c:v>27/04/2024</c:v>
                </c:pt>
                <c:pt idx="117">
                  <c:v>28/04/2024</c:v>
                </c:pt>
                <c:pt idx="118">
                  <c:v>29/04/2024</c:v>
                </c:pt>
                <c:pt idx="119">
                  <c:v>30/04/2024</c:v>
                </c:pt>
                <c:pt idx="120">
                  <c:v>01/05/2024</c:v>
                </c:pt>
                <c:pt idx="121">
                  <c:v>02/05/2024</c:v>
                </c:pt>
                <c:pt idx="122">
                  <c:v>03/05/2024</c:v>
                </c:pt>
                <c:pt idx="123">
                  <c:v>04/05/2024</c:v>
                </c:pt>
                <c:pt idx="124">
                  <c:v>05/05/2024</c:v>
                </c:pt>
                <c:pt idx="125">
                  <c:v>06/05/2024</c:v>
                </c:pt>
                <c:pt idx="126">
                  <c:v>07/05/2024</c:v>
                </c:pt>
                <c:pt idx="127">
                  <c:v>08/05/2024</c:v>
                </c:pt>
                <c:pt idx="128">
                  <c:v>09/05/2024</c:v>
                </c:pt>
                <c:pt idx="129">
                  <c:v>10/05/2024</c:v>
                </c:pt>
                <c:pt idx="130">
                  <c:v>11/05/2024</c:v>
                </c:pt>
                <c:pt idx="131">
                  <c:v>12/05/2024</c:v>
                </c:pt>
                <c:pt idx="132">
                  <c:v>13/05/2024</c:v>
                </c:pt>
                <c:pt idx="133">
                  <c:v>14/05/2024</c:v>
                </c:pt>
                <c:pt idx="134">
                  <c:v>15/05/2024</c:v>
                </c:pt>
                <c:pt idx="135">
                  <c:v>16/05/2024</c:v>
                </c:pt>
                <c:pt idx="136">
                  <c:v>17/05/2024</c:v>
                </c:pt>
                <c:pt idx="137">
                  <c:v>18/05/2024</c:v>
                </c:pt>
                <c:pt idx="138">
                  <c:v>19/05/2024</c:v>
                </c:pt>
                <c:pt idx="139">
                  <c:v>20/05/2024</c:v>
                </c:pt>
                <c:pt idx="140">
                  <c:v>21/05/2024</c:v>
                </c:pt>
                <c:pt idx="141">
                  <c:v>22/05/2024</c:v>
                </c:pt>
                <c:pt idx="142">
                  <c:v>23/05/2024</c:v>
                </c:pt>
                <c:pt idx="143">
                  <c:v>24/05/2024</c:v>
                </c:pt>
                <c:pt idx="144">
                  <c:v>25/05/2024</c:v>
                </c:pt>
                <c:pt idx="145">
                  <c:v>26/05/2024</c:v>
                </c:pt>
                <c:pt idx="146">
                  <c:v>27/05/2024</c:v>
                </c:pt>
                <c:pt idx="147">
                  <c:v>28/05/2024</c:v>
                </c:pt>
                <c:pt idx="148">
                  <c:v>29/05/2024</c:v>
                </c:pt>
                <c:pt idx="149">
                  <c:v>30/05/2024</c:v>
                </c:pt>
                <c:pt idx="150">
                  <c:v>31/05/2024</c:v>
                </c:pt>
                <c:pt idx="151">
                  <c:v>01/06/2024</c:v>
                </c:pt>
                <c:pt idx="152">
                  <c:v>02/06/2024</c:v>
                </c:pt>
                <c:pt idx="153">
                  <c:v>03/06/2024</c:v>
                </c:pt>
                <c:pt idx="154">
                  <c:v>04/06/2024</c:v>
                </c:pt>
                <c:pt idx="155">
                  <c:v>05/06/2024</c:v>
                </c:pt>
                <c:pt idx="156">
                  <c:v>06/06/2024</c:v>
                </c:pt>
                <c:pt idx="157">
                  <c:v>07/06/2024</c:v>
                </c:pt>
                <c:pt idx="158">
                  <c:v>08/06/2024</c:v>
                </c:pt>
                <c:pt idx="159">
                  <c:v>09/06/2024</c:v>
                </c:pt>
                <c:pt idx="160">
                  <c:v>10/06/2024</c:v>
                </c:pt>
                <c:pt idx="161">
                  <c:v>11/06/2024</c:v>
                </c:pt>
                <c:pt idx="162">
                  <c:v>12/06/2024</c:v>
                </c:pt>
                <c:pt idx="163">
                  <c:v>13/06/2024</c:v>
                </c:pt>
                <c:pt idx="164">
                  <c:v>14/06/2024</c:v>
                </c:pt>
                <c:pt idx="165">
                  <c:v>15/06/2024</c:v>
                </c:pt>
                <c:pt idx="166">
                  <c:v>16/06/2024</c:v>
                </c:pt>
                <c:pt idx="167">
                  <c:v>17/06/2024</c:v>
                </c:pt>
                <c:pt idx="168">
                  <c:v>18/06/2024</c:v>
                </c:pt>
                <c:pt idx="169">
                  <c:v>19/06/2024</c:v>
                </c:pt>
                <c:pt idx="170">
                  <c:v>20/06/2024</c:v>
                </c:pt>
                <c:pt idx="171">
                  <c:v>21/06/2024</c:v>
                </c:pt>
                <c:pt idx="172">
                  <c:v>22/06/2024</c:v>
                </c:pt>
                <c:pt idx="173">
                  <c:v>23/06/2024</c:v>
                </c:pt>
                <c:pt idx="174">
                  <c:v>24/06/2024</c:v>
                </c:pt>
                <c:pt idx="175">
                  <c:v>25/06/2024</c:v>
                </c:pt>
                <c:pt idx="176">
                  <c:v>26/06/2024</c:v>
                </c:pt>
                <c:pt idx="177">
                  <c:v>27/06/2024</c:v>
                </c:pt>
                <c:pt idx="178">
                  <c:v>28/06/2024</c:v>
                </c:pt>
                <c:pt idx="179">
                  <c:v>29/06/2024</c:v>
                </c:pt>
                <c:pt idx="180">
                  <c:v>30/06/2024</c:v>
                </c:pt>
                <c:pt idx="181">
                  <c:v>01/07/2024</c:v>
                </c:pt>
                <c:pt idx="182">
                  <c:v>02/07/2024</c:v>
                </c:pt>
                <c:pt idx="183">
                  <c:v>03/07/2024</c:v>
                </c:pt>
                <c:pt idx="184">
                  <c:v>04/07/2024</c:v>
                </c:pt>
                <c:pt idx="185">
                  <c:v>05/07/2024</c:v>
                </c:pt>
                <c:pt idx="186">
                  <c:v>06/07/2024</c:v>
                </c:pt>
                <c:pt idx="187">
                  <c:v>07/07/2024</c:v>
                </c:pt>
                <c:pt idx="188">
                  <c:v>08/07/2024</c:v>
                </c:pt>
                <c:pt idx="189">
                  <c:v>09/07/2024</c:v>
                </c:pt>
                <c:pt idx="190">
                  <c:v>10/07/2024</c:v>
                </c:pt>
                <c:pt idx="191">
                  <c:v>11/07/2024</c:v>
                </c:pt>
                <c:pt idx="192">
                  <c:v>12/07/2024</c:v>
                </c:pt>
                <c:pt idx="193">
                  <c:v>13/07/2024</c:v>
                </c:pt>
                <c:pt idx="194">
                  <c:v>14/07/2024</c:v>
                </c:pt>
                <c:pt idx="195">
                  <c:v>15/07/2024</c:v>
                </c:pt>
                <c:pt idx="196">
                  <c:v>16/07/2024</c:v>
                </c:pt>
                <c:pt idx="197">
                  <c:v>17/07/2024</c:v>
                </c:pt>
                <c:pt idx="198">
                  <c:v>18/07/2024</c:v>
                </c:pt>
                <c:pt idx="199">
                  <c:v>19/07/2024</c:v>
                </c:pt>
                <c:pt idx="200">
                  <c:v>20/07/2024</c:v>
                </c:pt>
                <c:pt idx="201">
                  <c:v>21/07/2024</c:v>
                </c:pt>
                <c:pt idx="202">
                  <c:v>22/07/2024</c:v>
                </c:pt>
                <c:pt idx="203">
                  <c:v>23/07/2024</c:v>
                </c:pt>
                <c:pt idx="204">
                  <c:v>24/07/2024</c:v>
                </c:pt>
                <c:pt idx="205">
                  <c:v>25/07/2024</c:v>
                </c:pt>
                <c:pt idx="206">
                  <c:v>26/07/2024</c:v>
                </c:pt>
                <c:pt idx="207">
                  <c:v>27/07/2024</c:v>
                </c:pt>
                <c:pt idx="208">
                  <c:v>28/07/2024</c:v>
                </c:pt>
                <c:pt idx="209">
                  <c:v>29/07/2024</c:v>
                </c:pt>
                <c:pt idx="210">
                  <c:v>30/07/2024</c:v>
                </c:pt>
                <c:pt idx="211">
                  <c:v>31/07/2024</c:v>
                </c:pt>
                <c:pt idx="212">
                  <c:v>01/08/2024</c:v>
                </c:pt>
                <c:pt idx="213">
                  <c:v>02/08/2024</c:v>
                </c:pt>
                <c:pt idx="214">
                  <c:v>03/08/2024</c:v>
                </c:pt>
                <c:pt idx="215">
                  <c:v>04/08/2024</c:v>
                </c:pt>
                <c:pt idx="216">
                  <c:v>05/08/2024</c:v>
                </c:pt>
                <c:pt idx="217">
                  <c:v>06/08/2024</c:v>
                </c:pt>
                <c:pt idx="218">
                  <c:v>07/08/2024</c:v>
                </c:pt>
                <c:pt idx="219">
                  <c:v>08/08/2024</c:v>
                </c:pt>
                <c:pt idx="220">
                  <c:v>09/08/2024</c:v>
                </c:pt>
                <c:pt idx="221">
                  <c:v>10/08/2024</c:v>
                </c:pt>
                <c:pt idx="222">
                  <c:v>11/08/2024</c:v>
                </c:pt>
                <c:pt idx="223">
                  <c:v>12/08/2024</c:v>
                </c:pt>
                <c:pt idx="224">
                  <c:v>13/08/2024</c:v>
                </c:pt>
                <c:pt idx="225">
                  <c:v>14/08/2024</c:v>
                </c:pt>
                <c:pt idx="226">
                  <c:v>15/08/2024</c:v>
                </c:pt>
                <c:pt idx="227">
                  <c:v>16/08/2024</c:v>
                </c:pt>
                <c:pt idx="228">
                  <c:v>17/08/2024</c:v>
                </c:pt>
                <c:pt idx="229">
                  <c:v>18/08/2024</c:v>
                </c:pt>
                <c:pt idx="230">
                  <c:v>19/08/2024</c:v>
                </c:pt>
                <c:pt idx="231">
                  <c:v>20/08/2024</c:v>
                </c:pt>
                <c:pt idx="232">
                  <c:v>21/08/2024</c:v>
                </c:pt>
                <c:pt idx="233">
                  <c:v>22/08/2024</c:v>
                </c:pt>
                <c:pt idx="234">
                  <c:v>23/08/2024</c:v>
                </c:pt>
                <c:pt idx="235">
                  <c:v>24/08/2024</c:v>
                </c:pt>
                <c:pt idx="236">
                  <c:v>25/08/2024</c:v>
                </c:pt>
                <c:pt idx="237">
                  <c:v>26/08/2024</c:v>
                </c:pt>
                <c:pt idx="238">
                  <c:v>27/08/2024</c:v>
                </c:pt>
                <c:pt idx="239">
                  <c:v>28/08/2024</c:v>
                </c:pt>
                <c:pt idx="240">
                  <c:v>29/08/2024</c:v>
                </c:pt>
                <c:pt idx="241">
                  <c:v>30/08/2024</c:v>
                </c:pt>
                <c:pt idx="242">
                  <c:v>31/08/2024</c:v>
                </c:pt>
                <c:pt idx="243">
                  <c:v>01/09/2024</c:v>
                </c:pt>
                <c:pt idx="244">
                  <c:v>02/09/2024</c:v>
                </c:pt>
                <c:pt idx="245">
                  <c:v>03/09/2024</c:v>
                </c:pt>
                <c:pt idx="246">
                  <c:v>04/09/2024</c:v>
                </c:pt>
                <c:pt idx="247">
                  <c:v>05/09/2024</c:v>
                </c:pt>
                <c:pt idx="248">
                  <c:v>06/09/2024</c:v>
                </c:pt>
                <c:pt idx="249">
                  <c:v>07/09/2024</c:v>
                </c:pt>
                <c:pt idx="250">
                  <c:v>08/09/2024</c:v>
                </c:pt>
                <c:pt idx="251">
                  <c:v>09/09/2024</c:v>
                </c:pt>
                <c:pt idx="252">
                  <c:v>10/09/2024</c:v>
                </c:pt>
                <c:pt idx="253">
                  <c:v>11/09/2024</c:v>
                </c:pt>
                <c:pt idx="254">
                  <c:v>12/09/2024</c:v>
                </c:pt>
                <c:pt idx="255">
                  <c:v>13/09/2024</c:v>
                </c:pt>
                <c:pt idx="256">
                  <c:v>14/09/2024</c:v>
                </c:pt>
                <c:pt idx="257">
                  <c:v>15/09/2024</c:v>
                </c:pt>
                <c:pt idx="258">
                  <c:v>16/09/2024</c:v>
                </c:pt>
                <c:pt idx="259">
                  <c:v>17/09/2024</c:v>
                </c:pt>
                <c:pt idx="260">
                  <c:v>18/09/2024</c:v>
                </c:pt>
                <c:pt idx="261">
                  <c:v>19/09/2024</c:v>
                </c:pt>
                <c:pt idx="262">
                  <c:v>20/09/2024</c:v>
                </c:pt>
                <c:pt idx="263">
                  <c:v>21/09/2024</c:v>
                </c:pt>
                <c:pt idx="264">
                  <c:v>22/09/2024</c:v>
                </c:pt>
                <c:pt idx="265">
                  <c:v>23/09/2024</c:v>
                </c:pt>
                <c:pt idx="266">
                  <c:v>24/09/2024</c:v>
                </c:pt>
                <c:pt idx="267">
                  <c:v>25/09/2024</c:v>
                </c:pt>
                <c:pt idx="268">
                  <c:v>26/09/2024</c:v>
                </c:pt>
                <c:pt idx="269">
                  <c:v>27/09/2024</c:v>
                </c:pt>
                <c:pt idx="270">
                  <c:v>28/09/2024</c:v>
                </c:pt>
                <c:pt idx="271">
                  <c:v>29/09/2024</c:v>
                </c:pt>
                <c:pt idx="272">
                  <c:v>30/09/2024</c:v>
                </c:pt>
                <c:pt idx="273">
                  <c:v>01/10/2024</c:v>
                </c:pt>
                <c:pt idx="274">
                  <c:v>02/10/2024</c:v>
                </c:pt>
                <c:pt idx="275">
                  <c:v>03/10/2024</c:v>
                </c:pt>
                <c:pt idx="276">
                  <c:v>04/10/2024</c:v>
                </c:pt>
                <c:pt idx="277">
                  <c:v>05/10/2024</c:v>
                </c:pt>
                <c:pt idx="278">
                  <c:v>06/10/2024</c:v>
                </c:pt>
                <c:pt idx="279">
                  <c:v>07/10/2024</c:v>
                </c:pt>
                <c:pt idx="280">
                  <c:v>08/10/2024</c:v>
                </c:pt>
                <c:pt idx="281">
                  <c:v>09/10/2024</c:v>
                </c:pt>
                <c:pt idx="282">
                  <c:v>10/10/2024</c:v>
                </c:pt>
                <c:pt idx="283">
                  <c:v>11/10/2024</c:v>
                </c:pt>
                <c:pt idx="284">
                  <c:v>12/10/2024</c:v>
                </c:pt>
                <c:pt idx="285">
                  <c:v>13/10/2024</c:v>
                </c:pt>
                <c:pt idx="286">
                  <c:v>14/10/2024</c:v>
                </c:pt>
                <c:pt idx="287">
                  <c:v>15/10/2024</c:v>
                </c:pt>
                <c:pt idx="288">
                  <c:v>16/10/2024</c:v>
                </c:pt>
                <c:pt idx="289">
                  <c:v>17/10/2024</c:v>
                </c:pt>
                <c:pt idx="290">
                  <c:v>18/10/2024</c:v>
                </c:pt>
                <c:pt idx="291">
                  <c:v>19/10/2024</c:v>
                </c:pt>
                <c:pt idx="292">
                  <c:v>20/10/2024</c:v>
                </c:pt>
                <c:pt idx="293">
                  <c:v>21/10/2024</c:v>
                </c:pt>
                <c:pt idx="294">
                  <c:v>22/10/2024</c:v>
                </c:pt>
                <c:pt idx="295">
                  <c:v>23/10/2024</c:v>
                </c:pt>
                <c:pt idx="296">
                  <c:v>24/10/2024</c:v>
                </c:pt>
                <c:pt idx="297">
                  <c:v>25/10/2024</c:v>
                </c:pt>
                <c:pt idx="298">
                  <c:v>26/10/2024</c:v>
                </c:pt>
                <c:pt idx="299">
                  <c:v>27/10/2024</c:v>
                </c:pt>
                <c:pt idx="300">
                  <c:v>28/10/2024</c:v>
                </c:pt>
                <c:pt idx="301">
                  <c:v>29/10/2024</c:v>
                </c:pt>
                <c:pt idx="302">
                  <c:v>30/10/2024</c:v>
                </c:pt>
                <c:pt idx="303">
                  <c:v>31/10/2024</c:v>
                </c:pt>
                <c:pt idx="304">
                  <c:v>01/11/2024</c:v>
                </c:pt>
                <c:pt idx="305">
                  <c:v>02/11/2024</c:v>
                </c:pt>
                <c:pt idx="306">
                  <c:v>03/11/2024</c:v>
                </c:pt>
                <c:pt idx="307">
                  <c:v>04/11/2024</c:v>
                </c:pt>
                <c:pt idx="308">
                  <c:v>05/11/2024</c:v>
                </c:pt>
                <c:pt idx="309">
                  <c:v>06/11/2024</c:v>
                </c:pt>
                <c:pt idx="310">
                  <c:v>07/11/2024</c:v>
                </c:pt>
                <c:pt idx="311">
                  <c:v>08/11/2024</c:v>
                </c:pt>
                <c:pt idx="312">
                  <c:v>09/11/2024</c:v>
                </c:pt>
                <c:pt idx="313">
                  <c:v>10/11/2024</c:v>
                </c:pt>
                <c:pt idx="314">
                  <c:v>11/11/2024</c:v>
                </c:pt>
                <c:pt idx="315">
                  <c:v>12/11/2024</c:v>
                </c:pt>
                <c:pt idx="316">
                  <c:v>13/11/2024</c:v>
                </c:pt>
                <c:pt idx="317">
                  <c:v>14/11/2024</c:v>
                </c:pt>
                <c:pt idx="318">
                  <c:v>15/11/2024</c:v>
                </c:pt>
                <c:pt idx="319">
                  <c:v>16/11/2024</c:v>
                </c:pt>
                <c:pt idx="320">
                  <c:v>17/11/2024</c:v>
                </c:pt>
                <c:pt idx="321">
                  <c:v>18/11/2024</c:v>
                </c:pt>
                <c:pt idx="322">
                  <c:v>19/11/2024</c:v>
                </c:pt>
                <c:pt idx="323">
                  <c:v>20/11/2024</c:v>
                </c:pt>
                <c:pt idx="324">
                  <c:v>21/11/2024</c:v>
                </c:pt>
                <c:pt idx="325">
                  <c:v>22/11/2024</c:v>
                </c:pt>
                <c:pt idx="326">
                  <c:v>23/11/2024</c:v>
                </c:pt>
                <c:pt idx="327">
                  <c:v>24/11/2024</c:v>
                </c:pt>
                <c:pt idx="328">
                  <c:v>25/11/2024</c:v>
                </c:pt>
                <c:pt idx="329">
                  <c:v>26/11/2024</c:v>
                </c:pt>
                <c:pt idx="330">
                  <c:v>27/11/2024</c:v>
                </c:pt>
                <c:pt idx="331">
                  <c:v>28/11/2024</c:v>
                </c:pt>
                <c:pt idx="332">
                  <c:v>29/11/2024</c:v>
                </c:pt>
                <c:pt idx="333">
                  <c:v>30/11/2024</c:v>
                </c:pt>
                <c:pt idx="334">
                  <c:v>01/12/2024</c:v>
                </c:pt>
                <c:pt idx="335">
                  <c:v>02/12/2024</c:v>
                </c:pt>
                <c:pt idx="336">
                  <c:v>03/12/2024</c:v>
                </c:pt>
                <c:pt idx="337">
                  <c:v>04/12/2024</c:v>
                </c:pt>
                <c:pt idx="338">
                  <c:v>05/12/2024</c:v>
                </c:pt>
                <c:pt idx="339">
                  <c:v>06/12/2024</c:v>
                </c:pt>
                <c:pt idx="340">
                  <c:v>07/12/2024</c:v>
                </c:pt>
                <c:pt idx="341">
                  <c:v>08/12/2024</c:v>
                </c:pt>
                <c:pt idx="342">
                  <c:v>09/12/2024</c:v>
                </c:pt>
                <c:pt idx="343">
                  <c:v>10/12/2024</c:v>
                </c:pt>
                <c:pt idx="344">
                  <c:v>11/12/2024</c:v>
                </c:pt>
                <c:pt idx="345">
                  <c:v>12/12/2024</c:v>
                </c:pt>
                <c:pt idx="346">
                  <c:v>13/12/2024</c:v>
                </c:pt>
                <c:pt idx="347">
                  <c:v>14/12/2024</c:v>
                </c:pt>
                <c:pt idx="348">
                  <c:v>15/12/2024</c:v>
                </c:pt>
                <c:pt idx="349">
                  <c:v>16/12/2024</c:v>
                </c:pt>
                <c:pt idx="350">
                  <c:v>17/12/2024</c:v>
                </c:pt>
                <c:pt idx="351">
                  <c:v>18/12/2024</c:v>
                </c:pt>
                <c:pt idx="352">
                  <c:v>19/12/2024</c:v>
                </c:pt>
                <c:pt idx="353">
                  <c:v>20/12/2024</c:v>
                </c:pt>
                <c:pt idx="354">
                  <c:v>21/12/2024</c:v>
                </c:pt>
                <c:pt idx="355">
                  <c:v>22/12/2024</c:v>
                </c:pt>
                <c:pt idx="356">
                  <c:v>23/12/2024</c:v>
                </c:pt>
                <c:pt idx="357">
                  <c:v>24/12/2024</c:v>
                </c:pt>
                <c:pt idx="358">
                  <c:v>25/12/2024</c:v>
                </c:pt>
                <c:pt idx="359">
                  <c:v>26/12/2024</c:v>
                </c:pt>
                <c:pt idx="360">
                  <c:v>27/12/2024</c:v>
                </c:pt>
                <c:pt idx="361">
                  <c:v>28/12/2024</c:v>
                </c:pt>
                <c:pt idx="362">
                  <c:v>29/12/2024</c:v>
                </c:pt>
                <c:pt idx="363">
                  <c:v>30/12/2024</c:v>
                </c:pt>
                <c:pt idx="364">
                  <c:v>31/12/2024</c:v>
                </c:pt>
                <c:pt idx="365">
                  <c:v>31/12/2024 22:00</c:v>
                </c:pt>
                <c:pt idx="366">
                  <c:v>31/12/2024 23:00</c:v>
                </c:pt>
              </c:strCache>
            </c:strRef>
          </c:cat>
          <c:val>
            <c:numRef>
              <c:f>'Resultats - diaris'!$C$5:$C$372</c:f>
              <c:numCache>
                <c:formatCode>#,##0.0</c:formatCode>
                <c:ptCount val="367"/>
                <c:pt idx="0">
                  <c:v>107</c:v>
                </c:pt>
                <c:pt idx="1">
                  <c:v>1002</c:v>
                </c:pt>
                <c:pt idx="2">
                  <c:v>817</c:v>
                </c:pt>
                <c:pt idx="3">
                  <c:v>760</c:v>
                </c:pt>
                <c:pt idx="4">
                  <c:v>599</c:v>
                </c:pt>
                <c:pt idx="5">
                  <c:v>254</c:v>
                </c:pt>
                <c:pt idx="6">
                  <c:v>445</c:v>
                </c:pt>
                <c:pt idx="7">
                  <c:v>965</c:v>
                </c:pt>
                <c:pt idx="8">
                  <c:v>973</c:v>
                </c:pt>
                <c:pt idx="9">
                  <c:v>922</c:v>
                </c:pt>
                <c:pt idx="10">
                  <c:v>890</c:v>
                </c:pt>
                <c:pt idx="11">
                  <c:v>864</c:v>
                </c:pt>
                <c:pt idx="12">
                  <c:v>718</c:v>
                </c:pt>
                <c:pt idx="13">
                  <c:v>378</c:v>
                </c:pt>
                <c:pt idx="14">
                  <c:v>754</c:v>
                </c:pt>
                <c:pt idx="15">
                  <c:v>662</c:v>
                </c:pt>
                <c:pt idx="16">
                  <c:v>569</c:v>
                </c:pt>
                <c:pt idx="17">
                  <c:v>412</c:v>
                </c:pt>
                <c:pt idx="18">
                  <c:v>601</c:v>
                </c:pt>
                <c:pt idx="19">
                  <c:v>556</c:v>
                </c:pt>
                <c:pt idx="20">
                  <c:v>342</c:v>
                </c:pt>
                <c:pt idx="21">
                  <c:v>570</c:v>
                </c:pt>
                <c:pt idx="22">
                  <c:v>630</c:v>
                </c:pt>
                <c:pt idx="23">
                  <c:v>597</c:v>
                </c:pt>
                <c:pt idx="24">
                  <c:v>539</c:v>
                </c:pt>
                <c:pt idx="25">
                  <c:v>867</c:v>
                </c:pt>
                <c:pt idx="26">
                  <c:v>772</c:v>
                </c:pt>
                <c:pt idx="27">
                  <c:v>593</c:v>
                </c:pt>
                <c:pt idx="28">
                  <c:v>756</c:v>
                </c:pt>
                <c:pt idx="29">
                  <c:v>814</c:v>
                </c:pt>
                <c:pt idx="30">
                  <c:v>689</c:v>
                </c:pt>
                <c:pt idx="31">
                  <c:v>773</c:v>
                </c:pt>
                <c:pt idx="32">
                  <c:v>668</c:v>
                </c:pt>
                <c:pt idx="33">
                  <c:v>365</c:v>
                </c:pt>
                <c:pt idx="34">
                  <c:v>341</c:v>
                </c:pt>
                <c:pt idx="35">
                  <c:v>631</c:v>
                </c:pt>
                <c:pt idx="36">
                  <c:v>760</c:v>
                </c:pt>
                <c:pt idx="37">
                  <c:v>634</c:v>
                </c:pt>
                <c:pt idx="38">
                  <c:v>660</c:v>
                </c:pt>
                <c:pt idx="39">
                  <c:v>535</c:v>
                </c:pt>
                <c:pt idx="40">
                  <c:v>462</c:v>
                </c:pt>
                <c:pt idx="41">
                  <c:v>262</c:v>
                </c:pt>
                <c:pt idx="42">
                  <c:v>595</c:v>
                </c:pt>
                <c:pt idx="43">
                  <c:v>645</c:v>
                </c:pt>
                <c:pt idx="44">
                  <c:v>468</c:v>
                </c:pt>
                <c:pt idx="45">
                  <c:v>575</c:v>
                </c:pt>
                <c:pt idx="46">
                  <c:v>521</c:v>
                </c:pt>
                <c:pt idx="47">
                  <c:v>335</c:v>
                </c:pt>
                <c:pt idx="48">
                  <c:v>197</c:v>
                </c:pt>
                <c:pt idx="49">
                  <c:v>553</c:v>
                </c:pt>
                <c:pt idx="50">
                  <c:v>623</c:v>
                </c:pt>
                <c:pt idx="51">
                  <c:v>582</c:v>
                </c:pt>
                <c:pt idx="52">
                  <c:v>568</c:v>
                </c:pt>
                <c:pt idx="53">
                  <c:v>564</c:v>
                </c:pt>
                <c:pt idx="54">
                  <c:v>445</c:v>
                </c:pt>
                <c:pt idx="55">
                  <c:v>228</c:v>
                </c:pt>
                <c:pt idx="56">
                  <c:v>549</c:v>
                </c:pt>
                <c:pt idx="57">
                  <c:v>702</c:v>
                </c:pt>
                <c:pt idx="58">
                  <c:v>471</c:v>
                </c:pt>
                <c:pt idx="59">
                  <c:v>480</c:v>
                </c:pt>
                <c:pt idx="60">
                  <c:v>318</c:v>
                </c:pt>
                <c:pt idx="61">
                  <c:v>183</c:v>
                </c:pt>
                <c:pt idx="62">
                  <c:v>608</c:v>
                </c:pt>
                <c:pt idx="63">
                  <c:v>653</c:v>
                </c:pt>
                <c:pt idx="64">
                  <c:v>505</c:v>
                </c:pt>
                <c:pt idx="65">
                  <c:v>642</c:v>
                </c:pt>
                <c:pt idx="66">
                  <c:v>520</c:v>
                </c:pt>
                <c:pt idx="67">
                  <c:v>390</c:v>
                </c:pt>
                <c:pt idx="68">
                  <c:v>182</c:v>
                </c:pt>
                <c:pt idx="69">
                  <c:v>549</c:v>
                </c:pt>
                <c:pt idx="70">
                  <c:v>656</c:v>
                </c:pt>
                <c:pt idx="71">
                  <c:v>511</c:v>
                </c:pt>
                <c:pt idx="72">
                  <c:v>583</c:v>
                </c:pt>
                <c:pt idx="73">
                  <c:v>429</c:v>
                </c:pt>
                <c:pt idx="74">
                  <c:v>293</c:v>
                </c:pt>
                <c:pt idx="75">
                  <c:v>174</c:v>
                </c:pt>
                <c:pt idx="76">
                  <c:v>402</c:v>
                </c:pt>
                <c:pt idx="77">
                  <c:v>490</c:v>
                </c:pt>
                <c:pt idx="78">
                  <c:v>446</c:v>
                </c:pt>
                <c:pt idx="79">
                  <c:v>508</c:v>
                </c:pt>
                <c:pt idx="80">
                  <c:v>374</c:v>
                </c:pt>
                <c:pt idx="81">
                  <c:v>268</c:v>
                </c:pt>
                <c:pt idx="82">
                  <c:v>170</c:v>
                </c:pt>
                <c:pt idx="83">
                  <c:v>268</c:v>
                </c:pt>
                <c:pt idx="84">
                  <c:v>293</c:v>
                </c:pt>
                <c:pt idx="85">
                  <c:v>318</c:v>
                </c:pt>
                <c:pt idx="86">
                  <c:v>225</c:v>
                </c:pt>
                <c:pt idx="87">
                  <c:v>172</c:v>
                </c:pt>
                <c:pt idx="88">
                  <c:v>177</c:v>
                </c:pt>
                <c:pt idx="89">
                  <c:v>165</c:v>
                </c:pt>
                <c:pt idx="90">
                  <c:v>181</c:v>
                </c:pt>
                <c:pt idx="91">
                  <c:v>586</c:v>
                </c:pt>
                <c:pt idx="92">
                  <c:v>434</c:v>
                </c:pt>
                <c:pt idx="93">
                  <c:v>545</c:v>
                </c:pt>
                <c:pt idx="94">
                  <c:v>417</c:v>
                </c:pt>
                <c:pt idx="95">
                  <c:v>254</c:v>
                </c:pt>
                <c:pt idx="96">
                  <c:v>193</c:v>
                </c:pt>
                <c:pt idx="97">
                  <c:v>430</c:v>
                </c:pt>
                <c:pt idx="98">
                  <c:v>453</c:v>
                </c:pt>
                <c:pt idx="99">
                  <c:v>357</c:v>
                </c:pt>
                <c:pt idx="100">
                  <c:v>489</c:v>
                </c:pt>
                <c:pt idx="101">
                  <c:v>366</c:v>
                </c:pt>
                <c:pt idx="102">
                  <c:v>251</c:v>
                </c:pt>
                <c:pt idx="103">
                  <c:v>164</c:v>
                </c:pt>
                <c:pt idx="104">
                  <c:v>306</c:v>
                </c:pt>
                <c:pt idx="105">
                  <c:v>387</c:v>
                </c:pt>
                <c:pt idx="106">
                  <c:v>332</c:v>
                </c:pt>
                <c:pt idx="107">
                  <c:v>470</c:v>
                </c:pt>
                <c:pt idx="108">
                  <c:v>316</c:v>
                </c:pt>
                <c:pt idx="109">
                  <c:v>256</c:v>
                </c:pt>
                <c:pt idx="110">
                  <c:v>169</c:v>
                </c:pt>
                <c:pt idx="111">
                  <c:v>440</c:v>
                </c:pt>
                <c:pt idx="112">
                  <c:v>574</c:v>
                </c:pt>
                <c:pt idx="113">
                  <c:v>342</c:v>
                </c:pt>
                <c:pt idx="114">
                  <c:v>463</c:v>
                </c:pt>
                <c:pt idx="115">
                  <c:v>330</c:v>
                </c:pt>
                <c:pt idx="116">
                  <c:v>314</c:v>
                </c:pt>
                <c:pt idx="117">
                  <c:v>164</c:v>
                </c:pt>
                <c:pt idx="118">
                  <c:v>451</c:v>
                </c:pt>
                <c:pt idx="119">
                  <c:v>506</c:v>
                </c:pt>
                <c:pt idx="120">
                  <c:v>174</c:v>
                </c:pt>
                <c:pt idx="121">
                  <c:v>471</c:v>
                </c:pt>
                <c:pt idx="122">
                  <c:v>315</c:v>
                </c:pt>
                <c:pt idx="123">
                  <c:v>222</c:v>
                </c:pt>
                <c:pt idx="124">
                  <c:v>167</c:v>
                </c:pt>
                <c:pt idx="125">
                  <c:v>332</c:v>
                </c:pt>
                <c:pt idx="126">
                  <c:v>283</c:v>
                </c:pt>
                <c:pt idx="127">
                  <c:v>295</c:v>
                </c:pt>
                <c:pt idx="128">
                  <c:v>311</c:v>
                </c:pt>
                <c:pt idx="129">
                  <c:v>274</c:v>
                </c:pt>
                <c:pt idx="130">
                  <c:v>258</c:v>
                </c:pt>
                <c:pt idx="131">
                  <c:v>198</c:v>
                </c:pt>
                <c:pt idx="132">
                  <c:v>334</c:v>
                </c:pt>
                <c:pt idx="133">
                  <c:v>346</c:v>
                </c:pt>
                <c:pt idx="134">
                  <c:v>320</c:v>
                </c:pt>
                <c:pt idx="135">
                  <c:v>385</c:v>
                </c:pt>
                <c:pt idx="136">
                  <c:v>311</c:v>
                </c:pt>
                <c:pt idx="137">
                  <c:v>238</c:v>
                </c:pt>
                <c:pt idx="138">
                  <c:v>183</c:v>
                </c:pt>
                <c:pt idx="139">
                  <c:v>157</c:v>
                </c:pt>
                <c:pt idx="140">
                  <c:v>334</c:v>
                </c:pt>
                <c:pt idx="141">
                  <c:v>316</c:v>
                </c:pt>
                <c:pt idx="142">
                  <c:v>380</c:v>
                </c:pt>
                <c:pt idx="143">
                  <c:v>306</c:v>
                </c:pt>
                <c:pt idx="144">
                  <c:v>284</c:v>
                </c:pt>
                <c:pt idx="145">
                  <c:v>187</c:v>
                </c:pt>
                <c:pt idx="146">
                  <c:v>378</c:v>
                </c:pt>
                <c:pt idx="147">
                  <c:v>350</c:v>
                </c:pt>
                <c:pt idx="148">
                  <c:v>373</c:v>
                </c:pt>
                <c:pt idx="149">
                  <c:v>422</c:v>
                </c:pt>
                <c:pt idx="150">
                  <c:v>422</c:v>
                </c:pt>
                <c:pt idx="151">
                  <c:v>340</c:v>
                </c:pt>
                <c:pt idx="152">
                  <c:v>265</c:v>
                </c:pt>
                <c:pt idx="153">
                  <c:v>501</c:v>
                </c:pt>
                <c:pt idx="154">
                  <c:v>508</c:v>
                </c:pt>
                <c:pt idx="155">
                  <c:v>469</c:v>
                </c:pt>
                <c:pt idx="156">
                  <c:v>475</c:v>
                </c:pt>
                <c:pt idx="157">
                  <c:v>434</c:v>
                </c:pt>
                <c:pt idx="158">
                  <c:v>319</c:v>
                </c:pt>
                <c:pt idx="159">
                  <c:v>213</c:v>
                </c:pt>
                <c:pt idx="160">
                  <c:v>418</c:v>
                </c:pt>
                <c:pt idx="161">
                  <c:v>438</c:v>
                </c:pt>
                <c:pt idx="162">
                  <c:v>357</c:v>
                </c:pt>
                <c:pt idx="163">
                  <c:v>390</c:v>
                </c:pt>
                <c:pt idx="164">
                  <c:v>409</c:v>
                </c:pt>
                <c:pt idx="165">
                  <c:v>351</c:v>
                </c:pt>
                <c:pt idx="166">
                  <c:v>268</c:v>
                </c:pt>
                <c:pt idx="167">
                  <c:v>530</c:v>
                </c:pt>
                <c:pt idx="168">
                  <c:v>493</c:v>
                </c:pt>
                <c:pt idx="169">
                  <c:v>510</c:v>
                </c:pt>
                <c:pt idx="170">
                  <c:v>480</c:v>
                </c:pt>
                <c:pt idx="171">
                  <c:v>403</c:v>
                </c:pt>
                <c:pt idx="172">
                  <c:v>214</c:v>
                </c:pt>
                <c:pt idx="173">
                  <c:v>170</c:v>
                </c:pt>
                <c:pt idx="174">
                  <c:v>154</c:v>
                </c:pt>
                <c:pt idx="175">
                  <c:v>635</c:v>
                </c:pt>
                <c:pt idx="176">
                  <c:v>523</c:v>
                </c:pt>
                <c:pt idx="177">
                  <c:v>627</c:v>
                </c:pt>
                <c:pt idx="178">
                  <c:v>473</c:v>
                </c:pt>
                <c:pt idx="179">
                  <c:v>190</c:v>
                </c:pt>
                <c:pt idx="180">
                  <c:v>184</c:v>
                </c:pt>
                <c:pt idx="181">
                  <c:v>472</c:v>
                </c:pt>
                <c:pt idx="182">
                  <c:v>576</c:v>
                </c:pt>
                <c:pt idx="183">
                  <c:v>432</c:v>
                </c:pt>
                <c:pt idx="184">
                  <c:v>521</c:v>
                </c:pt>
                <c:pt idx="185">
                  <c:v>438</c:v>
                </c:pt>
                <c:pt idx="186">
                  <c:v>141</c:v>
                </c:pt>
                <c:pt idx="187">
                  <c:v>136</c:v>
                </c:pt>
                <c:pt idx="188">
                  <c:v>584</c:v>
                </c:pt>
                <c:pt idx="189">
                  <c:v>716</c:v>
                </c:pt>
                <c:pt idx="190">
                  <c:v>566</c:v>
                </c:pt>
                <c:pt idx="191">
                  <c:v>683</c:v>
                </c:pt>
                <c:pt idx="192">
                  <c:v>528</c:v>
                </c:pt>
                <c:pt idx="193">
                  <c:v>145</c:v>
                </c:pt>
                <c:pt idx="194">
                  <c:v>145</c:v>
                </c:pt>
                <c:pt idx="195">
                  <c:v>670</c:v>
                </c:pt>
                <c:pt idx="196">
                  <c:v>728</c:v>
                </c:pt>
                <c:pt idx="197">
                  <c:v>487</c:v>
                </c:pt>
                <c:pt idx="198">
                  <c:v>671</c:v>
                </c:pt>
                <c:pt idx="199">
                  <c:v>584</c:v>
                </c:pt>
                <c:pt idx="200">
                  <c:v>156</c:v>
                </c:pt>
                <c:pt idx="201">
                  <c:v>147</c:v>
                </c:pt>
                <c:pt idx="202">
                  <c:v>540</c:v>
                </c:pt>
                <c:pt idx="203">
                  <c:v>753</c:v>
                </c:pt>
                <c:pt idx="204">
                  <c:v>538</c:v>
                </c:pt>
                <c:pt idx="205">
                  <c:v>719</c:v>
                </c:pt>
                <c:pt idx="206">
                  <c:v>588</c:v>
                </c:pt>
                <c:pt idx="207">
                  <c:v>169</c:v>
                </c:pt>
                <c:pt idx="208">
                  <c:v>153</c:v>
                </c:pt>
                <c:pt idx="209">
                  <c:v>710</c:v>
                </c:pt>
                <c:pt idx="210">
                  <c:v>887</c:v>
                </c:pt>
                <c:pt idx="211">
                  <c:v>619</c:v>
                </c:pt>
                <c:pt idx="212">
                  <c:v>766</c:v>
                </c:pt>
                <c:pt idx="213">
                  <c:v>600</c:v>
                </c:pt>
                <c:pt idx="214">
                  <c:v>161</c:v>
                </c:pt>
                <c:pt idx="215">
                  <c:v>148</c:v>
                </c:pt>
                <c:pt idx="216">
                  <c:v>188</c:v>
                </c:pt>
                <c:pt idx="217">
                  <c:v>252</c:v>
                </c:pt>
                <c:pt idx="218">
                  <c:v>161</c:v>
                </c:pt>
                <c:pt idx="219">
                  <c:v>222</c:v>
                </c:pt>
                <c:pt idx="220">
                  <c:v>174</c:v>
                </c:pt>
                <c:pt idx="221">
                  <c:v>164</c:v>
                </c:pt>
                <c:pt idx="222">
                  <c:v>169</c:v>
                </c:pt>
                <c:pt idx="223">
                  <c:v>185</c:v>
                </c:pt>
                <c:pt idx="224">
                  <c:v>219</c:v>
                </c:pt>
                <c:pt idx="225">
                  <c:v>159</c:v>
                </c:pt>
                <c:pt idx="226">
                  <c:v>143</c:v>
                </c:pt>
                <c:pt idx="227">
                  <c:v>143</c:v>
                </c:pt>
                <c:pt idx="228">
                  <c:v>148</c:v>
                </c:pt>
                <c:pt idx="229">
                  <c:v>130</c:v>
                </c:pt>
                <c:pt idx="230">
                  <c:v>684</c:v>
                </c:pt>
                <c:pt idx="231">
                  <c:v>712</c:v>
                </c:pt>
                <c:pt idx="232">
                  <c:v>536</c:v>
                </c:pt>
                <c:pt idx="233">
                  <c:v>672</c:v>
                </c:pt>
                <c:pt idx="234">
                  <c:v>520</c:v>
                </c:pt>
                <c:pt idx="235">
                  <c:v>141</c:v>
                </c:pt>
                <c:pt idx="236">
                  <c:v>132</c:v>
                </c:pt>
                <c:pt idx="237">
                  <c:v>539</c:v>
                </c:pt>
                <c:pt idx="238">
                  <c:v>678</c:v>
                </c:pt>
                <c:pt idx="239">
                  <c:v>534</c:v>
                </c:pt>
                <c:pt idx="240">
                  <c:v>639</c:v>
                </c:pt>
                <c:pt idx="241">
                  <c:v>480</c:v>
                </c:pt>
                <c:pt idx="242">
                  <c:v>142</c:v>
                </c:pt>
                <c:pt idx="243">
                  <c:v>133</c:v>
                </c:pt>
                <c:pt idx="244">
                  <c:v>558</c:v>
                </c:pt>
                <c:pt idx="245">
                  <c:v>543</c:v>
                </c:pt>
                <c:pt idx="246">
                  <c:v>418</c:v>
                </c:pt>
                <c:pt idx="247">
                  <c:v>440</c:v>
                </c:pt>
                <c:pt idx="248">
                  <c:v>417</c:v>
                </c:pt>
                <c:pt idx="249">
                  <c:v>166</c:v>
                </c:pt>
                <c:pt idx="250">
                  <c:v>179</c:v>
                </c:pt>
                <c:pt idx="251">
                  <c:v>510</c:v>
                </c:pt>
                <c:pt idx="252">
                  <c:v>511</c:v>
                </c:pt>
                <c:pt idx="253">
                  <c:v>168</c:v>
                </c:pt>
                <c:pt idx="254">
                  <c:v>511</c:v>
                </c:pt>
                <c:pt idx="255">
                  <c:v>397</c:v>
                </c:pt>
                <c:pt idx="256">
                  <c:v>214</c:v>
                </c:pt>
                <c:pt idx="257">
                  <c:v>223</c:v>
                </c:pt>
                <c:pt idx="258">
                  <c:v>377</c:v>
                </c:pt>
                <c:pt idx="259">
                  <c:v>403</c:v>
                </c:pt>
                <c:pt idx="260">
                  <c:v>354</c:v>
                </c:pt>
                <c:pt idx="261">
                  <c:v>439</c:v>
                </c:pt>
                <c:pt idx="262">
                  <c:v>323</c:v>
                </c:pt>
                <c:pt idx="263">
                  <c:v>221</c:v>
                </c:pt>
                <c:pt idx="264">
                  <c:v>149</c:v>
                </c:pt>
                <c:pt idx="265">
                  <c:v>304</c:v>
                </c:pt>
                <c:pt idx="266">
                  <c:v>373</c:v>
                </c:pt>
                <c:pt idx="267">
                  <c:v>336</c:v>
                </c:pt>
                <c:pt idx="268">
                  <c:v>425</c:v>
                </c:pt>
                <c:pt idx="269">
                  <c:v>352</c:v>
                </c:pt>
                <c:pt idx="270">
                  <c:v>158</c:v>
                </c:pt>
                <c:pt idx="271">
                  <c:v>136</c:v>
                </c:pt>
                <c:pt idx="272">
                  <c:v>145</c:v>
                </c:pt>
                <c:pt idx="273">
                  <c:v>376</c:v>
                </c:pt>
                <c:pt idx="274">
                  <c:v>311</c:v>
                </c:pt>
                <c:pt idx="275">
                  <c:v>388</c:v>
                </c:pt>
                <c:pt idx="276">
                  <c:v>300</c:v>
                </c:pt>
                <c:pt idx="277">
                  <c:v>196</c:v>
                </c:pt>
                <c:pt idx="278">
                  <c:v>134</c:v>
                </c:pt>
                <c:pt idx="279">
                  <c:v>317</c:v>
                </c:pt>
                <c:pt idx="280">
                  <c:v>387</c:v>
                </c:pt>
                <c:pt idx="281">
                  <c:v>315</c:v>
                </c:pt>
                <c:pt idx="282">
                  <c:v>365</c:v>
                </c:pt>
                <c:pt idx="283">
                  <c:v>296</c:v>
                </c:pt>
                <c:pt idx="284">
                  <c:v>167</c:v>
                </c:pt>
                <c:pt idx="285">
                  <c:v>133</c:v>
                </c:pt>
                <c:pt idx="286">
                  <c:v>288</c:v>
                </c:pt>
                <c:pt idx="287">
                  <c:v>351</c:v>
                </c:pt>
                <c:pt idx="288">
                  <c:v>310</c:v>
                </c:pt>
                <c:pt idx="289">
                  <c:v>334</c:v>
                </c:pt>
                <c:pt idx="290">
                  <c:v>266</c:v>
                </c:pt>
                <c:pt idx="291">
                  <c:v>214</c:v>
                </c:pt>
                <c:pt idx="292">
                  <c:v>141</c:v>
                </c:pt>
                <c:pt idx="293">
                  <c:v>291</c:v>
                </c:pt>
                <c:pt idx="294">
                  <c:v>348</c:v>
                </c:pt>
                <c:pt idx="295">
                  <c:v>284</c:v>
                </c:pt>
                <c:pt idx="296">
                  <c:v>334</c:v>
                </c:pt>
                <c:pt idx="297">
                  <c:v>261</c:v>
                </c:pt>
                <c:pt idx="298">
                  <c:v>257</c:v>
                </c:pt>
                <c:pt idx="299">
                  <c:v>150</c:v>
                </c:pt>
                <c:pt idx="300">
                  <c:v>355</c:v>
                </c:pt>
                <c:pt idx="301">
                  <c:v>333</c:v>
                </c:pt>
                <c:pt idx="302">
                  <c:v>301</c:v>
                </c:pt>
                <c:pt idx="303">
                  <c:v>262</c:v>
                </c:pt>
                <c:pt idx="304">
                  <c:v>141</c:v>
                </c:pt>
                <c:pt idx="305">
                  <c:v>141</c:v>
                </c:pt>
                <c:pt idx="306">
                  <c:v>134</c:v>
                </c:pt>
                <c:pt idx="307">
                  <c:v>333</c:v>
                </c:pt>
                <c:pt idx="308">
                  <c:v>321</c:v>
                </c:pt>
                <c:pt idx="309">
                  <c:v>258</c:v>
                </c:pt>
                <c:pt idx="310">
                  <c:v>372</c:v>
                </c:pt>
                <c:pt idx="311">
                  <c:v>317</c:v>
                </c:pt>
                <c:pt idx="312">
                  <c:v>223</c:v>
                </c:pt>
                <c:pt idx="313">
                  <c:v>154</c:v>
                </c:pt>
                <c:pt idx="314">
                  <c:v>337</c:v>
                </c:pt>
                <c:pt idx="315">
                  <c:v>447</c:v>
                </c:pt>
                <c:pt idx="316">
                  <c:v>398</c:v>
                </c:pt>
                <c:pt idx="317">
                  <c:v>465</c:v>
                </c:pt>
                <c:pt idx="318">
                  <c:v>394</c:v>
                </c:pt>
                <c:pt idx="319">
                  <c:v>288</c:v>
                </c:pt>
                <c:pt idx="320">
                  <c:v>159</c:v>
                </c:pt>
                <c:pt idx="321">
                  <c:v>493</c:v>
                </c:pt>
                <c:pt idx="322">
                  <c:v>658</c:v>
                </c:pt>
                <c:pt idx="323">
                  <c:v>484</c:v>
                </c:pt>
                <c:pt idx="324">
                  <c:v>618</c:v>
                </c:pt>
                <c:pt idx="325">
                  <c:v>468</c:v>
                </c:pt>
                <c:pt idx="326">
                  <c:v>361</c:v>
                </c:pt>
                <c:pt idx="327">
                  <c:v>201</c:v>
                </c:pt>
                <c:pt idx="328">
                  <c:v>486</c:v>
                </c:pt>
                <c:pt idx="329">
                  <c:v>498</c:v>
                </c:pt>
                <c:pt idx="330">
                  <c:v>510</c:v>
                </c:pt>
                <c:pt idx="331">
                  <c:v>648</c:v>
                </c:pt>
                <c:pt idx="332">
                  <c:v>511</c:v>
                </c:pt>
                <c:pt idx="333">
                  <c:v>408</c:v>
                </c:pt>
                <c:pt idx="334">
                  <c:v>180</c:v>
                </c:pt>
                <c:pt idx="335">
                  <c:v>455</c:v>
                </c:pt>
                <c:pt idx="336">
                  <c:v>586</c:v>
                </c:pt>
                <c:pt idx="337">
                  <c:v>528</c:v>
                </c:pt>
                <c:pt idx="338">
                  <c:v>723</c:v>
                </c:pt>
                <c:pt idx="339">
                  <c:v>232</c:v>
                </c:pt>
                <c:pt idx="340">
                  <c:v>219</c:v>
                </c:pt>
                <c:pt idx="341">
                  <c:v>227</c:v>
                </c:pt>
                <c:pt idx="342">
                  <c:v>718</c:v>
                </c:pt>
                <c:pt idx="343">
                  <c:v>973</c:v>
                </c:pt>
                <c:pt idx="344">
                  <c:v>694</c:v>
                </c:pt>
                <c:pt idx="345">
                  <c:v>887</c:v>
                </c:pt>
                <c:pt idx="346">
                  <c:v>659</c:v>
                </c:pt>
                <c:pt idx="347">
                  <c:v>497</c:v>
                </c:pt>
                <c:pt idx="348">
                  <c:v>256</c:v>
                </c:pt>
                <c:pt idx="349">
                  <c:v>748</c:v>
                </c:pt>
                <c:pt idx="350">
                  <c:v>939</c:v>
                </c:pt>
                <c:pt idx="351">
                  <c:v>704</c:v>
                </c:pt>
                <c:pt idx="352">
                  <c:v>778</c:v>
                </c:pt>
                <c:pt idx="353">
                  <c:v>602</c:v>
                </c:pt>
                <c:pt idx="354">
                  <c:v>514</c:v>
                </c:pt>
                <c:pt idx="355">
                  <c:v>241</c:v>
                </c:pt>
                <c:pt idx="356">
                  <c:v>819</c:v>
                </c:pt>
                <c:pt idx="357">
                  <c:v>647</c:v>
                </c:pt>
                <c:pt idx="358">
                  <c:v>233</c:v>
                </c:pt>
                <c:pt idx="359">
                  <c:v>235</c:v>
                </c:pt>
                <c:pt idx="360">
                  <c:v>819</c:v>
                </c:pt>
                <c:pt idx="361">
                  <c:v>329</c:v>
                </c:pt>
                <c:pt idx="362">
                  <c:v>327</c:v>
                </c:pt>
                <c:pt idx="363">
                  <c:v>891</c:v>
                </c:pt>
                <c:pt idx="364">
                  <c:v>743</c:v>
                </c:pt>
                <c:pt idx="365">
                  <c:v>8</c:v>
                </c:pt>
                <c:pt idx="36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88-4B83-A5E6-037CF65A7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07296448"/>
        <c:axId val="870634472"/>
      </c:barChart>
      <c:catAx>
        <c:axId val="80729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0634472"/>
        <c:crosses val="autoZero"/>
        <c:auto val="1"/>
        <c:lblAlgn val="ctr"/>
        <c:lblOffset val="100"/>
        <c:noMultiLvlLbl val="0"/>
      </c:catAx>
      <c:valAx>
        <c:axId val="870634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072964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7330147534537356"/>
          <c:y val="0.87470715072592709"/>
          <c:w val="3.5995745630862254E-2"/>
          <c:h val="5.9924941616664076E-2"/>
        </c:manualLayout>
      </c:layout>
      <c:overlay val="0"/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Energia de xarxa horari kWh/h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'Introducció dades consum'!$E$4</c:f>
              <c:strCache>
                <c:ptCount val="1"/>
                <c:pt idx="0">
                  <c:v>AE_kWh</c:v>
                </c:pt>
              </c:strCache>
            </c:strRef>
          </c:tx>
          <c:invertIfNegative val="0"/>
          <c:cat>
            <c:numRef>
              <c:f>'Introducció dades consum'!$C$5:$C$9532</c:f>
              <c:numCache>
                <c:formatCode>m/d/yyyy</c:formatCode>
                <c:ptCount val="9528"/>
              </c:numCache>
            </c:numRef>
          </c:cat>
          <c:val>
            <c:numRef>
              <c:f>'Introducció dades consum'!$E$5:$E$9532</c:f>
              <c:numCache>
                <c:formatCode>#,##0.0</c:formatCode>
                <c:ptCount val="9528"/>
              </c:numCache>
            </c:numRef>
          </c:val>
          <c:extLst>
            <c:ext xmlns:c16="http://schemas.microsoft.com/office/drawing/2014/chart" uri="{C3380CC4-5D6E-409C-BE32-E72D297353CC}">
              <c16:uniqueId val="{00000001-EFC1-4C72-931A-5B8849FAA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3827608"/>
        <c:axId val="843827968"/>
      </c:barChart>
      <c:catAx>
        <c:axId val="84382760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43827968"/>
        <c:crosses val="autoZero"/>
        <c:auto val="0"/>
        <c:lblAlgn val="ctr"/>
        <c:lblOffset val="100"/>
        <c:noMultiLvlLbl val="1"/>
      </c:catAx>
      <c:valAx>
        <c:axId val="8438279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out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43827608"/>
        <c:crosses val="autoZero"/>
        <c:crossBetween val="between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  <c:extLst/>
  </c:chart>
  <c:txPr>
    <a:bodyPr/>
    <a:lstStyle/>
    <a:p>
      <a:pPr algn="ctr"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[Eina_analisis_consum_electric_v26a.xlsx]Resultats - mensuals!Taula dinàmica2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r>
              <a:rPr lang="ca-ES" sz="1100">
                <a:latin typeface="Neue Haas Grotesk Text Pro" panose="020B0504020202020204" pitchFamily="34" charset="0"/>
              </a:rPr>
              <a:t>Consum elèctric mensual (kWh)</a:t>
            </a:r>
          </a:p>
        </c:rich>
      </c:tx>
      <c:layout>
        <c:manualLayout>
          <c:xMode val="edge"/>
          <c:yMode val="edge"/>
          <c:x val="0.3952748310062717"/>
          <c:y val="4.57910649829561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'Resultats - mensuals'!$C$4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'Resultats - mensuals'!$B$5:$B$17</c:f>
              <c:strCache>
                <c:ptCount val="12"/>
                <c:pt idx="0">
                  <c:v>gen</c:v>
                </c:pt>
                <c:pt idx="1">
                  <c:v>febr</c:v>
                </c:pt>
                <c:pt idx="2">
                  <c:v>març</c:v>
                </c:pt>
                <c:pt idx="3">
                  <c:v>abr</c:v>
                </c:pt>
                <c:pt idx="4">
                  <c:v>maig</c:v>
                </c:pt>
                <c:pt idx="5">
                  <c:v>juny</c:v>
                </c:pt>
                <c:pt idx="6">
                  <c:v>jul</c:v>
                </c:pt>
                <c:pt idx="7">
                  <c:v>ag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'Resultats - mensuals'!$C$5:$C$17</c:f>
              <c:numCache>
                <c:formatCode>#,##0</c:formatCode>
                <c:ptCount val="12"/>
                <c:pt idx="0">
                  <c:v>20417</c:v>
                </c:pt>
                <c:pt idx="1">
                  <c:v>14712</c:v>
                </c:pt>
                <c:pt idx="2">
                  <c:v>11952</c:v>
                </c:pt>
                <c:pt idx="3">
                  <c:v>10940</c:v>
                </c:pt>
                <c:pt idx="4">
                  <c:v>9326</c:v>
                </c:pt>
                <c:pt idx="5">
                  <c:v>11741</c:v>
                </c:pt>
                <c:pt idx="6">
                  <c:v>15202</c:v>
                </c:pt>
                <c:pt idx="7">
                  <c:v>10541</c:v>
                </c:pt>
                <c:pt idx="8">
                  <c:v>9883</c:v>
                </c:pt>
                <c:pt idx="9">
                  <c:v>8765</c:v>
                </c:pt>
                <c:pt idx="10">
                  <c:v>11226</c:v>
                </c:pt>
                <c:pt idx="11">
                  <c:v>17419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CC-4DFB-AEE3-701B990BD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07296448"/>
        <c:axId val="870634472"/>
      </c:barChart>
      <c:catAx>
        <c:axId val="80729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0634472"/>
        <c:crosses val="autoZero"/>
        <c:auto val="1"/>
        <c:lblAlgn val="ctr"/>
        <c:lblOffset val="100"/>
        <c:noMultiLvlLbl val="0"/>
      </c:catAx>
      <c:valAx>
        <c:axId val="870634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072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Energia FV autoconsumida horari kWh/h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'Introducció dades consum'!$G$4</c:f>
              <c:strCache>
                <c:ptCount val="1"/>
                <c:pt idx="0">
                  <c:v>AE_AUTOCONS_kWh</c:v>
                </c:pt>
              </c:strCache>
            </c:strRef>
          </c:tx>
          <c:invertIfNegative val="0"/>
          <c:cat>
            <c:numRef>
              <c:f>'Introducció dades consum'!$C$5:$C$9532</c:f>
              <c:numCache>
                <c:formatCode>m/d/yyyy</c:formatCode>
                <c:ptCount val="9528"/>
              </c:numCache>
            </c:numRef>
          </c:cat>
          <c:val>
            <c:numRef>
              <c:f>'Introducció dades consum'!$G$5:$G$9532</c:f>
              <c:numCache>
                <c:formatCode>#,##0.0</c:formatCode>
                <c:ptCount val="9528"/>
              </c:numCache>
            </c:numRef>
          </c:val>
          <c:extLst>
            <c:ext xmlns:c16="http://schemas.microsoft.com/office/drawing/2014/chart" uri="{C3380CC4-5D6E-409C-BE32-E72D297353CC}">
              <c16:uniqueId val="{00000001-EFC1-4C72-931A-5B8849FAA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3827608"/>
        <c:axId val="843827968"/>
      </c:barChart>
      <c:catAx>
        <c:axId val="84382760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43827968"/>
        <c:crosses val="autoZero"/>
        <c:auto val="0"/>
        <c:lblAlgn val="ctr"/>
        <c:lblOffset val="100"/>
        <c:noMultiLvlLbl val="1"/>
      </c:catAx>
      <c:valAx>
        <c:axId val="8438279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out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43827608"/>
        <c:crosses val="autoZero"/>
        <c:crossBetween val="between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  <c:extLst/>
  </c:chart>
  <c:txPr>
    <a:bodyPr/>
    <a:lstStyle/>
    <a:p>
      <a:pPr algn="ctr"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r>
              <a:rPr lang="ca-ES" sz="1100">
                <a:latin typeface="Neue Haas Grotesk Text Pro" panose="020B0504020202020204" pitchFamily="34" charset="0"/>
              </a:rPr>
              <a:t>MITJANA DE CONSUM HORARI</a:t>
            </a:r>
            <a:br>
              <a:rPr lang="ca-ES" sz="1100">
                <a:latin typeface="Neue Haas Grotesk Text Pro" panose="020B0504020202020204" pitchFamily="34" charset="0"/>
              </a:rPr>
            </a:br>
            <a:r>
              <a:rPr lang="ca-ES" sz="1100">
                <a:latin typeface="Neue Haas Grotesk Text Pro" panose="020B0504020202020204" pitchFamily="34" charset="0"/>
              </a:rPr>
              <a:t>- </a:t>
            </a:r>
            <a:r>
              <a:rPr lang="ca-ES" sz="1100" baseline="0">
                <a:latin typeface="Neue Haas Grotesk Text Pro" panose="020B0504020202020204" pitchFamily="34" charset="0"/>
              </a:rPr>
              <a:t>Dia no vacacional - </a:t>
            </a:r>
            <a:endParaRPr lang="ca-ES" sz="1100">
              <a:latin typeface="Neue Haas Grotesk Text Pro" panose="020B0504020202020204" pitchFamily="34" charset="0"/>
            </a:endParaRPr>
          </a:p>
        </c:rich>
      </c:tx>
      <c:layout>
        <c:manualLayout>
          <c:xMode val="edge"/>
          <c:yMode val="edge"/>
          <c:x val="0.3118630991723419"/>
          <c:y val="1.5189225457141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7.8551558135606089E-2"/>
          <c:y val="0.10359939708689606"/>
          <c:w val="0.85828468733943974"/>
          <c:h val="0.72056662588964582"/>
        </c:manualLayout>
      </c:layout>
      <c:lineChart>
        <c:grouping val="standard"/>
        <c:varyColors val="0"/>
        <c:ser>
          <c:idx val="0"/>
          <c:order val="0"/>
          <c:tx>
            <c:strRef>
              <c:f>'Resultats - informe'!$AV$84:$AV$85</c:f>
              <c:strCache>
                <c:ptCount val="2"/>
                <c:pt idx="0">
                  <c:v>MITJANA DIA LABORAL</c:v>
                </c:pt>
                <c:pt idx="1">
                  <c:v>kWh/h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'Resultats - informe'!$AM$86:$AM$109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'Resultats - informe'!$AV$86:$AV$109</c:f>
              <c:numCache>
                <c:formatCode>#,##0.0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#,##0.00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80-4477-8D6A-D81619A4A91B}"/>
            </c:ext>
          </c:extLst>
        </c:ser>
        <c:ser>
          <c:idx val="1"/>
          <c:order val="1"/>
          <c:tx>
            <c:strRef>
              <c:f>'Resultats - informe'!$AW$84:$AW$85</c:f>
              <c:strCache>
                <c:ptCount val="2"/>
                <c:pt idx="0">
                  <c:v>MITJANA CAP DE SETMANA</c:v>
                </c:pt>
                <c:pt idx="1">
                  <c:v>kWh/h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'Resultats - informe'!$AM$86:$AM$109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'Resultats - informe'!$AW$86:$AW$109</c:f>
              <c:numCache>
                <c:formatCode>#,##0.0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80-4477-8D6A-D81619A4A91B}"/>
            </c:ext>
          </c:extLst>
        </c:ser>
        <c:ser>
          <c:idx val="2"/>
          <c:order val="2"/>
          <c:tx>
            <c:strRef>
              <c:f>'Resultats - informe'!$AX$84:$AX$85</c:f>
              <c:strCache>
                <c:ptCount val="2"/>
                <c:pt idx="0">
                  <c:v>POTÈNCIA LABORABLE MITJANA OBERT/TANCAT </c:v>
                </c:pt>
                <c:pt idx="1">
                  <c:v>kW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8"/>
            <c:spPr>
              <a:solidFill>
                <a:schemeClr val="accent1"/>
              </a:solidFill>
              <a:ln w="9525">
                <a:noFill/>
                <a:prstDash val="dash"/>
                <a:extLst>
                  <a:ext uri="{C807C97D-BFC1-408E-A445-0C87EB9F89A2}">
                    <ask:lineSketchStyleProps xmlns:ask="http://schemas.microsoft.com/office/drawing/2018/sketchyshapes">
                      <ask:type>
                        <ask:lineSketchNone/>
                      </ask:type>
                    </ask:lineSketchStyleProps>
                  </a:ext>
                </a:extLst>
              </a:ln>
              <a:effectLst/>
            </c:spPr>
          </c:marker>
          <c:cat>
            <c:numRef>
              <c:f>'Resultats - informe'!$AM$86:$AM$109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'Resultats - informe'!$AX$86:$AX$109</c:f>
              <c:numCache>
                <c:formatCode>#,##0.0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80-4477-8D6A-D81619A4A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1361456"/>
        <c:axId val="851361816"/>
      </c:lineChart>
      <c:catAx>
        <c:axId val="851361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 Haas Grotesk Text Pro" panose="020B0504020202020204" pitchFamily="34" charset="0"/>
                    <a:ea typeface="+mn-ea"/>
                    <a:cs typeface="+mn-cs"/>
                  </a:defRPr>
                </a:pPr>
                <a:r>
                  <a:rPr lang="ca-ES">
                    <a:latin typeface="Neue Haas Grotesk Text Pro" panose="020B0504020202020204" pitchFamily="34" charset="0"/>
                  </a:rPr>
                  <a:t>Hora</a:t>
                </a:r>
                <a:r>
                  <a:rPr lang="ca-ES" baseline="0">
                    <a:latin typeface="Neue Haas Grotesk Text Pro" panose="020B0504020202020204" pitchFamily="34" charset="0"/>
                  </a:rPr>
                  <a:t> del dia</a:t>
                </a:r>
                <a:endParaRPr lang="ca-ES">
                  <a:latin typeface="Neue Haas Grotesk Text Pro" panose="020B05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711619475133822"/>
              <c:y val="0.877489707215743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 Haas Grotesk Text Pro" panose="020B0504020202020204" pitchFamily="34" charset="0"/>
                  <a:ea typeface="+mn-ea"/>
                  <a:cs typeface="+mn-cs"/>
                </a:defRPr>
              </a:pPr>
              <a:endParaRPr lang="ca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endParaRPr lang="ca-ES"/>
          </a:p>
        </c:txPr>
        <c:crossAx val="851361816"/>
        <c:crosses val="autoZero"/>
        <c:auto val="1"/>
        <c:lblAlgn val="ctr"/>
        <c:lblOffset val="100"/>
        <c:noMultiLvlLbl val="0"/>
      </c:catAx>
      <c:valAx>
        <c:axId val="851361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a-ES" sz="1100">
                    <a:latin typeface="Neue Haas Grotesk Text Pro" panose="020B0504020202020204" pitchFamily="34" charset="0"/>
                  </a:rPr>
                  <a:t>kWh/h</a:t>
                </a:r>
                <a:r>
                  <a:rPr lang="ca-ES" sz="1100" baseline="0">
                    <a:latin typeface="Neue Haas Grotesk Text Pro" panose="020B0504020202020204" pitchFamily="34" charset="0"/>
                  </a:rPr>
                  <a:t> o kW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endParaRPr lang="ca-ES"/>
          </a:p>
        </c:txPr>
        <c:crossAx val="851361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415370913717844E-2"/>
          <c:y val="0.91301776724972605"/>
          <c:w val="0.95214698623965299"/>
          <c:h val="7.33521304726336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r>
              <a:rPr lang="ca-ES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ue Haas Grotesk Text Pro" panose="020B0504020202020204" pitchFamily="34" charset="0"/>
              </a:rPr>
              <a:t>MITJANA DE CONSUM HORARI</a:t>
            </a:r>
            <a:br>
              <a:rPr lang="ca-ES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ue Haas Grotesk Text Pro" panose="020B0504020202020204" pitchFamily="34" charset="0"/>
              </a:rPr>
            </a:br>
            <a:r>
              <a:rPr lang="ca-ES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ue Haas Grotesk Text Pro" panose="020B0504020202020204" pitchFamily="34" charset="0"/>
              </a:rPr>
              <a:t>- Dia vacacional - </a:t>
            </a:r>
          </a:p>
        </c:rich>
      </c:tx>
      <c:layout>
        <c:manualLayout>
          <c:xMode val="edge"/>
          <c:yMode val="edge"/>
          <c:x val="0.32267081537461806"/>
          <c:y val="1.12364705752984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0.11766042449453709"/>
          <c:y val="8.5787374619330711E-2"/>
          <c:w val="0.86665474034031931"/>
          <c:h val="0.76799094910939725"/>
        </c:manualLayout>
      </c:layout>
      <c:lineChart>
        <c:grouping val="standard"/>
        <c:varyColors val="0"/>
        <c:ser>
          <c:idx val="0"/>
          <c:order val="0"/>
          <c:tx>
            <c:strRef>
              <c:f>'Resultats - informe'!$AU$133</c:f>
              <c:strCache>
                <c:ptCount val="1"/>
                <c:pt idx="0">
                  <c:v>PROMIG HORARI (kWh/h)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'Resultats - informe'!$AM$135:$AM$158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9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'Resultats - informe'!$AU$135:$AU$158</c:f>
              <c:numCache>
                <c:formatCode>#,##0.00</c:formatCode>
                <c:ptCount val="24"/>
                <c:pt idx="0" formatCode="#,##0.000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8A-4DF6-BD00-01781182D259}"/>
            </c:ext>
          </c:extLst>
        </c:ser>
        <c:ser>
          <c:idx val="2"/>
          <c:order val="1"/>
          <c:tx>
            <c:strRef>
              <c:f>'Resultats - informe'!$AV$133</c:f>
              <c:strCache>
                <c:ptCount val="1"/>
                <c:pt idx="0">
                  <c:v>POTÈNCIA MITJANA (kW)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8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cat>
            <c:numRef>
              <c:f>'Resultats - informe'!$AM$135:$AM$158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9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'Resultats - informe'!$AV$135:$AV$158</c:f>
              <c:numCache>
                <c:formatCode>#,##0.0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8A-4DF6-BD00-01781182D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1361456"/>
        <c:axId val="851361816"/>
      </c:lineChart>
      <c:catAx>
        <c:axId val="851361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 Haas Grotesk Text Pro" panose="020B0504020202020204" pitchFamily="34" charset="0"/>
                    <a:ea typeface="+mn-ea"/>
                    <a:cs typeface="+mn-cs"/>
                  </a:defRPr>
                </a:pPr>
                <a:r>
                  <a:rPr lang="ca-ES" sz="1200"/>
                  <a:t>Hora del dia</a:t>
                </a:r>
              </a:p>
            </c:rich>
          </c:tx>
          <c:layout>
            <c:manualLayout>
              <c:xMode val="edge"/>
              <c:yMode val="edge"/>
              <c:x val="0.47070474754758146"/>
              <c:y val="0.901629827684560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 Haas Grotesk Text Pro" panose="020B0504020202020204" pitchFamily="34" charset="0"/>
                  <a:ea typeface="+mn-ea"/>
                  <a:cs typeface="+mn-cs"/>
                </a:defRPr>
              </a:pPr>
              <a:endParaRPr lang="ca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endParaRPr lang="ca-ES"/>
          </a:p>
        </c:txPr>
        <c:crossAx val="851361816"/>
        <c:crosses val="autoZero"/>
        <c:auto val="1"/>
        <c:lblAlgn val="ctr"/>
        <c:lblOffset val="100"/>
        <c:noMultiLvlLbl val="0"/>
      </c:catAx>
      <c:valAx>
        <c:axId val="851361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 Haas Grotesk Text Pro" panose="020B0504020202020204" pitchFamily="34" charset="0"/>
                    <a:ea typeface="+mn-ea"/>
                    <a:cs typeface="+mn-cs"/>
                  </a:defRPr>
                </a:pPr>
                <a:r>
                  <a:rPr lang="ca-ES" sz="1100"/>
                  <a:t>kWh/h</a:t>
                </a:r>
                <a:r>
                  <a:rPr lang="ca-ES" sz="1100" baseline="0"/>
                  <a:t> </a:t>
                </a:r>
                <a:endParaRPr lang="ca-ES" sz="1100"/>
              </a:p>
            </c:rich>
          </c:tx>
          <c:layout>
            <c:manualLayout>
              <c:xMode val="edge"/>
              <c:yMode val="edge"/>
              <c:x val="2.252578063812008E-2"/>
              <c:y val="0.412663742487901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 Haas Grotesk Text Pro" panose="020B0504020202020204" pitchFamily="34" charset="0"/>
                  <a:ea typeface="+mn-ea"/>
                  <a:cs typeface="+mn-cs"/>
                </a:defRPr>
              </a:pPr>
              <a:endParaRPr lang="ca-E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endParaRPr lang="ca-ES"/>
          </a:p>
        </c:txPr>
        <c:crossAx val="851361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679463926721995E-2"/>
          <c:y val="0.95538802886242569"/>
          <c:w val="0.81264107214655601"/>
          <c:h val="3.452188066574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Neue Haas Grotesk Text Pro" panose="020B0504020202020204" pitchFamily="34" charset="0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r>
              <a:rPr lang="ca-ES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ue Haas Grotesk Text Pro" panose="020B0504020202020204" pitchFamily="34" charset="0"/>
              </a:rPr>
              <a:t>MITJANA DE CONSUM HORARI EN</a:t>
            </a:r>
            <a:r>
              <a:rPr lang="ca-ES" sz="1100"/>
              <a:t> DIA LABORABLE</a:t>
            </a:r>
            <a:br>
              <a:rPr lang="ca-ES" sz="1100"/>
            </a:br>
            <a:r>
              <a:rPr lang="ca-ES" sz="1100"/>
              <a:t>- segons estacions -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0.10344531772951397"/>
          <c:y val="0.12506733173935747"/>
          <c:w val="0.87439333806913278"/>
          <c:h val="0.71191399453234061"/>
        </c:manualLayout>
      </c:layout>
      <c:lineChart>
        <c:grouping val="standard"/>
        <c:varyColors val="0"/>
        <c:ser>
          <c:idx val="0"/>
          <c:order val="0"/>
          <c:tx>
            <c:strRef>
              <c:f>'Resultats - informe'!$I$102</c:f>
              <c:strCache>
                <c:ptCount val="1"/>
                <c:pt idx="0">
                  <c:v>HIVERN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'Resultats - informe'!$AM$86:$AM$109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'Resultats - informe'!$AY$86:$AY$109</c:f>
              <c:numCache>
                <c:formatCode>#,##0.0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20-4AE5-984A-3CAA789BDF01}"/>
            </c:ext>
          </c:extLst>
        </c:ser>
        <c:ser>
          <c:idx val="1"/>
          <c:order val="1"/>
          <c:tx>
            <c:strRef>
              <c:f>'Resultats - informe'!$J$102</c:f>
              <c:strCache>
                <c:ptCount val="1"/>
                <c:pt idx="0">
                  <c:v>ENTRETEMPS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'Resultats - informe'!$AM$86:$AM$109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'Resultats - informe'!$AZ$86:$AZ$109</c:f>
              <c:numCache>
                <c:formatCode>#,##0.0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20-4AE5-984A-3CAA789BDF01}"/>
            </c:ext>
          </c:extLst>
        </c:ser>
        <c:ser>
          <c:idx val="2"/>
          <c:order val="2"/>
          <c:tx>
            <c:strRef>
              <c:f>'Resultats - informe'!$K$102</c:f>
              <c:strCache>
                <c:ptCount val="1"/>
                <c:pt idx="0">
                  <c:v>ESTIU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'Resultats - informe'!$AM$86:$AM$109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'Resultats - informe'!$BA$86:$BA$109</c:f>
              <c:numCache>
                <c:formatCode>#,##0.0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20-4AE5-984A-3CAA789BD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6813152"/>
        <c:axId val="946804872"/>
      </c:lineChart>
      <c:catAx>
        <c:axId val="946813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 Haas Grotesk Text Pro" panose="020B0504020202020204" pitchFamily="34" charset="0"/>
                    <a:ea typeface="+mn-ea"/>
                    <a:cs typeface="+mn-cs"/>
                  </a:defRPr>
                </a:pPr>
                <a:r>
                  <a:rPr lang="ca-ES" sz="1200"/>
                  <a:t>Hora del dia</a:t>
                </a:r>
              </a:p>
            </c:rich>
          </c:tx>
          <c:layout>
            <c:manualLayout>
              <c:xMode val="edge"/>
              <c:yMode val="edge"/>
              <c:x val="0.44787828853801381"/>
              <c:y val="0.8883556380324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 Haas Grotesk Text Pro" panose="020B0504020202020204" pitchFamily="34" charset="0"/>
                  <a:ea typeface="+mn-ea"/>
                  <a:cs typeface="+mn-cs"/>
                </a:defRPr>
              </a:pPr>
              <a:endParaRPr lang="ca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endParaRPr lang="ca-ES"/>
          </a:p>
        </c:txPr>
        <c:crossAx val="946804872"/>
        <c:crosses val="autoZero"/>
        <c:auto val="1"/>
        <c:lblAlgn val="ctr"/>
        <c:lblOffset val="100"/>
        <c:noMultiLvlLbl val="0"/>
      </c:catAx>
      <c:valAx>
        <c:axId val="94680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eue Haas Grotesk Text Pro" panose="020B0504020202020204" pitchFamily="34" charset="0"/>
                    <a:ea typeface="+mn-ea"/>
                    <a:cs typeface="+mn-cs"/>
                  </a:defRPr>
                </a:pPr>
                <a:r>
                  <a:rPr lang="ca-ES" sz="1100"/>
                  <a:t>kWh/h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eue Haas Grotesk Text Pro" panose="020B0504020202020204" pitchFamily="34" charset="0"/>
                  <a:ea typeface="+mn-ea"/>
                  <a:cs typeface="+mn-cs"/>
                </a:defRPr>
              </a:pPr>
              <a:endParaRPr lang="ca-E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endParaRPr lang="ca-ES"/>
          </a:p>
        </c:txPr>
        <c:crossAx val="94681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Neue Haas Grotesk Text Pro" panose="020B0504020202020204" pitchFamily="34" charset="0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r>
              <a:rPr lang="en-US" sz="1100"/>
              <a:t>Consum segons</a:t>
            </a:r>
            <a:r>
              <a:rPr lang="en-US" sz="1100" baseline="0"/>
              <a:t> tipus de dia</a:t>
            </a:r>
            <a:r>
              <a:rPr lang="en-US" sz="1100"/>
              <a:t> (kWh)</a:t>
            </a:r>
          </a:p>
        </c:rich>
      </c:tx>
      <c:layout>
        <c:manualLayout>
          <c:xMode val="edge"/>
          <c:yMode val="edge"/>
          <c:x val="0.18148571747666287"/>
          <c:y val="1.955054653920594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7020623130211238"/>
          <c:y val="0.11770887976738359"/>
          <c:w val="0.68466429374336235"/>
          <c:h val="0.79567978348743151"/>
        </c:manualLayout>
      </c:layout>
      <c:pieChart>
        <c:varyColors val="1"/>
        <c:ser>
          <c:idx val="1"/>
          <c:order val="0"/>
          <c:tx>
            <c:strRef>
              <c:f>'Resultats - informe'!$F$48:$F$49</c:f>
              <c:strCache>
                <c:ptCount val="2"/>
                <c:pt idx="0">
                  <c:v>Consum període</c:v>
                </c:pt>
                <c:pt idx="1">
                  <c:v>(kWh)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'Resultats - informe'!$C$51:$C$53</c:f>
              <c:strCache>
                <c:ptCount val="3"/>
                <c:pt idx="0">
                  <c:v>Feiner</c:v>
                </c:pt>
                <c:pt idx="1">
                  <c:v>Cap de setmana</c:v>
                </c:pt>
                <c:pt idx="2">
                  <c:v>Vacances</c:v>
                </c:pt>
              </c:strCache>
            </c:strRef>
          </c:cat>
          <c:val>
            <c:numRef>
              <c:f>'Resultats - informe'!$F$51:$F$53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D5A-4174-AA1C-3378075BAF24}"/>
            </c:ext>
          </c:extLst>
        </c:ser>
        <c:ser>
          <c:idx val="0"/>
          <c:order val="1"/>
          <c:tx>
            <c:strRef>
              <c:f>'Resultats - informe'!$F$48:$F$49</c:f>
              <c:strCache>
                <c:ptCount val="2"/>
                <c:pt idx="0">
                  <c:v>Consum període</c:v>
                </c:pt>
                <c:pt idx="1">
                  <c:v>(kWh)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0D5A-4174-AA1C-3378075BAF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D5A-4174-AA1C-3378075BAF2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0D5A-4174-AA1C-3378075BAF24}"/>
              </c:ext>
            </c:extLst>
          </c:dPt>
          <c:dLbls>
            <c:dLbl>
              <c:idx val="0"/>
              <c:layout>
                <c:manualLayout>
                  <c:x val="-0.16800472928361004"/>
                  <c:y val="-0.2455978988128728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5A-4174-AA1C-3378075BAF24}"/>
                </c:ext>
              </c:extLst>
            </c:dLbl>
            <c:dLbl>
              <c:idx val="2"/>
              <c:layout>
                <c:manualLayout>
                  <c:x val="4.7717219608133653E-2"/>
                  <c:y val="0.12023923744084976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1026707514953675"/>
                      <c:h val="0.1818548829135398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0D5A-4174-AA1C-3378075BAF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Neue Haas Grotesk Text Pro" panose="020B0504020202020204" pitchFamily="34" charset="0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'Resultats - informe'!$C$51:$C$53</c:f>
              <c:strCache>
                <c:ptCount val="3"/>
                <c:pt idx="0">
                  <c:v>Feiner</c:v>
                </c:pt>
                <c:pt idx="1">
                  <c:v>Cap de setmana</c:v>
                </c:pt>
                <c:pt idx="2">
                  <c:v>Vacances</c:v>
                </c:pt>
              </c:strCache>
            </c:strRef>
          </c:cat>
          <c:val>
            <c:numRef>
              <c:f>'Resultats - informe'!$F$51:$F$53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D5A-4174-AA1C-3378075BA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Neue Haas Grotesk Text Pro" panose="020B0504020202020204" pitchFamily="34" charset="0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r>
              <a:rPr lang="ca-ES" sz="1100"/>
              <a:t>Consum diari (kWh/dia)</a:t>
            </a:r>
          </a:p>
        </c:rich>
      </c:tx>
      <c:layout>
        <c:manualLayout>
          <c:xMode val="edge"/>
          <c:yMode val="edge"/>
          <c:x val="0.34943874712376266"/>
          <c:y val="4.67646473994682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0.15136755254197354"/>
          <c:y val="0.12384618271072234"/>
          <c:w val="0.54085792440923397"/>
          <c:h val="0.78971325963327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'Resultats - informe'!$C$51</c:f>
              <c:strCache>
                <c:ptCount val="1"/>
                <c:pt idx="0">
                  <c:v>Feiner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eue Haas Grotesk Text Pro" panose="020B0504020202020204" pitchFamily="34" charset="0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('Resultats - informe'!$H$48:$H$49,'Resultats - informe'!$H$51:$H$53)</c:f>
              <c:multiLvlStrCache>
                <c:ptCount val="2"/>
                <c:lvl>
                  <c:pt idx="0">
                    <c:v>(kWh/dia)</c:v>
                  </c:pt>
                  <c:pt idx="1">
                    <c:v>0</c:v>
                  </c:pt>
                </c:lvl>
                <c:lvl>
                  <c:pt idx="0">
                    <c:v>Consum diari</c:v>
                  </c:pt>
                  <c:pt idx="1">
                    <c:v>#DIV/0!</c:v>
                  </c:pt>
                </c:lvl>
                <c:lvl>
                  <c:pt idx="1">
                    <c:v>#DIV/0!</c:v>
                  </c:pt>
                </c:lvl>
              </c:multiLvlStrCache>
            </c:multiLvlStrRef>
          </c:cat>
          <c:val>
            <c:numRef>
              <c:f>'Resultats - informe'!$H$51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B-491B-8AAA-E170743E0167}"/>
            </c:ext>
          </c:extLst>
        </c:ser>
        <c:ser>
          <c:idx val="1"/>
          <c:order val="1"/>
          <c:tx>
            <c:strRef>
              <c:f>'Resultats - informe'!$C$52</c:f>
              <c:strCache>
                <c:ptCount val="1"/>
                <c:pt idx="0">
                  <c:v>Cap de setmana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eue Haas Grotesk Text Pro" panose="020B0504020202020204" pitchFamily="34" charset="0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('Resultats - informe'!$H$48:$H$49,'Resultats - informe'!$H$51:$H$53)</c:f>
              <c:multiLvlStrCache>
                <c:ptCount val="2"/>
                <c:lvl>
                  <c:pt idx="0">
                    <c:v>(kWh/dia)</c:v>
                  </c:pt>
                  <c:pt idx="1">
                    <c:v>0</c:v>
                  </c:pt>
                </c:lvl>
                <c:lvl>
                  <c:pt idx="0">
                    <c:v>Consum diari</c:v>
                  </c:pt>
                  <c:pt idx="1">
                    <c:v>#DIV/0!</c:v>
                  </c:pt>
                </c:lvl>
                <c:lvl>
                  <c:pt idx="1">
                    <c:v>#DIV/0!</c:v>
                  </c:pt>
                </c:lvl>
              </c:multiLvlStrCache>
            </c:multiLvlStrRef>
          </c:cat>
          <c:val>
            <c:numRef>
              <c:f>'Resultats - informe'!$H$52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1B-491B-8AAA-E170743E0167}"/>
            </c:ext>
          </c:extLst>
        </c:ser>
        <c:ser>
          <c:idx val="2"/>
          <c:order val="2"/>
          <c:tx>
            <c:strRef>
              <c:f>'Resultats - informe'!$C$53</c:f>
              <c:strCache>
                <c:ptCount val="1"/>
                <c:pt idx="0">
                  <c:v>Vacances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eue Haas Grotesk Text Pro" panose="020B0504020202020204" pitchFamily="34" charset="0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('Resultats - informe'!$H$48:$H$49,'Resultats - informe'!$H$51:$H$53)</c:f>
              <c:multiLvlStrCache>
                <c:ptCount val="2"/>
                <c:lvl>
                  <c:pt idx="0">
                    <c:v>(kWh/dia)</c:v>
                  </c:pt>
                  <c:pt idx="1">
                    <c:v>0</c:v>
                  </c:pt>
                </c:lvl>
                <c:lvl>
                  <c:pt idx="0">
                    <c:v>Consum diari</c:v>
                  </c:pt>
                  <c:pt idx="1">
                    <c:v>#DIV/0!</c:v>
                  </c:pt>
                </c:lvl>
                <c:lvl>
                  <c:pt idx="1">
                    <c:v>#DIV/0!</c:v>
                  </c:pt>
                </c:lvl>
              </c:multiLvlStrCache>
            </c:multiLvlStrRef>
          </c:cat>
          <c:val>
            <c:numRef>
              <c:f>'Resultats - informe'!$H$53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1B-491B-8AAA-E170743E016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5"/>
        <c:overlap val="-50"/>
        <c:axId val="1482860848"/>
        <c:axId val="1482863008"/>
      </c:barChart>
      <c:catAx>
        <c:axId val="1482860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82863008"/>
        <c:crosses val="autoZero"/>
        <c:auto val="1"/>
        <c:lblAlgn val="ctr"/>
        <c:lblOffset val="100"/>
        <c:noMultiLvlLbl val="0"/>
      </c:catAx>
      <c:valAx>
        <c:axId val="148286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endParaRPr lang="ca-ES"/>
          </a:p>
        </c:txPr>
        <c:crossAx val="148286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780280621575201"/>
          <c:y val="0.29751421732982797"/>
          <c:w val="0.23301619233963161"/>
          <c:h val="0.40678699812111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Neue Haas Grotesk Text Pro" panose="020B0504020202020204" pitchFamily="34" charset="0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r>
              <a:rPr lang="ca-ES" sz="1100">
                <a:latin typeface="Neue Haas Grotesk Text Pro" panose="020B0504020202020204" pitchFamily="34" charset="0"/>
              </a:rPr>
              <a:t>Consums en dies vacacionals</a:t>
            </a:r>
          </a:p>
        </c:rich>
      </c:tx>
      <c:layout>
        <c:manualLayout>
          <c:xMode val="edge"/>
          <c:yMode val="edge"/>
          <c:x val="0.34730934636783761"/>
          <c:y val="4.20788258402382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0.11898195880777969"/>
          <c:y val="0.16276712424277365"/>
          <c:w val="0.86102249124492269"/>
          <c:h val="0.7243675079462554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'Resultats - informe'!$C$26:$C$29</c:f>
              <c:strCache>
                <c:ptCount val="4"/>
                <c:pt idx="0">
                  <c:v>reis</c:v>
                </c:pt>
                <c:pt idx="1">
                  <c:v>Set Santa</c:v>
                </c:pt>
                <c:pt idx="2">
                  <c:v>Pont Agost</c:v>
                </c:pt>
                <c:pt idx="3">
                  <c:v>Nadal</c:v>
                </c:pt>
              </c:strCache>
            </c:strRef>
          </c:cat>
          <c:val>
            <c:numRef>
              <c:f>'Resultats - informe'!$H$26:$H$29</c:f>
              <c:numCache>
                <c:formatCode>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A-4339-B508-2FC620D64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819470192"/>
        <c:axId val="733204504"/>
      </c:barChart>
      <c:catAx>
        <c:axId val="81947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733204504"/>
        <c:crosses val="autoZero"/>
        <c:auto val="1"/>
        <c:lblAlgn val="ctr"/>
        <c:lblOffset val="100"/>
        <c:noMultiLvlLbl val="0"/>
      </c:catAx>
      <c:valAx>
        <c:axId val="73320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a-ES" sz="1100"/>
                  <a:t>kWh/h</a:t>
                </a:r>
              </a:p>
            </c:rich>
          </c:tx>
          <c:layout>
            <c:manualLayout>
              <c:xMode val="edge"/>
              <c:yMode val="edge"/>
              <c:x val="1.9710492112516357E-2"/>
              <c:y val="0.470103619825558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19470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>
      <cx:tx>
        <cx:txData>
          <cx:v>Histograma de consums</cx:v>
        </cx:txData>
      </cx:tx>
      <cx:txPr>
        <a:bodyPr rot="0" spcFirstLastPara="1" vertOverflow="ellipsis" vert="horz" wrap="square" lIns="38100" tIns="19050" rIns="38100" bIns="19050" anchor="ctr" anchorCtr="1" compatLnSpc="0"/>
        <a:lstStyle/>
        <a:p>
          <a:pPr algn="ctr" rtl="0">
            <a:defRPr lang="en-US" sz="2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r>
            <a:rPr kumimoji="0" lang="en-US" sz="2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Histograma de consums</a:t>
          </a:r>
        </a:p>
      </cx:txPr>
    </cx:title>
    <cx:plotArea>
      <cx:plotAreaRegion>
        <cx:series layoutId="clusteredColumn" uniqueId="{F2ED33B1-7684-41D8-979F-C30CFF4C5A44}" formatIdx="0">
          <cx:tx>
            <cx:txData>
              <cx:f>_xlchart.v1.1</cx:f>
              <cx:v>Energia  Consumida</cx:v>
            </cx:txData>
          </cx:tx>
          <cx:dataLabels>
            <cx:numFmt formatCode="#.##0" sourceLinked="0"/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800"/>
                </a:pPr>
                <a:endParaRPr lang="ca-ES" sz="1800" b="0" i="0" u="none" strike="noStrike" kern="1200" baseline="0">
                  <a:solidFill>
                    <a:sysClr val="windowText" lastClr="000000"/>
                  </a:solidFill>
                  <a:latin typeface="Calibri" panose="020F0502020204030204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binning intervalClosed="r">
              <cx:binSize val="0.5"/>
            </cx:binning>
          </cx:layoutPr>
          <cx:axisId val="1"/>
        </cx:series>
        <cx:series layoutId="paretoLine" ownerIdx="0" uniqueId="{72405B1B-9182-4381-B340-CD34D7B1F89E}">
          <cx:axisId val="2"/>
        </cx:series>
      </cx:plotAreaRegion>
      <cx:axis id="0">
        <cx:catScaling gapWidth="0.330000013"/>
        <cx:title>
          <cx:tx>
            <cx:txData>
              <cx:v>kWh/h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 sz="2000"/>
              </a:pPr>
              <a:r>
                <a:rPr lang="ca-ES" sz="2000" b="1" i="0" u="none" strike="noStrike" kern="1200" baseline="0">
                  <a:solidFill>
                    <a:sysClr val="windowText" lastClr="000000"/>
                  </a:solidFill>
                  <a:latin typeface="Calibri" panose="020F0502020204030204"/>
                </a:rPr>
                <a:t>kWh/h</a:t>
              </a:r>
            </a:p>
          </cx:txPr>
        </cx:title>
        <cx:tickLabels/>
        <cx:txPr>
          <a:bodyPr vertOverflow="overflow" horzOverflow="overflow" wrap="square" lIns="0" tIns="0" rIns="0" bIns="0"/>
          <a:lstStyle/>
          <a:p>
            <a:pPr algn="ctr" rtl="0">
              <a:defRPr sz="20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sz="2000"/>
          </a:p>
        </cx:txPr>
      </cx:axis>
      <cx:axis id="1">
        <cx:valScaling min="0"/>
        <cx:title>
          <cx:tx>
            <cx:txData>
              <cx:v>hores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 sz="2000"/>
              </a:pPr>
              <a:r>
                <a:rPr lang="ca-ES" sz="2000" b="1" i="0" u="none" strike="noStrike" kern="1200" baseline="0">
                  <a:solidFill>
                    <a:sysClr val="windowText" lastClr="000000"/>
                  </a:solidFill>
                  <a:latin typeface="Calibri" panose="020F0502020204030204"/>
                </a:rPr>
                <a:t>hores</a:t>
              </a:r>
            </a:p>
          </cx:txPr>
        </cx:title>
        <cx:majorGridlines/>
        <cx:tickLabels/>
        <cx:numFmt formatCode="#.##0" sourceLinked="0"/>
        <cx:txPr>
          <a:bodyPr vertOverflow="overflow" horzOverflow="overflow" wrap="square" lIns="0" tIns="0" rIns="0" bIns="0"/>
          <a:lstStyle/>
          <a:p>
            <a:pPr algn="ctr" rtl="0">
              <a:defRPr sz="18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sz="1800"/>
          </a:p>
        </cx:txPr>
      </cx:axis>
      <cx:axis id="2">
        <cx:valScaling max="1" min="0"/>
        <cx:units unit="percentage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acrossLinear" id="2">
  <a:schemeClr val="accent1"/>
  <a:schemeClr val="accent2"/>
  <a:schemeClr val="accent3"/>
  <a:schemeClr val="accent4"/>
  <a:schemeClr val="accent5"/>
  <a:schemeClr val="accent6"/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Resultats - informe'!A1"/><Relationship Id="rId7" Type="http://schemas.openxmlformats.org/officeDocument/2006/relationships/hyperlink" Target="#'Instruccions detallades'!A1"/><Relationship Id="rId2" Type="http://schemas.openxmlformats.org/officeDocument/2006/relationships/hyperlink" Target="#'Resultats - diaris'!A1"/><Relationship Id="rId1" Type="http://schemas.openxmlformats.org/officeDocument/2006/relationships/hyperlink" Target="#'Introducci&#243; dades generals'!A1"/><Relationship Id="rId6" Type="http://schemas.openxmlformats.org/officeDocument/2006/relationships/hyperlink" Target="#'Resultats - mensuals'!A1"/><Relationship Id="rId5" Type="http://schemas.openxmlformats.org/officeDocument/2006/relationships/image" Target="../media/image1.jpeg"/><Relationship Id="rId4" Type="http://schemas.openxmlformats.org/officeDocument/2006/relationships/hyperlink" Target="#'Introducci&#243; dades consum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#'Resultats - informe'!A1"/><Relationship Id="rId7" Type="http://schemas.openxmlformats.org/officeDocument/2006/relationships/image" Target="../media/image3.png"/><Relationship Id="rId2" Type="http://schemas.openxmlformats.org/officeDocument/2006/relationships/hyperlink" Target="#'Resultats - diaris'!A1"/><Relationship Id="rId1" Type="http://schemas.openxmlformats.org/officeDocument/2006/relationships/hyperlink" Target="#'Introducci&#243; dades generals'!A1"/><Relationship Id="rId6" Type="http://schemas.openxmlformats.org/officeDocument/2006/relationships/image" Target="../media/image2.png"/><Relationship Id="rId5" Type="http://schemas.openxmlformats.org/officeDocument/2006/relationships/hyperlink" Target="#'Resultats - mensuals'!A1"/><Relationship Id="rId4" Type="http://schemas.openxmlformats.org/officeDocument/2006/relationships/hyperlink" Target="#'Introducci&#243; dades consum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Introducci&#243; dades consum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.xml"/><Relationship Id="rId3" Type="http://schemas.openxmlformats.org/officeDocument/2006/relationships/hyperlink" Target="#'Resultats - diaris'!A1"/><Relationship Id="rId7" Type="http://schemas.openxmlformats.org/officeDocument/2006/relationships/chart" Target="../charts/chart2.xml"/><Relationship Id="rId2" Type="http://schemas.openxmlformats.org/officeDocument/2006/relationships/hyperlink" Target="#'Introducci&#243; dades generals'!A1"/><Relationship Id="rId1" Type="http://schemas.openxmlformats.org/officeDocument/2006/relationships/chart" Target="../charts/chart1.xml"/><Relationship Id="rId6" Type="http://schemas.microsoft.com/office/2014/relationships/chartEx" Target="../charts/chartEx1.xml"/><Relationship Id="rId5" Type="http://schemas.openxmlformats.org/officeDocument/2006/relationships/hyperlink" Target="#'Resultats - mensuals'!A1"/><Relationship Id="rId4" Type="http://schemas.openxmlformats.org/officeDocument/2006/relationships/hyperlink" Target="#'Resultats - informe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4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3.xml"/><Relationship Id="rId17" Type="http://schemas.openxmlformats.org/officeDocument/2006/relationships/chart" Target="../charts/chart18.xml"/><Relationship Id="rId2" Type="http://schemas.openxmlformats.org/officeDocument/2006/relationships/chart" Target="../charts/chart5.xml"/><Relationship Id="rId16" Type="http://schemas.openxmlformats.org/officeDocument/2006/relationships/chart" Target="../charts/chart17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2.xml"/><Relationship Id="rId5" Type="http://schemas.openxmlformats.org/officeDocument/2006/relationships/chart" Target="../charts/chart8.xml"/><Relationship Id="rId15" Type="http://schemas.openxmlformats.org/officeDocument/2006/relationships/chart" Target="../charts/chart16.xml"/><Relationship Id="rId10" Type="http://schemas.openxmlformats.org/officeDocument/2006/relationships/hyperlink" Target="#'Resultats - mensuals'!A1"/><Relationship Id="rId4" Type="http://schemas.openxmlformats.org/officeDocument/2006/relationships/chart" Target="../charts/chart7.xml"/><Relationship Id="rId9" Type="http://schemas.openxmlformats.org/officeDocument/2006/relationships/hyperlink" Target="#'Resultats - diaris'!A1"/><Relationship Id="rId14" Type="http://schemas.openxmlformats.org/officeDocument/2006/relationships/chart" Target="../charts/chart1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Resultats - mensuals'!A1"/><Relationship Id="rId2" Type="http://schemas.openxmlformats.org/officeDocument/2006/relationships/hyperlink" Target="#'Resultats - informe'!A1"/><Relationship Id="rId1" Type="http://schemas.openxmlformats.org/officeDocument/2006/relationships/chart" Target="../charts/chart1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Resultats - diaris'!A1"/><Relationship Id="rId2" Type="http://schemas.openxmlformats.org/officeDocument/2006/relationships/hyperlink" Target="#'Resultats - informe'!A1"/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40799</xdr:colOff>
      <xdr:row>22</xdr:row>
      <xdr:rowOff>36356</xdr:rowOff>
    </xdr:from>
    <xdr:to>
      <xdr:col>6</xdr:col>
      <xdr:colOff>304800</xdr:colOff>
      <xdr:row>24</xdr:row>
      <xdr:rowOff>0</xdr:rowOff>
    </xdr:to>
    <xdr:sp macro="" textlink="">
      <xdr:nvSpPr>
        <xdr:cNvPr id="4" name="Rectangle arrodoni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ACE372-4D22-44EB-A0AF-CB7AC9BFDA5C}"/>
            </a:ext>
          </a:extLst>
        </xdr:cNvPr>
        <xdr:cNvSpPr/>
      </xdr:nvSpPr>
      <xdr:spPr>
        <a:xfrm>
          <a:off x="2288699" y="7153436"/>
          <a:ext cx="1483201" cy="497044"/>
        </a:xfrm>
        <a:prstGeom prst="roundRect">
          <a:avLst/>
        </a:prstGeom>
        <a:solidFill>
          <a:schemeClr val="accent4">
            <a:lumMod val="75000"/>
          </a:schemeClr>
        </a:solidFill>
        <a:ln>
          <a:solidFill>
            <a:schemeClr val="accent4">
              <a:lumMod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Introducció</a:t>
          </a:r>
          <a: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 de dades generals</a:t>
          </a:r>
          <a:endParaRPr lang="ca-ES" sz="105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4</xdr:col>
      <xdr:colOff>55244</xdr:colOff>
      <xdr:row>30</xdr:row>
      <xdr:rowOff>247650</xdr:rowOff>
    </xdr:from>
    <xdr:to>
      <xdr:col>6</xdr:col>
      <xdr:colOff>304800</xdr:colOff>
      <xdr:row>32</xdr:row>
      <xdr:rowOff>251300</xdr:rowOff>
    </xdr:to>
    <xdr:sp macro="" textlink="">
      <xdr:nvSpPr>
        <xdr:cNvPr id="5" name="Rectangle arrodoni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EBC2FB-3A90-469D-8857-5EEE4A821689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2988944" y="9829800"/>
          <a:ext cx="1811656" cy="537050"/>
        </a:xfrm>
        <a:prstGeom prst="roundRect">
          <a:avLst/>
        </a:prstGeom>
        <a:solidFill>
          <a:schemeClr val="accent5"/>
        </a:solidFill>
        <a:ln>
          <a:solidFill>
            <a:schemeClr val="accent5">
              <a:lumMod val="75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Resultats diaris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4</xdr:col>
      <xdr:colOff>17145</xdr:colOff>
      <xdr:row>38</xdr:row>
      <xdr:rowOff>251459</xdr:rowOff>
    </xdr:from>
    <xdr:to>
      <xdr:col>6</xdr:col>
      <xdr:colOff>281940</xdr:colOff>
      <xdr:row>39</xdr:row>
      <xdr:rowOff>504825</xdr:rowOff>
    </xdr:to>
    <xdr:sp macro="" textlink="">
      <xdr:nvSpPr>
        <xdr:cNvPr id="6" name="Rectangle arrodonit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8292D0-C46A-4068-BB6D-72F60730A441}"/>
            </a:ext>
            <a:ext uri="{147F2762-F138-4A5C-976F-8EAC2B608ADB}">
              <a16:predDERef xmlns:a16="http://schemas.microsoft.com/office/drawing/2014/main" pred="{1CD190A3-C479-48A2-8264-568EFF5751B2}"/>
            </a:ext>
          </a:extLst>
        </xdr:cNvPr>
        <xdr:cNvSpPr/>
      </xdr:nvSpPr>
      <xdr:spPr>
        <a:xfrm>
          <a:off x="2950845" y="11967209"/>
          <a:ext cx="1826895" cy="520066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>
          <a:solidFill>
            <a:schemeClr val="accent5">
              <a:lumMod val="40000"/>
              <a:lumOff val="6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Resultats - informe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4</xdr:col>
      <xdr:colOff>40799</xdr:colOff>
      <xdr:row>26</xdr:row>
      <xdr:rowOff>36356</xdr:rowOff>
    </xdr:from>
    <xdr:to>
      <xdr:col>6</xdr:col>
      <xdr:colOff>304800</xdr:colOff>
      <xdr:row>27</xdr:row>
      <xdr:rowOff>219075</xdr:rowOff>
    </xdr:to>
    <xdr:sp macro="" textlink="">
      <xdr:nvSpPr>
        <xdr:cNvPr id="7" name="Rectangle arrodonit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ADF14A-CB3A-4847-A800-0D9D5D98A4ED}"/>
            </a:ext>
          </a:extLst>
        </xdr:cNvPr>
        <xdr:cNvSpPr/>
      </xdr:nvSpPr>
      <xdr:spPr>
        <a:xfrm>
          <a:off x="2288699" y="8220236"/>
          <a:ext cx="1483201" cy="449419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accent4">
              <a:lumMod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Introducció</a:t>
          </a:r>
          <a: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 de dades</a:t>
          </a:r>
          <a:b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</a:br>
          <a: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de consum </a:t>
          </a:r>
          <a:endParaRPr lang="ca-ES" sz="105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 editAs="oneCell">
    <xdr:from>
      <xdr:col>9</xdr:col>
      <xdr:colOff>266700</xdr:colOff>
      <xdr:row>1</xdr:row>
      <xdr:rowOff>190500</xdr:rowOff>
    </xdr:from>
    <xdr:to>
      <xdr:col>12</xdr:col>
      <xdr:colOff>209137</xdr:colOff>
      <xdr:row>3</xdr:row>
      <xdr:rowOff>168372</xdr:rowOff>
    </xdr:to>
    <xdr:pic>
      <xdr:nvPicPr>
        <xdr:cNvPr id="8" name="Imatge 7">
          <a:extLst>
            <a:ext uri="{FF2B5EF4-FFF2-40B4-BE49-F238E27FC236}">
              <a16:creationId xmlns:a16="http://schemas.microsoft.com/office/drawing/2014/main" id="{7E5F9907-568D-483A-8FBE-7F3DA25E9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285750"/>
          <a:ext cx="2307018" cy="777972"/>
        </a:xfrm>
        <a:prstGeom prst="rect">
          <a:avLst/>
        </a:prstGeom>
      </xdr:spPr>
    </xdr:pic>
    <xdr:clientData/>
  </xdr:twoCellAnchor>
  <xdr:twoCellAnchor>
    <xdr:from>
      <xdr:col>4</xdr:col>
      <xdr:colOff>36194</xdr:colOff>
      <xdr:row>34</xdr:row>
      <xdr:rowOff>247650</xdr:rowOff>
    </xdr:from>
    <xdr:to>
      <xdr:col>6</xdr:col>
      <xdr:colOff>285750</xdr:colOff>
      <xdr:row>36</xdr:row>
      <xdr:rowOff>251300</xdr:rowOff>
    </xdr:to>
    <xdr:sp macro="" textlink="">
      <xdr:nvSpPr>
        <xdr:cNvPr id="2" name="Rectangle arrodonit 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20C326-3ED6-C78B-D740-888A0F07DF90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2969894" y="10896600"/>
          <a:ext cx="1811656" cy="537050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Resultats mensuals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4</xdr:col>
      <xdr:colOff>30956</xdr:colOff>
      <xdr:row>19</xdr:row>
      <xdr:rowOff>134779</xdr:rowOff>
    </xdr:from>
    <xdr:to>
      <xdr:col>6</xdr:col>
      <xdr:colOff>293846</xdr:colOff>
      <xdr:row>21</xdr:row>
      <xdr:rowOff>31433</xdr:rowOff>
    </xdr:to>
    <xdr:sp macro="" textlink="">
      <xdr:nvSpPr>
        <xdr:cNvPr id="9" name="Rectangle arrodonit 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418F95F-D680-89BA-3858-BBD56A5F7CF6}"/>
            </a:ext>
            <a:ext uri="{147F2762-F138-4A5C-976F-8EAC2B608ADB}">
              <a16:predDERef xmlns:a16="http://schemas.microsoft.com/office/drawing/2014/main" pred="{1CD190A3-C479-48A2-8264-568EFF5751B2}"/>
            </a:ext>
          </a:extLst>
        </xdr:cNvPr>
        <xdr:cNvSpPr/>
      </xdr:nvSpPr>
      <xdr:spPr>
        <a:xfrm>
          <a:off x="2471737" y="7469029"/>
          <a:ext cx="1834515" cy="420529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75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Instruccions detallades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579914</xdr:colOff>
      <xdr:row>1</xdr:row>
      <xdr:rowOff>169230</xdr:rowOff>
    </xdr:from>
    <xdr:to>
      <xdr:col>5</xdr:col>
      <xdr:colOff>462916</xdr:colOff>
      <xdr:row>3</xdr:row>
      <xdr:rowOff>19050</xdr:rowOff>
    </xdr:to>
    <xdr:sp macro="" textlink="">
      <xdr:nvSpPr>
        <xdr:cNvPr id="2" name="Rectangle arrodoni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F1B4A-2CE5-442F-908E-BD4ABB679172}"/>
            </a:ext>
          </a:extLst>
        </xdr:cNvPr>
        <xdr:cNvSpPr/>
      </xdr:nvSpPr>
      <xdr:spPr>
        <a:xfrm>
          <a:off x="2894489" y="635955"/>
          <a:ext cx="2226152" cy="249870"/>
        </a:xfrm>
        <a:prstGeom prst="roundRect">
          <a:avLst/>
        </a:prstGeom>
        <a:solidFill>
          <a:schemeClr val="accent4">
            <a:lumMod val="75000"/>
          </a:schemeClr>
        </a:solidFill>
        <a:ln>
          <a:solidFill>
            <a:schemeClr val="accent4">
              <a:lumMod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Introducció</a:t>
          </a:r>
          <a: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 de dades generals</a:t>
          </a:r>
          <a:endParaRPr lang="ca-ES" sz="105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1</xdr:col>
      <xdr:colOff>1283969</xdr:colOff>
      <xdr:row>12</xdr:row>
      <xdr:rowOff>167640</xdr:rowOff>
    </xdr:from>
    <xdr:to>
      <xdr:col>4</xdr:col>
      <xdr:colOff>180975</xdr:colOff>
      <xdr:row>14</xdr:row>
      <xdr:rowOff>43815</xdr:rowOff>
    </xdr:to>
    <xdr:sp macro="" textlink="">
      <xdr:nvSpPr>
        <xdr:cNvPr id="3" name="Rectangle arrodoni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E26B51-68CD-4FAF-878C-3C32FAE34FCD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2236469" y="5301615"/>
          <a:ext cx="1821181" cy="276225"/>
        </a:xfrm>
        <a:prstGeom prst="roundRect">
          <a:avLst/>
        </a:prstGeom>
        <a:solidFill>
          <a:schemeClr val="accent5"/>
        </a:solidFill>
        <a:ln>
          <a:solidFill>
            <a:schemeClr val="accent5">
              <a:lumMod val="75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Resultats diaris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1</xdr:col>
      <xdr:colOff>1261690</xdr:colOff>
      <xdr:row>17</xdr:row>
      <xdr:rowOff>45224</xdr:rowOff>
    </xdr:from>
    <xdr:to>
      <xdr:col>4</xdr:col>
      <xdr:colOff>192985</xdr:colOff>
      <xdr:row>18</xdr:row>
      <xdr:rowOff>50276</xdr:rowOff>
    </xdr:to>
    <xdr:sp macro="" textlink="">
      <xdr:nvSpPr>
        <xdr:cNvPr id="4" name="Rectangle arrodonit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BCF2F8-6008-44C5-8F5F-7101B1120A1E}"/>
            </a:ext>
            <a:ext uri="{147F2762-F138-4A5C-976F-8EAC2B608ADB}">
              <a16:predDERef xmlns:a16="http://schemas.microsoft.com/office/drawing/2014/main" pred="{1CD190A3-C479-48A2-8264-568EFF5751B2}"/>
            </a:ext>
          </a:extLst>
        </xdr:cNvPr>
        <xdr:cNvSpPr/>
      </xdr:nvSpPr>
      <xdr:spPr>
        <a:xfrm>
          <a:off x="2214190" y="7574115"/>
          <a:ext cx="1995860" cy="311509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>
          <a:solidFill>
            <a:schemeClr val="accent5">
              <a:lumMod val="40000"/>
              <a:lumOff val="6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Resultats - informe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2</xdr:col>
      <xdr:colOff>574201</xdr:colOff>
      <xdr:row>4</xdr:row>
      <xdr:rowOff>933134</xdr:rowOff>
    </xdr:from>
    <xdr:to>
      <xdr:col>5</xdr:col>
      <xdr:colOff>457201</xdr:colOff>
      <xdr:row>6</xdr:row>
      <xdr:rowOff>28574</xdr:rowOff>
    </xdr:to>
    <xdr:sp macro="" textlink="">
      <xdr:nvSpPr>
        <xdr:cNvPr id="5" name="Rectangle arrodonit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186D69-36B7-4602-8E70-81124D7C5C88}"/>
            </a:ext>
          </a:extLst>
        </xdr:cNvPr>
        <xdr:cNvSpPr/>
      </xdr:nvSpPr>
      <xdr:spPr>
        <a:xfrm>
          <a:off x="2888776" y="2104709"/>
          <a:ext cx="2226150" cy="247965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accent4">
              <a:lumMod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Introducció</a:t>
          </a:r>
          <a: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 de dades de consum </a:t>
          </a:r>
          <a:endParaRPr lang="ca-ES" sz="105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1</xdr:col>
      <xdr:colOff>1280159</xdr:colOff>
      <xdr:row>15</xdr:row>
      <xdr:rowOff>0</xdr:rowOff>
    </xdr:from>
    <xdr:to>
      <xdr:col>4</xdr:col>
      <xdr:colOff>173355</xdr:colOff>
      <xdr:row>15</xdr:row>
      <xdr:rowOff>266700</xdr:rowOff>
    </xdr:to>
    <xdr:sp macro="" textlink="">
      <xdr:nvSpPr>
        <xdr:cNvPr id="6" name="Rectangle arrodonit 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6E35D3-469E-4B80-8987-69BF49B2F5FB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2232659" y="6181725"/>
          <a:ext cx="1817371" cy="266700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Resultats mensuals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 editAs="oneCell">
    <xdr:from>
      <xdr:col>0</xdr:col>
      <xdr:colOff>758190</xdr:colOff>
      <xdr:row>39</xdr:row>
      <xdr:rowOff>63451</xdr:rowOff>
    </xdr:from>
    <xdr:to>
      <xdr:col>0</xdr:col>
      <xdr:colOff>917834</xdr:colOff>
      <xdr:row>39</xdr:row>
      <xdr:rowOff>286254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F47C21D1-84B2-9DF2-CFDD-F1132AA69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8190" y="14350951"/>
          <a:ext cx="159644" cy="226613"/>
        </a:xfrm>
        <a:prstGeom prst="rect">
          <a:avLst/>
        </a:prstGeom>
      </xdr:spPr>
    </xdr:pic>
    <xdr:clientData/>
  </xdr:twoCellAnchor>
  <xdr:twoCellAnchor editAs="oneCell">
    <xdr:from>
      <xdr:col>0</xdr:col>
      <xdr:colOff>681990</xdr:colOff>
      <xdr:row>41</xdr:row>
      <xdr:rowOff>44401</xdr:rowOff>
    </xdr:from>
    <xdr:to>
      <xdr:col>0</xdr:col>
      <xdr:colOff>917089</xdr:colOff>
      <xdr:row>41</xdr:row>
      <xdr:rowOff>285734</xdr:rowOff>
    </xdr:to>
    <xdr:pic>
      <xdr:nvPicPr>
        <xdr:cNvPr id="8" name="Imatge 7">
          <a:extLst>
            <a:ext uri="{FF2B5EF4-FFF2-40B4-BE49-F238E27FC236}">
              <a16:creationId xmlns:a16="http://schemas.microsoft.com/office/drawing/2014/main" id="{016B8FDD-3434-53D8-7177-8C5EC34C5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81990" y="15035286"/>
          <a:ext cx="235099" cy="245143"/>
        </a:xfrm>
        <a:prstGeom prst="rect">
          <a:avLst/>
        </a:prstGeom>
      </xdr:spPr>
    </xdr:pic>
    <xdr:clientData/>
  </xdr:twoCellAnchor>
  <xdr:twoCellAnchor editAs="oneCell">
    <xdr:from>
      <xdr:col>0</xdr:col>
      <xdr:colOff>704850</xdr:colOff>
      <xdr:row>40</xdr:row>
      <xdr:rowOff>23446</xdr:rowOff>
    </xdr:from>
    <xdr:to>
      <xdr:col>1</xdr:col>
      <xdr:colOff>2781</xdr:colOff>
      <xdr:row>40</xdr:row>
      <xdr:rowOff>247587</xdr:rowOff>
    </xdr:to>
    <xdr:pic>
      <xdr:nvPicPr>
        <xdr:cNvPr id="9" name="Imatge 8">
          <a:extLst>
            <a:ext uri="{FF2B5EF4-FFF2-40B4-BE49-F238E27FC236}">
              <a16:creationId xmlns:a16="http://schemas.microsoft.com/office/drawing/2014/main" id="{1CBD579B-B641-FCDD-DEA6-D29EF999C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04850" y="14662638"/>
          <a:ext cx="250431" cy="227951"/>
        </a:xfrm>
        <a:prstGeom prst="rect">
          <a:avLst/>
        </a:prstGeom>
      </xdr:spPr>
    </xdr:pic>
    <xdr:clientData/>
  </xdr:twoCellAnchor>
  <xdr:twoCellAnchor editAs="oneCell">
    <xdr:from>
      <xdr:col>0</xdr:col>
      <xdr:colOff>730494</xdr:colOff>
      <xdr:row>35</xdr:row>
      <xdr:rowOff>93052</xdr:rowOff>
    </xdr:from>
    <xdr:to>
      <xdr:col>0</xdr:col>
      <xdr:colOff>893948</xdr:colOff>
      <xdr:row>35</xdr:row>
      <xdr:rowOff>304425</xdr:rowOff>
    </xdr:to>
    <xdr:pic>
      <xdr:nvPicPr>
        <xdr:cNvPr id="19" name="Imatge 18">
          <a:extLst>
            <a:ext uri="{FF2B5EF4-FFF2-40B4-BE49-F238E27FC236}">
              <a16:creationId xmlns:a16="http://schemas.microsoft.com/office/drawing/2014/main" id="{3391EC8F-9E81-4A3B-BB9D-E11AD927F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30494" y="12863879"/>
          <a:ext cx="172979" cy="211373"/>
        </a:xfrm>
        <a:prstGeom prst="rect">
          <a:avLst/>
        </a:prstGeom>
      </xdr:spPr>
    </xdr:pic>
    <xdr:clientData/>
  </xdr:twoCellAnchor>
  <xdr:twoCellAnchor editAs="oneCell">
    <xdr:from>
      <xdr:col>0</xdr:col>
      <xdr:colOff>654294</xdr:colOff>
      <xdr:row>37</xdr:row>
      <xdr:rowOff>59349</xdr:rowOff>
    </xdr:from>
    <xdr:to>
      <xdr:col>0</xdr:col>
      <xdr:colOff>895108</xdr:colOff>
      <xdr:row>37</xdr:row>
      <xdr:rowOff>306397</xdr:rowOff>
    </xdr:to>
    <xdr:pic>
      <xdr:nvPicPr>
        <xdr:cNvPr id="20" name="Imatge 19">
          <a:extLst>
            <a:ext uri="{FF2B5EF4-FFF2-40B4-BE49-F238E27FC236}">
              <a16:creationId xmlns:a16="http://schemas.microsoft.com/office/drawing/2014/main" id="{F49449CD-B271-440D-8CB6-B9228C6AC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54294" y="13548214"/>
          <a:ext cx="254149" cy="247048"/>
        </a:xfrm>
        <a:prstGeom prst="rect">
          <a:avLst/>
        </a:prstGeom>
      </xdr:spPr>
    </xdr:pic>
    <xdr:clientData/>
  </xdr:twoCellAnchor>
  <xdr:twoCellAnchor editAs="oneCell">
    <xdr:from>
      <xdr:col>0</xdr:col>
      <xdr:colOff>679059</xdr:colOff>
      <xdr:row>36</xdr:row>
      <xdr:rowOff>34290</xdr:rowOff>
    </xdr:from>
    <xdr:to>
      <xdr:col>0</xdr:col>
      <xdr:colOff>933300</xdr:colOff>
      <xdr:row>36</xdr:row>
      <xdr:rowOff>266051</xdr:rowOff>
    </xdr:to>
    <xdr:pic>
      <xdr:nvPicPr>
        <xdr:cNvPr id="21" name="Imatge 20">
          <a:extLst>
            <a:ext uri="{FF2B5EF4-FFF2-40B4-BE49-F238E27FC236}">
              <a16:creationId xmlns:a16="http://schemas.microsoft.com/office/drawing/2014/main" id="{3BEBB99D-3919-4BCB-9D81-E6CA36C3D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79059" y="13164136"/>
          <a:ext cx="250431" cy="231761"/>
        </a:xfrm>
        <a:prstGeom prst="rect">
          <a:avLst/>
        </a:prstGeom>
      </xdr:spPr>
    </xdr:pic>
    <xdr:clientData/>
  </xdr:twoCellAnchor>
  <xdr:twoCellAnchor editAs="oneCell">
    <xdr:from>
      <xdr:col>0</xdr:col>
      <xdr:colOff>736208</xdr:colOff>
      <xdr:row>32</xdr:row>
      <xdr:rowOff>63451</xdr:rowOff>
    </xdr:from>
    <xdr:to>
      <xdr:col>0</xdr:col>
      <xdr:colOff>897757</xdr:colOff>
      <xdr:row>32</xdr:row>
      <xdr:rowOff>284349</xdr:rowOff>
    </xdr:to>
    <xdr:pic>
      <xdr:nvPicPr>
        <xdr:cNvPr id="22" name="Imatge 21">
          <a:extLst>
            <a:ext uri="{FF2B5EF4-FFF2-40B4-BE49-F238E27FC236}">
              <a16:creationId xmlns:a16="http://schemas.microsoft.com/office/drawing/2014/main" id="{A8CEAD6C-0110-91BC-F792-53BF0B155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36208" y="11632663"/>
          <a:ext cx="157739" cy="217088"/>
        </a:xfrm>
        <a:prstGeom prst="rect">
          <a:avLst/>
        </a:prstGeom>
      </xdr:spPr>
    </xdr:pic>
    <xdr:clientData/>
  </xdr:twoCellAnchor>
  <xdr:twoCellAnchor editAs="oneCell">
    <xdr:from>
      <xdr:col>0</xdr:col>
      <xdr:colOff>669241</xdr:colOff>
      <xdr:row>33</xdr:row>
      <xdr:rowOff>21102</xdr:rowOff>
    </xdr:from>
    <xdr:to>
      <xdr:col>0</xdr:col>
      <xdr:colOff>898625</xdr:colOff>
      <xdr:row>33</xdr:row>
      <xdr:rowOff>251005</xdr:rowOff>
    </xdr:to>
    <xdr:pic>
      <xdr:nvPicPr>
        <xdr:cNvPr id="23" name="Imatge 22">
          <a:extLst>
            <a:ext uri="{FF2B5EF4-FFF2-40B4-BE49-F238E27FC236}">
              <a16:creationId xmlns:a16="http://schemas.microsoft.com/office/drawing/2014/main" id="{D2A46738-1974-3295-9801-F20D02302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69241" y="11971314"/>
          <a:ext cx="237004" cy="241333"/>
        </a:xfrm>
        <a:prstGeom prst="rect">
          <a:avLst/>
        </a:prstGeom>
      </xdr:spPr>
    </xdr:pic>
    <xdr:clientData/>
  </xdr:twoCellAnchor>
  <xdr:twoCellAnchor editAs="oneCell">
    <xdr:from>
      <xdr:col>0</xdr:col>
      <xdr:colOff>662500</xdr:colOff>
      <xdr:row>31</xdr:row>
      <xdr:rowOff>74734</xdr:rowOff>
    </xdr:from>
    <xdr:to>
      <xdr:col>0</xdr:col>
      <xdr:colOff>914836</xdr:colOff>
      <xdr:row>31</xdr:row>
      <xdr:rowOff>306495</xdr:rowOff>
    </xdr:to>
    <xdr:pic>
      <xdr:nvPicPr>
        <xdr:cNvPr id="24" name="Imatge 23">
          <a:extLst>
            <a:ext uri="{FF2B5EF4-FFF2-40B4-BE49-F238E27FC236}">
              <a16:creationId xmlns:a16="http://schemas.microsoft.com/office/drawing/2014/main" id="{59ACFC56-C115-C426-42B1-13436F9F1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62500" y="11262946"/>
          <a:ext cx="252336" cy="231761"/>
        </a:xfrm>
        <a:prstGeom prst="rect">
          <a:avLst/>
        </a:prstGeom>
      </xdr:spPr>
    </xdr:pic>
    <xdr:clientData/>
  </xdr:twoCellAnchor>
  <xdr:twoCellAnchor editAs="oneCell">
    <xdr:from>
      <xdr:col>0</xdr:col>
      <xdr:colOff>748959</xdr:colOff>
      <xdr:row>28</xdr:row>
      <xdr:rowOff>69166</xdr:rowOff>
    </xdr:from>
    <xdr:to>
      <xdr:col>0</xdr:col>
      <xdr:colOff>899078</xdr:colOff>
      <xdr:row>28</xdr:row>
      <xdr:rowOff>286254</xdr:rowOff>
    </xdr:to>
    <xdr:pic>
      <xdr:nvPicPr>
        <xdr:cNvPr id="25" name="Imatge 24">
          <a:extLst>
            <a:ext uri="{FF2B5EF4-FFF2-40B4-BE49-F238E27FC236}">
              <a16:creationId xmlns:a16="http://schemas.microsoft.com/office/drawing/2014/main" id="{035859CA-DE9C-99FA-E2FC-B59C61859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48959" y="10099724"/>
          <a:ext cx="161549" cy="213278"/>
        </a:xfrm>
        <a:prstGeom prst="rect">
          <a:avLst/>
        </a:prstGeom>
      </xdr:spPr>
    </xdr:pic>
    <xdr:clientData/>
  </xdr:twoCellAnchor>
  <xdr:twoCellAnchor editAs="oneCell">
    <xdr:from>
      <xdr:col>0</xdr:col>
      <xdr:colOff>680085</xdr:colOff>
      <xdr:row>29</xdr:row>
      <xdr:rowOff>61254</xdr:rowOff>
    </xdr:from>
    <xdr:to>
      <xdr:col>0</xdr:col>
      <xdr:colOff>930424</xdr:colOff>
      <xdr:row>29</xdr:row>
      <xdr:rowOff>304492</xdr:rowOff>
    </xdr:to>
    <xdr:pic>
      <xdr:nvPicPr>
        <xdr:cNvPr id="26" name="Imatge 25">
          <a:extLst>
            <a:ext uri="{FF2B5EF4-FFF2-40B4-BE49-F238E27FC236}">
              <a16:creationId xmlns:a16="http://schemas.microsoft.com/office/drawing/2014/main" id="{B34E0417-C898-33D3-FC45-24530D229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80085" y="10436177"/>
          <a:ext cx="238909" cy="243238"/>
        </a:xfrm>
        <a:prstGeom prst="rect">
          <a:avLst/>
        </a:prstGeom>
      </xdr:spPr>
    </xdr:pic>
    <xdr:clientData/>
  </xdr:twoCellAnchor>
  <xdr:twoCellAnchor editAs="oneCell">
    <xdr:from>
      <xdr:col>0</xdr:col>
      <xdr:colOff>710272</xdr:colOff>
      <xdr:row>27</xdr:row>
      <xdr:rowOff>63598</xdr:rowOff>
    </xdr:from>
    <xdr:to>
      <xdr:col>1</xdr:col>
      <xdr:colOff>19633</xdr:colOff>
      <xdr:row>27</xdr:row>
      <xdr:rowOff>287739</xdr:rowOff>
    </xdr:to>
    <xdr:pic>
      <xdr:nvPicPr>
        <xdr:cNvPr id="27" name="Imatge 26">
          <a:extLst>
            <a:ext uri="{FF2B5EF4-FFF2-40B4-BE49-F238E27FC236}">
              <a16:creationId xmlns:a16="http://schemas.microsoft.com/office/drawing/2014/main" id="{947A1F4F-A33C-5B19-A7B7-05EE07937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10272" y="9749790"/>
          <a:ext cx="248526" cy="2317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931993</xdr:colOff>
      <xdr:row>41</xdr:row>
      <xdr:rowOff>164502</xdr:rowOff>
    </xdr:from>
    <xdr:to>
      <xdr:col>8</xdr:col>
      <xdr:colOff>6939</xdr:colOff>
      <xdr:row>44</xdr:row>
      <xdr:rowOff>71276</xdr:rowOff>
    </xdr:to>
    <xdr:sp macro="" textlink="">
      <xdr:nvSpPr>
        <xdr:cNvPr id="2" name="Rectangle arrodoni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3D214-FC35-47B1-8ADC-189E70BD8FEE}"/>
            </a:ext>
          </a:extLst>
        </xdr:cNvPr>
        <xdr:cNvSpPr/>
      </xdr:nvSpPr>
      <xdr:spPr>
        <a:xfrm>
          <a:off x="3195581" y="7044914"/>
          <a:ext cx="2425505" cy="444656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accent4">
              <a:lumMod val="75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Introducció</a:t>
          </a:r>
          <a: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 de dades de consum  </a:t>
          </a:r>
          <a:r>
            <a:rPr lang="ca-ES" sz="900" b="1" baseline="0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→</a:t>
          </a:r>
          <a:endParaRPr lang="ca-ES" sz="105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97308</xdr:colOff>
      <xdr:row>5</xdr:row>
      <xdr:rowOff>91679</xdr:rowOff>
    </xdr:from>
    <xdr:to>
      <xdr:col>34</xdr:col>
      <xdr:colOff>592628</xdr:colOff>
      <xdr:row>38</xdr:row>
      <xdr:rowOff>34636</xdr:rowOff>
    </xdr:to>
    <xdr:graphicFrame macro="">
      <xdr:nvGraphicFramePr>
        <xdr:cNvPr id="6" name="Gràfic 5">
          <a:extLst>
            <a:ext uri="{FF2B5EF4-FFF2-40B4-BE49-F238E27FC236}">
              <a16:creationId xmlns:a16="http://schemas.microsoft.com/office/drawing/2014/main" id="{6A9A5365-D7AF-4280-9D1D-D57882781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</xdr:row>
      <xdr:rowOff>169992</xdr:rowOff>
    </xdr:from>
    <xdr:to>
      <xdr:col>7</xdr:col>
      <xdr:colOff>498542</xdr:colOff>
      <xdr:row>1</xdr:row>
      <xdr:rowOff>412242</xdr:rowOff>
    </xdr:to>
    <xdr:sp macro="" textlink="">
      <xdr:nvSpPr>
        <xdr:cNvPr id="2" name="Rectangle arrodoni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8573D1-6030-49A5-A2D5-8D923B32C12D}"/>
            </a:ext>
          </a:extLst>
        </xdr:cNvPr>
        <xdr:cNvSpPr/>
      </xdr:nvSpPr>
      <xdr:spPr>
        <a:xfrm>
          <a:off x="6049272" y="394110"/>
          <a:ext cx="2226152" cy="242250"/>
        </a:xfrm>
        <a:prstGeom prst="roundRect">
          <a:avLst/>
        </a:prstGeom>
        <a:solidFill>
          <a:schemeClr val="accent4">
            <a:lumMod val="75000"/>
          </a:schemeClr>
        </a:solidFill>
        <a:ln>
          <a:solidFill>
            <a:schemeClr val="accent4">
              <a:lumMod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← </a:t>
          </a:r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Introducció</a:t>
          </a:r>
          <a: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 de dades generals</a:t>
          </a:r>
          <a:endParaRPr lang="ca-ES" sz="105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9</xdr:col>
      <xdr:colOff>419099</xdr:colOff>
      <xdr:row>1</xdr:row>
      <xdr:rowOff>139962</xdr:rowOff>
    </xdr:from>
    <xdr:to>
      <xdr:col>9</xdr:col>
      <xdr:colOff>2230755</xdr:colOff>
      <xdr:row>1</xdr:row>
      <xdr:rowOff>414618</xdr:rowOff>
    </xdr:to>
    <xdr:sp macro="" textlink="">
      <xdr:nvSpPr>
        <xdr:cNvPr id="3" name="Rectangle arrodonit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8E51E8-763D-49DD-8822-A3C0DEFAB18B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8722658" y="364080"/>
          <a:ext cx="1811656" cy="274656"/>
        </a:xfrm>
        <a:prstGeom prst="roundRect">
          <a:avLst/>
        </a:prstGeom>
        <a:solidFill>
          <a:schemeClr val="accent5"/>
        </a:solidFill>
        <a:ln>
          <a:solidFill>
            <a:schemeClr val="accent5">
              <a:lumMod val="75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Resultats diaris </a:t>
          </a:r>
          <a:r>
            <a:rPr lang="ca-ES" sz="900" b="1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→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12</xdr:col>
      <xdr:colOff>197897</xdr:colOff>
      <xdr:row>1</xdr:row>
      <xdr:rowOff>128754</xdr:rowOff>
    </xdr:from>
    <xdr:to>
      <xdr:col>14</xdr:col>
      <xdr:colOff>566570</xdr:colOff>
      <xdr:row>1</xdr:row>
      <xdr:rowOff>404559</xdr:rowOff>
    </xdr:to>
    <xdr:sp macro="" textlink="">
      <xdr:nvSpPr>
        <xdr:cNvPr id="4" name="Rectangle arrodonit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934DBC-EE3F-4374-9CFB-9FDAD3B6FF19}"/>
            </a:ext>
            <a:ext uri="{147F2762-F138-4A5C-976F-8EAC2B608ADB}">
              <a16:predDERef xmlns:a16="http://schemas.microsoft.com/office/drawing/2014/main" pred="{1CD190A3-C479-48A2-8264-568EFF5751B2}"/>
            </a:ext>
          </a:extLst>
        </xdr:cNvPr>
        <xdr:cNvSpPr/>
      </xdr:nvSpPr>
      <xdr:spPr>
        <a:xfrm>
          <a:off x="12636426" y="352872"/>
          <a:ext cx="1847850" cy="275805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>
          <a:solidFill>
            <a:schemeClr val="accent5">
              <a:lumMod val="40000"/>
              <a:lumOff val="6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Resultats - informe </a:t>
          </a:r>
          <a:r>
            <a:rPr lang="ca-ES" sz="900" b="1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→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10</xdr:col>
      <xdr:colOff>78889</xdr:colOff>
      <xdr:row>1</xdr:row>
      <xdr:rowOff>145900</xdr:rowOff>
    </xdr:from>
    <xdr:to>
      <xdr:col>12</xdr:col>
      <xdr:colOff>77097</xdr:colOff>
      <xdr:row>1</xdr:row>
      <xdr:rowOff>410807</xdr:rowOff>
    </xdr:to>
    <xdr:sp macro="" textlink="">
      <xdr:nvSpPr>
        <xdr:cNvPr id="5" name="Rectangle arrodonit 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7113CF-63FE-45F6-9C23-D697EE735171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10590007" y="370018"/>
          <a:ext cx="1813561" cy="26490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Resultats mensuals </a:t>
          </a:r>
          <a:r>
            <a:rPr lang="ca-ES" sz="900" b="1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→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17</xdr:col>
      <xdr:colOff>130927</xdr:colOff>
      <xdr:row>39</xdr:row>
      <xdr:rowOff>59748</xdr:rowOff>
    </xdr:from>
    <xdr:to>
      <xdr:col>34</xdr:col>
      <xdr:colOff>595312</xdr:colOff>
      <xdr:row>71</xdr:row>
      <xdr:rowOff>206692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Gràfic 6">
              <a:extLst>
                <a:ext uri="{FF2B5EF4-FFF2-40B4-BE49-F238E27FC236}">
                  <a16:creationId xmlns:a16="http://schemas.microsoft.com/office/drawing/2014/main" id="{07F84510-2197-4490-A9A9-A4C7DF9FEEAF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031712" y="9542838"/>
              <a:ext cx="10819965" cy="74697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a-ES" sz="1100"/>
                <a:t>Aquest gràfic no està disponible en la vostra versió del Excel.
 Si editeu aquesta forma o deseu aquesta llibreta en un format de fitxer diferent, el gràfic quedarà malmès permanentment.</a:t>
              </a:r>
            </a:p>
          </xdr:txBody>
        </xdr:sp>
      </mc:Fallback>
    </mc:AlternateContent>
    <xdr:clientData/>
  </xdr:twoCellAnchor>
  <xdr:twoCellAnchor>
    <xdr:from>
      <xdr:col>35</xdr:col>
      <xdr:colOff>216370</xdr:colOff>
      <xdr:row>5</xdr:row>
      <xdr:rowOff>67866</xdr:rowOff>
    </xdr:from>
    <xdr:to>
      <xdr:col>53</xdr:col>
      <xdr:colOff>92565</xdr:colOff>
      <xdr:row>38</xdr:row>
      <xdr:rowOff>10823</xdr:rowOff>
    </xdr:to>
    <xdr:graphicFrame macro="">
      <xdr:nvGraphicFramePr>
        <xdr:cNvPr id="8" name="Gràfic 7">
          <a:extLst>
            <a:ext uri="{FF2B5EF4-FFF2-40B4-BE49-F238E27FC236}">
              <a16:creationId xmlns:a16="http://schemas.microsoft.com/office/drawing/2014/main" id="{03A567DE-28CF-2DAC-6520-A32F32CBD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53</xdr:col>
      <xdr:colOff>307810</xdr:colOff>
      <xdr:row>5</xdr:row>
      <xdr:rowOff>65961</xdr:rowOff>
    </xdr:from>
    <xdr:to>
      <xdr:col>71</xdr:col>
      <xdr:colOff>191625</xdr:colOff>
      <xdr:row>38</xdr:row>
      <xdr:rowOff>12728</xdr:rowOff>
    </xdr:to>
    <xdr:graphicFrame macro="">
      <xdr:nvGraphicFramePr>
        <xdr:cNvPr id="9" name="Gràfic 8">
          <a:extLst>
            <a:ext uri="{FF2B5EF4-FFF2-40B4-BE49-F238E27FC236}">
              <a16:creationId xmlns:a16="http://schemas.microsoft.com/office/drawing/2014/main" id="{89B8DC53-4ACA-98F0-F85F-3BE7C0B2C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474897</xdr:colOff>
      <xdr:row>83</xdr:row>
      <xdr:rowOff>21676</xdr:rowOff>
    </xdr:from>
    <xdr:to>
      <xdr:col>20</xdr:col>
      <xdr:colOff>209954</xdr:colOff>
      <xdr:row>100</xdr:row>
      <xdr:rowOff>1152</xdr:rowOff>
    </xdr:to>
    <xdr:graphicFrame macro="">
      <xdr:nvGraphicFramePr>
        <xdr:cNvPr id="21" name="Gràfic 5">
          <a:extLst>
            <a:ext uri="{FF2B5EF4-FFF2-40B4-BE49-F238E27FC236}">
              <a16:creationId xmlns:a16="http://schemas.microsoft.com/office/drawing/2014/main" id="{6989951B-BDEC-3478-3AC2-1C065162FD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402500</xdr:colOff>
      <xdr:row>138</xdr:row>
      <xdr:rowOff>244928</xdr:rowOff>
    </xdr:from>
    <xdr:to>
      <xdr:col>19</xdr:col>
      <xdr:colOff>968012</xdr:colOff>
      <xdr:row>162</xdr:row>
      <xdr:rowOff>54428</xdr:rowOff>
    </xdr:to>
    <xdr:graphicFrame macro="">
      <xdr:nvGraphicFramePr>
        <xdr:cNvPr id="19" name="Gràfic 8">
          <a:extLst>
            <a:ext uri="{FF2B5EF4-FFF2-40B4-BE49-F238E27FC236}">
              <a16:creationId xmlns:a16="http://schemas.microsoft.com/office/drawing/2014/main" id="{B471A866-B583-4ED2-972B-12DA6FE33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95913</xdr:colOff>
      <xdr:row>101</xdr:row>
      <xdr:rowOff>317203</xdr:rowOff>
    </xdr:from>
    <xdr:to>
      <xdr:col>20</xdr:col>
      <xdr:colOff>40822</xdr:colOff>
      <xdr:row>118</xdr:row>
      <xdr:rowOff>0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8142F050-D842-9564-4E4B-A518C963F5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668617</xdr:colOff>
      <xdr:row>45</xdr:row>
      <xdr:rowOff>202562</xdr:rowOff>
    </xdr:from>
    <xdr:to>
      <xdr:col>14</xdr:col>
      <xdr:colOff>250916</xdr:colOff>
      <xdr:row>54</xdr:row>
      <xdr:rowOff>587012</xdr:rowOff>
    </xdr:to>
    <xdr:graphicFrame macro="">
      <xdr:nvGraphicFramePr>
        <xdr:cNvPr id="7" name="Gràfic 6">
          <a:extLst>
            <a:ext uri="{FF2B5EF4-FFF2-40B4-BE49-F238E27FC236}">
              <a16:creationId xmlns:a16="http://schemas.microsoft.com/office/drawing/2014/main" id="{73510C5F-E445-0462-A58B-2E64F5B80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14</xdr:col>
      <xdr:colOff>177994</xdr:colOff>
      <xdr:row>45</xdr:row>
      <xdr:rowOff>60655</xdr:rowOff>
    </xdr:from>
    <xdr:to>
      <xdr:col>20</xdr:col>
      <xdr:colOff>172811</xdr:colOff>
      <xdr:row>54</xdr:row>
      <xdr:rowOff>628106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975A8F8F-FB3E-2C43-0EA6-39576DB20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44823</xdr:colOff>
      <xdr:row>29</xdr:row>
      <xdr:rowOff>133685</xdr:rowOff>
    </xdr:from>
    <xdr:to>
      <xdr:col>8</xdr:col>
      <xdr:colOff>696669</xdr:colOff>
      <xdr:row>42</xdr:row>
      <xdr:rowOff>283957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C0850621-2A60-ECEE-0389-50AB5914A9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45285</xdr:colOff>
      <xdr:row>123</xdr:row>
      <xdr:rowOff>138583</xdr:rowOff>
    </xdr:from>
    <xdr:to>
      <xdr:col>20</xdr:col>
      <xdr:colOff>62241</xdr:colOff>
      <xdr:row>135</xdr:row>
      <xdr:rowOff>248692</xdr:rowOff>
    </xdr:to>
    <xdr:grpSp>
      <xdr:nvGrpSpPr>
        <xdr:cNvPr id="9" name="Agrupa 8">
          <a:extLst>
            <a:ext uri="{FF2B5EF4-FFF2-40B4-BE49-F238E27FC236}">
              <a16:creationId xmlns:a16="http://schemas.microsoft.com/office/drawing/2014/main" id="{F692F263-BF68-BDBD-E57A-08F9ABE6F4A5}"/>
            </a:ext>
          </a:extLst>
        </xdr:cNvPr>
        <xdr:cNvGrpSpPr/>
      </xdr:nvGrpSpPr>
      <xdr:grpSpPr>
        <a:xfrm>
          <a:off x="248896" y="37988244"/>
          <a:ext cx="14276329" cy="4480403"/>
          <a:chOff x="244814" y="35644059"/>
          <a:chExt cx="14275609" cy="4937231"/>
        </a:xfrm>
      </xdr:grpSpPr>
      <xdr:graphicFrame macro="">
        <xdr:nvGraphicFramePr>
          <xdr:cNvPr id="5" name="Gràfic 4">
            <a:extLst>
              <a:ext uri="{FF2B5EF4-FFF2-40B4-BE49-F238E27FC236}">
                <a16:creationId xmlns:a16="http://schemas.microsoft.com/office/drawing/2014/main" id="{572247E7-39D8-DC03-CAEF-210AF125CDAA}"/>
              </a:ext>
            </a:extLst>
          </xdr:cNvPr>
          <xdr:cNvGraphicFramePr/>
        </xdr:nvGraphicFramePr>
        <xdr:xfrm>
          <a:off x="244814" y="35644059"/>
          <a:ext cx="14140113" cy="476915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sp macro="" textlink="">
        <xdr:nvSpPr>
          <xdr:cNvPr id="10" name="QuadreDeText 9">
            <a:extLst>
              <a:ext uri="{FF2B5EF4-FFF2-40B4-BE49-F238E27FC236}">
                <a16:creationId xmlns:a16="http://schemas.microsoft.com/office/drawing/2014/main" id="{9B2603C7-B34B-FF6A-0BF1-3CC6D9CD2BBB}"/>
              </a:ext>
            </a:extLst>
          </xdr:cNvPr>
          <xdr:cNvSpPr txBox="1"/>
        </xdr:nvSpPr>
        <xdr:spPr>
          <a:xfrm>
            <a:off x="1060432" y="40322658"/>
            <a:ext cx="13459991" cy="258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a-ES" sz="1100" baseline="0">
                <a:solidFill>
                  <a:schemeClr val="bg1">
                    <a:lumMod val="50000"/>
                  </a:schemeClr>
                </a:solidFill>
                <a:latin typeface="Neue Haas Grotesk Text Pro" panose="020B0504020202020204" pitchFamily="34" charset="0"/>
              </a:rPr>
              <a:t>             DILLUNS                                    DIMARTS                                DIMECRES                                 DIJOUS                                  DIVENDRES                             DISSABTE                                DIUMENGE</a:t>
            </a:r>
            <a:endParaRPr lang="ca-ES" sz="1100">
              <a:solidFill>
                <a:schemeClr val="bg1">
                  <a:lumMod val="50000"/>
                </a:schemeClr>
              </a:solidFill>
              <a:latin typeface="Neue Haas Grotesk Text Pro" panose="020B0504020202020204" pitchFamily="34" charset="0"/>
            </a:endParaRPr>
          </a:p>
        </xdr:txBody>
      </xdr:sp>
    </xdr:grpSp>
    <xdr:clientData/>
  </xdr:twoCellAnchor>
  <xdr:twoCellAnchor>
    <xdr:from>
      <xdr:col>2</xdr:col>
      <xdr:colOff>95147</xdr:colOff>
      <xdr:row>162</xdr:row>
      <xdr:rowOff>213047</xdr:rowOff>
    </xdr:from>
    <xdr:to>
      <xdr:col>20</xdr:col>
      <xdr:colOff>88985</xdr:colOff>
      <xdr:row>180</xdr:row>
      <xdr:rowOff>31361</xdr:rowOff>
    </xdr:to>
    <xdr:grpSp>
      <xdr:nvGrpSpPr>
        <xdr:cNvPr id="16" name="Agrupa 15">
          <a:extLst>
            <a:ext uri="{FF2B5EF4-FFF2-40B4-BE49-F238E27FC236}">
              <a16:creationId xmlns:a16="http://schemas.microsoft.com/office/drawing/2014/main" id="{F6DAE41A-5E32-7697-9B18-21E0E401310C}"/>
            </a:ext>
          </a:extLst>
        </xdr:cNvPr>
        <xdr:cNvGrpSpPr/>
      </xdr:nvGrpSpPr>
      <xdr:grpSpPr>
        <a:xfrm>
          <a:off x="300663" y="50871031"/>
          <a:ext cx="14258926" cy="5064572"/>
          <a:chOff x="199810" y="48654389"/>
          <a:chExt cx="14148548" cy="5073895"/>
        </a:xfrm>
      </xdr:grpSpPr>
      <xdr:graphicFrame macro="">
        <xdr:nvGraphicFramePr>
          <xdr:cNvPr id="8" name="Gràfic 7">
            <a:extLst>
              <a:ext uri="{FF2B5EF4-FFF2-40B4-BE49-F238E27FC236}">
                <a16:creationId xmlns:a16="http://schemas.microsoft.com/office/drawing/2014/main" id="{7F6DEC4C-904E-41FC-8A06-9C22615AA2D4}"/>
              </a:ext>
            </a:extLst>
          </xdr:cNvPr>
          <xdr:cNvGraphicFramePr>
            <a:graphicFrameLocks/>
          </xdr:cNvGraphicFramePr>
        </xdr:nvGraphicFramePr>
        <xdr:xfrm>
          <a:off x="199810" y="48654389"/>
          <a:ext cx="14148548" cy="507389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sp macro="" textlink="">
        <xdr:nvSpPr>
          <xdr:cNvPr id="11" name="QuadreDeText 10">
            <a:extLst>
              <a:ext uri="{FF2B5EF4-FFF2-40B4-BE49-F238E27FC236}">
                <a16:creationId xmlns:a16="http://schemas.microsoft.com/office/drawing/2014/main" id="{A0B63269-C0C0-4E28-9863-3596343B07F5}"/>
              </a:ext>
            </a:extLst>
          </xdr:cNvPr>
          <xdr:cNvSpPr txBox="1"/>
        </xdr:nvSpPr>
        <xdr:spPr>
          <a:xfrm>
            <a:off x="905816" y="53305659"/>
            <a:ext cx="13322021" cy="327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a-ES" sz="1100" baseline="0">
                <a:solidFill>
                  <a:schemeClr val="bg1">
                    <a:lumMod val="50000"/>
                  </a:schemeClr>
                </a:solidFill>
                <a:latin typeface="Neue Haas Grotesk Text Pro" panose="020B0504020202020204" pitchFamily="34" charset="0"/>
              </a:rPr>
              <a:t>             DILLUNS                                    DIMARTS                                 DIMECRES                                   DIJOUS                                 DIVENDRES                               DISSABTE                               DIUMENGE</a:t>
            </a:r>
            <a:endParaRPr lang="ca-ES" sz="1100">
              <a:solidFill>
                <a:schemeClr val="bg1">
                  <a:lumMod val="50000"/>
                </a:schemeClr>
              </a:solidFill>
              <a:latin typeface="Neue Haas Grotesk Text Pro" panose="020B0504020202020204" pitchFamily="34" charset="0"/>
            </a:endParaRPr>
          </a:p>
        </xdr:txBody>
      </xdr:sp>
    </xdr:grpSp>
    <xdr:clientData/>
  </xdr:twoCellAnchor>
  <xdr:twoCellAnchor>
    <xdr:from>
      <xdr:col>14</xdr:col>
      <xdr:colOff>557892</xdr:colOff>
      <xdr:row>0</xdr:row>
      <xdr:rowOff>54428</xdr:rowOff>
    </xdr:from>
    <xdr:to>
      <xdr:col>18</xdr:col>
      <xdr:colOff>117022</xdr:colOff>
      <xdr:row>0</xdr:row>
      <xdr:rowOff>280451</xdr:rowOff>
    </xdr:to>
    <xdr:sp macro="" textlink="">
      <xdr:nvSpPr>
        <xdr:cNvPr id="12" name="Rectangle arrodonit 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8E4AE59-A3BF-494B-8EF5-71998B1F6FE5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11593285" y="54428"/>
          <a:ext cx="1790701" cy="226023"/>
        </a:xfrm>
        <a:prstGeom prst="roundRect">
          <a:avLst/>
        </a:prstGeom>
        <a:solidFill>
          <a:schemeClr val="accent5"/>
        </a:solidFill>
        <a:ln>
          <a:solidFill>
            <a:schemeClr val="accent5">
              <a:lumMod val="75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←</a:t>
          </a:r>
          <a:r>
            <a:rPr lang="ca-ES" sz="900" b="1" baseline="0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R</a:t>
          </a:r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esultats diaris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18</xdr:col>
      <xdr:colOff>299357</xdr:colOff>
      <xdr:row>0</xdr:row>
      <xdr:rowOff>40821</xdr:rowOff>
    </xdr:from>
    <xdr:to>
      <xdr:col>21</xdr:col>
      <xdr:colOff>79850</xdr:colOff>
      <xdr:row>0</xdr:row>
      <xdr:rowOff>305728</xdr:rowOff>
    </xdr:to>
    <xdr:sp macro="" textlink="">
      <xdr:nvSpPr>
        <xdr:cNvPr id="13" name="Rectangle arrodonit 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11146AB-A7BA-4C03-9D66-FFD67476FEAA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13566321" y="40821"/>
          <a:ext cx="1807958" cy="26490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← </a:t>
          </a:r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Resultats mensuals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 editAs="oneCell">
    <xdr:from>
      <xdr:col>9</xdr:col>
      <xdr:colOff>663980</xdr:colOff>
      <xdr:row>67</xdr:row>
      <xdr:rowOff>69173</xdr:rowOff>
    </xdr:from>
    <xdr:to>
      <xdr:col>14</xdr:col>
      <xdr:colOff>211119</xdr:colOff>
      <xdr:row>77</xdr:row>
      <xdr:rowOff>286194</xdr:rowOff>
    </xdr:to>
    <xdr:graphicFrame macro="">
      <xdr:nvGraphicFramePr>
        <xdr:cNvPr id="14" name="Gràfic 13">
          <a:extLst>
            <a:ext uri="{FF2B5EF4-FFF2-40B4-BE49-F238E27FC236}">
              <a16:creationId xmlns:a16="http://schemas.microsoft.com/office/drawing/2014/main" id="{F38EE379-E508-49A9-A5BD-ABDA72936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14</xdr:col>
      <xdr:colOff>275850</xdr:colOff>
      <xdr:row>67</xdr:row>
      <xdr:rowOff>66229</xdr:rowOff>
    </xdr:from>
    <xdr:to>
      <xdr:col>20</xdr:col>
      <xdr:colOff>134920</xdr:colOff>
      <xdr:row>78</xdr:row>
      <xdr:rowOff>25937</xdr:rowOff>
    </xdr:to>
    <xdr:graphicFrame macro="">
      <xdr:nvGraphicFramePr>
        <xdr:cNvPr id="15" name="Gràfic 14">
          <a:extLst>
            <a:ext uri="{FF2B5EF4-FFF2-40B4-BE49-F238E27FC236}">
              <a16:creationId xmlns:a16="http://schemas.microsoft.com/office/drawing/2014/main" id="{8B4EC422-C0D0-4841-90D4-A6AB9B9AA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11</xdr:col>
      <xdr:colOff>132261</xdr:colOff>
      <xdr:row>182</xdr:row>
      <xdr:rowOff>174986</xdr:rowOff>
    </xdr:from>
    <xdr:to>
      <xdr:col>20</xdr:col>
      <xdr:colOff>58120</xdr:colOff>
      <xdr:row>204</xdr:row>
      <xdr:rowOff>112667</xdr:rowOff>
    </xdr:to>
    <xdr:graphicFrame macro="">
      <xdr:nvGraphicFramePr>
        <xdr:cNvPr id="17" name="Gràfic 16">
          <a:extLst>
            <a:ext uri="{FF2B5EF4-FFF2-40B4-BE49-F238E27FC236}">
              <a16:creationId xmlns:a16="http://schemas.microsoft.com/office/drawing/2014/main" id="{CA046CBA-BD78-481C-AB75-F4495D4D6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174171</xdr:colOff>
      <xdr:row>190</xdr:row>
      <xdr:rowOff>128995</xdr:rowOff>
    </xdr:from>
    <xdr:to>
      <xdr:col>6</xdr:col>
      <xdr:colOff>513261</xdr:colOff>
      <xdr:row>210</xdr:row>
      <xdr:rowOff>110761</xdr:rowOff>
    </xdr:to>
    <xdr:graphicFrame macro="">
      <xdr:nvGraphicFramePr>
        <xdr:cNvPr id="22" name="Gràfic 21">
          <a:extLst>
            <a:ext uri="{FF2B5EF4-FFF2-40B4-BE49-F238E27FC236}">
              <a16:creationId xmlns:a16="http://schemas.microsoft.com/office/drawing/2014/main" id="{A99A4783-D4AE-18F3-C521-2EEA3E9522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573057</xdr:colOff>
      <xdr:row>190</xdr:row>
      <xdr:rowOff>100543</xdr:rowOff>
    </xdr:from>
    <xdr:to>
      <xdr:col>10</xdr:col>
      <xdr:colOff>441614</xdr:colOff>
      <xdr:row>210</xdr:row>
      <xdr:rowOff>82309</xdr:rowOff>
    </xdr:to>
    <xdr:graphicFrame macro="">
      <xdr:nvGraphicFramePr>
        <xdr:cNvPr id="23" name="Gràfic 22">
          <a:extLst>
            <a:ext uri="{FF2B5EF4-FFF2-40B4-BE49-F238E27FC236}">
              <a16:creationId xmlns:a16="http://schemas.microsoft.com/office/drawing/2014/main" id="{E3668A9E-8619-D6BD-EC90-54721DB93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23</xdr:col>
      <xdr:colOff>253489</xdr:colOff>
      <xdr:row>189</xdr:row>
      <xdr:rowOff>127979</xdr:rowOff>
    </xdr:from>
    <xdr:to>
      <xdr:col>30</xdr:col>
      <xdr:colOff>1071333</xdr:colOff>
      <xdr:row>212</xdr:row>
      <xdr:rowOff>11900</xdr:rowOff>
    </xdr:to>
    <xdr:graphicFrame macro="">
      <xdr:nvGraphicFramePr>
        <xdr:cNvPr id="24" name="Gràfic 23">
          <a:extLst>
            <a:ext uri="{FF2B5EF4-FFF2-40B4-BE49-F238E27FC236}">
              <a16:creationId xmlns:a16="http://schemas.microsoft.com/office/drawing/2014/main" id="{D3496D0C-B111-58DA-CACF-8904F02058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319494</xdr:colOff>
      <xdr:row>54</xdr:row>
      <xdr:rowOff>692877</xdr:rowOff>
    </xdr:from>
    <xdr:to>
      <xdr:col>17</xdr:col>
      <xdr:colOff>379095</xdr:colOff>
      <xdr:row>65</xdr:row>
      <xdr:rowOff>77833</xdr:rowOff>
    </xdr:to>
    <xdr:graphicFrame macro="">
      <xdr:nvGraphicFramePr>
        <xdr:cNvPr id="18" name="Gràfic 17">
          <a:extLst>
            <a:ext uri="{FF2B5EF4-FFF2-40B4-BE49-F238E27FC236}">
              <a16:creationId xmlns:a16="http://schemas.microsoft.com/office/drawing/2014/main" id="{879318B6-F1E1-822A-6454-53EA6EAB3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353786</xdr:colOff>
      <xdr:row>4</xdr:row>
      <xdr:rowOff>40957</xdr:rowOff>
    </xdr:from>
    <xdr:to>
      <xdr:col>19</xdr:col>
      <xdr:colOff>656953</xdr:colOff>
      <xdr:row>26</xdr:row>
      <xdr:rowOff>40821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FE3E12A3-3BC4-C455-5B09-A098D1CDFF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78377</xdr:colOff>
      <xdr:row>28</xdr:row>
      <xdr:rowOff>59327</xdr:rowOff>
    </xdr:from>
    <xdr:to>
      <xdr:col>20</xdr:col>
      <xdr:colOff>51707</xdr:colOff>
      <xdr:row>28</xdr:row>
      <xdr:rowOff>59327</xdr:rowOff>
    </xdr:to>
    <xdr:cxnSp macro="">
      <xdr:nvCxnSpPr>
        <xdr:cNvPr id="5" name="Connector recte 4">
          <a:extLst>
            <a:ext uri="{FF2B5EF4-FFF2-40B4-BE49-F238E27FC236}">
              <a16:creationId xmlns:a16="http://schemas.microsoft.com/office/drawing/2014/main" id="{FC4A9C5D-3DBB-1346-752C-E9A82DBD5A13}"/>
            </a:ext>
          </a:extLst>
        </xdr:cNvPr>
        <xdr:cNvCxnSpPr/>
      </xdr:nvCxnSpPr>
      <xdr:spPr>
        <a:xfrm>
          <a:off x="5875020" y="5325291"/>
          <a:ext cx="13675723" cy="0"/>
        </a:xfrm>
        <a:prstGeom prst="line">
          <a:avLst/>
        </a:prstGeom>
        <a:ln w="5715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595082</xdr:colOff>
      <xdr:row>0</xdr:row>
      <xdr:rowOff>47722</xdr:rowOff>
    </xdr:from>
    <xdr:to>
      <xdr:col>20</xdr:col>
      <xdr:colOff>4035</xdr:colOff>
      <xdr:row>0</xdr:row>
      <xdr:rowOff>291017</xdr:rowOff>
    </xdr:to>
    <xdr:sp macro="" textlink="">
      <xdr:nvSpPr>
        <xdr:cNvPr id="4" name="Rectangle arrodoni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E36BCD-03D7-4C69-AA3F-6F954BAC1A16}"/>
            </a:ext>
            <a:ext uri="{147F2762-F138-4A5C-976F-8EAC2B608ADB}">
              <a16:predDERef xmlns:a16="http://schemas.microsoft.com/office/drawing/2014/main" pred="{1CD190A3-C479-48A2-8264-568EFF5751B2}"/>
            </a:ext>
          </a:extLst>
        </xdr:cNvPr>
        <xdr:cNvSpPr/>
      </xdr:nvSpPr>
      <xdr:spPr>
        <a:xfrm>
          <a:off x="12663817" y="47722"/>
          <a:ext cx="1829424" cy="243295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>
          <a:solidFill>
            <a:schemeClr val="accent5">
              <a:lumMod val="40000"/>
              <a:lumOff val="6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Resultats - informe </a:t>
          </a:r>
          <a:r>
            <a:rPr lang="ca-ES" sz="900" b="1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→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13</xdr:col>
      <xdr:colOff>528278</xdr:colOff>
      <xdr:row>0</xdr:row>
      <xdr:rowOff>57521</xdr:rowOff>
    </xdr:from>
    <xdr:to>
      <xdr:col>16</xdr:col>
      <xdr:colOff>489746</xdr:colOff>
      <xdr:row>0</xdr:row>
      <xdr:rowOff>288841</xdr:rowOff>
    </xdr:to>
    <xdr:sp macro="" textlink="">
      <xdr:nvSpPr>
        <xdr:cNvPr id="6" name="Rectangle arrodonit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722A95-8408-4A8F-9C6D-C0B2EC962C03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10781660" y="57521"/>
          <a:ext cx="1776821" cy="231320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Resultats mensuals </a:t>
          </a:r>
          <a:r>
            <a:rPr lang="ca-ES" sz="900" b="1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→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4</xdr:col>
      <xdr:colOff>82459</xdr:colOff>
      <xdr:row>36</xdr:row>
      <xdr:rowOff>36948</xdr:rowOff>
    </xdr:from>
    <xdr:to>
      <xdr:col>20</xdr:col>
      <xdr:colOff>51979</xdr:colOff>
      <xdr:row>36</xdr:row>
      <xdr:rowOff>36948</xdr:rowOff>
    </xdr:to>
    <xdr:cxnSp macro="">
      <xdr:nvCxnSpPr>
        <xdr:cNvPr id="7" name="Connector recte 6">
          <a:extLst>
            <a:ext uri="{FF2B5EF4-FFF2-40B4-BE49-F238E27FC236}">
              <a16:creationId xmlns:a16="http://schemas.microsoft.com/office/drawing/2014/main" id="{79DFAA76-F34F-4FBC-8467-BBE8041A64FB}"/>
            </a:ext>
          </a:extLst>
        </xdr:cNvPr>
        <xdr:cNvCxnSpPr/>
      </xdr:nvCxnSpPr>
      <xdr:spPr>
        <a:xfrm>
          <a:off x="5879102" y="6718055"/>
          <a:ext cx="13671913" cy="0"/>
        </a:xfrm>
        <a:prstGeom prst="line">
          <a:avLst/>
        </a:prstGeom>
        <a:ln w="5715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287654</xdr:colOff>
      <xdr:row>28</xdr:row>
      <xdr:rowOff>78106</xdr:rowOff>
    </xdr:from>
    <xdr:to>
      <xdr:col>16</xdr:col>
      <xdr:colOff>93074</xdr:colOff>
      <xdr:row>35</xdr:row>
      <xdr:rowOff>95523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9" name="Fecha">
              <a:extLst>
                <a:ext uri="{FF2B5EF4-FFF2-40B4-BE49-F238E27FC236}">
                  <a16:creationId xmlns:a16="http://schemas.microsoft.com/office/drawing/2014/main" id="{4A034DB1-E11A-FEB2-60A6-E7F118E80A2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Fech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46987" y="5725070"/>
              <a:ext cx="10521862" cy="12518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a-ES" sz="1100"/>
                <a:t>Cronologia: funciona a l'Excel 2013 o en una versió posterior. No la desplaceu ni en canvieu la mida.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20954</xdr:colOff>
      <xdr:row>3</xdr:row>
      <xdr:rowOff>16192</xdr:rowOff>
    </xdr:from>
    <xdr:to>
      <xdr:col>20</xdr:col>
      <xdr:colOff>0</xdr:colOff>
      <xdr:row>29</xdr:row>
      <xdr:rowOff>104775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CCACFB39-18E1-438D-9387-A02DF3D85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61537</xdr:colOff>
      <xdr:row>0</xdr:row>
      <xdr:rowOff>54125</xdr:rowOff>
    </xdr:from>
    <xdr:to>
      <xdr:col>20</xdr:col>
      <xdr:colOff>66083</xdr:colOff>
      <xdr:row>0</xdr:row>
      <xdr:rowOff>301230</xdr:rowOff>
    </xdr:to>
    <xdr:sp macro="" textlink="">
      <xdr:nvSpPr>
        <xdr:cNvPr id="4" name="Rectangle arrodoni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BFD19C-6563-47C9-BD28-0A4CA75614FC}"/>
            </a:ext>
            <a:ext uri="{147F2762-F138-4A5C-976F-8EAC2B608ADB}">
              <a16:predDERef xmlns:a16="http://schemas.microsoft.com/office/drawing/2014/main" pred="{1CD190A3-C479-48A2-8264-568EFF5751B2}"/>
            </a:ext>
          </a:extLst>
        </xdr:cNvPr>
        <xdr:cNvSpPr/>
      </xdr:nvSpPr>
      <xdr:spPr>
        <a:xfrm>
          <a:off x="10404566" y="54125"/>
          <a:ext cx="1819899" cy="247105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>
          <a:solidFill>
            <a:schemeClr val="accent5">
              <a:lumMod val="40000"/>
              <a:lumOff val="6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Resultats - informe </a:t>
          </a:r>
          <a:r>
            <a:rPr lang="ca-ES" sz="900" b="1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→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13</xdr:col>
      <xdr:colOff>582705</xdr:colOff>
      <xdr:row>0</xdr:row>
      <xdr:rowOff>63425</xdr:rowOff>
    </xdr:from>
    <xdr:to>
      <xdr:col>16</xdr:col>
      <xdr:colOff>565673</xdr:colOff>
      <xdr:row>0</xdr:row>
      <xdr:rowOff>289448</xdr:rowOff>
    </xdr:to>
    <xdr:sp macro="" textlink="">
      <xdr:nvSpPr>
        <xdr:cNvPr id="6" name="Rectangle arrodonit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68CCB7-D037-4ADB-B523-809CB938BD42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8505264" y="63425"/>
          <a:ext cx="1798321" cy="226023"/>
        </a:xfrm>
        <a:prstGeom prst="roundRect">
          <a:avLst/>
        </a:prstGeom>
        <a:solidFill>
          <a:schemeClr val="accent5"/>
        </a:solidFill>
        <a:ln>
          <a:solidFill>
            <a:schemeClr val="accent5">
              <a:lumMod val="75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←</a:t>
          </a:r>
          <a:r>
            <a:rPr lang="ca-ES" sz="900" b="1" baseline="0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R</a:t>
          </a:r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esultats diaris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4</xdr:col>
      <xdr:colOff>54429</xdr:colOff>
      <xdr:row>29</xdr:row>
      <xdr:rowOff>127075</xdr:rowOff>
    </xdr:from>
    <xdr:to>
      <xdr:col>20</xdr:col>
      <xdr:colOff>13111</xdr:colOff>
      <xdr:row>29</xdr:row>
      <xdr:rowOff>127075</xdr:rowOff>
    </xdr:to>
    <xdr:cxnSp macro="">
      <xdr:nvCxnSpPr>
        <xdr:cNvPr id="5" name="Connector recte 4">
          <a:extLst>
            <a:ext uri="{FF2B5EF4-FFF2-40B4-BE49-F238E27FC236}">
              <a16:creationId xmlns:a16="http://schemas.microsoft.com/office/drawing/2014/main" id="{35D1B90C-CFDD-4117-8D8F-AC196080B26A}"/>
            </a:ext>
          </a:extLst>
        </xdr:cNvPr>
        <xdr:cNvCxnSpPr/>
      </xdr:nvCxnSpPr>
      <xdr:spPr>
        <a:xfrm>
          <a:off x="5864679" y="5433861"/>
          <a:ext cx="11946575" cy="0"/>
        </a:xfrm>
        <a:prstGeom prst="line">
          <a:avLst/>
        </a:prstGeom>
        <a:ln w="5715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99059</xdr:colOff>
      <xdr:row>30</xdr:row>
      <xdr:rowOff>68579</xdr:rowOff>
    </xdr:from>
    <xdr:to>
      <xdr:col>18</xdr:col>
      <xdr:colOff>668927</xdr:colOff>
      <xdr:row>40</xdr:row>
      <xdr:rowOff>96882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8" name="Fecha 1">
              <a:extLst>
                <a:ext uri="{FF2B5EF4-FFF2-40B4-BE49-F238E27FC236}">
                  <a16:creationId xmlns:a16="http://schemas.microsoft.com/office/drawing/2014/main" id="{297E202C-390A-CDE7-D36F-6A92255DB10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Fech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02428" y="5931353"/>
              <a:ext cx="9606644" cy="179913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a-ES" sz="1100"/>
                <a:t>Cronologia: funciona a l'Excel 2013 o en una versió posterior. No la desplaceu ni en canvieu la mida.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ibacat.sharepoint.com/sites/msteams_729e94/Documentos%20compartidos/General/EINES%20EXCEL/EFICIENCIA/Eina_comptabilitat_energetica.xlsx" TargetMode="External"/><Relationship Id="rId1" Type="http://schemas.openxmlformats.org/officeDocument/2006/relationships/externalLinkPath" Target="Eina_comptabilitat_energet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struccions"/>
      <sheetName val="TAULER"/>
      <sheetName val="EQ 01"/>
      <sheetName val="EQ 02"/>
      <sheetName val="EQ 03"/>
      <sheetName val="EQ 04"/>
      <sheetName val="EQ 05"/>
      <sheetName val="EQ 06"/>
      <sheetName val="EQ 07"/>
      <sheetName val="llistes"/>
      <sheetName val="eines"/>
      <sheetName val="EQ 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rbonescr_x000a_" refreshedDate="46129.496780555557" backgroundQuery="1" createdVersion="8" refreshedVersion="8" minRefreshableVersion="3" recordCount="0" supportSubquery="1" supportAdvancedDrill="1" xr:uid="{5C19BEAB-2883-4784-889B-D3C0E94208A8}">
  <cacheSource type="external" connectionId="1"/>
  <cacheFields count="2">
    <cacheField name="[Interval 1].[Fecha].[Fecha]" caption="Fecha" numFmtId="0" level="1">
      <sharedItems containsSemiMixedTypes="0" containsNonDate="0" containsDate="1" containsString="0" minDate="2024-01-01T00:00:00" maxDate="2025-01-01T00:00:00" count="367">
        <d v="2024-01-01T00:00:00"/>
        <d v="2024-01-02T00:00:00"/>
        <d v="2024-01-03T00:00:00"/>
        <d v="2024-01-04T00:00:00"/>
        <d v="2024-01-05T00:00:00"/>
        <d v="2024-01-06T00:00:00"/>
        <d v="2024-01-07T00:00:00"/>
        <d v="2024-01-08T00:00:00"/>
        <d v="2024-01-09T00:00:00"/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8T00:00:00"/>
        <d v="2024-01-19T00:00:00"/>
        <d v="2024-01-20T00:00:00"/>
        <d v="2024-01-21T00:00:00"/>
        <d v="2024-01-22T00:00:00"/>
        <d v="2024-01-23T00:00:00"/>
        <d v="2024-01-24T00:00:00"/>
        <d v="2024-01-25T00:00:00"/>
        <d v="2024-01-26T00:00:00"/>
        <d v="2024-01-27T00:00:00"/>
        <d v="2024-01-28T00:00:00"/>
        <d v="2024-01-29T00:00:00"/>
        <d v="2024-01-30T00:00:00"/>
        <d v="2024-01-31T00:00:00"/>
        <d v="2024-02-01T00:00:00"/>
        <d v="2024-02-02T00:00:00"/>
        <d v="2024-02-03T00:00:00"/>
        <d v="2024-02-04T00:00:00"/>
        <d v="2024-02-05T00:00:00"/>
        <d v="2024-02-06T00:00:00"/>
        <d v="2024-02-07T00:00:00"/>
        <d v="2024-02-08T00:00:00"/>
        <d v="2024-02-09T00:00:00"/>
        <d v="2024-02-10T00:00:00"/>
        <d v="2024-02-11T00:00:00"/>
        <d v="2024-02-12T00:00:00"/>
        <d v="2024-02-13T00:00:00"/>
        <d v="2024-02-14T00:00:00"/>
        <d v="2024-02-15T00:00:00"/>
        <d v="2024-02-16T00:00:00"/>
        <d v="2024-02-17T00:00:00"/>
        <d v="2024-02-18T00:00:00"/>
        <d v="2024-02-19T00:00:00"/>
        <d v="2024-02-20T00:00:00"/>
        <d v="2024-02-21T00:00:00"/>
        <d v="2024-02-22T00:00:00"/>
        <d v="2024-02-23T00:00:00"/>
        <d v="2024-02-24T00:00:00"/>
        <d v="2024-02-25T00:00:00"/>
        <d v="2024-02-26T00:00:00"/>
        <d v="2024-02-27T00:00:00"/>
        <d v="2024-02-28T00:00:00"/>
        <d v="2024-03-01T00:00:00"/>
        <d v="2024-03-02T00:00:00"/>
        <d v="2024-03-03T00:00:00"/>
        <d v="2024-03-04T00:00:00"/>
        <d v="2024-03-05T00:00:00"/>
        <d v="2024-03-06T00:00:00"/>
        <d v="2024-03-07T00:00:00"/>
        <d v="2024-03-08T00:00:00"/>
        <d v="2024-03-09T00:00:00"/>
        <d v="2024-03-10T00:00:00"/>
        <d v="2024-03-11T00:00:00"/>
        <d v="2024-03-12T00:00:00"/>
        <d v="2024-03-13T00:00:00"/>
        <d v="2024-03-14T00:00:00"/>
        <d v="2024-03-15T00:00:00"/>
        <d v="2024-03-16T00:00:00"/>
        <d v="2024-03-17T00:00:00"/>
        <d v="2024-03-18T00:00:00"/>
        <d v="2024-03-19T00:00:00"/>
        <d v="2024-03-20T00:00:00"/>
        <d v="2024-03-21T00:00:00"/>
        <d v="2024-03-22T00:00:00"/>
        <d v="2024-03-23T00:00:00"/>
        <d v="2024-03-24T00:00:00"/>
        <d v="2024-03-25T00:00:00"/>
        <d v="2024-03-26T00:00:00"/>
        <d v="2024-03-27T00:00:00"/>
        <d v="2024-03-28T00:00:00"/>
        <d v="2024-03-29T00:00:00"/>
        <d v="2024-03-30T00:00:00"/>
        <d v="2024-03-31T00:00:00"/>
        <d v="2024-04-01T00:00:00"/>
        <d v="2024-04-02T00:00:00"/>
        <d v="2024-04-03T00:00:00"/>
        <d v="2024-04-04T00:00:00"/>
        <d v="2024-04-05T00:00:00"/>
        <d v="2024-04-06T00:00:00"/>
        <d v="2024-04-07T00:00:00"/>
        <d v="2024-04-08T00:00:00"/>
        <d v="2024-04-09T00:00:00"/>
        <d v="2024-04-10T00:00:00"/>
        <d v="2024-04-11T00:00:00"/>
        <d v="2024-04-12T00:00:00"/>
        <d v="2024-04-13T00:00:00"/>
        <d v="2024-04-14T00:00:00"/>
        <d v="2024-04-15T00:00:00"/>
        <d v="2024-04-16T00:00:00"/>
        <d v="2024-04-17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29T00:00:00"/>
        <d v="2024-04-30T00:00:00"/>
        <d v="2024-05-01T00:00:00"/>
        <d v="2024-05-02T00:00:00"/>
        <d v="2024-05-03T00:00:00"/>
        <d v="2024-05-04T00:00:00"/>
        <d v="2024-05-05T00:00:00"/>
        <d v="2024-05-06T00:00:00"/>
        <d v="2024-05-07T00:00:00"/>
        <d v="2024-05-08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6T00:00:00"/>
        <d v="2024-05-17T00:00:00"/>
        <d v="2024-05-18T00:00:00"/>
        <d v="2024-05-19T00:00:00"/>
        <d v="2024-05-20T00:00:00"/>
        <d v="2024-05-21T00:00:00"/>
        <d v="2024-05-22T00:00:00"/>
        <d v="2024-05-23T00:00:00"/>
        <d v="2024-05-24T00:00:00"/>
        <d v="2024-05-25T00:00:00"/>
        <d v="2024-05-26T00:00:00"/>
        <d v="2024-05-27T00:00:00"/>
        <d v="2024-05-28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5T00:00:00"/>
        <d v="2024-06-06T00:00:00"/>
        <d v="2024-06-07T00:00:00"/>
        <d v="2024-06-08T00:00:00"/>
        <d v="2024-06-09T00:00:00"/>
        <d v="2024-06-10T00:00:00"/>
        <d v="2024-06-11T00:00:00"/>
        <d v="2024-06-12T00:00:00"/>
        <d v="2024-06-13T00:00:00"/>
        <d v="2024-06-14T00:00:00"/>
        <d v="2024-06-15T00:00:00"/>
        <d v="2024-06-16T00:00:00"/>
        <d v="2024-06-17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6T00:00:00"/>
        <d v="2024-07-07T00:00:00"/>
        <d v="2024-07-08T00:00:00"/>
        <d v="2024-07-09T00:00:00"/>
        <d v="2024-07-10T00:00:00"/>
        <d v="2024-07-11T00:00:00"/>
        <d v="2024-07-12T00:00:00"/>
        <d v="2024-07-13T00:00:00"/>
        <d v="2024-07-14T00:00:00"/>
        <d v="2024-07-15T00:00:00"/>
        <d v="2024-07-16T00:00:00"/>
        <d v="2024-07-17T00:00:00"/>
        <d v="2024-07-18T00:00:00"/>
        <d v="2024-07-19T00:00:00"/>
        <d v="2024-07-20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d v="2024-07-29T00:00:00"/>
        <d v="2024-07-30T00:00:00"/>
        <d v="2024-07-31T00:00:00"/>
        <d v="2024-08-01T00:00:00"/>
        <d v="2024-08-02T00:00:00"/>
        <d v="2024-08-03T00:00:00"/>
        <d v="2024-08-04T00:00:00"/>
        <d v="2024-08-05T00:00:00"/>
        <d v="2024-08-06T00:00:00"/>
        <d v="2024-08-07T00:00:00"/>
        <d v="2024-08-08T00:00:00"/>
        <d v="2024-08-09T00:00:00"/>
        <d v="2024-08-10T00:00:00"/>
        <d v="2024-08-11T00:00:00"/>
        <d v="2024-08-12T00:00:00"/>
        <d v="2024-08-13T00:00:00"/>
        <d v="2024-08-14T00:00:00"/>
        <d v="2024-08-15T00:00:00"/>
        <d v="2024-08-16T00:00:00"/>
        <d v="2024-08-17T00:00:00"/>
        <d v="2024-08-18T00:00:00"/>
        <d v="2024-08-19T00:00:00"/>
        <d v="2024-08-20T00:00:00"/>
        <d v="2024-08-21T00:00:00"/>
        <d v="2024-08-22T00:00:00"/>
        <d v="2024-08-23T00:00:00"/>
        <d v="2024-08-24T00:00:00"/>
        <d v="2024-08-25T00:00:00"/>
        <d v="2024-08-26T00:00:00"/>
        <d v="2024-08-27T00:00:00"/>
        <d v="2024-08-28T00:00:00"/>
        <d v="2024-08-29T00:00:00"/>
        <d v="2024-08-30T00:00:00"/>
        <d v="2024-08-31T00:00:00"/>
        <d v="2024-09-01T00:00:00"/>
        <d v="2024-09-02T00:00:00"/>
        <d v="2024-09-03T00:00:00"/>
        <d v="2024-09-04T00:00:00"/>
        <d v="2024-09-05T00:00:00"/>
        <d v="2024-09-06T00:00:00"/>
        <d v="2024-09-07T00:00:00"/>
        <d v="2024-09-08T00:00:00"/>
        <d v="2024-09-09T00:00:00"/>
        <d v="2024-09-10T00:00:00"/>
        <d v="2024-09-11T00:00:00"/>
        <d v="2024-09-12T00:00:00"/>
        <d v="2024-09-13T00:00:00"/>
        <d v="2024-09-14T00:00:00"/>
        <d v="2024-09-15T00:00:00"/>
        <d v="2024-09-16T00:00:00"/>
        <d v="2024-09-17T00:00:00"/>
        <d v="2024-09-18T00:00:00"/>
        <d v="2024-09-19T00:00:00"/>
        <d v="2024-09-20T00:00:00"/>
        <d v="2024-09-21T00:00:00"/>
        <d v="2024-09-22T00:00:00"/>
        <d v="2024-09-23T00:00:00"/>
        <d v="2024-09-24T00:00:00"/>
        <d v="2024-09-25T00:00:00"/>
        <d v="2024-09-26T00:00:00"/>
        <d v="2024-09-27T00:00:00"/>
        <d v="2024-09-28T00:00:00"/>
        <d v="2024-09-29T00:00:00"/>
        <d v="2024-09-30T00:00:00"/>
        <d v="2024-10-01T00:00:00"/>
        <d v="2024-10-02T00:00:00"/>
        <d v="2024-10-03T00:00:00"/>
        <d v="2024-10-04T00:00:00"/>
        <d v="2024-10-05T00:00:00"/>
        <d v="2024-10-06T00:00:00"/>
        <d v="2024-10-07T00:00:00"/>
        <d v="2024-10-08T00:00:00"/>
        <d v="2024-10-09T00:00:00"/>
        <d v="2024-10-10T00:00:00"/>
        <d v="2024-10-11T00:00:00"/>
        <d v="2024-10-12T00:00:00"/>
        <d v="2024-10-13T00:00:00"/>
        <d v="2024-10-14T00:00:00"/>
        <d v="2024-10-15T00:00:00"/>
        <d v="2024-10-16T00:00:00"/>
        <d v="2024-10-17T00:00:00"/>
        <d v="2024-10-18T00:00:00"/>
        <d v="2024-10-19T00:00:00"/>
        <d v="2024-10-20T00:00:00"/>
        <d v="2024-10-21T00:00:00"/>
        <d v="2024-10-22T00:00:00"/>
        <d v="2024-10-23T00:00:00"/>
        <d v="2024-10-24T00:00:00"/>
        <d v="2024-10-25T00:00:00"/>
        <d v="2024-10-26T00:00:00"/>
        <d v="2024-10-27T00:00:00"/>
        <d v="2024-10-28T00:00:00"/>
        <d v="2024-10-29T00:00:00"/>
        <d v="2024-10-30T00:00:00"/>
        <d v="2024-10-31T00:00:00"/>
        <d v="2024-11-01T00:00:00"/>
        <d v="2024-11-02T00:00:00"/>
        <d v="2024-11-03T00:00:00"/>
        <d v="2024-11-04T00:00:00"/>
        <d v="2024-11-05T00:00:00"/>
        <d v="2024-11-06T00:00:00"/>
        <d v="2024-11-07T00:00:00"/>
        <d v="2024-11-08T00:00:00"/>
        <d v="2024-11-09T00:00:00"/>
        <d v="2024-11-10T00:00:00"/>
        <d v="2024-11-11T00:00:00"/>
        <d v="2024-11-12T00:00:00"/>
        <d v="2024-11-13T00:00:00"/>
        <d v="2024-11-14T00:00:00"/>
        <d v="2024-11-15T00:00:00"/>
        <d v="2024-11-16T00:00:00"/>
        <d v="2024-11-17T00:00:00"/>
        <d v="2024-11-18T00:00:00"/>
        <d v="2024-11-19T00:00:00"/>
        <d v="2024-11-20T00:00:00"/>
        <d v="2024-11-21T00:00:00"/>
        <d v="2024-11-22T00:00:00"/>
        <d v="2024-11-23T00:00:00"/>
        <d v="2024-11-24T00:00:00"/>
        <d v="2024-11-25T00:00:00"/>
        <d v="2024-11-26T00:00:00"/>
        <d v="2024-11-27T00:00:00"/>
        <d v="2024-11-28T00:00:00"/>
        <d v="2024-11-29T00:00:00"/>
        <d v="2024-11-30T00:00:00"/>
        <d v="2024-12-01T00:00:00"/>
        <d v="2024-12-02T00:00:00"/>
        <d v="2024-12-03T00:00:00"/>
        <d v="2024-12-04T00:00:00"/>
        <d v="2024-12-05T00:00:00"/>
        <d v="2024-12-06T00:00:00"/>
        <d v="2024-12-07T00:00:00"/>
        <d v="2024-12-08T00:00:00"/>
        <d v="2024-12-09T00:00:00"/>
        <d v="2024-12-10T00:00:00"/>
        <d v="2024-12-11T00:00:00"/>
        <d v="2024-12-12T00:00:00"/>
        <d v="2024-12-13T00:00:00"/>
        <d v="2024-12-14T00:00:00"/>
        <d v="2024-12-15T00:00:00"/>
        <d v="2024-12-16T00:00:00"/>
        <d v="2024-12-17T00:00:00"/>
        <d v="2024-12-18T00:00:00"/>
        <d v="2024-12-19T00:00:00"/>
        <d v="2024-12-20T00:00:00"/>
        <d v="2024-12-21T00:00:00"/>
        <d v="2024-12-22T00:00:00"/>
        <d v="2024-12-23T00:00:00"/>
        <d v="2024-12-24T00:00:00"/>
        <d v="2024-12-25T00:00:00"/>
        <d v="2024-12-26T00:00:00"/>
        <d v="2024-12-27T00:00:00"/>
        <d v="2024-12-28T00:00:00"/>
        <d v="2024-12-29T00:00:00"/>
        <d v="2024-12-30T00:00:00"/>
        <d v="2024-12-31T00:00:00"/>
        <d v="2024-12-31T22:00:04"/>
        <d v="2024-12-31T23:00:00"/>
      </sharedItems>
      <extLst>
        <ext xmlns:x15="http://schemas.microsoft.com/office/spreadsheetml/2010/11/main" uri="{4F2E5C28-24EA-4eb8-9CBF-B6C8F9C3D259}">
          <x15:cachedUniqueNames>
            <x15:cachedUniqueName index="365" name="[Interval 1].[Fecha].&amp;[2024-12-31T22:00:04]"/>
            <x15:cachedUniqueName index="366" name="[Interval 1].[Fecha].&amp;[2024-12-31T23:00:00]"/>
          </x15:cachedUniqueNames>
        </ext>
      </extLst>
    </cacheField>
    <cacheField name="[Measures].[Suma de AE_kWh]" caption="Suma de AE_kWh" numFmtId="0" hierarchy="12" level="32767"/>
  </cacheFields>
  <cacheHierarchies count="13">
    <cacheHierarchy uniqueName="[Interval 1].[Fecha]" caption="Fecha" attribute="1" time="1" defaultMemberUniqueName="[Interval 1].[Fecha].[All]" allUniqueName="[Interval 1].[Fecha].[All]" dimensionUniqueName="[Interval 1]" displayFolder="" count="2" memberValueDatatype="7" unbalanced="0">
      <fieldsUsage count="2">
        <fieldUsage x="-1"/>
        <fieldUsage x="0"/>
      </fieldsUsage>
    </cacheHierarchy>
    <cacheHierarchy uniqueName="[Interval 1].[Hora]" caption="Hora" attribute="1" defaultMemberUniqueName="[Interval 1].[Hora].[All]" allUniqueName="[Interval 1].[Hora].[All]" dimensionUniqueName="[Interval 1]" displayFolder="" count="0" memberValueDatatype="20" unbalanced="0"/>
    <cacheHierarchy uniqueName="[Interval 1].[AE_kWh]" caption="AE_kWh" attribute="1" defaultMemberUniqueName="[Interval 1].[AE_kWh].[All]" allUniqueName="[Interval 1].[AE_kWh].[All]" dimensionUniqueName="[Interval 1]" displayFolder="" count="0" memberValueDatatype="20" unbalanced="0"/>
    <cacheHierarchy uniqueName="[Interval 1].[AS_KWh]" caption="AS_KWh" attribute="1" defaultMemberUniqueName="[Interval 1].[AS_KWh].[All]" allUniqueName="[Interval 1].[AS_KWh].[All]" dimensionUniqueName="[Interval 1]" displayFolder="" count="0" memberValueDatatype="5" unbalanced="0"/>
    <cacheHierarchy uniqueName="[Interval 1].[AE_AUTOCONS_kWh]" caption="AE_AUTOCONS_kWh" attribute="1" defaultMemberUniqueName="[Interval 1].[AE_AUTOCONS_kWh].[All]" allUniqueName="[Interval 1].[AE_AUTOCONS_kWh].[All]" dimensionUniqueName="[Interval 1]" displayFolder="" count="0" memberValueDatatype="130" unbalanced="0"/>
    <cacheHierarchy uniqueName="[Interval 1].[REAL/ESTIMADO]" caption="REAL/ESTIMADO" attribute="1" defaultMemberUniqueName="[Interval 1].[REAL/ESTIMADO].[All]" allUniqueName="[Interval 1].[REAL/ESTIMADO].[All]" dimensionUniqueName="[Interval 1]" displayFolder="" count="0" memberValueDatatype="130" unbalanced="0"/>
    <cacheHierarchy uniqueName="[Interval 1].[Energia  Consumida]" caption="Energia  Consumida" attribute="1" defaultMemberUniqueName="[Interval 1].[Energia  Consumida].[All]" allUniqueName="[Interval 1].[Energia  Consumida].[All]" dimensionUniqueName="[Interval 1]" displayFolder="" count="0" memberValueDatatype="20" unbalanced="0"/>
    <cacheHierarchy uniqueName="[Interval 1].[Fecha (mes)]" caption="Fecha (mes)" attribute="1" defaultMemberUniqueName="[Interval 1].[Fecha (mes)].[All]" allUniqueName="[Interval 1].[Fecha (mes)].[All]" dimensionUniqueName="[Interval 1]" displayFolder="" count="0" memberValueDatatype="130" unbalanced="0"/>
    <cacheHierarchy uniqueName="[Interval 1].[Fecha (índex de mesos)]" caption="Fecha (índex de mesos)" attribute="1" defaultMemberUniqueName="[Interval 1].[Fecha (índex de mesos)].[All]" allUniqueName="[Interval 1].[Fecha (índex de mesos)].[All]" dimensionUniqueName="[Interval 1]" displayFolder="" count="0" memberValueDatatype="20" unbalanced="0" hidden="1"/>
    <cacheHierarchy uniqueName="[Measures].[__XL_Count Interval 1]" caption="__XL_Count Interval 1" measure="1" displayFolder="" measureGroup="Interval 1" count="0" hidden="1"/>
    <cacheHierarchy uniqueName="[Measures].[__No s'ha definit cap mesura]" caption="__No s'ha definit cap mesura" measure="1" displayFolder="" count="0" hidden="1"/>
    <cacheHierarchy uniqueName="[Measures].[Suma de Energia  Consumida]" caption="Suma de Energia  Consumida" measure="1" displayFolder="" measureGroup="Interval 1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de AE_kWh]" caption="Suma de AE_kWh" measure="1" displayFolder="" measureGroup="Interval 1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name="Interval 1" uniqueName="[Interval 1]" caption="Interval 1"/>
    <dimension measure="1" name="Measures" uniqueName="[Measures]" caption="Measures"/>
  </dimensions>
  <measureGroups count="1">
    <measureGroup name="Interval 1" caption="Interval 1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rbonescr_x000a_" refreshedDate="46129.497058680558" backgroundQuery="1" createdVersion="8" refreshedVersion="8" minRefreshableVersion="3" recordCount="0" supportSubquery="1" supportAdvancedDrill="1" xr:uid="{4CB1A834-1152-4315-A140-93476C52E80F}">
  <cacheSource type="external" connectionId="1"/>
  <cacheFields count="2">
    <cacheField name="[Interval 1].[Fecha (mes)].[Fecha (mes)]" caption="Fecha (mes)" numFmtId="0" hierarchy="7" level="1">
      <sharedItems count="12">
        <s v="gen"/>
        <s v="febr"/>
        <s v="març"/>
        <s v="abr"/>
        <s v="maig"/>
        <s v="juny"/>
        <s v="jul"/>
        <s v="ag"/>
        <s v="set"/>
        <s v="oct"/>
        <s v="nov"/>
        <s v="des"/>
      </sharedItems>
    </cacheField>
    <cacheField name="[Measures].[Suma de AE_kWh]" caption="Suma de AE_kWh" numFmtId="0" hierarchy="12" level="32767"/>
  </cacheFields>
  <cacheHierarchies count="13">
    <cacheHierarchy uniqueName="[Interval 1].[Fecha]" caption="Fecha" attribute="1" time="1" defaultMemberUniqueName="[Interval 1].[Fecha].[All]" allUniqueName="[Interval 1].[Fecha].[All]" dimensionUniqueName="[Interval 1]" displayFolder="" count="2" memberValueDatatype="7" unbalanced="0"/>
    <cacheHierarchy uniqueName="[Interval 1].[Hora]" caption="Hora" attribute="1" defaultMemberUniqueName="[Interval 1].[Hora].[All]" allUniqueName="[Interval 1].[Hora].[All]" dimensionUniqueName="[Interval 1]" displayFolder="" count="0" memberValueDatatype="20" unbalanced="0"/>
    <cacheHierarchy uniqueName="[Interval 1].[AE_kWh]" caption="AE_kWh" attribute="1" defaultMemberUniqueName="[Interval 1].[AE_kWh].[All]" allUniqueName="[Interval 1].[AE_kWh].[All]" dimensionUniqueName="[Interval 1]" displayFolder="" count="0" memberValueDatatype="20" unbalanced="0"/>
    <cacheHierarchy uniqueName="[Interval 1].[AS_KWh]" caption="AS_KWh" attribute="1" defaultMemberUniqueName="[Interval 1].[AS_KWh].[All]" allUniqueName="[Interval 1].[AS_KWh].[All]" dimensionUniqueName="[Interval 1]" displayFolder="" count="0" memberValueDatatype="5" unbalanced="0"/>
    <cacheHierarchy uniqueName="[Interval 1].[AE_AUTOCONS_kWh]" caption="AE_AUTOCONS_kWh" attribute="1" defaultMemberUniqueName="[Interval 1].[AE_AUTOCONS_kWh].[All]" allUniqueName="[Interval 1].[AE_AUTOCONS_kWh].[All]" dimensionUniqueName="[Interval 1]" displayFolder="" count="0" memberValueDatatype="130" unbalanced="0"/>
    <cacheHierarchy uniqueName="[Interval 1].[REAL/ESTIMADO]" caption="REAL/ESTIMADO" attribute="1" defaultMemberUniqueName="[Interval 1].[REAL/ESTIMADO].[All]" allUniqueName="[Interval 1].[REAL/ESTIMADO].[All]" dimensionUniqueName="[Interval 1]" displayFolder="" count="0" memberValueDatatype="130" unbalanced="0"/>
    <cacheHierarchy uniqueName="[Interval 1].[Energia  Consumida]" caption="Energia  Consumida" attribute="1" defaultMemberUniqueName="[Interval 1].[Energia  Consumida].[All]" allUniqueName="[Interval 1].[Energia  Consumida].[All]" dimensionUniqueName="[Interval 1]" displayFolder="" count="0" memberValueDatatype="20" unbalanced="0"/>
    <cacheHierarchy uniqueName="[Interval 1].[Fecha (mes)]" caption="Fecha (mes)" attribute="1" defaultMemberUniqueName="[Interval 1].[Fecha (mes)].[All]" allUniqueName="[Interval 1].[Fecha (mes)].[All]" dimensionUniqueName="[Interval 1]" displayFolder="" count="2" memberValueDatatype="130" unbalanced="0">
      <fieldsUsage count="2">
        <fieldUsage x="-1"/>
        <fieldUsage x="0"/>
      </fieldsUsage>
    </cacheHierarchy>
    <cacheHierarchy uniqueName="[Interval 1].[Fecha (índex de mesos)]" caption="Fecha (índex de mesos)" attribute="1" defaultMemberUniqueName="[Interval 1].[Fecha (índex de mesos)].[All]" allUniqueName="[Interval 1].[Fecha (índex de mesos)].[All]" dimensionUniqueName="[Interval 1]" displayFolder="" count="0" memberValueDatatype="20" unbalanced="0" hidden="1"/>
    <cacheHierarchy uniqueName="[Measures].[__XL_Count Interval 1]" caption="__XL_Count Interval 1" measure="1" displayFolder="" measureGroup="Interval 1" count="0" hidden="1"/>
    <cacheHierarchy uniqueName="[Measures].[__No s'ha definit cap mesura]" caption="__No s'ha definit cap mesura" measure="1" displayFolder="" count="0" hidden="1"/>
    <cacheHierarchy uniqueName="[Measures].[Suma de Energia  Consumida]" caption="Suma de Energia  Consumida" measure="1" displayFolder="" measureGroup="Interval 1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de AE_kWh]" caption="Suma de AE_kWh" measure="1" displayFolder="" measureGroup="Interval 1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name="Interval 1" uniqueName="[Interval 1]" caption="Interval 1"/>
    <dimension measure="1" name="Measures" uniqueName="[Measures]" caption="Measures"/>
  </dimensions>
  <measureGroups count="1">
    <measureGroup name="Interval 1" caption="Interval 1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arciafra" refreshedDate="45929.766473842596" backgroundQuery="1" createdVersion="3" refreshedVersion="8" minRefreshableVersion="3" recordCount="0" supportSubquery="1" supportAdvancedDrill="1" xr:uid="{82C9DCE9-55CE-49A9-B115-A244C610F531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4">
    <cacheHierarchy uniqueName="[Interval 1].[Fecha]" caption="Fecha" attribute="1" time="1" defaultMemberUniqueName="[Interval 1].[Fecha].[All]" allUniqueName="[Interval 1].[Fecha].[All]" dimensionUniqueName="[Interval 1]" displayFolder="" count="2" memberValueDatatype="7" unbalanced="0"/>
    <cacheHierarchy uniqueName="[Interval 1].[Hora]" caption="Hora" attribute="1" defaultMemberUniqueName="[Interval 1].[Hora].[All]" allUniqueName="[Interval 1].[Hora].[All]" dimensionUniqueName="[Interval 1]" displayFolder="" count="0" memberValueDatatype="20" unbalanced="0"/>
    <cacheHierarchy uniqueName="[Interval 1].[AE_kWh]" caption="AE_kWh" attribute="1" defaultMemberUniqueName="[Interval 1].[AE_kWh].[All]" allUniqueName="[Interval 1].[AE_kWh].[All]" dimensionUniqueName="[Interval 1]" displayFolder="" count="0" memberValueDatatype="5" unbalanced="0"/>
    <cacheHierarchy uniqueName="[Interval 1].[AS_KWh]" caption="AS_KWh" attribute="1" defaultMemberUniqueName="[Interval 1].[AS_KWh].[All]" allUniqueName="[Interval 1].[AS_KWh].[All]" dimensionUniqueName="[Interval 1]" displayFolder="" count="0" memberValueDatatype="5" unbalanced="0"/>
    <cacheHierarchy uniqueName="[Interval 1].[AE_AUTOCONS_kWh]" caption="AE_AUTOCONS_kWh" attribute="1" defaultMemberUniqueName="[Interval 1].[AE_AUTOCONS_kWh].[All]" allUniqueName="[Interval 1].[AE_AUTOCONS_kWh].[All]" dimensionUniqueName="[Interval 1]" displayFolder="" count="0" memberValueDatatype="5" unbalanced="0"/>
    <cacheHierarchy uniqueName="[Interval 1].[REAL/ESTIMADO]" caption="REAL/ESTIMADO" attribute="1" defaultMemberUniqueName="[Interval 1].[REAL/ESTIMADO].[All]" allUniqueName="[Interval 1].[REAL/ESTIMADO].[All]" dimensionUniqueName="[Interval 1]" displayFolder="" count="0" memberValueDatatype="130" unbalanced="0"/>
    <cacheHierarchy uniqueName="[Interval 1].[Energia  Consumida]" caption="Energia  Consumida" attribute="1" defaultMemberUniqueName="[Interval 1].[Energia  Consumida].[All]" allUniqueName="[Interval 1].[Energia  Consumida].[All]" dimensionUniqueName="[Interval 1]" displayFolder="" count="0" memberValueDatatype="5" unbalanced="0"/>
    <cacheHierarchy uniqueName="[Interval 1].[Fecha (mes)]" caption="Fecha (mes)" attribute="1" defaultMemberUniqueName="[Interval 1].[Fecha (mes)].[All]" allUniqueName="[Interval 1].[Fecha (mes)].[All]" dimensionUniqueName="[Interval 1]" displayFolder="" count="0" memberValueDatatype="130" unbalanced="0"/>
    <cacheHierarchy uniqueName="[Interval 1].[Fecha (índex de mesos)]" caption="Fecha (índex de mesos)" attribute="1" defaultMemberUniqueName="[Interval 1].[Fecha (índex de mesos)].[All]" allUniqueName="[Interval 1].[Fecha (índex de mesos)].[All]" dimensionUniqueName="[Interval 1]" displayFolder="" count="0" memberValueDatatype="20" unbalanced="0" hidden="1"/>
    <cacheHierarchy uniqueName="[Measures].[__XL_Count Interval 1]" caption="__XL_Count Interval 1" measure="1" displayFolder="" measureGroup="Interval 1" count="0" hidden="1"/>
    <cacheHierarchy uniqueName="[Measures].[__No s'ha definit cap mesura]" caption="__No s'ha definit cap mesura" measure="1" displayFolder="" count="0" hidden="1"/>
    <cacheHierarchy uniqueName="[Measures].[Suma de Energia  Consumida]" caption="Suma de Energia  Consumida" measure="1" displayFolder="" measureGroup="Interval 1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de AE_kWh]" caption="Suma de AE_kWh" measure="1" displayFolder="" measureGroup="Interval 1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uma de AE_AUTOCONS_kWh]" caption="Suma de AE_AUTOCONS_kWh" measure="1" displayFolder="" measureGroup="Interval 1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extLst>
    <ext xmlns:x14="http://schemas.microsoft.com/office/spreadsheetml/2009/9/main" uri="{725AE2AE-9491-48be-B2B4-4EB974FC3084}">
      <x14:pivotCacheDefinition pivotCacheId="1150427003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arciafra" refreshedDate="45929.766479861108" backgroundQuery="1" createdVersion="3" refreshedVersion="8" minRefreshableVersion="3" recordCount="0" supportSubquery="1" supportAdvancedDrill="1" xr:uid="{334F0C15-F3B3-47C3-B9A9-F85C85638251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4">
    <cacheHierarchy uniqueName="[Interval 1].[Fecha]" caption="Fecha" attribute="1" time="1" defaultMemberUniqueName="[Interval 1].[Fecha].[All]" allUniqueName="[Interval 1].[Fecha].[All]" dimensionUniqueName="[Interval 1]" displayFolder="" count="2" memberValueDatatype="7" unbalanced="0"/>
    <cacheHierarchy uniqueName="[Interval 1].[Hora]" caption="Hora" attribute="1" defaultMemberUniqueName="[Interval 1].[Hora].[All]" allUniqueName="[Interval 1].[Hora].[All]" dimensionUniqueName="[Interval 1]" displayFolder="" count="0" memberValueDatatype="20" unbalanced="0"/>
    <cacheHierarchy uniqueName="[Interval 1].[AE_kWh]" caption="AE_kWh" attribute="1" defaultMemberUniqueName="[Interval 1].[AE_kWh].[All]" allUniqueName="[Interval 1].[AE_kWh].[All]" dimensionUniqueName="[Interval 1]" displayFolder="" count="0" memberValueDatatype="5" unbalanced="0"/>
    <cacheHierarchy uniqueName="[Interval 1].[AS_KWh]" caption="AS_KWh" attribute="1" defaultMemberUniqueName="[Interval 1].[AS_KWh].[All]" allUniqueName="[Interval 1].[AS_KWh].[All]" dimensionUniqueName="[Interval 1]" displayFolder="" count="0" memberValueDatatype="5" unbalanced="0"/>
    <cacheHierarchy uniqueName="[Interval 1].[AE_AUTOCONS_kWh]" caption="AE_AUTOCONS_kWh" attribute="1" defaultMemberUniqueName="[Interval 1].[AE_AUTOCONS_kWh].[All]" allUniqueName="[Interval 1].[AE_AUTOCONS_kWh].[All]" dimensionUniqueName="[Interval 1]" displayFolder="" count="0" memberValueDatatype="5" unbalanced="0"/>
    <cacheHierarchy uniqueName="[Interval 1].[REAL/ESTIMADO]" caption="REAL/ESTIMADO" attribute="1" defaultMemberUniqueName="[Interval 1].[REAL/ESTIMADO].[All]" allUniqueName="[Interval 1].[REAL/ESTIMADO].[All]" dimensionUniqueName="[Interval 1]" displayFolder="" count="0" memberValueDatatype="130" unbalanced="0"/>
    <cacheHierarchy uniqueName="[Interval 1].[Energia  Consumida]" caption="Energia  Consumida" attribute="1" defaultMemberUniqueName="[Interval 1].[Energia  Consumida].[All]" allUniqueName="[Interval 1].[Energia  Consumida].[All]" dimensionUniqueName="[Interval 1]" displayFolder="" count="0" memberValueDatatype="5" unbalanced="0"/>
    <cacheHierarchy uniqueName="[Interval 1].[Fecha (mes)]" caption="Fecha (mes)" attribute="1" defaultMemberUniqueName="[Interval 1].[Fecha (mes)].[All]" allUniqueName="[Interval 1].[Fecha (mes)].[All]" dimensionUniqueName="[Interval 1]" displayFolder="" count="0" memberValueDatatype="130" unbalanced="0"/>
    <cacheHierarchy uniqueName="[Interval 1].[Fecha (índex de mesos)]" caption="Fecha (índex de mesos)" attribute="1" defaultMemberUniqueName="[Interval 1].[Fecha (índex de mesos)].[All]" allUniqueName="[Interval 1].[Fecha (índex de mesos)].[All]" dimensionUniqueName="[Interval 1]" displayFolder="" count="0" memberValueDatatype="20" unbalanced="0" hidden="1"/>
    <cacheHierarchy uniqueName="[Measures].[__XL_Count Interval 1]" caption="__XL_Count Interval 1" measure="1" displayFolder="" measureGroup="Interval 1" count="0" hidden="1"/>
    <cacheHierarchy uniqueName="[Measures].[__No s'ha definit cap mesura]" caption="__No s'ha definit cap mesura" measure="1" displayFolder="" count="0" hidden="1"/>
    <cacheHierarchy uniqueName="[Measures].[Suma de Energia  Consumida]" caption="Suma de Energia  Consumida" measure="1" displayFolder="" measureGroup="Interval 1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de AE_kWh]" caption="Suma de AE_kWh" measure="1" displayFolder="" measureGroup="Interval 1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uma de AE_AUTOCONS_kWh]" caption="Suma de AE_AUTOCONS_kWh" measure="1" displayFolder="" measureGroup="Interval 1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extLst>
    <ext xmlns:x14="http://schemas.microsoft.com/office/spreadsheetml/2009/9/main" uri="{725AE2AE-9491-48be-B2B4-4EB974FC3084}">
      <x14:pivotCacheDefinition pivotCacheId="188096591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F633D0-7C50-4F04-A7C8-C09D73C160A4}" name="Taula dinàmica2" cacheId="29" applyNumberFormats="0" applyBorderFormats="0" applyFontFormats="0" applyPatternFormats="0" applyAlignmentFormats="0" applyWidthHeightFormats="1" dataCaption="Valors" tag="60d41cf0-860d-4490-b862-89595a049ba9" updatedVersion="8" minRefreshableVersion="5" useAutoFormatting="1" subtotalHiddenItems="1" itemPrintTitles="1" createdVersion="8" indent="0" outline="1" outlineData="1" multipleFieldFilters="0" chartFormat="31">
  <location ref="B4:C372" firstHeaderRow="1" firstDataRow="1" firstDataCol="1"/>
  <pivotFields count="2">
    <pivotField axis="axisRow" allDrilled="1" subtotalTop="0" showAll="0" dataSourceSort="1" defaultSubtotal="0" defaultAttributeDrillState="1">
      <items count="3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</items>
    </pivotField>
    <pivotField dataField="1" subtotalTop="0" showAll="0" defaultSubtotal="0"/>
  </pivotFields>
  <rowFields count="1">
    <field x="0"/>
  </rowFields>
  <rowItems count="3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 t="grand">
      <x/>
    </i>
  </rowItems>
  <colItems count="1">
    <i/>
  </colItems>
  <dataFields count="1">
    <dataField name="Suma de AE_kWh" fld="1" baseField="0" baseItem="0"/>
  </dataFields>
  <formats count="10">
    <format dxfId="45">
      <pivotArea type="all" dataOnly="0" outline="0" fieldPosition="0"/>
    </format>
    <format dxfId="44">
      <pivotArea outline="0" collapsedLevelsAreSubtotals="1" fieldPosition="0"/>
    </format>
    <format dxfId="43">
      <pivotArea dataOnly="0" labelOnly="1" grandRow="1" outline="0" fieldPosition="0"/>
    </format>
    <format dxfId="42">
      <pivotArea dataOnly="0" labelOnly="1" outline="0" axis="axisValues" fieldPosition="0"/>
    </format>
    <format dxfId="41">
      <pivotArea dataOnly="0" labelOnly="1" outline="0" axis="axisValues" fieldPosition="0"/>
    </format>
    <format dxfId="40">
      <pivotArea dataOnly="0" labelOnly="1" outline="0" axis="axisValues" fieldPosition="0"/>
    </format>
    <format dxfId="39">
      <pivotArea outline="0" collapsedLevelsAreSubtotals="1" fieldPosition="0"/>
    </format>
    <format dxfId="38">
      <pivotArea dataOnly="0" labelOnly="1" outline="0" axis="axisValues" fieldPosition="0"/>
    </format>
    <format dxfId="37">
      <pivotArea field="0" type="button" dataOnly="0" labelOnly="1" outline="0" axis="axisRow" fieldPosition="0"/>
    </format>
    <format dxfId="36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1">
    <chartFormat chart="1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3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Interval 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2C721E-E395-44E4-930C-8BD3B763787F}" name="Taula dinàmica2" cacheId="30" applyNumberFormats="0" applyBorderFormats="0" applyFontFormats="0" applyPatternFormats="0" applyAlignmentFormats="0" applyWidthHeightFormats="1" dataCaption="Valors" tag="60d41cf0-860d-4490-b862-89595a049ba9" updatedVersion="8" minRefreshableVersion="5" useAutoFormatting="1" subtotalHiddenItems="1" itemPrintTitles="1" createdVersion="8" indent="0" outline="1" outlineData="1" multipleFieldFilters="0" chartFormat="29">
  <location ref="B4:C17" firstHeaderRow="1" firstDataRow="1" firstDataCol="1"/>
  <pivotFields count="2"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uma de AE_kWh" fld="1" baseField="0" baseItem="0"/>
  </dataFields>
  <formats count="7">
    <format dxfId="35">
      <pivotArea dataOnly="0" labelOnly="1" outline="0" axis="axisValues" fieldPosition="0"/>
    </format>
    <format dxfId="34">
      <pivotArea outline="0" collapsedLevelsAreSubtotals="1" fieldPosition="0"/>
    </format>
    <format dxfId="33">
      <pivotArea dataOnly="0" labelOnly="1" outline="0" axis="axisValues" fieldPosition="0"/>
    </format>
    <format dxfId="32">
      <pivotArea field="0" type="button" dataOnly="0" labelOnly="1" outline="0" axis="axisRow" fieldPosition="0"/>
    </format>
    <format dxfId="31">
      <pivotArea dataOnly="0" labelOnly="1" outline="0" axis="axisValues" fieldPosition="0"/>
    </format>
    <format dxfId="30">
      <pivotArea field="0" type="button" dataOnly="0" labelOnly="1" outline="0" axis="axisRow" fieldPosition="0"/>
    </format>
    <format dxfId="29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1">
    <chartFormat chart="12" format="1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3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Interval 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Cronologia_Fecha" xr10:uid="{B114EA2D-E9E1-4962-95B1-16DB84AE5A48}" sourceName="[Interval 1].[Fecha]">
  <pivotTables>
    <pivotTable tabId="14" name="Taula dinàmica2"/>
  </pivotTables>
  <state minimalRefreshVersion="6" lastRefreshVersion="6" pivotCacheId="1880965919" filterType="unknown">
    <bounds startDate="2025-01-01T00:00:00" endDate="2026-01-01T00:00:00"/>
  </state>
</timelineCacheDefinition>
</file>

<file path=xl/timelineCaches/timelineCache2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Cronologia_Fecha1" xr10:uid="{B56846B5-33CD-4293-8987-A3786AA7CEA1}" sourceName="[Interval 1].[Fecha]">
  <pivotTables>
    <pivotTable tabId="18" name="Taula dinàmica2"/>
  </pivotTables>
  <state minimalRefreshVersion="6" lastRefreshVersion="6" pivotCacheId="1150427003" filterType="unknown">
    <bounds startDate="2025-01-01T00:00:00" endDate="2026-01-01T00:00:00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Fecha" xr10:uid="{043F3915-8240-42C8-AE33-B9837FACF9D4}" cache="Cronologia_Fecha" caption="Fecha" level="2" selectionLevel="2" scrollPosition="2025-01-01T00:00:00"/>
</timelines>
</file>

<file path=xl/timelines/timeline2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Fecha 1" xr10:uid="{6EA5DD2E-6E97-4B70-8F80-731A784CC16A}" cache="Cronologia_Fecha1" caption="Fecha" level="2" selectionLevel="2" scrollPosition="2025-01-01T00:00:00"/>
</timeline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.xml"/><Relationship Id="rId4" Type="http://schemas.microsoft.com/office/2011/relationships/timeline" Target="../timelines/timelin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2.xml"/><Relationship Id="rId4" Type="http://schemas.microsoft.com/office/2011/relationships/timeline" Target="../timelines/timelin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79F52-974C-4247-ADAB-8B615144625F}">
  <sheetPr codeName="Full1"/>
  <dimension ref="A1:V80"/>
  <sheetViews>
    <sheetView showGridLines="0" tabSelected="1" topLeftCell="A3" zoomScale="80" zoomScaleNormal="80" workbookViewId="0">
      <selection activeCell="A3" sqref="A3"/>
    </sheetView>
  </sheetViews>
  <sheetFormatPr defaultColWidth="8.88671875" defaultRowHeight="13.2" x14ac:dyDescent="0.25"/>
  <cols>
    <col min="1" max="1" width="1.5546875" style="229" customWidth="1"/>
    <col min="2" max="2" width="2.88671875" style="229" customWidth="1"/>
    <col min="3" max="3" width="26.88671875" style="229" customWidth="1"/>
    <col min="4" max="4" width="3.44140625" style="229" customWidth="1"/>
    <col min="5" max="6" width="11.44140625" style="229" customWidth="1"/>
    <col min="7" max="7" width="9.44140625" style="229" customWidth="1"/>
    <col min="8" max="10" width="11.44140625" style="229" customWidth="1"/>
    <col min="11" max="11" width="11.5546875" style="229" customWidth="1"/>
    <col min="12" max="12" width="11.44140625" style="229" customWidth="1"/>
    <col min="13" max="13" width="19.44140625" style="229" customWidth="1"/>
    <col min="14" max="15" width="11.44140625" style="229" customWidth="1"/>
    <col min="16" max="16" width="9.44140625" style="229" customWidth="1"/>
    <col min="17" max="17" width="9.109375" style="229" customWidth="1"/>
    <col min="18" max="18" width="11.44140625" style="229" customWidth="1"/>
    <col min="19" max="19" width="13" style="229" customWidth="1"/>
    <col min="20" max="20" width="3" style="229" customWidth="1"/>
    <col min="21" max="21" width="1.5546875" style="229" customWidth="1"/>
    <col min="22" max="256" width="11.44140625" style="229" customWidth="1"/>
    <col min="257" max="16384" width="8.88671875" style="229"/>
  </cols>
  <sheetData>
    <row r="1" spans="1:22" s="10" customFormat="1" ht="7.35" customHeight="1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2" s="14" customFormat="1" ht="31.2" x14ac:dyDescent="0.6">
      <c r="A2" s="1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1"/>
    </row>
    <row r="3" spans="1:22" s="14" customFormat="1" ht="31.2" x14ac:dyDescent="0.6">
      <c r="A3" s="1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1"/>
    </row>
    <row r="4" spans="1:22" s="14" customFormat="1" ht="33.6" customHeight="1" x14ac:dyDescent="0.6">
      <c r="A4" s="11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1"/>
    </row>
    <row r="5" spans="1:22" s="14" customFormat="1" ht="20.399999999999999" customHeight="1" x14ac:dyDescent="0.6">
      <c r="A5" s="11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1"/>
    </row>
    <row r="6" spans="1:22" s="14" customFormat="1" ht="24.6" customHeight="1" x14ac:dyDescent="0.6">
      <c r="A6" s="11"/>
      <c r="B6" s="15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5"/>
      <c r="U6" s="11"/>
    </row>
    <row r="7" spans="1:22" s="14" customFormat="1" ht="69" customHeight="1" x14ac:dyDescent="0.6">
      <c r="A7" s="11"/>
      <c r="B7" s="15"/>
      <c r="C7" s="12"/>
      <c r="D7" s="417" t="s">
        <v>0</v>
      </c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  <c r="Q7" s="417"/>
      <c r="R7" s="417"/>
      <c r="S7" s="16"/>
      <c r="T7" s="17"/>
      <c r="U7" s="11"/>
    </row>
    <row r="8" spans="1:22" s="14" customFormat="1" ht="20.100000000000001" customHeight="1" x14ac:dyDescent="0.6">
      <c r="A8" s="11"/>
      <c r="B8" s="15"/>
      <c r="C8" s="12"/>
      <c r="D8" s="12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7"/>
      <c r="U8" s="19"/>
      <c r="V8" s="20"/>
    </row>
    <row r="9" spans="1:22" s="14" customFormat="1" ht="31.2" x14ac:dyDescent="0.6">
      <c r="A9" s="11"/>
      <c r="B9" s="15"/>
      <c r="C9" s="418" t="s">
        <v>1</v>
      </c>
      <c r="D9" s="418"/>
      <c r="E9" s="418"/>
      <c r="F9" s="418"/>
      <c r="G9" s="418"/>
      <c r="H9" s="418"/>
      <c r="I9" s="418"/>
      <c r="J9" s="418"/>
      <c r="K9" s="418"/>
      <c r="L9" s="21"/>
      <c r="M9" s="256">
        <v>46126</v>
      </c>
      <c r="N9" s="396" t="s">
        <v>276</v>
      </c>
      <c r="O9" s="18"/>
      <c r="P9" s="18"/>
      <c r="Q9" s="18"/>
      <c r="R9" s="18"/>
      <c r="S9" s="18"/>
      <c r="T9" s="17"/>
      <c r="U9" s="19"/>
      <c r="V9" s="20"/>
    </row>
    <row r="10" spans="1:22" s="14" customFormat="1" ht="9.6" customHeight="1" x14ac:dyDescent="0.6">
      <c r="A10" s="11"/>
      <c r="B10" s="15"/>
      <c r="C10" s="22"/>
      <c r="D10" s="22"/>
      <c r="E10" s="22"/>
      <c r="F10" s="22"/>
      <c r="G10" s="22"/>
      <c r="H10" s="22"/>
      <c r="I10" s="22"/>
      <c r="J10" s="22"/>
      <c r="K10" s="22"/>
      <c r="L10" s="23"/>
      <c r="M10" s="18"/>
      <c r="N10" s="18"/>
      <c r="O10" s="18"/>
      <c r="P10" s="18"/>
      <c r="Q10" s="18"/>
      <c r="R10" s="18"/>
      <c r="S10" s="18"/>
      <c r="T10" s="17"/>
      <c r="U10" s="19"/>
      <c r="V10" s="20"/>
    </row>
    <row r="11" spans="1:22" s="14" customFormat="1" ht="7.35" customHeight="1" x14ac:dyDescent="0.6">
      <c r="A11" s="11"/>
      <c r="B11" s="15"/>
      <c r="C11" s="12"/>
      <c r="D11" s="12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7"/>
      <c r="U11" s="19"/>
      <c r="V11" s="20"/>
    </row>
    <row r="12" spans="1:22" s="14" customFormat="1" ht="16.350000000000001" customHeight="1" x14ac:dyDescent="0.6">
      <c r="A12" s="11"/>
      <c r="B12" s="15"/>
      <c r="C12" s="15"/>
      <c r="D12" s="15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9"/>
      <c r="V12" s="20"/>
    </row>
    <row r="13" spans="1:22" s="14" customFormat="1" ht="21.6" customHeight="1" x14ac:dyDescent="0.6">
      <c r="A13" s="11"/>
      <c r="B13" s="25"/>
      <c r="C13" s="25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7"/>
      <c r="R13" s="27"/>
      <c r="S13" s="27"/>
      <c r="T13" s="27"/>
      <c r="U13" s="19"/>
      <c r="V13" s="20"/>
    </row>
    <row r="14" spans="1:22" s="10" customFormat="1" ht="96.75" customHeight="1" x14ac:dyDescent="0.3">
      <c r="A14" s="9"/>
      <c r="B14" s="29"/>
      <c r="C14" s="228" t="s">
        <v>2</v>
      </c>
      <c r="D14" s="29"/>
      <c r="E14" s="419" t="s">
        <v>3</v>
      </c>
      <c r="F14" s="419"/>
      <c r="G14" s="419"/>
      <c r="H14" s="419"/>
      <c r="I14" s="419"/>
      <c r="J14" s="419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9"/>
    </row>
    <row r="15" spans="1:22" s="10" customFormat="1" ht="21" x14ac:dyDescent="0.4">
      <c r="A15" s="9"/>
      <c r="B15" s="29"/>
      <c r="C15" s="28"/>
      <c r="D15" s="29"/>
      <c r="E15" s="419"/>
      <c r="F15" s="419"/>
      <c r="G15" s="419"/>
      <c r="H15" s="419"/>
      <c r="I15" s="419"/>
      <c r="J15" s="419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9"/>
    </row>
    <row r="16" spans="1:22" s="10" customFormat="1" ht="36.6" customHeight="1" x14ac:dyDescent="0.3">
      <c r="A16" s="9"/>
      <c r="B16" s="29"/>
      <c r="C16" s="420" t="s">
        <v>4</v>
      </c>
      <c r="D16" s="29"/>
      <c r="E16" s="421" t="s">
        <v>5</v>
      </c>
      <c r="F16" s="421"/>
      <c r="G16" s="421"/>
      <c r="H16" s="421"/>
      <c r="I16" s="421"/>
      <c r="J16" s="421"/>
      <c r="K16" s="421"/>
      <c r="L16" s="421"/>
      <c r="M16" s="421"/>
      <c r="N16" s="421"/>
      <c r="O16" s="421"/>
      <c r="P16" s="421"/>
      <c r="Q16" s="421"/>
      <c r="R16" s="421"/>
      <c r="S16" s="421"/>
      <c r="T16" s="257"/>
      <c r="U16" s="9"/>
    </row>
    <row r="17" spans="1:21" s="10" customFormat="1" ht="20.399999999999999" customHeight="1" x14ac:dyDescent="0.3">
      <c r="A17" s="9"/>
      <c r="B17" s="29"/>
      <c r="C17" s="420"/>
      <c r="D17" s="29"/>
      <c r="E17" s="422" t="s">
        <v>6</v>
      </c>
      <c r="F17" s="422"/>
      <c r="G17" s="422"/>
      <c r="H17" s="422"/>
      <c r="I17" s="422"/>
      <c r="J17" s="422"/>
      <c r="K17" s="422"/>
      <c r="L17" s="422"/>
      <c r="M17" s="422"/>
      <c r="N17" s="422"/>
      <c r="O17" s="422"/>
      <c r="P17" s="422"/>
      <c r="Q17" s="422"/>
      <c r="R17" s="422"/>
      <c r="S17" s="422"/>
      <c r="T17" s="257"/>
      <c r="U17" s="9"/>
    </row>
    <row r="18" spans="1:21" s="10" customFormat="1" ht="22.35" customHeight="1" x14ac:dyDescent="0.4">
      <c r="A18" s="9"/>
      <c r="B18" s="29"/>
      <c r="C18" s="28"/>
      <c r="D18" s="29"/>
      <c r="E18" s="242" t="s">
        <v>7</v>
      </c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2"/>
      <c r="R18" s="32"/>
      <c r="S18" s="32"/>
      <c r="T18" s="257"/>
      <c r="U18" s="9"/>
    </row>
    <row r="19" spans="1:21" s="10" customFormat="1" ht="21" x14ac:dyDescent="0.4">
      <c r="A19" s="9"/>
      <c r="B19" s="29"/>
      <c r="C19" s="28"/>
      <c r="D19" s="29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  <c r="R19" s="34"/>
      <c r="S19" s="34"/>
      <c r="T19" s="34"/>
      <c r="U19" s="9"/>
    </row>
    <row r="20" spans="1:21" s="10" customFormat="1" ht="21" x14ac:dyDescent="0.4">
      <c r="A20" s="9"/>
      <c r="B20" s="29"/>
      <c r="C20" s="420" t="s">
        <v>8</v>
      </c>
      <c r="D20" s="34"/>
      <c r="E20" s="34"/>
      <c r="F20" s="34"/>
      <c r="G20" s="34"/>
      <c r="H20" s="226"/>
      <c r="I20" s="226"/>
      <c r="J20" s="226"/>
      <c r="K20" s="226"/>
      <c r="L20" s="226"/>
      <c r="M20" s="226"/>
      <c r="N20" s="33"/>
      <c r="O20" s="33"/>
      <c r="P20" s="33"/>
      <c r="Q20" s="34"/>
      <c r="R20" s="34"/>
      <c r="S20" s="34"/>
      <c r="T20" s="34"/>
      <c r="U20" s="9"/>
    </row>
    <row r="21" spans="1:21" s="10" customFormat="1" ht="21" x14ac:dyDescent="0.4">
      <c r="A21" s="9"/>
      <c r="B21" s="29"/>
      <c r="C21" s="420"/>
      <c r="D21" s="34"/>
      <c r="E21" s="34"/>
      <c r="F21" s="34"/>
      <c r="G21" s="34"/>
      <c r="H21" s="227" t="s">
        <v>9</v>
      </c>
      <c r="I21" s="226"/>
      <c r="J21" s="226"/>
      <c r="K21" s="226"/>
      <c r="L21" s="226"/>
      <c r="M21" s="226"/>
      <c r="N21" s="33"/>
      <c r="O21" s="33"/>
      <c r="P21" s="33"/>
      <c r="Q21" s="34"/>
      <c r="R21" s="34"/>
      <c r="S21" s="34"/>
      <c r="T21" s="34"/>
      <c r="U21" s="9"/>
    </row>
    <row r="22" spans="1:21" s="10" customFormat="1" ht="21" x14ac:dyDescent="0.4">
      <c r="A22" s="9"/>
      <c r="B22" s="29"/>
      <c r="C22" s="420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3"/>
      <c r="O22" s="33"/>
      <c r="P22" s="33"/>
      <c r="Q22" s="34"/>
      <c r="R22" s="34"/>
      <c r="S22" s="34"/>
      <c r="T22" s="34"/>
      <c r="U22" s="9"/>
    </row>
    <row r="23" spans="1:21" s="10" customFormat="1" ht="21" customHeight="1" x14ac:dyDescent="0.4">
      <c r="A23" s="9"/>
      <c r="B23" s="29"/>
      <c r="C23" s="34"/>
      <c r="D23" s="29"/>
      <c r="E23" s="34"/>
      <c r="F23" s="258"/>
      <c r="G23" s="34"/>
      <c r="H23" s="35" t="s">
        <v>10</v>
      </c>
      <c r="I23" s="36"/>
      <c r="J23" s="36"/>
      <c r="K23" s="36"/>
      <c r="L23" s="36"/>
      <c r="M23" s="36"/>
      <c r="N23" s="36"/>
      <c r="O23" s="34"/>
      <c r="P23" s="34"/>
      <c r="Q23" s="34"/>
      <c r="R23" s="34"/>
      <c r="S23" s="34"/>
      <c r="T23" s="34"/>
      <c r="U23" s="9"/>
    </row>
    <row r="24" spans="1:21" s="10" customFormat="1" ht="21" x14ac:dyDescent="0.4">
      <c r="A24" s="9"/>
      <c r="B24" s="34"/>
      <c r="C24" s="34"/>
      <c r="D24" s="34"/>
      <c r="E24" s="34"/>
      <c r="F24" s="34"/>
      <c r="G24" s="34"/>
      <c r="H24" s="36"/>
      <c r="I24" s="259"/>
      <c r="J24" s="31" t="s">
        <v>11</v>
      </c>
      <c r="K24" s="31"/>
      <c r="L24" s="37"/>
      <c r="M24" s="37"/>
      <c r="N24" s="37"/>
      <c r="O24" s="38"/>
      <c r="P24" s="38"/>
      <c r="Q24" s="38"/>
      <c r="R24" s="38"/>
      <c r="S24" s="38"/>
      <c r="T24" s="38"/>
      <c r="U24" s="9"/>
    </row>
    <row r="25" spans="1:21" s="10" customFormat="1" ht="21" x14ac:dyDescent="0.4">
      <c r="A25" s="9"/>
      <c r="B25" s="34"/>
      <c r="C25" s="34"/>
      <c r="D25" s="34"/>
      <c r="E25" s="34"/>
      <c r="F25" s="34"/>
      <c r="G25" s="34"/>
      <c r="H25" s="36"/>
      <c r="I25" s="260"/>
      <c r="J25" s="31" t="s">
        <v>12</v>
      </c>
      <c r="K25" s="31"/>
      <c r="L25" s="37"/>
      <c r="M25" s="37"/>
      <c r="N25" s="37"/>
      <c r="O25" s="38"/>
      <c r="P25" s="38"/>
      <c r="Q25" s="38"/>
      <c r="R25" s="38"/>
      <c r="S25" s="38"/>
      <c r="T25" s="38"/>
      <c r="U25" s="9"/>
    </row>
    <row r="26" spans="1:21" s="10" customFormat="1" ht="21" x14ac:dyDescent="0.4">
      <c r="A26" s="9"/>
      <c r="B26" s="34"/>
      <c r="C26" s="34"/>
      <c r="D26" s="34"/>
      <c r="E26" s="34"/>
      <c r="F26" s="34"/>
      <c r="G26" s="34"/>
      <c r="H26" s="36"/>
      <c r="I26" s="31"/>
      <c r="J26" s="31"/>
      <c r="K26" s="31"/>
      <c r="L26" s="37"/>
      <c r="M26" s="37"/>
      <c r="N26" s="37"/>
      <c r="O26" s="38"/>
      <c r="P26" s="38"/>
      <c r="Q26" s="38"/>
      <c r="R26" s="38"/>
      <c r="S26" s="38"/>
      <c r="T26" s="38"/>
      <c r="U26" s="9"/>
    </row>
    <row r="27" spans="1:21" s="10" customFormat="1" ht="21" customHeight="1" x14ac:dyDescent="0.4">
      <c r="A27" s="9"/>
      <c r="B27" s="29"/>
      <c r="C27" s="420"/>
      <c r="D27" s="29"/>
      <c r="E27" s="34"/>
      <c r="F27" s="258"/>
      <c r="G27" s="34"/>
      <c r="H27" s="35" t="s">
        <v>13</v>
      </c>
      <c r="I27" s="36"/>
      <c r="J27" s="36"/>
      <c r="K27" s="36"/>
      <c r="L27" s="36"/>
      <c r="M27" s="36"/>
      <c r="N27" s="36"/>
      <c r="O27" s="34"/>
      <c r="P27" s="34"/>
      <c r="Q27" s="34"/>
      <c r="R27" s="34"/>
      <c r="S27" s="34"/>
      <c r="T27" s="34"/>
      <c r="U27" s="9"/>
    </row>
    <row r="28" spans="1:21" s="10" customFormat="1" ht="21" x14ac:dyDescent="0.4">
      <c r="A28" s="9"/>
      <c r="B28" s="34"/>
      <c r="C28" s="420"/>
      <c r="D28" s="34"/>
      <c r="E28" s="34"/>
      <c r="F28" s="34"/>
      <c r="G28" s="34"/>
      <c r="H28" s="36"/>
      <c r="I28" s="259"/>
      <c r="J28" s="31" t="s">
        <v>11</v>
      </c>
      <c r="K28" s="31"/>
      <c r="L28" s="37"/>
      <c r="M28" s="37"/>
      <c r="N28" s="37"/>
      <c r="O28" s="38"/>
      <c r="P28" s="38"/>
      <c r="Q28" s="38"/>
      <c r="R28" s="38"/>
      <c r="S28" s="38"/>
      <c r="T28" s="38"/>
      <c r="U28" s="9"/>
    </row>
    <row r="29" spans="1:21" s="10" customFormat="1" ht="21" x14ac:dyDescent="0.4">
      <c r="A29" s="9"/>
      <c r="B29" s="34"/>
      <c r="C29" s="420"/>
      <c r="D29" s="34"/>
      <c r="E29" s="34"/>
      <c r="F29" s="34"/>
      <c r="G29" s="34"/>
      <c r="H29" s="36"/>
      <c r="I29" s="260"/>
      <c r="J29" s="31" t="s">
        <v>12</v>
      </c>
      <c r="K29" s="31"/>
      <c r="L29" s="37"/>
      <c r="M29" s="37"/>
      <c r="N29" s="37"/>
      <c r="O29" s="38"/>
      <c r="P29" s="38"/>
      <c r="Q29" s="38"/>
      <c r="R29" s="38"/>
      <c r="S29" s="38"/>
      <c r="T29" s="38"/>
      <c r="U29" s="9"/>
    </row>
    <row r="30" spans="1:21" s="10" customFormat="1" ht="9" customHeight="1" x14ac:dyDescent="0.4">
      <c r="A30" s="9"/>
      <c r="B30" s="34"/>
      <c r="C30" s="30"/>
      <c r="D30" s="34"/>
      <c r="E30" s="34"/>
      <c r="F30" s="34"/>
      <c r="G30" s="34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8"/>
      <c r="U30" s="9"/>
    </row>
    <row r="31" spans="1:21" s="10" customFormat="1" ht="21" x14ac:dyDescent="0.4">
      <c r="A31" s="9"/>
      <c r="B31" s="34"/>
      <c r="C31" s="34"/>
      <c r="D31" s="34"/>
      <c r="E31" s="34"/>
      <c r="F31" s="34"/>
      <c r="G31" s="34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8"/>
      <c r="U31" s="9"/>
    </row>
    <row r="32" spans="1:21" s="10" customFormat="1" ht="21" x14ac:dyDescent="0.4">
      <c r="A32" s="9"/>
      <c r="B32" s="34"/>
      <c r="C32" s="34"/>
      <c r="D32" s="34"/>
      <c r="E32" s="34"/>
      <c r="F32" s="34"/>
      <c r="G32" s="34"/>
      <c r="H32" s="35" t="s">
        <v>14</v>
      </c>
      <c r="I32" s="37"/>
      <c r="J32" s="37"/>
      <c r="K32" s="37"/>
      <c r="L32" s="37"/>
      <c r="M32" s="37"/>
      <c r="N32" s="37"/>
      <c r="O32" s="38"/>
      <c r="P32" s="38"/>
      <c r="Q32" s="38"/>
      <c r="R32" s="38"/>
      <c r="S32" s="38"/>
      <c r="T32" s="38"/>
      <c r="U32" s="9"/>
    </row>
    <row r="33" spans="1:21" s="10" customFormat="1" ht="21" x14ac:dyDescent="0.4">
      <c r="A33" s="9"/>
      <c r="B33" s="34"/>
      <c r="C33" s="34"/>
      <c r="D33" s="34"/>
      <c r="E33" s="34"/>
      <c r="F33" s="34"/>
      <c r="G33" s="34"/>
      <c r="H33" s="35" t="s">
        <v>15</v>
      </c>
      <c r="I33" s="35"/>
      <c r="J33" s="31"/>
      <c r="K33" s="37"/>
      <c r="L33" s="37"/>
      <c r="M33" s="37"/>
      <c r="N33" s="37"/>
      <c r="O33" s="38"/>
      <c r="P33" s="38"/>
      <c r="Q33" s="38"/>
      <c r="R33" s="38"/>
      <c r="S33" s="38"/>
      <c r="T33" s="38"/>
      <c r="U33" s="9"/>
    </row>
    <row r="34" spans="1:21" s="10" customFormat="1" ht="11.4" customHeight="1" x14ac:dyDescent="0.4">
      <c r="A34" s="9"/>
      <c r="B34" s="34"/>
      <c r="C34" s="34"/>
      <c r="D34" s="34"/>
      <c r="E34" s="34"/>
      <c r="F34" s="34"/>
      <c r="G34" s="34"/>
      <c r="H34" s="36"/>
      <c r="I34" s="36"/>
      <c r="J34" s="31"/>
      <c r="K34" s="37"/>
      <c r="L34" s="37"/>
      <c r="M34" s="37"/>
      <c r="N34" s="37"/>
      <c r="O34" s="38"/>
      <c r="P34" s="38"/>
      <c r="Q34" s="38"/>
      <c r="R34" s="38"/>
      <c r="S34" s="38"/>
      <c r="T34" s="38"/>
      <c r="U34" s="9"/>
    </row>
    <row r="35" spans="1:21" s="10" customFormat="1" ht="21" x14ac:dyDescent="0.4">
      <c r="A35" s="9"/>
      <c r="B35" s="34"/>
      <c r="C35" s="34"/>
      <c r="D35" s="34"/>
      <c r="E35" s="34"/>
      <c r="F35" s="34"/>
      <c r="G35" s="34"/>
      <c r="H35" s="36"/>
      <c r="I35" s="36"/>
      <c r="J35" s="31"/>
      <c r="K35" s="37"/>
      <c r="L35" s="37"/>
      <c r="M35" s="37"/>
      <c r="N35" s="37"/>
      <c r="O35" s="38"/>
      <c r="P35" s="38"/>
      <c r="Q35" s="38"/>
      <c r="R35" s="38"/>
      <c r="S35" s="38"/>
      <c r="T35" s="38"/>
      <c r="U35" s="9"/>
    </row>
    <row r="36" spans="1:21" s="10" customFormat="1" ht="21" x14ac:dyDescent="0.4">
      <c r="A36" s="9"/>
      <c r="B36" s="34"/>
      <c r="C36" s="34"/>
      <c r="D36" s="34"/>
      <c r="E36" s="34"/>
      <c r="F36" s="34"/>
      <c r="G36" s="34"/>
      <c r="H36" s="35" t="s">
        <v>16</v>
      </c>
      <c r="I36" s="36"/>
      <c r="J36" s="31"/>
      <c r="K36" s="37"/>
      <c r="L36" s="37"/>
      <c r="M36" s="37"/>
      <c r="N36" s="37"/>
      <c r="O36" s="38"/>
      <c r="P36" s="38"/>
      <c r="Q36" s="38"/>
      <c r="R36" s="38"/>
      <c r="S36" s="38"/>
      <c r="T36" s="38"/>
      <c r="U36" s="9"/>
    </row>
    <row r="37" spans="1:21" s="10" customFormat="1" ht="21" x14ac:dyDescent="0.4">
      <c r="A37" s="9"/>
      <c r="B37" s="34"/>
      <c r="C37" s="34"/>
      <c r="D37" s="34"/>
      <c r="E37" s="34"/>
      <c r="F37" s="34"/>
      <c r="G37" s="34"/>
      <c r="H37" s="35" t="s">
        <v>15</v>
      </c>
      <c r="I37" s="36"/>
      <c r="J37" s="31"/>
      <c r="K37" s="37"/>
      <c r="L37" s="37"/>
      <c r="M37" s="37"/>
      <c r="N37" s="37"/>
      <c r="O37" s="38"/>
      <c r="P37" s="38"/>
      <c r="Q37" s="38"/>
      <c r="R37" s="38"/>
      <c r="S37" s="38"/>
      <c r="T37" s="38"/>
      <c r="U37" s="9"/>
    </row>
    <row r="38" spans="1:21" s="10" customFormat="1" ht="11.4" customHeight="1" x14ac:dyDescent="0.4">
      <c r="A38" s="9"/>
      <c r="B38" s="34"/>
      <c r="C38" s="34"/>
      <c r="D38" s="34"/>
      <c r="E38" s="34"/>
      <c r="F38" s="34"/>
      <c r="G38" s="34"/>
      <c r="H38" s="36"/>
      <c r="I38" s="36"/>
      <c r="J38" s="31"/>
      <c r="K38" s="37"/>
      <c r="L38" s="37"/>
      <c r="M38" s="37"/>
      <c r="N38" s="37"/>
      <c r="O38" s="38"/>
      <c r="P38" s="38"/>
      <c r="Q38" s="38"/>
      <c r="R38" s="38"/>
      <c r="S38" s="38"/>
      <c r="T38" s="38"/>
      <c r="U38" s="9"/>
    </row>
    <row r="39" spans="1:21" s="10" customFormat="1" ht="15.6" customHeight="1" x14ac:dyDescent="0.4">
      <c r="A39" s="9"/>
      <c r="B39" s="34"/>
      <c r="C39" s="34"/>
      <c r="D39" s="34"/>
      <c r="E39" s="34"/>
      <c r="F39" s="34"/>
      <c r="G39" s="34"/>
      <c r="H39" s="36"/>
      <c r="I39" s="31"/>
      <c r="J39" s="37"/>
      <c r="K39" s="37"/>
      <c r="L39" s="37"/>
      <c r="M39" s="37"/>
      <c r="N39" s="37"/>
      <c r="O39" s="38"/>
      <c r="P39" s="38"/>
      <c r="Q39" s="38"/>
      <c r="R39" s="38"/>
      <c r="S39" s="38"/>
      <c r="T39" s="38"/>
      <c r="U39" s="9"/>
    </row>
    <row r="40" spans="1:21" s="10" customFormat="1" ht="74.099999999999994" customHeight="1" x14ac:dyDescent="0.4">
      <c r="A40" s="9"/>
      <c r="B40" s="34"/>
      <c r="C40" s="34"/>
      <c r="D40" s="34"/>
      <c r="E40" s="34"/>
      <c r="F40" s="34"/>
      <c r="G40" s="34"/>
      <c r="H40" s="426" t="s">
        <v>17</v>
      </c>
      <c r="I40" s="426"/>
      <c r="J40" s="426"/>
      <c r="K40" s="426"/>
      <c r="L40" s="426"/>
      <c r="M40" s="426"/>
      <c r="N40" s="426"/>
      <c r="O40" s="426"/>
      <c r="P40" s="426"/>
      <c r="Q40" s="426"/>
      <c r="R40" s="426"/>
      <c r="S40" s="426"/>
      <c r="T40" s="34"/>
      <c r="U40" s="9"/>
    </row>
    <row r="41" spans="1:21" s="10" customFormat="1" ht="14.4" customHeight="1" x14ac:dyDescent="0.4">
      <c r="A41" s="9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9"/>
    </row>
    <row r="42" spans="1:21" s="10" customFormat="1" ht="7.35" customHeight="1" x14ac:dyDescent="0.3">
      <c r="A42" s="9"/>
      <c r="B42" s="9"/>
      <c r="C42" s="423"/>
      <c r="D42" s="423"/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9"/>
      <c r="Q42" s="9"/>
      <c r="R42" s="9"/>
      <c r="S42" s="9"/>
      <c r="T42" s="9"/>
      <c r="U42" s="9"/>
    </row>
    <row r="44" spans="1:21" ht="15.6" x14ac:dyDescent="0.25">
      <c r="E44" s="424"/>
      <c r="F44" s="424"/>
      <c r="G44" s="424"/>
      <c r="H44" s="424"/>
      <c r="I44" s="424"/>
      <c r="J44" s="424"/>
      <c r="K44" s="424"/>
      <c r="L44" s="424"/>
      <c r="M44" s="424"/>
      <c r="N44" s="424"/>
      <c r="O44" s="424"/>
      <c r="P44" s="424"/>
      <c r="Q44" s="424"/>
      <c r="R44" s="424"/>
      <c r="S44" s="424"/>
    </row>
    <row r="45" spans="1:21" ht="15.6" x14ac:dyDescent="0.25">
      <c r="E45" s="424"/>
      <c r="F45" s="424"/>
      <c r="G45" s="424"/>
      <c r="H45" s="424"/>
      <c r="I45" s="424"/>
      <c r="J45" s="424"/>
      <c r="K45" s="424"/>
      <c r="L45" s="424"/>
      <c r="M45" s="424"/>
      <c r="N45" s="424"/>
      <c r="O45" s="424"/>
      <c r="P45" s="424"/>
      <c r="Q45" s="424"/>
      <c r="R45" s="424"/>
      <c r="S45" s="424"/>
    </row>
    <row r="46" spans="1:21" ht="15.6" x14ac:dyDescent="0.3">
      <c r="E46" s="425"/>
      <c r="F46" s="425"/>
      <c r="G46" s="425"/>
      <c r="H46" s="425"/>
      <c r="I46" s="425"/>
      <c r="J46" s="425"/>
      <c r="K46" s="425"/>
      <c r="L46" s="425"/>
      <c r="M46" s="425"/>
      <c r="N46" s="425"/>
      <c r="O46" s="425"/>
      <c r="P46" s="230"/>
      <c r="Q46" s="230"/>
      <c r="R46" s="230"/>
      <c r="S46" s="230"/>
    </row>
    <row r="47" spans="1:21" ht="45" customHeight="1" x14ac:dyDescent="0.35">
      <c r="C47" s="416"/>
      <c r="D47" s="416"/>
      <c r="E47" s="416"/>
      <c r="F47" s="416"/>
      <c r="G47" s="416"/>
      <c r="H47" s="416"/>
      <c r="I47" s="416"/>
      <c r="J47" s="416"/>
      <c r="K47" s="416"/>
    </row>
    <row r="48" spans="1:21" ht="14.4" x14ac:dyDescent="0.3">
      <c r="E48" s="231"/>
      <c r="F48" s="231"/>
      <c r="G48" s="231"/>
    </row>
    <row r="49" spans="5:20" ht="14.4" x14ac:dyDescent="0.3">
      <c r="E49" s="231"/>
      <c r="F49" s="232"/>
      <c r="G49" s="231"/>
    </row>
    <row r="50" spans="5:20" ht="14.4" x14ac:dyDescent="0.3">
      <c r="E50" s="231"/>
      <c r="F50" s="233"/>
      <c r="G50" s="231"/>
    </row>
    <row r="51" spans="5:20" ht="14.4" x14ac:dyDescent="0.3">
      <c r="E51" s="231"/>
      <c r="F51" s="233"/>
      <c r="G51" s="231"/>
      <c r="H51" s="231"/>
    </row>
    <row r="52" spans="5:20" ht="14.4" x14ac:dyDescent="0.3">
      <c r="E52" s="231"/>
      <c r="F52" s="233"/>
      <c r="G52" s="231"/>
      <c r="H52" s="231"/>
    </row>
    <row r="53" spans="5:20" ht="14.4" x14ac:dyDescent="0.3">
      <c r="F53" s="233"/>
    </row>
    <row r="54" spans="5:20" ht="14.4" x14ac:dyDescent="0.3">
      <c r="F54" s="232"/>
    </row>
    <row r="57" spans="5:20" ht="14.4" x14ac:dyDescent="0.3">
      <c r="E57" s="231"/>
      <c r="F57" s="231"/>
      <c r="G57" s="231"/>
    </row>
    <row r="59" spans="5:20" ht="15.6" x14ac:dyDescent="0.3">
      <c r="I59" s="234"/>
    </row>
    <row r="60" spans="5:20" ht="14.4" x14ac:dyDescent="0.3">
      <c r="I60" s="10"/>
    </row>
    <row r="61" spans="5:20" ht="15.6" x14ac:dyDescent="0.3">
      <c r="I61" s="230"/>
    </row>
    <row r="62" spans="5:20" ht="15.6" x14ac:dyDescent="0.3">
      <c r="I62" s="230"/>
    </row>
    <row r="63" spans="5:20" ht="15.6" x14ac:dyDescent="0.3">
      <c r="F63" s="235"/>
      <c r="G63" s="235"/>
      <c r="H63" s="236"/>
      <c r="I63" s="237"/>
      <c r="J63" s="236"/>
      <c r="K63" s="237"/>
      <c r="L63" s="236"/>
      <c r="M63" s="237"/>
      <c r="N63" s="236"/>
      <c r="O63" s="237"/>
      <c r="P63" s="235"/>
      <c r="Q63" s="235"/>
      <c r="R63" s="235"/>
      <c r="S63" s="235"/>
      <c r="T63" s="235"/>
    </row>
    <row r="64" spans="5:20" ht="15.6" x14ac:dyDescent="0.25">
      <c r="F64" s="427"/>
      <c r="G64" s="427"/>
      <c r="H64" s="427"/>
      <c r="I64" s="427"/>
      <c r="J64" s="427"/>
      <c r="K64" s="427"/>
      <c r="L64" s="427"/>
      <c r="M64" s="427"/>
      <c r="N64" s="427"/>
      <c r="O64" s="427"/>
      <c r="P64" s="427"/>
      <c r="Q64" s="427"/>
      <c r="R64" s="427"/>
      <c r="S64" s="427"/>
      <c r="T64" s="427"/>
    </row>
    <row r="65" spans="6:20" ht="15.6" x14ac:dyDescent="0.25">
      <c r="F65" s="427"/>
      <c r="G65" s="427"/>
      <c r="H65" s="427"/>
      <c r="I65" s="427"/>
      <c r="J65" s="427"/>
      <c r="K65" s="427"/>
      <c r="L65" s="427"/>
      <c r="M65" s="427"/>
      <c r="N65" s="427"/>
      <c r="O65" s="427"/>
      <c r="P65" s="427"/>
      <c r="Q65" s="427"/>
      <c r="R65" s="427"/>
      <c r="S65" s="427"/>
      <c r="T65" s="427"/>
    </row>
    <row r="66" spans="6:20" ht="15.6" x14ac:dyDescent="0.25">
      <c r="F66" s="427"/>
      <c r="G66" s="427"/>
      <c r="H66" s="427"/>
      <c r="I66" s="427"/>
      <c r="J66" s="427"/>
      <c r="K66" s="427"/>
      <c r="L66" s="427"/>
      <c r="M66" s="427"/>
      <c r="N66" s="427"/>
      <c r="O66" s="427"/>
      <c r="P66" s="427"/>
      <c r="Q66" s="427"/>
      <c r="R66" s="427"/>
      <c r="S66" s="427"/>
      <c r="T66" s="427"/>
    </row>
    <row r="67" spans="6:20" ht="15.6" x14ac:dyDescent="0.25">
      <c r="F67" s="427"/>
      <c r="G67" s="427"/>
      <c r="H67" s="427"/>
      <c r="I67" s="427"/>
      <c r="J67" s="427"/>
      <c r="K67" s="427"/>
      <c r="L67" s="427"/>
      <c r="M67" s="427"/>
      <c r="N67" s="427"/>
      <c r="O67" s="427"/>
      <c r="P67" s="427"/>
      <c r="Q67" s="427"/>
      <c r="R67" s="427"/>
      <c r="S67" s="427"/>
      <c r="T67" s="427"/>
    </row>
    <row r="68" spans="6:20" ht="15.6" x14ac:dyDescent="0.25">
      <c r="F68" s="427"/>
      <c r="G68" s="427"/>
      <c r="H68" s="427"/>
      <c r="I68" s="427"/>
      <c r="J68" s="427"/>
      <c r="K68" s="427"/>
      <c r="L68" s="427"/>
      <c r="M68" s="427"/>
      <c r="N68" s="427"/>
      <c r="O68" s="427"/>
      <c r="P68" s="427"/>
      <c r="Q68" s="427"/>
      <c r="R68" s="427"/>
      <c r="S68" s="427"/>
      <c r="T68" s="427"/>
    </row>
    <row r="69" spans="6:20" ht="15.6" x14ac:dyDescent="0.25">
      <c r="F69" s="427"/>
      <c r="G69" s="427"/>
      <c r="H69" s="427"/>
      <c r="I69" s="427"/>
      <c r="J69" s="427"/>
      <c r="K69" s="427"/>
      <c r="L69" s="427"/>
      <c r="M69" s="427"/>
      <c r="N69" s="427"/>
      <c r="O69" s="427"/>
      <c r="P69" s="427"/>
      <c r="Q69" s="427"/>
      <c r="R69" s="427"/>
      <c r="S69" s="427"/>
      <c r="T69" s="427"/>
    </row>
    <row r="70" spans="6:20" ht="15.6" x14ac:dyDescent="0.25">
      <c r="F70" s="427"/>
      <c r="G70" s="427"/>
      <c r="H70" s="427"/>
      <c r="I70" s="427"/>
      <c r="J70" s="427"/>
      <c r="K70" s="427"/>
      <c r="L70" s="427"/>
      <c r="M70" s="427"/>
      <c r="N70" s="427"/>
      <c r="O70" s="427"/>
      <c r="P70" s="427"/>
      <c r="Q70" s="427"/>
      <c r="R70" s="427"/>
      <c r="S70" s="427"/>
      <c r="T70" s="427"/>
    </row>
    <row r="71" spans="6:20" ht="15.6" x14ac:dyDescent="0.25"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</row>
    <row r="72" spans="6:20" ht="15.6" x14ac:dyDescent="0.25">
      <c r="F72" s="428"/>
      <c r="G72" s="428"/>
      <c r="H72" s="428"/>
      <c r="I72" s="428"/>
      <c r="J72" s="428"/>
      <c r="K72" s="428"/>
      <c r="L72" s="428"/>
      <c r="M72" s="428"/>
      <c r="N72" s="428"/>
      <c r="O72" s="428"/>
      <c r="P72" s="428"/>
      <c r="Q72" s="428"/>
      <c r="R72" s="428"/>
      <c r="S72" s="428"/>
      <c r="T72" s="428"/>
    </row>
    <row r="73" spans="6:20" ht="15.6" x14ac:dyDescent="0.25">
      <c r="F73" s="427"/>
      <c r="G73" s="427"/>
      <c r="H73" s="427"/>
      <c r="I73" s="427"/>
      <c r="J73" s="427"/>
      <c r="K73" s="427"/>
      <c r="L73" s="427"/>
      <c r="M73" s="427"/>
      <c r="N73" s="427"/>
      <c r="O73" s="427"/>
      <c r="P73" s="427"/>
      <c r="Q73" s="427"/>
      <c r="R73" s="427"/>
      <c r="S73" s="427"/>
      <c r="T73" s="427"/>
    </row>
    <row r="74" spans="6:20" ht="15.6" x14ac:dyDescent="0.25">
      <c r="F74" s="428"/>
      <c r="G74" s="428"/>
      <c r="H74" s="428"/>
      <c r="I74" s="428"/>
      <c r="J74" s="428"/>
      <c r="K74" s="428"/>
      <c r="L74" s="428"/>
      <c r="M74" s="428"/>
      <c r="N74" s="428"/>
      <c r="O74" s="428"/>
      <c r="P74" s="428"/>
      <c r="Q74" s="428"/>
      <c r="R74" s="428"/>
      <c r="S74" s="428"/>
      <c r="T74" s="428"/>
    </row>
    <row r="75" spans="6:20" ht="15.6" x14ac:dyDescent="0.25">
      <c r="F75" s="427"/>
      <c r="G75" s="427"/>
      <c r="H75" s="427"/>
      <c r="I75" s="427"/>
      <c r="J75" s="427"/>
      <c r="K75" s="427"/>
      <c r="L75" s="427"/>
      <c r="M75" s="427"/>
      <c r="N75" s="427"/>
      <c r="O75" s="427"/>
      <c r="P75" s="427"/>
      <c r="Q75" s="427"/>
      <c r="R75" s="427"/>
      <c r="S75" s="427"/>
      <c r="T75" s="427"/>
    </row>
    <row r="76" spans="6:20" ht="15.6" x14ac:dyDescent="0.25">
      <c r="F76" s="428"/>
      <c r="G76" s="428"/>
      <c r="H76" s="428"/>
      <c r="I76" s="428"/>
      <c r="J76" s="428"/>
      <c r="K76" s="428"/>
      <c r="L76" s="428"/>
      <c r="M76" s="428"/>
      <c r="N76" s="428"/>
      <c r="O76" s="428"/>
      <c r="P76" s="428"/>
      <c r="Q76" s="428"/>
      <c r="R76" s="428"/>
      <c r="S76" s="428"/>
      <c r="T76" s="428"/>
    </row>
    <row r="77" spans="6:20" ht="15.6" x14ac:dyDescent="0.25">
      <c r="F77" s="427"/>
      <c r="G77" s="427"/>
      <c r="H77" s="427"/>
      <c r="I77" s="427"/>
      <c r="J77" s="427"/>
      <c r="K77" s="427"/>
      <c r="L77" s="427"/>
      <c r="M77" s="427"/>
      <c r="N77" s="427"/>
      <c r="O77" s="427"/>
      <c r="P77" s="427"/>
      <c r="Q77" s="427"/>
      <c r="R77" s="427"/>
      <c r="S77" s="427"/>
      <c r="T77" s="427"/>
    </row>
    <row r="78" spans="6:20" ht="15.6" x14ac:dyDescent="0.25">
      <c r="F78" s="428"/>
      <c r="G78" s="428"/>
      <c r="H78" s="428"/>
      <c r="I78" s="428"/>
      <c r="J78" s="428"/>
      <c r="K78" s="428"/>
      <c r="L78" s="428"/>
      <c r="M78" s="428"/>
      <c r="N78" s="428"/>
      <c r="O78" s="428"/>
      <c r="P78" s="428"/>
      <c r="Q78" s="428"/>
      <c r="R78" s="428"/>
      <c r="S78" s="428"/>
      <c r="T78" s="428"/>
    </row>
    <row r="79" spans="6:20" ht="15.6" x14ac:dyDescent="0.25">
      <c r="F79" s="427"/>
      <c r="G79" s="427"/>
      <c r="H79" s="427"/>
      <c r="I79" s="427"/>
      <c r="J79" s="427"/>
      <c r="K79" s="427"/>
      <c r="L79" s="427"/>
      <c r="M79" s="427"/>
      <c r="N79" s="427"/>
      <c r="O79" s="427"/>
      <c r="P79" s="427"/>
      <c r="Q79" s="427"/>
      <c r="R79" s="427"/>
      <c r="S79" s="427"/>
      <c r="T79" s="427"/>
    </row>
    <row r="80" spans="6:20" ht="15.6" x14ac:dyDescent="0.25">
      <c r="F80" s="427"/>
      <c r="G80" s="427"/>
      <c r="H80" s="427"/>
      <c r="I80" s="427"/>
      <c r="J80" s="427"/>
      <c r="K80" s="427"/>
      <c r="L80" s="427"/>
      <c r="M80" s="427"/>
      <c r="N80" s="427"/>
      <c r="O80" s="427"/>
      <c r="P80" s="427"/>
      <c r="Q80" s="427"/>
      <c r="R80" s="427"/>
      <c r="S80" s="427"/>
      <c r="T80" s="427"/>
    </row>
  </sheetData>
  <sheetProtection sheet="1" objects="1" scenarios="1"/>
  <mergeCells count="31">
    <mergeCell ref="F80:T80"/>
    <mergeCell ref="F75:T75"/>
    <mergeCell ref="F76:T76"/>
    <mergeCell ref="F77:T77"/>
    <mergeCell ref="F78:T78"/>
    <mergeCell ref="F79:T79"/>
    <mergeCell ref="F69:T69"/>
    <mergeCell ref="F70:T70"/>
    <mergeCell ref="F72:T72"/>
    <mergeCell ref="F73:T73"/>
    <mergeCell ref="F74:T74"/>
    <mergeCell ref="F64:T64"/>
    <mergeCell ref="F65:T65"/>
    <mergeCell ref="F66:T66"/>
    <mergeCell ref="F67:T67"/>
    <mergeCell ref="F68:T68"/>
    <mergeCell ref="C47:K47"/>
    <mergeCell ref="D7:R7"/>
    <mergeCell ref="C9:K9"/>
    <mergeCell ref="E14:T14"/>
    <mergeCell ref="E15:J15"/>
    <mergeCell ref="C16:C17"/>
    <mergeCell ref="E16:S16"/>
    <mergeCell ref="E17:S17"/>
    <mergeCell ref="C20:C22"/>
    <mergeCell ref="C27:C29"/>
    <mergeCell ref="C42:O42"/>
    <mergeCell ref="E44:S44"/>
    <mergeCell ref="E45:S45"/>
    <mergeCell ref="E46:O46"/>
    <mergeCell ref="H40:S40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68DBB-1E55-45B8-95C5-6947FD35025C}">
  <sheetPr codeName="Full2">
    <tabColor theme="0" tint="-0.34998626667073579"/>
  </sheetPr>
  <dimension ref="A1:O46"/>
  <sheetViews>
    <sheetView showGridLines="0" zoomScaleNormal="100" workbookViewId="0">
      <pane ySplit="1" topLeftCell="A2" activePane="bottomLeft" state="frozen"/>
      <selection pane="bottomLeft"/>
    </sheetView>
  </sheetViews>
  <sheetFormatPr defaultColWidth="11.44140625" defaultRowHeight="15.6" x14ac:dyDescent="0.3"/>
  <cols>
    <col min="1" max="1" width="13.88671875" style="4" customWidth="1"/>
    <col min="2" max="2" width="19.88671875" style="4" customWidth="1"/>
    <col min="3" max="3" width="13.44140625" style="4" customWidth="1"/>
    <col min="4" max="16384" width="11.44140625" style="4"/>
  </cols>
  <sheetData>
    <row r="1" spans="1:15" s="240" customFormat="1" ht="36.6" customHeight="1" x14ac:dyDescent="0.4">
      <c r="A1" s="239" t="s">
        <v>18</v>
      </c>
    </row>
    <row r="2" spans="1:15" x14ac:dyDescent="0.3">
      <c r="A2" s="5"/>
      <c r="C2" s="6"/>
      <c r="D2" s="3"/>
      <c r="E2" s="6"/>
      <c r="F2" s="3"/>
      <c r="G2" s="6"/>
      <c r="H2" s="3"/>
      <c r="I2" s="6"/>
      <c r="J2" s="3"/>
    </row>
    <row r="3" spans="1:15" x14ac:dyDescent="0.3">
      <c r="A3" s="4" t="s">
        <v>19</v>
      </c>
      <c r="C3" s="39"/>
      <c r="D3" s="3"/>
      <c r="E3" s="39"/>
      <c r="F3" s="3"/>
      <c r="G3" s="39"/>
      <c r="H3" s="3"/>
      <c r="I3" s="39"/>
      <c r="J3" s="3"/>
    </row>
    <row r="4" spans="1:15" ht="24" customHeight="1" x14ac:dyDescent="0.3">
      <c r="A4" s="429" t="s">
        <v>20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  <c r="N4" s="429"/>
      <c r="O4" s="429"/>
    </row>
    <row r="5" spans="1:15" ht="75" customHeight="1" x14ac:dyDescent="0.3">
      <c r="A5" s="430" t="s">
        <v>277</v>
      </c>
      <c r="B5" s="430"/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</row>
    <row r="6" spans="1:15" x14ac:dyDescent="0.3">
      <c r="A6" s="4" t="s">
        <v>21</v>
      </c>
      <c r="C6" s="39"/>
      <c r="D6" s="3"/>
      <c r="E6" s="39"/>
      <c r="F6" s="3"/>
      <c r="G6" s="39"/>
      <c r="H6" s="3"/>
      <c r="I6" s="39"/>
      <c r="J6" s="3"/>
    </row>
    <row r="7" spans="1:15" ht="76.650000000000006" customHeight="1" x14ac:dyDescent="0.3">
      <c r="A7" s="429" t="s">
        <v>275</v>
      </c>
      <c r="B7" s="429"/>
      <c r="C7" s="429"/>
      <c r="D7" s="429"/>
      <c r="E7" s="429"/>
      <c r="F7" s="429"/>
      <c r="G7" s="429"/>
      <c r="H7" s="429"/>
      <c r="I7" s="429"/>
      <c r="J7" s="429"/>
      <c r="K7" s="429"/>
      <c r="L7" s="429"/>
      <c r="M7" s="429"/>
      <c r="N7" s="429"/>
      <c r="O7" s="429"/>
    </row>
    <row r="8" spans="1:15" ht="36" customHeight="1" x14ac:dyDescent="0.3">
      <c r="A8" s="429" t="s">
        <v>234</v>
      </c>
      <c r="B8" s="429"/>
      <c r="C8" s="429"/>
      <c r="D8" s="429"/>
      <c r="E8" s="429"/>
      <c r="F8" s="429"/>
      <c r="G8" s="429"/>
      <c r="H8" s="429"/>
      <c r="I8" s="429"/>
      <c r="J8" s="429"/>
      <c r="K8" s="429"/>
      <c r="L8" s="429"/>
      <c r="M8" s="429"/>
      <c r="N8" s="429"/>
      <c r="O8" s="429"/>
    </row>
    <row r="9" spans="1:15" ht="51.6" customHeight="1" x14ac:dyDescent="0.3">
      <c r="A9" s="430" t="s">
        <v>226</v>
      </c>
      <c r="B9" s="430"/>
      <c r="C9" s="430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</row>
    <row r="10" spans="1:15" ht="11.4" customHeight="1" x14ac:dyDescent="0.3">
      <c r="A10" s="430"/>
      <c r="B10" s="430"/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</row>
    <row r="11" spans="1:15" ht="73.349999999999994" customHeight="1" x14ac:dyDescent="0.3">
      <c r="A11" s="430" t="s">
        <v>229</v>
      </c>
      <c r="B11" s="430"/>
      <c r="C11" s="430"/>
      <c r="D11" s="430"/>
      <c r="E11" s="430"/>
      <c r="F11" s="430"/>
      <c r="G11" s="430"/>
      <c r="H11" s="430"/>
      <c r="I11" s="430"/>
      <c r="J11" s="430"/>
      <c r="K11" s="430"/>
      <c r="L11" s="430"/>
      <c r="M11" s="430"/>
      <c r="N11" s="430"/>
      <c r="O11" s="430"/>
    </row>
    <row r="12" spans="1:15" ht="58.35" customHeight="1" x14ac:dyDescent="0.3">
      <c r="A12" s="430" t="s">
        <v>228</v>
      </c>
      <c r="B12" s="430"/>
      <c r="C12" s="430"/>
      <c r="D12" s="430"/>
      <c r="E12" s="430"/>
      <c r="F12" s="430"/>
      <c r="G12" s="430"/>
      <c r="H12" s="430"/>
      <c r="I12" s="430"/>
      <c r="J12" s="430"/>
      <c r="K12" s="430"/>
      <c r="L12" s="430"/>
      <c r="M12" s="430"/>
      <c r="N12" s="430"/>
      <c r="O12" s="430"/>
    </row>
    <row r="13" spans="1:15" ht="15.6" customHeight="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ht="15.6" customHeight="1" x14ac:dyDescent="0.3">
      <c r="A14" s="432" t="s">
        <v>221</v>
      </c>
      <c r="B14" s="432"/>
      <c r="C14" s="432"/>
      <c r="D14" s="432"/>
      <c r="E14" s="432"/>
      <c r="F14" s="432"/>
      <c r="G14" s="432"/>
      <c r="H14" s="432"/>
      <c r="I14" s="432"/>
      <c r="J14" s="432"/>
      <c r="K14" s="432"/>
      <c r="L14" s="432"/>
      <c r="M14" s="432"/>
      <c r="N14" s="432"/>
      <c r="O14" s="432"/>
    </row>
    <row r="15" spans="1:15" s="241" customFormat="1" ht="51" customHeight="1" x14ac:dyDescent="0.3">
      <c r="A15" s="429" t="s">
        <v>24</v>
      </c>
      <c r="B15" s="429"/>
      <c r="C15" s="429"/>
      <c r="D15" s="429"/>
      <c r="E15" s="429"/>
      <c r="F15" s="429"/>
      <c r="G15" s="429"/>
      <c r="H15" s="429"/>
      <c r="I15" s="429"/>
      <c r="J15" s="429"/>
      <c r="K15" s="429"/>
      <c r="L15" s="429"/>
      <c r="M15" s="429"/>
      <c r="N15" s="429"/>
      <c r="O15" s="429"/>
    </row>
    <row r="16" spans="1:15" ht="21.6" customHeight="1" x14ac:dyDescent="0.3">
      <c r="A16" s="432" t="s">
        <v>23</v>
      </c>
      <c r="B16" s="432"/>
      <c r="C16" s="432"/>
      <c r="D16" s="432"/>
      <c r="E16" s="432"/>
      <c r="F16" s="432"/>
      <c r="G16" s="432"/>
      <c r="H16" s="432"/>
      <c r="I16" s="432"/>
      <c r="J16" s="432"/>
      <c r="K16" s="432"/>
      <c r="L16" s="432"/>
      <c r="M16" s="432"/>
      <c r="N16" s="432"/>
      <c r="O16" s="432"/>
    </row>
    <row r="17" spans="1:15" s="241" customFormat="1" ht="45" customHeight="1" x14ac:dyDescent="0.3">
      <c r="A17" s="429" t="s">
        <v>22</v>
      </c>
      <c r="B17" s="429"/>
      <c r="C17" s="429"/>
      <c r="D17" s="429"/>
      <c r="E17" s="429"/>
      <c r="F17" s="429"/>
      <c r="G17" s="429"/>
      <c r="H17" s="429"/>
      <c r="I17" s="429"/>
      <c r="J17" s="429"/>
      <c r="K17" s="429"/>
      <c r="L17" s="429"/>
      <c r="M17" s="429"/>
      <c r="N17" s="429"/>
      <c r="O17" s="429"/>
    </row>
    <row r="18" spans="1:15" ht="24" customHeight="1" x14ac:dyDescent="0.3">
      <c r="A18" s="434" t="s">
        <v>25</v>
      </c>
      <c r="B18" s="434"/>
      <c r="C18" s="434"/>
      <c r="D18" s="434"/>
      <c r="E18" s="434"/>
      <c r="F18" s="434"/>
      <c r="G18" s="434"/>
      <c r="H18" s="434"/>
      <c r="I18" s="434"/>
      <c r="J18" s="434"/>
      <c r="K18" s="434"/>
      <c r="L18" s="434"/>
      <c r="M18" s="434"/>
      <c r="N18" s="434"/>
      <c r="O18" s="434"/>
    </row>
    <row r="19" spans="1:15" s="241" customFormat="1" ht="23.4" customHeight="1" x14ac:dyDescent="0.3">
      <c r="A19" s="431" t="s">
        <v>26</v>
      </c>
      <c r="B19" s="431"/>
      <c r="C19" s="431"/>
      <c r="D19" s="431"/>
      <c r="E19" s="431"/>
      <c r="F19" s="431"/>
      <c r="G19" s="431"/>
      <c r="H19" s="431"/>
      <c r="I19" s="431"/>
      <c r="J19" s="431"/>
      <c r="K19" s="431"/>
      <c r="L19" s="431"/>
      <c r="M19" s="431"/>
      <c r="N19" s="431"/>
      <c r="O19" s="431"/>
    </row>
    <row r="20" spans="1:15" s="241" customFormat="1" ht="41.4" customHeight="1" x14ac:dyDescent="0.3">
      <c r="A20" s="429" t="s">
        <v>230</v>
      </c>
      <c r="B20" s="429"/>
      <c r="C20" s="429"/>
      <c r="D20" s="429"/>
      <c r="E20" s="429"/>
      <c r="F20" s="429"/>
      <c r="G20" s="429"/>
      <c r="H20" s="429"/>
      <c r="I20" s="429"/>
      <c r="J20" s="429"/>
      <c r="K20" s="429"/>
      <c r="L20" s="429"/>
      <c r="M20" s="429"/>
      <c r="N20" s="429"/>
      <c r="O20" s="429"/>
    </row>
    <row r="21" spans="1:15" s="241" customFormat="1" x14ac:dyDescent="0.3">
      <c r="A21" s="429" t="s">
        <v>206</v>
      </c>
      <c r="B21" s="429"/>
      <c r="C21" s="429"/>
      <c r="D21" s="429"/>
      <c r="E21" s="429"/>
      <c r="F21" s="429"/>
      <c r="G21" s="429"/>
      <c r="H21" s="429"/>
      <c r="I21" s="429"/>
      <c r="J21" s="429"/>
      <c r="K21" s="429"/>
      <c r="L21" s="429"/>
      <c r="M21" s="429"/>
      <c r="N21" s="429"/>
      <c r="O21" s="429"/>
    </row>
    <row r="22" spans="1:15" s="241" customFormat="1" ht="26.4" customHeight="1" x14ac:dyDescent="0.3">
      <c r="A22" s="433" t="s">
        <v>231</v>
      </c>
      <c r="B22" s="433"/>
      <c r="C22" s="433"/>
      <c r="D22" s="433"/>
      <c r="E22" s="433"/>
      <c r="F22" s="433"/>
      <c r="G22" s="433"/>
      <c r="H22" s="433"/>
      <c r="I22" s="433"/>
      <c r="J22" s="433"/>
      <c r="K22" s="433"/>
      <c r="L22" s="433"/>
      <c r="M22" s="433"/>
      <c r="N22" s="433"/>
      <c r="O22" s="433"/>
    </row>
    <row r="23" spans="1:15" s="241" customFormat="1" x14ac:dyDescent="0.3">
      <c r="A23" s="429" t="s">
        <v>222</v>
      </c>
      <c r="B23" s="429"/>
      <c r="C23" s="429"/>
      <c r="D23" s="429"/>
      <c r="E23" s="429"/>
      <c r="F23" s="429"/>
      <c r="G23" s="429"/>
      <c r="H23" s="429"/>
      <c r="I23" s="429"/>
      <c r="J23" s="429"/>
      <c r="K23" s="429"/>
      <c r="L23" s="429"/>
      <c r="M23" s="429"/>
      <c r="N23" s="429"/>
      <c r="O23" s="429"/>
    </row>
    <row r="24" spans="1:15" s="241" customFormat="1" x14ac:dyDescent="0.3">
      <c r="A24" s="429" t="s">
        <v>207</v>
      </c>
      <c r="B24" s="429"/>
      <c r="C24" s="429"/>
      <c r="D24" s="429"/>
      <c r="E24" s="429"/>
      <c r="F24" s="429"/>
      <c r="G24" s="429"/>
      <c r="H24" s="429"/>
      <c r="I24" s="429"/>
      <c r="J24" s="429"/>
      <c r="K24" s="429"/>
      <c r="L24" s="429"/>
      <c r="M24" s="429"/>
      <c r="N24" s="429"/>
      <c r="O24" s="429"/>
    </row>
    <row r="25" spans="1:15" s="241" customFormat="1" ht="33.6" customHeight="1" x14ac:dyDescent="0.3">
      <c r="A25" s="429" t="s">
        <v>208</v>
      </c>
      <c r="B25" s="429"/>
      <c r="C25" s="429"/>
      <c r="D25" s="429"/>
      <c r="E25" s="429"/>
      <c r="F25" s="429"/>
      <c r="G25" s="429"/>
      <c r="H25" s="429"/>
      <c r="I25" s="429"/>
      <c r="J25" s="429"/>
      <c r="K25" s="429"/>
      <c r="L25" s="429"/>
      <c r="M25" s="429"/>
      <c r="N25" s="429"/>
      <c r="O25" s="429"/>
    </row>
    <row r="26" spans="1:15" s="241" customFormat="1" x14ac:dyDescent="0.3">
      <c r="A26" s="429" t="s">
        <v>223</v>
      </c>
      <c r="B26" s="429"/>
      <c r="C26" s="429"/>
      <c r="D26" s="429"/>
      <c r="E26" s="429"/>
      <c r="F26" s="429"/>
      <c r="G26" s="429"/>
      <c r="H26" s="429"/>
      <c r="I26" s="429"/>
      <c r="J26" s="429"/>
      <c r="K26" s="429"/>
      <c r="L26" s="429"/>
      <c r="M26" s="429"/>
      <c r="N26" s="429"/>
      <c r="O26" s="429"/>
    </row>
    <row r="27" spans="1:15" s="241" customFormat="1" ht="32.4" customHeight="1" x14ac:dyDescent="0.3">
      <c r="A27" s="430" t="s">
        <v>217</v>
      </c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430"/>
      <c r="M27" s="430"/>
      <c r="N27" s="430"/>
      <c r="O27" s="430"/>
    </row>
    <row r="28" spans="1:15" s="241" customFormat="1" ht="27" customHeight="1" x14ac:dyDescent="0.3">
      <c r="B28" s="277" t="s">
        <v>218</v>
      </c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s="241" customFormat="1" ht="27" customHeight="1" x14ac:dyDescent="0.3">
      <c r="B29" s="277" t="s">
        <v>219</v>
      </c>
      <c r="C29" s="277"/>
      <c r="D29" s="277"/>
      <c r="E29" s="277"/>
      <c r="F29" s="277"/>
      <c r="G29" s="277"/>
      <c r="H29" s="277"/>
      <c r="I29" s="277"/>
      <c r="J29" s="277"/>
      <c r="K29" s="277"/>
      <c r="L29" s="277"/>
      <c r="M29" s="277"/>
      <c r="N29" s="277"/>
      <c r="O29" s="277"/>
    </row>
    <row r="30" spans="1:15" s="241" customFormat="1" ht="27" customHeight="1" x14ac:dyDescent="0.3">
      <c r="B30" s="277" t="s">
        <v>220</v>
      </c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s="241" customFormat="1" ht="36.6" customHeight="1" x14ac:dyDescent="0.3">
      <c r="A31" s="429" t="s">
        <v>209</v>
      </c>
      <c r="B31" s="429"/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</row>
    <row r="32" spans="1:15" s="241" customFormat="1" ht="30" customHeight="1" x14ac:dyDescent="0.3">
      <c r="B32" s="277" t="s">
        <v>200</v>
      </c>
    </row>
    <row r="33" spans="1:15" s="241" customFormat="1" ht="30" customHeight="1" x14ac:dyDescent="0.3">
      <c r="B33" s="277" t="s">
        <v>201</v>
      </c>
    </row>
    <row r="34" spans="1:15" s="241" customFormat="1" ht="30" customHeight="1" x14ac:dyDescent="0.3">
      <c r="B34" s="277" t="s">
        <v>202</v>
      </c>
    </row>
    <row r="35" spans="1:15" s="241" customFormat="1" ht="34.35" customHeight="1" x14ac:dyDescent="0.3">
      <c r="A35" s="429" t="s">
        <v>211</v>
      </c>
      <c r="B35" s="429"/>
      <c r="C35" s="429"/>
      <c r="D35" s="429"/>
      <c r="E35" s="429"/>
      <c r="F35" s="429"/>
      <c r="G35" s="429"/>
      <c r="H35" s="429"/>
      <c r="I35" s="429"/>
      <c r="J35" s="429"/>
      <c r="K35" s="429"/>
      <c r="L35" s="429"/>
      <c r="M35" s="429"/>
      <c r="N35" s="429"/>
      <c r="O35" s="429"/>
    </row>
    <row r="36" spans="1:15" s="241" customFormat="1" ht="28.65" customHeight="1" x14ac:dyDescent="0.3">
      <c r="A36" s="277"/>
      <c r="B36" s="277" t="s">
        <v>203</v>
      </c>
    </row>
    <row r="37" spans="1:15" s="241" customFormat="1" ht="28.65" customHeight="1" x14ac:dyDescent="0.3">
      <c r="A37" s="277"/>
      <c r="B37" s="277" t="s">
        <v>204</v>
      </c>
    </row>
    <row r="38" spans="1:15" s="241" customFormat="1" ht="28.65" customHeight="1" x14ac:dyDescent="0.3">
      <c r="A38" s="277"/>
      <c r="B38" s="277" t="s">
        <v>205</v>
      </c>
    </row>
    <row r="39" spans="1:15" s="241" customFormat="1" ht="34.35" customHeight="1" x14ac:dyDescent="0.3">
      <c r="A39" s="429" t="s">
        <v>212</v>
      </c>
      <c r="B39" s="429"/>
      <c r="C39" s="429"/>
      <c r="D39" s="429"/>
      <c r="E39" s="429"/>
      <c r="F39" s="429"/>
      <c r="G39" s="429"/>
      <c r="H39" s="429"/>
      <c r="I39" s="429"/>
      <c r="J39" s="429"/>
      <c r="K39" s="429"/>
      <c r="L39" s="429"/>
      <c r="M39" s="429"/>
      <c r="N39" s="429"/>
      <c r="O39" s="429"/>
    </row>
    <row r="40" spans="1:15" s="241" customFormat="1" ht="27.6" customHeight="1" x14ac:dyDescent="0.3">
      <c r="A40" s="277"/>
      <c r="B40" s="277" t="s">
        <v>213</v>
      </c>
    </row>
    <row r="41" spans="1:15" s="241" customFormat="1" ht="27.6" customHeight="1" x14ac:dyDescent="0.3">
      <c r="A41" s="277"/>
      <c r="B41" s="277" t="s">
        <v>214</v>
      </c>
    </row>
    <row r="42" spans="1:15" s="241" customFormat="1" ht="27.6" customHeight="1" x14ac:dyDescent="0.3">
      <c r="B42" s="277" t="s">
        <v>215</v>
      </c>
    </row>
    <row r="46" spans="1:15" x14ac:dyDescent="0.3">
      <c r="A46" s="279" t="s">
        <v>27</v>
      </c>
      <c r="B46" s="5"/>
    </row>
  </sheetData>
  <sheetProtection sheet="1" objects="1" scenarios="1"/>
  <mergeCells count="25">
    <mergeCell ref="A9:O9"/>
    <mergeCell ref="A7:O7"/>
    <mergeCell ref="A4:O4"/>
    <mergeCell ref="A5:O5"/>
    <mergeCell ref="A18:O18"/>
    <mergeCell ref="A8:O8"/>
    <mergeCell ref="A20:O20"/>
    <mergeCell ref="A21:O21"/>
    <mergeCell ref="A25:O25"/>
    <mergeCell ref="A10:O10"/>
    <mergeCell ref="A15:O15"/>
    <mergeCell ref="A19:O19"/>
    <mergeCell ref="A14:O14"/>
    <mergeCell ref="A16:O16"/>
    <mergeCell ref="A17:O17"/>
    <mergeCell ref="A11:O11"/>
    <mergeCell ref="A12:O12"/>
    <mergeCell ref="A24:O24"/>
    <mergeCell ref="A23:O23"/>
    <mergeCell ref="A22:O22"/>
    <mergeCell ref="A26:O26"/>
    <mergeCell ref="A31:O31"/>
    <mergeCell ref="A35:O35"/>
    <mergeCell ref="A39:O39"/>
    <mergeCell ref="A27:O27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B9EA6-9F98-493A-BEFD-2ADE6C681E17}">
  <sheetPr codeName="Full3">
    <tabColor theme="7"/>
  </sheetPr>
  <dimension ref="A1:J40"/>
  <sheetViews>
    <sheetView zoomScale="85" zoomScaleNormal="85" workbookViewId="0">
      <pane ySplit="2" topLeftCell="A3" activePane="bottomLeft" state="frozen"/>
      <selection pane="bottomLeft" activeCell="E5" sqref="E5"/>
    </sheetView>
  </sheetViews>
  <sheetFormatPr defaultColWidth="8.88671875" defaultRowHeight="14.4" x14ac:dyDescent="0.3"/>
  <cols>
    <col min="1" max="1" width="1.44140625" style="10" customWidth="1"/>
    <col min="2" max="2" width="2.44140625" style="10" customWidth="1"/>
    <col min="3" max="3" width="25.44140625" style="10" customWidth="1"/>
    <col min="4" max="4" width="3.88671875" style="10" customWidth="1"/>
    <col min="5" max="5" width="20.44140625" style="10" customWidth="1"/>
    <col min="6" max="6" width="4.88671875" style="10" customWidth="1"/>
    <col min="7" max="7" width="20" style="10" customWidth="1"/>
    <col min="8" max="8" width="3.5546875" style="10" customWidth="1"/>
    <col min="9" max="9" width="0.5546875" style="10" customWidth="1"/>
    <col min="10" max="16384" width="8.88671875" style="10"/>
  </cols>
  <sheetData>
    <row r="1" spans="1:9" s="93" customFormat="1" ht="18" x14ac:dyDescent="0.35">
      <c r="A1" s="40"/>
      <c r="B1" s="40"/>
      <c r="C1" s="40" t="s">
        <v>28</v>
      </c>
      <c r="D1" s="40"/>
      <c r="E1" s="40"/>
      <c r="F1" s="40"/>
      <c r="G1" s="40"/>
      <c r="H1" s="40"/>
      <c r="I1" s="40"/>
    </row>
    <row r="2" spans="1:9" s="93" customFormat="1" ht="18" x14ac:dyDescent="0.35">
      <c r="A2" s="41"/>
      <c r="B2" s="41"/>
      <c r="C2" s="42" t="s">
        <v>29</v>
      </c>
      <c r="D2" s="42"/>
      <c r="E2" s="41"/>
      <c r="F2" s="41"/>
      <c r="G2" s="41"/>
      <c r="H2" s="41"/>
      <c r="I2" s="41"/>
    </row>
    <row r="3" spans="1:9" ht="6" customHeight="1" x14ac:dyDescent="0.35">
      <c r="A3" s="43"/>
      <c r="B3" s="43"/>
      <c r="C3" s="43"/>
      <c r="D3" s="43"/>
      <c r="E3" s="43"/>
      <c r="F3" s="43"/>
      <c r="G3" s="43"/>
      <c r="H3" s="43"/>
      <c r="I3" s="43"/>
    </row>
    <row r="4" spans="1:9" ht="18" x14ac:dyDescent="0.35">
      <c r="A4" s="44"/>
      <c r="B4" s="74"/>
      <c r="C4" s="435"/>
      <c r="D4" s="435"/>
      <c r="E4" s="435"/>
      <c r="F4" s="45"/>
      <c r="G4" s="54"/>
      <c r="H4" s="54"/>
      <c r="I4" s="43"/>
    </row>
    <row r="5" spans="1:9" ht="18" customHeight="1" x14ac:dyDescent="0.35">
      <c r="A5" s="44"/>
      <c r="B5" s="74"/>
      <c r="C5" s="45" t="s">
        <v>30</v>
      </c>
      <c r="D5" s="45"/>
      <c r="E5" s="273"/>
      <c r="F5" s="46"/>
      <c r="G5" s="45"/>
      <c r="H5" s="45"/>
      <c r="I5" s="43"/>
    </row>
    <row r="6" spans="1:9" ht="18" x14ac:dyDescent="0.35">
      <c r="A6" s="44"/>
      <c r="B6" s="74"/>
      <c r="C6" s="47"/>
      <c r="D6" s="47"/>
      <c r="E6" s="48"/>
      <c r="F6" s="48"/>
      <c r="G6" s="47"/>
      <c r="H6" s="47"/>
      <c r="I6" s="43"/>
    </row>
    <row r="7" spans="1:9" ht="18" x14ac:dyDescent="0.35">
      <c r="A7" s="44"/>
      <c r="B7" s="74"/>
      <c r="C7" s="45" t="s">
        <v>31</v>
      </c>
      <c r="D7" s="45"/>
      <c r="E7" s="273"/>
      <c r="F7" s="46"/>
      <c r="G7" s="47"/>
      <c r="H7" s="47"/>
      <c r="I7" s="43"/>
    </row>
    <row r="8" spans="1:9" ht="18" x14ac:dyDescent="0.35">
      <c r="A8" s="44"/>
      <c r="B8" s="74"/>
      <c r="C8" s="45"/>
      <c r="D8" s="45"/>
      <c r="E8" s="47"/>
      <c r="F8" s="46"/>
      <c r="G8" s="47"/>
      <c r="H8" s="47"/>
      <c r="I8" s="43"/>
    </row>
    <row r="9" spans="1:9" ht="14.4" customHeight="1" x14ac:dyDescent="0.35">
      <c r="A9" s="44"/>
      <c r="B9" s="74"/>
      <c r="C9" s="45" t="s">
        <v>227</v>
      </c>
      <c r="D9" s="45"/>
      <c r="E9" s="274" t="s">
        <v>32</v>
      </c>
      <c r="F9" s="47"/>
      <c r="G9" s="47"/>
      <c r="H9" s="47"/>
      <c r="I9" s="43"/>
    </row>
    <row r="10" spans="1:9" ht="18" x14ac:dyDescent="0.35">
      <c r="A10" s="44"/>
      <c r="B10" s="74"/>
      <c r="C10" s="47"/>
      <c r="D10" s="47"/>
      <c r="E10" s="46"/>
      <c r="F10" s="46"/>
      <c r="G10" s="47"/>
      <c r="H10" s="47"/>
      <c r="I10" s="43"/>
    </row>
    <row r="11" spans="1:9" ht="18" x14ac:dyDescent="0.35">
      <c r="A11" s="44"/>
      <c r="B11" s="74"/>
      <c r="C11" s="47"/>
      <c r="D11" s="47"/>
      <c r="E11" s="46" t="s">
        <v>33</v>
      </c>
      <c r="F11" s="46"/>
      <c r="G11" s="46" t="s">
        <v>34</v>
      </c>
      <c r="H11" s="46"/>
      <c r="I11" s="43"/>
    </row>
    <row r="12" spans="1:9" ht="20.100000000000001" customHeight="1" x14ac:dyDescent="0.35">
      <c r="A12" s="44"/>
      <c r="B12" s="74"/>
      <c r="C12" s="52" t="s">
        <v>35</v>
      </c>
      <c r="D12" s="52"/>
      <c r="E12" s="275"/>
      <c r="F12" s="58"/>
      <c r="G12" s="275"/>
      <c r="H12" s="51"/>
      <c r="I12" s="43"/>
    </row>
    <row r="13" spans="1:9" ht="5.0999999999999996" customHeight="1" x14ac:dyDescent="0.35">
      <c r="A13" s="44"/>
      <c r="B13" s="74"/>
      <c r="C13" s="52"/>
      <c r="D13" s="50"/>
      <c r="E13" s="56"/>
      <c r="F13" s="56"/>
      <c r="G13" s="57"/>
      <c r="H13" s="51"/>
      <c r="I13" s="43"/>
    </row>
    <row r="14" spans="1:9" ht="23.4" customHeight="1" x14ac:dyDescent="0.35">
      <c r="A14" s="44"/>
      <c r="B14" s="74"/>
      <c r="C14" s="52" t="s">
        <v>36</v>
      </c>
      <c r="D14" s="50"/>
      <c r="E14" s="56"/>
      <c r="F14" s="56"/>
      <c r="G14" s="57"/>
      <c r="H14" s="51"/>
      <c r="I14" s="43"/>
    </row>
    <row r="15" spans="1:9" ht="18" customHeight="1" x14ac:dyDescent="0.35">
      <c r="A15" s="44"/>
      <c r="B15" s="74"/>
      <c r="C15" s="324" t="s">
        <v>271</v>
      </c>
      <c r="D15" s="52"/>
      <c r="E15" s="275"/>
      <c r="F15" s="58"/>
      <c r="G15" s="275"/>
      <c r="H15" s="51"/>
      <c r="I15" s="43"/>
    </row>
    <row r="16" spans="1:9" ht="6" customHeight="1" x14ac:dyDescent="0.35">
      <c r="A16" s="44"/>
      <c r="B16" s="74"/>
      <c r="C16" s="55"/>
      <c r="D16" s="53"/>
      <c r="E16" s="56"/>
      <c r="F16" s="56"/>
      <c r="G16" s="57"/>
      <c r="H16" s="51"/>
      <c r="I16" s="43"/>
    </row>
    <row r="17" spans="1:10" ht="20.100000000000001" customHeight="1" x14ac:dyDescent="0.35">
      <c r="A17" s="44"/>
      <c r="B17" s="74"/>
      <c r="C17" s="324" t="s">
        <v>236</v>
      </c>
      <c r="D17" s="52"/>
      <c r="E17" s="275"/>
      <c r="F17" s="58"/>
      <c r="G17" s="275"/>
      <c r="H17" s="51"/>
      <c r="I17" s="43"/>
    </row>
    <row r="18" spans="1:10" ht="5.0999999999999996" customHeight="1" x14ac:dyDescent="0.35">
      <c r="A18" s="44"/>
      <c r="B18" s="74"/>
      <c r="C18" s="55"/>
      <c r="D18" s="53"/>
      <c r="E18" s="56"/>
      <c r="F18" s="56"/>
      <c r="G18" s="57"/>
      <c r="H18" s="51"/>
      <c r="I18" s="43"/>
    </row>
    <row r="19" spans="1:10" ht="18" x14ac:dyDescent="0.35">
      <c r="A19" s="44"/>
      <c r="B19" s="74"/>
      <c r="C19" s="324" t="s">
        <v>239</v>
      </c>
      <c r="D19" s="52"/>
      <c r="E19" s="275"/>
      <c r="F19" s="58"/>
      <c r="G19" s="275"/>
      <c r="H19" s="51"/>
      <c r="I19" s="43"/>
    </row>
    <row r="20" spans="1:10" ht="5.0999999999999996" customHeight="1" x14ac:dyDescent="0.35">
      <c r="A20" s="44"/>
      <c r="B20" s="74"/>
      <c r="C20" s="55"/>
      <c r="D20" s="53"/>
      <c r="E20" s="56"/>
      <c r="F20" s="56"/>
      <c r="G20" s="57"/>
      <c r="H20" s="51"/>
      <c r="I20" s="43"/>
    </row>
    <row r="21" spans="1:10" ht="18" x14ac:dyDescent="0.35">
      <c r="A21" s="44"/>
      <c r="B21" s="74"/>
      <c r="C21" s="324" t="s">
        <v>237</v>
      </c>
      <c r="D21" s="52"/>
      <c r="E21" s="275"/>
      <c r="F21" s="58"/>
      <c r="G21" s="275"/>
      <c r="H21" s="51"/>
      <c r="I21" s="43"/>
    </row>
    <row r="22" spans="1:10" ht="15.6" customHeight="1" x14ac:dyDescent="0.35">
      <c r="A22" s="44"/>
      <c r="B22" s="74"/>
      <c r="C22" s="55"/>
      <c r="D22" s="52"/>
      <c r="E22" s="88"/>
      <c r="F22" s="58"/>
      <c r="G22" s="88"/>
      <c r="H22" s="51"/>
      <c r="I22" s="43"/>
    </row>
    <row r="23" spans="1:10" ht="18" x14ac:dyDescent="0.35">
      <c r="A23" s="44"/>
      <c r="B23" s="74"/>
      <c r="C23" s="52" t="s">
        <v>37</v>
      </c>
      <c r="D23" s="52"/>
      <c r="E23" s="46" t="s">
        <v>38</v>
      </c>
      <c r="F23" s="46"/>
      <c r="G23" s="46" t="s">
        <v>39</v>
      </c>
      <c r="H23" s="51"/>
      <c r="I23" s="43"/>
    </row>
    <row r="24" spans="1:10" ht="6" customHeight="1" x14ac:dyDescent="0.35">
      <c r="A24" s="44"/>
      <c r="B24" s="74"/>
      <c r="C24" s="52"/>
      <c r="D24" s="52"/>
      <c r="E24" s="46"/>
      <c r="F24" s="46"/>
      <c r="G24" s="46"/>
      <c r="H24" s="51"/>
      <c r="I24" s="43"/>
    </row>
    <row r="25" spans="1:10" ht="16.350000000000001" customHeight="1" x14ac:dyDescent="0.35">
      <c r="A25" s="44"/>
      <c r="B25" s="74"/>
      <c r="C25" s="55" t="s">
        <v>40</v>
      </c>
      <c r="D25" s="52"/>
      <c r="E25" s="276"/>
      <c r="F25" s="89"/>
      <c r="G25" s="276"/>
      <c r="H25" s="51"/>
      <c r="I25" s="43"/>
      <c r="J25" s="94">
        <f>G25-1/24</f>
        <v>-4.1666666666666664E-2</v>
      </c>
    </row>
    <row r="26" spans="1:10" ht="6" customHeight="1" x14ac:dyDescent="0.35">
      <c r="A26" s="44"/>
      <c r="B26" s="74"/>
      <c r="C26" s="55"/>
      <c r="D26" s="52"/>
      <c r="E26" s="89"/>
      <c r="F26" s="89"/>
      <c r="G26" s="90"/>
      <c r="H26" s="51"/>
      <c r="I26" s="43"/>
      <c r="J26" s="94"/>
    </row>
    <row r="27" spans="1:10" ht="18" x14ac:dyDescent="0.35">
      <c r="A27" s="44"/>
      <c r="B27" s="74"/>
      <c r="C27" s="55" t="s">
        <v>41</v>
      </c>
      <c r="D27" s="52"/>
      <c r="E27" s="276"/>
      <c r="F27" s="89"/>
      <c r="G27" s="276"/>
      <c r="H27" s="51"/>
      <c r="I27" s="43"/>
      <c r="J27" s="94">
        <f>G27-1/24</f>
        <v>-4.1666666666666664E-2</v>
      </c>
    </row>
    <row r="28" spans="1:10" ht="6" customHeight="1" x14ac:dyDescent="0.35">
      <c r="A28" s="44"/>
      <c r="B28" s="74"/>
      <c r="C28" s="55"/>
      <c r="D28" s="52"/>
      <c r="E28" s="89"/>
      <c r="F28" s="89"/>
      <c r="G28" s="90"/>
      <c r="H28" s="51"/>
      <c r="I28" s="43"/>
      <c r="J28" s="94"/>
    </row>
    <row r="29" spans="1:10" ht="18" x14ac:dyDescent="0.35">
      <c r="A29" s="44"/>
      <c r="B29" s="74"/>
      <c r="C29" s="55" t="s">
        <v>42</v>
      </c>
      <c r="D29" s="52"/>
      <c r="E29" s="276"/>
      <c r="F29" s="89"/>
      <c r="G29" s="276"/>
      <c r="H29" s="51"/>
      <c r="I29" s="43"/>
      <c r="J29" s="94">
        <f>G29-1/24</f>
        <v>-4.1666666666666664E-2</v>
      </c>
    </row>
    <row r="30" spans="1:10" ht="6" customHeight="1" x14ac:dyDescent="0.35">
      <c r="A30" s="44"/>
      <c r="B30" s="74"/>
      <c r="C30" s="55"/>
      <c r="D30" s="52"/>
      <c r="E30" s="89"/>
      <c r="F30" s="89"/>
      <c r="G30" s="90"/>
      <c r="H30" s="51"/>
      <c r="I30" s="43"/>
      <c r="J30" s="94"/>
    </row>
    <row r="31" spans="1:10" ht="18" x14ac:dyDescent="0.35">
      <c r="A31" s="44"/>
      <c r="B31" s="74"/>
      <c r="C31" s="55" t="s">
        <v>43</v>
      </c>
      <c r="D31" s="52"/>
      <c r="E31" s="276"/>
      <c r="F31" s="89"/>
      <c r="G31" s="276"/>
      <c r="H31" s="51"/>
      <c r="I31" s="43"/>
      <c r="J31" s="94">
        <f>G31-1/24</f>
        <v>-4.1666666666666664E-2</v>
      </c>
    </row>
    <row r="32" spans="1:10" ht="5.0999999999999996" customHeight="1" x14ac:dyDescent="0.35">
      <c r="A32" s="44"/>
      <c r="B32" s="74"/>
      <c r="C32" s="52"/>
      <c r="D32" s="49"/>
      <c r="E32" s="91"/>
      <c r="F32" s="91"/>
      <c r="G32" s="91"/>
      <c r="H32" s="51"/>
      <c r="I32" s="43"/>
      <c r="J32" s="94"/>
    </row>
    <row r="33" spans="1:10" ht="18" x14ac:dyDescent="0.35">
      <c r="A33" s="44"/>
      <c r="B33" s="74"/>
      <c r="C33" s="55" t="s">
        <v>44</v>
      </c>
      <c r="D33" s="52"/>
      <c r="E33" s="276"/>
      <c r="F33" s="89"/>
      <c r="G33" s="276"/>
      <c r="H33" s="51"/>
      <c r="I33" s="43"/>
      <c r="J33" s="94">
        <f>G33-1/24</f>
        <v>-4.1666666666666664E-2</v>
      </c>
    </row>
    <row r="34" spans="1:10" ht="6" customHeight="1" x14ac:dyDescent="0.35">
      <c r="A34" s="44"/>
      <c r="B34" s="74"/>
      <c r="C34" s="55"/>
      <c r="D34" s="52"/>
      <c r="E34" s="89"/>
      <c r="F34" s="89"/>
      <c r="G34" s="90"/>
      <c r="H34" s="51"/>
      <c r="I34" s="43"/>
      <c r="J34" s="94"/>
    </row>
    <row r="35" spans="1:10" ht="18" x14ac:dyDescent="0.35">
      <c r="A35" s="44"/>
      <c r="B35" s="74"/>
      <c r="C35" s="55" t="s">
        <v>45</v>
      </c>
      <c r="D35" s="52"/>
      <c r="E35" s="276"/>
      <c r="F35" s="89"/>
      <c r="G35" s="276"/>
      <c r="H35" s="51"/>
      <c r="I35" s="43"/>
      <c r="J35" s="94">
        <f>G35-1/24</f>
        <v>-4.1666666666666664E-2</v>
      </c>
    </row>
    <row r="36" spans="1:10" ht="6" customHeight="1" x14ac:dyDescent="0.35">
      <c r="A36" s="44"/>
      <c r="B36" s="74"/>
      <c r="C36" s="55"/>
      <c r="D36" s="52"/>
      <c r="E36" s="89"/>
      <c r="F36" s="89"/>
      <c r="G36" s="90"/>
      <c r="H36" s="51"/>
      <c r="I36" s="43"/>
      <c r="J36" s="94"/>
    </row>
    <row r="37" spans="1:10" ht="18" x14ac:dyDescent="0.35">
      <c r="A37" s="44"/>
      <c r="B37" s="74"/>
      <c r="C37" s="55" t="s">
        <v>46</v>
      </c>
      <c r="D37" s="52"/>
      <c r="E37" s="276"/>
      <c r="F37" s="89"/>
      <c r="G37" s="276"/>
      <c r="H37" s="51"/>
      <c r="I37" s="43"/>
      <c r="J37" s="94">
        <f>G37-1/24</f>
        <v>-4.1666666666666664E-2</v>
      </c>
    </row>
    <row r="38" spans="1:10" ht="5.0999999999999996" customHeight="1" x14ac:dyDescent="0.35">
      <c r="A38" s="44"/>
      <c r="B38" s="74"/>
      <c r="C38" s="52"/>
      <c r="D38" s="49"/>
      <c r="E38" s="91"/>
      <c r="F38" s="91"/>
      <c r="G38" s="91"/>
      <c r="H38" s="92"/>
      <c r="I38" s="43"/>
    </row>
    <row r="39" spans="1:10" ht="7.35" customHeight="1" x14ac:dyDescent="0.35">
      <c r="A39" s="44"/>
      <c r="B39" s="74"/>
      <c r="C39" s="52"/>
      <c r="D39" s="49"/>
      <c r="E39" s="49"/>
      <c r="F39" s="49"/>
      <c r="G39" s="49"/>
      <c r="H39" s="49"/>
      <c r="I39" s="43"/>
    </row>
    <row r="40" spans="1:10" ht="4.3499999999999996" customHeight="1" x14ac:dyDescent="0.35">
      <c r="A40" s="44"/>
      <c r="B40" s="44"/>
      <c r="C40" s="43"/>
      <c r="D40" s="43"/>
      <c r="E40" s="43"/>
      <c r="F40" s="43"/>
      <c r="G40" s="43"/>
      <c r="H40" s="43"/>
      <c r="I40" s="43"/>
    </row>
  </sheetData>
  <sheetProtection sheet="1" objects="1" scenarios="1"/>
  <mergeCells count="1">
    <mergeCell ref="C4:E4"/>
  </mergeCells>
  <conditionalFormatting sqref="D13:D14 D16 D20">
    <cfRule type="expression" dxfId="28" priority="30">
      <formula>ISBLANK(F13)</formula>
    </cfRule>
  </conditionalFormatting>
  <conditionalFormatting sqref="D18">
    <cfRule type="expression" dxfId="27" priority="20">
      <formula>ISBLANK(F18)</formula>
    </cfRule>
  </conditionalFormatting>
  <conditionalFormatting sqref="E13:E14 E16 E18 E20 E28 E30 E36">
    <cfRule type="expression" dxfId="26" priority="106">
      <formula>AND($E$9="El mateix equipament en diferents periodes",E13&lt;&gt;#REF!)</formula>
    </cfRule>
  </conditionalFormatting>
  <conditionalFormatting sqref="E26">
    <cfRule type="expression" dxfId="25" priority="11">
      <formula>AND($E$9="El mateix equipament en diferents periodes",E26&lt;&gt;#REF!)</formula>
    </cfRule>
  </conditionalFormatting>
  <conditionalFormatting sqref="E34">
    <cfRule type="expression" dxfId="24" priority="4">
      <formula>AND($E$9="El mateix equipament en diferents periodes",E34&lt;&gt;#REF!)</formula>
    </cfRule>
  </conditionalFormatting>
  <conditionalFormatting sqref="G12">
    <cfRule type="cellIs" dxfId="23" priority="23" operator="lessThan">
      <formula>E12</formula>
    </cfRule>
  </conditionalFormatting>
  <conditionalFormatting sqref="G15">
    <cfRule type="cellIs" dxfId="22" priority="22" operator="lessThan">
      <formula>E15</formula>
    </cfRule>
  </conditionalFormatting>
  <conditionalFormatting sqref="G16">
    <cfRule type="expression" dxfId="21" priority="25">
      <formula>AND($E$9="El mateix equipament en diferents periodes",G16&lt;&gt;$G$12)</formula>
    </cfRule>
  </conditionalFormatting>
  <conditionalFormatting sqref="G17">
    <cfRule type="cellIs" dxfId="20" priority="15" operator="lessThan">
      <formula>E17</formula>
    </cfRule>
  </conditionalFormatting>
  <conditionalFormatting sqref="G19">
    <cfRule type="cellIs" dxfId="19" priority="14" operator="lessThan">
      <formula>E19</formula>
    </cfRule>
  </conditionalFormatting>
  <conditionalFormatting sqref="G20">
    <cfRule type="expression" dxfId="18" priority="16">
      <formula>AND($E$9="El mateix equipament en diferents periodes",G20&lt;&gt;$G$12)</formula>
    </cfRule>
  </conditionalFormatting>
  <conditionalFormatting sqref="G21:G22">
    <cfRule type="cellIs" dxfId="17" priority="12" operator="lessThan">
      <formula>E21</formula>
    </cfRule>
  </conditionalFormatting>
  <conditionalFormatting sqref="G26">
    <cfRule type="expression" dxfId="16" priority="10">
      <formula>AND($E$9="El mateix equipament en diferents periodes",G26&lt;&gt;$G$12)</formula>
    </cfRule>
  </conditionalFormatting>
  <conditionalFormatting sqref="G30">
    <cfRule type="expression" dxfId="15" priority="8">
      <formula>AND($E$9="El mateix equipament en diferents periodes",G30&lt;&gt;$G$12)</formula>
    </cfRule>
  </conditionalFormatting>
  <conditionalFormatting sqref="G36">
    <cfRule type="expression" dxfId="14" priority="3">
      <formula>AND($E$9="El mateix equipament en diferents periodes",G36&lt;&gt;$G$12)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4">
    <tabColor theme="7" tint="0.39997558519241921"/>
    <pageSetUpPr fitToPage="1"/>
  </sheetPr>
  <dimension ref="A1:BU9533"/>
  <sheetViews>
    <sheetView zoomScale="55" zoomScaleNormal="55" workbookViewId="0">
      <pane xSplit="8" ySplit="4" topLeftCell="I5" activePane="bottomRight" state="frozen"/>
      <selection pane="topRight" activeCell="M1" sqref="M1"/>
      <selection pane="bottomLeft" activeCell="A5" sqref="A5"/>
      <selection pane="bottomRight"/>
    </sheetView>
  </sheetViews>
  <sheetFormatPr defaultRowHeight="14.4" x14ac:dyDescent="0.3"/>
  <cols>
    <col min="1" max="1" width="2" customWidth="1"/>
    <col min="2" max="2" width="27.44140625" style="8" bestFit="1" customWidth="1"/>
    <col min="3" max="3" width="17.44140625" style="8" customWidth="1"/>
    <col min="4" max="4" width="8.88671875" style="8"/>
    <col min="5" max="5" width="12.44140625" style="8" bestFit="1" customWidth="1"/>
    <col min="6" max="6" width="7.5546875" style="8" customWidth="1"/>
    <col min="7" max="7" width="12.44140625" style="8" bestFit="1" customWidth="1"/>
    <col min="8" max="8" width="7.5546875" style="8" customWidth="1"/>
    <col min="9" max="9" width="13.109375" style="246" customWidth="1"/>
    <col min="10" max="10" width="30.5546875" customWidth="1"/>
    <col min="11" max="11" width="15" style="246" customWidth="1"/>
    <col min="12" max="12" width="11.44140625" style="246" customWidth="1"/>
    <col min="13" max="13" width="12.5546875" style="246" customWidth="1"/>
    <col min="14" max="15" width="8.88671875" style="246"/>
    <col min="16" max="16" width="1.44140625" customWidth="1"/>
    <col min="17" max="17" width="5.109375" customWidth="1"/>
  </cols>
  <sheetData>
    <row r="1" spans="1:73" s="243" customFormat="1" ht="18" x14ac:dyDescent="0.35">
      <c r="A1" s="40"/>
      <c r="B1" s="40" t="s">
        <v>28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</row>
    <row r="2" spans="1:73" s="243" customFormat="1" ht="38.4" customHeight="1" x14ac:dyDescent="0.35">
      <c r="A2" s="42"/>
      <c r="B2" s="42" t="s">
        <v>47</v>
      </c>
      <c r="C2" s="42" t="str">
        <f>+'Introducció dades generals'!E7&amp;" - "&amp;'Introducció dades generals'!E5</f>
        <v xml:space="preserve"> - 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</row>
    <row r="3" spans="1:73" s="243" customFormat="1" ht="6.6" customHeight="1" x14ac:dyDescent="0.3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</row>
    <row r="4" spans="1:73" s="245" customFormat="1" ht="54" customHeight="1" x14ac:dyDescent="0.35">
      <c r="A4" s="325"/>
      <c r="B4" s="395" t="s">
        <v>48</v>
      </c>
      <c r="C4" s="395" t="s">
        <v>49</v>
      </c>
      <c r="D4" s="395" t="s">
        <v>50</v>
      </c>
      <c r="E4" s="395" t="s">
        <v>51</v>
      </c>
      <c r="F4" s="395" t="s">
        <v>52</v>
      </c>
      <c r="G4" s="395" t="s">
        <v>53</v>
      </c>
      <c r="H4" s="395" t="s">
        <v>54</v>
      </c>
      <c r="I4" s="244" t="s">
        <v>240</v>
      </c>
      <c r="J4" s="244" t="s">
        <v>55</v>
      </c>
      <c r="K4" s="244" t="s">
        <v>56</v>
      </c>
      <c r="L4" s="244" t="s">
        <v>57</v>
      </c>
      <c r="M4" s="244" t="s">
        <v>58</v>
      </c>
      <c r="N4" s="244" t="s">
        <v>59</v>
      </c>
      <c r="O4" s="244" t="s">
        <v>60</v>
      </c>
      <c r="P4" s="325"/>
      <c r="Q4" s="326"/>
      <c r="R4" s="326"/>
      <c r="S4" s="326"/>
      <c r="T4" s="326"/>
      <c r="U4" s="326"/>
      <c r="V4" s="326"/>
      <c r="W4" s="326"/>
      <c r="X4" s="326"/>
      <c r="Y4" s="326"/>
      <c r="Z4" s="326"/>
      <c r="AA4" s="326"/>
      <c r="AB4" s="326"/>
      <c r="AC4" s="326"/>
      <c r="AD4" s="326"/>
      <c r="AE4" s="326"/>
      <c r="AF4" s="326"/>
      <c r="AG4" s="326"/>
      <c r="AH4" s="326"/>
      <c r="AI4" s="326"/>
      <c r="AJ4" s="326"/>
      <c r="AK4" s="326"/>
      <c r="AL4" s="326"/>
      <c r="AM4" s="326"/>
      <c r="AN4" s="326"/>
      <c r="AO4" s="326"/>
      <c r="AP4" s="326"/>
      <c r="AQ4" s="326"/>
      <c r="AR4" s="326"/>
      <c r="AS4" s="326"/>
      <c r="AT4" s="326"/>
      <c r="AU4" s="326"/>
      <c r="AV4" s="326"/>
      <c r="AW4" s="326"/>
      <c r="AX4" s="326"/>
      <c r="AY4" s="326"/>
      <c r="AZ4" s="326"/>
      <c r="BA4" s="326"/>
      <c r="BB4" s="326"/>
      <c r="BC4" s="326"/>
      <c r="BD4" s="326"/>
      <c r="BE4" s="326"/>
      <c r="BF4" s="326"/>
      <c r="BG4" s="326"/>
      <c r="BH4" s="326"/>
      <c r="BI4" s="326"/>
      <c r="BJ4" s="326"/>
      <c r="BK4" s="326"/>
      <c r="BL4" s="326"/>
      <c r="BM4" s="326"/>
      <c r="BN4" s="326"/>
      <c r="BO4" s="326"/>
      <c r="BP4" s="326"/>
      <c r="BQ4" s="326"/>
      <c r="BR4" s="326"/>
      <c r="BS4" s="326"/>
      <c r="BT4" s="326"/>
      <c r="BU4" s="326"/>
    </row>
    <row r="5" spans="1:73" ht="18" x14ac:dyDescent="0.35">
      <c r="A5" s="43"/>
      <c r="C5" s="393"/>
      <c r="E5" s="394"/>
      <c r="F5" s="394"/>
      <c r="G5" s="394"/>
      <c r="H5" s="8" t="s">
        <v>61</v>
      </c>
      <c r="I5" s="360">
        <f>+E5+G5</f>
        <v>0</v>
      </c>
      <c r="J5" s="361">
        <f t="shared" ref="J5:J68" si="0">+C5</f>
        <v>0</v>
      </c>
      <c r="K5" s="362">
        <f>+WEEKDAY(C5,2)</f>
        <v>6</v>
      </c>
      <c r="L5" s="362">
        <f>+IF((C5&gt;='Resultats - informe'!$E$16)*(C5&lt;='Resultats - informe'!$G$16),1,0)</f>
        <v>1</v>
      </c>
      <c r="M5" s="362" cm="1">
        <f t="array" ref="M5">+_xlfn.IFS((C5&gt;='Resultats - informe'!$D$26)*(C5&lt;='Resultats - informe'!$E$26),0,(C5&gt;='Resultats - informe'!$D$27)*(C5&lt;='Resultats - informe'!$E$27),0,(C5&gt;='Resultats - informe'!$D$28)*(C5&lt;='Resultats - informe'!$E$28),0,(C5&gt;='Resultats - informe'!$D$29)*(C5&lt;='Resultats - informe'!$E$29),0,1,1)</f>
        <v>0</v>
      </c>
      <c r="N5" s="362">
        <f>+VLOOKUP(D5,'Resultats - informe'!$Y$18:$AG$42,'Introducció dades consum'!K5+1,0)</f>
        <v>0</v>
      </c>
      <c r="O5" s="363" cm="1">
        <f t="array" ref="O5">+_xlfn.SWITCH(MONTH(C5),1,1,2,1,3,1,4,2,5,2,6,3,7,3,8,3,9,3,10,2,11,2,12,1,2)</f>
        <v>1</v>
      </c>
      <c r="P5" s="43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</row>
    <row r="6" spans="1:73" ht="18" x14ac:dyDescent="0.35">
      <c r="A6" s="43"/>
      <c r="C6" s="393"/>
      <c r="E6" s="394"/>
      <c r="F6" s="394"/>
      <c r="G6" s="394"/>
      <c r="H6" s="8" t="s">
        <v>61</v>
      </c>
      <c r="I6" s="364">
        <f t="shared" ref="I6:I69" si="1">+E6+G6</f>
        <v>0</v>
      </c>
      <c r="J6" s="365">
        <f t="shared" si="0"/>
        <v>0</v>
      </c>
      <c r="K6" s="366">
        <f t="shared" ref="K6:K69" si="2">+WEEKDAY(C6,2)</f>
        <v>6</v>
      </c>
      <c r="L6" s="366">
        <f>+IF((C6&gt;='Resultats - informe'!$E$16)*(C6&lt;='Resultats - informe'!$G$16),1,0)</f>
        <v>1</v>
      </c>
      <c r="M6" s="366" cm="1">
        <f t="array" ref="M6">+_xlfn.IFS((C6&gt;='Resultats - informe'!$D$26)*(C6&lt;='Resultats - informe'!$E$26),0,(C6&gt;='Resultats - informe'!$D$27)*(C6&lt;='Resultats - informe'!$E$27),0,(C6&gt;='Resultats - informe'!$D$28)*(C6&lt;='Resultats - informe'!$E$28),0,(C6&gt;='Resultats - informe'!$D$29)*(C6&lt;='Resultats - informe'!$E$29),0,1,1)</f>
        <v>0</v>
      </c>
      <c r="N6" s="366">
        <f>+VLOOKUP(D6,'Resultats - informe'!$Y$18:$AG$42,'Introducció dades consum'!K6+1,0)</f>
        <v>0</v>
      </c>
      <c r="O6" s="367" cm="1">
        <f t="array" ref="O6">+_xlfn.SWITCH(MONTH(C6),1,1,2,1,3,1,4,2,5,2,6,3,7,3,8,3,9,3,10,2,11,2,12,1,2)</f>
        <v>1</v>
      </c>
      <c r="P6" s="43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</row>
    <row r="7" spans="1:73" ht="18" x14ac:dyDescent="0.35">
      <c r="A7" s="43"/>
      <c r="C7" s="393"/>
      <c r="E7" s="394"/>
      <c r="F7" s="394"/>
      <c r="G7" s="394"/>
      <c r="H7" s="8" t="s">
        <v>61</v>
      </c>
      <c r="I7" s="364">
        <f t="shared" si="1"/>
        <v>0</v>
      </c>
      <c r="J7" s="365">
        <f t="shared" si="0"/>
        <v>0</v>
      </c>
      <c r="K7" s="366">
        <f t="shared" si="2"/>
        <v>6</v>
      </c>
      <c r="L7" s="366">
        <f>+IF((C7&gt;='Resultats - informe'!$E$16)*(C7&lt;='Resultats - informe'!$G$16),1,0)</f>
        <v>1</v>
      </c>
      <c r="M7" s="366" cm="1">
        <f t="array" ref="M7">+_xlfn.IFS((C7&gt;='Resultats - informe'!$D$26)*(C7&lt;='Resultats - informe'!$E$26),0,(C7&gt;='Resultats - informe'!$D$27)*(C7&lt;='Resultats - informe'!$E$27),0,(C7&gt;='Resultats - informe'!$D$28)*(C7&lt;='Resultats - informe'!$E$28),0,(C7&gt;='Resultats - informe'!$D$29)*(C7&lt;='Resultats - informe'!$E$29),0,1,1)</f>
        <v>0</v>
      </c>
      <c r="N7" s="366">
        <f>+VLOOKUP(D7,'Resultats - informe'!$Y$18:$AG$42,'Introducció dades consum'!K7+1,0)</f>
        <v>0</v>
      </c>
      <c r="O7" s="367" cm="1">
        <f t="array" ref="O7">+_xlfn.SWITCH(MONTH(C7),1,1,2,1,3,1,4,2,5,2,6,3,7,3,8,3,9,3,10,2,11,2,12,1,2)</f>
        <v>1</v>
      </c>
      <c r="P7" s="43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</row>
    <row r="8" spans="1:73" ht="18" x14ac:dyDescent="0.35">
      <c r="A8" s="43"/>
      <c r="C8" s="393"/>
      <c r="E8" s="394"/>
      <c r="F8" s="394"/>
      <c r="G8" s="394"/>
      <c r="H8" s="8" t="s">
        <v>61</v>
      </c>
      <c r="I8" s="364">
        <f t="shared" si="1"/>
        <v>0</v>
      </c>
      <c r="J8" s="365">
        <f t="shared" si="0"/>
        <v>0</v>
      </c>
      <c r="K8" s="366">
        <f t="shared" si="2"/>
        <v>6</v>
      </c>
      <c r="L8" s="366">
        <f>+IF((C8&gt;='Resultats - informe'!$E$16)*(C8&lt;='Resultats - informe'!$G$16),1,0)</f>
        <v>1</v>
      </c>
      <c r="M8" s="366" cm="1">
        <f t="array" ref="M8">+_xlfn.IFS((C8&gt;='Resultats - informe'!$D$26)*(C8&lt;='Resultats - informe'!$E$26),0,(C8&gt;='Resultats - informe'!$D$27)*(C8&lt;='Resultats - informe'!$E$27),0,(C8&gt;='Resultats - informe'!$D$28)*(C8&lt;='Resultats - informe'!$E$28),0,(C8&gt;='Resultats - informe'!$D$29)*(C8&lt;='Resultats - informe'!$E$29),0,1,1)</f>
        <v>0</v>
      </c>
      <c r="N8" s="366">
        <f>+VLOOKUP(D8,'Resultats - informe'!$Y$18:$AG$42,'Introducció dades consum'!K8+1,0)</f>
        <v>0</v>
      </c>
      <c r="O8" s="367" cm="1">
        <f t="array" ref="O8">+_xlfn.SWITCH(MONTH(C8),1,1,2,1,3,1,4,2,5,2,6,3,7,3,8,3,9,3,10,2,11,2,12,1,2)</f>
        <v>1</v>
      </c>
      <c r="P8" s="43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</row>
    <row r="9" spans="1:73" ht="18" x14ac:dyDescent="0.35">
      <c r="A9" s="43"/>
      <c r="C9" s="393"/>
      <c r="E9" s="394"/>
      <c r="F9" s="394"/>
      <c r="G9" s="394"/>
      <c r="H9" s="8" t="s">
        <v>61</v>
      </c>
      <c r="I9" s="364">
        <f t="shared" si="1"/>
        <v>0</v>
      </c>
      <c r="J9" s="365">
        <f t="shared" si="0"/>
        <v>0</v>
      </c>
      <c r="K9" s="366">
        <f t="shared" si="2"/>
        <v>6</v>
      </c>
      <c r="L9" s="366">
        <f>+IF((C9&gt;='Resultats - informe'!$E$16)*(C9&lt;='Resultats - informe'!$G$16),1,0)</f>
        <v>1</v>
      </c>
      <c r="M9" s="366" cm="1">
        <f t="array" ref="M9">+_xlfn.IFS((C9&gt;='Resultats - informe'!$D$26)*(C9&lt;='Resultats - informe'!$E$26),0,(C9&gt;='Resultats - informe'!$D$27)*(C9&lt;='Resultats - informe'!$E$27),0,(C9&gt;='Resultats - informe'!$D$28)*(C9&lt;='Resultats - informe'!$E$28),0,(C9&gt;='Resultats - informe'!$D$29)*(C9&lt;='Resultats - informe'!$E$29),0,1,1)</f>
        <v>0</v>
      </c>
      <c r="N9" s="366">
        <f>+VLOOKUP(D9,'Resultats - informe'!$Y$18:$AG$42,'Introducció dades consum'!K9+1,0)</f>
        <v>0</v>
      </c>
      <c r="O9" s="367" cm="1">
        <f t="array" ref="O9">+_xlfn.SWITCH(MONTH(C9),1,1,2,1,3,1,4,2,5,2,6,3,7,3,8,3,9,3,10,2,11,2,12,1,2)</f>
        <v>1</v>
      </c>
      <c r="P9" s="43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</row>
    <row r="10" spans="1:73" ht="18" x14ac:dyDescent="0.35">
      <c r="A10" s="43"/>
      <c r="C10" s="393"/>
      <c r="E10" s="394"/>
      <c r="F10" s="394"/>
      <c r="G10" s="394"/>
      <c r="H10" s="8" t="s">
        <v>61</v>
      </c>
      <c r="I10" s="364">
        <f t="shared" si="1"/>
        <v>0</v>
      </c>
      <c r="J10" s="365">
        <f t="shared" si="0"/>
        <v>0</v>
      </c>
      <c r="K10" s="366">
        <f t="shared" si="2"/>
        <v>6</v>
      </c>
      <c r="L10" s="366">
        <f>+IF((C10&gt;='Resultats - informe'!$E$16)*(C10&lt;='Resultats - informe'!$G$16),1,0)</f>
        <v>1</v>
      </c>
      <c r="M10" s="366" cm="1">
        <f t="array" ref="M10">+_xlfn.IFS((C10&gt;='Resultats - informe'!$D$26)*(C10&lt;='Resultats - informe'!$E$26),0,(C10&gt;='Resultats - informe'!$D$27)*(C10&lt;='Resultats - informe'!$E$27),0,(C10&gt;='Resultats - informe'!$D$28)*(C10&lt;='Resultats - informe'!$E$28),0,(C10&gt;='Resultats - informe'!$D$29)*(C10&lt;='Resultats - informe'!$E$29),0,1,1)</f>
        <v>0</v>
      </c>
      <c r="N10" s="366">
        <f>+VLOOKUP(D10,'Resultats - informe'!$Y$18:$AG$42,'Introducció dades consum'!K10+1,0)</f>
        <v>0</v>
      </c>
      <c r="O10" s="367" cm="1">
        <f t="array" ref="O10">+_xlfn.SWITCH(MONTH(C10),1,1,2,1,3,1,4,2,5,2,6,3,7,3,8,3,9,3,10,2,11,2,12,1,2)</f>
        <v>1</v>
      </c>
      <c r="P10" s="43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</row>
    <row r="11" spans="1:73" ht="18" x14ac:dyDescent="0.35">
      <c r="A11" s="43"/>
      <c r="C11" s="393"/>
      <c r="E11" s="394"/>
      <c r="F11" s="394"/>
      <c r="G11" s="394"/>
      <c r="H11" s="8" t="s">
        <v>61</v>
      </c>
      <c r="I11" s="364">
        <f t="shared" si="1"/>
        <v>0</v>
      </c>
      <c r="J11" s="365">
        <f t="shared" si="0"/>
        <v>0</v>
      </c>
      <c r="K11" s="366">
        <f t="shared" si="2"/>
        <v>6</v>
      </c>
      <c r="L11" s="366">
        <f>+IF((C11&gt;='Resultats - informe'!$E$16)*(C11&lt;='Resultats - informe'!$G$16),1,0)</f>
        <v>1</v>
      </c>
      <c r="M11" s="366" cm="1">
        <f t="array" ref="M11">+_xlfn.IFS((C11&gt;='Resultats - informe'!$D$26)*(C11&lt;='Resultats - informe'!$E$26),0,(C11&gt;='Resultats - informe'!$D$27)*(C11&lt;='Resultats - informe'!$E$27),0,(C11&gt;='Resultats - informe'!$D$28)*(C11&lt;='Resultats - informe'!$E$28),0,(C11&gt;='Resultats - informe'!$D$29)*(C11&lt;='Resultats - informe'!$E$29),0,1,1)</f>
        <v>0</v>
      </c>
      <c r="N11" s="366">
        <f>+VLOOKUP(D11,'Resultats - informe'!$Y$18:$AG$42,'Introducció dades consum'!K11+1,0)</f>
        <v>0</v>
      </c>
      <c r="O11" s="367" cm="1">
        <f t="array" ref="O11">+_xlfn.SWITCH(MONTH(C11),1,1,2,1,3,1,4,2,5,2,6,3,7,3,8,3,9,3,10,2,11,2,12,1,2)</f>
        <v>1</v>
      </c>
      <c r="P11" s="43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</row>
    <row r="12" spans="1:73" ht="18" x14ac:dyDescent="0.35">
      <c r="A12" s="43"/>
      <c r="C12" s="393"/>
      <c r="E12" s="394"/>
      <c r="F12" s="394"/>
      <c r="G12" s="394"/>
      <c r="H12" s="8" t="s">
        <v>61</v>
      </c>
      <c r="I12" s="364">
        <f t="shared" si="1"/>
        <v>0</v>
      </c>
      <c r="J12" s="365">
        <f t="shared" si="0"/>
        <v>0</v>
      </c>
      <c r="K12" s="366">
        <f t="shared" si="2"/>
        <v>6</v>
      </c>
      <c r="L12" s="366">
        <f>+IF((C12&gt;='Resultats - informe'!$E$16)*(C12&lt;='Resultats - informe'!$G$16),1,0)</f>
        <v>1</v>
      </c>
      <c r="M12" s="366" cm="1">
        <f t="array" ref="M12">+_xlfn.IFS((C12&gt;='Resultats - informe'!$D$26)*(C12&lt;='Resultats - informe'!$E$26),0,(C12&gt;='Resultats - informe'!$D$27)*(C12&lt;='Resultats - informe'!$E$27),0,(C12&gt;='Resultats - informe'!$D$28)*(C12&lt;='Resultats - informe'!$E$28),0,(C12&gt;='Resultats - informe'!$D$29)*(C12&lt;='Resultats - informe'!$E$29),0,1,1)</f>
        <v>0</v>
      </c>
      <c r="N12" s="366">
        <f>+VLOOKUP(D12,'Resultats - informe'!$Y$18:$AG$42,'Introducció dades consum'!K12+1,0)</f>
        <v>0</v>
      </c>
      <c r="O12" s="367" cm="1">
        <f t="array" ref="O12">+_xlfn.SWITCH(MONTH(C12),1,1,2,1,3,1,4,2,5,2,6,3,7,3,8,3,9,3,10,2,11,2,12,1,2)</f>
        <v>1</v>
      </c>
      <c r="P12" s="43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</row>
    <row r="13" spans="1:73" ht="18" x14ac:dyDescent="0.35">
      <c r="A13" s="43"/>
      <c r="C13" s="393"/>
      <c r="E13" s="394"/>
      <c r="F13" s="394"/>
      <c r="G13" s="394"/>
      <c r="H13" s="8" t="s">
        <v>61</v>
      </c>
      <c r="I13" s="364">
        <f t="shared" si="1"/>
        <v>0</v>
      </c>
      <c r="J13" s="365">
        <f t="shared" si="0"/>
        <v>0</v>
      </c>
      <c r="K13" s="366">
        <f t="shared" si="2"/>
        <v>6</v>
      </c>
      <c r="L13" s="366">
        <f>+IF((C13&gt;='Resultats - informe'!$E$16)*(C13&lt;='Resultats - informe'!$G$16),1,0)</f>
        <v>1</v>
      </c>
      <c r="M13" s="366" cm="1">
        <f t="array" ref="M13">+_xlfn.IFS((C13&gt;='Resultats - informe'!$D$26)*(C13&lt;='Resultats - informe'!$E$26),0,(C13&gt;='Resultats - informe'!$D$27)*(C13&lt;='Resultats - informe'!$E$27),0,(C13&gt;='Resultats - informe'!$D$28)*(C13&lt;='Resultats - informe'!$E$28),0,(C13&gt;='Resultats - informe'!$D$29)*(C13&lt;='Resultats - informe'!$E$29),0,1,1)</f>
        <v>0</v>
      </c>
      <c r="N13" s="366">
        <f>+VLOOKUP(D13,'Resultats - informe'!$Y$18:$AG$42,'Introducció dades consum'!K13+1,0)</f>
        <v>0</v>
      </c>
      <c r="O13" s="367" cm="1">
        <f t="array" ref="O13">+_xlfn.SWITCH(MONTH(C13),1,1,2,1,3,1,4,2,5,2,6,3,7,3,8,3,9,3,10,2,11,2,12,1,2)</f>
        <v>1</v>
      </c>
      <c r="P13" s="43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</row>
    <row r="14" spans="1:73" ht="18" x14ac:dyDescent="0.35">
      <c r="A14" s="43"/>
      <c r="C14" s="393"/>
      <c r="E14" s="394"/>
      <c r="F14" s="394"/>
      <c r="G14" s="394"/>
      <c r="H14" s="8" t="s">
        <v>61</v>
      </c>
      <c r="I14" s="364">
        <f t="shared" si="1"/>
        <v>0</v>
      </c>
      <c r="J14" s="365">
        <f t="shared" si="0"/>
        <v>0</v>
      </c>
      <c r="K14" s="366">
        <f t="shared" si="2"/>
        <v>6</v>
      </c>
      <c r="L14" s="366">
        <f>+IF((C14&gt;='Resultats - informe'!$E$16)*(C14&lt;='Resultats - informe'!$G$16),1,0)</f>
        <v>1</v>
      </c>
      <c r="M14" s="366" cm="1">
        <f t="array" ref="M14">+_xlfn.IFS((C14&gt;='Resultats - informe'!$D$26)*(C14&lt;='Resultats - informe'!$E$26),0,(C14&gt;='Resultats - informe'!$D$27)*(C14&lt;='Resultats - informe'!$E$27),0,(C14&gt;='Resultats - informe'!$D$28)*(C14&lt;='Resultats - informe'!$E$28),0,(C14&gt;='Resultats - informe'!$D$29)*(C14&lt;='Resultats - informe'!$E$29),0,1,1)</f>
        <v>0</v>
      </c>
      <c r="N14" s="366">
        <f>+VLOOKUP(D14,'Resultats - informe'!$Y$18:$AG$42,'Introducció dades consum'!K14+1,0)</f>
        <v>0</v>
      </c>
      <c r="O14" s="367" cm="1">
        <f t="array" ref="O14">+_xlfn.SWITCH(MONTH(C14),1,1,2,1,3,1,4,2,5,2,6,3,7,3,8,3,9,3,10,2,11,2,12,1,2)</f>
        <v>1</v>
      </c>
      <c r="P14" s="43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</row>
    <row r="15" spans="1:73" ht="18" x14ac:dyDescent="0.35">
      <c r="A15" s="43"/>
      <c r="C15" s="393"/>
      <c r="E15" s="394"/>
      <c r="F15" s="394"/>
      <c r="G15" s="394"/>
      <c r="H15" s="8" t="s">
        <v>61</v>
      </c>
      <c r="I15" s="364">
        <f t="shared" si="1"/>
        <v>0</v>
      </c>
      <c r="J15" s="365">
        <f t="shared" si="0"/>
        <v>0</v>
      </c>
      <c r="K15" s="366">
        <f t="shared" si="2"/>
        <v>6</v>
      </c>
      <c r="L15" s="366">
        <f>+IF((C15&gt;='Resultats - informe'!$E$16)*(C15&lt;='Resultats - informe'!$G$16),1,0)</f>
        <v>1</v>
      </c>
      <c r="M15" s="366" cm="1">
        <f t="array" ref="M15">+_xlfn.IFS((C15&gt;='Resultats - informe'!$D$26)*(C15&lt;='Resultats - informe'!$E$26),0,(C15&gt;='Resultats - informe'!$D$27)*(C15&lt;='Resultats - informe'!$E$27),0,(C15&gt;='Resultats - informe'!$D$28)*(C15&lt;='Resultats - informe'!$E$28),0,(C15&gt;='Resultats - informe'!$D$29)*(C15&lt;='Resultats - informe'!$E$29),0,1,1)</f>
        <v>0</v>
      </c>
      <c r="N15" s="366">
        <f>+VLOOKUP(D15,'Resultats - informe'!$Y$18:$AG$42,'Introducció dades consum'!K15+1,0)</f>
        <v>0</v>
      </c>
      <c r="O15" s="367" cm="1">
        <f t="array" ref="O15">+_xlfn.SWITCH(MONTH(C15),1,1,2,1,3,1,4,2,5,2,6,3,7,3,8,3,9,3,10,2,11,2,12,1,2)</f>
        <v>1</v>
      </c>
      <c r="P15" s="43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</row>
    <row r="16" spans="1:73" ht="18" x14ac:dyDescent="0.35">
      <c r="A16" s="43"/>
      <c r="C16" s="393"/>
      <c r="E16" s="394"/>
      <c r="F16" s="394"/>
      <c r="G16" s="394"/>
      <c r="H16" s="8" t="s">
        <v>61</v>
      </c>
      <c r="I16" s="364">
        <f t="shared" si="1"/>
        <v>0</v>
      </c>
      <c r="J16" s="365">
        <f t="shared" si="0"/>
        <v>0</v>
      </c>
      <c r="K16" s="366">
        <f t="shared" si="2"/>
        <v>6</v>
      </c>
      <c r="L16" s="366">
        <f>+IF((C16&gt;='Resultats - informe'!$E$16)*(C16&lt;='Resultats - informe'!$G$16),1,0)</f>
        <v>1</v>
      </c>
      <c r="M16" s="366" cm="1">
        <f t="array" ref="M16">+_xlfn.IFS((C16&gt;='Resultats - informe'!$D$26)*(C16&lt;='Resultats - informe'!$E$26),0,(C16&gt;='Resultats - informe'!$D$27)*(C16&lt;='Resultats - informe'!$E$27),0,(C16&gt;='Resultats - informe'!$D$28)*(C16&lt;='Resultats - informe'!$E$28),0,(C16&gt;='Resultats - informe'!$D$29)*(C16&lt;='Resultats - informe'!$E$29),0,1,1)</f>
        <v>0</v>
      </c>
      <c r="N16" s="366">
        <f>+VLOOKUP(D16,'Resultats - informe'!$Y$18:$AG$42,'Introducció dades consum'!K16+1,0)</f>
        <v>0</v>
      </c>
      <c r="O16" s="367" cm="1">
        <f t="array" ref="O16">+_xlfn.SWITCH(MONTH(C16),1,1,2,1,3,1,4,2,5,2,6,3,7,3,8,3,9,3,10,2,11,2,12,1,2)</f>
        <v>1</v>
      </c>
      <c r="P16" s="43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</row>
    <row r="17" spans="1:73" ht="18" x14ac:dyDescent="0.35">
      <c r="A17" s="43"/>
      <c r="C17" s="393"/>
      <c r="E17" s="394"/>
      <c r="F17" s="394"/>
      <c r="G17" s="394"/>
      <c r="H17" s="8" t="s">
        <v>61</v>
      </c>
      <c r="I17" s="364">
        <f t="shared" si="1"/>
        <v>0</v>
      </c>
      <c r="J17" s="365">
        <f t="shared" si="0"/>
        <v>0</v>
      </c>
      <c r="K17" s="366">
        <f t="shared" si="2"/>
        <v>6</v>
      </c>
      <c r="L17" s="366">
        <f>+IF((C17&gt;='Resultats - informe'!$E$16)*(C17&lt;='Resultats - informe'!$G$16),1,0)</f>
        <v>1</v>
      </c>
      <c r="M17" s="366" cm="1">
        <f t="array" ref="M17">+_xlfn.IFS((C17&gt;='Resultats - informe'!$D$26)*(C17&lt;='Resultats - informe'!$E$26),0,(C17&gt;='Resultats - informe'!$D$27)*(C17&lt;='Resultats - informe'!$E$27),0,(C17&gt;='Resultats - informe'!$D$28)*(C17&lt;='Resultats - informe'!$E$28),0,(C17&gt;='Resultats - informe'!$D$29)*(C17&lt;='Resultats - informe'!$E$29),0,1,1)</f>
        <v>0</v>
      </c>
      <c r="N17" s="366">
        <f>+VLOOKUP(D17,'Resultats - informe'!$Y$18:$AG$42,'Introducció dades consum'!K17+1,0)</f>
        <v>0</v>
      </c>
      <c r="O17" s="367" cm="1">
        <f t="array" ref="O17">+_xlfn.SWITCH(MONTH(C17),1,1,2,1,3,1,4,2,5,2,6,3,7,3,8,3,9,3,10,2,11,2,12,1,2)</f>
        <v>1</v>
      </c>
      <c r="P17" s="43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</row>
    <row r="18" spans="1:73" ht="18" x14ac:dyDescent="0.35">
      <c r="A18" s="43"/>
      <c r="C18" s="393"/>
      <c r="E18" s="394"/>
      <c r="F18" s="394"/>
      <c r="G18" s="394"/>
      <c r="H18" s="8" t="s">
        <v>61</v>
      </c>
      <c r="I18" s="364">
        <f t="shared" si="1"/>
        <v>0</v>
      </c>
      <c r="J18" s="365">
        <f t="shared" si="0"/>
        <v>0</v>
      </c>
      <c r="K18" s="366">
        <f t="shared" si="2"/>
        <v>6</v>
      </c>
      <c r="L18" s="366">
        <f>+IF((C18&gt;='Resultats - informe'!$E$16)*(C18&lt;='Resultats - informe'!$G$16),1,0)</f>
        <v>1</v>
      </c>
      <c r="M18" s="366" cm="1">
        <f t="array" ref="M18">+_xlfn.IFS((C18&gt;='Resultats - informe'!$D$26)*(C18&lt;='Resultats - informe'!$E$26),0,(C18&gt;='Resultats - informe'!$D$27)*(C18&lt;='Resultats - informe'!$E$27),0,(C18&gt;='Resultats - informe'!$D$28)*(C18&lt;='Resultats - informe'!$E$28),0,(C18&gt;='Resultats - informe'!$D$29)*(C18&lt;='Resultats - informe'!$E$29),0,1,1)</f>
        <v>0</v>
      </c>
      <c r="N18" s="366">
        <f>+VLOOKUP(D18,'Resultats - informe'!$Y$18:$AG$42,'Introducció dades consum'!K18+1,0)</f>
        <v>0</v>
      </c>
      <c r="O18" s="367" cm="1">
        <f t="array" ref="O18">+_xlfn.SWITCH(MONTH(C18),1,1,2,1,3,1,4,2,5,2,6,3,7,3,8,3,9,3,10,2,11,2,12,1,2)</f>
        <v>1</v>
      </c>
      <c r="P18" s="43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</row>
    <row r="19" spans="1:73" ht="18" x14ac:dyDescent="0.35">
      <c r="A19" s="43"/>
      <c r="C19" s="393"/>
      <c r="E19" s="394"/>
      <c r="F19" s="394"/>
      <c r="G19" s="394"/>
      <c r="H19" s="8" t="s">
        <v>61</v>
      </c>
      <c r="I19" s="364">
        <f t="shared" si="1"/>
        <v>0</v>
      </c>
      <c r="J19" s="365">
        <f t="shared" si="0"/>
        <v>0</v>
      </c>
      <c r="K19" s="366">
        <f t="shared" si="2"/>
        <v>6</v>
      </c>
      <c r="L19" s="366">
        <f>+IF((C19&gt;='Resultats - informe'!$E$16)*(C19&lt;='Resultats - informe'!$G$16),1,0)</f>
        <v>1</v>
      </c>
      <c r="M19" s="366" cm="1">
        <f t="array" ref="M19">+_xlfn.IFS((C19&gt;='Resultats - informe'!$D$26)*(C19&lt;='Resultats - informe'!$E$26),0,(C19&gt;='Resultats - informe'!$D$27)*(C19&lt;='Resultats - informe'!$E$27),0,(C19&gt;='Resultats - informe'!$D$28)*(C19&lt;='Resultats - informe'!$E$28),0,(C19&gt;='Resultats - informe'!$D$29)*(C19&lt;='Resultats - informe'!$E$29),0,1,1)</f>
        <v>0</v>
      </c>
      <c r="N19" s="366">
        <f>+VLOOKUP(D19,'Resultats - informe'!$Y$18:$AG$42,'Introducció dades consum'!K19+1,0)</f>
        <v>0</v>
      </c>
      <c r="O19" s="367" cm="1">
        <f t="array" ref="O19">+_xlfn.SWITCH(MONTH(C19),1,1,2,1,3,1,4,2,5,2,6,3,7,3,8,3,9,3,10,2,11,2,12,1,2)</f>
        <v>1</v>
      </c>
      <c r="P19" s="43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</row>
    <row r="20" spans="1:73" ht="18" x14ac:dyDescent="0.35">
      <c r="A20" s="43"/>
      <c r="C20" s="393"/>
      <c r="E20" s="394"/>
      <c r="F20" s="394"/>
      <c r="G20" s="394"/>
      <c r="H20" s="8" t="s">
        <v>61</v>
      </c>
      <c r="I20" s="364">
        <f t="shared" si="1"/>
        <v>0</v>
      </c>
      <c r="J20" s="365">
        <f t="shared" si="0"/>
        <v>0</v>
      </c>
      <c r="K20" s="366">
        <f t="shared" si="2"/>
        <v>6</v>
      </c>
      <c r="L20" s="366">
        <f>+IF((C20&gt;='Resultats - informe'!$E$16)*(C20&lt;='Resultats - informe'!$G$16),1,0)</f>
        <v>1</v>
      </c>
      <c r="M20" s="366" cm="1">
        <f t="array" ref="M20">+_xlfn.IFS((C20&gt;='Resultats - informe'!$D$26)*(C20&lt;='Resultats - informe'!$E$26),0,(C20&gt;='Resultats - informe'!$D$27)*(C20&lt;='Resultats - informe'!$E$27),0,(C20&gt;='Resultats - informe'!$D$28)*(C20&lt;='Resultats - informe'!$E$28),0,(C20&gt;='Resultats - informe'!$D$29)*(C20&lt;='Resultats - informe'!$E$29),0,1,1)</f>
        <v>0</v>
      </c>
      <c r="N20" s="366">
        <f>+VLOOKUP(D20,'Resultats - informe'!$Y$18:$AG$42,'Introducció dades consum'!K20+1,0)</f>
        <v>0</v>
      </c>
      <c r="O20" s="367" cm="1">
        <f t="array" ref="O20">+_xlfn.SWITCH(MONTH(C20),1,1,2,1,3,1,4,2,5,2,6,3,7,3,8,3,9,3,10,2,11,2,12,1,2)</f>
        <v>1</v>
      </c>
      <c r="P20" s="43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</row>
    <row r="21" spans="1:73" ht="18" x14ac:dyDescent="0.35">
      <c r="A21" s="43"/>
      <c r="C21" s="393"/>
      <c r="E21" s="394"/>
      <c r="F21" s="394"/>
      <c r="G21" s="394"/>
      <c r="H21" s="8" t="s">
        <v>61</v>
      </c>
      <c r="I21" s="364">
        <f t="shared" si="1"/>
        <v>0</v>
      </c>
      <c r="J21" s="365">
        <f t="shared" si="0"/>
        <v>0</v>
      </c>
      <c r="K21" s="366">
        <f t="shared" si="2"/>
        <v>6</v>
      </c>
      <c r="L21" s="366">
        <f>+IF((C21&gt;='Resultats - informe'!$E$16)*(C21&lt;='Resultats - informe'!$G$16),1,0)</f>
        <v>1</v>
      </c>
      <c r="M21" s="366" cm="1">
        <f t="array" ref="M21">+_xlfn.IFS((C21&gt;='Resultats - informe'!$D$26)*(C21&lt;='Resultats - informe'!$E$26),0,(C21&gt;='Resultats - informe'!$D$27)*(C21&lt;='Resultats - informe'!$E$27),0,(C21&gt;='Resultats - informe'!$D$28)*(C21&lt;='Resultats - informe'!$E$28),0,(C21&gt;='Resultats - informe'!$D$29)*(C21&lt;='Resultats - informe'!$E$29),0,1,1)</f>
        <v>0</v>
      </c>
      <c r="N21" s="366">
        <f>+VLOOKUP(D21,'Resultats - informe'!$Y$18:$AG$42,'Introducció dades consum'!K21+1,0)</f>
        <v>0</v>
      </c>
      <c r="O21" s="367" cm="1">
        <f t="array" ref="O21">+_xlfn.SWITCH(MONTH(C21),1,1,2,1,3,1,4,2,5,2,6,3,7,3,8,3,9,3,10,2,11,2,12,1,2)</f>
        <v>1</v>
      </c>
      <c r="P21" s="43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</row>
    <row r="22" spans="1:73" ht="18" x14ac:dyDescent="0.35">
      <c r="A22" s="43"/>
      <c r="C22" s="393"/>
      <c r="E22" s="394"/>
      <c r="F22" s="394"/>
      <c r="G22" s="394"/>
      <c r="H22" s="8" t="s">
        <v>61</v>
      </c>
      <c r="I22" s="364">
        <f t="shared" si="1"/>
        <v>0</v>
      </c>
      <c r="J22" s="365">
        <f t="shared" si="0"/>
        <v>0</v>
      </c>
      <c r="K22" s="366">
        <f t="shared" si="2"/>
        <v>6</v>
      </c>
      <c r="L22" s="366">
        <f>+IF((C22&gt;='Resultats - informe'!$E$16)*(C22&lt;='Resultats - informe'!$G$16),1,0)</f>
        <v>1</v>
      </c>
      <c r="M22" s="366" cm="1">
        <f t="array" ref="M22">+_xlfn.IFS((C22&gt;='Resultats - informe'!$D$26)*(C22&lt;='Resultats - informe'!$E$26),0,(C22&gt;='Resultats - informe'!$D$27)*(C22&lt;='Resultats - informe'!$E$27),0,(C22&gt;='Resultats - informe'!$D$28)*(C22&lt;='Resultats - informe'!$E$28),0,(C22&gt;='Resultats - informe'!$D$29)*(C22&lt;='Resultats - informe'!$E$29),0,1,1)</f>
        <v>0</v>
      </c>
      <c r="N22" s="366">
        <f>+VLOOKUP(D22,'Resultats - informe'!$Y$18:$AG$42,'Introducció dades consum'!K22+1,0)</f>
        <v>0</v>
      </c>
      <c r="O22" s="367" cm="1">
        <f t="array" ref="O22">+_xlfn.SWITCH(MONTH(C22),1,1,2,1,3,1,4,2,5,2,6,3,7,3,8,3,9,3,10,2,11,2,12,1,2)</f>
        <v>1</v>
      </c>
      <c r="P22" s="43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</row>
    <row r="23" spans="1:73" ht="18" x14ac:dyDescent="0.35">
      <c r="A23" s="43"/>
      <c r="C23" s="393"/>
      <c r="E23" s="394"/>
      <c r="F23" s="394"/>
      <c r="G23" s="394"/>
      <c r="H23" s="8" t="s">
        <v>61</v>
      </c>
      <c r="I23" s="364">
        <f t="shared" si="1"/>
        <v>0</v>
      </c>
      <c r="J23" s="365">
        <f t="shared" si="0"/>
        <v>0</v>
      </c>
      <c r="K23" s="366">
        <f t="shared" si="2"/>
        <v>6</v>
      </c>
      <c r="L23" s="366">
        <f>+IF((C23&gt;='Resultats - informe'!$E$16)*(C23&lt;='Resultats - informe'!$G$16),1,0)</f>
        <v>1</v>
      </c>
      <c r="M23" s="366" cm="1">
        <f t="array" ref="M23">+_xlfn.IFS((C23&gt;='Resultats - informe'!$D$26)*(C23&lt;='Resultats - informe'!$E$26),0,(C23&gt;='Resultats - informe'!$D$27)*(C23&lt;='Resultats - informe'!$E$27),0,(C23&gt;='Resultats - informe'!$D$28)*(C23&lt;='Resultats - informe'!$E$28),0,(C23&gt;='Resultats - informe'!$D$29)*(C23&lt;='Resultats - informe'!$E$29),0,1,1)</f>
        <v>0</v>
      </c>
      <c r="N23" s="366">
        <f>+VLOOKUP(D23,'Resultats - informe'!$Y$18:$AG$42,'Introducció dades consum'!K23+1,0)</f>
        <v>0</v>
      </c>
      <c r="O23" s="367" cm="1">
        <f t="array" ref="O23">+_xlfn.SWITCH(MONTH(C23),1,1,2,1,3,1,4,2,5,2,6,3,7,3,8,3,9,3,10,2,11,2,12,1,2)</f>
        <v>1</v>
      </c>
      <c r="P23" s="43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</row>
    <row r="24" spans="1:73" ht="18" x14ac:dyDescent="0.35">
      <c r="A24" s="43"/>
      <c r="C24" s="393"/>
      <c r="E24" s="394"/>
      <c r="F24" s="394"/>
      <c r="G24" s="394"/>
      <c r="H24" s="8" t="s">
        <v>61</v>
      </c>
      <c r="I24" s="364">
        <f t="shared" si="1"/>
        <v>0</v>
      </c>
      <c r="J24" s="365">
        <f t="shared" si="0"/>
        <v>0</v>
      </c>
      <c r="K24" s="366">
        <f t="shared" si="2"/>
        <v>6</v>
      </c>
      <c r="L24" s="366">
        <f>+IF((C24&gt;='Resultats - informe'!$E$16)*(C24&lt;='Resultats - informe'!$G$16),1,0)</f>
        <v>1</v>
      </c>
      <c r="M24" s="366" cm="1">
        <f t="array" ref="M24">+_xlfn.IFS((C24&gt;='Resultats - informe'!$D$26)*(C24&lt;='Resultats - informe'!$E$26),0,(C24&gt;='Resultats - informe'!$D$27)*(C24&lt;='Resultats - informe'!$E$27),0,(C24&gt;='Resultats - informe'!$D$28)*(C24&lt;='Resultats - informe'!$E$28),0,(C24&gt;='Resultats - informe'!$D$29)*(C24&lt;='Resultats - informe'!$E$29),0,1,1)</f>
        <v>0</v>
      </c>
      <c r="N24" s="366">
        <f>+VLOOKUP(D24,'Resultats - informe'!$Y$18:$AG$42,'Introducció dades consum'!K24+1,0)</f>
        <v>0</v>
      </c>
      <c r="O24" s="367" cm="1">
        <f t="array" ref="O24">+_xlfn.SWITCH(MONTH(C24),1,1,2,1,3,1,4,2,5,2,6,3,7,3,8,3,9,3,10,2,11,2,12,1,2)</f>
        <v>1</v>
      </c>
      <c r="P24" s="43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</row>
    <row r="25" spans="1:73" ht="18" x14ac:dyDescent="0.35">
      <c r="A25" s="43"/>
      <c r="C25" s="393"/>
      <c r="E25" s="394"/>
      <c r="F25" s="394"/>
      <c r="G25" s="394"/>
      <c r="H25" s="8" t="s">
        <v>61</v>
      </c>
      <c r="I25" s="364">
        <f t="shared" si="1"/>
        <v>0</v>
      </c>
      <c r="J25" s="365">
        <f t="shared" si="0"/>
        <v>0</v>
      </c>
      <c r="K25" s="366">
        <f t="shared" si="2"/>
        <v>6</v>
      </c>
      <c r="L25" s="366">
        <f>+IF((C25&gt;='Resultats - informe'!$E$16)*(C25&lt;='Resultats - informe'!$G$16),1,0)</f>
        <v>1</v>
      </c>
      <c r="M25" s="366" cm="1">
        <f t="array" ref="M25">+_xlfn.IFS((C25&gt;='Resultats - informe'!$D$26)*(C25&lt;='Resultats - informe'!$E$26),0,(C25&gt;='Resultats - informe'!$D$27)*(C25&lt;='Resultats - informe'!$E$27),0,(C25&gt;='Resultats - informe'!$D$28)*(C25&lt;='Resultats - informe'!$E$28),0,(C25&gt;='Resultats - informe'!$D$29)*(C25&lt;='Resultats - informe'!$E$29),0,1,1)</f>
        <v>0</v>
      </c>
      <c r="N25" s="366">
        <f>+VLOOKUP(D25,'Resultats - informe'!$Y$18:$AG$42,'Introducció dades consum'!K25+1,0)</f>
        <v>0</v>
      </c>
      <c r="O25" s="367" cm="1">
        <f t="array" ref="O25">+_xlfn.SWITCH(MONTH(C25),1,1,2,1,3,1,4,2,5,2,6,3,7,3,8,3,9,3,10,2,11,2,12,1,2)</f>
        <v>1</v>
      </c>
      <c r="P25" s="43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</row>
    <row r="26" spans="1:73" ht="18" x14ac:dyDescent="0.35">
      <c r="A26" s="43"/>
      <c r="C26" s="393"/>
      <c r="E26" s="394"/>
      <c r="F26" s="394"/>
      <c r="G26" s="394"/>
      <c r="H26" s="8" t="s">
        <v>61</v>
      </c>
      <c r="I26" s="364">
        <f t="shared" si="1"/>
        <v>0</v>
      </c>
      <c r="J26" s="365">
        <f t="shared" si="0"/>
        <v>0</v>
      </c>
      <c r="K26" s="366">
        <f t="shared" si="2"/>
        <v>6</v>
      </c>
      <c r="L26" s="366">
        <f>+IF((C26&gt;='Resultats - informe'!$E$16)*(C26&lt;='Resultats - informe'!$G$16),1,0)</f>
        <v>1</v>
      </c>
      <c r="M26" s="366" cm="1">
        <f t="array" ref="M26">+_xlfn.IFS((C26&gt;='Resultats - informe'!$D$26)*(C26&lt;='Resultats - informe'!$E$26),0,(C26&gt;='Resultats - informe'!$D$27)*(C26&lt;='Resultats - informe'!$E$27),0,(C26&gt;='Resultats - informe'!$D$28)*(C26&lt;='Resultats - informe'!$E$28),0,(C26&gt;='Resultats - informe'!$D$29)*(C26&lt;='Resultats - informe'!$E$29),0,1,1)</f>
        <v>0</v>
      </c>
      <c r="N26" s="366">
        <f>+VLOOKUP(D26,'Resultats - informe'!$Y$18:$AG$42,'Introducció dades consum'!K26+1,0)</f>
        <v>0</v>
      </c>
      <c r="O26" s="367" cm="1">
        <f t="array" ref="O26">+_xlfn.SWITCH(MONTH(C26),1,1,2,1,3,1,4,2,5,2,6,3,7,3,8,3,9,3,10,2,11,2,12,1,2)</f>
        <v>1</v>
      </c>
      <c r="P26" s="43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</row>
    <row r="27" spans="1:73" ht="18" x14ac:dyDescent="0.35">
      <c r="A27" s="43"/>
      <c r="C27" s="393"/>
      <c r="E27" s="394"/>
      <c r="F27" s="394"/>
      <c r="G27" s="394"/>
      <c r="H27" s="8" t="s">
        <v>61</v>
      </c>
      <c r="I27" s="364">
        <f t="shared" si="1"/>
        <v>0</v>
      </c>
      <c r="J27" s="365">
        <f t="shared" si="0"/>
        <v>0</v>
      </c>
      <c r="K27" s="366">
        <f t="shared" si="2"/>
        <v>6</v>
      </c>
      <c r="L27" s="366">
        <f>+IF((C27&gt;='Resultats - informe'!$E$16)*(C27&lt;='Resultats - informe'!$G$16),1,0)</f>
        <v>1</v>
      </c>
      <c r="M27" s="366" cm="1">
        <f t="array" ref="M27">+_xlfn.IFS((C27&gt;='Resultats - informe'!$D$26)*(C27&lt;='Resultats - informe'!$E$26),0,(C27&gt;='Resultats - informe'!$D$27)*(C27&lt;='Resultats - informe'!$E$27),0,(C27&gt;='Resultats - informe'!$D$28)*(C27&lt;='Resultats - informe'!$E$28),0,(C27&gt;='Resultats - informe'!$D$29)*(C27&lt;='Resultats - informe'!$E$29),0,1,1)</f>
        <v>0</v>
      </c>
      <c r="N27" s="366">
        <f>+VLOOKUP(D27,'Resultats - informe'!$Y$18:$AG$42,'Introducció dades consum'!K27+1,0)</f>
        <v>0</v>
      </c>
      <c r="O27" s="367" cm="1">
        <f t="array" ref="O27">+_xlfn.SWITCH(MONTH(C27),1,1,2,1,3,1,4,2,5,2,6,3,7,3,8,3,9,3,10,2,11,2,12,1,2)</f>
        <v>1</v>
      </c>
      <c r="P27" s="43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</row>
    <row r="28" spans="1:73" ht="18" x14ac:dyDescent="0.35">
      <c r="A28" s="43"/>
      <c r="C28" s="393"/>
      <c r="E28" s="394"/>
      <c r="F28" s="394"/>
      <c r="G28" s="394"/>
      <c r="H28" s="8" t="s">
        <v>61</v>
      </c>
      <c r="I28" s="364">
        <f t="shared" si="1"/>
        <v>0</v>
      </c>
      <c r="J28" s="365">
        <f t="shared" si="0"/>
        <v>0</v>
      </c>
      <c r="K28" s="366">
        <f t="shared" si="2"/>
        <v>6</v>
      </c>
      <c r="L28" s="366">
        <f>+IF((C28&gt;='Resultats - informe'!$E$16)*(C28&lt;='Resultats - informe'!$G$16),1,0)</f>
        <v>1</v>
      </c>
      <c r="M28" s="366" cm="1">
        <f t="array" ref="M28">+_xlfn.IFS((C28&gt;='Resultats - informe'!$D$26)*(C28&lt;='Resultats - informe'!$E$26),0,(C28&gt;='Resultats - informe'!$D$27)*(C28&lt;='Resultats - informe'!$E$27),0,(C28&gt;='Resultats - informe'!$D$28)*(C28&lt;='Resultats - informe'!$E$28),0,(C28&gt;='Resultats - informe'!$D$29)*(C28&lt;='Resultats - informe'!$E$29),0,1,1)</f>
        <v>0</v>
      </c>
      <c r="N28" s="366">
        <f>+VLOOKUP(D28,'Resultats - informe'!$Y$18:$AG$42,'Introducció dades consum'!K28+1,0)</f>
        <v>0</v>
      </c>
      <c r="O28" s="367" cm="1">
        <f t="array" ref="O28">+_xlfn.SWITCH(MONTH(C28),1,1,2,1,3,1,4,2,5,2,6,3,7,3,8,3,9,3,10,2,11,2,12,1,2)</f>
        <v>1</v>
      </c>
      <c r="P28" s="43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</row>
    <row r="29" spans="1:73" ht="18" x14ac:dyDescent="0.35">
      <c r="A29" s="43"/>
      <c r="C29" s="393"/>
      <c r="E29" s="394"/>
      <c r="F29" s="394"/>
      <c r="G29" s="394"/>
      <c r="H29" s="8" t="s">
        <v>61</v>
      </c>
      <c r="I29" s="364">
        <f t="shared" si="1"/>
        <v>0</v>
      </c>
      <c r="J29" s="365">
        <f t="shared" si="0"/>
        <v>0</v>
      </c>
      <c r="K29" s="366">
        <f t="shared" si="2"/>
        <v>6</v>
      </c>
      <c r="L29" s="366">
        <f>+IF((C29&gt;='Resultats - informe'!$E$16)*(C29&lt;='Resultats - informe'!$G$16),1,0)</f>
        <v>1</v>
      </c>
      <c r="M29" s="366" cm="1">
        <f t="array" ref="M29">+_xlfn.IFS((C29&gt;='Resultats - informe'!$D$26)*(C29&lt;='Resultats - informe'!$E$26),0,(C29&gt;='Resultats - informe'!$D$27)*(C29&lt;='Resultats - informe'!$E$27),0,(C29&gt;='Resultats - informe'!$D$28)*(C29&lt;='Resultats - informe'!$E$28),0,(C29&gt;='Resultats - informe'!$D$29)*(C29&lt;='Resultats - informe'!$E$29),0,1,1)</f>
        <v>0</v>
      </c>
      <c r="N29" s="366">
        <f>+VLOOKUP(D29,'Resultats - informe'!$Y$18:$AG$42,'Introducció dades consum'!K29+1,0)</f>
        <v>0</v>
      </c>
      <c r="O29" s="367" cm="1">
        <f t="array" ref="O29">+_xlfn.SWITCH(MONTH(C29),1,1,2,1,3,1,4,2,5,2,6,3,7,3,8,3,9,3,10,2,11,2,12,1,2)</f>
        <v>1</v>
      </c>
      <c r="P29" s="43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</row>
    <row r="30" spans="1:73" ht="18" x14ac:dyDescent="0.35">
      <c r="A30" s="43"/>
      <c r="C30" s="393"/>
      <c r="E30" s="394"/>
      <c r="F30" s="394"/>
      <c r="G30" s="394"/>
      <c r="H30" s="8" t="s">
        <v>61</v>
      </c>
      <c r="I30" s="364">
        <f t="shared" si="1"/>
        <v>0</v>
      </c>
      <c r="J30" s="365">
        <f t="shared" si="0"/>
        <v>0</v>
      </c>
      <c r="K30" s="366">
        <f t="shared" si="2"/>
        <v>6</v>
      </c>
      <c r="L30" s="366">
        <f>+IF((C30&gt;='Resultats - informe'!$E$16)*(C30&lt;='Resultats - informe'!$G$16),1,0)</f>
        <v>1</v>
      </c>
      <c r="M30" s="366" cm="1">
        <f t="array" ref="M30">+_xlfn.IFS((C30&gt;='Resultats - informe'!$D$26)*(C30&lt;='Resultats - informe'!$E$26),0,(C30&gt;='Resultats - informe'!$D$27)*(C30&lt;='Resultats - informe'!$E$27),0,(C30&gt;='Resultats - informe'!$D$28)*(C30&lt;='Resultats - informe'!$E$28),0,(C30&gt;='Resultats - informe'!$D$29)*(C30&lt;='Resultats - informe'!$E$29),0,1,1)</f>
        <v>0</v>
      </c>
      <c r="N30" s="366">
        <f>+VLOOKUP(D30,'Resultats - informe'!$Y$18:$AG$42,'Introducció dades consum'!K30+1,0)</f>
        <v>0</v>
      </c>
      <c r="O30" s="367" cm="1">
        <f t="array" ref="O30">+_xlfn.SWITCH(MONTH(C30),1,1,2,1,3,1,4,2,5,2,6,3,7,3,8,3,9,3,10,2,11,2,12,1,2)</f>
        <v>1</v>
      </c>
      <c r="P30" s="43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</row>
    <row r="31" spans="1:73" ht="18" x14ac:dyDescent="0.35">
      <c r="A31" s="43"/>
      <c r="C31" s="393"/>
      <c r="E31" s="394"/>
      <c r="F31" s="394"/>
      <c r="G31" s="394"/>
      <c r="H31" s="8" t="s">
        <v>61</v>
      </c>
      <c r="I31" s="364">
        <f t="shared" si="1"/>
        <v>0</v>
      </c>
      <c r="J31" s="365">
        <f t="shared" si="0"/>
        <v>0</v>
      </c>
      <c r="K31" s="366">
        <f t="shared" si="2"/>
        <v>6</v>
      </c>
      <c r="L31" s="366">
        <f>+IF((C31&gt;='Resultats - informe'!$E$16)*(C31&lt;='Resultats - informe'!$G$16),1,0)</f>
        <v>1</v>
      </c>
      <c r="M31" s="366" cm="1">
        <f t="array" ref="M31">+_xlfn.IFS((C31&gt;='Resultats - informe'!$D$26)*(C31&lt;='Resultats - informe'!$E$26),0,(C31&gt;='Resultats - informe'!$D$27)*(C31&lt;='Resultats - informe'!$E$27),0,(C31&gt;='Resultats - informe'!$D$28)*(C31&lt;='Resultats - informe'!$E$28),0,(C31&gt;='Resultats - informe'!$D$29)*(C31&lt;='Resultats - informe'!$E$29),0,1,1)</f>
        <v>0</v>
      </c>
      <c r="N31" s="366">
        <f>+VLOOKUP(D31,'Resultats - informe'!$Y$18:$AG$42,'Introducció dades consum'!K31+1,0)</f>
        <v>0</v>
      </c>
      <c r="O31" s="367" cm="1">
        <f t="array" ref="O31">+_xlfn.SWITCH(MONTH(C31),1,1,2,1,3,1,4,2,5,2,6,3,7,3,8,3,9,3,10,2,11,2,12,1,2)</f>
        <v>1</v>
      </c>
      <c r="P31" s="43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</row>
    <row r="32" spans="1:73" ht="18" x14ac:dyDescent="0.35">
      <c r="A32" s="43"/>
      <c r="C32" s="393"/>
      <c r="E32" s="394"/>
      <c r="F32" s="394"/>
      <c r="G32" s="394"/>
      <c r="H32" s="8" t="s">
        <v>61</v>
      </c>
      <c r="I32" s="364">
        <f t="shared" si="1"/>
        <v>0</v>
      </c>
      <c r="J32" s="365">
        <f t="shared" si="0"/>
        <v>0</v>
      </c>
      <c r="K32" s="366">
        <f t="shared" si="2"/>
        <v>6</v>
      </c>
      <c r="L32" s="366">
        <f>+IF((C32&gt;='Resultats - informe'!$E$16)*(C32&lt;='Resultats - informe'!$G$16),1,0)</f>
        <v>1</v>
      </c>
      <c r="M32" s="366" cm="1">
        <f t="array" ref="M32">+_xlfn.IFS((C32&gt;='Resultats - informe'!$D$26)*(C32&lt;='Resultats - informe'!$E$26),0,(C32&gt;='Resultats - informe'!$D$27)*(C32&lt;='Resultats - informe'!$E$27),0,(C32&gt;='Resultats - informe'!$D$28)*(C32&lt;='Resultats - informe'!$E$28),0,(C32&gt;='Resultats - informe'!$D$29)*(C32&lt;='Resultats - informe'!$E$29),0,1,1)</f>
        <v>0</v>
      </c>
      <c r="N32" s="366">
        <f>+VLOOKUP(D32,'Resultats - informe'!$Y$18:$AG$42,'Introducció dades consum'!K32+1,0)</f>
        <v>0</v>
      </c>
      <c r="O32" s="367" cm="1">
        <f t="array" ref="O32">+_xlfn.SWITCH(MONTH(C32),1,1,2,1,3,1,4,2,5,2,6,3,7,3,8,3,9,3,10,2,11,2,12,1,2)</f>
        <v>1</v>
      </c>
      <c r="P32" s="43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</row>
    <row r="33" spans="1:73" ht="18" x14ac:dyDescent="0.35">
      <c r="A33" s="43"/>
      <c r="C33" s="393"/>
      <c r="E33" s="394"/>
      <c r="F33" s="394"/>
      <c r="G33" s="394"/>
      <c r="H33" s="8" t="s">
        <v>61</v>
      </c>
      <c r="I33" s="364">
        <f t="shared" si="1"/>
        <v>0</v>
      </c>
      <c r="J33" s="365">
        <f t="shared" si="0"/>
        <v>0</v>
      </c>
      <c r="K33" s="366">
        <f t="shared" si="2"/>
        <v>6</v>
      </c>
      <c r="L33" s="366">
        <f>+IF((C33&gt;='Resultats - informe'!$E$16)*(C33&lt;='Resultats - informe'!$G$16),1,0)</f>
        <v>1</v>
      </c>
      <c r="M33" s="366" cm="1">
        <f t="array" ref="M33">+_xlfn.IFS((C33&gt;='Resultats - informe'!$D$26)*(C33&lt;='Resultats - informe'!$E$26),0,(C33&gt;='Resultats - informe'!$D$27)*(C33&lt;='Resultats - informe'!$E$27),0,(C33&gt;='Resultats - informe'!$D$28)*(C33&lt;='Resultats - informe'!$E$28),0,(C33&gt;='Resultats - informe'!$D$29)*(C33&lt;='Resultats - informe'!$E$29),0,1,1)</f>
        <v>0</v>
      </c>
      <c r="N33" s="366">
        <f>+VLOOKUP(D33,'Resultats - informe'!$Y$18:$AG$42,'Introducció dades consum'!K33+1,0)</f>
        <v>0</v>
      </c>
      <c r="O33" s="367" cm="1">
        <f t="array" ref="O33">+_xlfn.SWITCH(MONTH(C33),1,1,2,1,3,1,4,2,5,2,6,3,7,3,8,3,9,3,10,2,11,2,12,1,2)</f>
        <v>1</v>
      </c>
      <c r="P33" s="43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</row>
    <row r="34" spans="1:73" ht="18" x14ac:dyDescent="0.35">
      <c r="A34" s="43"/>
      <c r="C34" s="393"/>
      <c r="E34" s="394"/>
      <c r="F34" s="394"/>
      <c r="G34" s="394"/>
      <c r="H34" s="8" t="s">
        <v>61</v>
      </c>
      <c r="I34" s="364">
        <f t="shared" si="1"/>
        <v>0</v>
      </c>
      <c r="J34" s="365">
        <f t="shared" si="0"/>
        <v>0</v>
      </c>
      <c r="K34" s="366">
        <f t="shared" si="2"/>
        <v>6</v>
      </c>
      <c r="L34" s="366">
        <f>+IF((C34&gt;='Resultats - informe'!$E$16)*(C34&lt;='Resultats - informe'!$G$16),1,0)</f>
        <v>1</v>
      </c>
      <c r="M34" s="366" cm="1">
        <f t="array" ref="M34">+_xlfn.IFS((C34&gt;='Resultats - informe'!$D$26)*(C34&lt;='Resultats - informe'!$E$26),0,(C34&gt;='Resultats - informe'!$D$27)*(C34&lt;='Resultats - informe'!$E$27),0,(C34&gt;='Resultats - informe'!$D$28)*(C34&lt;='Resultats - informe'!$E$28),0,(C34&gt;='Resultats - informe'!$D$29)*(C34&lt;='Resultats - informe'!$E$29),0,1,1)</f>
        <v>0</v>
      </c>
      <c r="N34" s="366">
        <f>+VLOOKUP(D34,'Resultats - informe'!$Y$18:$AG$42,'Introducció dades consum'!K34+1,0)</f>
        <v>0</v>
      </c>
      <c r="O34" s="367" cm="1">
        <f t="array" ref="O34">+_xlfn.SWITCH(MONTH(C34),1,1,2,1,3,1,4,2,5,2,6,3,7,3,8,3,9,3,10,2,11,2,12,1,2)</f>
        <v>1</v>
      </c>
      <c r="P34" s="43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</row>
    <row r="35" spans="1:73" ht="18" x14ac:dyDescent="0.35">
      <c r="A35" s="43"/>
      <c r="C35" s="393"/>
      <c r="E35" s="394"/>
      <c r="F35" s="394"/>
      <c r="G35" s="394"/>
      <c r="H35" s="8" t="s">
        <v>61</v>
      </c>
      <c r="I35" s="364">
        <f t="shared" si="1"/>
        <v>0</v>
      </c>
      <c r="J35" s="365">
        <f t="shared" si="0"/>
        <v>0</v>
      </c>
      <c r="K35" s="366">
        <f t="shared" si="2"/>
        <v>6</v>
      </c>
      <c r="L35" s="366">
        <f>+IF((C35&gt;='Resultats - informe'!$E$16)*(C35&lt;='Resultats - informe'!$G$16),1,0)</f>
        <v>1</v>
      </c>
      <c r="M35" s="366" cm="1">
        <f t="array" ref="M35">+_xlfn.IFS((C35&gt;='Resultats - informe'!$D$26)*(C35&lt;='Resultats - informe'!$E$26),0,(C35&gt;='Resultats - informe'!$D$27)*(C35&lt;='Resultats - informe'!$E$27),0,(C35&gt;='Resultats - informe'!$D$28)*(C35&lt;='Resultats - informe'!$E$28),0,(C35&gt;='Resultats - informe'!$D$29)*(C35&lt;='Resultats - informe'!$E$29),0,1,1)</f>
        <v>0</v>
      </c>
      <c r="N35" s="366">
        <f>+VLOOKUP(D35,'Resultats - informe'!$Y$18:$AG$42,'Introducció dades consum'!K35+1,0)</f>
        <v>0</v>
      </c>
      <c r="O35" s="367" cm="1">
        <f t="array" ref="O35">+_xlfn.SWITCH(MONTH(C35),1,1,2,1,3,1,4,2,5,2,6,3,7,3,8,3,9,3,10,2,11,2,12,1,2)</f>
        <v>1</v>
      </c>
      <c r="P35" s="43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</row>
    <row r="36" spans="1:73" ht="18" x14ac:dyDescent="0.35">
      <c r="A36" s="43"/>
      <c r="C36" s="393"/>
      <c r="E36" s="394"/>
      <c r="F36" s="394"/>
      <c r="G36" s="394"/>
      <c r="H36" s="8" t="s">
        <v>61</v>
      </c>
      <c r="I36" s="364">
        <f t="shared" si="1"/>
        <v>0</v>
      </c>
      <c r="J36" s="365">
        <f t="shared" si="0"/>
        <v>0</v>
      </c>
      <c r="K36" s="366">
        <f t="shared" si="2"/>
        <v>6</v>
      </c>
      <c r="L36" s="366">
        <f>+IF((C36&gt;='Resultats - informe'!$E$16)*(C36&lt;='Resultats - informe'!$G$16),1,0)</f>
        <v>1</v>
      </c>
      <c r="M36" s="366" cm="1">
        <f t="array" ref="M36">+_xlfn.IFS((C36&gt;='Resultats - informe'!$D$26)*(C36&lt;='Resultats - informe'!$E$26),0,(C36&gt;='Resultats - informe'!$D$27)*(C36&lt;='Resultats - informe'!$E$27),0,(C36&gt;='Resultats - informe'!$D$28)*(C36&lt;='Resultats - informe'!$E$28),0,(C36&gt;='Resultats - informe'!$D$29)*(C36&lt;='Resultats - informe'!$E$29),0,1,1)</f>
        <v>0</v>
      </c>
      <c r="N36" s="366">
        <f>+VLOOKUP(D36,'Resultats - informe'!$Y$18:$AG$42,'Introducció dades consum'!K36+1,0)</f>
        <v>0</v>
      </c>
      <c r="O36" s="367" cm="1">
        <f t="array" ref="O36">+_xlfn.SWITCH(MONTH(C36),1,1,2,1,3,1,4,2,5,2,6,3,7,3,8,3,9,3,10,2,11,2,12,1,2)</f>
        <v>1</v>
      </c>
      <c r="P36" s="43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</row>
    <row r="37" spans="1:73" ht="18" x14ac:dyDescent="0.35">
      <c r="A37" s="43"/>
      <c r="C37" s="393"/>
      <c r="E37" s="394"/>
      <c r="F37" s="394"/>
      <c r="G37" s="394"/>
      <c r="H37" s="8" t="s">
        <v>61</v>
      </c>
      <c r="I37" s="364">
        <f t="shared" si="1"/>
        <v>0</v>
      </c>
      <c r="J37" s="365">
        <f t="shared" si="0"/>
        <v>0</v>
      </c>
      <c r="K37" s="366">
        <f t="shared" si="2"/>
        <v>6</v>
      </c>
      <c r="L37" s="366">
        <f>+IF((C37&gt;='Resultats - informe'!$E$16)*(C37&lt;='Resultats - informe'!$G$16),1,0)</f>
        <v>1</v>
      </c>
      <c r="M37" s="366" cm="1">
        <f t="array" ref="M37">+_xlfn.IFS((C37&gt;='Resultats - informe'!$D$26)*(C37&lt;='Resultats - informe'!$E$26),0,(C37&gt;='Resultats - informe'!$D$27)*(C37&lt;='Resultats - informe'!$E$27),0,(C37&gt;='Resultats - informe'!$D$28)*(C37&lt;='Resultats - informe'!$E$28),0,(C37&gt;='Resultats - informe'!$D$29)*(C37&lt;='Resultats - informe'!$E$29),0,1,1)</f>
        <v>0</v>
      </c>
      <c r="N37" s="366">
        <f>+VLOOKUP(D37,'Resultats - informe'!$Y$18:$AG$42,'Introducció dades consum'!K37+1,0)</f>
        <v>0</v>
      </c>
      <c r="O37" s="367" cm="1">
        <f t="array" ref="O37">+_xlfn.SWITCH(MONTH(C37),1,1,2,1,3,1,4,2,5,2,6,3,7,3,8,3,9,3,10,2,11,2,12,1,2)</f>
        <v>1</v>
      </c>
      <c r="P37" s="43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</row>
    <row r="38" spans="1:73" ht="18" x14ac:dyDescent="0.35">
      <c r="A38" s="43"/>
      <c r="C38" s="393"/>
      <c r="E38" s="394"/>
      <c r="F38" s="394"/>
      <c r="G38" s="394"/>
      <c r="H38" s="8" t="s">
        <v>61</v>
      </c>
      <c r="I38" s="364">
        <f t="shared" si="1"/>
        <v>0</v>
      </c>
      <c r="J38" s="365">
        <f t="shared" si="0"/>
        <v>0</v>
      </c>
      <c r="K38" s="366">
        <f t="shared" si="2"/>
        <v>6</v>
      </c>
      <c r="L38" s="366">
        <f>+IF((C38&gt;='Resultats - informe'!$E$16)*(C38&lt;='Resultats - informe'!$G$16),1,0)</f>
        <v>1</v>
      </c>
      <c r="M38" s="366" cm="1">
        <f t="array" ref="M38">+_xlfn.IFS((C38&gt;='Resultats - informe'!$D$26)*(C38&lt;='Resultats - informe'!$E$26),0,(C38&gt;='Resultats - informe'!$D$27)*(C38&lt;='Resultats - informe'!$E$27),0,(C38&gt;='Resultats - informe'!$D$28)*(C38&lt;='Resultats - informe'!$E$28),0,(C38&gt;='Resultats - informe'!$D$29)*(C38&lt;='Resultats - informe'!$E$29),0,1,1)</f>
        <v>0</v>
      </c>
      <c r="N38" s="366">
        <f>+VLOOKUP(D38,'Resultats - informe'!$Y$18:$AG$42,'Introducció dades consum'!K38+1,0)</f>
        <v>0</v>
      </c>
      <c r="O38" s="367" cm="1">
        <f t="array" ref="O38">+_xlfn.SWITCH(MONTH(C38),1,1,2,1,3,1,4,2,5,2,6,3,7,3,8,3,9,3,10,2,11,2,12,1,2)</f>
        <v>1</v>
      </c>
      <c r="P38" s="43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</row>
    <row r="39" spans="1:73" ht="18" x14ac:dyDescent="0.35">
      <c r="A39" s="43"/>
      <c r="C39" s="393"/>
      <c r="E39" s="394"/>
      <c r="F39" s="394"/>
      <c r="G39" s="394"/>
      <c r="H39" s="8" t="s">
        <v>61</v>
      </c>
      <c r="I39" s="364">
        <f t="shared" si="1"/>
        <v>0</v>
      </c>
      <c r="J39" s="365">
        <f t="shared" si="0"/>
        <v>0</v>
      </c>
      <c r="K39" s="366">
        <f t="shared" si="2"/>
        <v>6</v>
      </c>
      <c r="L39" s="366">
        <f>+IF((C39&gt;='Resultats - informe'!$E$16)*(C39&lt;='Resultats - informe'!$G$16),1,0)</f>
        <v>1</v>
      </c>
      <c r="M39" s="366" cm="1">
        <f t="array" ref="M39">+_xlfn.IFS((C39&gt;='Resultats - informe'!$D$26)*(C39&lt;='Resultats - informe'!$E$26),0,(C39&gt;='Resultats - informe'!$D$27)*(C39&lt;='Resultats - informe'!$E$27),0,(C39&gt;='Resultats - informe'!$D$28)*(C39&lt;='Resultats - informe'!$E$28),0,(C39&gt;='Resultats - informe'!$D$29)*(C39&lt;='Resultats - informe'!$E$29),0,1,1)</f>
        <v>0</v>
      </c>
      <c r="N39" s="366">
        <f>+VLOOKUP(D39,'Resultats - informe'!$Y$18:$AG$42,'Introducció dades consum'!K39+1,0)</f>
        <v>0</v>
      </c>
      <c r="O39" s="367" cm="1">
        <f t="array" ref="O39">+_xlfn.SWITCH(MONTH(C39),1,1,2,1,3,1,4,2,5,2,6,3,7,3,8,3,9,3,10,2,11,2,12,1,2)</f>
        <v>1</v>
      </c>
      <c r="P39" s="43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</row>
    <row r="40" spans="1:73" ht="18" x14ac:dyDescent="0.35">
      <c r="A40" s="43"/>
      <c r="C40" s="393"/>
      <c r="E40" s="394"/>
      <c r="F40" s="394"/>
      <c r="G40" s="394"/>
      <c r="H40" s="8" t="s">
        <v>61</v>
      </c>
      <c r="I40" s="364">
        <f t="shared" si="1"/>
        <v>0</v>
      </c>
      <c r="J40" s="365">
        <f t="shared" si="0"/>
        <v>0</v>
      </c>
      <c r="K40" s="366">
        <f t="shared" si="2"/>
        <v>6</v>
      </c>
      <c r="L40" s="366">
        <f>+IF((C40&gt;='Resultats - informe'!$E$16)*(C40&lt;='Resultats - informe'!$G$16),1,0)</f>
        <v>1</v>
      </c>
      <c r="M40" s="366" cm="1">
        <f t="array" ref="M40">+_xlfn.IFS((C40&gt;='Resultats - informe'!$D$26)*(C40&lt;='Resultats - informe'!$E$26),0,(C40&gt;='Resultats - informe'!$D$27)*(C40&lt;='Resultats - informe'!$E$27),0,(C40&gt;='Resultats - informe'!$D$28)*(C40&lt;='Resultats - informe'!$E$28),0,(C40&gt;='Resultats - informe'!$D$29)*(C40&lt;='Resultats - informe'!$E$29),0,1,1)</f>
        <v>0</v>
      </c>
      <c r="N40" s="366">
        <f>+VLOOKUP(D40,'Resultats - informe'!$Y$18:$AG$42,'Introducció dades consum'!K40+1,0)</f>
        <v>0</v>
      </c>
      <c r="O40" s="367" cm="1">
        <f t="array" ref="O40">+_xlfn.SWITCH(MONTH(C40),1,1,2,1,3,1,4,2,5,2,6,3,7,3,8,3,9,3,10,2,11,2,12,1,2)</f>
        <v>1</v>
      </c>
      <c r="P40" s="43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</row>
    <row r="41" spans="1:73" ht="18" x14ac:dyDescent="0.35">
      <c r="A41" s="43"/>
      <c r="C41" s="393"/>
      <c r="E41" s="394"/>
      <c r="F41" s="394"/>
      <c r="G41" s="394"/>
      <c r="H41" s="8" t="s">
        <v>61</v>
      </c>
      <c r="I41" s="364">
        <f t="shared" si="1"/>
        <v>0</v>
      </c>
      <c r="J41" s="365">
        <f t="shared" si="0"/>
        <v>0</v>
      </c>
      <c r="K41" s="366">
        <f t="shared" si="2"/>
        <v>6</v>
      </c>
      <c r="L41" s="366">
        <f>+IF((C41&gt;='Resultats - informe'!$E$16)*(C41&lt;='Resultats - informe'!$G$16),1,0)</f>
        <v>1</v>
      </c>
      <c r="M41" s="366" cm="1">
        <f t="array" ref="M41">+_xlfn.IFS((C41&gt;='Resultats - informe'!$D$26)*(C41&lt;='Resultats - informe'!$E$26),0,(C41&gt;='Resultats - informe'!$D$27)*(C41&lt;='Resultats - informe'!$E$27),0,(C41&gt;='Resultats - informe'!$D$28)*(C41&lt;='Resultats - informe'!$E$28),0,(C41&gt;='Resultats - informe'!$D$29)*(C41&lt;='Resultats - informe'!$E$29),0,1,1)</f>
        <v>0</v>
      </c>
      <c r="N41" s="366">
        <f>+VLOOKUP(D41,'Resultats - informe'!$Y$18:$AG$42,'Introducció dades consum'!K41+1,0)</f>
        <v>0</v>
      </c>
      <c r="O41" s="367" cm="1">
        <f t="array" ref="O41">+_xlfn.SWITCH(MONTH(C41),1,1,2,1,3,1,4,2,5,2,6,3,7,3,8,3,9,3,10,2,11,2,12,1,2)</f>
        <v>1</v>
      </c>
      <c r="P41" s="43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</row>
    <row r="42" spans="1:73" ht="18" x14ac:dyDescent="0.35">
      <c r="A42" s="43"/>
      <c r="C42" s="393"/>
      <c r="E42" s="394"/>
      <c r="F42" s="394"/>
      <c r="G42" s="394"/>
      <c r="H42" s="8" t="s">
        <v>61</v>
      </c>
      <c r="I42" s="364">
        <f t="shared" si="1"/>
        <v>0</v>
      </c>
      <c r="J42" s="365">
        <f t="shared" si="0"/>
        <v>0</v>
      </c>
      <c r="K42" s="366">
        <f t="shared" si="2"/>
        <v>6</v>
      </c>
      <c r="L42" s="366">
        <f>+IF((C42&gt;='Resultats - informe'!$E$16)*(C42&lt;='Resultats - informe'!$G$16),1,0)</f>
        <v>1</v>
      </c>
      <c r="M42" s="366" cm="1">
        <f t="array" ref="M42">+_xlfn.IFS((C42&gt;='Resultats - informe'!$D$26)*(C42&lt;='Resultats - informe'!$E$26),0,(C42&gt;='Resultats - informe'!$D$27)*(C42&lt;='Resultats - informe'!$E$27),0,(C42&gt;='Resultats - informe'!$D$28)*(C42&lt;='Resultats - informe'!$E$28),0,(C42&gt;='Resultats - informe'!$D$29)*(C42&lt;='Resultats - informe'!$E$29),0,1,1)</f>
        <v>0</v>
      </c>
      <c r="N42" s="366">
        <f>+VLOOKUP(D42,'Resultats - informe'!$Y$18:$AG$42,'Introducció dades consum'!K42+1,0)</f>
        <v>0</v>
      </c>
      <c r="O42" s="367" cm="1">
        <f t="array" ref="O42">+_xlfn.SWITCH(MONTH(C42),1,1,2,1,3,1,4,2,5,2,6,3,7,3,8,3,9,3,10,2,11,2,12,1,2)</f>
        <v>1</v>
      </c>
      <c r="P42" s="43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</row>
    <row r="43" spans="1:73" ht="18" x14ac:dyDescent="0.35">
      <c r="A43" s="43"/>
      <c r="C43" s="393"/>
      <c r="E43" s="394"/>
      <c r="F43" s="394"/>
      <c r="G43" s="394"/>
      <c r="H43" s="8" t="s">
        <v>61</v>
      </c>
      <c r="I43" s="364">
        <f t="shared" si="1"/>
        <v>0</v>
      </c>
      <c r="J43" s="365">
        <f t="shared" si="0"/>
        <v>0</v>
      </c>
      <c r="K43" s="366">
        <f t="shared" si="2"/>
        <v>6</v>
      </c>
      <c r="L43" s="366">
        <f>+IF((C43&gt;='Resultats - informe'!$E$16)*(C43&lt;='Resultats - informe'!$G$16),1,0)</f>
        <v>1</v>
      </c>
      <c r="M43" s="366" cm="1">
        <f t="array" ref="M43">+_xlfn.IFS((C43&gt;='Resultats - informe'!$D$26)*(C43&lt;='Resultats - informe'!$E$26),0,(C43&gt;='Resultats - informe'!$D$27)*(C43&lt;='Resultats - informe'!$E$27),0,(C43&gt;='Resultats - informe'!$D$28)*(C43&lt;='Resultats - informe'!$E$28),0,(C43&gt;='Resultats - informe'!$D$29)*(C43&lt;='Resultats - informe'!$E$29),0,1,1)</f>
        <v>0</v>
      </c>
      <c r="N43" s="366">
        <f>+VLOOKUP(D43,'Resultats - informe'!$Y$18:$AG$42,'Introducció dades consum'!K43+1,0)</f>
        <v>0</v>
      </c>
      <c r="O43" s="367" cm="1">
        <f t="array" ref="O43">+_xlfn.SWITCH(MONTH(C43),1,1,2,1,3,1,4,2,5,2,6,3,7,3,8,3,9,3,10,2,11,2,12,1,2)</f>
        <v>1</v>
      </c>
      <c r="P43" s="43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</row>
    <row r="44" spans="1:73" ht="18" x14ac:dyDescent="0.35">
      <c r="A44" s="43"/>
      <c r="C44" s="393"/>
      <c r="E44" s="394"/>
      <c r="F44" s="394"/>
      <c r="G44" s="394"/>
      <c r="H44" s="8" t="s">
        <v>61</v>
      </c>
      <c r="I44" s="364">
        <f t="shared" si="1"/>
        <v>0</v>
      </c>
      <c r="J44" s="365">
        <f t="shared" si="0"/>
        <v>0</v>
      </c>
      <c r="K44" s="366">
        <f t="shared" si="2"/>
        <v>6</v>
      </c>
      <c r="L44" s="366">
        <f>+IF((C44&gt;='Resultats - informe'!$E$16)*(C44&lt;='Resultats - informe'!$G$16),1,0)</f>
        <v>1</v>
      </c>
      <c r="M44" s="366" cm="1">
        <f t="array" ref="M44">+_xlfn.IFS((C44&gt;='Resultats - informe'!$D$26)*(C44&lt;='Resultats - informe'!$E$26),0,(C44&gt;='Resultats - informe'!$D$27)*(C44&lt;='Resultats - informe'!$E$27),0,(C44&gt;='Resultats - informe'!$D$28)*(C44&lt;='Resultats - informe'!$E$28),0,(C44&gt;='Resultats - informe'!$D$29)*(C44&lt;='Resultats - informe'!$E$29),0,1,1)</f>
        <v>0</v>
      </c>
      <c r="N44" s="366">
        <f>+VLOOKUP(D44,'Resultats - informe'!$Y$18:$AG$42,'Introducció dades consum'!K44+1,0)</f>
        <v>0</v>
      </c>
      <c r="O44" s="367" cm="1">
        <f t="array" ref="O44">+_xlfn.SWITCH(MONTH(C44),1,1,2,1,3,1,4,2,5,2,6,3,7,3,8,3,9,3,10,2,11,2,12,1,2)</f>
        <v>1</v>
      </c>
      <c r="P44" s="43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</row>
    <row r="45" spans="1:73" ht="18" x14ac:dyDescent="0.35">
      <c r="A45" s="43"/>
      <c r="C45" s="393"/>
      <c r="E45" s="394"/>
      <c r="F45" s="394"/>
      <c r="G45" s="394"/>
      <c r="H45" s="8" t="s">
        <v>61</v>
      </c>
      <c r="I45" s="364">
        <f t="shared" si="1"/>
        <v>0</v>
      </c>
      <c r="J45" s="365">
        <f t="shared" si="0"/>
        <v>0</v>
      </c>
      <c r="K45" s="366">
        <f t="shared" si="2"/>
        <v>6</v>
      </c>
      <c r="L45" s="366">
        <f>+IF((C45&gt;='Resultats - informe'!$E$16)*(C45&lt;='Resultats - informe'!$G$16),1,0)</f>
        <v>1</v>
      </c>
      <c r="M45" s="366" cm="1">
        <f t="array" ref="M45">+_xlfn.IFS((C45&gt;='Resultats - informe'!$D$26)*(C45&lt;='Resultats - informe'!$E$26),0,(C45&gt;='Resultats - informe'!$D$27)*(C45&lt;='Resultats - informe'!$E$27),0,(C45&gt;='Resultats - informe'!$D$28)*(C45&lt;='Resultats - informe'!$E$28),0,(C45&gt;='Resultats - informe'!$D$29)*(C45&lt;='Resultats - informe'!$E$29),0,1,1)</f>
        <v>0</v>
      </c>
      <c r="N45" s="366">
        <f>+VLOOKUP(D45,'Resultats - informe'!$Y$18:$AG$42,'Introducció dades consum'!K45+1,0)</f>
        <v>0</v>
      </c>
      <c r="O45" s="367" cm="1">
        <f t="array" ref="O45">+_xlfn.SWITCH(MONTH(C45),1,1,2,1,3,1,4,2,5,2,6,3,7,3,8,3,9,3,10,2,11,2,12,1,2)</f>
        <v>1</v>
      </c>
      <c r="P45" s="43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</row>
    <row r="46" spans="1:73" ht="18" x14ac:dyDescent="0.35">
      <c r="A46" s="43"/>
      <c r="C46" s="393"/>
      <c r="E46" s="394"/>
      <c r="F46" s="394"/>
      <c r="G46" s="394"/>
      <c r="H46" s="8" t="s">
        <v>61</v>
      </c>
      <c r="I46" s="364">
        <f t="shared" si="1"/>
        <v>0</v>
      </c>
      <c r="J46" s="365">
        <f t="shared" si="0"/>
        <v>0</v>
      </c>
      <c r="K46" s="366">
        <f t="shared" si="2"/>
        <v>6</v>
      </c>
      <c r="L46" s="366">
        <f>+IF((C46&gt;='Resultats - informe'!$E$16)*(C46&lt;='Resultats - informe'!$G$16),1,0)</f>
        <v>1</v>
      </c>
      <c r="M46" s="366" cm="1">
        <f t="array" ref="M46">+_xlfn.IFS((C46&gt;='Resultats - informe'!$D$26)*(C46&lt;='Resultats - informe'!$E$26),0,(C46&gt;='Resultats - informe'!$D$27)*(C46&lt;='Resultats - informe'!$E$27),0,(C46&gt;='Resultats - informe'!$D$28)*(C46&lt;='Resultats - informe'!$E$28),0,(C46&gt;='Resultats - informe'!$D$29)*(C46&lt;='Resultats - informe'!$E$29),0,1,1)</f>
        <v>0</v>
      </c>
      <c r="N46" s="366">
        <f>+VLOOKUP(D46,'Resultats - informe'!$Y$18:$AG$42,'Introducció dades consum'!K46+1,0)</f>
        <v>0</v>
      </c>
      <c r="O46" s="367" cm="1">
        <f t="array" ref="O46">+_xlfn.SWITCH(MONTH(C46),1,1,2,1,3,1,4,2,5,2,6,3,7,3,8,3,9,3,10,2,11,2,12,1,2)</f>
        <v>1</v>
      </c>
      <c r="P46" s="43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</row>
    <row r="47" spans="1:73" ht="18" x14ac:dyDescent="0.35">
      <c r="A47" s="43"/>
      <c r="C47" s="393"/>
      <c r="E47" s="394"/>
      <c r="F47" s="394"/>
      <c r="G47" s="394"/>
      <c r="H47" s="8" t="s">
        <v>61</v>
      </c>
      <c r="I47" s="364">
        <f t="shared" si="1"/>
        <v>0</v>
      </c>
      <c r="J47" s="365">
        <f t="shared" si="0"/>
        <v>0</v>
      </c>
      <c r="K47" s="366">
        <f t="shared" si="2"/>
        <v>6</v>
      </c>
      <c r="L47" s="366">
        <f>+IF((C47&gt;='Resultats - informe'!$E$16)*(C47&lt;='Resultats - informe'!$G$16),1,0)</f>
        <v>1</v>
      </c>
      <c r="M47" s="366" cm="1">
        <f t="array" ref="M47">+_xlfn.IFS((C47&gt;='Resultats - informe'!$D$26)*(C47&lt;='Resultats - informe'!$E$26),0,(C47&gt;='Resultats - informe'!$D$27)*(C47&lt;='Resultats - informe'!$E$27),0,(C47&gt;='Resultats - informe'!$D$28)*(C47&lt;='Resultats - informe'!$E$28),0,(C47&gt;='Resultats - informe'!$D$29)*(C47&lt;='Resultats - informe'!$E$29),0,1,1)</f>
        <v>0</v>
      </c>
      <c r="N47" s="366">
        <f>+VLOOKUP(D47,'Resultats - informe'!$Y$18:$AG$42,'Introducció dades consum'!K47+1,0)</f>
        <v>0</v>
      </c>
      <c r="O47" s="367" cm="1">
        <f t="array" ref="O47">+_xlfn.SWITCH(MONTH(C47),1,1,2,1,3,1,4,2,5,2,6,3,7,3,8,3,9,3,10,2,11,2,12,1,2)</f>
        <v>1</v>
      </c>
      <c r="P47" s="43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</row>
    <row r="48" spans="1:73" ht="18" x14ac:dyDescent="0.35">
      <c r="A48" s="43"/>
      <c r="C48" s="393"/>
      <c r="E48" s="394"/>
      <c r="F48" s="394"/>
      <c r="G48" s="394"/>
      <c r="H48" s="8" t="s">
        <v>61</v>
      </c>
      <c r="I48" s="364">
        <f t="shared" si="1"/>
        <v>0</v>
      </c>
      <c r="J48" s="365">
        <f t="shared" si="0"/>
        <v>0</v>
      </c>
      <c r="K48" s="366">
        <f t="shared" si="2"/>
        <v>6</v>
      </c>
      <c r="L48" s="366">
        <f>+IF((C48&gt;='Resultats - informe'!$E$16)*(C48&lt;='Resultats - informe'!$G$16),1,0)</f>
        <v>1</v>
      </c>
      <c r="M48" s="366" cm="1">
        <f t="array" ref="M48">+_xlfn.IFS((C48&gt;='Resultats - informe'!$D$26)*(C48&lt;='Resultats - informe'!$E$26),0,(C48&gt;='Resultats - informe'!$D$27)*(C48&lt;='Resultats - informe'!$E$27),0,(C48&gt;='Resultats - informe'!$D$28)*(C48&lt;='Resultats - informe'!$E$28),0,(C48&gt;='Resultats - informe'!$D$29)*(C48&lt;='Resultats - informe'!$E$29),0,1,1)</f>
        <v>0</v>
      </c>
      <c r="N48" s="366">
        <f>+VLOOKUP(D48,'Resultats - informe'!$Y$18:$AG$42,'Introducció dades consum'!K48+1,0)</f>
        <v>0</v>
      </c>
      <c r="O48" s="367" cm="1">
        <f t="array" ref="O48">+_xlfn.SWITCH(MONTH(C48),1,1,2,1,3,1,4,2,5,2,6,3,7,3,8,3,9,3,10,2,11,2,12,1,2)</f>
        <v>1</v>
      </c>
      <c r="P48" s="43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</row>
    <row r="49" spans="1:73" ht="18" x14ac:dyDescent="0.35">
      <c r="A49" s="43"/>
      <c r="C49" s="393"/>
      <c r="E49" s="394"/>
      <c r="F49" s="394"/>
      <c r="G49" s="394"/>
      <c r="H49" s="8" t="s">
        <v>61</v>
      </c>
      <c r="I49" s="364">
        <f t="shared" si="1"/>
        <v>0</v>
      </c>
      <c r="J49" s="365">
        <f t="shared" si="0"/>
        <v>0</v>
      </c>
      <c r="K49" s="366">
        <f t="shared" si="2"/>
        <v>6</v>
      </c>
      <c r="L49" s="366">
        <f>+IF((C49&gt;='Resultats - informe'!$E$16)*(C49&lt;='Resultats - informe'!$G$16),1,0)</f>
        <v>1</v>
      </c>
      <c r="M49" s="366" cm="1">
        <f t="array" ref="M49">+_xlfn.IFS((C49&gt;='Resultats - informe'!$D$26)*(C49&lt;='Resultats - informe'!$E$26),0,(C49&gt;='Resultats - informe'!$D$27)*(C49&lt;='Resultats - informe'!$E$27),0,(C49&gt;='Resultats - informe'!$D$28)*(C49&lt;='Resultats - informe'!$E$28),0,(C49&gt;='Resultats - informe'!$D$29)*(C49&lt;='Resultats - informe'!$E$29),0,1,1)</f>
        <v>0</v>
      </c>
      <c r="N49" s="366">
        <f>+VLOOKUP(D49,'Resultats - informe'!$Y$18:$AG$42,'Introducció dades consum'!K49+1,0)</f>
        <v>0</v>
      </c>
      <c r="O49" s="367" cm="1">
        <f t="array" ref="O49">+_xlfn.SWITCH(MONTH(C49),1,1,2,1,3,1,4,2,5,2,6,3,7,3,8,3,9,3,10,2,11,2,12,1,2)</f>
        <v>1</v>
      </c>
      <c r="P49" s="43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</row>
    <row r="50" spans="1:73" ht="18" x14ac:dyDescent="0.35">
      <c r="A50" s="43"/>
      <c r="C50" s="393"/>
      <c r="E50" s="394"/>
      <c r="F50" s="394"/>
      <c r="G50" s="394"/>
      <c r="H50" s="8" t="s">
        <v>61</v>
      </c>
      <c r="I50" s="364">
        <f t="shared" si="1"/>
        <v>0</v>
      </c>
      <c r="J50" s="365">
        <f t="shared" si="0"/>
        <v>0</v>
      </c>
      <c r="K50" s="366">
        <f t="shared" si="2"/>
        <v>6</v>
      </c>
      <c r="L50" s="366">
        <f>+IF((C50&gt;='Resultats - informe'!$E$16)*(C50&lt;='Resultats - informe'!$G$16),1,0)</f>
        <v>1</v>
      </c>
      <c r="M50" s="366" cm="1">
        <f t="array" ref="M50">+_xlfn.IFS((C50&gt;='Resultats - informe'!$D$26)*(C50&lt;='Resultats - informe'!$E$26),0,(C50&gt;='Resultats - informe'!$D$27)*(C50&lt;='Resultats - informe'!$E$27),0,(C50&gt;='Resultats - informe'!$D$28)*(C50&lt;='Resultats - informe'!$E$28),0,(C50&gt;='Resultats - informe'!$D$29)*(C50&lt;='Resultats - informe'!$E$29),0,1,1)</f>
        <v>0</v>
      </c>
      <c r="N50" s="366">
        <f>+VLOOKUP(D50,'Resultats - informe'!$Y$18:$AG$42,'Introducció dades consum'!K50+1,0)</f>
        <v>0</v>
      </c>
      <c r="O50" s="367" cm="1">
        <f t="array" ref="O50">+_xlfn.SWITCH(MONTH(C50),1,1,2,1,3,1,4,2,5,2,6,3,7,3,8,3,9,3,10,2,11,2,12,1,2)</f>
        <v>1</v>
      </c>
      <c r="P50" s="43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</row>
    <row r="51" spans="1:73" ht="18" x14ac:dyDescent="0.35">
      <c r="A51" s="43"/>
      <c r="C51" s="393"/>
      <c r="E51" s="394"/>
      <c r="F51" s="394"/>
      <c r="G51" s="394"/>
      <c r="H51" s="8" t="s">
        <v>61</v>
      </c>
      <c r="I51" s="364">
        <f t="shared" si="1"/>
        <v>0</v>
      </c>
      <c r="J51" s="365">
        <f t="shared" si="0"/>
        <v>0</v>
      </c>
      <c r="K51" s="366">
        <f t="shared" si="2"/>
        <v>6</v>
      </c>
      <c r="L51" s="366">
        <f>+IF((C51&gt;='Resultats - informe'!$E$16)*(C51&lt;='Resultats - informe'!$G$16),1,0)</f>
        <v>1</v>
      </c>
      <c r="M51" s="366" cm="1">
        <f t="array" ref="M51">+_xlfn.IFS((C51&gt;='Resultats - informe'!$D$26)*(C51&lt;='Resultats - informe'!$E$26),0,(C51&gt;='Resultats - informe'!$D$27)*(C51&lt;='Resultats - informe'!$E$27),0,(C51&gt;='Resultats - informe'!$D$28)*(C51&lt;='Resultats - informe'!$E$28),0,(C51&gt;='Resultats - informe'!$D$29)*(C51&lt;='Resultats - informe'!$E$29),0,1,1)</f>
        <v>0</v>
      </c>
      <c r="N51" s="366">
        <f>+VLOOKUP(D51,'Resultats - informe'!$Y$18:$AG$42,'Introducció dades consum'!K51+1,0)</f>
        <v>0</v>
      </c>
      <c r="O51" s="367" cm="1">
        <f t="array" ref="O51">+_xlfn.SWITCH(MONTH(C51),1,1,2,1,3,1,4,2,5,2,6,3,7,3,8,3,9,3,10,2,11,2,12,1,2)</f>
        <v>1</v>
      </c>
      <c r="P51" s="43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</row>
    <row r="52" spans="1:73" ht="18" x14ac:dyDescent="0.35">
      <c r="A52" s="43"/>
      <c r="C52" s="393"/>
      <c r="E52" s="394"/>
      <c r="F52" s="394"/>
      <c r="G52" s="394"/>
      <c r="H52" s="8" t="s">
        <v>61</v>
      </c>
      <c r="I52" s="364">
        <f t="shared" si="1"/>
        <v>0</v>
      </c>
      <c r="J52" s="365">
        <f t="shared" si="0"/>
        <v>0</v>
      </c>
      <c r="K52" s="366">
        <f t="shared" si="2"/>
        <v>6</v>
      </c>
      <c r="L52" s="366">
        <f>+IF((C52&gt;='Resultats - informe'!$E$16)*(C52&lt;='Resultats - informe'!$G$16),1,0)</f>
        <v>1</v>
      </c>
      <c r="M52" s="366" cm="1">
        <f t="array" ref="M52">+_xlfn.IFS((C52&gt;='Resultats - informe'!$D$26)*(C52&lt;='Resultats - informe'!$E$26),0,(C52&gt;='Resultats - informe'!$D$27)*(C52&lt;='Resultats - informe'!$E$27),0,(C52&gt;='Resultats - informe'!$D$28)*(C52&lt;='Resultats - informe'!$E$28),0,(C52&gt;='Resultats - informe'!$D$29)*(C52&lt;='Resultats - informe'!$E$29),0,1,1)</f>
        <v>0</v>
      </c>
      <c r="N52" s="366">
        <f>+VLOOKUP(D52,'Resultats - informe'!$Y$18:$AG$42,'Introducció dades consum'!K52+1,0)</f>
        <v>0</v>
      </c>
      <c r="O52" s="367" cm="1">
        <f t="array" ref="O52">+_xlfn.SWITCH(MONTH(C52),1,1,2,1,3,1,4,2,5,2,6,3,7,3,8,3,9,3,10,2,11,2,12,1,2)</f>
        <v>1</v>
      </c>
      <c r="P52" s="43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</row>
    <row r="53" spans="1:73" ht="18" x14ac:dyDescent="0.35">
      <c r="A53" s="43"/>
      <c r="C53" s="393"/>
      <c r="E53" s="394"/>
      <c r="F53" s="394"/>
      <c r="G53" s="394"/>
      <c r="H53" s="8" t="s">
        <v>61</v>
      </c>
      <c r="I53" s="364">
        <f t="shared" si="1"/>
        <v>0</v>
      </c>
      <c r="J53" s="365">
        <f t="shared" si="0"/>
        <v>0</v>
      </c>
      <c r="K53" s="366">
        <f t="shared" si="2"/>
        <v>6</v>
      </c>
      <c r="L53" s="366">
        <f>+IF((C53&gt;='Resultats - informe'!$E$16)*(C53&lt;='Resultats - informe'!$G$16),1,0)</f>
        <v>1</v>
      </c>
      <c r="M53" s="366" cm="1">
        <f t="array" ref="M53">+_xlfn.IFS((C53&gt;='Resultats - informe'!$D$26)*(C53&lt;='Resultats - informe'!$E$26),0,(C53&gt;='Resultats - informe'!$D$27)*(C53&lt;='Resultats - informe'!$E$27),0,(C53&gt;='Resultats - informe'!$D$28)*(C53&lt;='Resultats - informe'!$E$28),0,(C53&gt;='Resultats - informe'!$D$29)*(C53&lt;='Resultats - informe'!$E$29),0,1,1)</f>
        <v>0</v>
      </c>
      <c r="N53" s="366">
        <f>+VLOOKUP(D53,'Resultats - informe'!$Y$18:$AG$42,'Introducció dades consum'!K53+1,0)</f>
        <v>0</v>
      </c>
      <c r="O53" s="367" cm="1">
        <f t="array" ref="O53">+_xlfn.SWITCH(MONTH(C53),1,1,2,1,3,1,4,2,5,2,6,3,7,3,8,3,9,3,10,2,11,2,12,1,2)</f>
        <v>1</v>
      </c>
      <c r="P53" s="43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</row>
    <row r="54" spans="1:73" ht="18" x14ac:dyDescent="0.35">
      <c r="A54" s="43"/>
      <c r="C54" s="393"/>
      <c r="E54" s="394"/>
      <c r="F54" s="394"/>
      <c r="G54" s="394"/>
      <c r="H54" s="8" t="s">
        <v>61</v>
      </c>
      <c r="I54" s="364">
        <f t="shared" si="1"/>
        <v>0</v>
      </c>
      <c r="J54" s="365">
        <f t="shared" si="0"/>
        <v>0</v>
      </c>
      <c r="K54" s="366">
        <f t="shared" si="2"/>
        <v>6</v>
      </c>
      <c r="L54" s="366">
        <f>+IF((C54&gt;='Resultats - informe'!$E$16)*(C54&lt;='Resultats - informe'!$G$16),1,0)</f>
        <v>1</v>
      </c>
      <c r="M54" s="366" cm="1">
        <f t="array" ref="M54">+_xlfn.IFS((C54&gt;='Resultats - informe'!$D$26)*(C54&lt;='Resultats - informe'!$E$26),0,(C54&gt;='Resultats - informe'!$D$27)*(C54&lt;='Resultats - informe'!$E$27),0,(C54&gt;='Resultats - informe'!$D$28)*(C54&lt;='Resultats - informe'!$E$28),0,(C54&gt;='Resultats - informe'!$D$29)*(C54&lt;='Resultats - informe'!$E$29),0,1,1)</f>
        <v>0</v>
      </c>
      <c r="N54" s="366">
        <f>+VLOOKUP(D54,'Resultats - informe'!$Y$18:$AG$42,'Introducció dades consum'!K54+1,0)</f>
        <v>0</v>
      </c>
      <c r="O54" s="367" cm="1">
        <f t="array" ref="O54">+_xlfn.SWITCH(MONTH(C54),1,1,2,1,3,1,4,2,5,2,6,3,7,3,8,3,9,3,10,2,11,2,12,1,2)</f>
        <v>1</v>
      </c>
      <c r="P54" s="43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</row>
    <row r="55" spans="1:73" ht="18" x14ac:dyDescent="0.35">
      <c r="A55" s="43"/>
      <c r="C55" s="393"/>
      <c r="E55" s="394"/>
      <c r="F55" s="394"/>
      <c r="G55" s="394"/>
      <c r="H55" s="8" t="s">
        <v>61</v>
      </c>
      <c r="I55" s="364">
        <f t="shared" si="1"/>
        <v>0</v>
      </c>
      <c r="J55" s="365">
        <f t="shared" si="0"/>
        <v>0</v>
      </c>
      <c r="K55" s="366">
        <f t="shared" si="2"/>
        <v>6</v>
      </c>
      <c r="L55" s="366">
        <f>+IF((C55&gt;='Resultats - informe'!$E$16)*(C55&lt;='Resultats - informe'!$G$16),1,0)</f>
        <v>1</v>
      </c>
      <c r="M55" s="366" cm="1">
        <f t="array" ref="M55">+_xlfn.IFS((C55&gt;='Resultats - informe'!$D$26)*(C55&lt;='Resultats - informe'!$E$26),0,(C55&gt;='Resultats - informe'!$D$27)*(C55&lt;='Resultats - informe'!$E$27),0,(C55&gt;='Resultats - informe'!$D$28)*(C55&lt;='Resultats - informe'!$E$28),0,(C55&gt;='Resultats - informe'!$D$29)*(C55&lt;='Resultats - informe'!$E$29),0,1,1)</f>
        <v>0</v>
      </c>
      <c r="N55" s="366">
        <f>+VLOOKUP(D55,'Resultats - informe'!$Y$18:$AG$42,'Introducció dades consum'!K55+1,0)</f>
        <v>0</v>
      </c>
      <c r="O55" s="367" cm="1">
        <f t="array" ref="O55">+_xlfn.SWITCH(MONTH(C55),1,1,2,1,3,1,4,2,5,2,6,3,7,3,8,3,9,3,10,2,11,2,12,1,2)</f>
        <v>1</v>
      </c>
      <c r="P55" s="43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</row>
    <row r="56" spans="1:73" ht="18" x14ac:dyDescent="0.35">
      <c r="A56" s="43"/>
      <c r="C56" s="393"/>
      <c r="E56" s="394"/>
      <c r="F56" s="394"/>
      <c r="G56" s="394"/>
      <c r="H56" s="8" t="s">
        <v>61</v>
      </c>
      <c r="I56" s="364">
        <f t="shared" si="1"/>
        <v>0</v>
      </c>
      <c r="J56" s="365">
        <f t="shared" si="0"/>
        <v>0</v>
      </c>
      <c r="K56" s="366">
        <f t="shared" si="2"/>
        <v>6</v>
      </c>
      <c r="L56" s="366">
        <f>+IF((C56&gt;='Resultats - informe'!$E$16)*(C56&lt;='Resultats - informe'!$G$16),1,0)</f>
        <v>1</v>
      </c>
      <c r="M56" s="366" cm="1">
        <f t="array" ref="M56">+_xlfn.IFS((C56&gt;='Resultats - informe'!$D$26)*(C56&lt;='Resultats - informe'!$E$26),0,(C56&gt;='Resultats - informe'!$D$27)*(C56&lt;='Resultats - informe'!$E$27),0,(C56&gt;='Resultats - informe'!$D$28)*(C56&lt;='Resultats - informe'!$E$28),0,(C56&gt;='Resultats - informe'!$D$29)*(C56&lt;='Resultats - informe'!$E$29),0,1,1)</f>
        <v>0</v>
      </c>
      <c r="N56" s="366">
        <f>+VLOOKUP(D56,'Resultats - informe'!$Y$18:$AG$42,'Introducció dades consum'!K56+1,0)</f>
        <v>0</v>
      </c>
      <c r="O56" s="367" cm="1">
        <f t="array" ref="O56">+_xlfn.SWITCH(MONTH(C56),1,1,2,1,3,1,4,2,5,2,6,3,7,3,8,3,9,3,10,2,11,2,12,1,2)</f>
        <v>1</v>
      </c>
      <c r="P56" s="43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</row>
    <row r="57" spans="1:73" ht="18" x14ac:dyDescent="0.35">
      <c r="A57" s="43"/>
      <c r="C57" s="393"/>
      <c r="E57" s="394"/>
      <c r="F57" s="394"/>
      <c r="G57" s="394"/>
      <c r="H57" s="8" t="s">
        <v>61</v>
      </c>
      <c r="I57" s="364">
        <f t="shared" si="1"/>
        <v>0</v>
      </c>
      <c r="J57" s="365">
        <f t="shared" si="0"/>
        <v>0</v>
      </c>
      <c r="K57" s="366">
        <f t="shared" si="2"/>
        <v>6</v>
      </c>
      <c r="L57" s="366">
        <f>+IF((C57&gt;='Resultats - informe'!$E$16)*(C57&lt;='Resultats - informe'!$G$16),1,0)</f>
        <v>1</v>
      </c>
      <c r="M57" s="366" cm="1">
        <f t="array" ref="M57">+_xlfn.IFS((C57&gt;='Resultats - informe'!$D$26)*(C57&lt;='Resultats - informe'!$E$26),0,(C57&gt;='Resultats - informe'!$D$27)*(C57&lt;='Resultats - informe'!$E$27),0,(C57&gt;='Resultats - informe'!$D$28)*(C57&lt;='Resultats - informe'!$E$28),0,(C57&gt;='Resultats - informe'!$D$29)*(C57&lt;='Resultats - informe'!$E$29),0,1,1)</f>
        <v>0</v>
      </c>
      <c r="N57" s="366">
        <f>+VLOOKUP(D57,'Resultats - informe'!$Y$18:$AG$42,'Introducció dades consum'!K57+1,0)</f>
        <v>0</v>
      </c>
      <c r="O57" s="367" cm="1">
        <f t="array" ref="O57">+_xlfn.SWITCH(MONTH(C57),1,1,2,1,3,1,4,2,5,2,6,3,7,3,8,3,9,3,10,2,11,2,12,1,2)</f>
        <v>1</v>
      </c>
      <c r="P57" s="43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</row>
    <row r="58" spans="1:73" ht="18" x14ac:dyDescent="0.35">
      <c r="A58" s="43"/>
      <c r="C58" s="393"/>
      <c r="E58" s="394"/>
      <c r="F58" s="394"/>
      <c r="G58" s="394"/>
      <c r="H58" s="8" t="s">
        <v>61</v>
      </c>
      <c r="I58" s="364">
        <f t="shared" si="1"/>
        <v>0</v>
      </c>
      <c r="J58" s="365">
        <f t="shared" si="0"/>
        <v>0</v>
      </c>
      <c r="K58" s="366">
        <f t="shared" si="2"/>
        <v>6</v>
      </c>
      <c r="L58" s="366">
        <f>+IF((C58&gt;='Resultats - informe'!$E$16)*(C58&lt;='Resultats - informe'!$G$16),1,0)</f>
        <v>1</v>
      </c>
      <c r="M58" s="366" cm="1">
        <f t="array" ref="M58">+_xlfn.IFS((C58&gt;='Resultats - informe'!$D$26)*(C58&lt;='Resultats - informe'!$E$26),0,(C58&gt;='Resultats - informe'!$D$27)*(C58&lt;='Resultats - informe'!$E$27),0,(C58&gt;='Resultats - informe'!$D$28)*(C58&lt;='Resultats - informe'!$E$28),0,(C58&gt;='Resultats - informe'!$D$29)*(C58&lt;='Resultats - informe'!$E$29),0,1,1)</f>
        <v>0</v>
      </c>
      <c r="N58" s="366">
        <f>+VLOOKUP(D58,'Resultats - informe'!$Y$18:$AG$42,'Introducció dades consum'!K58+1,0)</f>
        <v>0</v>
      </c>
      <c r="O58" s="367" cm="1">
        <f t="array" ref="O58">+_xlfn.SWITCH(MONTH(C58),1,1,2,1,3,1,4,2,5,2,6,3,7,3,8,3,9,3,10,2,11,2,12,1,2)</f>
        <v>1</v>
      </c>
      <c r="P58" s="43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</row>
    <row r="59" spans="1:73" ht="18" x14ac:dyDescent="0.35">
      <c r="A59" s="43"/>
      <c r="C59" s="393"/>
      <c r="E59" s="394"/>
      <c r="F59" s="394"/>
      <c r="G59" s="394"/>
      <c r="H59" s="8" t="s">
        <v>61</v>
      </c>
      <c r="I59" s="364">
        <f t="shared" si="1"/>
        <v>0</v>
      </c>
      <c r="J59" s="365">
        <f t="shared" si="0"/>
        <v>0</v>
      </c>
      <c r="K59" s="366">
        <f t="shared" si="2"/>
        <v>6</v>
      </c>
      <c r="L59" s="366">
        <f>+IF((C59&gt;='Resultats - informe'!$E$16)*(C59&lt;='Resultats - informe'!$G$16),1,0)</f>
        <v>1</v>
      </c>
      <c r="M59" s="366" cm="1">
        <f t="array" ref="M59">+_xlfn.IFS((C59&gt;='Resultats - informe'!$D$26)*(C59&lt;='Resultats - informe'!$E$26),0,(C59&gt;='Resultats - informe'!$D$27)*(C59&lt;='Resultats - informe'!$E$27),0,(C59&gt;='Resultats - informe'!$D$28)*(C59&lt;='Resultats - informe'!$E$28),0,(C59&gt;='Resultats - informe'!$D$29)*(C59&lt;='Resultats - informe'!$E$29),0,1,1)</f>
        <v>0</v>
      </c>
      <c r="N59" s="366">
        <f>+VLOOKUP(D59,'Resultats - informe'!$Y$18:$AG$42,'Introducció dades consum'!K59+1,0)</f>
        <v>0</v>
      </c>
      <c r="O59" s="367" cm="1">
        <f t="array" ref="O59">+_xlfn.SWITCH(MONTH(C59),1,1,2,1,3,1,4,2,5,2,6,3,7,3,8,3,9,3,10,2,11,2,12,1,2)</f>
        <v>1</v>
      </c>
      <c r="P59" s="43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</row>
    <row r="60" spans="1:73" ht="18" x14ac:dyDescent="0.35">
      <c r="A60" s="43"/>
      <c r="C60" s="393"/>
      <c r="E60" s="394"/>
      <c r="F60" s="394"/>
      <c r="G60" s="394"/>
      <c r="H60" s="8" t="s">
        <v>61</v>
      </c>
      <c r="I60" s="364">
        <f t="shared" si="1"/>
        <v>0</v>
      </c>
      <c r="J60" s="365">
        <f t="shared" si="0"/>
        <v>0</v>
      </c>
      <c r="K60" s="366">
        <f t="shared" si="2"/>
        <v>6</v>
      </c>
      <c r="L60" s="366">
        <f>+IF((C60&gt;='Resultats - informe'!$E$16)*(C60&lt;='Resultats - informe'!$G$16),1,0)</f>
        <v>1</v>
      </c>
      <c r="M60" s="366" cm="1">
        <f t="array" ref="M60">+_xlfn.IFS((C60&gt;='Resultats - informe'!$D$26)*(C60&lt;='Resultats - informe'!$E$26),0,(C60&gt;='Resultats - informe'!$D$27)*(C60&lt;='Resultats - informe'!$E$27),0,(C60&gt;='Resultats - informe'!$D$28)*(C60&lt;='Resultats - informe'!$E$28),0,(C60&gt;='Resultats - informe'!$D$29)*(C60&lt;='Resultats - informe'!$E$29),0,1,1)</f>
        <v>0</v>
      </c>
      <c r="N60" s="366">
        <f>+VLOOKUP(D60,'Resultats - informe'!$Y$18:$AG$42,'Introducció dades consum'!K60+1,0)</f>
        <v>0</v>
      </c>
      <c r="O60" s="367" cm="1">
        <f t="array" ref="O60">+_xlfn.SWITCH(MONTH(C60),1,1,2,1,3,1,4,2,5,2,6,3,7,3,8,3,9,3,10,2,11,2,12,1,2)</f>
        <v>1</v>
      </c>
      <c r="P60" s="43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</row>
    <row r="61" spans="1:73" ht="18" x14ac:dyDescent="0.35">
      <c r="A61" s="43"/>
      <c r="C61" s="393"/>
      <c r="E61" s="394"/>
      <c r="F61" s="394"/>
      <c r="G61" s="394"/>
      <c r="H61" s="8" t="s">
        <v>61</v>
      </c>
      <c r="I61" s="364">
        <f t="shared" si="1"/>
        <v>0</v>
      </c>
      <c r="J61" s="365">
        <f t="shared" si="0"/>
        <v>0</v>
      </c>
      <c r="K61" s="366">
        <f t="shared" si="2"/>
        <v>6</v>
      </c>
      <c r="L61" s="366">
        <f>+IF((C61&gt;='Resultats - informe'!$E$16)*(C61&lt;='Resultats - informe'!$G$16),1,0)</f>
        <v>1</v>
      </c>
      <c r="M61" s="366" cm="1">
        <f t="array" ref="M61">+_xlfn.IFS((C61&gt;='Resultats - informe'!$D$26)*(C61&lt;='Resultats - informe'!$E$26),0,(C61&gt;='Resultats - informe'!$D$27)*(C61&lt;='Resultats - informe'!$E$27),0,(C61&gt;='Resultats - informe'!$D$28)*(C61&lt;='Resultats - informe'!$E$28),0,(C61&gt;='Resultats - informe'!$D$29)*(C61&lt;='Resultats - informe'!$E$29),0,1,1)</f>
        <v>0</v>
      </c>
      <c r="N61" s="366">
        <f>+VLOOKUP(D61,'Resultats - informe'!$Y$18:$AG$42,'Introducció dades consum'!K61+1,0)</f>
        <v>0</v>
      </c>
      <c r="O61" s="367" cm="1">
        <f t="array" ref="O61">+_xlfn.SWITCH(MONTH(C61),1,1,2,1,3,1,4,2,5,2,6,3,7,3,8,3,9,3,10,2,11,2,12,1,2)</f>
        <v>1</v>
      </c>
      <c r="P61" s="43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</row>
    <row r="62" spans="1:73" ht="18" x14ac:dyDescent="0.35">
      <c r="A62" s="43"/>
      <c r="C62" s="393"/>
      <c r="E62" s="394"/>
      <c r="F62" s="394"/>
      <c r="G62" s="394"/>
      <c r="H62" s="8" t="s">
        <v>61</v>
      </c>
      <c r="I62" s="364">
        <f t="shared" si="1"/>
        <v>0</v>
      </c>
      <c r="J62" s="365">
        <f t="shared" si="0"/>
        <v>0</v>
      </c>
      <c r="K62" s="366">
        <f t="shared" si="2"/>
        <v>6</v>
      </c>
      <c r="L62" s="366">
        <f>+IF((C62&gt;='Resultats - informe'!$E$16)*(C62&lt;='Resultats - informe'!$G$16),1,0)</f>
        <v>1</v>
      </c>
      <c r="M62" s="366" cm="1">
        <f t="array" ref="M62">+_xlfn.IFS((C62&gt;='Resultats - informe'!$D$26)*(C62&lt;='Resultats - informe'!$E$26),0,(C62&gt;='Resultats - informe'!$D$27)*(C62&lt;='Resultats - informe'!$E$27),0,(C62&gt;='Resultats - informe'!$D$28)*(C62&lt;='Resultats - informe'!$E$28),0,(C62&gt;='Resultats - informe'!$D$29)*(C62&lt;='Resultats - informe'!$E$29),0,1,1)</f>
        <v>0</v>
      </c>
      <c r="N62" s="366">
        <f>+VLOOKUP(D62,'Resultats - informe'!$Y$18:$AG$42,'Introducció dades consum'!K62+1,0)</f>
        <v>0</v>
      </c>
      <c r="O62" s="367" cm="1">
        <f t="array" ref="O62">+_xlfn.SWITCH(MONTH(C62),1,1,2,1,3,1,4,2,5,2,6,3,7,3,8,3,9,3,10,2,11,2,12,1,2)</f>
        <v>1</v>
      </c>
      <c r="P62" s="43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</row>
    <row r="63" spans="1:73" ht="18" x14ac:dyDescent="0.35">
      <c r="A63" s="43"/>
      <c r="C63" s="393"/>
      <c r="E63" s="394"/>
      <c r="F63" s="394"/>
      <c r="G63" s="394"/>
      <c r="H63" s="8" t="s">
        <v>61</v>
      </c>
      <c r="I63" s="364">
        <f t="shared" si="1"/>
        <v>0</v>
      </c>
      <c r="J63" s="365">
        <f t="shared" si="0"/>
        <v>0</v>
      </c>
      <c r="K63" s="366">
        <f t="shared" si="2"/>
        <v>6</v>
      </c>
      <c r="L63" s="366">
        <f>+IF((C63&gt;='Resultats - informe'!$E$16)*(C63&lt;='Resultats - informe'!$G$16),1,0)</f>
        <v>1</v>
      </c>
      <c r="M63" s="366" cm="1">
        <f t="array" ref="M63">+_xlfn.IFS((C63&gt;='Resultats - informe'!$D$26)*(C63&lt;='Resultats - informe'!$E$26),0,(C63&gt;='Resultats - informe'!$D$27)*(C63&lt;='Resultats - informe'!$E$27),0,(C63&gt;='Resultats - informe'!$D$28)*(C63&lt;='Resultats - informe'!$E$28),0,(C63&gt;='Resultats - informe'!$D$29)*(C63&lt;='Resultats - informe'!$E$29),0,1,1)</f>
        <v>0</v>
      </c>
      <c r="N63" s="366">
        <f>+VLOOKUP(D63,'Resultats - informe'!$Y$18:$AG$42,'Introducció dades consum'!K63+1,0)</f>
        <v>0</v>
      </c>
      <c r="O63" s="367" cm="1">
        <f t="array" ref="O63">+_xlfn.SWITCH(MONTH(C63),1,1,2,1,3,1,4,2,5,2,6,3,7,3,8,3,9,3,10,2,11,2,12,1,2)</f>
        <v>1</v>
      </c>
      <c r="P63" s="43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</row>
    <row r="64" spans="1:73" ht="18" x14ac:dyDescent="0.35">
      <c r="A64" s="43"/>
      <c r="C64" s="393"/>
      <c r="E64" s="394"/>
      <c r="F64" s="394"/>
      <c r="G64" s="394"/>
      <c r="H64" s="8" t="s">
        <v>61</v>
      </c>
      <c r="I64" s="364">
        <f t="shared" si="1"/>
        <v>0</v>
      </c>
      <c r="J64" s="365">
        <f t="shared" si="0"/>
        <v>0</v>
      </c>
      <c r="K64" s="366">
        <f t="shared" si="2"/>
        <v>6</v>
      </c>
      <c r="L64" s="366">
        <f>+IF((C64&gt;='Resultats - informe'!$E$16)*(C64&lt;='Resultats - informe'!$G$16),1,0)</f>
        <v>1</v>
      </c>
      <c r="M64" s="366" cm="1">
        <f t="array" ref="M64">+_xlfn.IFS((C64&gt;='Resultats - informe'!$D$26)*(C64&lt;='Resultats - informe'!$E$26),0,(C64&gt;='Resultats - informe'!$D$27)*(C64&lt;='Resultats - informe'!$E$27),0,(C64&gt;='Resultats - informe'!$D$28)*(C64&lt;='Resultats - informe'!$E$28),0,(C64&gt;='Resultats - informe'!$D$29)*(C64&lt;='Resultats - informe'!$E$29),0,1,1)</f>
        <v>0</v>
      </c>
      <c r="N64" s="366">
        <f>+VLOOKUP(D64,'Resultats - informe'!$Y$18:$AG$42,'Introducció dades consum'!K64+1,0)</f>
        <v>0</v>
      </c>
      <c r="O64" s="367" cm="1">
        <f t="array" ref="O64">+_xlfn.SWITCH(MONTH(C64),1,1,2,1,3,1,4,2,5,2,6,3,7,3,8,3,9,3,10,2,11,2,12,1,2)</f>
        <v>1</v>
      </c>
      <c r="P64" s="43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</row>
    <row r="65" spans="1:73" ht="18" x14ac:dyDescent="0.35">
      <c r="A65" s="43"/>
      <c r="C65" s="393"/>
      <c r="E65" s="394"/>
      <c r="F65" s="394"/>
      <c r="G65" s="394"/>
      <c r="H65" s="8" t="s">
        <v>61</v>
      </c>
      <c r="I65" s="364">
        <f t="shared" si="1"/>
        <v>0</v>
      </c>
      <c r="J65" s="365">
        <f t="shared" si="0"/>
        <v>0</v>
      </c>
      <c r="K65" s="366">
        <f t="shared" si="2"/>
        <v>6</v>
      </c>
      <c r="L65" s="366">
        <f>+IF((C65&gt;='Resultats - informe'!$E$16)*(C65&lt;='Resultats - informe'!$G$16),1,0)</f>
        <v>1</v>
      </c>
      <c r="M65" s="366" cm="1">
        <f t="array" ref="M65">+_xlfn.IFS((C65&gt;='Resultats - informe'!$D$26)*(C65&lt;='Resultats - informe'!$E$26),0,(C65&gt;='Resultats - informe'!$D$27)*(C65&lt;='Resultats - informe'!$E$27),0,(C65&gt;='Resultats - informe'!$D$28)*(C65&lt;='Resultats - informe'!$E$28),0,(C65&gt;='Resultats - informe'!$D$29)*(C65&lt;='Resultats - informe'!$E$29),0,1,1)</f>
        <v>0</v>
      </c>
      <c r="N65" s="366">
        <f>+VLOOKUP(D65,'Resultats - informe'!$Y$18:$AG$42,'Introducció dades consum'!K65+1,0)</f>
        <v>0</v>
      </c>
      <c r="O65" s="367" cm="1">
        <f t="array" ref="O65">+_xlfn.SWITCH(MONTH(C65),1,1,2,1,3,1,4,2,5,2,6,3,7,3,8,3,9,3,10,2,11,2,12,1,2)</f>
        <v>1</v>
      </c>
      <c r="P65" s="43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</row>
    <row r="66" spans="1:73" ht="18" x14ac:dyDescent="0.35">
      <c r="A66" s="43"/>
      <c r="C66" s="393"/>
      <c r="E66" s="394"/>
      <c r="F66" s="394"/>
      <c r="G66" s="394"/>
      <c r="H66" s="8" t="s">
        <v>61</v>
      </c>
      <c r="I66" s="364">
        <f t="shared" si="1"/>
        <v>0</v>
      </c>
      <c r="J66" s="365">
        <f t="shared" si="0"/>
        <v>0</v>
      </c>
      <c r="K66" s="366">
        <f t="shared" si="2"/>
        <v>6</v>
      </c>
      <c r="L66" s="366">
        <f>+IF((C66&gt;='Resultats - informe'!$E$16)*(C66&lt;='Resultats - informe'!$G$16),1,0)</f>
        <v>1</v>
      </c>
      <c r="M66" s="366" cm="1">
        <f t="array" ref="M66">+_xlfn.IFS((C66&gt;='Resultats - informe'!$D$26)*(C66&lt;='Resultats - informe'!$E$26),0,(C66&gt;='Resultats - informe'!$D$27)*(C66&lt;='Resultats - informe'!$E$27),0,(C66&gt;='Resultats - informe'!$D$28)*(C66&lt;='Resultats - informe'!$E$28),0,(C66&gt;='Resultats - informe'!$D$29)*(C66&lt;='Resultats - informe'!$E$29),0,1,1)</f>
        <v>0</v>
      </c>
      <c r="N66" s="366">
        <f>+VLOOKUP(D66,'Resultats - informe'!$Y$18:$AG$42,'Introducció dades consum'!K66+1,0)</f>
        <v>0</v>
      </c>
      <c r="O66" s="367" cm="1">
        <f t="array" ref="O66">+_xlfn.SWITCH(MONTH(C66),1,1,2,1,3,1,4,2,5,2,6,3,7,3,8,3,9,3,10,2,11,2,12,1,2)</f>
        <v>1</v>
      </c>
      <c r="P66" s="43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</row>
    <row r="67" spans="1:73" ht="18" x14ac:dyDescent="0.35">
      <c r="A67" s="43"/>
      <c r="C67" s="393"/>
      <c r="E67" s="394"/>
      <c r="F67" s="394"/>
      <c r="G67" s="394"/>
      <c r="H67" s="8" t="s">
        <v>61</v>
      </c>
      <c r="I67" s="364">
        <f t="shared" si="1"/>
        <v>0</v>
      </c>
      <c r="J67" s="365">
        <f t="shared" si="0"/>
        <v>0</v>
      </c>
      <c r="K67" s="366">
        <f t="shared" si="2"/>
        <v>6</v>
      </c>
      <c r="L67" s="366">
        <f>+IF((C67&gt;='Resultats - informe'!$E$16)*(C67&lt;='Resultats - informe'!$G$16),1,0)</f>
        <v>1</v>
      </c>
      <c r="M67" s="366" cm="1">
        <f t="array" ref="M67">+_xlfn.IFS((C67&gt;='Resultats - informe'!$D$26)*(C67&lt;='Resultats - informe'!$E$26),0,(C67&gt;='Resultats - informe'!$D$27)*(C67&lt;='Resultats - informe'!$E$27),0,(C67&gt;='Resultats - informe'!$D$28)*(C67&lt;='Resultats - informe'!$E$28),0,(C67&gt;='Resultats - informe'!$D$29)*(C67&lt;='Resultats - informe'!$E$29),0,1,1)</f>
        <v>0</v>
      </c>
      <c r="N67" s="366">
        <f>+VLOOKUP(D67,'Resultats - informe'!$Y$18:$AG$42,'Introducció dades consum'!K67+1,0)</f>
        <v>0</v>
      </c>
      <c r="O67" s="367" cm="1">
        <f t="array" ref="O67">+_xlfn.SWITCH(MONTH(C67),1,1,2,1,3,1,4,2,5,2,6,3,7,3,8,3,9,3,10,2,11,2,12,1,2)</f>
        <v>1</v>
      </c>
      <c r="P67" s="43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</row>
    <row r="68" spans="1:73" ht="18" x14ac:dyDescent="0.35">
      <c r="A68" s="43"/>
      <c r="C68" s="393"/>
      <c r="E68" s="394"/>
      <c r="F68" s="394"/>
      <c r="G68" s="394"/>
      <c r="H68" s="8" t="s">
        <v>61</v>
      </c>
      <c r="I68" s="364">
        <f t="shared" si="1"/>
        <v>0</v>
      </c>
      <c r="J68" s="365">
        <f t="shared" si="0"/>
        <v>0</v>
      </c>
      <c r="K68" s="366">
        <f t="shared" si="2"/>
        <v>6</v>
      </c>
      <c r="L68" s="366">
        <f>+IF((C68&gt;='Resultats - informe'!$E$16)*(C68&lt;='Resultats - informe'!$G$16),1,0)</f>
        <v>1</v>
      </c>
      <c r="M68" s="366" cm="1">
        <f t="array" ref="M68">+_xlfn.IFS((C68&gt;='Resultats - informe'!$D$26)*(C68&lt;='Resultats - informe'!$E$26),0,(C68&gt;='Resultats - informe'!$D$27)*(C68&lt;='Resultats - informe'!$E$27),0,(C68&gt;='Resultats - informe'!$D$28)*(C68&lt;='Resultats - informe'!$E$28),0,(C68&gt;='Resultats - informe'!$D$29)*(C68&lt;='Resultats - informe'!$E$29),0,1,1)</f>
        <v>0</v>
      </c>
      <c r="N68" s="366">
        <f>+VLOOKUP(D68,'Resultats - informe'!$Y$18:$AG$42,'Introducció dades consum'!K68+1,0)</f>
        <v>0</v>
      </c>
      <c r="O68" s="367" cm="1">
        <f t="array" ref="O68">+_xlfn.SWITCH(MONTH(C68),1,1,2,1,3,1,4,2,5,2,6,3,7,3,8,3,9,3,10,2,11,2,12,1,2)</f>
        <v>1</v>
      </c>
      <c r="P68" s="43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</row>
    <row r="69" spans="1:73" ht="18" x14ac:dyDescent="0.35">
      <c r="A69" s="43"/>
      <c r="C69" s="393"/>
      <c r="E69" s="394"/>
      <c r="F69" s="394"/>
      <c r="G69" s="394"/>
      <c r="H69" s="8" t="s">
        <v>61</v>
      </c>
      <c r="I69" s="364">
        <f t="shared" si="1"/>
        <v>0</v>
      </c>
      <c r="J69" s="365">
        <f t="shared" ref="J69:J132" si="3">+C69</f>
        <v>0</v>
      </c>
      <c r="K69" s="366">
        <f t="shared" si="2"/>
        <v>6</v>
      </c>
      <c r="L69" s="366">
        <f>+IF((C69&gt;='Resultats - informe'!$E$16)*(C69&lt;='Resultats - informe'!$G$16),1,0)</f>
        <v>1</v>
      </c>
      <c r="M69" s="366" cm="1">
        <f t="array" ref="M69">+_xlfn.IFS((C69&gt;='Resultats - informe'!$D$26)*(C69&lt;='Resultats - informe'!$E$26),0,(C69&gt;='Resultats - informe'!$D$27)*(C69&lt;='Resultats - informe'!$E$27),0,(C69&gt;='Resultats - informe'!$D$28)*(C69&lt;='Resultats - informe'!$E$28),0,(C69&gt;='Resultats - informe'!$D$29)*(C69&lt;='Resultats - informe'!$E$29),0,1,1)</f>
        <v>0</v>
      </c>
      <c r="N69" s="366">
        <f>+VLOOKUP(D69,'Resultats - informe'!$Y$18:$AG$42,'Introducció dades consum'!K69+1,0)</f>
        <v>0</v>
      </c>
      <c r="O69" s="367" cm="1">
        <f t="array" ref="O69">+_xlfn.SWITCH(MONTH(C69),1,1,2,1,3,1,4,2,5,2,6,3,7,3,8,3,9,3,10,2,11,2,12,1,2)</f>
        <v>1</v>
      </c>
      <c r="P69" s="43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</row>
    <row r="70" spans="1:73" ht="18" x14ac:dyDescent="0.35">
      <c r="A70" s="43"/>
      <c r="C70" s="393"/>
      <c r="E70" s="394"/>
      <c r="F70" s="394"/>
      <c r="G70" s="394"/>
      <c r="H70" s="8" t="s">
        <v>61</v>
      </c>
      <c r="I70" s="364">
        <f t="shared" ref="I70:I133" si="4">+E70+G70</f>
        <v>0</v>
      </c>
      <c r="J70" s="365">
        <f t="shared" si="3"/>
        <v>0</v>
      </c>
      <c r="K70" s="366">
        <f t="shared" ref="K70:K133" si="5">+WEEKDAY(C70,2)</f>
        <v>6</v>
      </c>
      <c r="L70" s="366">
        <f>+IF((C70&gt;='Resultats - informe'!$E$16)*(C70&lt;='Resultats - informe'!$G$16),1,0)</f>
        <v>1</v>
      </c>
      <c r="M70" s="366" cm="1">
        <f t="array" ref="M70">+_xlfn.IFS((C70&gt;='Resultats - informe'!$D$26)*(C70&lt;='Resultats - informe'!$E$26),0,(C70&gt;='Resultats - informe'!$D$27)*(C70&lt;='Resultats - informe'!$E$27),0,(C70&gt;='Resultats - informe'!$D$28)*(C70&lt;='Resultats - informe'!$E$28),0,(C70&gt;='Resultats - informe'!$D$29)*(C70&lt;='Resultats - informe'!$E$29),0,1,1)</f>
        <v>0</v>
      </c>
      <c r="N70" s="366">
        <f>+VLOOKUP(D70,'Resultats - informe'!$Y$18:$AG$42,'Introducció dades consum'!K70+1,0)</f>
        <v>0</v>
      </c>
      <c r="O70" s="367" cm="1">
        <f t="array" ref="O70">+_xlfn.SWITCH(MONTH(C70),1,1,2,1,3,1,4,2,5,2,6,3,7,3,8,3,9,3,10,2,11,2,12,1,2)</f>
        <v>1</v>
      </c>
      <c r="P70" s="43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</row>
    <row r="71" spans="1:73" ht="18" x14ac:dyDescent="0.35">
      <c r="A71" s="43"/>
      <c r="C71" s="393"/>
      <c r="E71" s="394"/>
      <c r="F71" s="394"/>
      <c r="G71" s="394"/>
      <c r="H71" s="8" t="s">
        <v>61</v>
      </c>
      <c r="I71" s="364">
        <f t="shared" si="4"/>
        <v>0</v>
      </c>
      <c r="J71" s="365">
        <f t="shared" si="3"/>
        <v>0</v>
      </c>
      <c r="K71" s="366">
        <f t="shared" si="5"/>
        <v>6</v>
      </c>
      <c r="L71" s="366">
        <f>+IF((C71&gt;='Resultats - informe'!$E$16)*(C71&lt;='Resultats - informe'!$G$16),1,0)</f>
        <v>1</v>
      </c>
      <c r="M71" s="366" cm="1">
        <f t="array" ref="M71">+_xlfn.IFS((C71&gt;='Resultats - informe'!$D$26)*(C71&lt;='Resultats - informe'!$E$26),0,(C71&gt;='Resultats - informe'!$D$27)*(C71&lt;='Resultats - informe'!$E$27),0,(C71&gt;='Resultats - informe'!$D$28)*(C71&lt;='Resultats - informe'!$E$28),0,(C71&gt;='Resultats - informe'!$D$29)*(C71&lt;='Resultats - informe'!$E$29),0,1,1)</f>
        <v>0</v>
      </c>
      <c r="N71" s="366">
        <f>+VLOOKUP(D71,'Resultats - informe'!$Y$18:$AG$42,'Introducció dades consum'!K71+1,0)</f>
        <v>0</v>
      </c>
      <c r="O71" s="367" cm="1">
        <f t="array" ref="O71">+_xlfn.SWITCH(MONTH(C71),1,1,2,1,3,1,4,2,5,2,6,3,7,3,8,3,9,3,10,2,11,2,12,1,2)</f>
        <v>1</v>
      </c>
      <c r="P71" s="43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</row>
    <row r="72" spans="1:73" ht="18" x14ac:dyDescent="0.35">
      <c r="A72" s="43"/>
      <c r="C72" s="393"/>
      <c r="E72" s="394"/>
      <c r="F72" s="394"/>
      <c r="G72" s="394"/>
      <c r="H72" s="8" t="s">
        <v>61</v>
      </c>
      <c r="I72" s="364">
        <f t="shared" si="4"/>
        <v>0</v>
      </c>
      <c r="J72" s="365">
        <f t="shared" si="3"/>
        <v>0</v>
      </c>
      <c r="K72" s="366">
        <f t="shared" si="5"/>
        <v>6</v>
      </c>
      <c r="L72" s="366">
        <f>+IF((C72&gt;='Resultats - informe'!$E$16)*(C72&lt;='Resultats - informe'!$G$16),1,0)</f>
        <v>1</v>
      </c>
      <c r="M72" s="366" cm="1">
        <f t="array" ref="M72">+_xlfn.IFS((C72&gt;='Resultats - informe'!$D$26)*(C72&lt;='Resultats - informe'!$E$26),0,(C72&gt;='Resultats - informe'!$D$27)*(C72&lt;='Resultats - informe'!$E$27),0,(C72&gt;='Resultats - informe'!$D$28)*(C72&lt;='Resultats - informe'!$E$28),0,(C72&gt;='Resultats - informe'!$D$29)*(C72&lt;='Resultats - informe'!$E$29),0,1,1)</f>
        <v>0</v>
      </c>
      <c r="N72" s="366">
        <f>+VLOOKUP(D72,'Resultats - informe'!$Y$18:$AG$42,'Introducció dades consum'!K72+1,0)</f>
        <v>0</v>
      </c>
      <c r="O72" s="367" cm="1">
        <f t="array" ref="O72">+_xlfn.SWITCH(MONTH(C72),1,1,2,1,3,1,4,2,5,2,6,3,7,3,8,3,9,3,10,2,11,2,12,1,2)</f>
        <v>1</v>
      </c>
      <c r="P72" s="43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</row>
    <row r="73" spans="1:73" ht="18" x14ac:dyDescent="0.35">
      <c r="A73" s="43"/>
      <c r="C73" s="393"/>
      <c r="E73" s="394"/>
      <c r="F73" s="394"/>
      <c r="G73" s="394"/>
      <c r="H73" s="8" t="s">
        <v>61</v>
      </c>
      <c r="I73" s="364">
        <f t="shared" si="4"/>
        <v>0</v>
      </c>
      <c r="J73" s="365">
        <f t="shared" si="3"/>
        <v>0</v>
      </c>
      <c r="K73" s="366">
        <f t="shared" si="5"/>
        <v>6</v>
      </c>
      <c r="L73" s="366">
        <f>+IF((C73&gt;='Resultats - informe'!$E$16)*(C73&lt;='Resultats - informe'!$G$16),1,0)</f>
        <v>1</v>
      </c>
      <c r="M73" s="366" cm="1">
        <f t="array" ref="M73">+_xlfn.IFS((C73&gt;='Resultats - informe'!$D$26)*(C73&lt;='Resultats - informe'!$E$26),0,(C73&gt;='Resultats - informe'!$D$27)*(C73&lt;='Resultats - informe'!$E$27),0,(C73&gt;='Resultats - informe'!$D$28)*(C73&lt;='Resultats - informe'!$E$28),0,(C73&gt;='Resultats - informe'!$D$29)*(C73&lt;='Resultats - informe'!$E$29),0,1,1)</f>
        <v>0</v>
      </c>
      <c r="N73" s="366">
        <f>+VLOOKUP(D73,'Resultats - informe'!$Y$18:$AG$42,'Introducció dades consum'!K73+1,0)</f>
        <v>0</v>
      </c>
      <c r="O73" s="367" cm="1">
        <f t="array" ref="O73">+_xlfn.SWITCH(MONTH(C73),1,1,2,1,3,1,4,2,5,2,6,3,7,3,8,3,9,3,10,2,11,2,12,1,2)</f>
        <v>1</v>
      </c>
      <c r="P73" s="43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</row>
    <row r="74" spans="1:73" ht="18" x14ac:dyDescent="0.35">
      <c r="A74" s="43"/>
      <c r="C74" s="393"/>
      <c r="E74" s="394"/>
      <c r="F74" s="394"/>
      <c r="G74" s="394"/>
      <c r="H74" s="8" t="s">
        <v>61</v>
      </c>
      <c r="I74" s="364">
        <f t="shared" si="4"/>
        <v>0</v>
      </c>
      <c r="J74" s="365">
        <f t="shared" si="3"/>
        <v>0</v>
      </c>
      <c r="K74" s="366">
        <f t="shared" si="5"/>
        <v>6</v>
      </c>
      <c r="L74" s="366">
        <f>+IF((C74&gt;='Resultats - informe'!$E$16)*(C74&lt;='Resultats - informe'!$G$16),1,0)</f>
        <v>1</v>
      </c>
      <c r="M74" s="366" cm="1">
        <f t="array" ref="M74">+_xlfn.IFS((C74&gt;='Resultats - informe'!$D$26)*(C74&lt;='Resultats - informe'!$E$26),0,(C74&gt;='Resultats - informe'!$D$27)*(C74&lt;='Resultats - informe'!$E$27),0,(C74&gt;='Resultats - informe'!$D$28)*(C74&lt;='Resultats - informe'!$E$28),0,(C74&gt;='Resultats - informe'!$D$29)*(C74&lt;='Resultats - informe'!$E$29),0,1,1)</f>
        <v>0</v>
      </c>
      <c r="N74" s="366">
        <f>+VLOOKUP(D74,'Resultats - informe'!$Y$18:$AG$42,'Introducció dades consum'!K74+1,0)</f>
        <v>0</v>
      </c>
      <c r="O74" s="367" cm="1">
        <f t="array" ref="O74">+_xlfn.SWITCH(MONTH(C74),1,1,2,1,3,1,4,2,5,2,6,3,7,3,8,3,9,3,10,2,11,2,12,1,2)</f>
        <v>1</v>
      </c>
      <c r="P74" s="43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</row>
    <row r="75" spans="1:73" ht="18" x14ac:dyDescent="0.35">
      <c r="A75" s="43"/>
      <c r="C75" s="393"/>
      <c r="E75" s="394"/>
      <c r="F75" s="394"/>
      <c r="G75" s="394"/>
      <c r="H75" s="8" t="s">
        <v>61</v>
      </c>
      <c r="I75" s="364">
        <f t="shared" si="4"/>
        <v>0</v>
      </c>
      <c r="J75" s="365">
        <f t="shared" si="3"/>
        <v>0</v>
      </c>
      <c r="K75" s="366">
        <f t="shared" si="5"/>
        <v>6</v>
      </c>
      <c r="L75" s="366">
        <f>+IF((C75&gt;='Resultats - informe'!$E$16)*(C75&lt;='Resultats - informe'!$G$16),1,0)</f>
        <v>1</v>
      </c>
      <c r="M75" s="366" cm="1">
        <f t="array" ref="M75">+_xlfn.IFS((C75&gt;='Resultats - informe'!$D$26)*(C75&lt;='Resultats - informe'!$E$26),0,(C75&gt;='Resultats - informe'!$D$27)*(C75&lt;='Resultats - informe'!$E$27),0,(C75&gt;='Resultats - informe'!$D$28)*(C75&lt;='Resultats - informe'!$E$28),0,(C75&gt;='Resultats - informe'!$D$29)*(C75&lt;='Resultats - informe'!$E$29),0,1,1)</f>
        <v>0</v>
      </c>
      <c r="N75" s="366">
        <f>+VLOOKUP(D75,'Resultats - informe'!$Y$18:$AG$42,'Introducció dades consum'!K75+1,0)</f>
        <v>0</v>
      </c>
      <c r="O75" s="367" cm="1">
        <f t="array" ref="O75">+_xlfn.SWITCH(MONTH(C75),1,1,2,1,3,1,4,2,5,2,6,3,7,3,8,3,9,3,10,2,11,2,12,1,2)</f>
        <v>1</v>
      </c>
      <c r="P75" s="43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</row>
    <row r="76" spans="1:73" ht="18" x14ac:dyDescent="0.35">
      <c r="A76" s="43"/>
      <c r="C76" s="393"/>
      <c r="E76" s="394"/>
      <c r="F76" s="394"/>
      <c r="G76" s="394"/>
      <c r="H76" s="8" t="s">
        <v>61</v>
      </c>
      <c r="I76" s="364">
        <f t="shared" si="4"/>
        <v>0</v>
      </c>
      <c r="J76" s="365">
        <f t="shared" si="3"/>
        <v>0</v>
      </c>
      <c r="K76" s="366">
        <f t="shared" si="5"/>
        <v>6</v>
      </c>
      <c r="L76" s="366">
        <f>+IF((C76&gt;='Resultats - informe'!$E$16)*(C76&lt;='Resultats - informe'!$G$16),1,0)</f>
        <v>1</v>
      </c>
      <c r="M76" s="366" cm="1">
        <f t="array" ref="M76">+_xlfn.IFS((C76&gt;='Resultats - informe'!$D$26)*(C76&lt;='Resultats - informe'!$E$26),0,(C76&gt;='Resultats - informe'!$D$27)*(C76&lt;='Resultats - informe'!$E$27),0,(C76&gt;='Resultats - informe'!$D$28)*(C76&lt;='Resultats - informe'!$E$28),0,(C76&gt;='Resultats - informe'!$D$29)*(C76&lt;='Resultats - informe'!$E$29),0,1,1)</f>
        <v>0</v>
      </c>
      <c r="N76" s="366">
        <f>+VLOOKUP(D76,'Resultats - informe'!$Y$18:$AG$42,'Introducció dades consum'!K76+1,0)</f>
        <v>0</v>
      </c>
      <c r="O76" s="367" cm="1">
        <f t="array" ref="O76">+_xlfn.SWITCH(MONTH(C76),1,1,2,1,3,1,4,2,5,2,6,3,7,3,8,3,9,3,10,2,11,2,12,1,2)</f>
        <v>1</v>
      </c>
      <c r="P76" s="43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</row>
    <row r="77" spans="1:73" ht="18" x14ac:dyDescent="0.35">
      <c r="A77" s="43"/>
      <c r="C77" s="393"/>
      <c r="E77" s="394"/>
      <c r="F77" s="394"/>
      <c r="G77" s="394"/>
      <c r="H77" s="8" t="s">
        <v>61</v>
      </c>
      <c r="I77" s="364">
        <f t="shared" si="4"/>
        <v>0</v>
      </c>
      <c r="J77" s="365">
        <f t="shared" si="3"/>
        <v>0</v>
      </c>
      <c r="K77" s="366">
        <f t="shared" si="5"/>
        <v>6</v>
      </c>
      <c r="L77" s="366">
        <f>+IF((C77&gt;='Resultats - informe'!$E$16)*(C77&lt;='Resultats - informe'!$G$16),1,0)</f>
        <v>1</v>
      </c>
      <c r="M77" s="366" cm="1">
        <f t="array" ref="M77">+_xlfn.IFS((C77&gt;='Resultats - informe'!$D$26)*(C77&lt;='Resultats - informe'!$E$26),0,(C77&gt;='Resultats - informe'!$D$27)*(C77&lt;='Resultats - informe'!$E$27),0,(C77&gt;='Resultats - informe'!$D$28)*(C77&lt;='Resultats - informe'!$E$28),0,(C77&gt;='Resultats - informe'!$D$29)*(C77&lt;='Resultats - informe'!$E$29),0,1,1)</f>
        <v>0</v>
      </c>
      <c r="N77" s="366">
        <f>+VLOOKUP(D77,'Resultats - informe'!$Y$18:$AG$42,'Introducció dades consum'!K77+1,0)</f>
        <v>0</v>
      </c>
      <c r="O77" s="367" cm="1">
        <f t="array" ref="O77">+_xlfn.SWITCH(MONTH(C77),1,1,2,1,3,1,4,2,5,2,6,3,7,3,8,3,9,3,10,2,11,2,12,1,2)</f>
        <v>1</v>
      </c>
      <c r="P77" s="43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</row>
    <row r="78" spans="1:73" ht="18" x14ac:dyDescent="0.35">
      <c r="A78" s="43"/>
      <c r="C78" s="393"/>
      <c r="E78" s="394"/>
      <c r="F78" s="394"/>
      <c r="G78" s="394"/>
      <c r="H78" s="8" t="s">
        <v>61</v>
      </c>
      <c r="I78" s="364">
        <f t="shared" si="4"/>
        <v>0</v>
      </c>
      <c r="J78" s="365">
        <f t="shared" si="3"/>
        <v>0</v>
      </c>
      <c r="K78" s="366">
        <f t="shared" si="5"/>
        <v>6</v>
      </c>
      <c r="L78" s="366">
        <f>+IF((C78&gt;='Resultats - informe'!$E$16)*(C78&lt;='Resultats - informe'!$G$16),1,0)</f>
        <v>1</v>
      </c>
      <c r="M78" s="366" cm="1">
        <f t="array" ref="M78">+_xlfn.IFS((C78&gt;='Resultats - informe'!$D$26)*(C78&lt;='Resultats - informe'!$E$26),0,(C78&gt;='Resultats - informe'!$D$27)*(C78&lt;='Resultats - informe'!$E$27),0,(C78&gt;='Resultats - informe'!$D$28)*(C78&lt;='Resultats - informe'!$E$28),0,(C78&gt;='Resultats - informe'!$D$29)*(C78&lt;='Resultats - informe'!$E$29),0,1,1)</f>
        <v>0</v>
      </c>
      <c r="N78" s="366">
        <f>+VLOOKUP(D78,'Resultats - informe'!$Y$18:$AG$42,'Introducció dades consum'!K78+1,0)</f>
        <v>0</v>
      </c>
      <c r="O78" s="367" cm="1">
        <f t="array" ref="O78">+_xlfn.SWITCH(MONTH(C78),1,1,2,1,3,1,4,2,5,2,6,3,7,3,8,3,9,3,10,2,11,2,12,1,2)</f>
        <v>1</v>
      </c>
      <c r="P78" s="43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</row>
    <row r="79" spans="1:73" ht="18" x14ac:dyDescent="0.35">
      <c r="A79" s="43"/>
      <c r="C79" s="393"/>
      <c r="E79" s="394"/>
      <c r="F79" s="394"/>
      <c r="G79" s="394"/>
      <c r="H79" s="8" t="s">
        <v>61</v>
      </c>
      <c r="I79" s="364">
        <f t="shared" si="4"/>
        <v>0</v>
      </c>
      <c r="J79" s="365">
        <f t="shared" si="3"/>
        <v>0</v>
      </c>
      <c r="K79" s="366">
        <f t="shared" si="5"/>
        <v>6</v>
      </c>
      <c r="L79" s="366">
        <f>+IF((C79&gt;='Resultats - informe'!$E$16)*(C79&lt;='Resultats - informe'!$G$16),1,0)</f>
        <v>1</v>
      </c>
      <c r="M79" s="366" cm="1">
        <f t="array" ref="M79">+_xlfn.IFS((C79&gt;='Resultats - informe'!$D$26)*(C79&lt;='Resultats - informe'!$E$26),0,(C79&gt;='Resultats - informe'!$D$27)*(C79&lt;='Resultats - informe'!$E$27),0,(C79&gt;='Resultats - informe'!$D$28)*(C79&lt;='Resultats - informe'!$E$28),0,(C79&gt;='Resultats - informe'!$D$29)*(C79&lt;='Resultats - informe'!$E$29),0,1,1)</f>
        <v>0</v>
      </c>
      <c r="N79" s="366">
        <f>+VLOOKUP(D79,'Resultats - informe'!$Y$18:$AG$42,'Introducció dades consum'!K79+1,0)</f>
        <v>0</v>
      </c>
      <c r="O79" s="367" cm="1">
        <f t="array" ref="O79">+_xlfn.SWITCH(MONTH(C79),1,1,2,1,3,1,4,2,5,2,6,3,7,3,8,3,9,3,10,2,11,2,12,1,2)</f>
        <v>1</v>
      </c>
      <c r="P79" s="43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</row>
    <row r="80" spans="1:73" ht="18" x14ac:dyDescent="0.35">
      <c r="A80" s="43"/>
      <c r="C80" s="393"/>
      <c r="E80" s="394"/>
      <c r="F80" s="394"/>
      <c r="G80" s="394"/>
      <c r="H80" s="8" t="s">
        <v>61</v>
      </c>
      <c r="I80" s="364">
        <f t="shared" si="4"/>
        <v>0</v>
      </c>
      <c r="J80" s="365">
        <f t="shared" si="3"/>
        <v>0</v>
      </c>
      <c r="K80" s="366">
        <f t="shared" si="5"/>
        <v>6</v>
      </c>
      <c r="L80" s="366">
        <f>+IF((C80&gt;='Resultats - informe'!$E$16)*(C80&lt;='Resultats - informe'!$G$16),1,0)</f>
        <v>1</v>
      </c>
      <c r="M80" s="366" cm="1">
        <f t="array" ref="M80">+_xlfn.IFS((C80&gt;='Resultats - informe'!$D$26)*(C80&lt;='Resultats - informe'!$E$26),0,(C80&gt;='Resultats - informe'!$D$27)*(C80&lt;='Resultats - informe'!$E$27),0,(C80&gt;='Resultats - informe'!$D$28)*(C80&lt;='Resultats - informe'!$E$28),0,(C80&gt;='Resultats - informe'!$D$29)*(C80&lt;='Resultats - informe'!$E$29),0,1,1)</f>
        <v>0</v>
      </c>
      <c r="N80" s="366">
        <f>+VLOOKUP(D80,'Resultats - informe'!$Y$18:$AG$42,'Introducció dades consum'!K80+1,0)</f>
        <v>0</v>
      </c>
      <c r="O80" s="367" cm="1">
        <f t="array" ref="O80">+_xlfn.SWITCH(MONTH(C80),1,1,2,1,3,1,4,2,5,2,6,3,7,3,8,3,9,3,10,2,11,2,12,1,2)</f>
        <v>1</v>
      </c>
      <c r="P80" s="43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</row>
    <row r="81" spans="1:73" ht="18" x14ac:dyDescent="0.35">
      <c r="A81" s="43"/>
      <c r="C81" s="393"/>
      <c r="E81" s="394"/>
      <c r="F81" s="394"/>
      <c r="G81" s="394"/>
      <c r="H81" s="8" t="s">
        <v>61</v>
      </c>
      <c r="I81" s="364">
        <f t="shared" si="4"/>
        <v>0</v>
      </c>
      <c r="J81" s="365">
        <f t="shared" si="3"/>
        <v>0</v>
      </c>
      <c r="K81" s="366">
        <f t="shared" si="5"/>
        <v>6</v>
      </c>
      <c r="L81" s="366">
        <f>+IF((C81&gt;='Resultats - informe'!$E$16)*(C81&lt;='Resultats - informe'!$G$16),1,0)</f>
        <v>1</v>
      </c>
      <c r="M81" s="366" cm="1">
        <f t="array" ref="M81">+_xlfn.IFS((C81&gt;='Resultats - informe'!$D$26)*(C81&lt;='Resultats - informe'!$E$26),0,(C81&gt;='Resultats - informe'!$D$27)*(C81&lt;='Resultats - informe'!$E$27),0,(C81&gt;='Resultats - informe'!$D$28)*(C81&lt;='Resultats - informe'!$E$28),0,(C81&gt;='Resultats - informe'!$D$29)*(C81&lt;='Resultats - informe'!$E$29),0,1,1)</f>
        <v>0</v>
      </c>
      <c r="N81" s="366">
        <f>+VLOOKUP(D81,'Resultats - informe'!$Y$18:$AG$42,'Introducció dades consum'!K81+1,0)</f>
        <v>0</v>
      </c>
      <c r="O81" s="367" cm="1">
        <f t="array" ref="O81">+_xlfn.SWITCH(MONTH(C81),1,1,2,1,3,1,4,2,5,2,6,3,7,3,8,3,9,3,10,2,11,2,12,1,2)</f>
        <v>1</v>
      </c>
      <c r="P81" s="43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</row>
    <row r="82" spans="1:73" ht="18" x14ac:dyDescent="0.35">
      <c r="A82" s="43"/>
      <c r="C82" s="393"/>
      <c r="E82" s="394"/>
      <c r="F82" s="394"/>
      <c r="G82" s="394"/>
      <c r="H82" s="8" t="s">
        <v>61</v>
      </c>
      <c r="I82" s="364">
        <f t="shared" si="4"/>
        <v>0</v>
      </c>
      <c r="J82" s="365">
        <f t="shared" si="3"/>
        <v>0</v>
      </c>
      <c r="K82" s="366">
        <f t="shared" si="5"/>
        <v>6</v>
      </c>
      <c r="L82" s="366">
        <f>+IF((C82&gt;='Resultats - informe'!$E$16)*(C82&lt;='Resultats - informe'!$G$16),1,0)</f>
        <v>1</v>
      </c>
      <c r="M82" s="366" cm="1">
        <f t="array" ref="M82">+_xlfn.IFS((C82&gt;='Resultats - informe'!$D$26)*(C82&lt;='Resultats - informe'!$E$26),0,(C82&gt;='Resultats - informe'!$D$27)*(C82&lt;='Resultats - informe'!$E$27),0,(C82&gt;='Resultats - informe'!$D$28)*(C82&lt;='Resultats - informe'!$E$28),0,(C82&gt;='Resultats - informe'!$D$29)*(C82&lt;='Resultats - informe'!$E$29),0,1,1)</f>
        <v>0</v>
      </c>
      <c r="N82" s="366">
        <f>+VLOOKUP(D82,'Resultats - informe'!$Y$18:$AG$42,'Introducció dades consum'!K82+1,0)</f>
        <v>0</v>
      </c>
      <c r="O82" s="367" cm="1">
        <f t="array" ref="O82">+_xlfn.SWITCH(MONTH(C82),1,1,2,1,3,1,4,2,5,2,6,3,7,3,8,3,9,3,10,2,11,2,12,1,2)</f>
        <v>1</v>
      </c>
      <c r="P82" s="43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</row>
    <row r="83" spans="1:73" ht="18" x14ac:dyDescent="0.35">
      <c r="A83" s="43"/>
      <c r="C83" s="393"/>
      <c r="E83" s="394"/>
      <c r="F83" s="394"/>
      <c r="G83" s="394"/>
      <c r="H83" s="8" t="s">
        <v>61</v>
      </c>
      <c r="I83" s="364">
        <f t="shared" si="4"/>
        <v>0</v>
      </c>
      <c r="J83" s="365">
        <f t="shared" si="3"/>
        <v>0</v>
      </c>
      <c r="K83" s="366">
        <f t="shared" si="5"/>
        <v>6</v>
      </c>
      <c r="L83" s="366">
        <f>+IF((C83&gt;='Resultats - informe'!$E$16)*(C83&lt;='Resultats - informe'!$G$16),1,0)</f>
        <v>1</v>
      </c>
      <c r="M83" s="366" cm="1">
        <f t="array" ref="M83">+_xlfn.IFS((C83&gt;='Resultats - informe'!$D$26)*(C83&lt;='Resultats - informe'!$E$26),0,(C83&gt;='Resultats - informe'!$D$27)*(C83&lt;='Resultats - informe'!$E$27),0,(C83&gt;='Resultats - informe'!$D$28)*(C83&lt;='Resultats - informe'!$E$28),0,(C83&gt;='Resultats - informe'!$D$29)*(C83&lt;='Resultats - informe'!$E$29),0,1,1)</f>
        <v>0</v>
      </c>
      <c r="N83" s="366">
        <f>+VLOOKUP(D83,'Resultats - informe'!$Y$18:$AG$42,'Introducció dades consum'!K83+1,0)</f>
        <v>0</v>
      </c>
      <c r="O83" s="367" cm="1">
        <f t="array" ref="O83">+_xlfn.SWITCH(MONTH(C83),1,1,2,1,3,1,4,2,5,2,6,3,7,3,8,3,9,3,10,2,11,2,12,1,2)</f>
        <v>1</v>
      </c>
      <c r="P83" s="43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</row>
    <row r="84" spans="1:73" ht="18" x14ac:dyDescent="0.35">
      <c r="A84" s="43"/>
      <c r="C84" s="393"/>
      <c r="E84" s="394"/>
      <c r="F84" s="394"/>
      <c r="G84" s="394"/>
      <c r="H84" s="8" t="s">
        <v>61</v>
      </c>
      <c r="I84" s="364">
        <f t="shared" si="4"/>
        <v>0</v>
      </c>
      <c r="J84" s="365">
        <f t="shared" si="3"/>
        <v>0</v>
      </c>
      <c r="K84" s="366">
        <f t="shared" si="5"/>
        <v>6</v>
      </c>
      <c r="L84" s="366">
        <f>+IF((C84&gt;='Resultats - informe'!$E$16)*(C84&lt;='Resultats - informe'!$G$16),1,0)</f>
        <v>1</v>
      </c>
      <c r="M84" s="366" cm="1">
        <f t="array" ref="M84">+_xlfn.IFS((C84&gt;='Resultats - informe'!$D$26)*(C84&lt;='Resultats - informe'!$E$26),0,(C84&gt;='Resultats - informe'!$D$27)*(C84&lt;='Resultats - informe'!$E$27),0,(C84&gt;='Resultats - informe'!$D$28)*(C84&lt;='Resultats - informe'!$E$28),0,(C84&gt;='Resultats - informe'!$D$29)*(C84&lt;='Resultats - informe'!$E$29),0,1,1)</f>
        <v>0</v>
      </c>
      <c r="N84" s="366">
        <f>+VLOOKUP(D84,'Resultats - informe'!$Y$18:$AG$42,'Introducció dades consum'!K84+1,0)</f>
        <v>0</v>
      </c>
      <c r="O84" s="367" cm="1">
        <f t="array" ref="O84">+_xlfn.SWITCH(MONTH(C84),1,1,2,1,3,1,4,2,5,2,6,3,7,3,8,3,9,3,10,2,11,2,12,1,2)</f>
        <v>1</v>
      </c>
      <c r="P84" s="43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</row>
    <row r="85" spans="1:73" ht="18" x14ac:dyDescent="0.35">
      <c r="A85" s="43"/>
      <c r="C85" s="393"/>
      <c r="E85" s="394"/>
      <c r="F85" s="394"/>
      <c r="G85" s="394"/>
      <c r="H85" s="8" t="s">
        <v>61</v>
      </c>
      <c r="I85" s="364">
        <f t="shared" si="4"/>
        <v>0</v>
      </c>
      <c r="J85" s="365">
        <f t="shared" si="3"/>
        <v>0</v>
      </c>
      <c r="K85" s="366">
        <f t="shared" si="5"/>
        <v>6</v>
      </c>
      <c r="L85" s="366">
        <f>+IF((C85&gt;='Resultats - informe'!$E$16)*(C85&lt;='Resultats - informe'!$G$16),1,0)</f>
        <v>1</v>
      </c>
      <c r="M85" s="366" cm="1">
        <f t="array" ref="M85">+_xlfn.IFS((C85&gt;='Resultats - informe'!$D$26)*(C85&lt;='Resultats - informe'!$E$26),0,(C85&gt;='Resultats - informe'!$D$27)*(C85&lt;='Resultats - informe'!$E$27),0,(C85&gt;='Resultats - informe'!$D$28)*(C85&lt;='Resultats - informe'!$E$28),0,(C85&gt;='Resultats - informe'!$D$29)*(C85&lt;='Resultats - informe'!$E$29),0,1,1)</f>
        <v>0</v>
      </c>
      <c r="N85" s="366">
        <f>+VLOOKUP(D85,'Resultats - informe'!$Y$18:$AG$42,'Introducció dades consum'!K85+1,0)</f>
        <v>0</v>
      </c>
      <c r="O85" s="367" cm="1">
        <f t="array" ref="O85">+_xlfn.SWITCH(MONTH(C85),1,1,2,1,3,1,4,2,5,2,6,3,7,3,8,3,9,3,10,2,11,2,12,1,2)</f>
        <v>1</v>
      </c>
      <c r="P85" s="43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</row>
    <row r="86" spans="1:73" ht="18" x14ac:dyDescent="0.35">
      <c r="A86" s="43"/>
      <c r="C86" s="393"/>
      <c r="E86" s="394"/>
      <c r="F86" s="394"/>
      <c r="G86" s="394"/>
      <c r="H86" s="8" t="s">
        <v>61</v>
      </c>
      <c r="I86" s="364">
        <f t="shared" si="4"/>
        <v>0</v>
      </c>
      <c r="J86" s="365">
        <f t="shared" si="3"/>
        <v>0</v>
      </c>
      <c r="K86" s="366">
        <f t="shared" si="5"/>
        <v>6</v>
      </c>
      <c r="L86" s="366">
        <f>+IF((C86&gt;='Resultats - informe'!$E$16)*(C86&lt;='Resultats - informe'!$G$16),1,0)</f>
        <v>1</v>
      </c>
      <c r="M86" s="366" cm="1">
        <f t="array" ref="M86">+_xlfn.IFS((C86&gt;='Resultats - informe'!$D$26)*(C86&lt;='Resultats - informe'!$E$26),0,(C86&gt;='Resultats - informe'!$D$27)*(C86&lt;='Resultats - informe'!$E$27),0,(C86&gt;='Resultats - informe'!$D$28)*(C86&lt;='Resultats - informe'!$E$28),0,(C86&gt;='Resultats - informe'!$D$29)*(C86&lt;='Resultats - informe'!$E$29),0,1,1)</f>
        <v>0</v>
      </c>
      <c r="N86" s="366">
        <f>+VLOOKUP(D86,'Resultats - informe'!$Y$18:$AG$42,'Introducció dades consum'!K86+1,0)</f>
        <v>0</v>
      </c>
      <c r="O86" s="367" cm="1">
        <f t="array" ref="O86">+_xlfn.SWITCH(MONTH(C86),1,1,2,1,3,1,4,2,5,2,6,3,7,3,8,3,9,3,10,2,11,2,12,1,2)</f>
        <v>1</v>
      </c>
      <c r="P86" s="43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</row>
    <row r="87" spans="1:73" ht="18" x14ac:dyDescent="0.35">
      <c r="A87" s="43"/>
      <c r="C87" s="393"/>
      <c r="E87" s="394"/>
      <c r="F87" s="394"/>
      <c r="G87" s="394"/>
      <c r="H87" s="8" t="s">
        <v>61</v>
      </c>
      <c r="I87" s="364">
        <f t="shared" si="4"/>
        <v>0</v>
      </c>
      <c r="J87" s="365">
        <f t="shared" si="3"/>
        <v>0</v>
      </c>
      <c r="K87" s="366">
        <f t="shared" si="5"/>
        <v>6</v>
      </c>
      <c r="L87" s="366">
        <f>+IF((C87&gt;='Resultats - informe'!$E$16)*(C87&lt;='Resultats - informe'!$G$16),1,0)</f>
        <v>1</v>
      </c>
      <c r="M87" s="366" cm="1">
        <f t="array" ref="M87">+_xlfn.IFS((C87&gt;='Resultats - informe'!$D$26)*(C87&lt;='Resultats - informe'!$E$26),0,(C87&gt;='Resultats - informe'!$D$27)*(C87&lt;='Resultats - informe'!$E$27),0,(C87&gt;='Resultats - informe'!$D$28)*(C87&lt;='Resultats - informe'!$E$28),0,(C87&gt;='Resultats - informe'!$D$29)*(C87&lt;='Resultats - informe'!$E$29),0,1,1)</f>
        <v>0</v>
      </c>
      <c r="N87" s="366">
        <f>+VLOOKUP(D87,'Resultats - informe'!$Y$18:$AG$42,'Introducció dades consum'!K87+1,0)</f>
        <v>0</v>
      </c>
      <c r="O87" s="367" cm="1">
        <f t="array" ref="O87">+_xlfn.SWITCH(MONTH(C87),1,1,2,1,3,1,4,2,5,2,6,3,7,3,8,3,9,3,10,2,11,2,12,1,2)</f>
        <v>1</v>
      </c>
      <c r="P87" s="43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</row>
    <row r="88" spans="1:73" ht="18" x14ac:dyDescent="0.35">
      <c r="A88" s="43"/>
      <c r="C88" s="393"/>
      <c r="E88" s="394"/>
      <c r="F88" s="394"/>
      <c r="G88" s="394"/>
      <c r="H88" s="8" t="s">
        <v>61</v>
      </c>
      <c r="I88" s="364">
        <f t="shared" si="4"/>
        <v>0</v>
      </c>
      <c r="J88" s="365">
        <f t="shared" si="3"/>
        <v>0</v>
      </c>
      <c r="K88" s="366">
        <f t="shared" si="5"/>
        <v>6</v>
      </c>
      <c r="L88" s="366">
        <f>+IF((C88&gt;='Resultats - informe'!$E$16)*(C88&lt;='Resultats - informe'!$G$16),1,0)</f>
        <v>1</v>
      </c>
      <c r="M88" s="366" cm="1">
        <f t="array" ref="M88">+_xlfn.IFS((C88&gt;='Resultats - informe'!$D$26)*(C88&lt;='Resultats - informe'!$E$26),0,(C88&gt;='Resultats - informe'!$D$27)*(C88&lt;='Resultats - informe'!$E$27),0,(C88&gt;='Resultats - informe'!$D$28)*(C88&lt;='Resultats - informe'!$E$28),0,(C88&gt;='Resultats - informe'!$D$29)*(C88&lt;='Resultats - informe'!$E$29),0,1,1)</f>
        <v>0</v>
      </c>
      <c r="N88" s="366">
        <f>+VLOOKUP(D88,'Resultats - informe'!$Y$18:$AG$42,'Introducció dades consum'!K88+1,0)</f>
        <v>0</v>
      </c>
      <c r="O88" s="367" cm="1">
        <f t="array" ref="O88">+_xlfn.SWITCH(MONTH(C88),1,1,2,1,3,1,4,2,5,2,6,3,7,3,8,3,9,3,10,2,11,2,12,1,2)</f>
        <v>1</v>
      </c>
      <c r="P88" s="43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</row>
    <row r="89" spans="1:73" ht="18" x14ac:dyDescent="0.35">
      <c r="A89" s="43"/>
      <c r="C89" s="393"/>
      <c r="E89" s="394"/>
      <c r="F89" s="394"/>
      <c r="G89" s="394"/>
      <c r="H89" s="8" t="s">
        <v>61</v>
      </c>
      <c r="I89" s="364">
        <f t="shared" si="4"/>
        <v>0</v>
      </c>
      <c r="J89" s="365">
        <f t="shared" si="3"/>
        <v>0</v>
      </c>
      <c r="K89" s="366">
        <f t="shared" si="5"/>
        <v>6</v>
      </c>
      <c r="L89" s="366">
        <f>+IF((C89&gt;='Resultats - informe'!$E$16)*(C89&lt;='Resultats - informe'!$G$16),1,0)</f>
        <v>1</v>
      </c>
      <c r="M89" s="366" cm="1">
        <f t="array" ref="M89">+_xlfn.IFS((C89&gt;='Resultats - informe'!$D$26)*(C89&lt;='Resultats - informe'!$E$26),0,(C89&gt;='Resultats - informe'!$D$27)*(C89&lt;='Resultats - informe'!$E$27),0,(C89&gt;='Resultats - informe'!$D$28)*(C89&lt;='Resultats - informe'!$E$28),0,(C89&gt;='Resultats - informe'!$D$29)*(C89&lt;='Resultats - informe'!$E$29),0,1,1)</f>
        <v>0</v>
      </c>
      <c r="N89" s="366">
        <f>+VLOOKUP(D89,'Resultats - informe'!$Y$18:$AG$42,'Introducció dades consum'!K89+1,0)</f>
        <v>0</v>
      </c>
      <c r="O89" s="367" cm="1">
        <f t="array" ref="O89">+_xlfn.SWITCH(MONTH(C89),1,1,2,1,3,1,4,2,5,2,6,3,7,3,8,3,9,3,10,2,11,2,12,1,2)</f>
        <v>1</v>
      </c>
      <c r="P89" s="43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</row>
    <row r="90" spans="1:73" ht="18" x14ac:dyDescent="0.35">
      <c r="A90" s="43"/>
      <c r="C90" s="393"/>
      <c r="E90" s="394"/>
      <c r="F90" s="394"/>
      <c r="G90" s="394"/>
      <c r="H90" s="8" t="s">
        <v>61</v>
      </c>
      <c r="I90" s="364">
        <f t="shared" si="4"/>
        <v>0</v>
      </c>
      <c r="J90" s="365">
        <f t="shared" si="3"/>
        <v>0</v>
      </c>
      <c r="K90" s="366">
        <f t="shared" si="5"/>
        <v>6</v>
      </c>
      <c r="L90" s="366">
        <f>+IF((C90&gt;='Resultats - informe'!$E$16)*(C90&lt;='Resultats - informe'!$G$16),1,0)</f>
        <v>1</v>
      </c>
      <c r="M90" s="366" cm="1">
        <f t="array" ref="M90">+_xlfn.IFS((C90&gt;='Resultats - informe'!$D$26)*(C90&lt;='Resultats - informe'!$E$26),0,(C90&gt;='Resultats - informe'!$D$27)*(C90&lt;='Resultats - informe'!$E$27),0,(C90&gt;='Resultats - informe'!$D$28)*(C90&lt;='Resultats - informe'!$E$28),0,(C90&gt;='Resultats - informe'!$D$29)*(C90&lt;='Resultats - informe'!$E$29),0,1,1)</f>
        <v>0</v>
      </c>
      <c r="N90" s="366">
        <f>+VLOOKUP(D90,'Resultats - informe'!$Y$18:$AG$42,'Introducció dades consum'!K90+1,0)</f>
        <v>0</v>
      </c>
      <c r="O90" s="367" cm="1">
        <f t="array" ref="O90">+_xlfn.SWITCH(MONTH(C90),1,1,2,1,3,1,4,2,5,2,6,3,7,3,8,3,9,3,10,2,11,2,12,1,2)</f>
        <v>1</v>
      </c>
      <c r="P90" s="43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</row>
    <row r="91" spans="1:73" ht="18" x14ac:dyDescent="0.35">
      <c r="A91" s="43"/>
      <c r="C91" s="393"/>
      <c r="E91" s="394"/>
      <c r="F91" s="394"/>
      <c r="G91" s="394"/>
      <c r="H91" s="8" t="s">
        <v>61</v>
      </c>
      <c r="I91" s="364">
        <f t="shared" si="4"/>
        <v>0</v>
      </c>
      <c r="J91" s="365">
        <f t="shared" si="3"/>
        <v>0</v>
      </c>
      <c r="K91" s="366">
        <f t="shared" si="5"/>
        <v>6</v>
      </c>
      <c r="L91" s="366">
        <f>+IF((C91&gt;='Resultats - informe'!$E$16)*(C91&lt;='Resultats - informe'!$G$16),1,0)</f>
        <v>1</v>
      </c>
      <c r="M91" s="366" cm="1">
        <f t="array" ref="M91">+_xlfn.IFS((C91&gt;='Resultats - informe'!$D$26)*(C91&lt;='Resultats - informe'!$E$26),0,(C91&gt;='Resultats - informe'!$D$27)*(C91&lt;='Resultats - informe'!$E$27),0,(C91&gt;='Resultats - informe'!$D$28)*(C91&lt;='Resultats - informe'!$E$28),0,(C91&gt;='Resultats - informe'!$D$29)*(C91&lt;='Resultats - informe'!$E$29),0,1,1)</f>
        <v>0</v>
      </c>
      <c r="N91" s="366">
        <f>+VLOOKUP(D91,'Resultats - informe'!$Y$18:$AG$42,'Introducció dades consum'!K91+1,0)</f>
        <v>0</v>
      </c>
      <c r="O91" s="367" cm="1">
        <f t="array" ref="O91">+_xlfn.SWITCH(MONTH(C91),1,1,2,1,3,1,4,2,5,2,6,3,7,3,8,3,9,3,10,2,11,2,12,1,2)</f>
        <v>1</v>
      </c>
      <c r="P91" s="43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</row>
    <row r="92" spans="1:73" ht="18" x14ac:dyDescent="0.35">
      <c r="A92" s="43"/>
      <c r="C92" s="393"/>
      <c r="E92" s="394"/>
      <c r="F92" s="394"/>
      <c r="G92" s="394"/>
      <c r="H92" s="8" t="s">
        <v>61</v>
      </c>
      <c r="I92" s="364">
        <f t="shared" si="4"/>
        <v>0</v>
      </c>
      <c r="J92" s="365">
        <f t="shared" si="3"/>
        <v>0</v>
      </c>
      <c r="K92" s="366">
        <f t="shared" si="5"/>
        <v>6</v>
      </c>
      <c r="L92" s="366">
        <f>+IF((C92&gt;='Resultats - informe'!$E$16)*(C92&lt;='Resultats - informe'!$G$16),1,0)</f>
        <v>1</v>
      </c>
      <c r="M92" s="366" cm="1">
        <f t="array" ref="M92">+_xlfn.IFS((C92&gt;='Resultats - informe'!$D$26)*(C92&lt;='Resultats - informe'!$E$26),0,(C92&gt;='Resultats - informe'!$D$27)*(C92&lt;='Resultats - informe'!$E$27),0,(C92&gt;='Resultats - informe'!$D$28)*(C92&lt;='Resultats - informe'!$E$28),0,(C92&gt;='Resultats - informe'!$D$29)*(C92&lt;='Resultats - informe'!$E$29),0,1,1)</f>
        <v>0</v>
      </c>
      <c r="N92" s="366">
        <f>+VLOOKUP(D92,'Resultats - informe'!$Y$18:$AG$42,'Introducció dades consum'!K92+1,0)</f>
        <v>0</v>
      </c>
      <c r="O92" s="367" cm="1">
        <f t="array" ref="O92">+_xlfn.SWITCH(MONTH(C92),1,1,2,1,3,1,4,2,5,2,6,3,7,3,8,3,9,3,10,2,11,2,12,1,2)</f>
        <v>1</v>
      </c>
      <c r="P92" s="43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</row>
    <row r="93" spans="1:73" ht="18" x14ac:dyDescent="0.35">
      <c r="A93" s="43"/>
      <c r="C93" s="393"/>
      <c r="E93" s="394"/>
      <c r="F93" s="394"/>
      <c r="G93" s="394"/>
      <c r="H93" s="8" t="s">
        <v>61</v>
      </c>
      <c r="I93" s="364">
        <f t="shared" si="4"/>
        <v>0</v>
      </c>
      <c r="J93" s="365">
        <f t="shared" si="3"/>
        <v>0</v>
      </c>
      <c r="K93" s="366">
        <f t="shared" si="5"/>
        <v>6</v>
      </c>
      <c r="L93" s="366">
        <f>+IF((C93&gt;='Resultats - informe'!$E$16)*(C93&lt;='Resultats - informe'!$G$16),1,0)</f>
        <v>1</v>
      </c>
      <c r="M93" s="366" cm="1">
        <f t="array" ref="M93">+_xlfn.IFS((C93&gt;='Resultats - informe'!$D$26)*(C93&lt;='Resultats - informe'!$E$26),0,(C93&gt;='Resultats - informe'!$D$27)*(C93&lt;='Resultats - informe'!$E$27),0,(C93&gt;='Resultats - informe'!$D$28)*(C93&lt;='Resultats - informe'!$E$28),0,(C93&gt;='Resultats - informe'!$D$29)*(C93&lt;='Resultats - informe'!$E$29),0,1,1)</f>
        <v>0</v>
      </c>
      <c r="N93" s="366">
        <f>+VLOOKUP(D93,'Resultats - informe'!$Y$18:$AG$42,'Introducció dades consum'!K93+1,0)</f>
        <v>0</v>
      </c>
      <c r="O93" s="367" cm="1">
        <f t="array" ref="O93">+_xlfn.SWITCH(MONTH(C93),1,1,2,1,3,1,4,2,5,2,6,3,7,3,8,3,9,3,10,2,11,2,12,1,2)</f>
        <v>1</v>
      </c>
      <c r="P93" s="43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</row>
    <row r="94" spans="1:73" ht="18" x14ac:dyDescent="0.35">
      <c r="A94" s="43"/>
      <c r="C94" s="393"/>
      <c r="E94" s="394"/>
      <c r="F94" s="394"/>
      <c r="G94" s="394"/>
      <c r="H94" s="8" t="s">
        <v>61</v>
      </c>
      <c r="I94" s="364">
        <f t="shared" si="4"/>
        <v>0</v>
      </c>
      <c r="J94" s="365">
        <f t="shared" si="3"/>
        <v>0</v>
      </c>
      <c r="K94" s="366">
        <f t="shared" si="5"/>
        <v>6</v>
      </c>
      <c r="L94" s="366">
        <f>+IF((C94&gt;='Resultats - informe'!$E$16)*(C94&lt;='Resultats - informe'!$G$16),1,0)</f>
        <v>1</v>
      </c>
      <c r="M94" s="366" cm="1">
        <f t="array" ref="M94">+_xlfn.IFS((C94&gt;='Resultats - informe'!$D$26)*(C94&lt;='Resultats - informe'!$E$26),0,(C94&gt;='Resultats - informe'!$D$27)*(C94&lt;='Resultats - informe'!$E$27),0,(C94&gt;='Resultats - informe'!$D$28)*(C94&lt;='Resultats - informe'!$E$28),0,(C94&gt;='Resultats - informe'!$D$29)*(C94&lt;='Resultats - informe'!$E$29),0,1,1)</f>
        <v>0</v>
      </c>
      <c r="N94" s="366">
        <f>+VLOOKUP(D94,'Resultats - informe'!$Y$18:$AG$42,'Introducció dades consum'!K94+1,0)</f>
        <v>0</v>
      </c>
      <c r="O94" s="367" cm="1">
        <f t="array" ref="O94">+_xlfn.SWITCH(MONTH(C94),1,1,2,1,3,1,4,2,5,2,6,3,7,3,8,3,9,3,10,2,11,2,12,1,2)</f>
        <v>1</v>
      </c>
      <c r="P94" s="43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</row>
    <row r="95" spans="1:73" ht="18" x14ac:dyDescent="0.35">
      <c r="A95" s="43"/>
      <c r="C95" s="393"/>
      <c r="E95" s="394"/>
      <c r="F95" s="394"/>
      <c r="G95" s="394"/>
      <c r="H95" s="8" t="s">
        <v>61</v>
      </c>
      <c r="I95" s="364">
        <f t="shared" si="4"/>
        <v>0</v>
      </c>
      <c r="J95" s="365">
        <f t="shared" si="3"/>
        <v>0</v>
      </c>
      <c r="K95" s="366">
        <f t="shared" si="5"/>
        <v>6</v>
      </c>
      <c r="L95" s="366">
        <f>+IF((C95&gt;='Resultats - informe'!$E$16)*(C95&lt;='Resultats - informe'!$G$16),1,0)</f>
        <v>1</v>
      </c>
      <c r="M95" s="366" cm="1">
        <f t="array" ref="M95">+_xlfn.IFS((C95&gt;='Resultats - informe'!$D$26)*(C95&lt;='Resultats - informe'!$E$26),0,(C95&gt;='Resultats - informe'!$D$27)*(C95&lt;='Resultats - informe'!$E$27),0,(C95&gt;='Resultats - informe'!$D$28)*(C95&lt;='Resultats - informe'!$E$28),0,(C95&gt;='Resultats - informe'!$D$29)*(C95&lt;='Resultats - informe'!$E$29),0,1,1)</f>
        <v>0</v>
      </c>
      <c r="N95" s="366">
        <f>+VLOOKUP(D95,'Resultats - informe'!$Y$18:$AG$42,'Introducció dades consum'!K95+1,0)</f>
        <v>0</v>
      </c>
      <c r="O95" s="367" cm="1">
        <f t="array" ref="O95">+_xlfn.SWITCH(MONTH(C95),1,1,2,1,3,1,4,2,5,2,6,3,7,3,8,3,9,3,10,2,11,2,12,1,2)</f>
        <v>1</v>
      </c>
      <c r="P95" s="43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</row>
    <row r="96" spans="1:73" ht="18" x14ac:dyDescent="0.35">
      <c r="A96" s="43"/>
      <c r="C96" s="393"/>
      <c r="E96" s="394"/>
      <c r="F96" s="394"/>
      <c r="G96" s="394"/>
      <c r="H96" s="8" t="s">
        <v>61</v>
      </c>
      <c r="I96" s="364">
        <f t="shared" si="4"/>
        <v>0</v>
      </c>
      <c r="J96" s="365">
        <f t="shared" si="3"/>
        <v>0</v>
      </c>
      <c r="K96" s="366">
        <f t="shared" si="5"/>
        <v>6</v>
      </c>
      <c r="L96" s="366">
        <f>+IF((C96&gt;='Resultats - informe'!$E$16)*(C96&lt;='Resultats - informe'!$G$16),1,0)</f>
        <v>1</v>
      </c>
      <c r="M96" s="366" cm="1">
        <f t="array" ref="M96">+_xlfn.IFS((C96&gt;='Resultats - informe'!$D$26)*(C96&lt;='Resultats - informe'!$E$26),0,(C96&gt;='Resultats - informe'!$D$27)*(C96&lt;='Resultats - informe'!$E$27),0,(C96&gt;='Resultats - informe'!$D$28)*(C96&lt;='Resultats - informe'!$E$28),0,(C96&gt;='Resultats - informe'!$D$29)*(C96&lt;='Resultats - informe'!$E$29),0,1,1)</f>
        <v>0</v>
      </c>
      <c r="N96" s="366">
        <f>+VLOOKUP(D96,'Resultats - informe'!$Y$18:$AG$42,'Introducció dades consum'!K96+1,0)</f>
        <v>0</v>
      </c>
      <c r="O96" s="367" cm="1">
        <f t="array" ref="O96">+_xlfn.SWITCH(MONTH(C96),1,1,2,1,3,1,4,2,5,2,6,3,7,3,8,3,9,3,10,2,11,2,12,1,2)</f>
        <v>1</v>
      </c>
      <c r="P96" s="43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</row>
    <row r="97" spans="1:73" ht="18" x14ac:dyDescent="0.35">
      <c r="A97" s="43"/>
      <c r="C97" s="393"/>
      <c r="E97" s="394"/>
      <c r="F97" s="394"/>
      <c r="G97" s="394"/>
      <c r="H97" s="8" t="s">
        <v>61</v>
      </c>
      <c r="I97" s="364">
        <f t="shared" si="4"/>
        <v>0</v>
      </c>
      <c r="J97" s="365">
        <f t="shared" si="3"/>
        <v>0</v>
      </c>
      <c r="K97" s="366">
        <f t="shared" si="5"/>
        <v>6</v>
      </c>
      <c r="L97" s="366">
        <f>+IF((C97&gt;='Resultats - informe'!$E$16)*(C97&lt;='Resultats - informe'!$G$16),1,0)</f>
        <v>1</v>
      </c>
      <c r="M97" s="366" cm="1">
        <f t="array" ref="M97">+_xlfn.IFS((C97&gt;='Resultats - informe'!$D$26)*(C97&lt;='Resultats - informe'!$E$26),0,(C97&gt;='Resultats - informe'!$D$27)*(C97&lt;='Resultats - informe'!$E$27),0,(C97&gt;='Resultats - informe'!$D$28)*(C97&lt;='Resultats - informe'!$E$28),0,(C97&gt;='Resultats - informe'!$D$29)*(C97&lt;='Resultats - informe'!$E$29),0,1,1)</f>
        <v>0</v>
      </c>
      <c r="N97" s="366">
        <f>+VLOOKUP(D97,'Resultats - informe'!$Y$18:$AG$42,'Introducció dades consum'!K97+1,0)</f>
        <v>0</v>
      </c>
      <c r="O97" s="367" cm="1">
        <f t="array" ref="O97">+_xlfn.SWITCH(MONTH(C97),1,1,2,1,3,1,4,2,5,2,6,3,7,3,8,3,9,3,10,2,11,2,12,1,2)</f>
        <v>1</v>
      </c>
      <c r="P97" s="43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</row>
    <row r="98" spans="1:73" ht="18" x14ac:dyDescent="0.35">
      <c r="A98" s="43"/>
      <c r="C98" s="393"/>
      <c r="E98" s="394"/>
      <c r="F98" s="394"/>
      <c r="G98" s="394"/>
      <c r="H98" s="8" t="s">
        <v>61</v>
      </c>
      <c r="I98" s="364">
        <f t="shared" si="4"/>
        <v>0</v>
      </c>
      <c r="J98" s="365">
        <f t="shared" si="3"/>
        <v>0</v>
      </c>
      <c r="K98" s="366">
        <f t="shared" si="5"/>
        <v>6</v>
      </c>
      <c r="L98" s="366">
        <f>+IF((C98&gt;='Resultats - informe'!$E$16)*(C98&lt;='Resultats - informe'!$G$16),1,0)</f>
        <v>1</v>
      </c>
      <c r="M98" s="366" cm="1">
        <f t="array" ref="M98">+_xlfn.IFS((C98&gt;='Resultats - informe'!$D$26)*(C98&lt;='Resultats - informe'!$E$26),0,(C98&gt;='Resultats - informe'!$D$27)*(C98&lt;='Resultats - informe'!$E$27),0,(C98&gt;='Resultats - informe'!$D$28)*(C98&lt;='Resultats - informe'!$E$28),0,(C98&gt;='Resultats - informe'!$D$29)*(C98&lt;='Resultats - informe'!$E$29),0,1,1)</f>
        <v>0</v>
      </c>
      <c r="N98" s="366">
        <f>+VLOOKUP(D98,'Resultats - informe'!$Y$18:$AG$42,'Introducció dades consum'!K98+1,0)</f>
        <v>0</v>
      </c>
      <c r="O98" s="367" cm="1">
        <f t="array" ref="O98">+_xlfn.SWITCH(MONTH(C98),1,1,2,1,3,1,4,2,5,2,6,3,7,3,8,3,9,3,10,2,11,2,12,1,2)</f>
        <v>1</v>
      </c>
      <c r="P98" s="43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</row>
    <row r="99" spans="1:73" ht="18" x14ac:dyDescent="0.35">
      <c r="A99" s="43"/>
      <c r="C99" s="393"/>
      <c r="E99" s="394"/>
      <c r="F99" s="394"/>
      <c r="G99" s="394"/>
      <c r="H99" s="8" t="s">
        <v>61</v>
      </c>
      <c r="I99" s="364">
        <f t="shared" si="4"/>
        <v>0</v>
      </c>
      <c r="J99" s="365">
        <f t="shared" si="3"/>
        <v>0</v>
      </c>
      <c r="K99" s="366">
        <f t="shared" si="5"/>
        <v>6</v>
      </c>
      <c r="L99" s="366">
        <f>+IF((C99&gt;='Resultats - informe'!$E$16)*(C99&lt;='Resultats - informe'!$G$16),1,0)</f>
        <v>1</v>
      </c>
      <c r="M99" s="366" cm="1">
        <f t="array" ref="M99">+_xlfn.IFS((C99&gt;='Resultats - informe'!$D$26)*(C99&lt;='Resultats - informe'!$E$26),0,(C99&gt;='Resultats - informe'!$D$27)*(C99&lt;='Resultats - informe'!$E$27),0,(C99&gt;='Resultats - informe'!$D$28)*(C99&lt;='Resultats - informe'!$E$28),0,(C99&gt;='Resultats - informe'!$D$29)*(C99&lt;='Resultats - informe'!$E$29),0,1,1)</f>
        <v>0</v>
      </c>
      <c r="N99" s="366">
        <f>+VLOOKUP(D99,'Resultats - informe'!$Y$18:$AG$42,'Introducció dades consum'!K99+1,0)</f>
        <v>0</v>
      </c>
      <c r="O99" s="367" cm="1">
        <f t="array" ref="O99">+_xlfn.SWITCH(MONTH(C99),1,1,2,1,3,1,4,2,5,2,6,3,7,3,8,3,9,3,10,2,11,2,12,1,2)</f>
        <v>1</v>
      </c>
      <c r="P99" s="43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</row>
    <row r="100" spans="1:73" ht="18" x14ac:dyDescent="0.35">
      <c r="A100" s="43"/>
      <c r="C100" s="393"/>
      <c r="E100" s="394"/>
      <c r="F100" s="394"/>
      <c r="G100" s="394"/>
      <c r="H100" s="8" t="s">
        <v>61</v>
      </c>
      <c r="I100" s="364">
        <f t="shared" si="4"/>
        <v>0</v>
      </c>
      <c r="J100" s="365">
        <f t="shared" si="3"/>
        <v>0</v>
      </c>
      <c r="K100" s="366">
        <f t="shared" si="5"/>
        <v>6</v>
      </c>
      <c r="L100" s="366">
        <f>+IF((C100&gt;='Resultats - informe'!$E$16)*(C100&lt;='Resultats - informe'!$G$16),1,0)</f>
        <v>1</v>
      </c>
      <c r="M100" s="366" cm="1">
        <f t="array" ref="M100">+_xlfn.IFS((C100&gt;='Resultats - informe'!$D$26)*(C100&lt;='Resultats - informe'!$E$26),0,(C100&gt;='Resultats - informe'!$D$27)*(C100&lt;='Resultats - informe'!$E$27),0,(C100&gt;='Resultats - informe'!$D$28)*(C100&lt;='Resultats - informe'!$E$28),0,(C100&gt;='Resultats - informe'!$D$29)*(C100&lt;='Resultats - informe'!$E$29),0,1,1)</f>
        <v>0</v>
      </c>
      <c r="N100" s="366">
        <f>+VLOOKUP(D100,'Resultats - informe'!$Y$18:$AG$42,'Introducció dades consum'!K100+1,0)</f>
        <v>0</v>
      </c>
      <c r="O100" s="367" cm="1">
        <f t="array" ref="O100">+_xlfn.SWITCH(MONTH(C100),1,1,2,1,3,1,4,2,5,2,6,3,7,3,8,3,9,3,10,2,11,2,12,1,2)</f>
        <v>1</v>
      </c>
      <c r="P100" s="43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</row>
    <row r="101" spans="1:73" ht="18" x14ac:dyDescent="0.35">
      <c r="A101" s="43"/>
      <c r="C101" s="393"/>
      <c r="E101" s="394"/>
      <c r="F101" s="394"/>
      <c r="G101" s="394"/>
      <c r="H101" s="8" t="s">
        <v>61</v>
      </c>
      <c r="I101" s="364">
        <f t="shared" si="4"/>
        <v>0</v>
      </c>
      <c r="J101" s="365">
        <f t="shared" si="3"/>
        <v>0</v>
      </c>
      <c r="K101" s="366">
        <f t="shared" si="5"/>
        <v>6</v>
      </c>
      <c r="L101" s="366">
        <f>+IF((C101&gt;='Resultats - informe'!$E$16)*(C101&lt;='Resultats - informe'!$G$16),1,0)</f>
        <v>1</v>
      </c>
      <c r="M101" s="366" cm="1">
        <f t="array" ref="M101">+_xlfn.IFS((C101&gt;='Resultats - informe'!$D$26)*(C101&lt;='Resultats - informe'!$E$26),0,(C101&gt;='Resultats - informe'!$D$27)*(C101&lt;='Resultats - informe'!$E$27),0,(C101&gt;='Resultats - informe'!$D$28)*(C101&lt;='Resultats - informe'!$E$28),0,(C101&gt;='Resultats - informe'!$D$29)*(C101&lt;='Resultats - informe'!$E$29),0,1,1)</f>
        <v>0</v>
      </c>
      <c r="N101" s="366">
        <f>+VLOOKUP(D101,'Resultats - informe'!$Y$18:$AG$42,'Introducció dades consum'!K101+1,0)</f>
        <v>0</v>
      </c>
      <c r="O101" s="367" cm="1">
        <f t="array" ref="O101">+_xlfn.SWITCH(MONTH(C101),1,1,2,1,3,1,4,2,5,2,6,3,7,3,8,3,9,3,10,2,11,2,12,1,2)</f>
        <v>1</v>
      </c>
      <c r="P101" s="43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</row>
    <row r="102" spans="1:73" ht="18" x14ac:dyDescent="0.35">
      <c r="A102" s="43"/>
      <c r="C102" s="393"/>
      <c r="E102" s="394"/>
      <c r="F102" s="394"/>
      <c r="G102" s="394"/>
      <c r="H102" s="8" t="s">
        <v>61</v>
      </c>
      <c r="I102" s="364">
        <f t="shared" si="4"/>
        <v>0</v>
      </c>
      <c r="J102" s="365">
        <f t="shared" si="3"/>
        <v>0</v>
      </c>
      <c r="K102" s="366">
        <f t="shared" si="5"/>
        <v>6</v>
      </c>
      <c r="L102" s="366">
        <f>+IF((C102&gt;='Resultats - informe'!$E$16)*(C102&lt;='Resultats - informe'!$G$16),1,0)</f>
        <v>1</v>
      </c>
      <c r="M102" s="366" cm="1">
        <f t="array" ref="M102">+_xlfn.IFS((C102&gt;='Resultats - informe'!$D$26)*(C102&lt;='Resultats - informe'!$E$26),0,(C102&gt;='Resultats - informe'!$D$27)*(C102&lt;='Resultats - informe'!$E$27),0,(C102&gt;='Resultats - informe'!$D$28)*(C102&lt;='Resultats - informe'!$E$28),0,(C102&gt;='Resultats - informe'!$D$29)*(C102&lt;='Resultats - informe'!$E$29),0,1,1)</f>
        <v>0</v>
      </c>
      <c r="N102" s="366">
        <f>+VLOOKUP(D102,'Resultats - informe'!$Y$18:$AG$42,'Introducció dades consum'!K102+1,0)</f>
        <v>0</v>
      </c>
      <c r="O102" s="367" cm="1">
        <f t="array" ref="O102">+_xlfn.SWITCH(MONTH(C102),1,1,2,1,3,1,4,2,5,2,6,3,7,3,8,3,9,3,10,2,11,2,12,1,2)</f>
        <v>1</v>
      </c>
      <c r="P102" s="43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</row>
    <row r="103" spans="1:73" ht="18" x14ac:dyDescent="0.35">
      <c r="A103" s="43"/>
      <c r="C103" s="393"/>
      <c r="E103" s="394"/>
      <c r="F103" s="394"/>
      <c r="G103" s="394"/>
      <c r="H103" s="8" t="s">
        <v>61</v>
      </c>
      <c r="I103" s="364">
        <f t="shared" si="4"/>
        <v>0</v>
      </c>
      <c r="J103" s="365">
        <f t="shared" si="3"/>
        <v>0</v>
      </c>
      <c r="K103" s="366">
        <f t="shared" si="5"/>
        <v>6</v>
      </c>
      <c r="L103" s="366">
        <f>+IF((C103&gt;='Resultats - informe'!$E$16)*(C103&lt;='Resultats - informe'!$G$16),1,0)</f>
        <v>1</v>
      </c>
      <c r="M103" s="366" cm="1">
        <f t="array" ref="M103">+_xlfn.IFS((C103&gt;='Resultats - informe'!$D$26)*(C103&lt;='Resultats - informe'!$E$26),0,(C103&gt;='Resultats - informe'!$D$27)*(C103&lt;='Resultats - informe'!$E$27),0,(C103&gt;='Resultats - informe'!$D$28)*(C103&lt;='Resultats - informe'!$E$28),0,(C103&gt;='Resultats - informe'!$D$29)*(C103&lt;='Resultats - informe'!$E$29),0,1,1)</f>
        <v>0</v>
      </c>
      <c r="N103" s="366">
        <f>+VLOOKUP(D103,'Resultats - informe'!$Y$18:$AG$42,'Introducció dades consum'!K103+1,0)</f>
        <v>0</v>
      </c>
      <c r="O103" s="367" cm="1">
        <f t="array" ref="O103">+_xlfn.SWITCH(MONTH(C103),1,1,2,1,3,1,4,2,5,2,6,3,7,3,8,3,9,3,10,2,11,2,12,1,2)</f>
        <v>1</v>
      </c>
      <c r="P103" s="43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</row>
    <row r="104" spans="1:73" ht="18" x14ac:dyDescent="0.35">
      <c r="A104" s="43"/>
      <c r="C104" s="393"/>
      <c r="E104" s="394"/>
      <c r="F104" s="394"/>
      <c r="G104" s="394"/>
      <c r="H104" s="8" t="s">
        <v>61</v>
      </c>
      <c r="I104" s="364">
        <f t="shared" si="4"/>
        <v>0</v>
      </c>
      <c r="J104" s="365">
        <f t="shared" si="3"/>
        <v>0</v>
      </c>
      <c r="K104" s="366">
        <f t="shared" si="5"/>
        <v>6</v>
      </c>
      <c r="L104" s="366">
        <f>+IF((C104&gt;='Resultats - informe'!$E$16)*(C104&lt;='Resultats - informe'!$G$16),1,0)</f>
        <v>1</v>
      </c>
      <c r="M104" s="366" cm="1">
        <f t="array" ref="M104">+_xlfn.IFS((C104&gt;='Resultats - informe'!$D$26)*(C104&lt;='Resultats - informe'!$E$26),0,(C104&gt;='Resultats - informe'!$D$27)*(C104&lt;='Resultats - informe'!$E$27),0,(C104&gt;='Resultats - informe'!$D$28)*(C104&lt;='Resultats - informe'!$E$28),0,(C104&gt;='Resultats - informe'!$D$29)*(C104&lt;='Resultats - informe'!$E$29),0,1,1)</f>
        <v>0</v>
      </c>
      <c r="N104" s="366">
        <f>+VLOOKUP(D104,'Resultats - informe'!$Y$18:$AG$42,'Introducció dades consum'!K104+1,0)</f>
        <v>0</v>
      </c>
      <c r="O104" s="367" cm="1">
        <f t="array" ref="O104">+_xlfn.SWITCH(MONTH(C104),1,1,2,1,3,1,4,2,5,2,6,3,7,3,8,3,9,3,10,2,11,2,12,1,2)</f>
        <v>1</v>
      </c>
      <c r="P104" s="43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</row>
    <row r="105" spans="1:73" ht="18" x14ac:dyDescent="0.35">
      <c r="A105" s="43"/>
      <c r="C105" s="393"/>
      <c r="E105" s="394"/>
      <c r="F105" s="394"/>
      <c r="G105" s="394"/>
      <c r="H105" s="8" t="s">
        <v>61</v>
      </c>
      <c r="I105" s="364">
        <f t="shared" si="4"/>
        <v>0</v>
      </c>
      <c r="J105" s="365">
        <f t="shared" si="3"/>
        <v>0</v>
      </c>
      <c r="K105" s="366">
        <f t="shared" si="5"/>
        <v>6</v>
      </c>
      <c r="L105" s="366">
        <f>+IF((C105&gt;='Resultats - informe'!$E$16)*(C105&lt;='Resultats - informe'!$G$16),1,0)</f>
        <v>1</v>
      </c>
      <c r="M105" s="366" cm="1">
        <f t="array" ref="M105">+_xlfn.IFS((C105&gt;='Resultats - informe'!$D$26)*(C105&lt;='Resultats - informe'!$E$26),0,(C105&gt;='Resultats - informe'!$D$27)*(C105&lt;='Resultats - informe'!$E$27),0,(C105&gt;='Resultats - informe'!$D$28)*(C105&lt;='Resultats - informe'!$E$28),0,(C105&gt;='Resultats - informe'!$D$29)*(C105&lt;='Resultats - informe'!$E$29),0,1,1)</f>
        <v>0</v>
      </c>
      <c r="N105" s="366">
        <f>+VLOOKUP(D105,'Resultats - informe'!$Y$18:$AG$42,'Introducció dades consum'!K105+1,0)</f>
        <v>0</v>
      </c>
      <c r="O105" s="367" cm="1">
        <f t="array" ref="O105">+_xlfn.SWITCH(MONTH(C105),1,1,2,1,3,1,4,2,5,2,6,3,7,3,8,3,9,3,10,2,11,2,12,1,2)</f>
        <v>1</v>
      </c>
      <c r="P105" s="43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</row>
    <row r="106" spans="1:73" ht="18" x14ac:dyDescent="0.35">
      <c r="A106" s="43"/>
      <c r="C106" s="393"/>
      <c r="E106" s="394"/>
      <c r="F106" s="394"/>
      <c r="G106" s="394"/>
      <c r="H106" s="8" t="s">
        <v>61</v>
      </c>
      <c r="I106" s="364">
        <f t="shared" si="4"/>
        <v>0</v>
      </c>
      <c r="J106" s="365">
        <f t="shared" si="3"/>
        <v>0</v>
      </c>
      <c r="K106" s="366">
        <f t="shared" si="5"/>
        <v>6</v>
      </c>
      <c r="L106" s="366">
        <f>+IF((C106&gt;='Resultats - informe'!$E$16)*(C106&lt;='Resultats - informe'!$G$16),1,0)</f>
        <v>1</v>
      </c>
      <c r="M106" s="366" cm="1">
        <f t="array" ref="M106">+_xlfn.IFS((C106&gt;='Resultats - informe'!$D$26)*(C106&lt;='Resultats - informe'!$E$26),0,(C106&gt;='Resultats - informe'!$D$27)*(C106&lt;='Resultats - informe'!$E$27),0,(C106&gt;='Resultats - informe'!$D$28)*(C106&lt;='Resultats - informe'!$E$28),0,(C106&gt;='Resultats - informe'!$D$29)*(C106&lt;='Resultats - informe'!$E$29),0,1,1)</f>
        <v>0</v>
      </c>
      <c r="N106" s="366">
        <f>+VLOOKUP(D106,'Resultats - informe'!$Y$18:$AG$42,'Introducció dades consum'!K106+1,0)</f>
        <v>0</v>
      </c>
      <c r="O106" s="367" cm="1">
        <f t="array" ref="O106">+_xlfn.SWITCH(MONTH(C106),1,1,2,1,3,1,4,2,5,2,6,3,7,3,8,3,9,3,10,2,11,2,12,1,2)</f>
        <v>1</v>
      </c>
      <c r="P106" s="43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</row>
    <row r="107" spans="1:73" ht="18" x14ac:dyDescent="0.35">
      <c r="A107" s="43"/>
      <c r="C107" s="393"/>
      <c r="E107" s="394"/>
      <c r="F107" s="394"/>
      <c r="G107" s="394"/>
      <c r="H107" s="8" t="s">
        <v>61</v>
      </c>
      <c r="I107" s="364">
        <f t="shared" si="4"/>
        <v>0</v>
      </c>
      <c r="J107" s="365">
        <f t="shared" si="3"/>
        <v>0</v>
      </c>
      <c r="K107" s="366">
        <f t="shared" si="5"/>
        <v>6</v>
      </c>
      <c r="L107" s="366">
        <f>+IF((C107&gt;='Resultats - informe'!$E$16)*(C107&lt;='Resultats - informe'!$G$16),1,0)</f>
        <v>1</v>
      </c>
      <c r="M107" s="366" cm="1">
        <f t="array" ref="M107">+_xlfn.IFS((C107&gt;='Resultats - informe'!$D$26)*(C107&lt;='Resultats - informe'!$E$26),0,(C107&gt;='Resultats - informe'!$D$27)*(C107&lt;='Resultats - informe'!$E$27),0,(C107&gt;='Resultats - informe'!$D$28)*(C107&lt;='Resultats - informe'!$E$28),0,(C107&gt;='Resultats - informe'!$D$29)*(C107&lt;='Resultats - informe'!$E$29),0,1,1)</f>
        <v>0</v>
      </c>
      <c r="N107" s="366">
        <f>+VLOOKUP(D107,'Resultats - informe'!$Y$18:$AG$42,'Introducció dades consum'!K107+1,0)</f>
        <v>0</v>
      </c>
      <c r="O107" s="367" cm="1">
        <f t="array" ref="O107">+_xlfn.SWITCH(MONTH(C107),1,1,2,1,3,1,4,2,5,2,6,3,7,3,8,3,9,3,10,2,11,2,12,1,2)</f>
        <v>1</v>
      </c>
      <c r="P107" s="43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</row>
    <row r="108" spans="1:73" ht="18" x14ac:dyDescent="0.35">
      <c r="A108" s="43"/>
      <c r="C108" s="393"/>
      <c r="E108" s="394"/>
      <c r="F108" s="394"/>
      <c r="G108" s="394"/>
      <c r="H108" s="8" t="s">
        <v>61</v>
      </c>
      <c r="I108" s="364">
        <f t="shared" si="4"/>
        <v>0</v>
      </c>
      <c r="J108" s="365">
        <f t="shared" si="3"/>
        <v>0</v>
      </c>
      <c r="K108" s="366">
        <f t="shared" si="5"/>
        <v>6</v>
      </c>
      <c r="L108" s="366">
        <f>+IF((C108&gt;='Resultats - informe'!$E$16)*(C108&lt;='Resultats - informe'!$G$16),1,0)</f>
        <v>1</v>
      </c>
      <c r="M108" s="366" cm="1">
        <f t="array" ref="M108">+_xlfn.IFS((C108&gt;='Resultats - informe'!$D$26)*(C108&lt;='Resultats - informe'!$E$26),0,(C108&gt;='Resultats - informe'!$D$27)*(C108&lt;='Resultats - informe'!$E$27),0,(C108&gt;='Resultats - informe'!$D$28)*(C108&lt;='Resultats - informe'!$E$28),0,(C108&gt;='Resultats - informe'!$D$29)*(C108&lt;='Resultats - informe'!$E$29),0,1,1)</f>
        <v>0</v>
      </c>
      <c r="N108" s="366">
        <f>+VLOOKUP(D108,'Resultats - informe'!$Y$18:$AG$42,'Introducció dades consum'!K108+1,0)</f>
        <v>0</v>
      </c>
      <c r="O108" s="367" cm="1">
        <f t="array" ref="O108">+_xlfn.SWITCH(MONTH(C108),1,1,2,1,3,1,4,2,5,2,6,3,7,3,8,3,9,3,10,2,11,2,12,1,2)</f>
        <v>1</v>
      </c>
      <c r="P108" s="43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</row>
    <row r="109" spans="1:73" ht="18" x14ac:dyDescent="0.35">
      <c r="A109" s="43"/>
      <c r="C109" s="393"/>
      <c r="E109" s="394"/>
      <c r="F109" s="394"/>
      <c r="G109" s="394"/>
      <c r="H109" s="8" t="s">
        <v>61</v>
      </c>
      <c r="I109" s="364">
        <f t="shared" si="4"/>
        <v>0</v>
      </c>
      <c r="J109" s="365">
        <f t="shared" si="3"/>
        <v>0</v>
      </c>
      <c r="K109" s="366">
        <f t="shared" si="5"/>
        <v>6</v>
      </c>
      <c r="L109" s="366">
        <f>+IF((C109&gt;='Resultats - informe'!$E$16)*(C109&lt;='Resultats - informe'!$G$16),1,0)</f>
        <v>1</v>
      </c>
      <c r="M109" s="366" cm="1">
        <f t="array" ref="M109">+_xlfn.IFS((C109&gt;='Resultats - informe'!$D$26)*(C109&lt;='Resultats - informe'!$E$26),0,(C109&gt;='Resultats - informe'!$D$27)*(C109&lt;='Resultats - informe'!$E$27),0,(C109&gt;='Resultats - informe'!$D$28)*(C109&lt;='Resultats - informe'!$E$28),0,(C109&gt;='Resultats - informe'!$D$29)*(C109&lt;='Resultats - informe'!$E$29),0,1,1)</f>
        <v>0</v>
      </c>
      <c r="N109" s="366">
        <f>+VLOOKUP(D109,'Resultats - informe'!$Y$18:$AG$42,'Introducció dades consum'!K109+1,0)</f>
        <v>0</v>
      </c>
      <c r="O109" s="367" cm="1">
        <f t="array" ref="O109">+_xlfn.SWITCH(MONTH(C109),1,1,2,1,3,1,4,2,5,2,6,3,7,3,8,3,9,3,10,2,11,2,12,1,2)</f>
        <v>1</v>
      </c>
      <c r="P109" s="43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</row>
    <row r="110" spans="1:73" ht="18" x14ac:dyDescent="0.35">
      <c r="A110" s="43"/>
      <c r="C110" s="393"/>
      <c r="E110" s="394"/>
      <c r="F110" s="394"/>
      <c r="G110" s="394"/>
      <c r="H110" s="8" t="s">
        <v>61</v>
      </c>
      <c r="I110" s="364">
        <f t="shared" si="4"/>
        <v>0</v>
      </c>
      <c r="J110" s="365">
        <f t="shared" si="3"/>
        <v>0</v>
      </c>
      <c r="K110" s="366">
        <f t="shared" si="5"/>
        <v>6</v>
      </c>
      <c r="L110" s="366">
        <f>+IF((C110&gt;='Resultats - informe'!$E$16)*(C110&lt;='Resultats - informe'!$G$16),1,0)</f>
        <v>1</v>
      </c>
      <c r="M110" s="366" cm="1">
        <f t="array" ref="M110">+_xlfn.IFS((C110&gt;='Resultats - informe'!$D$26)*(C110&lt;='Resultats - informe'!$E$26),0,(C110&gt;='Resultats - informe'!$D$27)*(C110&lt;='Resultats - informe'!$E$27),0,(C110&gt;='Resultats - informe'!$D$28)*(C110&lt;='Resultats - informe'!$E$28),0,(C110&gt;='Resultats - informe'!$D$29)*(C110&lt;='Resultats - informe'!$E$29),0,1,1)</f>
        <v>0</v>
      </c>
      <c r="N110" s="366">
        <f>+VLOOKUP(D110,'Resultats - informe'!$Y$18:$AG$42,'Introducció dades consum'!K110+1,0)</f>
        <v>0</v>
      </c>
      <c r="O110" s="367" cm="1">
        <f t="array" ref="O110">+_xlfn.SWITCH(MONTH(C110),1,1,2,1,3,1,4,2,5,2,6,3,7,3,8,3,9,3,10,2,11,2,12,1,2)</f>
        <v>1</v>
      </c>
      <c r="P110" s="43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</row>
    <row r="111" spans="1:73" ht="18" x14ac:dyDescent="0.35">
      <c r="A111" s="43"/>
      <c r="C111" s="393"/>
      <c r="E111" s="394"/>
      <c r="F111" s="394"/>
      <c r="G111" s="394"/>
      <c r="H111" s="8" t="s">
        <v>61</v>
      </c>
      <c r="I111" s="364">
        <f t="shared" si="4"/>
        <v>0</v>
      </c>
      <c r="J111" s="365">
        <f t="shared" si="3"/>
        <v>0</v>
      </c>
      <c r="K111" s="366">
        <f t="shared" si="5"/>
        <v>6</v>
      </c>
      <c r="L111" s="366">
        <f>+IF((C111&gt;='Resultats - informe'!$E$16)*(C111&lt;='Resultats - informe'!$G$16),1,0)</f>
        <v>1</v>
      </c>
      <c r="M111" s="366" cm="1">
        <f t="array" ref="M111">+_xlfn.IFS((C111&gt;='Resultats - informe'!$D$26)*(C111&lt;='Resultats - informe'!$E$26),0,(C111&gt;='Resultats - informe'!$D$27)*(C111&lt;='Resultats - informe'!$E$27),0,(C111&gt;='Resultats - informe'!$D$28)*(C111&lt;='Resultats - informe'!$E$28),0,(C111&gt;='Resultats - informe'!$D$29)*(C111&lt;='Resultats - informe'!$E$29),0,1,1)</f>
        <v>0</v>
      </c>
      <c r="N111" s="366">
        <f>+VLOOKUP(D111,'Resultats - informe'!$Y$18:$AG$42,'Introducció dades consum'!K111+1,0)</f>
        <v>0</v>
      </c>
      <c r="O111" s="367" cm="1">
        <f t="array" ref="O111">+_xlfn.SWITCH(MONTH(C111),1,1,2,1,3,1,4,2,5,2,6,3,7,3,8,3,9,3,10,2,11,2,12,1,2)</f>
        <v>1</v>
      </c>
      <c r="P111" s="43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</row>
    <row r="112" spans="1:73" ht="18" x14ac:dyDescent="0.35">
      <c r="A112" s="43"/>
      <c r="C112" s="393"/>
      <c r="E112" s="394"/>
      <c r="F112" s="394"/>
      <c r="G112" s="394"/>
      <c r="H112" s="8" t="s">
        <v>61</v>
      </c>
      <c r="I112" s="364">
        <f t="shared" si="4"/>
        <v>0</v>
      </c>
      <c r="J112" s="365">
        <f t="shared" si="3"/>
        <v>0</v>
      </c>
      <c r="K112" s="366">
        <f t="shared" si="5"/>
        <v>6</v>
      </c>
      <c r="L112" s="366">
        <f>+IF((C112&gt;='Resultats - informe'!$E$16)*(C112&lt;='Resultats - informe'!$G$16),1,0)</f>
        <v>1</v>
      </c>
      <c r="M112" s="366" cm="1">
        <f t="array" ref="M112">+_xlfn.IFS((C112&gt;='Resultats - informe'!$D$26)*(C112&lt;='Resultats - informe'!$E$26),0,(C112&gt;='Resultats - informe'!$D$27)*(C112&lt;='Resultats - informe'!$E$27),0,(C112&gt;='Resultats - informe'!$D$28)*(C112&lt;='Resultats - informe'!$E$28),0,(C112&gt;='Resultats - informe'!$D$29)*(C112&lt;='Resultats - informe'!$E$29),0,1,1)</f>
        <v>0</v>
      </c>
      <c r="N112" s="366">
        <f>+VLOOKUP(D112,'Resultats - informe'!$Y$18:$AG$42,'Introducció dades consum'!K112+1,0)</f>
        <v>0</v>
      </c>
      <c r="O112" s="367" cm="1">
        <f t="array" ref="O112">+_xlfn.SWITCH(MONTH(C112),1,1,2,1,3,1,4,2,5,2,6,3,7,3,8,3,9,3,10,2,11,2,12,1,2)</f>
        <v>1</v>
      </c>
      <c r="P112" s="43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</row>
    <row r="113" spans="1:73" ht="18" x14ac:dyDescent="0.35">
      <c r="A113" s="43"/>
      <c r="C113" s="393"/>
      <c r="E113" s="394"/>
      <c r="F113" s="394"/>
      <c r="G113" s="394"/>
      <c r="H113" s="8" t="s">
        <v>61</v>
      </c>
      <c r="I113" s="364">
        <f t="shared" si="4"/>
        <v>0</v>
      </c>
      <c r="J113" s="365">
        <f t="shared" si="3"/>
        <v>0</v>
      </c>
      <c r="K113" s="366">
        <f t="shared" si="5"/>
        <v>6</v>
      </c>
      <c r="L113" s="366">
        <f>+IF((C113&gt;='Resultats - informe'!$E$16)*(C113&lt;='Resultats - informe'!$G$16),1,0)</f>
        <v>1</v>
      </c>
      <c r="M113" s="366" cm="1">
        <f t="array" ref="M113">+_xlfn.IFS((C113&gt;='Resultats - informe'!$D$26)*(C113&lt;='Resultats - informe'!$E$26),0,(C113&gt;='Resultats - informe'!$D$27)*(C113&lt;='Resultats - informe'!$E$27),0,(C113&gt;='Resultats - informe'!$D$28)*(C113&lt;='Resultats - informe'!$E$28),0,(C113&gt;='Resultats - informe'!$D$29)*(C113&lt;='Resultats - informe'!$E$29),0,1,1)</f>
        <v>0</v>
      </c>
      <c r="N113" s="366">
        <f>+VLOOKUP(D113,'Resultats - informe'!$Y$18:$AG$42,'Introducció dades consum'!K113+1,0)</f>
        <v>0</v>
      </c>
      <c r="O113" s="367" cm="1">
        <f t="array" ref="O113">+_xlfn.SWITCH(MONTH(C113),1,1,2,1,3,1,4,2,5,2,6,3,7,3,8,3,9,3,10,2,11,2,12,1,2)</f>
        <v>1</v>
      </c>
      <c r="P113" s="43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</row>
    <row r="114" spans="1:73" ht="18" x14ac:dyDescent="0.35">
      <c r="A114" s="43"/>
      <c r="C114" s="393"/>
      <c r="E114" s="394"/>
      <c r="F114" s="394"/>
      <c r="G114" s="394"/>
      <c r="H114" s="8" t="s">
        <v>61</v>
      </c>
      <c r="I114" s="364">
        <f t="shared" si="4"/>
        <v>0</v>
      </c>
      <c r="J114" s="365">
        <f t="shared" si="3"/>
        <v>0</v>
      </c>
      <c r="K114" s="366">
        <f t="shared" si="5"/>
        <v>6</v>
      </c>
      <c r="L114" s="366">
        <f>+IF((C114&gt;='Resultats - informe'!$E$16)*(C114&lt;='Resultats - informe'!$G$16),1,0)</f>
        <v>1</v>
      </c>
      <c r="M114" s="366" cm="1">
        <f t="array" ref="M114">+_xlfn.IFS((C114&gt;='Resultats - informe'!$D$26)*(C114&lt;='Resultats - informe'!$E$26),0,(C114&gt;='Resultats - informe'!$D$27)*(C114&lt;='Resultats - informe'!$E$27),0,(C114&gt;='Resultats - informe'!$D$28)*(C114&lt;='Resultats - informe'!$E$28),0,(C114&gt;='Resultats - informe'!$D$29)*(C114&lt;='Resultats - informe'!$E$29),0,1,1)</f>
        <v>0</v>
      </c>
      <c r="N114" s="366">
        <f>+VLOOKUP(D114,'Resultats - informe'!$Y$18:$AG$42,'Introducció dades consum'!K114+1,0)</f>
        <v>0</v>
      </c>
      <c r="O114" s="367" cm="1">
        <f t="array" ref="O114">+_xlfn.SWITCH(MONTH(C114),1,1,2,1,3,1,4,2,5,2,6,3,7,3,8,3,9,3,10,2,11,2,12,1,2)</f>
        <v>1</v>
      </c>
      <c r="P114" s="43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</row>
    <row r="115" spans="1:73" ht="18" x14ac:dyDescent="0.35">
      <c r="A115" s="43"/>
      <c r="C115" s="393"/>
      <c r="E115" s="394"/>
      <c r="F115" s="394"/>
      <c r="G115" s="394"/>
      <c r="H115" s="8" t="s">
        <v>61</v>
      </c>
      <c r="I115" s="364">
        <f t="shared" si="4"/>
        <v>0</v>
      </c>
      <c r="J115" s="365">
        <f t="shared" si="3"/>
        <v>0</v>
      </c>
      <c r="K115" s="366">
        <f t="shared" si="5"/>
        <v>6</v>
      </c>
      <c r="L115" s="366">
        <f>+IF((C115&gt;='Resultats - informe'!$E$16)*(C115&lt;='Resultats - informe'!$G$16),1,0)</f>
        <v>1</v>
      </c>
      <c r="M115" s="366" cm="1">
        <f t="array" ref="M115">+_xlfn.IFS((C115&gt;='Resultats - informe'!$D$26)*(C115&lt;='Resultats - informe'!$E$26),0,(C115&gt;='Resultats - informe'!$D$27)*(C115&lt;='Resultats - informe'!$E$27),0,(C115&gt;='Resultats - informe'!$D$28)*(C115&lt;='Resultats - informe'!$E$28),0,(C115&gt;='Resultats - informe'!$D$29)*(C115&lt;='Resultats - informe'!$E$29),0,1,1)</f>
        <v>0</v>
      </c>
      <c r="N115" s="366">
        <f>+VLOOKUP(D115,'Resultats - informe'!$Y$18:$AG$42,'Introducció dades consum'!K115+1,0)</f>
        <v>0</v>
      </c>
      <c r="O115" s="367" cm="1">
        <f t="array" ref="O115">+_xlfn.SWITCH(MONTH(C115),1,1,2,1,3,1,4,2,5,2,6,3,7,3,8,3,9,3,10,2,11,2,12,1,2)</f>
        <v>1</v>
      </c>
      <c r="P115" s="43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</row>
    <row r="116" spans="1:73" ht="18" x14ac:dyDescent="0.35">
      <c r="A116" s="43"/>
      <c r="C116" s="393"/>
      <c r="E116" s="394"/>
      <c r="F116" s="394"/>
      <c r="G116" s="394"/>
      <c r="H116" s="8" t="s">
        <v>61</v>
      </c>
      <c r="I116" s="364">
        <f t="shared" si="4"/>
        <v>0</v>
      </c>
      <c r="J116" s="365">
        <f t="shared" si="3"/>
        <v>0</v>
      </c>
      <c r="K116" s="366">
        <f t="shared" si="5"/>
        <v>6</v>
      </c>
      <c r="L116" s="366">
        <f>+IF((C116&gt;='Resultats - informe'!$E$16)*(C116&lt;='Resultats - informe'!$G$16),1,0)</f>
        <v>1</v>
      </c>
      <c r="M116" s="366" cm="1">
        <f t="array" ref="M116">+_xlfn.IFS((C116&gt;='Resultats - informe'!$D$26)*(C116&lt;='Resultats - informe'!$E$26),0,(C116&gt;='Resultats - informe'!$D$27)*(C116&lt;='Resultats - informe'!$E$27),0,(C116&gt;='Resultats - informe'!$D$28)*(C116&lt;='Resultats - informe'!$E$28),0,(C116&gt;='Resultats - informe'!$D$29)*(C116&lt;='Resultats - informe'!$E$29),0,1,1)</f>
        <v>0</v>
      </c>
      <c r="N116" s="366">
        <f>+VLOOKUP(D116,'Resultats - informe'!$Y$18:$AG$42,'Introducció dades consum'!K116+1,0)</f>
        <v>0</v>
      </c>
      <c r="O116" s="367" cm="1">
        <f t="array" ref="O116">+_xlfn.SWITCH(MONTH(C116),1,1,2,1,3,1,4,2,5,2,6,3,7,3,8,3,9,3,10,2,11,2,12,1,2)</f>
        <v>1</v>
      </c>
      <c r="P116" s="43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</row>
    <row r="117" spans="1:73" ht="18" x14ac:dyDescent="0.35">
      <c r="A117" s="43"/>
      <c r="C117" s="393"/>
      <c r="E117" s="394"/>
      <c r="F117" s="394"/>
      <c r="G117" s="394"/>
      <c r="H117" s="8" t="s">
        <v>61</v>
      </c>
      <c r="I117" s="364">
        <f t="shared" si="4"/>
        <v>0</v>
      </c>
      <c r="J117" s="365">
        <f t="shared" si="3"/>
        <v>0</v>
      </c>
      <c r="K117" s="366">
        <f t="shared" si="5"/>
        <v>6</v>
      </c>
      <c r="L117" s="366">
        <f>+IF((C117&gt;='Resultats - informe'!$E$16)*(C117&lt;='Resultats - informe'!$G$16),1,0)</f>
        <v>1</v>
      </c>
      <c r="M117" s="366" cm="1">
        <f t="array" ref="M117">+_xlfn.IFS((C117&gt;='Resultats - informe'!$D$26)*(C117&lt;='Resultats - informe'!$E$26),0,(C117&gt;='Resultats - informe'!$D$27)*(C117&lt;='Resultats - informe'!$E$27),0,(C117&gt;='Resultats - informe'!$D$28)*(C117&lt;='Resultats - informe'!$E$28),0,(C117&gt;='Resultats - informe'!$D$29)*(C117&lt;='Resultats - informe'!$E$29),0,1,1)</f>
        <v>0</v>
      </c>
      <c r="N117" s="366">
        <f>+VLOOKUP(D117,'Resultats - informe'!$Y$18:$AG$42,'Introducció dades consum'!K117+1,0)</f>
        <v>0</v>
      </c>
      <c r="O117" s="367" cm="1">
        <f t="array" ref="O117">+_xlfn.SWITCH(MONTH(C117),1,1,2,1,3,1,4,2,5,2,6,3,7,3,8,3,9,3,10,2,11,2,12,1,2)</f>
        <v>1</v>
      </c>
      <c r="P117" s="43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</row>
    <row r="118" spans="1:73" ht="18" x14ac:dyDescent="0.35">
      <c r="A118" s="43"/>
      <c r="C118" s="393"/>
      <c r="E118" s="394"/>
      <c r="F118" s="394"/>
      <c r="G118" s="394"/>
      <c r="H118" s="8" t="s">
        <v>61</v>
      </c>
      <c r="I118" s="364">
        <f t="shared" si="4"/>
        <v>0</v>
      </c>
      <c r="J118" s="365">
        <f t="shared" si="3"/>
        <v>0</v>
      </c>
      <c r="K118" s="366">
        <f t="shared" si="5"/>
        <v>6</v>
      </c>
      <c r="L118" s="366">
        <f>+IF((C118&gt;='Resultats - informe'!$E$16)*(C118&lt;='Resultats - informe'!$G$16),1,0)</f>
        <v>1</v>
      </c>
      <c r="M118" s="366" cm="1">
        <f t="array" ref="M118">+_xlfn.IFS((C118&gt;='Resultats - informe'!$D$26)*(C118&lt;='Resultats - informe'!$E$26),0,(C118&gt;='Resultats - informe'!$D$27)*(C118&lt;='Resultats - informe'!$E$27),0,(C118&gt;='Resultats - informe'!$D$28)*(C118&lt;='Resultats - informe'!$E$28),0,(C118&gt;='Resultats - informe'!$D$29)*(C118&lt;='Resultats - informe'!$E$29),0,1,1)</f>
        <v>0</v>
      </c>
      <c r="N118" s="366">
        <f>+VLOOKUP(D118,'Resultats - informe'!$Y$18:$AG$42,'Introducció dades consum'!K118+1,0)</f>
        <v>0</v>
      </c>
      <c r="O118" s="367" cm="1">
        <f t="array" ref="O118">+_xlfn.SWITCH(MONTH(C118),1,1,2,1,3,1,4,2,5,2,6,3,7,3,8,3,9,3,10,2,11,2,12,1,2)</f>
        <v>1</v>
      </c>
      <c r="P118" s="43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</row>
    <row r="119" spans="1:73" ht="18" x14ac:dyDescent="0.35">
      <c r="A119" s="43"/>
      <c r="C119" s="393"/>
      <c r="E119" s="394"/>
      <c r="F119" s="394"/>
      <c r="G119" s="394"/>
      <c r="H119" s="8" t="s">
        <v>61</v>
      </c>
      <c r="I119" s="364">
        <f t="shared" si="4"/>
        <v>0</v>
      </c>
      <c r="J119" s="365">
        <f t="shared" si="3"/>
        <v>0</v>
      </c>
      <c r="K119" s="366">
        <f t="shared" si="5"/>
        <v>6</v>
      </c>
      <c r="L119" s="366">
        <f>+IF((C119&gt;='Resultats - informe'!$E$16)*(C119&lt;='Resultats - informe'!$G$16),1,0)</f>
        <v>1</v>
      </c>
      <c r="M119" s="366" cm="1">
        <f t="array" ref="M119">+_xlfn.IFS((C119&gt;='Resultats - informe'!$D$26)*(C119&lt;='Resultats - informe'!$E$26),0,(C119&gt;='Resultats - informe'!$D$27)*(C119&lt;='Resultats - informe'!$E$27),0,(C119&gt;='Resultats - informe'!$D$28)*(C119&lt;='Resultats - informe'!$E$28),0,(C119&gt;='Resultats - informe'!$D$29)*(C119&lt;='Resultats - informe'!$E$29),0,1,1)</f>
        <v>0</v>
      </c>
      <c r="N119" s="366">
        <f>+VLOOKUP(D119,'Resultats - informe'!$Y$18:$AG$42,'Introducció dades consum'!K119+1,0)</f>
        <v>0</v>
      </c>
      <c r="O119" s="367" cm="1">
        <f t="array" ref="O119">+_xlfn.SWITCH(MONTH(C119),1,1,2,1,3,1,4,2,5,2,6,3,7,3,8,3,9,3,10,2,11,2,12,1,2)</f>
        <v>1</v>
      </c>
      <c r="P119" s="43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</row>
    <row r="120" spans="1:73" ht="18" x14ac:dyDescent="0.35">
      <c r="A120" s="43"/>
      <c r="C120" s="393"/>
      <c r="E120" s="394"/>
      <c r="F120" s="394"/>
      <c r="G120" s="394"/>
      <c r="H120" s="8" t="s">
        <v>61</v>
      </c>
      <c r="I120" s="364">
        <f t="shared" si="4"/>
        <v>0</v>
      </c>
      <c r="J120" s="365">
        <f t="shared" si="3"/>
        <v>0</v>
      </c>
      <c r="K120" s="366">
        <f t="shared" si="5"/>
        <v>6</v>
      </c>
      <c r="L120" s="366">
        <f>+IF((C120&gt;='Resultats - informe'!$E$16)*(C120&lt;='Resultats - informe'!$G$16),1,0)</f>
        <v>1</v>
      </c>
      <c r="M120" s="366" cm="1">
        <f t="array" ref="M120">+_xlfn.IFS((C120&gt;='Resultats - informe'!$D$26)*(C120&lt;='Resultats - informe'!$E$26),0,(C120&gt;='Resultats - informe'!$D$27)*(C120&lt;='Resultats - informe'!$E$27),0,(C120&gt;='Resultats - informe'!$D$28)*(C120&lt;='Resultats - informe'!$E$28),0,(C120&gt;='Resultats - informe'!$D$29)*(C120&lt;='Resultats - informe'!$E$29),0,1,1)</f>
        <v>0</v>
      </c>
      <c r="N120" s="366">
        <f>+VLOOKUP(D120,'Resultats - informe'!$Y$18:$AG$42,'Introducció dades consum'!K120+1,0)</f>
        <v>0</v>
      </c>
      <c r="O120" s="367" cm="1">
        <f t="array" ref="O120">+_xlfn.SWITCH(MONTH(C120),1,1,2,1,3,1,4,2,5,2,6,3,7,3,8,3,9,3,10,2,11,2,12,1,2)</f>
        <v>1</v>
      </c>
      <c r="P120" s="43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</row>
    <row r="121" spans="1:73" ht="18" x14ac:dyDescent="0.35">
      <c r="A121" s="43"/>
      <c r="C121" s="393"/>
      <c r="E121" s="394"/>
      <c r="F121" s="394"/>
      <c r="G121" s="394"/>
      <c r="H121" s="8" t="s">
        <v>61</v>
      </c>
      <c r="I121" s="364">
        <f t="shared" si="4"/>
        <v>0</v>
      </c>
      <c r="J121" s="365">
        <f t="shared" si="3"/>
        <v>0</v>
      </c>
      <c r="K121" s="366">
        <f t="shared" si="5"/>
        <v>6</v>
      </c>
      <c r="L121" s="366">
        <f>+IF((C121&gt;='Resultats - informe'!$E$16)*(C121&lt;='Resultats - informe'!$G$16),1,0)</f>
        <v>1</v>
      </c>
      <c r="M121" s="366" cm="1">
        <f t="array" ref="M121">+_xlfn.IFS((C121&gt;='Resultats - informe'!$D$26)*(C121&lt;='Resultats - informe'!$E$26),0,(C121&gt;='Resultats - informe'!$D$27)*(C121&lt;='Resultats - informe'!$E$27),0,(C121&gt;='Resultats - informe'!$D$28)*(C121&lt;='Resultats - informe'!$E$28),0,(C121&gt;='Resultats - informe'!$D$29)*(C121&lt;='Resultats - informe'!$E$29),0,1,1)</f>
        <v>0</v>
      </c>
      <c r="N121" s="366">
        <f>+VLOOKUP(D121,'Resultats - informe'!$Y$18:$AG$42,'Introducció dades consum'!K121+1,0)</f>
        <v>0</v>
      </c>
      <c r="O121" s="367" cm="1">
        <f t="array" ref="O121">+_xlfn.SWITCH(MONTH(C121),1,1,2,1,3,1,4,2,5,2,6,3,7,3,8,3,9,3,10,2,11,2,12,1,2)</f>
        <v>1</v>
      </c>
      <c r="P121" s="43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</row>
    <row r="122" spans="1:73" ht="18" x14ac:dyDescent="0.35">
      <c r="A122" s="43"/>
      <c r="C122" s="393"/>
      <c r="E122" s="394"/>
      <c r="F122" s="394"/>
      <c r="G122" s="394"/>
      <c r="H122" s="8" t="s">
        <v>61</v>
      </c>
      <c r="I122" s="364">
        <f t="shared" si="4"/>
        <v>0</v>
      </c>
      <c r="J122" s="365">
        <f t="shared" si="3"/>
        <v>0</v>
      </c>
      <c r="K122" s="366">
        <f t="shared" si="5"/>
        <v>6</v>
      </c>
      <c r="L122" s="366">
        <f>+IF((C122&gt;='Resultats - informe'!$E$16)*(C122&lt;='Resultats - informe'!$G$16),1,0)</f>
        <v>1</v>
      </c>
      <c r="M122" s="366" cm="1">
        <f t="array" ref="M122">+_xlfn.IFS((C122&gt;='Resultats - informe'!$D$26)*(C122&lt;='Resultats - informe'!$E$26),0,(C122&gt;='Resultats - informe'!$D$27)*(C122&lt;='Resultats - informe'!$E$27),0,(C122&gt;='Resultats - informe'!$D$28)*(C122&lt;='Resultats - informe'!$E$28),0,(C122&gt;='Resultats - informe'!$D$29)*(C122&lt;='Resultats - informe'!$E$29),0,1,1)</f>
        <v>0</v>
      </c>
      <c r="N122" s="366">
        <f>+VLOOKUP(D122,'Resultats - informe'!$Y$18:$AG$42,'Introducció dades consum'!K122+1,0)</f>
        <v>0</v>
      </c>
      <c r="O122" s="367" cm="1">
        <f t="array" ref="O122">+_xlfn.SWITCH(MONTH(C122),1,1,2,1,3,1,4,2,5,2,6,3,7,3,8,3,9,3,10,2,11,2,12,1,2)</f>
        <v>1</v>
      </c>
      <c r="P122" s="43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</row>
    <row r="123" spans="1:73" ht="18" x14ac:dyDescent="0.35">
      <c r="A123" s="43"/>
      <c r="C123" s="393"/>
      <c r="E123" s="394"/>
      <c r="F123" s="394"/>
      <c r="G123" s="394"/>
      <c r="H123" s="8" t="s">
        <v>61</v>
      </c>
      <c r="I123" s="364">
        <f t="shared" si="4"/>
        <v>0</v>
      </c>
      <c r="J123" s="365">
        <f t="shared" si="3"/>
        <v>0</v>
      </c>
      <c r="K123" s="366">
        <f t="shared" si="5"/>
        <v>6</v>
      </c>
      <c r="L123" s="366">
        <f>+IF((C123&gt;='Resultats - informe'!$E$16)*(C123&lt;='Resultats - informe'!$G$16),1,0)</f>
        <v>1</v>
      </c>
      <c r="M123" s="366" cm="1">
        <f t="array" ref="M123">+_xlfn.IFS((C123&gt;='Resultats - informe'!$D$26)*(C123&lt;='Resultats - informe'!$E$26),0,(C123&gt;='Resultats - informe'!$D$27)*(C123&lt;='Resultats - informe'!$E$27),0,(C123&gt;='Resultats - informe'!$D$28)*(C123&lt;='Resultats - informe'!$E$28),0,(C123&gt;='Resultats - informe'!$D$29)*(C123&lt;='Resultats - informe'!$E$29),0,1,1)</f>
        <v>0</v>
      </c>
      <c r="N123" s="366">
        <f>+VLOOKUP(D123,'Resultats - informe'!$Y$18:$AG$42,'Introducció dades consum'!K123+1,0)</f>
        <v>0</v>
      </c>
      <c r="O123" s="367" cm="1">
        <f t="array" ref="O123">+_xlfn.SWITCH(MONTH(C123),1,1,2,1,3,1,4,2,5,2,6,3,7,3,8,3,9,3,10,2,11,2,12,1,2)</f>
        <v>1</v>
      </c>
      <c r="P123" s="43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</row>
    <row r="124" spans="1:73" ht="18" x14ac:dyDescent="0.35">
      <c r="A124" s="43"/>
      <c r="C124" s="393"/>
      <c r="E124" s="394"/>
      <c r="F124" s="394"/>
      <c r="G124" s="394"/>
      <c r="H124" s="8" t="s">
        <v>61</v>
      </c>
      <c r="I124" s="364">
        <f t="shared" si="4"/>
        <v>0</v>
      </c>
      <c r="J124" s="365">
        <f t="shared" si="3"/>
        <v>0</v>
      </c>
      <c r="K124" s="366">
        <f t="shared" si="5"/>
        <v>6</v>
      </c>
      <c r="L124" s="366">
        <f>+IF((C124&gt;='Resultats - informe'!$E$16)*(C124&lt;='Resultats - informe'!$G$16),1,0)</f>
        <v>1</v>
      </c>
      <c r="M124" s="366" cm="1">
        <f t="array" ref="M124">+_xlfn.IFS((C124&gt;='Resultats - informe'!$D$26)*(C124&lt;='Resultats - informe'!$E$26),0,(C124&gt;='Resultats - informe'!$D$27)*(C124&lt;='Resultats - informe'!$E$27),0,(C124&gt;='Resultats - informe'!$D$28)*(C124&lt;='Resultats - informe'!$E$28),0,(C124&gt;='Resultats - informe'!$D$29)*(C124&lt;='Resultats - informe'!$E$29),0,1,1)</f>
        <v>0</v>
      </c>
      <c r="N124" s="366">
        <f>+VLOOKUP(D124,'Resultats - informe'!$Y$18:$AG$42,'Introducció dades consum'!K124+1,0)</f>
        <v>0</v>
      </c>
      <c r="O124" s="367" cm="1">
        <f t="array" ref="O124">+_xlfn.SWITCH(MONTH(C124),1,1,2,1,3,1,4,2,5,2,6,3,7,3,8,3,9,3,10,2,11,2,12,1,2)</f>
        <v>1</v>
      </c>
      <c r="P124" s="43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</row>
    <row r="125" spans="1:73" ht="18" x14ac:dyDescent="0.35">
      <c r="A125" s="43"/>
      <c r="C125" s="393"/>
      <c r="E125" s="394"/>
      <c r="F125" s="394"/>
      <c r="G125" s="394"/>
      <c r="H125" s="8" t="s">
        <v>61</v>
      </c>
      <c r="I125" s="364">
        <f t="shared" si="4"/>
        <v>0</v>
      </c>
      <c r="J125" s="365">
        <f t="shared" si="3"/>
        <v>0</v>
      </c>
      <c r="K125" s="366">
        <f t="shared" si="5"/>
        <v>6</v>
      </c>
      <c r="L125" s="366">
        <f>+IF((C125&gt;='Resultats - informe'!$E$16)*(C125&lt;='Resultats - informe'!$G$16),1,0)</f>
        <v>1</v>
      </c>
      <c r="M125" s="366" cm="1">
        <f t="array" ref="M125">+_xlfn.IFS((C125&gt;='Resultats - informe'!$D$26)*(C125&lt;='Resultats - informe'!$E$26),0,(C125&gt;='Resultats - informe'!$D$27)*(C125&lt;='Resultats - informe'!$E$27),0,(C125&gt;='Resultats - informe'!$D$28)*(C125&lt;='Resultats - informe'!$E$28),0,(C125&gt;='Resultats - informe'!$D$29)*(C125&lt;='Resultats - informe'!$E$29),0,1,1)</f>
        <v>0</v>
      </c>
      <c r="N125" s="366">
        <f>+VLOOKUP(D125,'Resultats - informe'!$Y$18:$AG$42,'Introducció dades consum'!K125+1,0)</f>
        <v>0</v>
      </c>
      <c r="O125" s="367" cm="1">
        <f t="array" ref="O125">+_xlfn.SWITCH(MONTH(C125),1,1,2,1,3,1,4,2,5,2,6,3,7,3,8,3,9,3,10,2,11,2,12,1,2)</f>
        <v>1</v>
      </c>
      <c r="P125" s="43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</row>
    <row r="126" spans="1:73" ht="18" x14ac:dyDescent="0.35">
      <c r="A126" s="43"/>
      <c r="C126" s="393"/>
      <c r="E126" s="394"/>
      <c r="F126" s="394"/>
      <c r="G126" s="394"/>
      <c r="H126" s="8" t="s">
        <v>61</v>
      </c>
      <c r="I126" s="364">
        <f t="shared" si="4"/>
        <v>0</v>
      </c>
      <c r="J126" s="365">
        <f t="shared" si="3"/>
        <v>0</v>
      </c>
      <c r="K126" s="366">
        <f t="shared" si="5"/>
        <v>6</v>
      </c>
      <c r="L126" s="366">
        <f>+IF((C126&gt;='Resultats - informe'!$E$16)*(C126&lt;='Resultats - informe'!$G$16),1,0)</f>
        <v>1</v>
      </c>
      <c r="M126" s="366" cm="1">
        <f t="array" ref="M126">+_xlfn.IFS((C126&gt;='Resultats - informe'!$D$26)*(C126&lt;='Resultats - informe'!$E$26),0,(C126&gt;='Resultats - informe'!$D$27)*(C126&lt;='Resultats - informe'!$E$27),0,(C126&gt;='Resultats - informe'!$D$28)*(C126&lt;='Resultats - informe'!$E$28),0,(C126&gt;='Resultats - informe'!$D$29)*(C126&lt;='Resultats - informe'!$E$29),0,1,1)</f>
        <v>0</v>
      </c>
      <c r="N126" s="366">
        <f>+VLOOKUP(D126,'Resultats - informe'!$Y$18:$AG$42,'Introducció dades consum'!K126+1,0)</f>
        <v>0</v>
      </c>
      <c r="O126" s="367" cm="1">
        <f t="array" ref="O126">+_xlfn.SWITCH(MONTH(C126),1,1,2,1,3,1,4,2,5,2,6,3,7,3,8,3,9,3,10,2,11,2,12,1,2)</f>
        <v>1</v>
      </c>
      <c r="P126" s="43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</row>
    <row r="127" spans="1:73" ht="18" x14ac:dyDescent="0.35">
      <c r="A127" s="43"/>
      <c r="C127" s="393"/>
      <c r="E127" s="394"/>
      <c r="F127" s="394"/>
      <c r="G127" s="394"/>
      <c r="H127" s="8" t="s">
        <v>61</v>
      </c>
      <c r="I127" s="364">
        <f t="shared" si="4"/>
        <v>0</v>
      </c>
      <c r="J127" s="365">
        <f t="shared" si="3"/>
        <v>0</v>
      </c>
      <c r="K127" s="366">
        <f t="shared" si="5"/>
        <v>6</v>
      </c>
      <c r="L127" s="366">
        <f>+IF((C127&gt;='Resultats - informe'!$E$16)*(C127&lt;='Resultats - informe'!$G$16),1,0)</f>
        <v>1</v>
      </c>
      <c r="M127" s="366" cm="1">
        <f t="array" ref="M127">+_xlfn.IFS((C127&gt;='Resultats - informe'!$D$26)*(C127&lt;='Resultats - informe'!$E$26),0,(C127&gt;='Resultats - informe'!$D$27)*(C127&lt;='Resultats - informe'!$E$27),0,(C127&gt;='Resultats - informe'!$D$28)*(C127&lt;='Resultats - informe'!$E$28),0,(C127&gt;='Resultats - informe'!$D$29)*(C127&lt;='Resultats - informe'!$E$29),0,1,1)</f>
        <v>0</v>
      </c>
      <c r="N127" s="366">
        <f>+VLOOKUP(D127,'Resultats - informe'!$Y$18:$AG$42,'Introducció dades consum'!K127+1,0)</f>
        <v>0</v>
      </c>
      <c r="O127" s="367" cm="1">
        <f t="array" ref="O127">+_xlfn.SWITCH(MONTH(C127),1,1,2,1,3,1,4,2,5,2,6,3,7,3,8,3,9,3,10,2,11,2,12,1,2)</f>
        <v>1</v>
      </c>
      <c r="P127" s="43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</row>
    <row r="128" spans="1:73" ht="18" x14ac:dyDescent="0.35">
      <c r="A128" s="43"/>
      <c r="C128" s="393"/>
      <c r="E128" s="394"/>
      <c r="F128" s="394"/>
      <c r="G128" s="394"/>
      <c r="H128" s="8" t="s">
        <v>61</v>
      </c>
      <c r="I128" s="364">
        <f t="shared" si="4"/>
        <v>0</v>
      </c>
      <c r="J128" s="365">
        <f t="shared" si="3"/>
        <v>0</v>
      </c>
      <c r="K128" s="366">
        <f t="shared" si="5"/>
        <v>6</v>
      </c>
      <c r="L128" s="366">
        <f>+IF((C128&gt;='Resultats - informe'!$E$16)*(C128&lt;='Resultats - informe'!$G$16),1,0)</f>
        <v>1</v>
      </c>
      <c r="M128" s="366" cm="1">
        <f t="array" ref="M128">+_xlfn.IFS((C128&gt;='Resultats - informe'!$D$26)*(C128&lt;='Resultats - informe'!$E$26),0,(C128&gt;='Resultats - informe'!$D$27)*(C128&lt;='Resultats - informe'!$E$27),0,(C128&gt;='Resultats - informe'!$D$28)*(C128&lt;='Resultats - informe'!$E$28),0,(C128&gt;='Resultats - informe'!$D$29)*(C128&lt;='Resultats - informe'!$E$29),0,1,1)</f>
        <v>0</v>
      </c>
      <c r="N128" s="366">
        <f>+VLOOKUP(D128,'Resultats - informe'!$Y$18:$AG$42,'Introducció dades consum'!K128+1,0)</f>
        <v>0</v>
      </c>
      <c r="O128" s="367" cm="1">
        <f t="array" ref="O128">+_xlfn.SWITCH(MONTH(C128),1,1,2,1,3,1,4,2,5,2,6,3,7,3,8,3,9,3,10,2,11,2,12,1,2)</f>
        <v>1</v>
      </c>
      <c r="P128" s="43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</row>
    <row r="129" spans="1:73" ht="18" x14ac:dyDescent="0.35">
      <c r="A129" s="43"/>
      <c r="C129" s="393"/>
      <c r="E129" s="394"/>
      <c r="F129" s="394"/>
      <c r="G129" s="394"/>
      <c r="H129" s="8" t="s">
        <v>61</v>
      </c>
      <c r="I129" s="364">
        <f t="shared" si="4"/>
        <v>0</v>
      </c>
      <c r="J129" s="365">
        <f t="shared" si="3"/>
        <v>0</v>
      </c>
      <c r="K129" s="366">
        <f t="shared" si="5"/>
        <v>6</v>
      </c>
      <c r="L129" s="366">
        <f>+IF((C129&gt;='Resultats - informe'!$E$16)*(C129&lt;='Resultats - informe'!$G$16),1,0)</f>
        <v>1</v>
      </c>
      <c r="M129" s="366" cm="1">
        <f t="array" ref="M129">+_xlfn.IFS((C129&gt;='Resultats - informe'!$D$26)*(C129&lt;='Resultats - informe'!$E$26),0,(C129&gt;='Resultats - informe'!$D$27)*(C129&lt;='Resultats - informe'!$E$27),0,(C129&gt;='Resultats - informe'!$D$28)*(C129&lt;='Resultats - informe'!$E$28),0,(C129&gt;='Resultats - informe'!$D$29)*(C129&lt;='Resultats - informe'!$E$29),0,1,1)</f>
        <v>0</v>
      </c>
      <c r="N129" s="366">
        <f>+VLOOKUP(D129,'Resultats - informe'!$Y$18:$AG$42,'Introducció dades consum'!K129+1,0)</f>
        <v>0</v>
      </c>
      <c r="O129" s="367" cm="1">
        <f t="array" ref="O129">+_xlfn.SWITCH(MONTH(C129),1,1,2,1,3,1,4,2,5,2,6,3,7,3,8,3,9,3,10,2,11,2,12,1,2)</f>
        <v>1</v>
      </c>
      <c r="P129" s="43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</row>
    <row r="130" spans="1:73" ht="18" x14ac:dyDescent="0.35">
      <c r="A130" s="43"/>
      <c r="C130" s="393"/>
      <c r="E130" s="394"/>
      <c r="F130" s="394"/>
      <c r="G130" s="394"/>
      <c r="H130" s="8" t="s">
        <v>61</v>
      </c>
      <c r="I130" s="364">
        <f t="shared" si="4"/>
        <v>0</v>
      </c>
      <c r="J130" s="365">
        <f t="shared" si="3"/>
        <v>0</v>
      </c>
      <c r="K130" s="366">
        <f t="shared" si="5"/>
        <v>6</v>
      </c>
      <c r="L130" s="366">
        <f>+IF((C130&gt;='Resultats - informe'!$E$16)*(C130&lt;='Resultats - informe'!$G$16),1,0)</f>
        <v>1</v>
      </c>
      <c r="M130" s="366" cm="1">
        <f t="array" ref="M130">+_xlfn.IFS((C130&gt;='Resultats - informe'!$D$26)*(C130&lt;='Resultats - informe'!$E$26),0,(C130&gt;='Resultats - informe'!$D$27)*(C130&lt;='Resultats - informe'!$E$27),0,(C130&gt;='Resultats - informe'!$D$28)*(C130&lt;='Resultats - informe'!$E$28),0,(C130&gt;='Resultats - informe'!$D$29)*(C130&lt;='Resultats - informe'!$E$29),0,1,1)</f>
        <v>0</v>
      </c>
      <c r="N130" s="366">
        <f>+VLOOKUP(D130,'Resultats - informe'!$Y$18:$AG$42,'Introducció dades consum'!K130+1,0)</f>
        <v>0</v>
      </c>
      <c r="O130" s="367" cm="1">
        <f t="array" ref="O130">+_xlfn.SWITCH(MONTH(C130),1,1,2,1,3,1,4,2,5,2,6,3,7,3,8,3,9,3,10,2,11,2,12,1,2)</f>
        <v>1</v>
      </c>
      <c r="P130" s="43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</row>
    <row r="131" spans="1:73" ht="18" x14ac:dyDescent="0.35">
      <c r="A131" s="43"/>
      <c r="C131" s="393"/>
      <c r="E131" s="394"/>
      <c r="F131" s="394"/>
      <c r="G131" s="394"/>
      <c r="H131" s="8" t="s">
        <v>61</v>
      </c>
      <c r="I131" s="364">
        <f t="shared" si="4"/>
        <v>0</v>
      </c>
      <c r="J131" s="365">
        <f t="shared" si="3"/>
        <v>0</v>
      </c>
      <c r="K131" s="366">
        <f t="shared" si="5"/>
        <v>6</v>
      </c>
      <c r="L131" s="366">
        <f>+IF((C131&gt;='Resultats - informe'!$E$16)*(C131&lt;='Resultats - informe'!$G$16),1,0)</f>
        <v>1</v>
      </c>
      <c r="M131" s="366" cm="1">
        <f t="array" ref="M131">+_xlfn.IFS((C131&gt;='Resultats - informe'!$D$26)*(C131&lt;='Resultats - informe'!$E$26),0,(C131&gt;='Resultats - informe'!$D$27)*(C131&lt;='Resultats - informe'!$E$27),0,(C131&gt;='Resultats - informe'!$D$28)*(C131&lt;='Resultats - informe'!$E$28),0,(C131&gt;='Resultats - informe'!$D$29)*(C131&lt;='Resultats - informe'!$E$29),0,1,1)</f>
        <v>0</v>
      </c>
      <c r="N131" s="366">
        <f>+VLOOKUP(D131,'Resultats - informe'!$Y$18:$AG$42,'Introducció dades consum'!K131+1,0)</f>
        <v>0</v>
      </c>
      <c r="O131" s="367" cm="1">
        <f t="array" ref="O131">+_xlfn.SWITCH(MONTH(C131),1,1,2,1,3,1,4,2,5,2,6,3,7,3,8,3,9,3,10,2,11,2,12,1,2)</f>
        <v>1</v>
      </c>
      <c r="P131" s="43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</row>
    <row r="132" spans="1:73" ht="18" x14ac:dyDescent="0.35">
      <c r="A132" s="43"/>
      <c r="C132" s="393"/>
      <c r="E132" s="394"/>
      <c r="F132" s="394"/>
      <c r="G132" s="394"/>
      <c r="H132" s="8" t="s">
        <v>61</v>
      </c>
      <c r="I132" s="364">
        <f t="shared" si="4"/>
        <v>0</v>
      </c>
      <c r="J132" s="365">
        <f t="shared" si="3"/>
        <v>0</v>
      </c>
      <c r="K132" s="366">
        <f t="shared" si="5"/>
        <v>6</v>
      </c>
      <c r="L132" s="366">
        <f>+IF((C132&gt;='Resultats - informe'!$E$16)*(C132&lt;='Resultats - informe'!$G$16),1,0)</f>
        <v>1</v>
      </c>
      <c r="M132" s="366" cm="1">
        <f t="array" ref="M132">+_xlfn.IFS((C132&gt;='Resultats - informe'!$D$26)*(C132&lt;='Resultats - informe'!$E$26),0,(C132&gt;='Resultats - informe'!$D$27)*(C132&lt;='Resultats - informe'!$E$27),0,(C132&gt;='Resultats - informe'!$D$28)*(C132&lt;='Resultats - informe'!$E$28),0,(C132&gt;='Resultats - informe'!$D$29)*(C132&lt;='Resultats - informe'!$E$29),0,1,1)</f>
        <v>0</v>
      </c>
      <c r="N132" s="366">
        <f>+VLOOKUP(D132,'Resultats - informe'!$Y$18:$AG$42,'Introducció dades consum'!K132+1,0)</f>
        <v>0</v>
      </c>
      <c r="O132" s="367" cm="1">
        <f t="array" ref="O132">+_xlfn.SWITCH(MONTH(C132),1,1,2,1,3,1,4,2,5,2,6,3,7,3,8,3,9,3,10,2,11,2,12,1,2)</f>
        <v>1</v>
      </c>
      <c r="P132" s="43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</row>
    <row r="133" spans="1:73" ht="18" x14ac:dyDescent="0.35">
      <c r="A133" s="43"/>
      <c r="C133" s="393"/>
      <c r="E133" s="394"/>
      <c r="F133" s="394"/>
      <c r="G133" s="394"/>
      <c r="H133" s="8" t="s">
        <v>61</v>
      </c>
      <c r="I133" s="364">
        <f t="shared" si="4"/>
        <v>0</v>
      </c>
      <c r="J133" s="365">
        <f t="shared" ref="J133:J196" si="6">+C133</f>
        <v>0</v>
      </c>
      <c r="K133" s="366">
        <f t="shared" si="5"/>
        <v>6</v>
      </c>
      <c r="L133" s="366">
        <f>+IF((C133&gt;='Resultats - informe'!$E$16)*(C133&lt;='Resultats - informe'!$G$16),1,0)</f>
        <v>1</v>
      </c>
      <c r="M133" s="366" cm="1">
        <f t="array" ref="M133">+_xlfn.IFS((C133&gt;='Resultats - informe'!$D$26)*(C133&lt;='Resultats - informe'!$E$26),0,(C133&gt;='Resultats - informe'!$D$27)*(C133&lt;='Resultats - informe'!$E$27),0,(C133&gt;='Resultats - informe'!$D$28)*(C133&lt;='Resultats - informe'!$E$28),0,(C133&gt;='Resultats - informe'!$D$29)*(C133&lt;='Resultats - informe'!$E$29),0,1,1)</f>
        <v>0</v>
      </c>
      <c r="N133" s="366">
        <f>+VLOOKUP(D133,'Resultats - informe'!$Y$18:$AG$42,'Introducció dades consum'!K133+1,0)</f>
        <v>0</v>
      </c>
      <c r="O133" s="367" cm="1">
        <f t="array" ref="O133">+_xlfn.SWITCH(MONTH(C133),1,1,2,1,3,1,4,2,5,2,6,3,7,3,8,3,9,3,10,2,11,2,12,1,2)</f>
        <v>1</v>
      </c>
      <c r="P133" s="43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</row>
    <row r="134" spans="1:73" ht="18" x14ac:dyDescent="0.35">
      <c r="A134" s="43"/>
      <c r="C134" s="393"/>
      <c r="E134" s="394"/>
      <c r="F134" s="394"/>
      <c r="G134" s="394"/>
      <c r="H134" s="8" t="s">
        <v>61</v>
      </c>
      <c r="I134" s="364">
        <f t="shared" ref="I134:I197" si="7">+E134+G134</f>
        <v>0</v>
      </c>
      <c r="J134" s="365">
        <f t="shared" si="6"/>
        <v>0</v>
      </c>
      <c r="K134" s="366">
        <f t="shared" ref="K134:K197" si="8">+WEEKDAY(C134,2)</f>
        <v>6</v>
      </c>
      <c r="L134" s="366">
        <f>+IF((C134&gt;='Resultats - informe'!$E$16)*(C134&lt;='Resultats - informe'!$G$16),1,0)</f>
        <v>1</v>
      </c>
      <c r="M134" s="366" cm="1">
        <f t="array" ref="M134">+_xlfn.IFS((C134&gt;='Resultats - informe'!$D$26)*(C134&lt;='Resultats - informe'!$E$26),0,(C134&gt;='Resultats - informe'!$D$27)*(C134&lt;='Resultats - informe'!$E$27),0,(C134&gt;='Resultats - informe'!$D$28)*(C134&lt;='Resultats - informe'!$E$28),0,(C134&gt;='Resultats - informe'!$D$29)*(C134&lt;='Resultats - informe'!$E$29),0,1,1)</f>
        <v>0</v>
      </c>
      <c r="N134" s="366">
        <f>+VLOOKUP(D134,'Resultats - informe'!$Y$18:$AG$42,'Introducció dades consum'!K134+1,0)</f>
        <v>0</v>
      </c>
      <c r="O134" s="367" cm="1">
        <f t="array" ref="O134">+_xlfn.SWITCH(MONTH(C134),1,1,2,1,3,1,4,2,5,2,6,3,7,3,8,3,9,3,10,2,11,2,12,1,2)</f>
        <v>1</v>
      </c>
      <c r="P134" s="43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</row>
    <row r="135" spans="1:73" ht="18" x14ac:dyDescent="0.35">
      <c r="A135" s="43"/>
      <c r="C135" s="393"/>
      <c r="E135" s="394"/>
      <c r="F135" s="394"/>
      <c r="G135" s="394"/>
      <c r="H135" s="8" t="s">
        <v>61</v>
      </c>
      <c r="I135" s="364">
        <f t="shared" si="7"/>
        <v>0</v>
      </c>
      <c r="J135" s="365">
        <f t="shared" si="6"/>
        <v>0</v>
      </c>
      <c r="K135" s="366">
        <f t="shared" si="8"/>
        <v>6</v>
      </c>
      <c r="L135" s="366">
        <f>+IF((C135&gt;='Resultats - informe'!$E$16)*(C135&lt;='Resultats - informe'!$G$16),1,0)</f>
        <v>1</v>
      </c>
      <c r="M135" s="366" cm="1">
        <f t="array" ref="M135">+_xlfn.IFS((C135&gt;='Resultats - informe'!$D$26)*(C135&lt;='Resultats - informe'!$E$26),0,(C135&gt;='Resultats - informe'!$D$27)*(C135&lt;='Resultats - informe'!$E$27),0,(C135&gt;='Resultats - informe'!$D$28)*(C135&lt;='Resultats - informe'!$E$28),0,(C135&gt;='Resultats - informe'!$D$29)*(C135&lt;='Resultats - informe'!$E$29),0,1,1)</f>
        <v>0</v>
      </c>
      <c r="N135" s="366">
        <f>+VLOOKUP(D135,'Resultats - informe'!$Y$18:$AG$42,'Introducció dades consum'!K135+1,0)</f>
        <v>0</v>
      </c>
      <c r="O135" s="367" cm="1">
        <f t="array" ref="O135">+_xlfn.SWITCH(MONTH(C135),1,1,2,1,3,1,4,2,5,2,6,3,7,3,8,3,9,3,10,2,11,2,12,1,2)</f>
        <v>1</v>
      </c>
      <c r="P135" s="43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</row>
    <row r="136" spans="1:73" ht="18" x14ac:dyDescent="0.35">
      <c r="A136" s="43"/>
      <c r="C136" s="393"/>
      <c r="E136" s="394"/>
      <c r="F136" s="394"/>
      <c r="G136" s="394"/>
      <c r="H136" s="8" t="s">
        <v>61</v>
      </c>
      <c r="I136" s="364">
        <f t="shared" si="7"/>
        <v>0</v>
      </c>
      <c r="J136" s="365">
        <f t="shared" si="6"/>
        <v>0</v>
      </c>
      <c r="K136" s="366">
        <f t="shared" si="8"/>
        <v>6</v>
      </c>
      <c r="L136" s="366">
        <f>+IF((C136&gt;='Resultats - informe'!$E$16)*(C136&lt;='Resultats - informe'!$G$16),1,0)</f>
        <v>1</v>
      </c>
      <c r="M136" s="366" cm="1">
        <f t="array" ref="M136">+_xlfn.IFS((C136&gt;='Resultats - informe'!$D$26)*(C136&lt;='Resultats - informe'!$E$26),0,(C136&gt;='Resultats - informe'!$D$27)*(C136&lt;='Resultats - informe'!$E$27),0,(C136&gt;='Resultats - informe'!$D$28)*(C136&lt;='Resultats - informe'!$E$28),0,(C136&gt;='Resultats - informe'!$D$29)*(C136&lt;='Resultats - informe'!$E$29),0,1,1)</f>
        <v>0</v>
      </c>
      <c r="N136" s="366">
        <f>+VLOOKUP(D136,'Resultats - informe'!$Y$18:$AG$42,'Introducció dades consum'!K136+1,0)</f>
        <v>0</v>
      </c>
      <c r="O136" s="367" cm="1">
        <f t="array" ref="O136">+_xlfn.SWITCH(MONTH(C136),1,1,2,1,3,1,4,2,5,2,6,3,7,3,8,3,9,3,10,2,11,2,12,1,2)</f>
        <v>1</v>
      </c>
      <c r="P136" s="43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</row>
    <row r="137" spans="1:73" ht="18" x14ac:dyDescent="0.35">
      <c r="A137" s="43"/>
      <c r="C137" s="393"/>
      <c r="E137" s="394"/>
      <c r="F137" s="394"/>
      <c r="G137" s="394"/>
      <c r="H137" s="8" t="s">
        <v>61</v>
      </c>
      <c r="I137" s="364">
        <f t="shared" si="7"/>
        <v>0</v>
      </c>
      <c r="J137" s="365">
        <f t="shared" si="6"/>
        <v>0</v>
      </c>
      <c r="K137" s="366">
        <f t="shared" si="8"/>
        <v>6</v>
      </c>
      <c r="L137" s="366">
        <f>+IF((C137&gt;='Resultats - informe'!$E$16)*(C137&lt;='Resultats - informe'!$G$16),1,0)</f>
        <v>1</v>
      </c>
      <c r="M137" s="366" cm="1">
        <f t="array" ref="M137">+_xlfn.IFS((C137&gt;='Resultats - informe'!$D$26)*(C137&lt;='Resultats - informe'!$E$26),0,(C137&gt;='Resultats - informe'!$D$27)*(C137&lt;='Resultats - informe'!$E$27),0,(C137&gt;='Resultats - informe'!$D$28)*(C137&lt;='Resultats - informe'!$E$28),0,(C137&gt;='Resultats - informe'!$D$29)*(C137&lt;='Resultats - informe'!$E$29),0,1,1)</f>
        <v>0</v>
      </c>
      <c r="N137" s="366">
        <f>+VLOOKUP(D137,'Resultats - informe'!$Y$18:$AG$42,'Introducció dades consum'!K137+1,0)</f>
        <v>0</v>
      </c>
      <c r="O137" s="367" cm="1">
        <f t="array" ref="O137">+_xlfn.SWITCH(MONTH(C137),1,1,2,1,3,1,4,2,5,2,6,3,7,3,8,3,9,3,10,2,11,2,12,1,2)</f>
        <v>1</v>
      </c>
      <c r="P137" s="43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</row>
    <row r="138" spans="1:73" ht="18" x14ac:dyDescent="0.35">
      <c r="A138" s="43"/>
      <c r="C138" s="393"/>
      <c r="E138" s="394"/>
      <c r="F138" s="394"/>
      <c r="G138" s="394"/>
      <c r="H138" s="8" t="s">
        <v>61</v>
      </c>
      <c r="I138" s="364">
        <f t="shared" si="7"/>
        <v>0</v>
      </c>
      <c r="J138" s="365">
        <f t="shared" si="6"/>
        <v>0</v>
      </c>
      <c r="K138" s="366">
        <f t="shared" si="8"/>
        <v>6</v>
      </c>
      <c r="L138" s="366">
        <f>+IF((C138&gt;='Resultats - informe'!$E$16)*(C138&lt;='Resultats - informe'!$G$16),1,0)</f>
        <v>1</v>
      </c>
      <c r="M138" s="366" cm="1">
        <f t="array" ref="M138">+_xlfn.IFS((C138&gt;='Resultats - informe'!$D$26)*(C138&lt;='Resultats - informe'!$E$26),0,(C138&gt;='Resultats - informe'!$D$27)*(C138&lt;='Resultats - informe'!$E$27),0,(C138&gt;='Resultats - informe'!$D$28)*(C138&lt;='Resultats - informe'!$E$28),0,(C138&gt;='Resultats - informe'!$D$29)*(C138&lt;='Resultats - informe'!$E$29),0,1,1)</f>
        <v>0</v>
      </c>
      <c r="N138" s="366">
        <f>+VLOOKUP(D138,'Resultats - informe'!$Y$18:$AG$42,'Introducció dades consum'!K138+1,0)</f>
        <v>0</v>
      </c>
      <c r="O138" s="367" cm="1">
        <f t="array" ref="O138">+_xlfn.SWITCH(MONTH(C138),1,1,2,1,3,1,4,2,5,2,6,3,7,3,8,3,9,3,10,2,11,2,12,1,2)</f>
        <v>1</v>
      </c>
      <c r="P138" s="43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</row>
    <row r="139" spans="1:73" ht="18" x14ac:dyDescent="0.35">
      <c r="A139" s="43"/>
      <c r="C139" s="393"/>
      <c r="E139" s="394"/>
      <c r="F139" s="394"/>
      <c r="G139" s="394"/>
      <c r="H139" s="8" t="s">
        <v>61</v>
      </c>
      <c r="I139" s="364">
        <f t="shared" si="7"/>
        <v>0</v>
      </c>
      <c r="J139" s="365">
        <f t="shared" si="6"/>
        <v>0</v>
      </c>
      <c r="K139" s="366">
        <f t="shared" si="8"/>
        <v>6</v>
      </c>
      <c r="L139" s="366">
        <f>+IF((C139&gt;='Resultats - informe'!$E$16)*(C139&lt;='Resultats - informe'!$G$16),1,0)</f>
        <v>1</v>
      </c>
      <c r="M139" s="366" cm="1">
        <f t="array" ref="M139">+_xlfn.IFS((C139&gt;='Resultats - informe'!$D$26)*(C139&lt;='Resultats - informe'!$E$26),0,(C139&gt;='Resultats - informe'!$D$27)*(C139&lt;='Resultats - informe'!$E$27),0,(C139&gt;='Resultats - informe'!$D$28)*(C139&lt;='Resultats - informe'!$E$28),0,(C139&gt;='Resultats - informe'!$D$29)*(C139&lt;='Resultats - informe'!$E$29),0,1,1)</f>
        <v>0</v>
      </c>
      <c r="N139" s="366">
        <f>+VLOOKUP(D139,'Resultats - informe'!$Y$18:$AG$42,'Introducció dades consum'!K139+1,0)</f>
        <v>0</v>
      </c>
      <c r="O139" s="367" cm="1">
        <f t="array" ref="O139">+_xlfn.SWITCH(MONTH(C139),1,1,2,1,3,1,4,2,5,2,6,3,7,3,8,3,9,3,10,2,11,2,12,1,2)</f>
        <v>1</v>
      </c>
      <c r="P139" s="43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</row>
    <row r="140" spans="1:73" ht="18" x14ac:dyDescent="0.35">
      <c r="A140" s="43"/>
      <c r="C140" s="393"/>
      <c r="E140" s="394"/>
      <c r="F140" s="394"/>
      <c r="G140" s="394"/>
      <c r="H140" s="8" t="s">
        <v>61</v>
      </c>
      <c r="I140" s="364">
        <f t="shared" si="7"/>
        <v>0</v>
      </c>
      <c r="J140" s="365">
        <f t="shared" si="6"/>
        <v>0</v>
      </c>
      <c r="K140" s="366">
        <f t="shared" si="8"/>
        <v>6</v>
      </c>
      <c r="L140" s="366">
        <f>+IF((C140&gt;='Resultats - informe'!$E$16)*(C140&lt;='Resultats - informe'!$G$16),1,0)</f>
        <v>1</v>
      </c>
      <c r="M140" s="366" cm="1">
        <f t="array" ref="M140">+_xlfn.IFS((C140&gt;='Resultats - informe'!$D$26)*(C140&lt;='Resultats - informe'!$E$26),0,(C140&gt;='Resultats - informe'!$D$27)*(C140&lt;='Resultats - informe'!$E$27),0,(C140&gt;='Resultats - informe'!$D$28)*(C140&lt;='Resultats - informe'!$E$28),0,(C140&gt;='Resultats - informe'!$D$29)*(C140&lt;='Resultats - informe'!$E$29),0,1,1)</f>
        <v>0</v>
      </c>
      <c r="N140" s="366">
        <f>+VLOOKUP(D140,'Resultats - informe'!$Y$18:$AG$42,'Introducció dades consum'!K140+1,0)</f>
        <v>0</v>
      </c>
      <c r="O140" s="367" cm="1">
        <f t="array" ref="O140">+_xlfn.SWITCH(MONTH(C140),1,1,2,1,3,1,4,2,5,2,6,3,7,3,8,3,9,3,10,2,11,2,12,1,2)</f>
        <v>1</v>
      </c>
      <c r="P140" s="43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</row>
    <row r="141" spans="1:73" ht="18" x14ac:dyDescent="0.35">
      <c r="A141" s="43"/>
      <c r="C141" s="393"/>
      <c r="E141" s="394"/>
      <c r="F141" s="394"/>
      <c r="G141" s="394"/>
      <c r="H141" s="8" t="s">
        <v>61</v>
      </c>
      <c r="I141" s="364">
        <f t="shared" si="7"/>
        <v>0</v>
      </c>
      <c r="J141" s="365">
        <f t="shared" si="6"/>
        <v>0</v>
      </c>
      <c r="K141" s="366">
        <f t="shared" si="8"/>
        <v>6</v>
      </c>
      <c r="L141" s="366">
        <f>+IF((C141&gt;='Resultats - informe'!$E$16)*(C141&lt;='Resultats - informe'!$G$16),1,0)</f>
        <v>1</v>
      </c>
      <c r="M141" s="366" cm="1">
        <f t="array" ref="M141">+_xlfn.IFS((C141&gt;='Resultats - informe'!$D$26)*(C141&lt;='Resultats - informe'!$E$26),0,(C141&gt;='Resultats - informe'!$D$27)*(C141&lt;='Resultats - informe'!$E$27),0,(C141&gt;='Resultats - informe'!$D$28)*(C141&lt;='Resultats - informe'!$E$28),0,(C141&gt;='Resultats - informe'!$D$29)*(C141&lt;='Resultats - informe'!$E$29),0,1,1)</f>
        <v>0</v>
      </c>
      <c r="N141" s="366">
        <f>+VLOOKUP(D141,'Resultats - informe'!$Y$18:$AG$42,'Introducció dades consum'!K141+1,0)</f>
        <v>0</v>
      </c>
      <c r="O141" s="367" cm="1">
        <f t="array" ref="O141">+_xlfn.SWITCH(MONTH(C141),1,1,2,1,3,1,4,2,5,2,6,3,7,3,8,3,9,3,10,2,11,2,12,1,2)</f>
        <v>1</v>
      </c>
      <c r="P141" s="43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</row>
    <row r="142" spans="1:73" ht="18" x14ac:dyDescent="0.35">
      <c r="A142" s="43"/>
      <c r="C142" s="393"/>
      <c r="E142" s="394"/>
      <c r="F142" s="394"/>
      <c r="G142" s="394"/>
      <c r="H142" s="8" t="s">
        <v>61</v>
      </c>
      <c r="I142" s="364">
        <f t="shared" si="7"/>
        <v>0</v>
      </c>
      <c r="J142" s="365">
        <f t="shared" si="6"/>
        <v>0</v>
      </c>
      <c r="K142" s="366">
        <f t="shared" si="8"/>
        <v>6</v>
      </c>
      <c r="L142" s="366">
        <f>+IF((C142&gt;='Resultats - informe'!$E$16)*(C142&lt;='Resultats - informe'!$G$16),1,0)</f>
        <v>1</v>
      </c>
      <c r="M142" s="366" cm="1">
        <f t="array" ref="M142">+_xlfn.IFS((C142&gt;='Resultats - informe'!$D$26)*(C142&lt;='Resultats - informe'!$E$26),0,(C142&gt;='Resultats - informe'!$D$27)*(C142&lt;='Resultats - informe'!$E$27),0,(C142&gt;='Resultats - informe'!$D$28)*(C142&lt;='Resultats - informe'!$E$28),0,(C142&gt;='Resultats - informe'!$D$29)*(C142&lt;='Resultats - informe'!$E$29),0,1,1)</f>
        <v>0</v>
      </c>
      <c r="N142" s="366">
        <f>+VLOOKUP(D142,'Resultats - informe'!$Y$18:$AG$42,'Introducció dades consum'!K142+1,0)</f>
        <v>0</v>
      </c>
      <c r="O142" s="367" cm="1">
        <f t="array" ref="O142">+_xlfn.SWITCH(MONTH(C142),1,1,2,1,3,1,4,2,5,2,6,3,7,3,8,3,9,3,10,2,11,2,12,1,2)</f>
        <v>1</v>
      </c>
      <c r="P142" s="43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</row>
    <row r="143" spans="1:73" ht="18" x14ac:dyDescent="0.35">
      <c r="A143" s="43"/>
      <c r="C143" s="393"/>
      <c r="E143" s="394"/>
      <c r="F143" s="394"/>
      <c r="G143" s="394"/>
      <c r="H143" s="8" t="s">
        <v>61</v>
      </c>
      <c r="I143" s="364">
        <f t="shared" si="7"/>
        <v>0</v>
      </c>
      <c r="J143" s="365">
        <f t="shared" si="6"/>
        <v>0</v>
      </c>
      <c r="K143" s="366">
        <f t="shared" si="8"/>
        <v>6</v>
      </c>
      <c r="L143" s="366">
        <f>+IF((C143&gt;='Resultats - informe'!$E$16)*(C143&lt;='Resultats - informe'!$G$16),1,0)</f>
        <v>1</v>
      </c>
      <c r="M143" s="366" cm="1">
        <f t="array" ref="M143">+_xlfn.IFS((C143&gt;='Resultats - informe'!$D$26)*(C143&lt;='Resultats - informe'!$E$26),0,(C143&gt;='Resultats - informe'!$D$27)*(C143&lt;='Resultats - informe'!$E$27),0,(C143&gt;='Resultats - informe'!$D$28)*(C143&lt;='Resultats - informe'!$E$28),0,(C143&gt;='Resultats - informe'!$D$29)*(C143&lt;='Resultats - informe'!$E$29),0,1,1)</f>
        <v>0</v>
      </c>
      <c r="N143" s="366">
        <f>+VLOOKUP(D143,'Resultats - informe'!$Y$18:$AG$42,'Introducció dades consum'!K143+1,0)</f>
        <v>0</v>
      </c>
      <c r="O143" s="367" cm="1">
        <f t="array" ref="O143">+_xlfn.SWITCH(MONTH(C143),1,1,2,1,3,1,4,2,5,2,6,3,7,3,8,3,9,3,10,2,11,2,12,1,2)</f>
        <v>1</v>
      </c>
      <c r="P143" s="43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</row>
    <row r="144" spans="1:73" ht="18" x14ac:dyDescent="0.35">
      <c r="A144" s="43"/>
      <c r="C144" s="393"/>
      <c r="E144" s="394"/>
      <c r="F144" s="394"/>
      <c r="G144" s="394"/>
      <c r="H144" s="8" t="s">
        <v>61</v>
      </c>
      <c r="I144" s="364">
        <f t="shared" si="7"/>
        <v>0</v>
      </c>
      <c r="J144" s="365">
        <f t="shared" si="6"/>
        <v>0</v>
      </c>
      <c r="K144" s="366">
        <f t="shared" si="8"/>
        <v>6</v>
      </c>
      <c r="L144" s="366">
        <f>+IF((C144&gt;='Resultats - informe'!$E$16)*(C144&lt;='Resultats - informe'!$G$16),1,0)</f>
        <v>1</v>
      </c>
      <c r="M144" s="366" cm="1">
        <f t="array" ref="M144">+_xlfn.IFS((C144&gt;='Resultats - informe'!$D$26)*(C144&lt;='Resultats - informe'!$E$26),0,(C144&gt;='Resultats - informe'!$D$27)*(C144&lt;='Resultats - informe'!$E$27),0,(C144&gt;='Resultats - informe'!$D$28)*(C144&lt;='Resultats - informe'!$E$28),0,(C144&gt;='Resultats - informe'!$D$29)*(C144&lt;='Resultats - informe'!$E$29),0,1,1)</f>
        <v>0</v>
      </c>
      <c r="N144" s="366">
        <f>+VLOOKUP(D144,'Resultats - informe'!$Y$18:$AG$42,'Introducció dades consum'!K144+1,0)</f>
        <v>0</v>
      </c>
      <c r="O144" s="367" cm="1">
        <f t="array" ref="O144">+_xlfn.SWITCH(MONTH(C144),1,1,2,1,3,1,4,2,5,2,6,3,7,3,8,3,9,3,10,2,11,2,12,1,2)</f>
        <v>1</v>
      </c>
      <c r="P144" s="43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</row>
    <row r="145" spans="1:73" ht="18" x14ac:dyDescent="0.35">
      <c r="A145" s="43"/>
      <c r="C145" s="393"/>
      <c r="E145" s="394"/>
      <c r="F145" s="394"/>
      <c r="G145" s="394"/>
      <c r="H145" s="8" t="s">
        <v>61</v>
      </c>
      <c r="I145" s="364">
        <f t="shared" si="7"/>
        <v>0</v>
      </c>
      <c r="J145" s="365">
        <f t="shared" si="6"/>
        <v>0</v>
      </c>
      <c r="K145" s="366">
        <f t="shared" si="8"/>
        <v>6</v>
      </c>
      <c r="L145" s="366">
        <f>+IF((C145&gt;='Resultats - informe'!$E$16)*(C145&lt;='Resultats - informe'!$G$16),1,0)</f>
        <v>1</v>
      </c>
      <c r="M145" s="366" cm="1">
        <f t="array" ref="M145">+_xlfn.IFS((C145&gt;='Resultats - informe'!$D$26)*(C145&lt;='Resultats - informe'!$E$26),0,(C145&gt;='Resultats - informe'!$D$27)*(C145&lt;='Resultats - informe'!$E$27),0,(C145&gt;='Resultats - informe'!$D$28)*(C145&lt;='Resultats - informe'!$E$28),0,(C145&gt;='Resultats - informe'!$D$29)*(C145&lt;='Resultats - informe'!$E$29),0,1,1)</f>
        <v>0</v>
      </c>
      <c r="N145" s="366">
        <f>+VLOOKUP(D145,'Resultats - informe'!$Y$18:$AG$42,'Introducció dades consum'!K145+1,0)</f>
        <v>0</v>
      </c>
      <c r="O145" s="367" cm="1">
        <f t="array" ref="O145">+_xlfn.SWITCH(MONTH(C145),1,1,2,1,3,1,4,2,5,2,6,3,7,3,8,3,9,3,10,2,11,2,12,1,2)</f>
        <v>1</v>
      </c>
      <c r="P145" s="43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</row>
    <row r="146" spans="1:73" ht="18" x14ac:dyDescent="0.35">
      <c r="A146" s="43"/>
      <c r="C146" s="393"/>
      <c r="E146" s="394"/>
      <c r="F146" s="394"/>
      <c r="G146" s="394"/>
      <c r="H146" s="8" t="s">
        <v>61</v>
      </c>
      <c r="I146" s="364">
        <f t="shared" si="7"/>
        <v>0</v>
      </c>
      <c r="J146" s="365">
        <f t="shared" si="6"/>
        <v>0</v>
      </c>
      <c r="K146" s="366">
        <f t="shared" si="8"/>
        <v>6</v>
      </c>
      <c r="L146" s="366">
        <f>+IF((C146&gt;='Resultats - informe'!$E$16)*(C146&lt;='Resultats - informe'!$G$16),1,0)</f>
        <v>1</v>
      </c>
      <c r="M146" s="366" cm="1">
        <f t="array" ref="M146">+_xlfn.IFS((C146&gt;='Resultats - informe'!$D$26)*(C146&lt;='Resultats - informe'!$E$26),0,(C146&gt;='Resultats - informe'!$D$27)*(C146&lt;='Resultats - informe'!$E$27),0,(C146&gt;='Resultats - informe'!$D$28)*(C146&lt;='Resultats - informe'!$E$28),0,(C146&gt;='Resultats - informe'!$D$29)*(C146&lt;='Resultats - informe'!$E$29),0,1,1)</f>
        <v>0</v>
      </c>
      <c r="N146" s="366">
        <f>+VLOOKUP(D146,'Resultats - informe'!$Y$18:$AG$42,'Introducció dades consum'!K146+1,0)</f>
        <v>0</v>
      </c>
      <c r="O146" s="367" cm="1">
        <f t="array" ref="O146">+_xlfn.SWITCH(MONTH(C146),1,1,2,1,3,1,4,2,5,2,6,3,7,3,8,3,9,3,10,2,11,2,12,1,2)</f>
        <v>1</v>
      </c>
      <c r="P146" s="43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</row>
    <row r="147" spans="1:73" ht="18" x14ac:dyDescent="0.35">
      <c r="A147" s="43"/>
      <c r="C147" s="393"/>
      <c r="E147" s="394"/>
      <c r="F147" s="394"/>
      <c r="G147" s="394"/>
      <c r="H147" s="8" t="s">
        <v>61</v>
      </c>
      <c r="I147" s="364">
        <f t="shared" si="7"/>
        <v>0</v>
      </c>
      <c r="J147" s="365">
        <f t="shared" si="6"/>
        <v>0</v>
      </c>
      <c r="K147" s="366">
        <f t="shared" si="8"/>
        <v>6</v>
      </c>
      <c r="L147" s="366">
        <f>+IF((C147&gt;='Resultats - informe'!$E$16)*(C147&lt;='Resultats - informe'!$G$16),1,0)</f>
        <v>1</v>
      </c>
      <c r="M147" s="366" cm="1">
        <f t="array" ref="M147">+_xlfn.IFS((C147&gt;='Resultats - informe'!$D$26)*(C147&lt;='Resultats - informe'!$E$26),0,(C147&gt;='Resultats - informe'!$D$27)*(C147&lt;='Resultats - informe'!$E$27),0,(C147&gt;='Resultats - informe'!$D$28)*(C147&lt;='Resultats - informe'!$E$28),0,(C147&gt;='Resultats - informe'!$D$29)*(C147&lt;='Resultats - informe'!$E$29),0,1,1)</f>
        <v>0</v>
      </c>
      <c r="N147" s="366">
        <f>+VLOOKUP(D147,'Resultats - informe'!$Y$18:$AG$42,'Introducció dades consum'!K147+1,0)</f>
        <v>0</v>
      </c>
      <c r="O147" s="367" cm="1">
        <f t="array" ref="O147">+_xlfn.SWITCH(MONTH(C147),1,1,2,1,3,1,4,2,5,2,6,3,7,3,8,3,9,3,10,2,11,2,12,1,2)</f>
        <v>1</v>
      </c>
      <c r="P147" s="43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</row>
    <row r="148" spans="1:73" ht="18" x14ac:dyDescent="0.35">
      <c r="A148" s="43"/>
      <c r="C148" s="393"/>
      <c r="E148" s="394"/>
      <c r="F148" s="394"/>
      <c r="G148" s="394"/>
      <c r="H148" s="8" t="s">
        <v>61</v>
      </c>
      <c r="I148" s="364">
        <f t="shared" si="7"/>
        <v>0</v>
      </c>
      <c r="J148" s="365">
        <f t="shared" si="6"/>
        <v>0</v>
      </c>
      <c r="K148" s="366">
        <f t="shared" si="8"/>
        <v>6</v>
      </c>
      <c r="L148" s="366">
        <f>+IF((C148&gt;='Resultats - informe'!$E$16)*(C148&lt;='Resultats - informe'!$G$16),1,0)</f>
        <v>1</v>
      </c>
      <c r="M148" s="366" cm="1">
        <f t="array" ref="M148">+_xlfn.IFS((C148&gt;='Resultats - informe'!$D$26)*(C148&lt;='Resultats - informe'!$E$26),0,(C148&gt;='Resultats - informe'!$D$27)*(C148&lt;='Resultats - informe'!$E$27),0,(C148&gt;='Resultats - informe'!$D$28)*(C148&lt;='Resultats - informe'!$E$28),0,(C148&gt;='Resultats - informe'!$D$29)*(C148&lt;='Resultats - informe'!$E$29),0,1,1)</f>
        <v>0</v>
      </c>
      <c r="N148" s="366">
        <f>+VLOOKUP(D148,'Resultats - informe'!$Y$18:$AG$42,'Introducció dades consum'!K148+1,0)</f>
        <v>0</v>
      </c>
      <c r="O148" s="367" cm="1">
        <f t="array" ref="O148">+_xlfn.SWITCH(MONTH(C148),1,1,2,1,3,1,4,2,5,2,6,3,7,3,8,3,9,3,10,2,11,2,12,1,2)</f>
        <v>1</v>
      </c>
      <c r="P148" s="43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</row>
    <row r="149" spans="1:73" ht="18" x14ac:dyDescent="0.35">
      <c r="A149" s="43"/>
      <c r="C149" s="393"/>
      <c r="E149" s="394"/>
      <c r="F149" s="394"/>
      <c r="G149" s="394"/>
      <c r="H149" s="8" t="s">
        <v>61</v>
      </c>
      <c r="I149" s="364">
        <f t="shared" si="7"/>
        <v>0</v>
      </c>
      <c r="J149" s="365">
        <f t="shared" si="6"/>
        <v>0</v>
      </c>
      <c r="K149" s="366">
        <f t="shared" si="8"/>
        <v>6</v>
      </c>
      <c r="L149" s="366">
        <f>+IF((C149&gt;='Resultats - informe'!$E$16)*(C149&lt;='Resultats - informe'!$G$16),1,0)</f>
        <v>1</v>
      </c>
      <c r="M149" s="366" cm="1">
        <f t="array" ref="M149">+_xlfn.IFS((C149&gt;='Resultats - informe'!$D$26)*(C149&lt;='Resultats - informe'!$E$26),0,(C149&gt;='Resultats - informe'!$D$27)*(C149&lt;='Resultats - informe'!$E$27),0,(C149&gt;='Resultats - informe'!$D$28)*(C149&lt;='Resultats - informe'!$E$28),0,(C149&gt;='Resultats - informe'!$D$29)*(C149&lt;='Resultats - informe'!$E$29),0,1,1)</f>
        <v>0</v>
      </c>
      <c r="N149" s="366">
        <f>+VLOOKUP(D149,'Resultats - informe'!$Y$18:$AG$42,'Introducció dades consum'!K149+1,0)</f>
        <v>0</v>
      </c>
      <c r="O149" s="367" cm="1">
        <f t="array" ref="O149">+_xlfn.SWITCH(MONTH(C149),1,1,2,1,3,1,4,2,5,2,6,3,7,3,8,3,9,3,10,2,11,2,12,1,2)</f>
        <v>1</v>
      </c>
      <c r="P149" s="43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</row>
    <row r="150" spans="1:73" ht="18" x14ac:dyDescent="0.35">
      <c r="A150" s="43"/>
      <c r="C150" s="393"/>
      <c r="E150" s="394"/>
      <c r="F150" s="394"/>
      <c r="G150" s="394"/>
      <c r="H150" s="8" t="s">
        <v>61</v>
      </c>
      <c r="I150" s="364">
        <f t="shared" si="7"/>
        <v>0</v>
      </c>
      <c r="J150" s="365">
        <f t="shared" si="6"/>
        <v>0</v>
      </c>
      <c r="K150" s="366">
        <f t="shared" si="8"/>
        <v>6</v>
      </c>
      <c r="L150" s="366">
        <f>+IF((C150&gt;='Resultats - informe'!$E$16)*(C150&lt;='Resultats - informe'!$G$16),1,0)</f>
        <v>1</v>
      </c>
      <c r="M150" s="366" cm="1">
        <f t="array" ref="M150">+_xlfn.IFS((C150&gt;='Resultats - informe'!$D$26)*(C150&lt;='Resultats - informe'!$E$26),0,(C150&gt;='Resultats - informe'!$D$27)*(C150&lt;='Resultats - informe'!$E$27),0,(C150&gt;='Resultats - informe'!$D$28)*(C150&lt;='Resultats - informe'!$E$28),0,(C150&gt;='Resultats - informe'!$D$29)*(C150&lt;='Resultats - informe'!$E$29),0,1,1)</f>
        <v>0</v>
      </c>
      <c r="N150" s="366">
        <f>+VLOOKUP(D150,'Resultats - informe'!$Y$18:$AG$42,'Introducció dades consum'!K150+1,0)</f>
        <v>0</v>
      </c>
      <c r="O150" s="367" cm="1">
        <f t="array" ref="O150">+_xlfn.SWITCH(MONTH(C150),1,1,2,1,3,1,4,2,5,2,6,3,7,3,8,3,9,3,10,2,11,2,12,1,2)</f>
        <v>1</v>
      </c>
      <c r="P150" s="43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</row>
    <row r="151" spans="1:73" ht="18" x14ac:dyDescent="0.35">
      <c r="A151" s="43"/>
      <c r="C151" s="393"/>
      <c r="E151" s="394"/>
      <c r="F151" s="394"/>
      <c r="G151" s="394"/>
      <c r="H151" s="8" t="s">
        <v>61</v>
      </c>
      <c r="I151" s="364">
        <f t="shared" si="7"/>
        <v>0</v>
      </c>
      <c r="J151" s="365">
        <f t="shared" si="6"/>
        <v>0</v>
      </c>
      <c r="K151" s="366">
        <f t="shared" si="8"/>
        <v>6</v>
      </c>
      <c r="L151" s="366">
        <f>+IF((C151&gt;='Resultats - informe'!$E$16)*(C151&lt;='Resultats - informe'!$G$16),1,0)</f>
        <v>1</v>
      </c>
      <c r="M151" s="366" cm="1">
        <f t="array" ref="M151">+_xlfn.IFS((C151&gt;='Resultats - informe'!$D$26)*(C151&lt;='Resultats - informe'!$E$26),0,(C151&gt;='Resultats - informe'!$D$27)*(C151&lt;='Resultats - informe'!$E$27),0,(C151&gt;='Resultats - informe'!$D$28)*(C151&lt;='Resultats - informe'!$E$28),0,(C151&gt;='Resultats - informe'!$D$29)*(C151&lt;='Resultats - informe'!$E$29),0,1,1)</f>
        <v>0</v>
      </c>
      <c r="N151" s="366">
        <f>+VLOOKUP(D151,'Resultats - informe'!$Y$18:$AG$42,'Introducció dades consum'!K151+1,0)</f>
        <v>0</v>
      </c>
      <c r="O151" s="367" cm="1">
        <f t="array" ref="O151">+_xlfn.SWITCH(MONTH(C151),1,1,2,1,3,1,4,2,5,2,6,3,7,3,8,3,9,3,10,2,11,2,12,1,2)</f>
        <v>1</v>
      </c>
      <c r="P151" s="43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</row>
    <row r="152" spans="1:73" ht="18" x14ac:dyDescent="0.35">
      <c r="A152" s="43"/>
      <c r="C152" s="393"/>
      <c r="E152" s="394"/>
      <c r="F152" s="394"/>
      <c r="G152" s="394"/>
      <c r="H152" s="8" t="s">
        <v>61</v>
      </c>
      <c r="I152" s="364">
        <f t="shared" si="7"/>
        <v>0</v>
      </c>
      <c r="J152" s="365">
        <f t="shared" si="6"/>
        <v>0</v>
      </c>
      <c r="K152" s="366">
        <f t="shared" si="8"/>
        <v>6</v>
      </c>
      <c r="L152" s="366">
        <f>+IF((C152&gt;='Resultats - informe'!$E$16)*(C152&lt;='Resultats - informe'!$G$16),1,0)</f>
        <v>1</v>
      </c>
      <c r="M152" s="366" cm="1">
        <f t="array" ref="M152">+_xlfn.IFS((C152&gt;='Resultats - informe'!$D$26)*(C152&lt;='Resultats - informe'!$E$26),0,(C152&gt;='Resultats - informe'!$D$27)*(C152&lt;='Resultats - informe'!$E$27),0,(C152&gt;='Resultats - informe'!$D$28)*(C152&lt;='Resultats - informe'!$E$28),0,(C152&gt;='Resultats - informe'!$D$29)*(C152&lt;='Resultats - informe'!$E$29),0,1,1)</f>
        <v>0</v>
      </c>
      <c r="N152" s="366">
        <f>+VLOOKUP(D152,'Resultats - informe'!$Y$18:$AG$42,'Introducció dades consum'!K152+1,0)</f>
        <v>0</v>
      </c>
      <c r="O152" s="367" cm="1">
        <f t="array" ref="O152">+_xlfn.SWITCH(MONTH(C152),1,1,2,1,3,1,4,2,5,2,6,3,7,3,8,3,9,3,10,2,11,2,12,1,2)</f>
        <v>1</v>
      </c>
      <c r="P152" s="43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</row>
    <row r="153" spans="1:73" ht="18" x14ac:dyDescent="0.35">
      <c r="A153" s="43"/>
      <c r="C153" s="393"/>
      <c r="E153" s="394"/>
      <c r="F153" s="394"/>
      <c r="G153" s="394"/>
      <c r="H153" s="8" t="s">
        <v>61</v>
      </c>
      <c r="I153" s="364">
        <f t="shared" si="7"/>
        <v>0</v>
      </c>
      <c r="J153" s="365">
        <f t="shared" si="6"/>
        <v>0</v>
      </c>
      <c r="K153" s="366">
        <f t="shared" si="8"/>
        <v>6</v>
      </c>
      <c r="L153" s="366">
        <f>+IF((C153&gt;='Resultats - informe'!$E$16)*(C153&lt;='Resultats - informe'!$G$16),1,0)</f>
        <v>1</v>
      </c>
      <c r="M153" s="366" cm="1">
        <f t="array" ref="M153">+_xlfn.IFS((C153&gt;='Resultats - informe'!$D$26)*(C153&lt;='Resultats - informe'!$E$26),0,(C153&gt;='Resultats - informe'!$D$27)*(C153&lt;='Resultats - informe'!$E$27),0,(C153&gt;='Resultats - informe'!$D$28)*(C153&lt;='Resultats - informe'!$E$28),0,(C153&gt;='Resultats - informe'!$D$29)*(C153&lt;='Resultats - informe'!$E$29),0,1,1)</f>
        <v>0</v>
      </c>
      <c r="N153" s="366">
        <f>+VLOOKUP(D153,'Resultats - informe'!$Y$18:$AG$42,'Introducció dades consum'!K153+1,0)</f>
        <v>0</v>
      </c>
      <c r="O153" s="367" cm="1">
        <f t="array" ref="O153">+_xlfn.SWITCH(MONTH(C153),1,1,2,1,3,1,4,2,5,2,6,3,7,3,8,3,9,3,10,2,11,2,12,1,2)</f>
        <v>1</v>
      </c>
      <c r="P153" s="43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</row>
    <row r="154" spans="1:73" ht="18" x14ac:dyDescent="0.35">
      <c r="A154" s="43"/>
      <c r="C154" s="393"/>
      <c r="E154" s="394"/>
      <c r="F154" s="394"/>
      <c r="G154" s="394"/>
      <c r="H154" s="8" t="s">
        <v>61</v>
      </c>
      <c r="I154" s="364">
        <f t="shared" si="7"/>
        <v>0</v>
      </c>
      <c r="J154" s="365">
        <f t="shared" si="6"/>
        <v>0</v>
      </c>
      <c r="K154" s="366">
        <f t="shared" si="8"/>
        <v>6</v>
      </c>
      <c r="L154" s="366">
        <f>+IF((C154&gt;='Resultats - informe'!$E$16)*(C154&lt;='Resultats - informe'!$G$16),1,0)</f>
        <v>1</v>
      </c>
      <c r="M154" s="366" cm="1">
        <f t="array" ref="M154">+_xlfn.IFS((C154&gt;='Resultats - informe'!$D$26)*(C154&lt;='Resultats - informe'!$E$26),0,(C154&gt;='Resultats - informe'!$D$27)*(C154&lt;='Resultats - informe'!$E$27),0,(C154&gt;='Resultats - informe'!$D$28)*(C154&lt;='Resultats - informe'!$E$28),0,(C154&gt;='Resultats - informe'!$D$29)*(C154&lt;='Resultats - informe'!$E$29),0,1,1)</f>
        <v>0</v>
      </c>
      <c r="N154" s="366">
        <f>+VLOOKUP(D154,'Resultats - informe'!$Y$18:$AG$42,'Introducció dades consum'!K154+1,0)</f>
        <v>0</v>
      </c>
      <c r="O154" s="367" cm="1">
        <f t="array" ref="O154">+_xlfn.SWITCH(MONTH(C154),1,1,2,1,3,1,4,2,5,2,6,3,7,3,8,3,9,3,10,2,11,2,12,1,2)</f>
        <v>1</v>
      </c>
      <c r="P154" s="43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</row>
    <row r="155" spans="1:73" ht="18" x14ac:dyDescent="0.35">
      <c r="A155" s="43"/>
      <c r="C155" s="393"/>
      <c r="E155" s="394"/>
      <c r="F155" s="394"/>
      <c r="G155" s="394"/>
      <c r="H155" s="8" t="s">
        <v>61</v>
      </c>
      <c r="I155" s="364">
        <f t="shared" si="7"/>
        <v>0</v>
      </c>
      <c r="J155" s="365">
        <f t="shared" si="6"/>
        <v>0</v>
      </c>
      <c r="K155" s="366">
        <f t="shared" si="8"/>
        <v>6</v>
      </c>
      <c r="L155" s="366">
        <f>+IF((C155&gt;='Resultats - informe'!$E$16)*(C155&lt;='Resultats - informe'!$G$16),1,0)</f>
        <v>1</v>
      </c>
      <c r="M155" s="366" cm="1">
        <f t="array" ref="M155">+_xlfn.IFS((C155&gt;='Resultats - informe'!$D$26)*(C155&lt;='Resultats - informe'!$E$26),0,(C155&gt;='Resultats - informe'!$D$27)*(C155&lt;='Resultats - informe'!$E$27),0,(C155&gt;='Resultats - informe'!$D$28)*(C155&lt;='Resultats - informe'!$E$28),0,(C155&gt;='Resultats - informe'!$D$29)*(C155&lt;='Resultats - informe'!$E$29),0,1,1)</f>
        <v>0</v>
      </c>
      <c r="N155" s="366">
        <f>+VLOOKUP(D155,'Resultats - informe'!$Y$18:$AG$42,'Introducció dades consum'!K155+1,0)</f>
        <v>0</v>
      </c>
      <c r="O155" s="367" cm="1">
        <f t="array" ref="O155">+_xlfn.SWITCH(MONTH(C155),1,1,2,1,3,1,4,2,5,2,6,3,7,3,8,3,9,3,10,2,11,2,12,1,2)</f>
        <v>1</v>
      </c>
      <c r="P155" s="43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</row>
    <row r="156" spans="1:73" ht="18" x14ac:dyDescent="0.35">
      <c r="A156" s="43"/>
      <c r="C156" s="393"/>
      <c r="E156" s="394"/>
      <c r="F156" s="394"/>
      <c r="G156" s="394"/>
      <c r="H156" s="8" t="s">
        <v>61</v>
      </c>
      <c r="I156" s="364">
        <f t="shared" si="7"/>
        <v>0</v>
      </c>
      <c r="J156" s="365">
        <f t="shared" si="6"/>
        <v>0</v>
      </c>
      <c r="K156" s="366">
        <f t="shared" si="8"/>
        <v>6</v>
      </c>
      <c r="L156" s="366">
        <f>+IF((C156&gt;='Resultats - informe'!$E$16)*(C156&lt;='Resultats - informe'!$G$16),1,0)</f>
        <v>1</v>
      </c>
      <c r="M156" s="366" cm="1">
        <f t="array" ref="M156">+_xlfn.IFS((C156&gt;='Resultats - informe'!$D$26)*(C156&lt;='Resultats - informe'!$E$26),0,(C156&gt;='Resultats - informe'!$D$27)*(C156&lt;='Resultats - informe'!$E$27),0,(C156&gt;='Resultats - informe'!$D$28)*(C156&lt;='Resultats - informe'!$E$28),0,(C156&gt;='Resultats - informe'!$D$29)*(C156&lt;='Resultats - informe'!$E$29),0,1,1)</f>
        <v>0</v>
      </c>
      <c r="N156" s="366">
        <f>+VLOOKUP(D156,'Resultats - informe'!$Y$18:$AG$42,'Introducció dades consum'!K156+1,0)</f>
        <v>0</v>
      </c>
      <c r="O156" s="367" cm="1">
        <f t="array" ref="O156">+_xlfn.SWITCH(MONTH(C156),1,1,2,1,3,1,4,2,5,2,6,3,7,3,8,3,9,3,10,2,11,2,12,1,2)</f>
        <v>1</v>
      </c>
      <c r="P156" s="43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</row>
    <row r="157" spans="1:73" ht="18" x14ac:dyDescent="0.35">
      <c r="A157" s="43"/>
      <c r="C157" s="393"/>
      <c r="E157" s="394"/>
      <c r="F157" s="394"/>
      <c r="G157" s="394"/>
      <c r="H157" s="8" t="s">
        <v>61</v>
      </c>
      <c r="I157" s="364">
        <f t="shared" si="7"/>
        <v>0</v>
      </c>
      <c r="J157" s="365">
        <f t="shared" si="6"/>
        <v>0</v>
      </c>
      <c r="K157" s="366">
        <f t="shared" si="8"/>
        <v>6</v>
      </c>
      <c r="L157" s="366">
        <f>+IF((C157&gt;='Resultats - informe'!$E$16)*(C157&lt;='Resultats - informe'!$G$16),1,0)</f>
        <v>1</v>
      </c>
      <c r="M157" s="366" cm="1">
        <f t="array" ref="M157">+_xlfn.IFS((C157&gt;='Resultats - informe'!$D$26)*(C157&lt;='Resultats - informe'!$E$26),0,(C157&gt;='Resultats - informe'!$D$27)*(C157&lt;='Resultats - informe'!$E$27),0,(C157&gt;='Resultats - informe'!$D$28)*(C157&lt;='Resultats - informe'!$E$28),0,(C157&gt;='Resultats - informe'!$D$29)*(C157&lt;='Resultats - informe'!$E$29),0,1,1)</f>
        <v>0</v>
      </c>
      <c r="N157" s="366">
        <f>+VLOOKUP(D157,'Resultats - informe'!$Y$18:$AG$42,'Introducció dades consum'!K157+1,0)</f>
        <v>0</v>
      </c>
      <c r="O157" s="367" cm="1">
        <f t="array" ref="O157">+_xlfn.SWITCH(MONTH(C157),1,1,2,1,3,1,4,2,5,2,6,3,7,3,8,3,9,3,10,2,11,2,12,1,2)</f>
        <v>1</v>
      </c>
      <c r="P157" s="43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</row>
    <row r="158" spans="1:73" ht="18" x14ac:dyDescent="0.35">
      <c r="A158" s="43"/>
      <c r="C158" s="393"/>
      <c r="E158" s="394"/>
      <c r="F158" s="394"/>
      <c r="G158" s="394"/>
      <c r="H158" s="8" t="s">
        <v>61</v>
      </c>
      <c r="I158" s="364">
        <f t="shared" si="7"/>
        <v>0</v>
      </c>
      <c r="J158" s="365">
        <f t="shared" si="6"/>
        <v>0</v>
      </c>
      <c r="K158" s="366">
        <f t="shared" si="8"/>
        <v>6</v>
      </c>
      <c r="L158" s="366">
        <f>+IF((C158&gt;='Resultats - informe'!$E$16)*(C158&lt;='Resultats - informe'!$G$16),1,0)</f>
        <v>1</v>
      </c>
      <c r="M158" s="366" cm="1">
        <f t="array" ref="M158">+_xlfn.IFS((C158&gt;='Resultats - informe'!$D$26)*(C158&lt;='Resultats - informe'!$E$26),0,(C158&gt;='Resultats - informe'!$D$27)*(C158&lt;='Resultats - informe'!$E$27),0,(C158&gt;='Resultats - informe'!$D$28)*(C158&lt;='Resultats - informe'!$E$28),0,(C158&gt;='Resultats - informe'!$D$29)*(C158&lt;='Resultats - informe'!$E$29),0,1,1)</f>
        <v>0</v>
      </c>
      <c r="N158" s="366">
        <f>+VLOOKUP(D158,'Resultats - informe'!$Y$18:$AG$42,'Introducció dades consum'!K158+1,0)</f>
        <v>0</v>
      </c>
      <c r="O158" s="367" cm="1">
        <f t="array" ref="O158">+_xlfn.SWITCH(MONTH(C158),1,1,2,1,3,1,4,2,5,2,6,3,7,3,8,3,9,3,10,2,11,2,12,1,2)</f>
        <v>1</v>
      </c>
      <c r="P158" s="43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</row>
    <row r="159" spans="1:73" ht="18" x14ac:dyDescent="0.35">
      <c r="A159" s="43"/>
      <c r="C159" s="393"/>
      <c r="E159" s="394"/>
      <c r="F159" s="394"/>
      <c r="G159" s="394"/>
      <c r="H159" s="8" t="s">
        <v>61</v>
      </c>
      <c r="I159" s="364">
        <f t="shared" si="7"/>
        <v>0</v>
      </c>
      <c r="J159" s="365">
        <f t="shared" si="6"/>
        <v>0</v>
      </c>
      <c r="K159" s="366">
        <f t="shared" si="8"/>
        <v>6</v>
      </c>
      <c r="L159" s="366">
        <f>+IF((C159&gt;='Resultats - informe'!$E$16)*(C159&lt;='Resultats - informe'!$G$16),1,0)</f>
        <v>1</v>
      </c>
      <c r="M159" s="366" cm="1">
        <f t="array" ref="M159">+_xlfn.IFS((C159&gt;='Resultats - informe'!$D$26)*(C159&lt;='Resultats - informe'!$E$26),0,(C159&gt;='Resultats - informe'!$D$27)*(C159&lt;='Resultats - informe'!$E$27),0,(C159&gt;='Resultats - informe'!$D$28)*(C159&lt;='Resultats - informe'!$E$28),0,(C159&gt;='Resultats - informe'!$D$29)*(C159&lt;='Resultats - informe'!$E$29),0,1,1)</f>
        <v>0</v>
      </c>
      <c r="N159" s="366">
        <f>+VLOOKUP(D159,'Resultats - informe'!$Y$18:$AG$42,'Introducció dades consum'!K159+1,0)</f>
        <v>0</v>
      </c>
      <c r="O159" s="367" cm="1">
        <f t="array" ref="O159">+_xlfn.SWITCH(MONTH(C159),1,1,2,1,3,1,4,2,5,2,6,3,7,3,8,3,9,3,10,2,11,2,12,1,2)</f>
        <v>1</v>
      </c>
      <c r="P159" s="43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</row>
    <row r="160" spans="1:73" ht="18" x14ac:dyDescent="0.35">
      <c r="A160" s="43"/>
      <c r="C160" s="393"/>
      <c r="E160" s="394"/>
      <c r="F160" s="394"/>
      <c r="G160" s="394"/>
      <c r="H160" s="8" t="s">
        <v>61</v>
      </c>
      <c r="I160" s="364">
        <f t="shared" si="7"/>
        <v>0</v>
      </c>
      <c r="J160" s="365">
        <f t="shared" si="6"/>
        <v>0</v>
      </c>
      <c r="K160" s="366">
        <f t="shared" si="8"/>
        <v>6</v>
      </c>
      <c r="L160" s="366">
        <f>+IF((C160&gt;='Resultats - informe'!$E$16)*(C160&lt;='Resultats - informe'!$G$16),1,0)</f>
        <v>1</v>
      </c>
      <c r="M160" s="366" cm="1">
        <f t="array" ref="M160">+_xlfn.IFS((C160&gt;='Resultats - informe'!$D$26)*(C160&lt;='Resultats - informe'!$E$26),0,(C160&gt;='Resultats - informe'!$D$27)*(C160&lt;='Resultats - informe'!$E$27),0,(C160&gt;='Resultats - informe'!$D$28)*(C160&lt;='Resultats - informe'!$E$28),0,(C160&gt;='Resultats - informe'!$D$29)*(C160&lt;='Resultats - informe'!$E$29),0,1,1)</f>
        <v>0</v>
      </c>
      <c r="N160" s="366">
        <f>+VLOOKUP(D160,'Resultats - informe'!$Y$18:$AG$42,'Introducció dades consum'!K160+1,0)</f>
        <v>0</v>
      </c>
      <c r="O160" s="367" cm="1">
        <f t="array" ref="O160">+_xlfn.SWITCH(MONTH(C160),1,1,2,1,3,1,4,2,5,2,6,3,7,3,8,3,9,3,10,2,11,2,12,1,2)</f>
        <v>1</v>
      </c>
      <c r="P160" s="43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</row>
    <row r="161" spans="1:73" ht="18" x14ac:dyDescent="0.35">
      <c r="A161" s="43"/>
      <c r="C161" s="393"/>
      <c r="E161" s="394"/>
      <c r="F161" s="394"/>
      <c r="G161" s="394"/>
      <c r="H161" s="8" t="s">
        <v>61</v>
      </c>
      <c r="I161" s="364">
        <f t="shared" si="7"/>
        <v>0</v>
      </c>
      <c r="J161" s="365">
        <f t="shared" si="6"/>
        <v>0</v>
      </c>
      <c r="K161" s="366">
        <f t="shared" si="8"/>
        <v>6</v>
      </c>
      <c r="L161" s="366">
        <f>+IF((C161&gt;='Resultats - informe'!$E$16)*(C161&lt;='Resultats - informe'!$G$16),1,0)</f>
        <v>1</v>
      </c>
      <c r="M161" s="366" cm="1">
        <f t="array" ref="M161">+_xlfn.IFS((C161&gt;='Resultats - informe'!$D$26)*(C161&lt;='Resultats - informe'!$E$26),0,(C161&gt;='Resultats - informe'!$D$27)*(C161&lt;='Resultats - informe'!$E$27),0,(C161&gt;='Resultats - informe'!$D$28)*(C161&lt;='Resultats - informe'!$E$28),0,(C161&gt;='Resultats - informe'!$D$29)*(C161&lt;='Resultats - informe'!$E$29),0,1,1)</f>
        <v>0</v>
      </c>
      <c r="N161" s="366">
        <f>+VLOOKUP(D161,'Resultats - informe'!$Y$18:$AG$42,'Introducció dades consum'!K161+1,0)</f>
        <v>0</v>
      </c>
      <c r="O161" s="367" cm="1">
        <f t="array" ref="O161">+_xlfn.SWITCH(MONTH(C161),1,1,2,1,3,1,4,2,5,2,6,3,7,3,8,3,9,3,10,2,11,2,12,1,2)</f>
        <v>1</v>
      </c>
      <c r="P161" s="43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</row>
    <row r="162" spans="1:73" ht="18" x14ac:dyDescent="0.35">
      <c r="A162" s="43"/>
      <c r="C162" s="393"/>
      <c r="E162" s="394"/>
      <c r="F162" s="394"/>
      <c r="G162" s="394"/>
      <c r="H162" s="8" t="s">
        <v>61</v>
      </c>
      <c r="I162" s="364">
        <f t="shared" si="7"/>
        <v>0</v>
      </c>
      <c r="J162" s="365">
        <f t="shared" si="6"/>
        <v>0</v>
      </c>
      <c r="K162" s="366">
        <f t="shared" si="8"/>
        <v>6</v>
      </c>
      <c r="L162" s="366">
        <f>+IF((C162&gt;='Resultats - informe'!$E$16)*(C162&lt;='Resultats - informe'!$G$16),1,0)</f>
        <v>1</v>
      </c>
      <c r="M162" s="366" cm="1">
        <f t="array" ref="M162">+_xlfn.IFS((C162&gt;='Resultats - informe'!$D$26)*(C162&lt;='Resultats - informe'!$E$26),0,(C162&gt;='Resultats - informe'!$D$27)*(C162&lt;='Resultats - informe'!$E$27),0,(C162&gt;='Resultats - informe'!$D$28)*(C162&lt;='Resultats - informe'!$E$28),0,(C162&gt;='Resultats - informe'!$D$29)*(C162&lt;='Resultats - informe'!$E$29),0,1,1)</f>
        <v>0</v>
      </c>
      <c r="N162" s="366">
        <f>+VLOOKUP(D162,'Resultats - informe'!$Y$18:$AG$42,'Introducció dades consum'!K162+1,0)</f>
        <v>0</v>
      </c>
      <c r="O162" s="367" cm="1">
        <f t="array" ref="O162">+_xlfn.SWITCH(MONTH(C162),1,1,2,1,3,1,4,2,5,2,6,3,7,3,8,3,9,3,10,2,11,2,12,1,2)</f>
        <v>1</v>
      </c>
      <c r="P162" s="43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</row>
    <row r="163" spans="1:73" ht="18" x14ac:dyDescent="0.35">
      <c r="A163" s="43"/>
      <c r="C163" s="393"/>
      <c r="E163" s="394"/>
      <c r="F163" s="394"/>
      <c r="G163" s="394"/>
      <c r="H163" s="8" t="s">
        <v>61</v>
      </c>
      <c r="I163" s="364">
        <f t="shared" si="7"/>
        <v>0</v>
      </c>
      <c r="J163" s="365">
        <f t="shared" si="6"/>
        <v>0</v>
      </c>
      <c r="K163" s="366">
        <f t="shared" si="8"/>
        <v>6</v>
      </c>
      <c r="L163" s="366">
        <f>+IF((C163&gt;='Resultats - informe'!$E$16)*(C163&lt;='Resultats - informe'!$G$16),1,0)</f>
        <v>1</v>
      </c>
      <c r="M163" s="366" cm="1">
        <f t="array" ref="M163">+_xlfn.IFS((C163&gt;='Resultats - informe'!$D$26)*(C163&lt;='Resultats - informe'!$E$26),0,(C163&gt;='Resultats - informe'!$D$27)*(C163&lt;='Resultats - informe'!$E$27),0,(C163&gt;='Resultats - informe'!$D$28)*(C163&lt;='Resultats - informe'!$E$28),0,(C163&gt;='Resultats - informe'!$D$29)*(C163&lt;='Resultats - informe'!$E$29),0,1,1)</f>
        <v>0</v>
      </c>
      <c r="N163" s="366">
        <f>+VLOOKUP(D163,'Resultats - informe'!$Y$18:$AG$42,'Introducció dades consum'!K163+1,0)</f>
        <v>0</v>
      </c>
      <c r="O163" s="367" cm="1">
        <f t="array" ref="O163">+_xlfn.SWITCH(MONTH(C163),1,1,2,1,3,1,4,2,5,2,6,3,7,3,8,3,9,3,10,2,11,2,12,1,2)</f>
        <v>1</v>
      </c>
      <c r="P163" s="43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</row>
    <row r="164" spans="1:73" ht="18" x14ac:dyDescent="0.35">
      <c r="A164" s="43"/>
      <c r="C164" s="393"/>
      <c r="E164" s="394"/>
      <c r="F164" s="394"/>
      <c r="G164" s="394"/>
      <c r="H164" s="8" t="s">
        <v>61</v>
      </c>
      <c r="I164" s="364">
        <f t="shared" si="7"/>
        <v>0</v>
      </c>
      <c r="J164" s="365">
        <f t="shared" si="6"/>
        <v>0</v>
      </c>
      <c r="K164" s="366">
        <f t="shared" si="8"/>
        <v>6</v>
      </c>
      <c r="L164" s="366">
        <f>+IF((C164&gt;='Resultats - informe'!$E$16)*(C164&lt;='Resultats - informe'!$G$16),1,0)</f>
        <v>1</v>
      </c>
      <c r="M164" s="366" cm="1">
        <f t="array" ref="M164">+_xlfn.IFS((C164&gt;='Resultats - informe'!$D$26)*(C164&lt;='Resultats - informe'!$E$26),0,(C164&gt;='Resultats - informe'!$D$27)*(C164&lt;='Resultats - informe'!$E$27),0,(C164&gt;='Resultats - informe'!$D$28)*(C164&lt;='Resultats - informe'!$E$28),0,(C164&gt;='Resultats - informe'!$D$29)*(C164&lt;='Resultats - informe'!$E$29),0,1,1)</f>
        <v>0</v>
      </c>
      <c r="N164" s="366">
        <f>+VLOOKUP(D164,'Resultats - informe'!$Y$18:$AG$42,'Introducció dades consum'!K164+1,0)</f>
        <v>0</v>
      </c>
      <c r="O164" s="367" cm="1">
        <f t="array" ref="O164">+_xlfn.SWITCH(MONTH(C164),1,1,2,1,3,1,4,2,5,2,6,3,7,3,8,3,9,3,10,2,11,2,12,1,2)</f>
        <v>1</v>
      </c>
      <c r="P164" s="43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</row>
    <row r="165" spans="1:73" ht="18" x14ac:dyDescent="0.35">
      <c r="A165" s="43"/>
      <c r="C165" s="393"/>
      <c r="E165" s="394"/>
      <c r="F165" s="394"/>
      <c r="G165" s="394"/>
      <c r="H165" s="8" t="s">
        <v>61</v>
      </c>
      <c r="I165" s="364">
        <f t="shared" si="7"/>
        <v>0</v>
      </c>
      <c r="J165" s="365">
        <f t="shared" si="6"/>
        <v>0</v>
      </c>
      <c r="K165" s="366">
        <f t="shared" si="8"/>
        <v>6</v>
      </c>
      <c r="L165" s="366">
        <f>+IF((C165&gt;='Resultats - informe'!$E$16)*(C165&lt;='Resultats - informe'!$G$16),1,0)</f>
        <v>1</v>
      </c>
      <c r="M165" s="366" cm="1">
        <f t="array" ref="M165">+_xlfn.IFS((C165&gt;='Resultats - informe'!$D$26)*(C165&lt;='Resultats - informe'!$E$26),0,(C165&gt;='Resultats - informe'!$D$27)*(C165&lt;='Resultats - informe'!$E$27),0,(C165&gt;='Resultats - informe'!$D$28)*(C165&lt;='Resultats - informe'!$E$28),0,(C165&gt;='Resultats - informe'!$D$29)*(C165&lt;='Resultats - informe'!$E$29),0,1,1)</f>
        <v>0</v>
      </c>
      <c r="N165" s="366">
        <f>+VLOOKUP(D165,'Resultats - informe'!$Y$18:$AG$42,'Introducció dades consum'!K165+1,0)</f>
        <v>0</v>
      </c>
      <c r="O165" s="367" cm="1">
        <f t="array" ref="O165">+_xlfn.SWITCH(MONTH(C165),1,1,2,1,3,1,4,2,5,2,6,3,7,3,8,3,9,3,10,2,11,2,12,1,2)</f>
        <v>1</v>
      </c>
      <c r="P165" s="43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</row>
    <row r="166" spans="1:73" ht="18" x14ac:dyDescent="0.35">
      <c r="A166" s="43"/>
      <c r="C166" s="393"/>
      <c r="E166" s="394"/>
      <c r="F166" s="394"/>
      <c r="G166" s="394"/>
      <c r="H166" s="8" t="s">
        <v>61</v>
      </c>
      <c r="I166" s="364">
        <f t="shared" si="7"/>
        <v>0</v>
      </c>
      <c r="J166" s="365">
        <f t="shared" si="6"/>
        <v>0</v>
      </c>
      <c r="K166" s="366">
        <f t="shared" si="8"/>
        <v>6</v>
      </c>
      <c r="L166" s="366">
        <f>+IF((C166&gt;='Resultats - informe'!$E$16)*(C166&lt;='Resultats - informe'!$G$16),1,0)</f>
        <v>1</v>
      </c>
      <c r="M166" s="366" cm="1">
        <f t="array" ref="M166">+_xlfn.IFS((C166&gt;='Resultats - informe'!$D$26)*(C166&lt;='Resultats - informe'!$E$26),0,(C166&gt;='Resultats - informe'!$D$27)*(C166&lt;='Resultats - informe'!$E$27),0,(C166&gt;='Resultats - informe'!$D$28)*(C166&lt;='Resultats - informe'!$E$28),0,(C166&gt;='Resultats - informe'!$D$29)*(C166&lt;='Resultats - informe'!$E$29),0,1,1)</f>
        <v>0</v>
      </c>
      <c r="N166" s="366">
        <f>+VLOOKUP(D166,'Resultats - informe'!$Y$18:$AG$42,'Introducció dades consum'!K166+1,0)</f>
        <v>0</v>
      </c>
      <c r="O166" s="367" cm="1">
        <f t="array" ref="O166">+_xlfn.SWITCH(MONTH(C166),1,1,2,1,3,1,4,2,5,2,6,3,7,3,8,3,9,3,10,2,11,2,12,1,2)</f>
        <v>1</v>
      </c>
      <c r="P166" s="43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</row>
    <row r="167" spans="1:73" ht="18" x14ac:dyDescent="0.35">
      <c r="A167" s="43"/>
      <c r="C167" s="393"/>
      <c r="E167" s="394"/>
      <c r="F167" s="394"/>
      <c r="G167" s="394"/>
      <c r="H167" s="8" t="s">
        <v>61</v>
      </c>
      <c r="I167" s="364">
        <f t="shared" si="7"/>
        <v>0</v>
      </c>
      <c r="J167" s="365">
        <f t="shared" si="6"/>
        <v>0</v>
      </c>
      <c r="K167" s="366">
        <f t="shared" si="8"/>
        <v>6</v>
      </c>
      <c r="L167" s="366">
        <f>+IF((C167&gt;='Resultats - informe'!$E$16)*(C167&lt;='Resultats - informe'!$G$16),1,0)</f>
        <v>1</v>
      </c>
      <c r="M167" s="366" cm="1">
        <f t="array" ref="M167">+_xlfn.IFS((C167&gt;='Resultats - informe'!$D$26)*(C167&lt;='Resultats - informe'!$E$26),0,(C167&gt;='Resultats - informe'!$D$27)*(C167&lt;='Resultats - informe'!$E$27),0,(C167&gt;='Resultats - informe'!$D$28)*(C167&lt;='Resultats - informe'!$E$28),0,(C167&gt;='Resultats - informe'!$D$29)*(C167&lt;='Resultats - informe'!$E$29),0,1,1)</f>
        <v>0</v>
      </c>
      <c r="N167" s="366">
        <f>+VLOOKUP(D167,'Resultats - informe'!$Y$18:$AG$42,'Introducció dades consum'!K167+1,0)</f>
        <v>0</v>
      </c>
      <c r="O167" s="367" cm="1">
        <f t="array" ref="O167">+_xlfn.SWITCH(MONTH(C167),1,1,2,1,3,1,4,2,5,2,6,3,7,3,8,3,9,3,10,2,11,2,12,1,2)</f>
        <v>1</v>
      </c>
      <c r="P167" s="43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</row>
    <row r="168" spans="1:73" ht="18" x14ac:dyDescent="0.35">
      <c r="A168" s="43"/>
      <c r="C168" s="393"/>
      <c r="E168" s="394"/>
      <c r="F168" s="394"/>
      <c r="G168" s="394"/>
      <c r="H168" s="8" t="s">
        <v>61</v>
      </c>
      <c r="I168" s="364">
        <f t="shared" si="7"/>
        <v>0</v>
      </c>
      <c r="J168" s="365">
        <f t="shared" si="6"/>
        <v>0</v>
      </c>
      <c r="K168" s="366">
        <f t="shared" si="8"/>
        <v>6</v>
      </c>
      <c r="L168" s="366">
        <f>+IF((C168&gt;='Resultats - informe'!$E$16)*(C168&lt;='Resultats - informe'!$G$16),1,0)</f>
        <v>1</v>
      </c>
      <c r="M168" s="366" cm="1">
        <f t="array" ref="M168">+_xlfn.IFS((C168&gt;='Resultats - informe'!$D$26)*(C168&lt;='Resultats - informe'!$E$26),0,(C168&gt;='Resultats - informe'!$D$27)*(C168&lt;='Resultats - informe'!$E$27),0,(C168&gt;='Resultats - informe'!$D$28)*(C168&lt;='Resultats - informe'!$E$28),0,(C168&gt;='Resultats - informe'!$D$29)*(C168&lt;='Resultats - informe'!$E$29),0,1,1)</f>
        <v>0</v>
      </c>
      <c r="N168" s="366">
        <f>+VLOOKUP(D168,'Resultats - informe'!$Y$18:$AG$42,'Introducció dades consum'!K168+1,0)</f>
        <v>0</v>
      </c>
      <c r="O168" s="367" cm="1">
        <f t="array" ref="O168">+_xlfn.SWITCH(MONTH(C168),1,1,2,1,3,1,4,2,5,2,6,3,7,3,8,3,9,3,10,2,11,2,12,1,2)</f>
        <v>1</v>
      </c>
      <c r="P168" s="43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</row>
    <row r="169" spans="1:73" ht="18" x14ac:dyDescent="0.35">
      <c r="A169" s="43"/>
      <c r="C169" s="393"/>
      <c r="E169" s="394"/>
      <c r="F169" s="394"/>
      <c r="G169" s="394"/>
      <c r="H169" s="8" t="s">
        <v>61</v>
      </c>
      <c r="I169" s="364">
        <f t="shared" si="7"/>
        <v>0</v>
      </c>
      <c r="J169" s="365">
        <f t="shared" si="6"/>
        <v>0</v>
      </c>
      <c r="K169" s="366">
        <f t="shared" si="8"/>
        <v>6</v>
      </c>
      <c r="L169" s="366">
        <f>+IF((C169&gt;='Resultats - informe'!$E$16)*(C169&lt;='Resultats - informe'!$G$16),1,0)</f>
        <v>1</v>
      </c>
      <c r="M169" s="366" cm="1">
        <f t="array" ref="M169">+_xlfn.IFS((C169&gt;='Resultats - informe'!$D$26)*(C169&lt;='Resultats - informe'!$E$26),0,(C169&gt;='Resultats - informe'!$D$27)*(C169&lt;='Resultats - informe'!$E$27),0,(C169&gt;='Resultats - informe'!$D$28)*(C169&lt;='Resultats - informe'!$E$28),0,(C169&gt;='Resultats - informe'!$D$29)*(C169&lt;='Resultats - informe'!$E$29),0,1,1)</f>
        <v>0</v>
      </c>
      <c r="N169" s="366">
        <f>+VLOOKUP(D169,'Resultats - informe'!$Y$18:$AG$42,'Introducció dades consum'!K169+1,0)</f>
        <v>0</v>
      </c>
      <c r="O169" s="367" cm="1">
        <f t="array" ref="O169">+_xlfn.SWITCH(MONTH(C169),1,1,2,1,3,1,4,2,5,2,6,3,7,3,8,3,9,3,10,2,11,2,12,1,2)</f>
        <v>1</v>
      </c>
      <c r="P169" s="43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</row>
    <row r="170" spans="1:73" ht="18" x14ac:dyDescent="0.35">
      <c r="A170" s="43"/>
      <c r="C170" s="393"/>
      <c r="E170" s="394"/>
      <c r="F170" s="394"/>
      <c r="G170" s="394"/>
      <c r="H170" s="8" t="s">
        <v>61</v>
      </c>
      <c r="I170" s="364">
        <f t="shared" si="7"/>
        <v>0</v>
      </c>
      <c r="J170" s="365">
        <f t="shared" si="6"/>
        <v>0</v>
      </c>
      <c r="K170" s="366">
        <f t="shared" si="8"/>
        <v>6</v>
      </c>
      <c r="L170" s="366">
        <f>+IF((C170&gt;='Resultats - informe'!$E$16)*(C170&lt;='Resultats - informe'!$G$16),1,0)</f>
        <v>1</v>
      </c>
      <c r="M170" s="366" cm="1">
        <f t="array" ref="M170">+_xlfn.IFS((C170&gt;='Resultats - informe'!$D$26)*(C170&lt;='Resultats - informe'!$E$26),0,(C170&gt;='Resultats - informe'!$D$27)*(C170&lt;='Resultats - informe'!$E$27),0,(C170&gt;='Resultats - informe'!$D$28)*(C170&lt;='Resultats - informe'!$E$28),0,(C170&gt;='Resultats - informe'!$D$29)*(C170&lt;='Resultats - informe'!$E$29),0,1,1)</f>
        <v>0</v>
      </c>
      <c r="N170" s="366">
        <f>+VLOOKUP(D170,'Resultats - informe'!$Y$18:$AG$42,'Introducció dades consum'!K170+1,0)</f>
        <v>0</v>
      </c>
      <c r="O170" s="367" cm="1">
        <f t="array" ref="O170">+_xlfn.SWITCH(MONTH(C170),1,1,2,1,3,1,4,2,5,2,6,3,7,3,8,3,9,3,10,2,11,2,12,1,2)</f>
        <v>1</v>
      </c>
      <c r="P170" s="43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</row>
    <row r="171" spans="1:73" ht="18" x14ac:dyDescent="0.35">
      <c r="A171" s="43"/>
      <c r="C171" s="393"/>
      <c r="E171" s="394"/>
      <c r="F171" s="394"/>
      <c r="G171" s="394"/>
      <c r="H171" s="8" t="s">
        <v>61</v>
      </c>
      <c r="I171" s="364">
        <f t="shared" si="7"/>
        <v>0</v>
      </c>
      <c r="J171" s="365">
        <f t="shared" si="6"/>
        <v>0</v>
      </c>
      <c r="K171" s="366">
        <f t="shared" si="8"/>
        <v>6</v>
      </c>
      <c r="L171" s="366">
        <f>+IF((C171&gt;='Resultats - informe'!$E$16)*(C171&lt;='Resultats - informe'!$G$16),1,0)</f>
        <v>1</v>
      </c>
      <c r="M171" s="366" cm="1">
        <f t="array" ref="M171">+_xlfn.IFS((C171&gt;='Resultats - informe'!$D$26)*(C171&lt;='Resultats - informe'!$E$26),0,(C171&gt;='Resultats - informe'!$D$27)*(C171&lt;='Resultats - informe'!$E$27),0,(C171&gt;='Resultats - informe'!$D$28)*(C171&lt;='Resultats - informe'!$E$28),0,(C171&gt;='Resultats - informe'!$D$29)*(C171&lt;='Resultats - informe'!$E$29),0,1,1)</f>
        <v>0</v>
      </c>
      <c r="N171" s="366">
        <f>+VLOOKUP(D171,'Resultats - informe'!$Y$18:$AG$42,'Introducció dades consum'!K171+1,0)</f>
        <v>0</v>
      </c>
      <c r="O171" s="367" cm="1">
        <f t="array" ref="O171">+_xlfn.SWITCH(MONTH(C171),1,1,2,1,3,1,4,2,5,2,6,3,7,3,8,3,9,3,10,2,11,2,12,1,2)</f>
        <v>1</v>
      </c>
      <c r="P171" s="43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</row>
    <row r="172" spans="1:73" ht="18" x14ac:dyDescent="0.35">
      <c r="A172" s="43"/>
      <c r="C172" s="393"/>
      <c r="E172" s="394"/>
      <c r="F172" s="394"/>
      <c r="G172" s="394"/>
      <c r="H172" s="8" t="s">
        <v>61</v>
      </c>
      <c r="I172" s="364">
        <f t="shared" si="7"/>
        <v>0</v>
      </c>
      <c r="J172" s="365">
        <f t="shared" si="6"/>
        <v>0</v>
      </c>
      <c r="K172" s="366">
        <f t="shared" si="8"/>
        <v>6</v>
      </c>
      <c r="L172" s="366">
        <f>+IF((C172&gt;='Resultats - informe'!$E$16)*(C172&lt;='Resultats - informe'!$G$16),1,0)</f>
        <v>1</v>
      </c>
      <c r="M172" s="366" cm="1">
        <f t="array" ref="M172">+_xlfn.IFS((C172&gt;='Resultats - informe'!$D$26)*(C172&lt;='Resultats - informe'!$E$26),0,(C172&gt;='Resultats - informe'!$D$27)*(C172&lt;='Resultats - informe'!$E$27),0,(C172&gt;='Resultats - informe'!$D$28)*(C172&lt;='Resultats - informe'!$E$28),0,(C172&gt;='Resultats - informe'!$D$29)*(C172&lt;='Resultats - informe'!$E$29),0,1,1)</f>
        <v>0</v>
      </c>
      <c r="N172" s="366">
        <f>+VLOOKUP(D172,'Resultats - informe'!$Y$18:$AG$42,'Introducció dades consum'!K172+1,0)</f>
        <v>0</v>
      </c>
      <c r="O172" s="367" cm="1">
        <f t="array" ref="O172">+_xlfn.SWITCH(MONTH(C172),1,1,2,1,3,1,4,2,5,2,6,3,7,3,8,3,9,3,10,2,11,2,12,1,2)</f>
        <v>1</v>
      </c>
      <c r="P172" s="43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</row>
    <row r="173" spans="1:73" ht="18" x14ac:dyDescent="0.35">
      <c r="A173" s="43"/>
      <c r="C173" s="393"/>
      <c r="E173" s="394"/>
      <c r="F173" s="394"/>
      <c r="G173" s="394"/>
      <c r="H173" s="8" t="s">
        <v>61</v>
      </c>
      <c r="I173" s="364">
        <f t="shared" si="7"/>
        <v>0</v>
      </c>
      <c r="J173" s="365">
        <f t="shared" si="6"/>
        <v>0</v>
      </c>
      <c r="K173" s="366">
        <f t="shared" si="8"/>
        <v>6</v>
      </c>
      <c r="L173" s="366">
        <f>+IF((C173&gt;='Resultats - informe'!$E$16)*(C173&lt;='Resultats - informe'!$G$16),1,0)</f>
        <v>1</v>
      </c>
      <c r="M173" s="366" cm="1">
        <f t="array" ref="M173">+_xlfn.IFS((C173&gt;='Resultats - informe'!$D$26)*(C173&lt;='Resultats - informe'!$E$26),0,(C173&gt;='Resultats - informe'!$D$27)*(C173&lt;='Resultats - informe'!$E$27),0,(C173&gt;='Resultats - informe'!$D$28)*(C173&lt;='Resultats - informe'!$E$28),0,(C173&gt;='Resultats - informe'!$D$29)*(C173&lt;='Resultats - informe'!$E$29),0,1,1)</f>
        <v>0</v>
      </c>
      <c r="N173" s="366">
        <f>+VLOOKUP(D173,'Resultats - informe'!$Y$18:$AG$42,'Introducció dades consum'!K173+1,0)</f>
        <v>0</v>
      </c>
      <c r="O173" s="367" cm="1">
        <f t="array" ref="O173">+_xlfn.SWITCH(MONTH(C173),1,1,2,1,3,1,4,2,5,2,6,3,7,3,8,3,9,3,10,2,11,2,12,1,2)</f>
        <v>1</v>
      </c>
      <c r="P173" s="43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</row>
    <row r="174" spans="1:73" ht="18" x14ac:dyDescent="0.35">
      <c r="A174" s="43"/>
      <c r="C174" s="393"/>
      <c r="E174" s="394"/>
      <c r="F174" s="394"/>
      <c r="G174" s="394"/>
      <c r="H174" s="8" t="s">
        <v>61</v>
      </c>
      <c r="I174" s="364">
        <f t="shared" si="7"/>
        <v>0</v>
      </c>
      <c r="J174" s="365">
        <f t="shared" si="6"/>
        <v>0</v>
      </c>
      <c r="K174" s="366">
        <f t="shared" si="8"/>
        <v>6</v>
      </c>
      <c r="L174" s="366">
        <f>+IF((C174&gt;='Resultats - informe'!$E$16)*(C174&lt;='Resultats - informe'!$G$16),1,0)</f>
        <v>1</v>
      </c>
      <c r="M174" s="366" cm="1">
        <f t="array" ref="M174">+_xlfn.IFS((C174&gt;='Resultats - informe'!$D$26)*(C174&lt;='Resultats - informe'!$E$26),0,(C174&gt;='Resultats - informe'!$D$27)*(C174&lt;='Resultats - informe'!$E$27),0,(C174&gt;='Resultats - informe'!$D$28)*(C174&lt;='Resultats - informe'!$E$28),0,(C174&gt;='Resultats - informe'!$D$29)*(C174&lt;='Resultats - informe'!$E$29),0,1,1)</f>
        <v>0</v>
      </c>
      <c r="N174" s="366">
        <f>+VLOOKUP(D174,'Resultats - informe'!$Y$18:$AG$42,'Introducció dades consum'!K174+1,0)</f>
        <v>0</v>
      </c>
      <c r="O174" s="367" cm="1">
        <f t="array" ref="O174">+_xlfn.SWITCH(MONTH(C174),1,1,2,1,3,1,4,2,5,2,6,3,7,3,8,3,9,3,10,2,11,2,12,1,2)</f>
        <v>1</v>
      </c>
      <c r="P174" s="43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</row>
    <row r="175" spans="1:73" ht="18" x14ac:dyDescent="0.35">
      <c r="A175" s="43"/>
      <c r="C175" s="393"/>
      <c r="E175" s="394"/>
      <c r="F175" s="394"/>
      <c r="G175" s="394"/>
      <c r="H175" s="8" t="s">
        <v>61</v>
      </c>
      <c r="I175" s="364">
        <f t="shared" si="7"/>
        <v>0</v>
      </c>
      <c r="J175" s="365">
        <f t="shared" si="6"/>
        <v>0</v>
      </c>
      <c r="K175" s="366">
        <f t="shared" si="8"/>
        <v>6</v>
      </c>
      <c r="L175" s="366">
        <f>+IF((C175&gt;='Resultats - informe'!$E$16)*(C175&lt;='Resultats - informe'!$G$16),1,0)</f>
        <v>1</v>
      </c>
      <c r="M175" s="366" cm="1">
        <f t="array" ref="M175">+_xlfn.IFS((C175&gt;='Resultats - informe'!$D$26)*(C175&lt;='Resultats - informe'!$E$26),0,(C175&gt;='Resultats - informe'!$D$27)*(C175&lt;='Resultats - informe'!$E$27),0,(C175&gt;='Resultats - informe'!$D$28)*(C175&lt;='Resultats - informe'!$E$28),0,(C175&gt;='Resultats - informe'!$D$29)*(C175&lt;='Resultats - informe'!$E$29),0,1,1)</f>
        <v>0</v>
      </c>
      <c r="N175" s="366">
        <f>+VLOOKUP(D175,'Resultats - informe'!$Y$18:$AG$42,'Introducció dades consum'!K175+1,0)</f>
        <v>0</v>
      </c>
      <c r="O175" s="367" cm="1">
        <f t="array" ref="O175">+_xlfn.SWITCH(MONTH(C175),1,1,2,1,3,1,4,2,5,2,6,3,7,3,8,3,9,3,10,2,11,2,12,1,2)</f>
        <v>1</v>
      </c>
      <c r="P175" s="43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</row>
    <row r="176" spans="1:73" ht="18" x14ac:dyDescent="0.35">
      <c r="A176" s="43"/>
      <c r="C176" s="393"/>
      <c r="E176" s="394"/>
      <c r="F176" s="394"/>
      <c r="G176" s="394"/>
      <c r="H176" s="8" t="s">
        <v>61</v>
      </c>
      <c r="I176" s="364">
        <f t="shared" si="7"/>
        <v>0</v>
      </c>
      <c r="J176" s="365">
        <f t="shared" si="6"/>
        <v>0</v>
      </c>
      <c r="K176" s="366">
        <f t="shared" si="8"/>
        <v>6</v>
      </c>
      <c r="L176" s="366">
        <f>+IF((C176&gt;='Resultats - informe'!$E$16)*(C176&lt;='Resultats - informe'!$G$16),1,0)</f>
        <v>1</v>
      </c>
      <c r="M176" s="366" cm="1">
        <f t="array" ref="M176">+_xlfn.IFS((C176&gt;='Resultats - informe'!$D$26)*(C176&lt;='Resultats - informe'!$E$26),0,(C176&gt;='Resultats - informe'!$D$27)*(C176&lt;='Resultats - informe'!$E$27),0,(C176&gt;='Resultats - informe'!$D$28)*(C176&lt;='Resultats - informe'!$E$28),0,(C176&gt;='Resultats - informe'!$D$29)*(C176&lt;='Resultats - informe'!$E$29),0,1,1)</f>
        <v>0</v>
      </c>
      <c r="N176" s="366">
        <f>+VLOOKUP(D176,'Resultats - informe'!$Y$18:$AG$42,'Introducció dades consum'!K176+1,0)</f>
        <v>0</v>
      </c>
      <c r="O176" s="367" cm="1">
        <f t="array" ref="O176">+_xlfn.SWITCH(MONTH(C176),1,1,2,1,3,1,4,2,5,2,6,3,7,3,8,3,9,3,10,2,11,2,12,1,2)</f>
        <v>1</v>
      </c>
      <c r="P176" s="43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</row>
    <row r="177" spans="1:73" ht="18" x14ac:dyDescent="0.35">
      <c r="A177" s="43"/>
      <c r="C177" s="393"/>
      <c r="E177" s="394"/>
      <c r="F177" s="394"/>
      <c r="G177" s="394"/>
      <c r="H177" s="8" t="s">
        <v>61</v>
      </c>
      <c r="I177" s="364">
        <f t="shared" si="7"/>
        <v>0</v>
      </c>
      <c r="J177" s="365">
        <f t="shared" si="6"/>
        <v>0</v>
      </c>
      <c r="K177" s="366">
        <f t="shared" si="8"/>
        <v>6</v>
      </c>
      <c r="L177" s="366">
        <f>+IF((C177&gt;='Resultats - informe'!$E$16)*(C177&lt;='Resultats - informe'!$G$16),1,0)</f>
        <v>1</v>
      </c>
      <c r="M177" s="366" cm="1">
        <f t="array" ref="M177">+_xlfn.IFS((C177&gt;='Resultats - informe'!$D$26)*(C177&lt;='Resultats - informe'!$E$26),0,(C177&gt;='Resultats - informe'!$D$27)*(C177&lt;='Resultats - informe'!$E$27),0,(C177&gt;='Resultats - informe'!$D$28)*(C177&lt;='Resultats - informe'!$E$28),0,(C177&gt;='Resultats - informe'!$D$29)*(C177&lt;='Resultats - informe'!$E$29),0,1,1)</f>
        <v>0</v>
      </c>
      <c r="N177" s="366">
        <f>+VLOOKUP(D177,'Resultats - informe'!$Y$18:$AG$42,'Introducció dades consum'!K177+1,0)</f>
        <v>0</v>
      </c>
      <c r="O177" s="367" cm="1">
        <f t="array" ref="O177">+_xlfn.SWITCH(MONTH(C177),1,1,2,1,3,1,4,2,5,2,6,3,7,3,8,3,9,3,10,2,11,2,12,1,2)</f>
        <v>1</v>
      </c>
      <c r="P177" s="43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</row>
    <row r="178" spans="1:73" ht="18" x14ac:dyDescent="0.35">
      <c r="A178" s="43"/>
      <c r="C178" s="393"/>
      <c r="E178" s="394"/>
      <c r="F178" s="394"/>
      <c r="G178" s="394"/>
      <c r="H178" s="8" t="s">
        <v>61</v>
      </c>
      <c r="I178" s="364">
        <f t="shared" si="7"/>
        <v>0</v>
      </c>
      <c r="J178" s="365">
        <f t="shared" si="6"/>
        <v>0</v>
      </c>
      <c r="K178" s="366">
        <f t="shared" si="8"/>
        <v>6</v>
      </c>
      <c r="L178" s="366">
        <f>+IF((C178&gt;='Resultats - informe'!$E$16)*(C178&lt;='Resultats - informe'!$G$16),1,0)</f>
        <v>1</v>
      </c>
      <c r="M178" s="366" cm="1">
        <f t="array" ref="M178">+_xlfn.IFS((C178&gt;='Resultats - informe'!$D$26)*(C178&lt;='Resultats - informe'!$E$26),0,(C178&gt;='Resultats - informe'!$D$27)*(C178&lt;='Resultats - informe'!$E$27),0,(C178&gt;='Resultats - informe'!$D$28)*(C178&lt;='Resultats - informe'!$E$28),0,(C178&gt;='Resultats - informe'!$D$29)*(C178&lt;='Resultats - informe'!$E$29),0,1,1)</f>
        <v>0</v>
      </c>
      <c r="N178" s="366">
        <f>+VLOOKUP(D178,'Resultats - informe'!$Y$18:$AG$42,'Introducció dades consum'!K178+1,0)</f>
        <v>0</v>
      </c>
      <c r="O178" s="367" cm="1">
        <f t="array" ref="O178">+_xlfn.SWITCH(MONTH(C178),1,1,2,1,3,1,4,2,5,2,6,3,7,3,8,3,9,3,10,2,11,2,12,1,2)</f>
        <v>1</v>
      </c>
      <c r="P178" s="43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</row>
    <row r="179" spans="1:73" ht="18" x14ac:dyDescent="0.35">
      <c r="A179" s="43"/>
      <c r="C179" s="393"/>
      <c r="E179" s="394"/>
      <c r="F179" s="394"/>
      <c r="G179" s="394"/>
      <c r="H179" s="8" t="s">
        <v>61</v>
      </c>
      <c r="I179" s="364">
        <f t="shared" si="7"/>
        <v>0</v>
      </c>
      <c r="J179" s="365">
        <f t="shared" si="6"/>
        <v>0</v>
      </c>
      <c r="K179" s="366">
        <f t="shared" si="8"/>
        <v>6</v>
      </c>
      <c r="L179" s="366">
        <f>+IF((C179&gt;='Resultats - informe'!$E$16)*(C179&lt;='Resultats - informe'!$G$16),1,0)</f>
        <v>1</v>
      </c>
      <c r="M179" s="366" cm="1">
        <f t="array" ref="M179">+_xlfn.IFS((C179&gt;='Resultats - informe'!$D$26)*(C179&lt;='Resultats - informe'!$E$26),0,(C179&gt;='Resultats - informe'!$D$27)*(C179&lt;='Resultats - informe'!$E$27),0,(C179&gt;='Resultats - informe'!$D$28)*(C179&lt;='Resultats - informe'!$E$28),0,(C179&gt;='Resultats - informe'!$D$29)*(C179&lt;='Resultats - informe'!$E$29),0,1,1)</f>
        <v>0</v>
      </c>
      <c r="N179" s="366">
        <f>+VLOOKUP(D179,'Resultats - informe'!$Y$18:$AG$42,'Introducció dades consum'!K179+1,0)</f>
        <v>0</v>
      </c>
      <c r="O179" s="367" cm="1">
        <f t="array" ref="O179">+_xlfn.SWITCH(MONTH(C179),1,1,2,1,3,1,4,2,5,2,6,3,7,3,8,3,9,3,10,2,11,2,12,1,2)</f>
        <v>1</v>
      </c>
      <c r="P179" s="43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</row>
    <row r="180" spans="1:73" ht="18" x14ac:dyDescent="0.35">
      <c r="A180" s="43"/>
      <c r="C180" s="393"/>
      <c r="E180" s="394"/>
      <c r="F180" s="394"/>
      <c r="G180" s="394"/>
      <c r="H180" s="8" t="s">
        <v>61</v>
      </c>
      <c r="I180" s="364">
        <f t="shared" si="7"/>
        <v>0</v>
      </c>
      <c r="J180" s="365">
        <f t="shared" si="6"/>
        <v>0</v>
      </c>
      <c r="K180" s="366">
        <f t="shared" si="8"/>
        <v>6</v>
      </c>
      <c r="L180" s="366">
        <f>+IF((C180&gt;='Resultats - informe'!$E$16)*(C180&lt;='Resultats - informe'!$G$16),1,0)</f>
        <v>1</v>
      </c>
      <c r="M180" s="366" cm="1">
        <f t="array" ref="M180">+_xlfn.IFS((C180&gt;='Resultats - informe'!$D$26)*(C180&lt;='Resultats - informe'!$E$26),0,(C180&gt;='Resultats - informe'!$D$27)*(C180&lt;='Resultats - informe'!$E$27),0,(C180&gt;='Resultats - informe'!$D$28)*(C180&lt;='Resultats - informe'!$E$28),0,(C180&gt;='Resultats - informe'!$D$29)*(C180&lt;='Resultats - informe'!$E$29),0,1,1)</f>
        <v>0</v>
      </c>
      <c r="N180" s="366">
        <f>+VLOOKUP(D180,'Resultats - informe'!$Y$18:$AG$42,'Introducció dades consum'!K180+1,0)</f>
        <v>0</v>
      </c>
      <c r="O180" s="367" cm="1">
        <f t="array" ref="O180">+_xlfn.SWITCH(MONTH(C180),1,1,2,1,3,1,4,2,5,2,6,3,7,3,8,3,9,3,10,2,11,2,12,1,2)</f>
        <v>1</v>
      </c>
      <c r="P180" s="43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</row>
    <row r="181" spans="1:73" ht="18" x14ac:dyDescent="0.35">
      <c r="A181" s="43"/>
      <c r="C181" s="393"/>
      <c r="E181" s="394"/>
      <c r="F181" s="394"/>
      <c r="G181" s="394"/>
      <c r="H181" s="8" t="s">
        <v>61</v>
      </c>
      <c r="I181" s="364">
        <f t="shared" si="7"/>
        <v>0</v>
      </c>
      <c r="J181" s="365">
        <f t="shared" si="6"/>
        <v>0</v>
      </c>
      <c r="K181" s="366">
        <f t="shared" si="8"/>
        <v>6</v>
      </c>
      <c r="L181" s="366">
        <f>+IF((C181&gt;='Resultats - informe'!$E$16)*(C181&lt;='Resultats - informe'!$G$16),1,0)</f>
        <v>1</v>
      </c>
      <c r="M181" s="366" cm="1">
        <f t="array" ref="M181">+_xlfn.IFS((C181&gt;='Resultats - informe'!$D$26)*(C181&lt;='Resultats - informe'!$E$26),0,(C181&gt;='Resultats - informe'!$D$27)*(C181&lt;='Resultats - informe'!$E$27),0,(C181&gt;='Resultats - informe'!$D$28)*(C181&lt;='Resultats - informe'!$E$28),0,(C181&gt;='Resultats - informe'!$D$29)*(C181&lt;='Resultats - informe'!$E$29),0,1,1)</f>
        <v>0</v>
      </c>
      <c r="N181" s="366">
        <f>+VLOOKUP(D181,'Resultats - informe'!$Y$18:$AG$42,'Introducció dades consum'!K181+1,0)</f>
        <v>0</v>
      </c>
      <c r="O181" s="367" cm="1">
        <f t="array" ref="O181">+_xlfn.SWITCH(MONTH(C181),1,1,2,1,3,1,4,2,5,2,6,3,7,3,8,3,9,3,10,2,11,2,12,1,2)</f>
        <v>1</v>
      </c>
      <c r="P181" s="43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</row>
    <row r="182" spans="1:73" ht="18" x14ac:dyDescent="0.35">
      <c r="A182" s="43"/>
      <c r="C182" s="393"/>
      <c r="E182" s="394"/>
      <c r="F182" s="394"/>
      <c r="G182" s="394"/>
      <c r="H182" s="8" t="s">
        <v>61</v>
      </c>
      <c r="I182" s="364">
        <f t="shared" si="7"/>
        <v>0</v>
      </c>
      <c r="J182" s="365">
        <f t="shared" si="6"/>
        <v>0</v>
      </c>
      <c r="K182" s="366">
        <f t="shared" si="8"/>
        <v>6</v>
      </c>
      <c r="L182" s="366">
        <f>+IF((C182&gt;='Resultats - informe'!$E$16)*(C182&lt;='Resultats - informe'!$G$16),1,0)</f>
        <v>1</v>
      </c>
      <c r="M182" s="366" cm="1">
        <f t="array" ref="M182">+_xlfn.IFS((C182&gt;='Resultats - informe'!$D$26)*(C182&lt;='Resultats - informe'!$E$26),0,(C182&gt;='Resultats - informe'!$D$27)*(C182&lt;='Resultats - informe'!$E$27),0,(C182&gt;='Resultats - informe'!$D$28)*(C182&lt;='Resultats - informe'!$E$28),0,(C182&gt;='Resultats - informe'!$D$29)*(C182&lt;='Resultats - informe'!$E$29),0,1,1)</f>
        <v>0</v>
      </c>
      <c r="N182" s="366">
        <f>+VLOOKUP(D182,'Resultats - informe'!$Y$18:$AG$42,'Introducció dades consum'!K182+1,0)</f>
        <v>0</v>
      </c>
      <c r="O182" s="367" cm="1">
        <f t="array" ref="O182">+_xlfn.SWITCH(MONTH(C182),1,1,2,1,3,1,4,2,5,2,6,3,7,3,8,3,9,3,10,2,11,2,12,1,2)</f>
        <v>1</v>
      </c>
      <c r="P182" s="43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</row>
    <row r="183" spans="1:73" ht="18" x14ac:dyDescent="0.35">
      <c r="A183" s="43"/>
      <c r="C183" s="393"/>
      <c r="E183" s="394"/>
      <c r="F183" s="394"/>
      <c r="G183" s="394"/>
      <c r="H183" s="8" t="s">
        <v>61</v>
      </c>
      <c r="I183" s="364">
        <f t="shared" si="7"/>
        <v>0</v>
      </c>
      <c r="J183" s="365">
        <f t="shared" si="6"/>
        <v>0</v>
      </c>
      <c r="K183" s="366">
        <f t="shared" si="8"/>
        <v>6</v>
      </c>
      <c r="L183" s="366">
        <f>+IF((C183&gt;='Resultats - informe'!$E$16)*(C183&lt;='Resultats - informe'!$G$16),1,0)</f>
        <v>1</v>
      </c>
      <c r="M183" s="366" cm="1">
        <f t="array" ref="M183">+_xlfn.IFS((C183&gt;='Resultats - informe'!$D$26)*(C183&lt;='Resultats - informe'!$E$26),0,(C183&gt;='Resultats - informe'!$D$27)*(C183&lt;='Resultats - informe'!$E$27),0,(C183&gt;='Resultats - informe'!$D$28)*(C183&lt;='Resultats - informe'!$E$28),0,(C183&gt;='Resultats - informe'!$D$29)*(C183&lt;='Resultats - informe'!$E$29),0,1,1)</f>
        <v>0</v>
      </c>
      <c r="N183" s="366">
        <f>+VLOOKUP(D183,'Resultats - informe'!$Y$18:$AG$42,'Introducció dades consum'!K183+1,0)</f>
        <v>0</v>
      </c>
      <c r="O183" s="367" cm="1">
        <f t="array" ref="O183">+_xlfn.SWITCH(MONTH(C183),1,1,2,1,3,1,4,2,5,2,6,3,7,3,8,3,9,3,10,2,11,2,12,1,2)</f>
        <v>1</v>
      </c>
      <c r="P183" s="43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</row>
    <row r="184" spans="1:73" ht="18" x14ac:dyDescent="0.35">
      <c r="A184" s="43"/>
      <c r="C184" s="393"/>
      <c r="E184" s="394"/>
      <c r="F184" s="394"/>
      <c r="G184" s="394"/>
      <c r="H184" s="8" t="s">
        <v>61</v>
      </c>
      <c r="I184" s="364">
        <f t="shared" si="7"/>
        <v>0</v>
      </c>
      <c r="J184" s="365">
        <f t="shared" si="6"/>
        <v>0</v>
      </c>
      <c r="K184" s="366">
        <f t="shared" si="8"/>
        <v>6</v>
      </c>
      <c r="L184" s="366">
        <f>+IF((C184&gt;='Resultats - informe'!$E$16)*(C184&lt;='Resultats - informe'!$G$16),1,0)</f>
        <v>1</v>
      </c>
      <c r="M184" s="366" cm="1">
        <f t="array" ref="M184">+_xlfn.IFS((C184&gt;='Resultats - informe'!$D$26)*(C184&lt;='Resultats - informe'!$E$26),0,(C184&gt;='Resultats - informe'!$D$27)*(C184&lt;='Resultats - informe'!$E$27),0,(C184&gt;='Resultats - informe'!$D$28)*(C184&lt;='Resultats - informe'!$E$28),0,(C184&gt;='Resultats - informe'!$D$29)*(C184&lt;='Resultats - informe'!$E$29),0,1,1)</f>
        <v>0</v>
      </c>
      <c r="N184" s="366">
        <f>+VLOOKUP(D184,'Resultats - informe'!$Y$18:$AG$42,'Introducció dades consum'!K184+1,0)</f>
        <v>0</v>
      </c>
      <c r="O184" s="367" cm="1">
        <f t="array" ref="O184">+_xlfn.SWITCH(MONTH(C184),1,1,2,1,3,1,4,2,5,2,6,3,7,3,8,3,9,3,10,2,11,2,12,1,2)</f>
        <v>1</v>
      </c>
      <c r="P184" s="43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</row>
    <row r="185" spans="1:73" ht="18" x14ac:dyDescent="0.35">
      <c r="A185" s="43"/>
      <c r="C185" s="393"/>
      <c r="E185" s="394"/>
      <c r="F185" s="394"/>
      <c r="G185" s="394"/>
      <c r="H185" s="8" t="s">
        <v>61</v>
      </c>
      <c r="I185" s="364">
        <f t="shared" si="7"/>
        <v>0</v>
      </c>
      <c r="J185" s="365">
        <f t="shared" si="6"/>
        <v>0</v>
      </c>
      <c r="K185" s="366">
        <f t="shared" si="8"/>
        <v>6</v>
      </c>
      <c r="L185" s="366">
        <f>+IF((C185&gt;='Resultats - informe'!$E$16)*(C185&lt;='Resultats - informe'!$G$16),1,0)</f>
        <v>1</v>
      </c>
      <c r="M185" s="366" cm="1">
        <f t="array" ref="M185">+_xlfn.IFS((C185&gt;='Resultats - informe'!$D$26)*(C185&lt;='Resultats - informe'!$E$26),0,(C185&gt;='Resultats - informe'!$D$27)*(C185&lt;='Resultats - informe'!$E$27),0,(C185&gt;='Resultats - informe'!$D$28)*(C185&lt;='Resultats - informe'!$E$28),0,(C185&gt;='Resultats - informe'!$D$29)*(C185&lt;='Resultats - informe'!$E$29),0,1,1)</f>
        <v>0</v>
      </c>
      <c r="N185" s="366">
        <f>+VLOOKUP(D185,'Resultats - informe'!$Y$18:$AG$42,'Introducció dades consum'!K185+1,0)</f>
        <v>0</v>
      </c>
      <c r="O185" s="367" cm="1">
        <f t="array" ref="O185">+_xlfn.SWITCH(MONTH(C185),1,1,2,1,3,1,4,2,5,2,6,3,7,3,8,3,9,3,10,2,11,2,12,1,2)</f>
        <v>1</v>
      </c>
      <c r="P185" s="43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</row>
    <row r="186" spans="1:73" ht="18" x14ac:dyDescent="0.35">
      <c r="A186" s="43"/>
      <c r="C186" s="393"/>
      <c r="E186" s="394"/>
      <c r="F186" s="394"/>
      <c r="G186" s="394"/>
      <c r="H186" s="8" t="s">
        <v>61</v>
      </c>
      <c r="I186" s="364">
        <f t="shared" si="7"/>
        <v>0</v>
      </c>
      <c r="J186" s="365">
        <f t="shared" si="6"/>
        <v>0</v>
      </c>
      <c r="K186" s="366">
        <f t="shared" si="8"/>
        <v>6</v>
      </c>
      <c r="L186" s="366">
        <f>+IF((C186&gt;='Resultats - informe'!$E$16)*(C186&lt;='Resultats - informe'!$G$16),1,0)</f>
        <v>1</v>
      </c>
      <c r="M186" s="366" cm="1">
        <f t="array" ref="M186">+_xlfn.IFS((C186&gt;='Resultats - informe'!$D$26)*(C186&lt;='Resultats - informe'!$E$26),0,(C186&gt;='Resultats - informe'!$D$27)*(C186&lt;='Resultats - informe'!$E$27),0,(C186&gt;='Resultats - informe'!$D$28)*(C186&lt;='Resultats - informe'!$E$28),0,(C186&gt;='Resultats - informe'!$D$29)*(C186&lt;='Resultats - informe'!$E$29),0,1,1)</f>
        <v>0</v>
      </c>
      <c r="N186" s="366">
        <f>+VLOOKUP(D186,'Resultats - informe'!$Y$18:$AG$42,'Introducció dades consum'!K186+1,0)</f>
        <v>0</v>
      </c>
      <c r="O186" s="367" cm="1">
        <f t="array" ref="O186">+_xlfn.SWITCH(MONTH(C186),1,1,2,1,3,1,4,2,5,2,6,3,7,3,8,3,9,3,10,2,11,2,12,1,2)</f>
        <v>1</v>
      </c>
      <c r="P186" s="43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</row>
    <row r="187" spans="1:73" ht="18" x14ac:dyDescent="0.35">
      <c r="A187" s="43"/>
      <c r="C187" s="393"/>
      <c r="E187" s="394"/>
      <c r="F187" s="394"/>
      <c r="G187" s="394"/>
      <c r="H187" s="8" t="s">
        <v>61</v>
      </c>
      <c r="I187" s="364">
        <f t="shared" si="7"/>
        <v>0</v>
      </c>
      <c r="J187" s="365">
        <f t="shared" si="6"/>
        <v>0</v>
      </c>
      <c r="K187" s="366">
        <f t="shared" si="8"/>
        <v>6</v>
      </c>
      <c r="L187" s="366">
        <f>+IF((C187&gt;='Resultats - informe'!$E$16)*(C187&lt;='Resultats - informe'!$G$16),1,0)</f>
        <v>1</v>
      </c>
      <c r="M187" s="366" cm="1">
        <f t="array" ref="M187">+_xlfn.IFS((C187&gt;='Resultats - informe'!$D$26)*(C187&lt;='Resultats - informe'!$E$26),0,(C187&gt;='Resultats - informe'!$D$27)*(C187&lt;='Resultats - informe'!$E$27),0,(C187&gt;='Resultats - informe'!$D$28)*(C187&lt;='Resultats - informe'!$E$28),0,(C187&gt;='Resultats - informe'!$D$29)*(C187&lt;='Resultats - informe'!$E$29),0,1,1)</f>
        <v>0</v>
      </c>
      <c r="N187" s="366">
        <f>+VLOOKUP(D187,'Resultats - informe'!$Y$18:$AG$42,'Introducció dades consum'!K187+1,0)</f>
        <v>0</v>
      </c>
      <c r="O187" s="367" cm="1">
        <f t="array" ref="O187">+_xlfn.SWITCH(MONTH(C187),1,1,2,1,3,1,4,2,5,2,6,3,7,3,8,3,9,3,10,2,11,2,12,1,2)</f>
        <v>1</v>
      </c>
      <c r="P187" s="43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</row>
    <row r="188" spans="1:73" ht="18" x14ac:dyDescent="0.35">
      <c r="A188" s="43"/>
      <c r="C188" s="393"/>
      <c r="E188" s="394"/>
      <c r="F188" s="394"/>
      <c r="G188" s="394"/>
      <c r="H188" s="8" t="s">
        <v>61</v>
      </c>
      <c r="I188" s="364">
        <f t="shared" si="7"/>
        <v>0</v>
      </c>
      <c r="J188" s="365">
        <f t="shared" si="6"/>
        <v>0</v>
      </c>
      <c r="K188" s="366">
        <f t="shared" si="8"/>
        <v>6</v>
      </c>
      <c r="L188" s="366">
        <f>+IF((C188&gt;='Resultats - informe'!$E$16)*(C188&lt;='Resultats - informe'!$G$16),1,0)</f>
        <v>1</v>
      </c>
      <c r="M188" s="366" cm="1">
        <f t="array" ref="M188">+_xlfn.IFS((C188&gt;='Resultats - informe'!$D$26)*(C188&lt;='Resultats - informe'!$E$26),0,(C188&gt;='Resultats - informe'!$D$27)*(C188&lt;='Resultats - informe'!$E$27),0,(C188&gt;='Resultats - informe'!$D$28)*(C188&lt;='Resultats - informe'!$E$28),0,(C188&gt;='Resultats - informe'!$D$29)*(C188&lt;='Resultats - informe'!$E$29),0,1,1)</f>
        <v>0</v>
      </c>
      <c r="N188" s="366">
        <f>+VLOOKUP(D188,'Resultats - informe'!$Y$18:$AG$42,'Introducció dades consum'!K188+1,0)</f>
        <v>0</v>
      </c>
      <c r="O188" s="367" cm="1">
        <f t="array" ref="O188">+_xlfn.SWITCH(MONTH(C188),1,1,2,1,3,1,4,2,5,2,6,3,7,3,8,3,9,3,10,2,11,2,12,1,2)</f>
        <v>1</v>
      </c>
      <c r="P188" s="43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</row>
    <row r="189" spans="1:73" ht="18" x14ac:dyDescent="0.35">
      <c r="A189" s="43"/>
      <c r="C189" s="393"/>
      <c r="E189" s="394"/>
      <c r="F189" s="394"/>
      <c r="G189" s="394"/>
      <c r="H189" s="8" t="s">
        <v>61</v>
      </c>
      <c r="I189" s="364">
        <f t="shared" si="7"/>
        <v>0</v>
      </c>
      <c r="J189" s="365">
        <f t="shared" si="6"/>
        <v>0</v>
      </c>
      <c r="K189" s="366">
        <f t="shared" si="8"/>
        <v>6</v>
      </c>
      <c r="L189" s="366">
        <f>+IF((C189&gt;='Resultats - informe'!$E$16)*(C189&lt;='Resultats - informe'!$G$16),1,0)</f>
        <v>1</v>
      </c>
      <c r="M189" s="366" cm="1">
        <f t="array" ref="M189">+_xlfn.IFS((C189&gt;='Resultats - informe'!$D$26)*(C189&lt;='Resultats - informe'!$E$26),0,(C189&gt;='Resultats - informe'!$D$27)*(C189&lt;='Resultats - informe'!$E$27),0,(C189&gt;='Resultats - informe'!$D$28)*(C189&lt;='Resultats - informe'!$E$28),0,(C189&gt;='Resultats - informe'!$D$29)*(C189&lt;='Resultats - informe'!$E$29),0,1,1)</f>
        <v>0</v>
      </c>
      <c r="N189" s="366">
        <f>+VLOOKUP(D189,'Resultats - informe'!$Y$18:$AG$42,'Introducció dades consum'!K189+1,0)</f>
        <v>0</v>
      </c>
      <c r="O189" s="367" cm="1">
        <f t="array" ref="O189">+_xlfn.SWITCH(MONTH(C189),1,1,2,1,3,1,4,2,5,2,6,3,7,3,8,3,9,3,10,2,11,2,12,1,2)</f>
        <v>1</v>
      </c>
      <c r="P189" s="43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</row>
    <row r="190" spans="1:73" ht="18" x14ac:dyDescent="0.35">
      <c r="A190" s="43"/>
      <c r="C190" s="393"/>
      <c r="E190" s="394"/>
      <c r="F190" s="394"/>
      <c r="G190" s="394"/>
      <c r="H190" s="8" t="s">
        <v>61</v>
      </c>
      <c r="I190" s="364">
        <f t="shared" si="7"/>
        <v>0</v>
      </c>
      <c r="J190" s="365">
        <f t="shared" si="6"/>
        <v>0</v>
      </c>
      <c r="K190" s="366">
        <f t="shared" si="8"/>
        <v>6</v>
      </c>
      <c r="L190" s="366">
        <f>+IF((C190&gt;='Resultats - informe'!$E$16)*(C190&lt;='Resultats - informe'!$G$16),1,0)</f>
        <v>1</v>
      </c>
      <c r="M190" s="366" cm="1">
        <f t="array" ref="M190">+_xlfn.IFS((C190&gt;='Resultats - informe'!$D$26)*(C190&lt;='Resultats - informe'!$E$26),0,(C190&gt;='Resultats - informe'!$D$27)*(C190&lt;='Resultats - informe'!$E$27),0,(C190&gt;='Resultats - informe'!$D$28)*(C190&lt;='Resultats - informe'!$E$28),0,(C190&gt;='Resultats - informe'!$D$29)*(C190&lt;='Resultats - informe'!$E$29),0,1,1)</f>
        <v>0</v>
      </c>
      <c r="N190" s="366">
        <f>+VLOOKUP(D190,'Resultats - informe'!$Y$18:$AG$42,'Introducció dades consum'!K190+1,0)</f>
        <v>0</v>
      </c>
      <c r="O190" s="367" cm="1">
        <f t="array" ref="O190">+_xlfn.SWITCH(MONTH(C190),1,1,2,1,3,1,4,2,5,2,6,3,7,3,8,3,9,3,10,2,11,2,12,1,2)</f>
        <v>1</v>
      </c>
      <c r="P190" s="43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</row>
    <row r="191" spans="1:73" ht="18" x14ac:dyDescent="0.35">
      <c r="A191" s="43"/>
      <c r="C191" s="393"/>
      <c r="E191" s="394"/>
      <c r="F191" s="394"/>
      <c r="G191" s="394"/>
      <c r="H191" s="8" t="s">
        <v>61</v>
      </c>
      <c r="I191" s="364">
        <f t="shared" si="7"/>
        <v>0</v>
      </c>
      <c r="J191" s="365">
        <f t="shared" si="6"/>
        <v>0</v>
      </c>
      <c r="K191" s="366">
        <f t="shared" si="8"/>
        <v>6</v>
      </c>
      <c r="L191" s="366">
        <f>+IF((C191&gt;='Resultats - informe'!$E$16)*(C191&lt;='Resultats - informe'!$G$16),1,0)</f>
        <v>1</v>
      </c>
      <c r="M191" s="366" cm="1">
        <f t="array" ref="M191">+_xlfn.IFS((C191&gt;='Resultats - informe'!$D$26)*(C191&lt;='Resultats - informe'!$E$26),0,(C191&gt;='Resultats - informe'!$D$27)*(C191&lt;='Resultats - informe'!$E$27),0,(C191&gt;='Resultats - informe'!$D$28)*(C191&lt;='Resultats - informe'!$E$28),0,(C191&gt;='Resultats - informe'!$D$29)*(C191&lt;='Resultats - informe'!$E$29),0,1,1)</f>
        <v>0</v>
      </c>
      <c r="N191" s="366">
        <f>+VLOOKUP(D191,'Resultats - informe'!$Y$18:$AG$42,'Introducció dades consum'!K191+1,0)</f>
        <v>0</v>
      </c>
      <c r="O191" s="367" cm="1">
        <f t="array" ref="O191">+_xlfn.SWITCH(MONTH(C191),1,1,2,1,3,1,4,2,5,2,6,3,7,3,8,3,9,3,10,2,11,2,12,1,2)</f>
        <v>1</v>
      </c>
      <c r="P191" s="43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</row>
    <row r="192" spans="1:73" ht="18" x14ac:dyDescent="0.35">
      <c r="A192" s="43"/>
      <c r="C192" s="393"/>
      <c r="E192" s="394"/>
      <c r="F192" s="394"/>
      <c r="G192" s="394"/>
      <c r="H192" s="8" t="s">
        <v>61</v>
      </c>
      <c r="I192" s="364">
        <f t="shared" si="7"/>
        <v>0</v>
      </c>
      <c r="J192" s="365">
        <f t="shared" si="6"/>
        <v>0</v>
      </c>
      <c r="K192" s="366">
        <f t="shared" si="8"/>
        <v>6</v>
      </c>
      <c r="L192" s="366">
        <f>+IF((C192&gt;='Resultats - informe'!$E$16)*(C192&lt;='Resultats - informe'!$G$16),1,0)</f>
        <v>1</v>
      </c>
      <c r="M192" s="366" cm="1">
        <f t="array" ref="M192">+_xlfn.IFS((C192&gt;='Resultats - informe'!$D$26)*(C192&lt;='Resultats - informe'!$E$26),0,(C192&gt;='Resultats - informe'!$D$27)*(C192&lt;='Resultats - informe'!$E$27),0,(C192&gt;='Resultats - informe'!$D$28)*(C192&lt;='Resultats - informe'!$E$28),0,(C192&gt;='Resultats - informe'!$D$29)*(C192&lt;='Resultats - informe'!$E$29),0,1,1)</f>
        <v>0</v>
      </c>
      <c r="N192" s="366">
        <f>+VLOOKUP(D192,'Resultats - informe'!$Y$18:$AG$42,'Introducció dades consum'!K192+1,0)</f>
        <v>0</v>
      </c>
      <c r="O192" s="367" cm="1">
        <f t="array" ref="O192">+_xlfn.SWITCH(MONTH(C192),1,1,2,1,3,1,4,2,5,2,6,3,7,3,8,3,9,3,10,2,11,2,12,1,2)</f>
        <v>1</v>
      </c>
      <c r="P192" s="43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</row>
    <row r="193" spans="1:73" ht="18" x14ac:dyDescent="0.35">
      <c r="A193" s="43"/>
      <c r="C193" s="393"/>
      <c r="E193" s="394"/>
      <c r="F193" s="394"/>
      <c r="G193" s="394"/>
      <c r="H193" s="8" t="s">
        <v>61</v>
      </c>
      <c r="I193" s="364">
        <f t="shared" si="7"/>
        <v>0</v>
      </c>
      <c r="J193" s="365">
        <f t="shared" si="6"/>
        <v>0</v>
      </c>
      <c r="K193" s="366">
        <f t="shared" si="8"/>
        <v>6</v>
      </c>
      <c r="L193" s="366">
        <f>+IF((C193&gt;='Resultats - informe'!$E$16)*(C193&lt;='Resultats - informe'!$G$16),1,0)</f>
        <v>1</v>
      </c>
      <c r="M193" s="366" cm="1">
        <f t="array" ref="M193">+_xlfn.IFS((C193&gt;='Resultats - informe'!$D$26)*(C193&lt;='Resultats - informe'!$E$26),0,(C193&gt;='Resultats - informe'!$D$27)*(C193&lt;='Resultats - informe'!$E$27),0,(C193&gt;='Resultats - informe'!$D$28)*(C193&lt;='Resultats - informe'!$E$28),0,(C193&gt;='Resultats - informe'!$D$29)*(C193&lt;='Resultats - informe'!$E$29),0,1,1)</f>
        <v>0</v>
      </c>
      <c r="N193" s="366">
        <f>+VLOOKUP(D193,'Resultats - informe'!$Y$18:$AG$42,'Introducció dades consum'!K193+1,0)</f>
        <v>0</v>
      </c>
      <c r="O193" s="367" cm="1">
        <f t="array" ref="O193">+_xlfn.SWITCH(MONTH(C193),1,1,2,1,3,1,4,2,5,2,6,3,7,3,8,3,9,3,10,2,11,2,12,1,2)</f>
        <v>1</v>
      </c>
      <c r="P193" s="43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</row>
    <row r="194" spans="1:73" ht="18" x14ac:dyDescent="0.35">
      <c r="A194" s="43"/>
      <c r="C194" s="393"/>
      <c r="E194" s="394"/>
      <c r="F194" s="394"/>
      <c r="G194" s="394"/>
      <c r="H194" s="8" t="s">
        <v>61</v>
      </c>
      <c r="I194" s="364">
        <f t="shared" si="7"/>
        <v>0</v>
      </c>
      <c r="J194" s="365">
        <f t="shared" si="6"/>
        <v>0</v>
      </c>
      <c r="K194" s="366">
        <f t="shared" si="8"/>
        <v>6</v>
      </c>
      <c r="L194" s="366">
        <f>+IF((C194&gt;='Resultats - informe'!$E$16)*(C194&lt;='Resultats - informe'!$G$16),1,0)</f>
        <v>1</v>
      </c>
      <c r="M194" s="366" cm="1">
        <f t="array" ref="M194">+_xlfn.IFS((C194&gt;='Resultats - informe'!$D$26)*(C194&lt;='Resultats - informe'!$E$26),0,(C194&gt;='Resultats - informe'!$D$27)*(C194&lt;='Resultats - informe'!$E$27),0,(C194&gt;='Resultats - informe'!$D$28)*(C194&lt;='Resultats - informe'!$E$28),0,(C194&gt;='Resultats - informe'!$D$29)*(C194&lt;='Resultats - informe'!$E$29),0,1,1)</f>
        <v>0</v>
      </c>
      <c r="N194" s="366">
        <f>+VLOOKUP(D194,'Resultats - informe'!$Y$18:$AG$42,'Introducció dades consum'!K194+1,0)</f>
        <v>0</v>
      </c>
      <c r="O194" s="367" cm="1">
        <f t="array" ref="O194">+_xlfn.SWITCH(MONTH(C194),1,1,2,1,3,1,4,2,5,2,6,3,7,3,8,3,9,3,10,2,11,2,12,1,2)</f>
        <v>1</v>
      </c>
      <c r="P194" s="43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</row>
    <row r="195" spans="1:73" ht="18" x14ac:dyDescent="0.35">
      <c r="A195" s="43"/>
      <c r="C195" s="393"/>
      <c r="E195" s="394"/>
      <c r="F195" s="394"/>
      <c r="G195" s="394"/>
      <c r="H195" s="8" t="s">
        <v>61</v>
      </c>
      <c r="I195" s="364">
        <f t="shared" si="7"/>
        <v>0</v>
      </c>
      <c r="J195" s="365">
        <f t="shared" si="6"/>
        <v>0</v>
      </c>
      <c r="K195" s="366">
        <f t="shared" si="8"/>
        <v>6</v>
      </c>
      <c r="L195" s="366">
        <f>+IF((C195&gt;='Resultats - informe'!$E$16)*(C195&lt;='Resultats - informe'!$G$16),1,0)</f>
        <v>1</v>
      </c>
      <c r="M195" s="366" cm="1">
        <f t="array" ref="M195">+_xlfn.IFS((C195&gt;='Resultats - informe'!$D$26)*(C195&lt;='Resultats - informe'!$E$26),0,(C195&gt;='Resultats - informe'!$D$27)*(C195&lt;='Resultats - informe'!$E$27),0,(C195&gt;='Resultats - informe'!$D$28)*(C195&lt;='Resultats - informe'!$E$28),0,(C195&gt;='Resultats - informe'!$D$29)*(C195&lt;='Resultats - informe'!$E$29),0,1,1)</f>
        <v>0</v>
      </c>
      <c r="N195" s="366">
        <f>+VLOOKUP(D195,'Resultats - informe'!$Y$18:$AG$42,'Introducció dades consum'!K195+1,0)</f>
        <v>0</v>
      </c>
      <c r="O195" s="367" cm="1">
        <f t="array" ref="O195">+_xlfn.SWITCH(MONTH(C195),1,1,2,1,3,1,4,2,5,2,6,3,7,3,8,3,9,3,10,2,11,2,12,1,2)</f>
        <v>1</v>
      </c>
      <c r="P195" s="43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</row>
    <row r="196" spans="1:73" ht="18" x14ac:dyDescent="0.35">
      <c r="A196" s="43"/>
      <c r="C196" s="393"/>
      <c r="E196" s="394"/>
      <c r="F196" s="394"/>
      <c r="G196" s="394"/>
      <c r="H196" s="8" t="s">
        <v>61</v>
      </c>
      <c r="I196" s="364">
        <f t="shared" si="7"/>
        <v>0</v>
      </c>
      <c r="J196" s="365">
        <f t="shared" si="6"/>
        <v>0</v>
      </c>
      <c r="K196" s="366">
        <f t="shared" si="8"/>
        <v>6</v>
      </c>
      <c r="L196" s="366">
        <f>+IF((C196&gt;='Resultats - informe'!$E$16)*(C196&lt;='Resultats - informe'!$G$16),1,0)</f>
        <v>1</v>
      </c>
      <c r="M196" s="366" cm="1">
        <f t="array" ref="M196">+_xlfn.IFS((C196&gt;='Resultats - informe'!$D$26)*(C196&lt;='Resultats - informe'!$E$26),0,(C196&gt;='Resultats - informe'!$D$27)*(C196&lt;='Resultats - informe'!$E$27),0,(C196&gt;='Resultats - informe'!$D$28)*(C196&lt;='Resultats - informe'!$E$28),0,(C196&gt;='Resultats - informe'!$D$29)*(C196&lt;='Resultats - informe'!$E$29),0,1,1)</f>
        <v>0</v>
      </c>
      <c r="N196" s="366">
        <f>+VLOOKUP(D196,'Resultats - informe'!$Y$18:$AG$42,'Introducció dades consum'!K196+1,0)</f>
        <v>0</v>
      </c>
      <c r="O196" s="367" cm="1">
        <f t="array" ref="O196">+_xlfn.SWITCH(MONTH(C196),1,1,2,1,3,1,4,2,5,2,6,3,7,3,8,3,9,3,10,2,11,2,12,1,2)</f>
        <v>1</v>
      </c>
      <c r="P196" s="43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</row>
    <row r="197" spans="1:73" ht="18" x14ac:dyDescent="0.35">
      <c r="A197" s="43"/>
      <c r="C197" s="393"/>
      <c r="E197" s="394"/>
      <c r="F197" s="394"/>
      <c r="G197" s="394"/>
      <c r="H197" s="8" t="s">
        <v>61</v>
      </c>
      <c r="I197" s="364">
        <f t="shared" si="7"/>
        <v>0</v>
      </c>
      <c r="J197" s="365">
        <f t="shared" ref="J197:J260" si="9">+C197</f>
        <v>0</v>
      </c>
      <c r="K197" s="366">
        <f t="shared" si="8"/>
        <v>6</v>
      </c>
      <c r="L197" s="366">
        <f>+IF((C197&gt;='Resultats - informe'!$E$16)*(C197&lt;='Resultats - informe'!$G$16),1,0)</f>
        <v>1</v>
      </c>
      <c r="M197" s="366" cm="1">
        <f t="array" ref="M197">+_xlfn.IFS((C197&gt;='Resultats - informe'!$D$26)*(C197&lt;='Resultats - informe'!$E$26),0,(C197&gt;='Resultats - informe'!$D$27)*(C197&lt;='Resultats - informe'!$E$27),0,(C197&gt;='Resultats - informe'!$D$28)*(C197&lt;='Resultats - informe'!$E$28),0,(C197&gt;='Resultats - informe'!$D$29)*(C197&lt;='Resultats - informe'!$E$29),0,1,1)</f>
        <v>0</v>
      </c>
      <c r="N197" s="366">
        <f>+VLOOKUP(D197,'Resultats - informe'!$Y$18:$AG$42,'Introducció dades consum'!K197+1,0)</f>
        <v>0</v>
      </c>
      <c r="O197" s="367" cm="1">
        <f t="array" ref="O197">+_xlfn.SWITCH(MONTH(C197),1,1,2,1,3,1,4,2,5,2,6,3,7,3,8,3,9,3,10,2,11,2,12,1,2)</f>
        <v>1</v>
      </c>
      <c r="P197" s="43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</row>
    <row r="198" spans="1:73" ht="18" x14ac:dyDescent="0.35">
      <c r="A198" s="43"/>
      <c r="C198" s="393"/>
      <c r="E198" s="394"/>
      <c r="F198" s="394"/>
      <c r="G198" s="394"/>
      <c r="H198" s="8" t="s">
        <v>61</v>
      </c>
      <c r="I198" s="364">
        <f t="shared" ref="I198:I261" si="10">+E198+G198</f>
        <v>0</v>
      </c>
      <c r="J198" s="365">
        <f t="shared" si="9"/>
        <v>0</v>
      </c>
      <c r="K198" s="366">
        <f t="shared" ref="K198:K261" si="11">+WEEKDAY(C198,2)</f>
        <v>6</v>
      </c>
      <c r="L198" s="366">
        <f>+IF((C198&gt;='Resultats - informe'!$E$16)*(C198&lt;='Resultats - informe'!$G$16),1,0)</f>
        <v>1</v>
      </c>
      <c r="M198" s="366" cm="1">
        <f t="array" ref="M198">+_xlfn.IFS((C198&gt;='Resultats - informe'!$D$26)*(C198&lt;='Resultats - informe'!$E$26),0,(C198&gt;='Resultats - informe'!$D$27)*(C198&lt;='Resultats - informe'!$E$27),0,(C198&gt;='Resultats - informe'!$D$28)*(C198&lt;='Resultats - informe'!$E$28),0,(C198&gt;='Resultats - informe'!$D$29)*(C198&lt;='Resultats - informe'!$E$29),0,1,1)</f>
        <v>0</v>
      </c>
      <c r="N198" s="366">
        <f>+VLOOKUP(D198,'Resultats - informe'!$Y$18:$AG$42,'Introducció dades consum'!K198+1,0)</f>
        <v>0</v>
      </c>
      <c r="O198" s="367" cm="1">
        <f t="array" ref="O198">+_xlfn.SWITCH(MONTH(C198),1,1,2,1,3,1,4,2,5,2,6,3,7,3,8,3,9,3,10,2,11,2,12,1,2)</f>
        <v>1</v>
      </c>
      <c r="P198" s="43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</row>
    <row r="199" spans="1:73" ht="18" x14ac:dyDescent="0.35">
      <c r="A199" s="43"/>
      <c r="C199" s="393"/>
      <c r="E199" s="394"/>
      <c r="F199" s="394"/>
      <c r="G199" s="394"/>
      <c r="H199" s="8" t="s">
        <v>61</v>
      </c>
      <c r="I199" s="364">
        <f t="shared" si="10"/>
        <v>0</v>
      </c>
      <c r="J199" s="365">
        <f t="shared" si="9"/>
        <v>0</v>
      </c>
      <c r="K199" s="366">
        <f t="shared" si="11"/>
        <v>6</v>
      </c>
      <c r="L199" s="366">
        <f>+IF((C199&gt;='Resultats - informe'!$E$16)*(C199&lt;='Resultats - informe'!$G$16),1,0)</f>
        <v>1</v>
      </c>
      <c r="M199" s="366" cm="1">
        <f t="array" ref="M199">+_xlfn.IFS((C199&gt;='Resultats - informe'!$D$26)*(C199&lt;='Resultats - informe'!$E$26),0,(C199&gt;='Resultats - informe'!$D$27)*(C199&lt;='Resultats - informe'!$E$27),0,(C199&gt;='Resultats - informe'!$D$28)*(C199&lt;='Resultats - informe'!$E$28),0,(C199&gt;='Resultats - informe'!$D$29)*(C199&lt;='Resultats - informe'!$E$29),0,1,1)</f>
        <v>0</v>
      </c>
      <c r="N199" s="366">
        <f>+VLOOKUP(D199,'Resultats - informe'!$Y$18:$AG$42,'Introducció dades consum'!K199+1,0)</f>
        <v>0</v>
      </c>
      <c r="O199" s="367" cm="1">
        <f t="array" ref="O199">+_xlfn.SWITCH(MONTH(C199),1,1,2,1,3,1,4,2,5,2,6,3,7,3,8,3,9,3,10,2,11,2,12,1,2)</f>
        <v>1</v>
      </c>
      <c r="P199" s="43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</row>
    <row r="200" spans="1:73" ht="18" x14ac:dyDescent="0.35">
      <c r="A200" s="43"/>
      <c r="C200" s="393"/>
      <c r="E200" s="394"/>
      <c r="F200" s="394"/>
      <c r="G200" s="394"/>
      <c r="H200" s="8" t="s">
        <v>61</v>
      </c>
      <c r="I200" s="364">
        <f t="shared" si="10"/>
        <v>0</v>
      </c>
      <c r="J200" s="365">
        <f t="shared" si="9"/>
        <v>0</v>
      </c>
      <c r="K200" s="366">
        <f t="shared" si="11"/>
        <v>6</v>
      </c>
      <c r="L200" s="366">
        <f>+IF((C200&gt;='Resultats - informe'!$E$16)*(C200&lt;='Resultats - informe'!$G$16),1,0)</f>
        <v>1</v>
      </c>
      <c r="M200" s="366" cm="1">
        <f t="array" ref="M200">+_xlfn.IFS((C200&gt;='Resultats - informe'!$D$26)*(C200&lt;='Resultats - informe'!$E$26),0,(C200&gt;='Resultats - informe'!$D$27)*(C200&lt;='Resultats - informe'!$E$27),0,(C200&gt;='Resultats - informe'!$D$28)*(C200&lt;='Resultats - informe'!$E$28),0,(C200&gt;='Resultats - informe'!$D$29)*(C200&lt;='Resultats - informe'!$E$29),0,1,1)</f>
        <v>0</v>
      </c>
      <c r="N200" s="366">
        <f>+VLOOKUP(D200,'Resultats - informe'!$Y$18:$AG$42,'Introducció dades consum'!K200+1,0)</f>
        <v>0</v>
      </c>
      <c r="O200" s="367" cm="1">
        <f t="array" ref="O200">+_xlfn.SWITCH(MONTH(C200),1,1,2,1,3,1,4,2,5,2,6,3,7,3,8,3,9,3,10,2,11,2,12,1,2)</f>
        <v>1</v>
      </c>
      <c r="P200" s="43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</row>
    <row r="201" spans="1:73" ht="18" x14ac:dyDescent="0.35">
      <c r="A201" s="43"/>
      <c r="C201" s="393"/>
      <c r="E201" s="394"/>
      <c r="F201" s="394"/>
      <c r="G201" s="394"/>
      <c r="H201" s="8" t="s">
        <v>61</v>
      </c>
      <c r="I201" s="364">
        <f t="shared" si="10"/>
        <v>0</v>
      </c>
      <c r="J201" s="365">
        <f t="shared" si="9"/>
        <v>0</v>
      </c>
      <c r="K201" s="366">
        <f t="shared" si="11"/>
        <v>6</v>
      </c>
      <c r="L201" s="366">
        <f>+IF((C201&gt;='Resultats - informe'!$E$16)*(C201&lt;='Resultats - informe'!$G$16),1,0)</f>
        <v>1</v>
      </c>
      <c r="M201" s="366" cm="1">
        <f t="array" ref="M201">+_xlfn.IFS((C201&gt;='Resultats - informe'!$D$26)*(C201&lt;='Resultats - informe'!$E$26),0,(C201&gt;='Resultats - informe'!$D$27)*(C201&lt;='Resultats - informe'!$E$27),0,(C201&gt;='Resultats - informe'!$D$28)*(C201&lt;='Resultats - informe'!$E$28),0,(C201&gt;='Resultats - informe'!$D$29)*(C201&lt;='Resultats - informe'!$E$29),0,1,1)</f>
        <v>0</v>
      </c>
      <c r="N201" s="366">
        <f>+VLOOKUP(D201,'Resultats - informe'!$Y$18:$AG$42,'Introducció dades consum'!K201+1,0)</f>
        <v>0</v>
      </c>
      <c r="O201" s="367" cm="1">
        <f t="array" ref="O201">+_xlfn.SWITCH(MONTH(C201),1,1,2,1,3,1,4,2,5,2,6,3,7,3,8,3,9,3,10,2,11,2,12,1,2)</f>
        <v>1</v>
      </c>
      <c r="P201" s="43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</row>
    <row r="202" spans="1:73" ht="18" x14ac:dyDescent="0.35">
      <c r="A202" s="43"/>
      <c r="C202" s="393"/>
      <c r="E202" s="394"/>
      <c r="F202" s="394"/>
      <c r="G202" s="394"/>
      <c r="H202" s="8" t="s">
        <v>61</v>
      </c>
      <c r="I202" s="364">
        <f t="shared" si="10"/>
        <v>0</v>
      </c>
      <c r="J202" s="365">
        <f t="shared" si="9"/>
        <v>0</v>
      </c>
      <c r="K202" s="366">
        <f t="shared" si="11"/>
        <v>6</v>
      </c>
      <c r="L202" s="366">
        <f>+IF((C202&gt;='Resultats - informe'!$E$16)*(C202&lt;='Resultats - informe'!$G$16),1,0)</f>
        <v>1</v>
      </c>
      <c r="M202" s="366" cm="1">
        <f t="array" ref="M202">+_xlfn.IFS((C202&gt;='Resultats - informe'!$D$26)*(C202&lt;='Resultats - informe'!$E$26),0,(C202&gt;='Resultats - informe'!$D$27)*(C202&lt;='Resultats - informe'!$E$27),0,(C202&gt;='Resultats - informe'!$D$28)*(C202&lt;='Resultats - informe'!$E$28),0,(C202&gt;='Resultats - informe'!$D$29)*(C202&lt;='Resultats - informe'!$E$29),0,1,1)</f>
        <v>0</v>
      </c>
      <c r="N202" s="366">
        <f>+VLOOKUP(D202,'Resultats - informe'!$Y$18:$AG$42,'Introducció dades consum'!K202+1,0)</f>
        <v>0</v>
      </c>
      <c r="O202" s="367" cm="1">
        <f t="array" ref="O202">+_xlfn.SWITCH(MONTH(C202),1,1,2,1,3,1,4,2,5,2,6,3,7,3,8,3,9,3,10,2,11,2,12,1,2)</f>
        <v>1</v>
      </c>
      <c r="P202" s="43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</row>
    <row r="203" spans="1:73" ht="18" x14ac:dyDescent="0.35">
      <c r="A203" s="43"/>
      <c r="C203" s="393"/>
      <c r="E203" s="394"/>
      <c r="F203" s="394"/>
      <c r="G203" s="394"/>
      <c r="H203" s="8" t="s">
        <v>61</v>
      </c>
      <c r="I203" s="364">
        <f t="shared" si="10"/>
        <v>0</v>
      </c>
      <c r="J203" s="365">
        <f t="shared" si="9"/>
        <v>0</v>
      </c>
      <c r="K203" s="366">
        <f t="shared" si="11"/>
        <v>6</v>
      </c>
      <c r="L203" s="366">
        <f>+IF((C203&gt;='Resultats - informe'!$E$16)*(C203&lt;='Resultats - informe'!$G$16),1,0)</f>
        <v>1</v>
      </c>
      <c r="M203" s="366" cm="1">
        <f t="array" ref="M203">+_xlfn.IFS((C203&gt;='Resultats - informe'!$D$26)*(C203&lt;='Resultats - informe'!$E$26),0,(C203&gt;='Resultats - informe'!$D$27)*(C203&lt;='Resultats - informe'!$E$27),0,(C203&gt;='Resultats - informe'!$D$28)*(C203&lt;='Resultats - informe'!$E$28),0,(C203&gt;='Resultats - informe'!$D$29)*(C203&lt;='Resultats - informe'!$E$29),0,1,1)</f>
        <v>0</v>
      </c>
      <c r="N203" s="366">
        <f>+VLOOKUP(D203,'Resultats - informe'!$Y$18:$AG$42,'Introducció dades consum'!K203+1,0)</f>
        <v>0</v>
      </c>
      <c r="O203" s="367" cm="1">
        <f t="array" ref="O203">+_xlfn.SWITCH(MONTH(C203),1,1,2,1,3,1,4,2,5,2,6,3,7,3,8,3,9,3,10,2,11,2,12,1,2)</f>
        <v>1</v>
      </c>
      <c r="P203" s="43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</row>
    <row r="204" spans="1:73" ht="18" x14ac:dyDescent="0.35">
      <c r="A204" s="43"/>
      <c r="C204" s="393"/>
      <c r="E204" s="394"/>
      <c r="F204" s="394"/>
      <c r="G204" s="394"/>
      <c r="H204" s="8" t="s">
        <v>61</v>
      </c>
      <c r="I204" s="364">
        <f t="shared" si="10"/>
        <v>0</v>
      </c>
      <c r="J204" s="365">
        <f t="shared" si="9"/>
        <v>0</v>
      </c>
      <c r="K204" s="366">
        <f t="shared" si="11"/>
        <v>6</v>
      </c>
      <c r="L204" s="366">
        <f>+IF((C204&gt;='Resultats - informe'!$E$16)*(C204&lt;='Resultats - informe'!$G$16),1,0)</f>
        <v>1</v>
      </c>
      <c r="M204" s="366" cm="1">
        <f t="array" ref="M204">+_xlfn.IFS((C204&gt;='Resultats - informe'!$D$26)*(C204&lt;='Resultats - informe'!$E$26),0,(C204&gt;='Resultats - informe'!$D$27)*(C204&lt;='Resultats - informe'!$E$27),0,(C204&gt;='Resultats - informe'!$D$28)*(C204&lt;='Resultats - informe'!$E$28),0,(C204&gt;='Resultats - informe'!$D$29)*(C204&lt;='Resultats - informe'!$E$29),0,1,1)</f>
        <v>0</v>
      </c>
      <c r="N204" s="366">
        <f>+VLOOKUP(D204,'Resultats - informe'!$Y$18:$AG$42,'Introducció dades consum'!K204+1,0)</f>
        <v>0</v>
      </c>
      <c r="O204" s="367" cm="1">
        <f t="array" ref="O204">+_xlfn.SWITCH(MONTH(C204),1,1,2,1,3,1,4,2,5,2,6,3,7,3,8,3,9,3,10,2,11,2,12,1,2)</f>
        <v>1</v>
      </c>
      <c r="P204" s="43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</row>
    <row r="205" spans="1:73" ht="18" x14ac:dyDescent="0.35">
      <c r="A205" s="43"/>
      <c r="C205" s="393"/>
      <c r="E205" s="394"/>
      <c r="F205" s="394"/>
      <c r="G205" s="394"/>
      <c r="H205" s="8" t="s">
        <v>61</v>
      </c>
      <c r="I205" s="364">
        <f t="shared" si="10"/>
        <v>0</v>
      </c>
      <c r="J205" s="365">
        <f t="shared" si="9"/>
        <v>0</v>
      </c>
      <c r="K205" s="366">
        <f t="shared" si="11"/>
        <v>6</v>
      </c>
      <c r="L205" s="366">
        <f>+IF((C205&gt;='Resultats - informe'!$E$16)*(C205&lt;='Resultats - informe'!$G$16),1,0)</f>
        <v>1</v>
      </c>
      <c r="M205" s="366" cm="1">
        <f t="array" ref="M205">+_xlfn.IFS((C205&gt;='Resultats - informe'!$D$26)*(C205&lt;='Resultats - informe'!$E$26),0,(C205&gt;='Resultats - informe'!$D$27)*(C205&lt;='Resultats - informe'!$E$27),0,(C205&gt;='Resultats - informe'!$D$28)*(C205&lt;='Resultats - informe'!$E$28),0,(C205&gt;='Resultats - informe'!$D$29)*(C205&lt;='Resultats - informe'!$E$29),0,1,1)</f>
        <v>0</v>
      </c>
      <c r="N205" s="366">
        <f>+VLOOKUP(D205,'Resultats - informe'!$Y$18:$AG$42,'Introducció dades consum'!K205+1,0)</f>
        <v>0</v>
      </c>
      <c r="O205" s="367" cm="1">
        <f t="array" ref="O205">+_xlfn.SWITCH(MONTH(C205),1,1,2,1,3,1,4,2,5,2,6,3,7,3,8,3,9,3,10,2,11,2,12,1,2)</f>
        <v>1</v>
      </c>
      <c r="P205" s="43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</row>
    <row r="206" spans="1:73" ht="18" x14ac:dyDescent="0.35">
      <c r="A206" s="43"/>
      <c r="C206" s="393"/>
      <c r="E206" s="394"/>
      <c r="F206" s="394"/>
      <c r="G206" s="394"/>
      <c r="H206" s="8" t="s">
        <v>61</v>
      </c>
      <c r="I206" s="364">
        <f t="shared" si="10"/>
        <v>0</v>
      </c>
      <c r="J206" s="365">
        <f t="shared" si="9"/>
        <v>0</v>
      </c>
      <c r="K206" s="366">
        <f t="shared" si="11"/>
        <v>6</v>
      </c>
      <c r="L206" s="366">
        <f>+IF((C206&gt;='Resultats - informe'!$E$16)*(C206&lt;='Resultats - informe'!$G$16),1,0)</f>
        <v>1</v>
      </c>
      <c r="M206" s="366" cm="1">
        <f t="array" ref="M206">+_xlfn.IFS((C206&gt;='Resultats - informe'!$D$26)*(C206&lt;='Resultats - informe'!$E$26),0,(C206&gt;='Resultats - informe'!$D$27)*(C206&lt;='Resultats - informe'!$E$27),0,(C206&gt;='Resultats - informe'!$D$28)*(C206&lt;='Resultats - informe'!$E$28),0,(C206&gt;='Resultats - informe'!$D$29)*(C206&lt;='Resultats - informe'!$E$29),0,1,1)</f>
        <v>0</v>
      </c>
      <c r="N206" s="366">
        <f>+VLOOKUP(D206,'Resultats - informe'!$Y$18:$AG$42,'Introducció dades consum'!K206+1,0)</f>
        <v>0</v>
      </c>
      <c r="O206" s="367" cm="1">
        <f t="array" ref="O206">+_xlfn.SWITCH(MONTH(C206),1,1,2,1,3,1,4,2,5,2,6,3,7,3,8,3,9,3,10,2,11,2,12,1,2)</f>
        <v>1</v>
      </c>
      <c r="P206" s="43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</row>
    <row r="207" spans="1:73" ht="18" x14ac:dyDescent="0.35">
      <c r="A207" s="43"/>
      <c r="C207" s="393"/>
      <c r="E207" s="394"/>
      <c r="F207" s="394"/>
      <c r="G207" s="394"/>
      <c r="H207" s="8" t="s">
        <v>61</v>
      </c>
      <c r="I207" s="364">
        <f t="shared" si="10"/>
        <v>0</v>
      </c>
      <c r="J207" s="365">
        <f t="shared" si="9"/>
        <v>0</v>
      </c>
      <c r="K207" s="366">
        <f t="shared" si="11"/>
        <v>6</v>
      </c>
      <c r="L207" s="366">
        <f>+IF((C207&gt;='Resultats - informe'!$E$16)*(C207&lt;='Resultats - informe'!$G$16),1,0)</f>
        <v>1</v>
      </c>
      <c r="M207" s="366" cm="1">
        <f t="array" ref="M207">+_xlfn.IFS((C207&gt;='Resultats - informe'!$D$26)*(C207&lt;='Resultats - informe'!$E$26),0,(C207&gt;='Resultats - informe'!$D$27)*(C207&lt;='Resultats - informe'!$E$27),0,(C207&gt;='Resultats - informe'!$D$28)*(C207&lt;='Resultats - informe'!$E$28),0,(C207&gt;='Resultats - informe'!$D$29)*(C207&lt;='Resultats - informe'!$E$29),0,1,1)</f>
        <v>0</v>
      </c>
      <c r="N207" s="366">
        <f>+VLOOKUP(D207,'Resultats - informe'!$Y$18:$AG$42,'Introducció dades consum'!K207+1,0)</f>
        <v>0</v>
      </c>
      <c r="O207" s="367" cm="1">
        <f t="array" ref="O207">+_xlfn.SWITCH(MONTH(C207),1,1,2,1,3,1,4,2,5,2,6,3,7,3,8,3,9,3,10,2,11,2,12,1,2)</f>
        <v>1</v>
      </c>
      <c r="P207" s="43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</row>
    <row r="208" spans="1:73" ht="18" x14ac:dyDescent="0.35">
      <c r="A208" s="43"/>
      <c r="C208" s="393"/>
      <c r="E208" s="394"/>
      <c r="F208" s="394"/>
      <c r="G208" s="394"/>
      <c r="H208" s="8" t="s">
        <v>61</v>
      </c>
      <c r="I208" s="364">
        <f t="shared" si="10"/>
        <v>0</v>
      </c>
      <c r="J208" s="365">
        <f t="shared" si="9"/>
        <v>0</v>
      </c>
      <c r="K208" s="366">
        <f t="shared" si="11"/>
        <v>6</v>
      </c>
      <c r="L208" s="366">
        <f>+IF((C208&gt;='Resultats - informe'!$E$16)*(C208&lt;='Resultats - informe'!$G$16),1,0)</f>
        <v>1</v>
      </c>
      <c r="M208" s="366" cm="1">
        <f t="array" ref="M208">+_xlfn.IFS((C208&gt;='Resultats - informe'!$D$26)*(C208&lt;='Resultats - informe'!$E$26),0,(C208&gt;='Resultats - informe'!$D$27)*(C208&lt;='Resultats - informe'!$E$27),0,(C208&gt;='Resultats - informe'!$D$28)*(C208&lt;='Resultats - informe'!$E$28),0,(C208&gt;='Resultats - informe'!$D$29)*(C208&lt;='Resultats - informe'!$E$29),0,1,1)</f>
        <v>0</v>
      </c>
      <c r="N208" s="366">
        <f>+VLOOKUP(D208,'Resultats - informe'!$Y$18:$AG$42,'Introducció dades consum'!K208+1,0)</f>
        <v>0</v>
      </c>
      <c r="O208" s="367" cm="1">
        <f t="array" ref="O208">+_xlfn.SWITCH(MONTH(C208),1,1,2,1,3,1,4,2,5,2,6,3,7,3,8,3,9,3,10,2,11,2,12,1,2)</f>
        <v>1</v>
      </c>
      <c r="P208" s="43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</row>
    <row r="209" spans="1:73" ht="18" x14ac:dyDescent="0.35">
      <c r="A209" s="43"/>
      <c r="C209" s="393"/>
      <c r="E209" s="394"/>
      <c r="F209" s="394"/>
      <c r="G209" s="394"/>
      <c r="H209" s="8" t="s">
        <v>61</v>
      </c>
      <c r="I209" s="364">
        <f t="shared" si="10"/>
        <v>0</v>
      </c>
      <c r="J209" s="365">
        <f t="shared" si="9"/>
        <v>0</v>
      </c>
      <c r="K209" s="366">
        <f t="shared" si="11"/>
        <v>6</v>
      </c>
      <c r="L209" s="366">
        <f>+IF((C209&gt;='Resultats - informe'!$E$16)*(C209&lt;='Resultats - informe'!$G$16),1,0)</f>
        <v>1</v>
      </c>
      <c r="M209" s="366" cm="1">
        <f t="array" ref="M209">+_xlfn.IFS((C209&gt;='Resultats - informe'!$D$26)*(C209&lt;='Resultats - informe'!$E$26),0,(C209&gt;='Resultats - informe'!$D$27)*(C209&lt;='Resultats - informe'!$E$27),0,(C209&gt;='Resultats - informe'!$D$28)*(C209&lt;='Resultats - informe'!$E$28),0,(C209&gt;='Resultats - informe'!$D$29)*(C209&lt;='Resultats - informe'!$E$29),0,1,1)</f>
        <v>0</v>
      </c>
      <c r="N209" s="366">
        <f>+VLOOKUP(D209,'Resultats - informe'!$Y$18:$AG$42,'Introducció dades consum'!K209+1,0)</f>
        <v>0</v>
      </c>
      <c r="O209" s="367" cm="1">
        <f t="array" ref="O209">+_xlfn.SWITCH(MONTH(C209),1,1,2,1,3,1,4,2,5,2,6,3,7,3,8,3,9,3,10,2,11,2,12,1,2)</f>
        <v>1</v>
      </c>
      <c r="P209" s="43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</row>
    <row r="210" spans="1:73" ht="18" x14ac:dyDescent="0.35">
      <c r="A210" s="43"/>
      <c r="C210" s="393"/>
      <c r="E210" s="394"/>
      <c r="F210" s="394"/>
      <c r="G210" s="394"/>
      <c r="H210" s="8" t="s">
        <v>61</v>
      </c>
      <c r="I210" s="364">
        <f t="shared" si="10"/>
        <v>0</v>
      </c>
      <c r="J210" s="365">
        <f t="shared" si="9"/>
        <v>0</v>
      </c>
      <c r="K210" s="366">
        <f t="shared" si="11"/>
        <v>6</v>
      </c>
      <c r="L210" s="366">
        <f>+IF((C210&gt;='Resultats - informe'!$E$16)*(C210&lt;='Resultats - informe'!$G$16),1,0)</f>
        <v>1</v>
      </c>
      <c r="M210" s="366" cm="1">
        <f t="array" ref="M210">+_xlfn.IFS((C210&gt;='Resultats - informe'!$D$26)*(C210&lt;='Resultats - informe'!$E$26),0,(C210&gt;='Resultats - informe'!$D$27)*(C210&lt;='Resultats - informe'!$E$27),0,(C210&gt;='Resultats - informe'!$D$28)*(C210&lt;='Resultats - informe'!$E$28),0,(C210&gt;='Resultats - informe'!$D$29)*(C210&lt;='Resultats - informe'!$E$29),0,1,1)</f>
        <v>0</v>
      </c>
      <c r="N210" s="366">
        <f>+VLOOKUP(D210,'Resultats - informe'!$Y$18:$AG$42,'Introducció dades consum'!K210+1,0)</f>
        <v>0</v>
      </c>
      <c r="O210" s="367" cm="1">
        <f t="array" ref="O210">+_xlfn.SWITCH(MONTH(C210),1,1,2,1,3,1,4,2,5,2,6,3,7,3,8,3,9,3,10,2,11,2,12,1,2)</f>
        <v>1</v>
      </c>
      <c r="P210" s="43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</row>
    <row r="211" spans="1:73" ht="18" x14ac:dyDescent="0.35">
      <c r="A211" s="43"/>
      <c r="C211" s="393"/>
      <c r="E211" s="394"/>
      <c r="F211" s="394"/>
      <c r="G211" s="394"/>
      <c r="H211" s="8" t="s">
        <v>61</v>
      </c>
      <c r="I211" s="364">
        <f t="shared" si="10"/>
        <v>0</v>
      </c>
      <c r="J211" s="365">
        <f t="shared" si="9"/>
        <v>0</v>
      </c>
      <c r="K211" s="366">
        <f t="shared" si="11"/>
        <v>6</v>
      </c>
      <c r="L211" s="366">
        <f>+IF((C211&gt;='Resultats - informe'!$E$16)*(C211&lt;='Resultats - informe'!$G$16),1,0)</f>
        <v>1</v>
      </c>
      <c r="M211" s="366" cm="1">
        <f t="array" ref="M211">+_xlfn.IFS((C211&gt;='Resultats - informe'!$D$26)*(C211&lt;='Resultats - informe'!$E$26),0,(C211&gt;='Resultats - informe'!$D$27)*(C211&lt;='Resultats - informe'!$E$27),0,(C211&gt;='Resultats - informe'!$D$28)*(C211&lt;='Resultats - informe'!$E$28),0,(C211&gt;='Resultats - informe'!$D$29)*(C211&lt;='Resultats - informe'!$E$29),0,1,1)</f>
        <v>0</v>
      </c>
      <c r="N211" s="366">
        <f>+VLOOKUP(D211,'Resultats - informe'!$Y$18:$AG$42,'Introducció dades consum'!K211+1,0)</f>
        <v>0</v>
      </c>
      <c r="O211" s="367" cm="1">
        <f t="array" ref="O211">+_xlfn.SWITCH(MONTH(C211),1,1,2,1,3,1,4,2,5,2,6,3,7,3,8,3,9,3,10,2,11,2,12,1,2)</f>
        <v>1</v>
      </c>
      <c r="P211" s="43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</row>
    <row r="212" spans="1:73" ht="18" x14ac:dyDescent="0.35">
      <c r="A212" s="43"/>
      <c r="C212" s="393"/>
      <c r="E212" s="394"/>
      <c r="F212" s="394"/>
      <c r="G212" s="394"/>
      <c r="H212" s="8" t="s">
        <v>61</v>
      </c>
      <c r="I212" s="364">
        <f t="shared" si="10"/>
        <v>0</v>
      </c>
      <c r="J212" s="365">
        <f t="shared" si="9"/>
        <v>0</v>
      </c>
      <c r="K212" s="366">
        <f t="shared" si="11"/>
        <v>6</v>
      </c>
      <c r="L212" s="366">
        <f>+IF((C212&gt;='Resultats - informe'!$E$16)*(C212&lt;='Resultats - informe'!$G$16),1,0)</f>
        <v>1</v>
      </c>
      <c r="M212" s="366" cm="1">
        <f t="array" ref="M212">+_xlfn.IFS((C212&gt;='Resultats - informe'!$D$26)*(C212&lt;='Resultats - informe'!$E$26),0,(C212&gt;='Resultats - informe'!$D$27)*(C212&lt;='Resultats - informe'!$E$27),0,(C212&gt;='Resultats - informe'!$D$28)*(C212&lt;='Resultats - informe'!$E$28),0,(C212&gt;='Resultats - informe'!$D$29)*(C212&lt;='Resultats - informe'!$E$29),0,1,1)</f>
        <v>0</v>
      </c>
      <c r="N212" s="366">
        <f>+VLOOKUP(D212,'Resultats - informe'!$Y$18:$AG$42,'Introducció dades consum'!K212+1,0)</f>
        <v>0</v>
      </c>
      <c r="O212" s="367" cm="1">
        <f t="array" ref="O212">+_xlfn.SWITCH(MONTH(C212),1,1,2,1,3,1,4,2,5,2,6,3,7,3,8,3,9,3,10,2,11,2,12,1,2)</f>
        <v>1</v>
      </c>
      <c r="P212" s="43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</row>
    <row r="213" spans="1:73" ht="18" x14ac:dyDescent="0.35">
      <c r="A213" s="43"/>
      <c r="C213" s="393"/>
      <c r="E213" s="394"/>
      <c r="F213" s="394"/>
      <c r="G213" s="394"/>
      <c r="H213" s="8" t="s">
        <v>61</v>
      </c>
      <c r="I213" s="364">
        <f t="shared" si="10"/>
        <v>0</v>
      </c>
      <c r="J213" s="365">
        <f t="shared" si="9"/>
        <v>0</v>
      </c>
      <c r="K213" s="366">
        <f t="shared" si="11"/>
        <v>6</v>
      </c>
      <c r="L213" s="366">
        <f>+IF((C213&gt;='Resultats - informe'!$E$16)*(C213&lt;='Resultats - informe'!$G$16),1,0)</f>
        <v>1</v>
      </c>
      <c r="M213" s="366" cm="1">
        <f t="array" ref="M213">+_xlfn.IFS((C213&gt;='Resultats - informe'!$D$26)*(C213&lt;='Resultats - informe'!$E$26),0,(C213&gt;='Resultats - informe'!$D$27)*(C213&lt;='Resultats - informe'!$E$27),0,(C213&gt;='Resultats - informe'!$D$28)*(C213&lt;='Resultats - informe'!$E$28),0,(C213&gt;='Resultats - informe'!$D$29)*(C213&lt;='Resultats - informe'!$E$29),0,1,1)</f>
        <v>0</v>
      </c>
      <c r="N213" s="366">
        <f>+VLOOKUP(D213,'Resultats - informe'!$Y$18:$AG$42,'Introducció dades consum'!K213+1,0)</f>
        <v>0</v>
      </c>
      <c r="O213" s="367" cm="1">
        <f t="array" ref="O213">+_xlfn.SWITCH(MONTH(C213),1,1,2,1,3,1,4,2,5,2,6,3,7,3,8,3,9,3,10,2,11,2,12,1,2)</f>
        <v>1</v>
      </c>
      <c r="P213" s="43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</row>
    <row r="214" spans="1:73" ht="18" x14ac:dyDescent="0.35">
      <c r="A214" s="43"/>
      <c r="C214" s="393"/>
      <c r="E214" s="394"/>
      <c r="F214" s="394"/>
      <c r="G214" s="394"/>
      <c r="H214" s="8" t="s">
        <v>61</v>
      </c>
      <c r="I214" s="364">
        <f t="shared" si="10"/>
        <v>0</v>
      </c>
      <c r="J214" s="365">
        <f t="shared" si="9"/>
        <v>0</v>
      </c>
      <c r="K214" s="366">
        <f t="shared" si="11"/>
        <v>6</v>
      </c>
      <c r="L214" s="366">
        <f>+IF((C214&gt;='Resultats - informe'!$E$16)*(C214&lt;='Resultats - informe'!$G$16),1,0)</f>
        <v>1</v>
      </c>
      <c r="M214" s="366" cm="1">
        <f t="array" ref="M214">+_xlfn.IFS((C214&gt;='Resultats - informe'!$D$26)*(C214&lt;='Resultats - informe'!$E$26),0,(C214&gt;='Resultats - informe'!$D$27)*(C214&lt;='Resultats - informe'!$E$27),0,(C214&gt;='Resultats - informe'!$D$28)*(C214&lt;='Resultats - informe'!$E$28),0,(C214&gt;='Resultats - informe'!$D$29)*(C214&lt;='Resultats - informe'!$E$29),0,1,1)</f>
        <v>0</v>
      </c>
      <c r="N214" s="366">
        <f>+VLOOKUP(D214,'Resultats - informe'!$Y$18:$AG$42,'Introducció dades consum'!K214+1,0)</f>
        <v>0</v>
      </c>
      <c r="O214" s="367" cm="1">
        <f t="array" ref="O214">+_xlfn.SWITCH(MONTH(C214),1,1,2,1,3,1,4,2,5,2,6,3,7,3,8,3,9,3,10,2,11,2,12,1,2)</f>
        <v>1</v>
      </c>
      <c r="P214" s="43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</row>
    <row r="215" spans="1:73" ht="18" x14ac:dyDescent="0.35">
      <c r="A215" s="43"/>
      <c r="C215" s="393"/>
      <c r="E215" s="394"/>
      <c r="F215" s="394"/>
      <c r="G215" s="394"/>
      <c r="H215" s="8" t="s">
        <v>61</v>
      </c>
      <c r="I215" s="364">
        <f t="shared" si="10"/>
        <v>0</v>
      </c>
      <c r="J215" s="365">
        <f t="shared" si="9"/>
        <v>0</v>
      </c>
      <c r="K215" s="366">
        <f t="shared" si="11"/>
        <v>6</v>
      </c>
      <c r="L215" s="366">
        <f>+IF((C215&gt;='Resultats - informe'!$E$16)*(C215&lt;='Resultats - informe'!$G$16),1,0)</f>
        <v>1</v>
      </c>
      <c r="M215" s="366" cm="1">
        <f t="array" ref="M215">+_xlfn.IFS((C215&gt;='Resultats - informe'!$D$26)*(C215&lt;='Resultats - informe'!$E$26),0,(C215&gt;='Resultats - informe'!$D$27)*(C215&lt;='Resultats - informe'!$E$27),0,(C215&gt;='Resultats - informe'!$D$28)*(C215&lt;='Resultats - informe'!$E$28),0,(C215&gt;='Resultats - informe'!$D$29)*(C215&lt;='Resultats - informe'!$E$29),0,1,1)</f>
        <v>0</v>
      </c>
      <c r="N215" s="366">
        <f>+VLOOKUP(D215,'Resultats - informe'!$Y$18:$AG$42,'Introducció dades consum'!K215+1,0)</f>
        <v>0</v>
      </c>
      <c r="O215" s="367" cm="1">
        <f t="array" ref="O215">+_xlfn.SWITCH(MONTH(C215),1,1,2,1,3,1,4,2,5,2,6,3,7,3,8,3,9,3,10,2,11,2,12,1,2)</f>
        <v>1</v>
      </c>
      <c r="P215" s="43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</row>
    <row r="216" spans="1:73" ht="18" x14ac:dyDescent="0.35">
      <c r="A216" s="43"/>
      <c r="C216" s="393"/>
      <c r="E216" s="394"/>
      <c r="F216" s="394"/>
      <c r="G216" s="394"/>
      <c r="H216" s="8" t="s">
        <v>61</v>
      </c>
      <c r="I216" s="364">
        <f t="shared" si="10"/>
        <v>0</v>
      </c>
      <c r="J216" s="365">
        <f t="shared" si="9"/>
        <v>0</v>
      </c>
      <c r="K216" s="366">
        <f t="shared" si="11"/>
        <v>6</v>
      </c>
      <c r="L216" s="366">
        <f>+IF((C216&gt;='Resultats - informe'!$E$16)*(C216&lt;='Resultats - informe'!$G$16),1,0)</f>
        <v>1</v>
      </c>
      <c r="M216" s="366" cm="1">
        <f t="array" ref="M216">+_xlfn.IFS((C216&gt;='Resultats - informe'!$D$26)*(C216&lt;='Resultats - informe'!$E$26),0,(C216&gt;='Resultats - informe'!$D$27)*(C216&lt;='Resultats - informe'!$E$27),0,(C216&gt;='Resultats - informe'!$D$28)*(C216&lt;='Resultats - informe'!$E$28),0,(C216&gt;='Resultats - informe'!$D$29)*(C216&lt;='Resultats - informe'!$E$29),0,1,1)</f>
        <v>0</v>
      </c>
      <c r="N216" s="366">
        <f>+VLOOKUP(D216,'Resultats - informe'!$Y$18:$AG$42,'Introducció dades consum'!K216+1,0)</f>
        <v>0</v>
      </c>
      <c r="O216" s="367" cm="1">
        <f t="array" ref="O216">+_xlfn.SWITCH(MONTH(C216),1,1,2,1,3,1,4,2,5,2,6,3,7,3,8,3,9,3,10,2,11,2,12,1,2)</f>
        <v>1</v>
      </c>
      <c r="P216" s="43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</row>
    <row r="217" spans="1:73" ht="18" x14ac:dyDescent="0.35">
      <c r="A217" s="43"/>
      <c r="C217" s="393"/>
      <c r="E217" s="394"/>
      <c r="F217" s="394"/>
      <c r="G217" s="394"/>
      <c r="H217" s="8" t="s">
        <v>61</v>
      </c>
      <c r="I217" s="364">
        <f t="shared" si="10"/>
        <v>0</v>
      </c>
      <c r="J217" s="365">
        <f t="shared" si="9"/>
        <v>0</v>
      </c>
      <c r="K217" s="366">
        <f t="shared" si="11"/>
        <v>6</v>
      </c>
      <c r="L217" s="366">
        <f>+IF((C217&gt;='Resultats - informe'!$E$16)*(C217&lt;='Resultats - informe'!$G$16),1,0)</f>
        <v>1</v>
      </c>
      <c r="M217" s="366" cm="1">
        <f t="array" ref="M217">+_xlfn.IFS((C217&gt;='Resultats - informe'!$D$26)*(C217&lt;='Resultats - informe'!$E$26),0,(C217&gt;='Resultats - informe'!$D$27)*(C217&lt;='Resultats - informe'!$E$27),0,(C217&gt;='Resultats - informe'!$D$28)*(C217&lt;='Resultats - informe'!$E$28),0,(C217&gt;='Resultats - informe'!$D$29)*(C217&lt;='Resultats - informe'!$E$29),0,1,1)</f>
        <v>0</v>
      </c>
      <c r="N217" s="366">
        <f>+VLOOKUP(D217,'Resultats - informe'!$Y$18:$AG$42,'Introducció dades consum'!K217+1,0)</f>
        <v>0</v>
      </c>
      <c r="O217" s="367" cm="1">
        <f t="array" ref="O217">+_xlfn.SWITCH(MONTH(C217),1,1,2,1,3,1,4,2,5,2,6,3,7,3,8,3,9,3,10,2,11,2,12,1,2)</f>
        <v>1</v>
      </c>
      <c r="P217" s="43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</row>
    <row r="218" spans="1:73" ht="18" x14ac:dyDescent="0.35">
      <c r="A218" s="43"/>
      <c r="C218" s="393"/>
      <c r="E218" s="394"/>
      <c r="F218" s="394"/>
      <c r="G218" s="394"/>
      <c r="H218" s="8" t="s">
        <v>61</v>
      </c>
      <c r="I218" s="364">
        <f t="shared" si="10"/>
        <v>0</v>
      </c>
      <c r="J218" s="365">
        <f t="shared" si="9"/>
        <v>0</v>
      </c>
      <c r="K218" s="366">
        <f t="shared" si="11"/>
        <v>6</v>
      </c>
      <c r="L218" s="366">
        <f>+IF((C218&gt;='Resultats - informe'!$E$16)*(C218&lt;='Resultats - informe'!$G$16),1,0)</f>
        <v>1</v>
      </c>
      <c r="M218" s="366" cm="1">
        <f t="array" ref="M218">+_xlfn.IFS((C218&gt;='Resultats - informe'!$D$26)*(C218&lt;='Resultats - informe'!$E$26),0,(C218&gt;='Resultats - informe'!$D$27)*(C218&lt;='Resultats - informe'!$E$27),0,(C218&gt;='Resultats - informe'!$D$28)*(C218&lt;='Resultats - informe'!$E$28),0,(C218&gt;='Resultats - informe'!$D$29)*(C218&lt;='Resultats - informe'!$E$29),0,1,1)</f>
        <v>0</v>
      </c>
      <c r="N218" s="366">
        <f>+VLOOKUP(D218,'Resultats - informe'!$Y$18:$AG$42,'Introducció dades consum'!K218+1,0)</f>
        <v>0</v>
      </c>
      <c r="O218" s="367" cm="1">
        <f t="array" ref="O218">+_xlfn.SWITCH(MONTH(C218),1,1,2,1,3,1,4,2,5,2,6,3,7,3,8,3,9,3,10,2,11,2,12,1,2)</f>
        <v>1</v>
      </c>
      <c r="P218" s="43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</row>
    <row r="219" spans="1:73" ht="18" x14ac:dyDescent="0.35">
      <c r="A219" s="43"/>
      <c r="C219" s="393"/>
      <c r="E219" s="394"/>
      <c r="F219" s="394"/>
      <c r="G219" s="394"/>
      <c r="H219" s="8" t="s">
        <v>61</v>
      </c>
      <c r="I219" s="364">
        <f t="shared" si="10"/>
        <v>0</v>
      </c>
      <c r="J219" s="365">
        <f t="shared" si="9"/>
        <v>0</v>
      </c>
      <c r="K219" s="366">
        <f t="shared" si="11"/>
        <v>6</v>
      </c>
      <c r="L219" s="366">
        <f>+IF((C219&gt;='Resultats - informe'!$E$16)*(C219&lt;='Resultats - informe'!$G$16),1,0)</f>
        <v>1</v>
      </c>
      <c r="M219" s="366" cm="1">
        <f t="array" ref="M219">+_xlfn.IFS((C219&gt;='Resultats - informe'!$D$26)*(C219&lt;='Resultats - informe'!$E$26),0,(C219&gt;='Resultats - informe'!$D$27)*(C219&lt;='Resultats - informe'!$E$27),0,(C219&gt;='Resultats - informe'!$D$28)*(C219&lt;='Resultats - informe'!$E$28),0,(C219&gt;='Resultats - informe'!$D$29)*(C219&lt;='Resultats - informe'!$E$29),0,1,1)</f>
        <v>0</v>
      </c>
      <c r="N219" s="366">
        <f>+VLOOKUP(D219,'Resultats - informe'!$Y$18:$AG$42,'Introducció dades consum'!K219+1,0)</f>
        <v>0</v>
      </c>
      <c r="O219" s="367" cm="1">
        <f t="array" ref="O219">+_xlfn.SWITCH(MONTH(C219),1,1,2,1,3,1,4,2,5,2,6,3,7,3,8,3,9,3,10,2,11,2,12,1,2)</f>
        <v>1</v>
      </c>
      <c r="P219" s="43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</row>
    <row r="220" spans="1:73" ht="18" x14ac:dyDescent="0.35">
      <c r="A220" s="43"/>
      <c r="C220" s="393"/>
      <c r="E220" s="394"/>
      <c r="F220" s="394"/>
      <c r="G220" s="394"/>
      <c r="H220" s="8" t="s">
        <v>61</v>
      </c>
      <c r="I220" s="364">
        <f t="shared" si="10"/>
        <v>0</v>
      </c>
      <c r="J220" s="365">
        <f t="shared" si="9"/>
        <v>0</v>
      </c>
      <c r="K220" s="366">
        <f t="shared" si="11"/>
        <v>6</v>
      </c>
      <c r="L220" s="366">
        <f>+IF((C220&gt;='Resultats - informe'!$E$16)*(C220&lt;='Resultats - informe'!$G$16),1,0)</f>
        <v>1</v>
      </c>
      <c r="M220" s="366" cm="1">
        <f t="array" ref="M220">+_xlfn.IFS((C220&gt;='Resultats - informe'!$D$26)*(C220&lt;='Resultats - informe'!$E$26),0,(C220&gt;='Resultats - informe'!$D$27)*(C220&lt;='Resultats - informe'!$E$27),0,(C220&gt;='Resultats - informe'!$D$28)*(C220&lt;='Resultats - informe'!$E$28),0,(C220&gt;='Resultats - informe'!$D$29)*(C220&lt;='Resultats - informe'!$E$29),0,1,1)</f>
        <v>0</v>
      </c>
      <c r="N220" s="366">
        <f>+VLOOKUP(D220,'Resultats - informe'!$Y$18:$AG$42,'Introducció dades consum'!K220+1,0)</f>
        <v>0</v>
      </c>
      <c r="O220" s="367" cm="1">
        <f t="array" ref="O220">+_xlfn.SWITCH(MONTH(C220),1,1,2,1,3,1,4,2,5,2,6,3,7,3,8,3,9,3,10,2,11,2,12,1,2)</f>
        <v>1</v>
      </c>
      <c r="P220" s="43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</row>
    <row r="221" spans="1:73" ht="18" x14ac:dyDescent="0.35">
      <c r="A221" s="43"/>
      <c r="C221" s="393"/>
      <c r="E221" s="394"/>
      <c r="F221" s="394"/>
      <c r="G221" s="394"/>
      <c r="H221" s="8" t="s">
        <v>61</v>
      </c>
      <c r="I221" s="364">
        <f t="shared" si="10"/>
        <v>0</v>
      </c>
      <c r="J221" s="365">
        <f t="shared" si="9"/>
        <v>0</v>
      </c>
      <c r="K221" s="366">
        <f t="shared" si="11"/>
        <v>6</v>
      </c>
      <c r="L221" s="366">
        <f>+IF((C221&gt;='Resultats - informe'!$E$16)*(C221&lt;='Resultats - informe'!$G$16),1,0)</f>
        <v>1</v>
      </c>
      <c r="M221" s="366" cm="1">
        <f t="array" ref="M221">+_xlfn.IFS((C221&gt;='Resultats - informe'!$D$26)*(C221&lt;='Resultats - informe'!$E$26),0,(C221&gt;='Resultats - informe'!$D$27)*(C221&lt;='Resultats - informe'!$E$27),0,(C221&gt;='Resultats - informe'!$D$28)*(C221&lt;='Resultats - informe'!$E$28),0,(C221&gt;='Resultats - informe'!$D$29)*(C221&lt;='Resultats - informe'!$E$29),0,1,1)</f>
        <v>0</v>
      </c>
      <c r="N221" s="366">
        <f>+VLOOKUP(D221,'Resultats - informe'!$Y$18:$AG$42,'Introducció dades consum'!K221+1,0)</f>
        <v>0</v>
      </c>
      <c r="O221" s="367" cm="1">
        <f t="array" ref="O221">+_xlfn.SWITCH(MONTH(C221),1,1,2,1,3,1,4,2,5,2,6,3,7,3,8,3,9,3,10,2,11,2,12,1,2)</f>
        <v>1</v>
      </c>
      <c r="P221" s="43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</row>
    <row r="222" spans="1:73" ht="18" x14ac:dyDescent="0.35">
      <c r="A222" s="43"/>
      <c r="C222" s="393"/>
      <c r="E222" s="394"/>
      <c r="F222" s="394"/>
      <c r="G222" s="394"/>
      <c r="H222" s="8" t="s">
        <v>61</v>
      </c>
      <c r="I222" s="364">
        <f t="shared" si="10"/>
        <v>0</v>
      </c>
      <c r="J222" s="365">
        <f t="shared" si="9"/>
        <v>0</v>
      </c>
      <c r="K222" s="366">
        <f t="shared" si="11"/>
        <v>6</v>
      </c>
      <c r="L222" s="366">
        <f>+IF((C222&gt;='Resultats - informe'!$E$16)*(C222&lt;='Resultats - informe'!$G$16),1,0)</f>
        <v>1</v>
      </c>
      <c r="M222" s="366" cm="1">
        <f t="array" ref="M222">+_xlfn.IFS((C222&gt;='Resultats - informe'!$D$26)*(C222&lt;='Resultats - informe'!$E$26),0,(C222&gt;='Resultats - informe'!$D$27)*(C222&lt;='Resultats - informe'!$E$27),0,(C222&gt;='Resultats - informe'!$D$28)*(C222&lt;='Resultats - informe'!$E$28),0,(C222&gt;='Resultats - informe'!$D$29)*(C222&lt;='Resultats - informe'!$E$29),0,1,1)</f>
        <v>0</v>
      </c>
      <c r="N222" s="366">
        <f>+VLOOKUP(D222,'Resultats - informe'!$Y$18:$AG$42,'Introducció dades consum'!K222+1,0)</f>
        <v>0</v>
      </c>
      <c r="O222" s="367" cm="1">
        <f t="array" ref="O222">+_xlfn.SWITCH(MONTH(C222),1,1,2,1,3,1,4,2,5,2,6,3,7,3,8,3,9,3,10,2,11,2,12,1,2)</f>
        <v>1</v>
      </c>
      <c r="P222" s="43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</row>
    <row r="223" spans="1:73" ht="18" x14ac:dyDescent="0.35">
      <c r="A223" s="43"/>
      <c r="C223" s="393"/>
      <c r="E223" s="394"/>
      <c r="F223" s="394"/>
      <c r="G223" s="394"/>
      <c r="H223" s="8" t="s">
        <v>61</v>
      </c>
      <c r="I223" s="364">
        <f t="shared" si="10"/>
        <v>0</v>
      </c>
      <c r="J223" s="365">
        <f t="shared" si="9"/>
        <v>0</v>
      </c>
      <c r="K223" s="366">
        <f t="shared" si="11"/>
        <v>6</v>
      </c>
      <c r="L223" s="366">
        <f>+IF((C223&gt;='Resultats - informe'!$E$16)*(C223&lt;='Resultats - informe'!$G$16),1,0)</f>
        <v>1</v>
      </c>
      <c r="M223" s="366" cm="1">
        <f t="array" ref="M223">+_xlfn.IFS((C223&gt;='Resultats - informe'!$D$26)*(C223&lt;='Resultats - informe'!$E$26),0,(C223&gt;='Resultats - informe'!$D$27)*(C223&lt;='Resultats - informe'!$E$27),0,(C223&gt;='Resultats - informe'!$D$28)*(C223&lt;='Resultats - informe'!$E$28),0,(C223&gt;='Resultats - informe'!$D$29)*(C223&lt;='Resultats - informe'!$E$29),0,1,1)</f>
        <v>0</v>
      </c>
      <c r="N223" s="366">
        <f>+VLOOKUP(D223,'Resultats - informe'!$Y$18:$AG$42,'Introducció dades consum'!K223+1,0)</f>
        <v>0</v>
      </c>
      <c r="O223" s="367" cm="1">
        <f t="array" ref="O223">+_xlfn.SWITCH(MONTH(C223),1,1,2,1,3,1,4,2,5,2,6,3,7,3,8,3,9,3,10,2,11,2,12,1,2)</f>
        <v>1</v>
      </c>
      <c r="P223" s="43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</row>
    <row r="224" spans="1:73" ht="18" x14ac:dyDescent="0.35">
      <c r="A224" s="43"/>
      <c r="C224" s="393"/>
      <c r="E224" s="394"/>
      <c r="F224" s="394"/>
      <c r="G224" s="394"/>
      <c r="H224" s="8" t="s">
        <v>61</v>
      </c>
      <c r="I224" s="364">
        <f t="shared" si="10"/>
        <v>0</v>
      </c>
      <c r="J224" s="365">
        <f t="shared" si="9"/>
        <v>0</v>
      </c>
      <c r="K224" s="366">
        <f t="shared" si="11"/>
        <v>6</v>
      </c>
      <c r="L224" s="366">
        <f>+IF((C224&gt;='Resultats - informe'!$E$16)*(C224&lt;='Resultats - informe'!$G$16),1,0)</f>
        <v>1</v>
      </c>
      <c r="M224" s="366" cm="1">
        <f t="array" ref="M224">+_xlfn.IFS((C224&gt;='Resultats - informe'!$D$26)*(C224&lt;='Resultats - informe'!$E$26),0,(C224&gt;='Resultats - informe'!$D$27)*(C224&lt;='Resultats - informe'!$E$27),0,(C224&gt;='Resultats - informe'!$D$28)*(C224&lt;='Resultats - informe'!$E$28),0,(C224&gt;='Resultats - informe'!$D$29)*(C224&lt;='Resultats - informe'!$E$29),0,1,1)</f>
        <v>0</v>
      </c>
      <c r="N224" s="366">
        <f>+VLOOKUP(D224,'Resultats - informe'!$Y$18:$AG$42,'Introducció dades consum'!K224+1,0)</f>
        <v>0</v>
      </c>
      <c r="O224" s="367" cm="1">
        <f t="array" ref="O224">+_xlfn.SWITCH(MONTH(C224),1,1,2,1,3,1,4,2,5,2,6,3,7,3,8,3,9,3,10,2,11,2,12,1,2)</f>
        <v>1</v>
      </c>
      <c r="P224" s="43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</row>
    <row r="225" spans="1:73" ht="18" x14ac:dyDescent="0.35">
      <c r="A225" s="43"/>
      <c r="C225" s="393"/>
      <c r="E225" s="394"/>
      <c r="F225" s="394"/>
      <c r="G225" s="394"/>
      <c r="H225" s="8" t="s">
        <v>61</v>
      </c>
      <c r="I225" s="364">
        <f t="shared" si="10"/>
        <v>0</v>
      </c>
      <c r="J225" s="365">
        <f t="shared" si="9"/>
        <v>0</v>
      </c>
      <c r="K225" s="366">
        <f t="shared" si="11"/>
        <v>6</v>
      </c>
      <c r="L225" s="366">
        <f>+IF((C225&gt;='Resultats - informe'!$E$16)*(C225&lt;='Resultats - informe'!$G$16),1,0)</f>
        <v>1</v>
      </c>
      <c r="M225" s="366" cm="1">
        <f t="array" ref="M225">+_xlfn.IFS((C225&gt;='Resultats - informe'!$D$26)*(C225&lt;='Resultats - informe'!$E$26),0,(C225&gt;='Resultats - informe'!$D$27)*(C225&lt;='Resultats - informe'!$E$27),0,(C225&gt;='Resultats - informe'!$D$28)*(C225&lt;='Resultats - informe'!$E$28),0,(C225&gt;='Resultats - informe'!$D$29)*(C225&lt;='Resultats - informe'!$E$29),0,1,1)</f>
        <v>0</v>
      </c>
      <c r="N225" s="366">
        <f>+VLOOKUP(D225,'Resultats - informe'!$Y$18:$AG$42,'Introducció dades consum'!K225+1,0)</f>
        <v>0</v>
      </c>
      <c r="O225" s="367" cm="1">
        <f t="array" ref="O225">+_xlfn.SWITCH(MONTH(C225),1,1,2,1,3,1,4,2,5,2,6,3,7,3,8,3,9,3,10,2,11,2,12,1,2)</f>
        <v>1</v>
      </c>
      <c r="P225" s="43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</row>
    <row r="226" spans="1:73" ht="18" x14ac:dyDescent="0.35">
      <c r="A226" s="43"/>
      <c r="C226" s="393"/>
      <c r="E226" s="394"/>
      <c r="F226" s="394"/>
      <c r="G226" s="394"/>
      <c r="H226" s="8" t="s">
        <v>61</v>
      </c>
      <c r="I226" s="364">
        <f t="shared" si="10"/>
        <v>0</v>
      </c>
      <c r="J226" s="365">
        <f t="shared" si="9"/>
        <v>0</v>
      </c>
      <c r="K226" s="366">
        <f t="shared" si="11"/>
        <v>6</v>
      </c>
      <c r="L226" s="366">
        <f>+IF((C226&gt;='Resultats - informe'!$E$16)*(C226&lt;='Resultats - informe'!$G$16),1,0)</f>
        <v>1</v>
      </c>
      <c r="M226" s="366" cm="1">
        <f t="array" ref="M226">+_xlfn.IFS((C226&gt;='Resultats - informe'!$D$26)*(C226&lt;='Resultats - informe'!$E$26),0,(C226&gt;='Resultats - informe'!$D$27)*(C226&lt;='Resultats - informe'!$E$27),0,(C226&gt;='Resultats - informe'!$D$28)*(C226&lt;='Resultats - informe'!$E$28),0,(C226&gt;='Resultats - informe'!$D$29)*(C226&lt;='Resultats - informe'!$E$29),0,1,1)</f>
        <v>0</v>
      </c>
      <c r="N226" s="366">
        <f>+VLOOKUP(D226,'Resultats - informe'!$Y$18:$AG$42,'Introducció dades consum'!K226+1,0)</f>
        <v>0</v>
      </c>
      <c r="O226" s="367" cm="1">
        <f t="array" ref="O226">+_xlfn.SWITCH(MONTH(C226),1,1,2,1,3,1,4,2,5,2,6,3,7,3,8,3,9,3,10,2,11,2,12,1,2)</f>
        <v>1</v>
      </c>
      <c r="P226" s="43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</row>
    <row r="227" spans="1:73" ht="18" x14ac:dyDescent="0.35">
      <c r="A227" s="43"/>
      <c r="C227" s="393"/>
      <c r="E227" s="394"/>
      <c r="F227" s="394"/>
      <c r="G227" s="394"/>
      <c r="H227" s="8" t="s">
        <v>61</v>
      </c>
      <c r="I227" s="364">
        <f t="shared" si="10"/>
        <v>0</v>
      </c>
      <c r="J227" s="365">
        <f t="shared" si="9"/>
        <v>0</v>
      </c>
      <c r="K227" s="366">
        <f t="shared" si="11"/>
        <v>6</v>
      </c>
      <c r="L227" s="366">
        <f>+IF((C227&gt;='Resultats - informe'!$E$16)*(C227&lt;='Resultats - informe'!$G$16),1,0)</f>
        <v>1</v>
      </c>
      <c r="M227" s="366" cm="1">
        <f t="array" ref="M227">+_xlfn.IFS((C227&gt;='Resultats - informe'!$D$26)*(C227&lt;='Resultats - informe'!$E$26),0,(C227&gt;='Resultats - informe'!$D$27)*(C227&lt;='Resultats - informe'!$E$27),0,(C227&gt;='Resultats - informe'!$D$28)*(C227&lt;='Resultats - informe'!$E$28),0,(C227&gt;='Resultats - informe'!$D$29)*(C227&lt;='Resultats - informe'!$E$29),0,1,1)</f>
        <v>0</v>
      </c>
      <c r="N227" s="366">
        <f>+VLOOKUP(D227,'Resultats - informe'!$Y$18:$AG$42,'Introducció dades consum'!K227+1,0)</f>
        <v>0</v>
      </c>
      <c r="O227" s="367" cm="1">
        <f t="array" ref="O227">+_xlfn.SWITCH(MONTH(C227),1,1,2,1,3,1,4,2,5,2,6,3,7,3,8,3,9,3,10,2,11,2,12,1,2)</f>
        <v>1</v>
      </c>
      <c r="P227" s="43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</row>
    <row r="228" spans="1:73" ht="18" x14ac:dyDescent="0.35">
      <c r="A228" s="43"/>
      <c r="C228" s="393"/>
      <c r="E228" s="394"/>
      <c r="F228" s="394"/>
      <c r="G228" s="394"/>
      <c r="H228" s="8" t="s">
        <v>61</v>
      </c>
      <c r="I228" s="364">
        <f t="shared" si="10"/>
        <v>0</v>
      </c>
      <c r="J228" s="365">
        <f t="shared" si="9"/>
        <v>0</v>
      </c>
      <c r="K228" s="366">
        <f t="shared" si="11"/>
        <v>6</v>
      </c>
      <c r="L228" s="366">
        <f>+IF((C228&gt;='Resultats - informe'!$E$16)*(C228&lt;='Resultats - informe'!$G$16),1,0)</f>
        <v>1</v>
      </c>
      <c r="M228" s="366" cm="1">
        <f t="array" ref="M228">+_xlfn.IFS((C228&gt;='Resultats - informe'!$D$26)*(C228&lt;='Resultats - informe'!$E$26),0,(C228&gt;='Resultats - informe'!$D$27)*(C228&lt;='Resultats - informe'!$E$27),0,(C228&gt;='Resultats - informe'!$D$28)*(C228&lt;='Resultats - informe'!$E$28),0,(C228&gt;='Resultats - informe'!$D$29)*(C228&lt;='Resultats - informe'!$E$29),0,1,1)</f>
        <v>0</v>
      </c>
      <c r="N228" s="366">
        <f>+VLOOKUP(D228,'Resultats - informe'!$Y$18:$AG$42,'Introducció dades consum'!K228+1,0)</f>
        <v>0</v>
      </c>
      <c r="O228" s="367" cm="1">
        <f t="array" ref="O228">+_xlfn.SWITCH(MONTH(C228),1,1,2,1,3,1,4,2,5,2,6,3,7,3,8,3,9,3,10,2,11,2,12,1,2)</f>
        <v>1</v>
      </c>
      <c r="P228" s="43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</row>
    <row r="229" spans="1:73" ht="18" x14ac:dyDescent="0.35">
      <c r="A229" s="43"/>
      <c r="C229" s="393"/>
      <c r="E229" s="394"/>
      <c r="F229" s="394"/>
      <c r="G229" s="394"/>
      <c r="H229" s="8" t="s">
        <v>61</v>
      </c>
      <c r="I229" s="364">
        <f t="shared" si="10"/>
        <v>0</v>
      </c>
      <c r="J229" s="365">
        <f t="shared" si="9"/>
        <v>0</v>
      </c>
      <c r="K229" s="366">
        <f t="shared" si="11"/>
        <v>6</v>
      </c>
      <c r="L229" s="366">
        <f>+IF((C229&gt;='Resultats - informe'!$E$16)*(C229&lt;='Resultats - informe'!$G$16),1,0)</f>
        <v>1</v>
      </c>
      <c r="M229" s="366" cm="1">
        <f t="array" ref="M229">+_xlfn.IFS((C229&gt;='Resultats - informe'!$D$26)*(C229&lt;='Resultats - informe'!$E$26),0,(C229&gt;='Resultats - informe'!$D$27)*(C229&lt;='Resultats - informe'!$E$27),0,(C229&gt;='Resultats - informe'!$D$28)*(C229&lt;='Resultats - informe'!$E$28),0,(C229&gt;='Resultats - informe'!$D$29)*(C229&lt;='Resultats - informe'!$E$29),0,1,1)</f>
        <v>0</v>
      </c>
      <c r="N229" s="366">
        <f>+VLOOKUP(D229,'Resultats - informe'!$Y$18:$AG$42,'Introducció dades consum'!K229+1,0)</f>
        <v>0</v>
      </c>
      <c r="O229" s="367" cm="1">
        <f t="array" ref="O229">+_xlfn.SWITCH(MONTH(C229),1,1,2,1,3,1,4,2,5,2,6,3,7,3,8,3,9,3,10,2,11,2,12,1,2)</f>
        <v>1</v>
      </c>
      <c r="P229" s="43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</row>
    <row r="230" spans="1:73" ht="18" x14ac:dyDescent="0.35">
      <c r="A230" s="43"/>
      <c r="C230" s="393"/>
      <c r="E230" s="394"/>
      <c r="F230" s="394"/>
      <c r="G230" s="394"/>
      <c r="H230" s="8" t="s">
        <v>61</v>
      </c>
      <c r="I230" s="364">
        <f t="shared" si="10"/>
        <v>0</v>
      </c>
      <c r="J230" s="365">
        <f t="shared" si="9"/>
        <v>0</v>
      </c>
      <c r="K230" s="366">
        <f t="shared" si="11"/>
        <v>6</v>
      </c>
      <c r="L230" s="366">
        <f>+IF((C230&gt;='Resultats - informe'!$E$16)*(C230&lt;='Resultats - informe'!$G$16),1,0)</f>
        <v>1</v>
      </c>
      <c r="M230" s="366" cm="1">
        <f t="array" ref="M230">+_xlfn.IFS((C230&gt;='Resultats - informe'!$D$26)*(C230&lt;='Resultats - informe'!$E$26),0,(C230&gt;='Resultats - informe'!$D$27)*(C230&lt;='Resultats - informe'!$E$27),0,(C230&gt;='Resultats - informe'!$D$28)*(C230&lt;='Resultats - informe'!$E$28),0,(C230&gt;='Resultats - informe'!$D$29)*(C230&lt;='Resultats - informe'!$E$29),0,1,1)</f>
        <v>0</v>
      </c>
      <c r="N230" s="366">
        <f>+VLOOKUP(D230,'Resultats - informe'!$Y$18:$AG$42,'Introducció dades consum'!K230+1,0)</f>
        <v>0</v>
      </c>
      <c r="O230" s="367" cm="1">
        <f t="array" ref="O230">+_xlfn.SWITCH(MONTH(C230),1,1,2,1,3,1,4,2,5,2,6,3,7,3,8,3,9,3,10,2,11,2,12,1,2)</f>
        <v>1</v>
      </c>
      <c r="P230" s="43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</row>
    <row r="231" spans="1:73" ht="18" x14ac:dyDescent="0.35">
      <c r="A231" s="43"/>
      <c r="C231" s="393"/>
      <c r="E231" s="394"/>
      <c r="F231" s="394"/>
      <c r="G231" s="394"/>
      <c r="H231" s="8" t="s">
        <v>61</v>
      </c>
      <c r="I231" s="364">
        <f t="shared" si="10"/>
        <v>0</v>
      </c>
      <c r="J231" s="365">
        <f t="shared" si="9"/>
        <v>0</v>
      </c>
      <c r="K231" s="366">
        <f t="shared" si="11"/>
        <v>6</v>
      </c>
      <c r="L231" s="366">
        <f>+IF((C231&gt;='Resultats - informe'!$E$16)*(C231&lt;='Resultats - informe'!$G$16),1,0)</f>
        <v>1</v>
      </c>
      <c r="M231" s="366" cm="1">
        <f t="array" ref="M231">+_xlfn.IFS((C231&gt;='Resultats - informe'!$D$26)*(C231&lt;='Resultats - informe'!$E$26),0,(C231&gt;='Resultats - informe'!$D$27)*(C231&lt;='Resultats - informe'!$E$27),0,(C231&gt;='Resultats - informe'!$D$28)*(C231&lt;='Resultats - informe'!$E$28),0,(C231&gt;='Resultats - informe'!$D$29)*(C231&lt;='Resultats - informe'!$E$29),0,1,1)</f>
        <v>0</v>
      </c>
      <c r="N231" s="366">
        <f>+VLOOKUP(D231,'Resultats - informe'!$Y$18:$AG$42,'Introducció dades consum'!K231+1,0)</f>
        <v>0</v>
      </c>
      <c r="O231" s="367" cm="1">
        <f t="array" ref="O231">+_xlfn.SWITCH(MONTH(C231),1,1,2,1,3,1,4,2,5,2,6,3,7,3,8,3,9,3,10,2,11,2,12,1,2)</f>
        <v>1</v>
      </c>
      <c r="P231" s="43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</row>
    <row r="232" spans="1:73" ht="18" x14ac:dyDescent="0.35">
      <c r="A232" s="43"/>
      <c r="C232" s="393"/>
      <c r="E232" s="394"/>
      <c r="F232" s="394"/>
      <c r="G232" s="394"/>
      <c r="H232" s="8" t="s">
        <v>61</v>
      </c>
      <c r="I232" s="364">
        <f t="shared" si="10"/>
        <v>0</v>
      </c>
      <c r="J232" s="365">
        <f t="shared" si="9"/>
        <v>0</v>
      </c>
      <c r="K232" s="366">
        <f t="shared" si="11"/>
        <v>6</v>
      </c>
      <c r="L232" s="366">
        <f>+IF((C232&gt;='Resultats - informe'!$E$16)*(C232&lt;='Resultats - informe'!$G$16),1,0)</f>
        <v>1</v>
      </c>
      <c r="M232" s="366" cm="1">
        <f t="array" ref="M232">+_xlfn.IFS((C232&gt;='Resultats - informe'!$D$26)*(C232&lt;='Resultats - informe'!$E$26),0,(C232&gt;='Resultats - informe'!$D$27)*(C232&lt;='Resultats - informe'!$E$27),0,(C232&gt;='Resultats - informe'!$D$28)*(C232&lt;='Resultats - informe'!$E$28),0,(C232&gt;='Resultats - informe'!$D$29)*(C232&lt;='Resultats - informe'!$E$29),0,1,1)</f>
        <v>0</v>
      </c>
      <c r="N232" s="366">
        <f>+VLOOKUP(D232,'Resultats - informe'!$Y$18:$AG$42,'Introducció dades consum'!K232+1,0)</f>
        <v>0</v>
      </c>
      <c r="O232" s="367" cm="1">
        <f t="array" ref="O232">+_xlfn.SWITCH(MONTH(C232),1,1,2,1,3,1,4,2,5,2,6,3,7,3,8,3,9,3,10,2,11,2,12,1,2)</f>
        <v>1</v>
      </c>
      <c r="P232" s="43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</row>
    <row r="233" spans="1:73" ht="18" x14ac:dyDescent="0.35">
      <c r="A233" s="43"/>
      <c r="C233" s="393"/>
      <c r="E233" s="394"/>
      <c r="F233" s="394"/>
      <c r="G233" s="394"/>
      <c r="H233" s="8" t="s">
        <v>61</v>
      </c>
      <c r="I233" s="364">
        <f t="shared" si="10"/>
        <v>0</v>
      </c>
      <c r="J233" s="365">
        <f t="shared" si="9"/>
        <v>0</v>
      </c>
      <c r="K233" s="366">
        <f t="shared" si="11"/>
        <v>6</v>
      </c>
      <c r="L233" s="366">
        <f>+IF((C233&gt;='Resultats - informe'!$E$16)*(C233&lt;='Resultats - informe'!$G$16),1,0)</f>
        <v>1</v>
      </c>
      <c r="M233" s="366" cm="1">
        <f t="array" ref="M233">+_xlfn.IFS((C233&gt;='Resultats - informe'!$D$26)*(C233&lt;='Resultats - informe'!$E$26),0,(C233&gt;='Resultats - informe'!$D$27)*(C233&lt;='Resultats - informe'!$E$27),0,(C233&gt;='Resultats - informe'!$D$28)*(C233&lt;='Resultats - informe'!$E$28),0,(C233&gt;='Resultats - informe'!$D$29)*(C233&lt;='Resultats - informe'!$E$29),0,1,1)</f>
        <v>0</v>
      </c>
      <c r="N233" s="366">
        <f>+VLOOKUP(D233,'Resultats - informe'!$Y$18:$AG$42,'Introducció dades consum'!K233+1,0)</f>
        <v>0</v>
      </c>
      <c r="O233" s="367" cm="1">
        <f t="array" ref="O233">+_xlfn.SWITCH(MONTH(C233),1,1,2,1,3,1,4,2,5,2,6,3,7,3,8,3,9,3,10,2,11,2,12,1,2)</f>
        <v>1</v>
      </c>
      <c r="P233" s="43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</row>
    <row r="234" spans="1:73" ht="18" x14ac:dyDescent="0.35">
      <c r="A234" s="43"/>
      <c r="C234" s="393"/>
      <c r="E234" s="394"/>
      <c r="F234" s="394"/>
      <c r="G234" s="394"/>
      <c r="H234" s="8" t="s">
        <v>61</v>
      </c>
      <c r="I234" s="364">
        <f t="shared" si="10"/>
        <v>0</v>
      </c>
      <c r="J234" s="365">
        <f t="shared" si="9"/>
        <v>0</v>
      </c>
      <c r="K234" s="366">
        <f t="shared" si="11"/>
        <v>6</v>
      </c>
      <c r="L234" s="366">
        <f>+IF((C234&gt;='Resultats - informe'!$E$16)*(C234&lt;='Resultats - informe'!$G$16),1,0)</f>
        <v>1</v>
      </c>
      <c r="M234" s="366" cm="1">
        <f t="array" ref="M234">+_xlfn.IFS((C234&gt;='Resultats - informe'!$D$26)*(C234&lt;='Resultats - informe'!$E$26),0,(C234&gt;='Resultats - informe'!$D$27)*(C234&lt;='Resultats - informe'!$E$27),0,(C234&gt;='Resultats - informe'!$D$28)*(C234&lt;='Resultats - informe'!$E$28),0,(C234&gt;='Resultats - informe'!$D$29)*(C234&lt;='Resultats - informe'!$E$29),0,1,1)</f>
        <v>0</v>
      </c>
      <c r="N234" s="366">
        <f>+VLOOKUP(D234,'Resultats - informe'!$Y$18:$AG$42,'Introducció dades consum'!K234+1,0)</f>
        <v>0</v>
      </c>
      <c r="O234" s="367" cm="1">
        <f t="array" ref="O234">+_xlfn.SWITCH(MONTH(C234),1,1,2,1,3,1,4,2,5,2,6,3,7,3,8,3,9,3,10,2,11,2,12,1,2)</f>
        <v>1</v>
      </c>
      <c r="P234" s="43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</row>
    <row r="235" spans="1:73" ht="18" x14ac:dyDescent="0.35">
      <c r="A235" s="43"/>
      <c r="C235" s="393"/>
      <c r="E235" s="394"/>
      <c r="F235" s="394"/>
      <c r="G235" s="394"/>
      <c r="H235" s="8" t="s">
        <v>61</v>
      </c>
      <c r="I235" s="364">
        <f t="shared" si="10"/>
        <v>0</v>
      </c>
      <c r="J235" s="365">
        <f t="shared" si="9"/>
        <v>0</v>
      </c>
      <c r="K235" s="366">
        <f t="shared" si="11"/>
        <v>6</v>
      </c>
      <c r="L235" s="366">
        <f>+IF((C235&gt;='Resultats - informe'!$E$16)*(C235&lt;='Resultats - informe'!$G$16),1,0)</f>
        <v>1</v>
      </c>
      <c r="M235" s="366" cm="1">
        <f t="array" ref="M235">+_xlfn.IFS((C235&gt;='Resultats - informe'!$D$26)*(C235&lt;='Resultats - informe'!$E$26),0,(C235&gt;='Resultats - informe'!$D$27)*(C235&lt;='Resultats - informe'!$E$27),0,(C235&gt;='Resultats - informe'!$D$28)*(C235&lt;='Resultats - informe'!$E$28),0,(C235&gt;='Resultats - informe'!$D$29)*(C235&lt;='Resultats - informe'!$E$29),0,1,1)</f>
        <v>0</v>
      </c>
      <c r="N235" s="366">
        <f>+VLOOKUP(D235,'Resultats - informe'!$Y$18:$AG$42,'Introducció dades consum'!K235+1,0)</f>
        <v>0</v>
      </c>
      <c r="O235" s="367" cm="1">
        <f t="array" ref="O235">+_xlfn.SWITCH(MONTH(C235),1,1,2,1,3,1,4,2,5,2,6,3,7,3,8,3,9,3,10,2,11,2,12,1,2)</f>
        <v>1</v>
      </c>
      <c r="P235" s="43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</row>
    <row r="236" spans="1:73" ht="18" x14ac:dyDescent="0.35">
      <c r="A236" s="43"/>
      <c r="C236" s="393"/>
      <c r="E236" s="394"/>
      <c r="F236" s="394"/>
      <c r="G236" s="394"/>
      <c r="H236" s="8" t="s">
        <v>61</v>
      </c>
      <c r="I236" s="364">
        <f t="shared" si="10"/>
        <v>0</v>
      </c>
      <c r="J236" s="365">
        <f t="shared" si="9"/>
        <v>0</v>
      </c>
      <c r="K236" s="366">
        <f t="shared" si="11"/>
        <v>6</v>
      </c>
      <c r="L236" s="366">
        <f>+IF((C236&gt;='Resultats - informe'!$E$16)*(C236&lt;='Resultats - informe'!$G$16),1,0)</f>
        <v>1</v>
      </c>
      <c r="M236" s="366" cm="1">
        <f t="array" ref="M236">+_xlfn.IFS((C236&gt;='Resultats - informe'!$D$26)*(C236&lt;='Resultats - informe'!$E$26),0,(C236&gt;='Resultats - informe'!$D$27)*(C236&lt;='Resultats - informe'!$E$27),0,(C236&gt;='Resultats - informe'!$D$28)*(C236&lt;='Resultats - informe'!$E$28),0,(C236&gt;='Resultats - informe'!$D$29)*(C236&lt;='Resultats - informe'!$E$29),0,1,1)</f>
        <v>0</v>
      </c>
      <c r="N236" s="366">
        <f>+VLOOKUP(D236,'Resultats - informe'!$Y$18:$AG$42,'Introducció dades consum'!K236+1,0)</f>
        <v>0</v>
      </c>
      <c r="O236" s="367" cm="1">
        <f t="array" ref="O236">+_xlfn.SWITCH(MONTH(C236),1,1,2,1,3,1,4,2,5,2,6,3,7,3,8,3,9,3,10,2,11,2,12,1,2)</f>
        <v>1</v>
      </c>
      <c r="P236" s="43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</row>
    <row r="237" spans="1:73" ht="18" x14ac:dyDescent="0.35">
      <c r="A237" s="43"/>
      <c r="C237" s="393"/>
      <c r="E237" s="394"/>
      <c r="F237" s="394"/>
      <c r="G237" s="394"/>
      <c r="H237" s="8" t="s">
        <v>61</v>
      </c>
      <c r="I237" s="364">
        <f t="shared" si="10"/>
        <v>0</v>
      </c>
      <c r="J237" s="365">
        <f t="shared" si="9"/>
        <v>0</v>
      </c>
      <c r="K237" s="366">
        <f t="shared" si="11"/>
        <v>6</v>
      </c>
      <c r="L237" s="366">
        <f>+IF((C237&gt;='Resultats - informe'!$E$16)*(C237&lt;='Resultats - informe'!$G$16),1,0)</f>
        <v>1</v>
      </c>
      <c r="M237" s="366" cm="1">
        <f t="array" ref="M237">+_xlfn.IFS((C237&gt;='Resultats - informe'!$D$26)*(C237&lt;='Resultats - informe'!$E$26),0,(C237&gt;='Resultats - informe'!$D$27)*(C237&lt;='Resultats - informe'!$E$27),0,(C237&gt;='Resultats - informe'!$D$28)*(C237&lt;='Resultats - informe'!$E$28),0,(C237&gt;='Resultats - informe'!$D$29)*(C237&lt;='Resultats - informe'!$E$29),0,1,1)</f>
        <v>0</v>
      </c>
      <c r="N237" s="366">
        <f>+VLOOKUP(D237,'Resultats - informe'!$Y$18:$AG$42,'Introducció dades consum'!K237+1,0)</f>
        <v>0</v>
      </c>
      <c r="O237" s="367" cm="1">
        <f t="array" ref="O237">+_xlfn.SWITCH(MONTH(C237),1,1,2,1,3,1,4,2,5,2,6,3,7,3,8,3,9,3,10,2,11,2,12,1,2)</f>
        <v>1</v>
      </c>
      <c r="P237" s="43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</row>
    <row r="238" spans="1:73" ht="18" x14ac:dyDescent="0.35">
      <c r="A238" s="43"/>
      <c r="C238" s="393"/>
      <c r="E238" s="394"/>
      <c r="F238" s="394"/>
      <c r="G238" s="394"/>
      <c r="H238" s="8" t="s">
        <v>61</v>
      </c>
      <c r="I238" s="364">
        <f t="shared" si="10"/>
        <v>0</v>
      </c>
      <c r="J238" s="365">
        <f t="shared" si="9"/>
        <v>0</v>
      </c>
      <c r="K238" s="366">
        <f t="shared" si="11"/>
        <v>6</v>
      </c>
      <c r="L238" s="366">
        <f>+IF((C238&gt;='Resultats - informe'!$E$16)*(C238&lt;='Resultats - informe'!$G$16),1,0)</f>
        <v>1</v>
      </c>
      <c r="M238" s="366" cm="1">
        <f t="array" ref="M238">+_xlfn.IFS((C238&gt;='Resultats - informe'!$D$26)*(C238&lt;='Resultats - informe'!$E$26),0,(C238&gt;='Resultats - informe'!$D$27)*(C238&lt;='Resultats - informe'!$E$27),0,(C238&gt;='Resultats - informe'!$D$28)*(C238&lt;='Resultats - informe'!$E$28),0,(C238&gt;='Resultats - informe'!$D$29)*(C238&lt;='Resultats - informe'!$E$29),0,1,1)</f>
        <v>0</v>
      </c>
      <c r="N238" s="366">
        <f>+VLOOKUP(D238,'Resultats - informe'!$Y$18:$AG$42,'Introducció dades consum'!K238+1,0)</f>
        <v>0</v>
      </c>
      <c r="O238" s="367" cm="1">
        <f t="array" ref="O238">+_xlfn.SWITCH(MONTH(C238),1,1,2,1,3,1,4,2,5,2,6,3,7,3,8,3,9,3,10,2,11,2,12,1,2)</f>
        <v>1</v>
      </c>
      <c r="P238" s="43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</row>
    <row r="239" spans="1:73" ht="18" x14ac:dyDescent="0.35">
      <c r="A239" s="43"/>
      <c r="C239" s="393"/>
      <c r="E239" s="394"/>
      <c r="F239" s="394"/>
      <c r="G239" s="394"/>
      <c r="H239" s="8" t="s">
        <v>61</v>
      </c>
      <c r="I239" s="364">
        <f t="shared" si="10"/>
        <v>0</v>
      </c>
      <c r="J239" s="365">
        <f t="shared" si="9"/>
        <v>0</v>
      </c>
      <c r="K239" s="366">
        <f t="shared" si="11"/>
        <v>6</v>
      </c>
      <c r="L239" s="366">
        <f>+IF((C239&gt;='Resultats - informe'!$E$16)*(C239&lt;='Resultats - informe'!$G$16),1,0)</f>
        <v>1</v>
      </c>
      <c r="M239" s="366" cm="1">
        <f t="array" ref="M239">+_xlfn.IFS((C239&gt;='Resultats - informe'!$D$26)*(C239&lt;='Resultats - informe'!$E$26),0,(C239&gt;='Resultats - informe'!$D$27)*(C239&lt;='Resultats - informe'!$E$27),0,(C239&gt;='Resultats - informe'!$D$28)*(C239&lt;='Resultats - informe'!$E$28),0,(C239&gt;='Resultats - informe'!$D$29)*(C239&lt;='Resultats - informe'!$E$29),0,1,1)</f>
        <v>0</v>
      </c>
      <c r="N239" s="366">
        <f>+VLOOKUP(D239,'Resultats - informe'!$Y$18:$AG$42,'Introducció dades consum'!K239+1,0)</f>
        <v>0</v>
      </c>
      <c r="O239" s="367" cm="1">
        <f t="array" ref="O239">+_xlfn.SWITCH(MONTH(C239),1,1,2,1,3,1,4,2,5,2,6,3,7,3,8,3,9,3,10,2,11,2,12,1,2)</f>
        <v>1</v>
      </c>
      <c r="P239" s="43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</row>
    <row r="240" spans="1:73" ht="18" x14ac:dyDescent="0.35">
      <c r="A240" s="43"/>
      <c r="C240" s="393"/>
      <c r="E240" s="394"/>
      <c r="F240" s="394"/>
      <c r="G240" s="394"/>
      <c r="H240" s="8" t="s">
        <v>61</v>
      </c>
      <c r="I240" s="364">
        <f t="shared" si="10"/>
        <v>0</v>
      </c>
      <c r="J240" s="365">
        <f t="shared" si="9"/>
        <v>0</v>
      </c>
      <c r="K240" s="366">
        <f t="shared" si="11"/>
        <v>6</v>
      </c>
      <c r="L240" s="366">
        <f>+IF((C240&gt;='Resultats - informe'!$E$16)*(C240&lt;='Resultats - informe'!$G$16),1,0)</f>
        <v>1</v>
      </c>
      <c r="M240" s="366" cm="1">
        <f t="array" ref="M240">+_xlfn.IFS((C240&gt;='Resultats - informe'!$D$26)*(C240&lt;='Resultats - informe'!$E$26),0,(C240&gt;='Resultats - informe'!$D$27)*(C240&lt;='Resultats - informe'!$E$27),0,(C240&gt;='Resultats - informe'!$D$28)*(C240&lt;='Resultats - informe'!$E$28),0,(C240&gt;='Resultats - informe'!$D$29)*(C240&lt;='Resultats - informe'!$E$29),0,1,1)</f>
        <v>0</v>
      </c>
      <c r="N240" s="366">
        <f>+VLOOKUP(D240,'Resultats - informe'!$Y$18:$AG$42,'Introducció dades consum'!K240+1,0)</f>
        <v>0</v>
      </c>
      <c r="O240" s="367" cm="1">
        <f t="array" ref="O240">+_xlfn.SWITCH(MONTH(C240),1,1,2,1,3,1,4,2,5,2,6,3,7,3,8,3,9,3,10,2,11,2,12,1,2)</f>
        <v>1</v>
      </c>
      <c r="P240" s="43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</row>
    <row r="241" spans="1:73" ht="18" x14ac:dyDescent="0.35">
      <c r="A241" s="43"/>
      <c r="C241" s="393"/>
      <c r="E241" s="394"/>
      <c r="F241" s="394"/>
      <c r="G241" s="394"/>
      <c r="H241" s="8" t="s">
        <v>61</v>
      </c>
      <c r="I241" s="364">
        <f t="shared" si="10"/>
        <v>0</v>
      </c>
      <c r="J241" s="365">
        <f t="shared" si="9"/>
        <v>0</v>
      </c>
      <c r="K241" s="366">
        <f t="shared" si="11"/>
        <v>6</v>
      </c>
      <c r="L241" s="366">
        <f>+IF((C241&gt;='Resultats - informe'!$E$16)*(C241&lt;='Resultats - informe'!$G$16),1,0)</f>
        <v>1</v>
      </c>
      <c r="M241" s="366" cm="1">
        <f t="array" ref="M241">+_xlfn.IFS((C241&gt;='Resultats - informe'!$D$26)*(C241&lt;='Resultats - informe'!$E$26),0,(C241&gt;='Resultats - informe'!$D$27)*(C241&lt;='Resultats - informe'!$E$27),0,(C241&gt;='Resultats - informe'!$D$28)*(C241&lt;='Resultats - informe'!$E$28),0,(C241&gt;='Resultats - informe'!$D$29)*(C241&lt;='Resultats - informe'!$E$29),0,1,1)</f>
        <v>0</v>
      </c>
      <c r="N241" s="366">
        <f>+VLOOKUP(D241,'Resultats - informe'!$Y$18:$AG$42,'Introducció dades consum'!K241+1,0)</f>
        <v>0</v>
      </c>
      <c r="O241" s="367" cm="1">
        <f t="array" ref="O241">+_xlfn.SWITCH(MONTH(C241),1,1,2,1,3,1,4,2,5,2,6,3,7,3,8,3,9,3,10,2,11,2,12,1,2)</f>
        <v>1</v>
      </c>
      <c r="P241" s="43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</row>
    <row r="242" spans="1:73" ht="18" x14ac:dyDescent="0.35">
      <c r="A242" s="43"/>
      <c r="C242" s="393"/>
      <c r="E242" s="394"/>
      <c r="F242" s="394"/>
      <c r="G242" s="394"/>
      <c r="H242" s="8" t="s">
        <v>61</v>
      </c>
      <c r="I242" s="364">
        <f t="shared" si="10"/>
        <v>0</v>
      </c>
      <c r="J242" s="365">
        <f t="shared" si="9"/>
        <v>0</v>
      </c>
      <c r="K242" s="366">
        <f t="shared" si="11"/>
        <v>6</v>
      </c>
      <c r="L242" s="366">
        <f>+IF((C242&gt;='Resultats - informe'!$E$16)*(C242&lt;='Resultats - informe'!$G$16),1,0)</f>
        <v>1</v>
      </c>
      <c r="M242" s="366" cm="1">
        <f t="array" ref="M242">+_xlfn.IFS((C242&gt;='Resultats - informe'!$D$26)*(C242&lt;='Resultats - informe'!$E$26),0,(C242&gt;='Resultats - informe'!$D$27)*(C242&lt;='Resultats - informe'!$E$27),0,(C242&gt;='Resultats - informe'!$D$28)*(C242&lt;='Resultats - informe'!$E$28),0,(C242&gt;='Resultats - informe'!$D$29)*(C242&lt;='Resultats - informe'!$E$29),0,1,1)</f>
        <v>0</v>
      </c>
      <c r="N242" s="366">
        <f>+VLOOKUP(D242,'Resultats - informe'!$Y$18:$AG$42,'Introducció dades consum'!K242+1,0)</f>
        <v>0</v>
      </c>
      <c r="O242" s="367" cm="1">
        <f t="array" ref="O242">+_xlfn.SWITCH(MONTH(C242),1,1,2,1,3,1,4,2,5,2,6,3,7,3,8,3,9,3,10,2,11,2,12,1,2)</f>
        <v>1</v>
      </c>
      <c r="P242" s="43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</row>
    <row r="243" spans="1:73" ht="18" x14ac:dyDescent="0.35">
      <c r="A243" s="43"/>
      <c r="C243" s="393"/>
      <c r="E243" s="394"/>
      <c r="F243" s="394"/>
      <c r="G243" s="394"/>
      <c r="H243" s="8" t="s">
        <v>61</v>
      </c>
      <c r="I243" s="364">
        <f t="shared" si="10"/>
        <v>0</v>
      </c>
      <c r="J243" s="365">
        <f t="shared" si="9"/>
        <v>0</v>
      </c>
      <c r="K243" s="366">
        <f t="shared" si="11"/>
        <v>6</v>
      </c>
      <c r="L243" s="366">
        <f>+IF((C243&gt;='Resultats - informe'!$E$16)*(C243&lt;='Resultats - informe'!$G$16),1,0)</f>
        <v>1</v>
      </c>
      <c r="M243" s="366" cm="1">
        <f t="array" ref="M243">+_xlfn.IFS((C243&gt;='Resultats - informe'!$D$26)*(C243&lt;='Resultats - informe'!$E$26),0,(C243&gt;='Resultats - informe'!$D$27)*(C243&lt;='Resultats - informe'!$E$27),0,(C243&gt;='Resultats - informe'!$D$28)*(C243&lt;='Resultats - informe'!$E$28),0,(C243&gt;='Resultats - informe'!$D$29)*(C243&lt;='Resultats - informe'!$E$29),0,1,1)</f>
        <v>0</v>
      </c>
      <c r="N243" s="366">
        <f>+VLOOKUP(D243,'Resultats - informe'!$Y$18:$AG$42,'Introducció dades consum'!K243+1,0)</f>
        <v>0</v>
      </c>
      <c r="O243" s="367" cm="1">
        <f t="array" ref="O243">+_xlfn.SWITCH(MONTH(C243),1,1,2,1,3,1,4,2,5,2,6,3,7,3,8,3,9,3,10,2,11,2,12,1,2)</f>
        <v>1</v>
      </c>
      <c r="P243" s="43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</row>
    <row r="244" spans="1:73" ht="18" x14ac:dyDescent="0.35">
      <c r="A244" s="43"/>
      <c r="C244" s="393"/>
      <c r="E244" s="394"/>
      <c r="F244" s="394"/>
      <c r="G244" s="394"/>
      <c r="H244" s="8" t="s">
        <v>61</v>
      </c>
      <c r="I244" s="364">
        <f t="shared" si="10"/>
        <v>0</v>
      </c>
      <c r="J244" s="365">
        <f t="shared" si="9"/>
        <v>0</v>
      </c>
      <c r="K244" s="366">
        <f t="shared" si="11"/>
        <v>6</v>
      </c>
      <c r="L244" s="366">
        <f>+IF((C244&gt;='Resultats - informe'!$E$16)*(C244&lt;='Resultats - informe'!$G$16),1,0)</f>
        <v>1</v>
      </c>
      <c r="M244" s="366" cm="1">
        <f t="array" ref="M244">+_xlfn.IFS((C244&gt;='Resultats - informe'!$D$26)*(C244&lt;='Resultats - informe'!$E$26),0,(C244&gt;='Resultats - informe'!$D$27)*(C244&lt;='Resultats - informe'!$E$27),0,(C244&gt;='Resultats - informe'!$D$28)*(C244&lt;='Resultats - informe'!$E$28),0,(C244&gt;='Resultats - informe'!$D$29)*(C244&lt;='Resultats - informe'!$E$29),0,1,1)</f>
        <v>0</v>
      </c>
      <c r="N244" s="366">
        <f>+VLOOKUP(D244,'Resultats - informe'!$Y$18:$AG$42,'Introducció dades consum'!K244+1,0)</f>
        <v>0</v>
      </c>
      <c r="O244" s="367" cm="1">
        <f t="array" ref="O244">+_xlfn.SWITCH(MONTH(C244),1,1,2,1,3,1,4,2,5,2,6,3,7,3,8,3,9,3,10,2,11,2,12,1,2)</f>
        <v>1</v>
      </c>
      <c r="P244" s="43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</row>
    <row r="245" spans="1:73" ht="18" x14ac:dyDescent="0.35">
      <c r="A245" s="43"/>
      <c r="C245" s="393"/>
      <c r="E245" s="394"/>
      <c r="F245" s="394"/>
      <c r="G245" s="394"/>
      <c r="H245" s="8" t="s">
        <v>61</v>
      </c>
      <c r="I245" s="364">
        <f t="shared" si="10"/>
        <v>0</v>
      </c>
      <c r="J245" s="365">
        <f t="shared" si="9"/>
        <v>0</v>
      </c>
      <c r="K245" s="366">
        <f t="shared" si="11"/>
        <v>6</v>
      </c>
      <c r="L245" s="366">
        <f>+IF((C245&gt;='Resultats - informe'!$E$16)*(C245&lt;='Resultats - informe'!$G$16),1,0)</f>
        <v>1</v>
      </c>
      <c r="M245" s="366" cm="1">
        <f t="array" ref="M245">+_xlfn.IFS((C245&gt;='Resultats - informe'!$D$26)*(C245&lt;='Resultats - informe'!$E$26),0,(C245&gt;='Resultats - informe'!$D$27)*(C245&lt;='Resultats - informe'!$E$27),0,(C245&gt;='Resultats - informe'!$D$28)*(C245&lt;='Resultats - informe'!$E$28),0,(C245&gt;='Resultats - informe'!$D$29)*(C245&lt;='Resultats - informe'!$E$29),0,1,1)</f>
        <v>0</v>
      </c>
      <c r="N245" s="366">
        <f>+VLOOKUP(D245,'Resultats - informe'!$Y$18:$AG$42,'Introducció dades consum'!K245+1,0)</f>
        <v>0</v>
      </c>
      <c r="O245" s="367" cm="1">
        <f t="array" ref="O245">+_xlfn.SWITCH(MONTH(C245),1,1,2,1,3,1,4,2,5,2,6,3,7,3,8,3,9,3,10,2,11,2,12,1,2)</f>
        <v>1</v>
      </c>
      <c r="P245" s="43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</row>
    <row r="246" spans="1:73" ht="18" x14ac:dyDescent="0.35">
      <c r="A246" s="43"/>
      <c r="C246" s="393"/>
      <c r="E246" s="394"/>
      <c r="F246" s="394"/>
      <c r="G246" s="394"/>
      <c r="H246" s="8" t="s">
        <v>61</v>
      </c>
      <c r="I246" s="364">
        <f t="shared" si="10"/>
        <v>0</v>
      </c>
      <c r="J246" s="365">
        <f t="shared" si="9"/>
        <v>0</v>
      </c>
      <c r="K246" s="366">
        <f t="shared" si="11"/>
        <v>6</v>
      </c>
      <c r="L246" s="366">
        <f>+IF((C246&gt;='Resultats - informe'!$E$16)*(C246&lt;='Resultats - informe'!$G$16),1,0)</f>
        <v>1</v>
      </c>
      <c r="M246" s="366" cm="1">
        <f t="array" ref="M246">+_xlfn.IFS((C246&gt;='Resultats - informe'!$D$26)*(C246&lt;='Resultats - informe'!$E$26),0,(C246&gt;='Resultats - informe'!$D$27)*(C246&lt;='Resultats - informe'!$E$27),0,(C246&gt;='Resultats - informe'!$D$28)*(C246&lt;='Resultats - informe'!$E$28),0,(C246&gt;='Resultats - informe'!$D$29)*(C246&lt;='Resultats - informe'!$E$29),0,1,1)</f>
        <v>0</v>
      </c>
      <c r="N246" s="366">
        <f>+VLOOKUP(D246,'Resultats - informe'!$Y$18:$AG$42,'Introducció dades consum'!K246+1,0)</f>
        <v>0</v>
      </c>
      <c r="O246" s="367" cm="1">
        <f t="array" ref="O246">+_xlfn.SWITCH(MONTH(C246),1,1,2,1,3,1,4,2,5,2,6,3,7,3,8,3,9,3,10,2,11,2,12,1,2)</f>
        <v>1</v>
      </c>
      <c r="P246" s="43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</row>
    <row r="247" spans="1:73" ht="18" x14ac:dyDescent="0.35">
      <c r="A247" s="43"/>
      <c r="C247" s="393"/>
      <c r="E247" s="394"/>
      <c r="F247" s="394"/>
      <c r="G247" s="394"/>
      <c r="H247" s="8" t="s">
        <v>61</v>
      </c>
      <c r="I247" s="364">
        <f t="shared" si="10"/>
        <v>0</v>
      </c>
      <c r="J247" s="365">
        <f t="shared" si="9"/>
        <v>0</v>
      </c>
      <c r="K247" s="366">
        <f t="shared" si="11"/>
        <v>6</v>
      </c>
      <c r="L247" s="366">
        <f>+IF((C247&gt;='Resultats - informe'!$E$16)*(C247&lt;='Resultats - informe'!$G$16),1,0)</f>
        <v>1</v>
      </c>
      <c r="M247" s="366" cm="1">
        <f t="array" ref="M247">+_xlfn.IFS((C247&gt;='Resultats - informe'!$D$26)*(C247&lt;='Resultats - informe'!$E$26),0,(C247&gt;='Resultats - informe'!$D$27)*(C247&lt;='Resultats - informe'!$E$27),0,(C247&gt;='Resultats - informe'!$D$28)*(C247&lt;='Resultats - informe'!$E$28),0,(C247&gt;='Resultats - informe'!$D$29)*(C247&lt;='Resultats - informe'!$E$29),0,1,1)</f>
        <v>0</v>
      </c>
      <c r="N247" s="366">
        <f>+VLOOKUP(D247,'Resultats - informe'!$Y$18:$AG$42,'Introducció dades consum'!K247+1,0)</f>
        <v>0</v>
      </c>
      <c r="O247" s="367" cm="1">
        <f t="array" ref="O247">+_xlfn.SWITCH(MONTH(C247),1,1,2,1,3,1,4,2,5,2,6,3,7,3,8,3,9,3,10,2,11,2,12,1,2)</f>
        <v>1</v>
      </c>
      <c r="P247" s="43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</row>
    <row r="248" spans="1:73" ht="18" x14ac:dyDescent="0.35">
      <c r="A248" s="43"/>
      <c r="C248" s="393"/>
      <c r="E248" s="394"/>
      <c r="F248" s="394"/>
      <c r="G248" s="394"/>
      <c r="H248" s="8" t="s">
        <v>61</v>
      </c>
      <c r="I248" s="364">
        <f t="shared" si="10"/>
        <v>0</v>
      </c>
      <c r="J248" s="365">
        <f t="shared" si="9"/>
        <v>0</v>
      </c>
      <c r="K248" s="366">
        <f t="shared" si="11"/>
        <v>6</v>
      </c>
      <c r="L248" s="366">
        <f>+IF((C248&gt;='Resultats - informe'!$E$16)*(C248&lt;='Resultats - informe'!$G$16),1,0)</f>
        <v>1</v>
      </c>
      <c r="M248" s="366" cm="1">
        <f t="array" ref="M248">+_xlfn.IFS((C248&gt;='Resultats - informe'!$D$26)*(C248&lt;='Resultats - informe'!$E$26),0,(C248&gt;='Resultats - informe'!$D$27)*(C248&lt;='Resultats - informe'!$E$27),0,(C248&gt;='Resultats - informe'!$D$28)*(C248&lt;='Resultats - informe'!$E$28),0,(C248&gt;='Resultats - informe'!$D$29)*(C248&lt;='Resultats - informe'!$E$29),0,1,1)</f>
        <v>0</v>
      </c>
      <c r="N248" s="366">
        <f>+VLOOKUP(D248,'Resultats - informe'!$Y$18:$AG$42,'Introducció dades consum'!K248+1,0)</f>
        <v>0</v>
      </c>
      <c r="O248" s="367" cm="1">
        <f t="array" ref="O248">+_xlfn.SWITCH(MONTH(C248),1,1,2,1,3,1,4,2,5,2,6,3,7,3,8,3,9,3,10,2,11,2,12,1,2)</f>
        <v>1</v>
      </c>
      <c r="P248" s="43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</row>
    <row r="249" spans="1:73" ht="18" x14ac:dyDescent="0.35">
      <c r="A249" s="43"/>
      <c r="C249" s="393"/>
      <c r="E249" s="394"/>
      <c r="F249" s="394"/>
      <c r="G249" s="394"/>
      <c r="H249" s="8" t="s">
        <v>61</v>
      </c>
      <c r="I249" s="364">
        <f t="shared" si="10"/>
        <v>0</v>
      </c>
      <c r="J249" s="365">
        <f t="shared" si="9"/>
        <v>0</v>
      </c>
      <c r="K249" s="366">
        <f t="shared" si="11"/>
        <v>6</v>
      </c>
      <c r="L249" s="366">
        <f>+IF((C249&gt;='Resultats - informe'!$E$16)*(C249&lt;='Resultats - informe'!$G$16),1,0)</f>
        <v>1</v>
      </c>
      <c r="M249" s="366" cm="1">
        <f t="array" ref="M249">+_xlfn.IFS((C249&gt;='Resultats - informe'!$D$26)*(C249&lt;='Resultats - informe'!$E$26),0,(C249&gt;='Resultats - informe'!$D$27)*(C249&lt;='Resultats - informe'!$E$27),0,(C249&gt;='Resultats - informe'!$D$28)*(C249&lt;='Resultats - informe'!$E$28),0,(C249&gt;='Resultats - informe'!$D$29)*(C249&lt;='Resultats - informe'!$E$29),0,1,1)</f>
        <v>0</v>
      </c>
      <c r="N249" s="366">
        <f>+VLOOKUP(D249,'Resultats - informe'!$Y$18:$AG$42,'Introducció dades consum'!K249+1,0)</f>
        <v>0</v>
      </c>
      <c r="O249" s="367" cm="1">
        <f t="array" ref="O249">+_xlfn.SWITCH(MONTH(C249),1,1,2,1,3,1,4,2,5,2,6,3,7,3,8,3,9,3,10,2,11,2,12,1,2)</f>
        <v>1</v>
      </c>
      <c r="P249" s="43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</row>
    <row r="250" spans="1:73" ht="18" x14ac:dyDescent="0.35">
      <c r="A250" s="43"/>
      <c r="C250" s="393"/>
      <c r="E250" s="394"/>
      <c r="F250" s="394"/>
      <c r="G250" s="394"/>
      <c r="H250" s="8" t="s">
        <v>61</v>
      </c>
      <c r="I250" s="364">
        <f t="shared" si="10"/>
        <v>0</v>
      </c>
      <c r="J250" s="365">
        <f t="shared" si="9"/>
        <v>0</v>
      </c>
      <c r="K250" s="366">
        <f t="shared" si="11"/>
        <v>6</v>
      </c>
      <c r="L250" s="366">
        <f>+IF((C250&gt;='Resultats - informe'!$E$16)*(C250&lt;='Resultats - informe'!$G$16),1,0)</f>
        <v>1</v>
      </c>
      <c r="M250" s="366" cm="1">
        <f t="array" ref="M250">+_xlfn.IFS((C250&gt;='Resultats - informe'!$D$26)*(C250&lt;='Resultats - informe'!$E$26),0,(C250&gt;='Resultats - informe'!$D$27)*(C250&lt;='Resultats - informe'!$E$27),0,(C250&gt;='Resultats - informe'!$D$28)*(C250&lt;='Resultats - informe'!$E$28),0,(C250&gt;='Resultats - informe'!$D$29)*(C250&lt;='Resultats - informe'!$E$29),0,1,1)</f>
        <v>0</v>
      </c>
      <c r="N250" s="366">
        <f>+VLOOKUP(D250,'Resultats - informe'!$Y$18:$AG$42,'Introducció dades consum'!K250+1,0)</f>
        <v>0</v>
      </c>
      <c r="O250" s="367" cm="1">
        <f t="array" ref="O250">+_xlfn.SWITCH(MONTH(C250),1,1,2,1,3,1,4,2,5,2,6,3,7,3,8,3,9,3,10,2,11,2,12,1,2)</f>
        <v>1</v>
      </c>
      <c r="P250" s="43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</row>
    <row r="251" spans="1:73" ht="18" x14ac:dyDescent="0.35">
      <c r="A251" s="43"/>
      <c r="C251" s="393"/>
      <c r="E251" s="394"/>
      <c r="F251" s="394"/>
      <c r="G251" s="394"/>
      <c r="H251" s="8" t="s">
        <v>61</v>
      </c>
      <c r="I251" s="364">
        <f t="shared" si="10"/>
        <v>0</v>
      </c>
      <c r="J251" s="365">
        <f t="shared" si="9"/>
        <v>0</v>
      </c>
      <c r="K251" s="366">
        <f t="shared" si="11"/>
        <v>6</v>
      </c>
      <c r="L251" s="366">
        <f>+IF((C251&gt;='Resultats - informe'!$E$16)*(C251&lt;='Resultats - informe'!$G$16),1,0)</f>
        <v>1</v>
      </c>
      <c r="M251" s="366" cm="1">
        <f t="array" ref="M251">+_xlfn.IFS((C251&gt;='Resultats - informe'!$D$26)*(C251&lt;='Resultats - informe'!$E$26),0,(C251&gt;='Resultats - informe'!$D$27)*(C251&lt;='Resultats - informe'!$E$27),0,(C251&gt;='Resultats - informe'!$D$28)*(C251&lt;='Resultats - informe'!$E$28),0,(C251&gt;='Resultats - informe'!$D$29)*(C251&lt;='Resultats - informe'!$E$29),0,1,1)</f>
        <v>0</v>
      </c>
      <c r="N251" s="366">
        <f>+VLOOKUP(D251,'Resultats - informe'!$Y$18:$AG$42,'Introducció dades consum'!K251+1,0)</f>
        <v>0</v>
      </c>
      <c r="O251" s="367" cm="1">
        <f t="array" ref="O251">+_xlfn.SWITCH(MONTH(C251),1,1,2,1,3,1,4,2,5,2,6,3,7,3,8,3,9,3,10,2,11,2,12,1,2)</f>
        <v>1</v>
      </c>
      <c r="P251" s="43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</row>
    <row r="252" spans="1:73" ht="18" x14ac:dyDescent="0.35">
      <c r="A252" s="43"/>
      <c r="C252" s="393"/>
      <c r="E252" s="394"/>
      <c r="F252" s="394"/>
      <c r="G252" s="394"/>
      <c r="H252" s="8" t="s">
        <v>61</v>
      </c>
      <c r="I252" s="364">
        <f t="shared" si="10"/>
        <v>0</v>
      </c>
      <c r="J252" s="365">
        <f t="shared" si="9"/>
        <v>0</v>
      </c>
      <c r="K252" s="366">
        <f t="shared" si="11"/>
        <v>6</v>
      </c>
      <c r="L252" s="366">
        <f>+IF((C252&gt;='Resultats - informe'!$E$16)*(C252&lt;='Resultats - informe'!$G$16),1,0)</f>
        <v>1</v>
      </c>
      <c r="M252" s="366" cm="1">
        <f t="array" ref="M252">+_xlfn.IFS((C252&gt;='Resultats - informe'!$D$26)*(C252&lt;='Resultats - informe'!$E$26),0,(C252&gt;='Resultats - informe'!$D$27)*(C252&lt;='Resultats - informe'!$E$27),0,(C252&gt;='Resultats - informe'!$D$28)*(C252&lt;='Resultats - informe'!$E$28),0,(C252&gt;='Resultats - informe'!$D$29)*(C252&lt;='Resultats - informe'!$E$29),0,1,1)</f>
        <v>0</v>
      </c>
      <c r="N252" s="366">
        <f>+VLOOKUP(D252,'Resultats - informe'!$Y$18:$AG$42,'Introducció dades consum'!K252+1,0)</f>
        <v>0</v>
      </c>
      <c r="O252" s="367" cm="1">
        <f t="array" ref="O252">+_xlfn.SWITCH(MONTH(C252),1,1,2,1,3,1,4,2,5,2,6,3,7,3,8,3,9,3,10,2,11,2,12,1,2)</f>
        <v>1</v>
      </c>
      <c r="P252" s="43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</row>
    <row r="253" spans="1:73" ht="18" x14ac:dyDescent="0.35">
      <c r="A253" s="43"/>
      <c r="C253" s="393"/>
      <c r="E253" s="394"/>
      <c r="F253" s="394"/>
      <c r="G253" s="394"/>
      <c r="H253" s="8" t="s">
        <v>61</v>
      </c>
      <c r="I253" s="364">
        <f t="shared" si="10"/>
        <v>0</v>
      </c>
      <c r="J253" s="365">
        <f t="shared" si="9"/>
        <v>0</v>
      </c>
      <c r="K253" s="366">
        <f t="shared" si="11"/>
        <v>6</v>
      </c>
      <c r="L253" s="366">
        <f>+IF((C253&gt;='Resultats - informe'!$E$16)*(C253&lt;='Resultats - informe'!$G$16),1,0)</f>
        <v>1</v>
      </c>
      <c r="M253" s="366" cm="1">
        <f t="array" ref="M253">+_xlfn.IFS((C253&gt;='Resultats - informe'!$D$26)*(C253&lt;='Resultats - informe'!$E$26),0,(C253&gt;='Resultats - informe'!$D$27)*(C253&lt;='Resultats - informe'!$E$27),0,(C253&gt;='Resultats - informe'!$D$28)*(C253&lt;='Resultats - informe'!$E$28),0,(C253&gt;='Resultats - informe'!$D$29)*(C253&lt;='Resultats - informe'!$E$29),0,1,1)</f>
        <v>0</v>
      </c>
      <c r="N253" s="366">
        <f>+VLOOKUP(D253,'Resultats - informe'!$Y$18:$AG$42,'Introducció dades consum'!K253+1,0)</f>
        <v>0</v>
      </c>
      <c r="O253" s="367" cm="1">
        <f t="array" ref="O253">+_xlfn.SWITCH(MONTH(C253),1,1,2,1,3,1,4,2,5,2,6,3,7,3,8,3,9,3,10,2,11,2,12,1,2)</f>
        <v>1</v>
      </c>
      <c r="P253" s="43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</row>
    <row r="254" spans="1:73" ht="18" x14ac:dyDescent="0.35">
      <c r="A254" s="43"/>
      <c r="C254" s="393"/>
      <c r="E254" s="394"/>
      <c r="F254" s="394"/>
      <c r="G254" s="394"/>
      <c r="H254" s="8" t="s">
        <v>61</v>
      </c>
      <c r="I254" s="364">
        <f t="shared" si="10"/>
        <v>0</v>
      </c>
      <c r="J254" s="365">
        <f t="shared" si="9"/>
        <v>0</v>
      </c>
      <c r="K254" s="366">
        <f t="shared" si="11"/>
        <v>6</v>
      </c>
      <c r="L254" s="366">
        <f>+IF((C254&gt;='Resultats - informe'!$E$16)*(C254&lt;='Resultats - informe'!$G$16),1,0)</f>
        <v>1</v>
      </c>
      <c r="M254" s="366" cm="1">
        <f t="array" ref="M254">+_xlfn.IFS((C254&gt;='Resultats - informe'!$D$26)*(C254&lt;='Resultats - informe'!$E$26),0,(C254&gt;='Resultats - informe'!$D$27)*(C254&lt;='Resultats - informe'!$E$27),0,(C254&gt;='Resultats - informe'!$D$28)*(C254&lt;='Resultats - informe'!$E$28),0,(C254&gt;='Resultats - informe'!$D$29)*(C254&lt;='Resultats - informe'!$E$29),0,1,1)</f>
        <v>0</v>
      </c>
      <c r="N254" s="366">
        <f>+VLOOKUP(D254,'Resultats - informe'!$Y$18:$AG$42,'Introducció dades consum'!K254+1,0)</f>
        <v>0</v>
      </c>
      <c r="O254" s="367" cm="1">
        <f t="array" ref="O254">+_xlfn.SWITCH(MONTH(C254),1,1,2,1,3,1,4,2,5,2,6,3,7,3,8,3,9,3,10,2,11,2,12,1,2)</f>
        <v>1</v>
      </c>
      <c r="P254" s="43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</row>
    <row r="255" spans="1:73" ht="18" x14ac:dyDescent="0.35">
      <c r="A255" s="43"/>
      <c r="C255" s="393"/>
      <c r="E255" s="394"/>
      <c r="F255" s="394"/>
      <c r="G255" s="394"/>
      <c r="H255" s="8" t="s">
        <v>61</v>
      </c>
      <c r="I255" s="364">
        <f t="shared" si="10"/>
        <v>0</v>
      </c>
      <c r="J255" s="365">
        <f t="shared" si="9"/>
        <v>0</v>
      </c>
      <c r="K255" s="366">
        <f t="shared" si="11"/>
        <v>6</v>
      </c>
      <c r="L255" s="366">
        <f>+IF((C255&gt;='Resultats - informe'!$E$16)*(C255&lt;='Resultats - informe'!$G$16),1,0)</f>
        <v>1</v>
      </c>
      <c r="M255" s="366" cm="1">
        <f t="array" ref="M255">+_xlfn.IFS((C255&gt;='Resultats - informe'!$D$26)*(C255&lt;='Resultats - informe'!$E$26),0,(C255&gt;='Resultats - informe'!$D$27)*(C255&lt;='Resultats - informe'!$E$27),0,(C255&gt;='Resultats - informe'!$D$28)*(C255&lt;='Resultats - informe'!$E$28),0,(C255&gt;='Resultats - informe'!$D$29)*(C255&lt;='Resultats - informe'!$E$29),0,1,1)</f>
        <v>0</v>
      </c>
      <c r="N255" s="366">
        <f>+VLOOKUP(D255,'Resultats - informe'!$Y$18:$AG$42,'Introducció dades consum'!K255+1,0)</f>
        <v>0</v>
      </c>
      <c r="O255" s="367" cm="1">
        <f t="array" ref="O255">+_xlfn.SWITCH(MONTH(C255),1,1,2,1,3,1,4,2,5,2,6,3,7,3,8,3,9,3,10,2,11,2,12,1,2)</f>
        <v>1</v>
      </c>
      <c r="P255" s="43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</row>
    <row r="256" spans="1:73" ht="18" x14ac:dyDescent="0.35">
      <c r="A256" s="43"/>
      <c r="C256" s="393"/>
      <c r="E256" s="394"/>
      <c r="F256" s="394"/>
      <c r="G256" s="394"/>
      <c r="H256" s="8" t="s">
        <v>61</v>
      </c>
      <c r="I256" s="364">
        <f t="shared" si="10"/>
        <v>0</v>
      </c>
      <c r="J256" s="365">
        <f t="shared" si="9"/>
        <v>0</v>
      </c>
      <c r="K256" s="366">
        <f t="shared" si="11"/>
        <v>6</v>
      </c>
      <c r="L256" s="366">
        <f>+IF((C256&gt;='Resultats - informe'!$E$16)*(C256&lt;='Resultats - informe'!$G$16),1,0)</f>
        <v>1</v>
      </c>
      <c r="M256" s="366" cm="1">
        <f t="array" ref="M256">+_xlfn.IFS((C256&gt;='Resultats - informe'!$D$26)*(C256&lt;='Resultats - informe'!$E$26),0,(C256&gt;='Resultats - informe'!$D$27)*(C256&lt;='Resultats - informe'!$E$27),0,(C256&gt;='Resultats - informe'!$D$28)*(C256&lt;='Resultats - informe'!$E$28),0,(C256&gt;='Resultats - informe'!$D$29)*(C256&lt;='Resultats - informe'!$E$29),0,1,1)</f>
        <v>0</v>
      </c>
      <c r="N256" s="366">
        <f>+VLOOKUP(D256,'Resultats - informe'!$Y$18:$AG$42,'Introducció dades consum'!K256+1,0)</f>
        <v>0</v>
      </c>
      <c r="O256" s="367" cm="1">
        <f t="array" ref="O256">+_xlfn.SWITCH(MONTH(C256),1,1,2,1,3,1,4,2,5,2,6,3,7,3,8,3,9,3,10,2,11,2,12,1,2)</f>
        <v>1</v>
      </c>
      <c r="P256" s="43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</row>
    <row r="257" spans="1:73" ht="18" x14ac:dyDescent="0.35">
      <c r="A257" s="43"/>
      <c r="C257" s="393"/>
      <c r="E257" s="394"/>
      <c r="F257" s="394"/>
      <c r="G257" s="394"/>
      <c r="H257" s="8" t="s">
        <v>61</v>
      </c>
      <c r="I257" s="364">
        <f t="shared" si="10"/>
        <v>0</v>
      </c>
      <c r="J257" s="365">
        <f t="shared" si="9"/>
        <v>0</v>
      </c>
      <c r="K257" s="366">
        <f t="shared" si="11"/>
        <v>6</v>
      </c>
      <c r="L257" s="366">
        <f>+IF((C257&gt;='Resultats - informe'!$E$16)*(C257&lt;='Resultats - informe'!$G$16),1,0)</f>
        <v>1</v>
      </c>
      <c r="M257" s="366" cm="1">
        <f t="array" ref="M257">+_xlfn.IFS((C257&gt;='Resultats - informe'!$D$26)*(C257&lt;='Resultats - informe'!$E$26),0,(C257&gt;='Resultats - informe'!$D$27)*(C257&lt;='Resultats - informe'!$E$27),0,(C257&gt;='Resultats - informe'!$D$28)*(C257&lt;='Resultats - informe'!$E$28),0,(C257&gt;='Resultats - informe'!$D$29)*(C257&lt;='Resultats - informe'!$E$29),0,1,1)</f>
        <v>0</v>
      </c>
      <c r="N257" s="366">
        <f>+VLOOKUP(D257,'Resultats - informe'!$Y$18:$AG$42,'Introducció dades consum'!K257+1,0)</f>
        <v>0</v>
      </c>
      <c r="O257" s="367" cm="1">
        <f t="array" ref="O257">+_xlfn.SWITCH(MONTH(C257),1,1,2,1,3,1,4,2,5,2,6,3,7,3,8,3,9,3,10,2,11,2,12,1,2)</f>
        <v>1</v>
      </c>
      <c r="P257" s="43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</row>
    <row r="258" spans="1:73" ht="18" x14ac:dyDescent="0.35">
      <c r="A258" s="43"/>
      <c r="C258" s="393"/>
      <c r="E258" s="394"/>
      <c r="F258" s="394"/>
      <c r="G258" s="394"/>
      <c r="H258" s="8" t="s">
        <v>61</v>
      </c>
      <c r="I258" s="364">
        <f t="shared" si="10"/>
        <v>0</v>
      </c>
      <c r="J258" s="365">
        <f t="shared" si="9"/>
        <v>0</v>
      </c>
      <c r="K258" s="366">
        <f t="shared" si="11"/>
        <v>6</v>
      </c>
      <c r="L258" s="366">
        <f>+IF((C258&gt;='Resultats - informe'!$E$16)*(C258&lt;='Resultats - informe'!$G$16),1,0)</f>
        <v>1</v>
      </c>
      <c r="M258" s="366" cm="1">
        <f t="array" ref="M258">+_xlfn.IFS((C258&gt;='Resultats - informe'!$D$26)*(C258&lt;='Resultats - informe'!$E$26),0,(C258&gt;='Resultats - informe'!$D$27)*(C258&lt;='Resultats - informe'!$E$27),0,(C258&gt;='Resultats - informe'!$D$28)*(C258&lt;='Resultats - informe'!$E$28),0,(C258&gt;='Resultats - informe'!$D$29)*(C258&lt;='Resultats - informe'!$E$29),0,1,1)</f>
        <v>0</v>
      </c>
      <c r="N258" s="366">
        <f>+VLOOKUP(D258,'Resultats - informe'!$Y$18:$AG$42,'Introducció dades consum'!K258+1,0)</f>
        <v>0</v>
      </c>
      <c r="O258" s="367" cm="1">
        <f t="array" ref="O258">+_xlfn.SWITCH(MONTH(C258),1,1,2,1,3,1,4,2,5,2,6,3,7,3,8,3,9,3,10,2,11,2,12,1,2)</f>
        <v>1</v>
      </c>
      <c r="P258" s="43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</row>
    <row r="259" spans="1:73" ht="18" x14ac:dyDescent="0.35">
      <c r="A259" s="43"/>
      <c r="C259" s="393"/>
      <c r="E259" s="394"/>
      <c r="F259" s="394"/>
      <c r="G259" s="394"/>
      <c r="H259" s="8" t="s">
        <v>61</v>
      </c>
      <c r="I259" s="364">
        <f t="shared" si="10"/>
        <v>0</v>
      </c>
      <c r="J259" s="365">
        <f t="shared" si="9"/>
        <v>0</v>
      </c>
      <c r="K259" s="366">
        <f t="shared" si="11"/>
        <v>6</v>
      </c>
      <c r="L259" s="366">
        <f>+IF((C259&gt;='Resultats - informe'!$E$16)*(C259&lt;='Resultats - informe'!$G$16),1,0)</f>
        <v>1</v>
      </c>
      <c r="M259" s="366" cm="1">
        <f t="array" ref="M259">+_xlfn.IFS((C259&gt;='Resultats - informe'!$D$26)*(C259&lt;='Resultats - informe'!$E$26),0,(C259&gt;='Resultats - informe'!$D$27)*(C259&lt;='Resultats - informe'!$E$27),0,(C259&gt;='Resultats - informe'!$D$28)*(C259&lt;='Resultats - informe'!$E$28),0,(C259&gt;='Resultats - informe'!$D$29)*(C259&lt;='Resultats - informe'!$E$29),0,1,1)</f>
        <v>0</v>
      </c>
      <c r="N259" s="366">
        <f>+VLOOKUP(D259,'Resultats - informe'!$Y$18:$AG$42,'Introducció dades consum'!K259+1,0)</f>
        <v>0</v>
      </c>
      <c r="O259" s="367" cm="1">
        <f t="array" ref="O259">+_xlfn.SWITCH(MONTH(C259),1,1,2,1,3,1,4,2,5,2,6,3,7,3,8,3,9,3,10,2,11,2,12,1,2)</f>
        <v>1</v>
      </c>
      <c r="P259" s="43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</row>
    <row r="260" spans="1:73" ht="18" x14ac:dyDescent="0.35">
      <c r="A260" s="43"/>
      <c r="C260" s="393"/>
      <c r="E260" s="394"/>
      <c r="F260" s="394"/>
      <c r="G260" s="394"/>
      <c r="H260" s="8" t="s">
        <v>61</v>
      </c>
      <c r="I260" s="364">
        <f t="shared" si="10"/>
        <v>0</v>
      </c>
      <c r="J260" s="365">
        <f t="shared" si="9"/>
        <v>0</v>
      </c>
      <c r="K260" s="366">
        <f t="shared" si="11"/>
        <v>6</v>
      </c>
      <c r="L260" s="366">
        <f>+IF((C260&gt;='Resultats - informe'!$E$16)*(C260&lt;='Resultats - informe'!$G$16),1,0)</f>
        <v>1</v>
      </c>
      <c r="M260" s="366" cm="1">
        <f t="array" ref="M260">+_xlfn.IFS((C260&gt;='Resultats - informe'!$D$26)*(C260&lt;='Resultats - informe'!$E$26),0,(C260&gt;='Resultats - informe'!$D$27)*(C260&lt;='Resultats - informe'!$E$27),0,(C260&gt;='Resultats - informe'!$D$28)*(C260&lt;='Resultats - informe'!$E$28),0,(C260&gt;='Resultats - informe'!$D$29)*(C260&lt;='Resultats - informe'!$E$29),0,1,1)</f>
        <v>0</v>
      </c>
      <c r="N260" s="366">
        <f>+VLOOKUP(D260,'Resultats - informe'!$Y$18:$AG$42,'Introducció dades consum'!K260+1,0)</f>
        <v>0</v>
      </c>
      <c r="O260" s="367" cm="1">
        <f t="array" ref="O260">+_xlfn.SWITCH(MONTH(C260),1,1,2,1,3,1,4,2,5,2,6,3,7,3,8,3,9,3,10,2,11,2,12,1,2)</f>
        <v>1</v>
      </c>
      <c r="P260" s="43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</row>
    <row r="261" spans="1:73" ht="18" x14ac:dyDescent="0.35">
      <c r="A261" s="43"/>
      <c r="C261" s="393"/>
      <c r="E261" s="394"/>
      <c r="F261" s="394"/>
      <c r="G261" s="394"/>
      <c r="H261" s="8" t="s">
        <v>61</v>
      </c>
      <c r="I261" s="364">
        <f t="shared" si="10"/>
        <v>0</v>
      </c>
      <c r="J261" s="365">
        <f t="shared" ref="J261:J324" si="12">+C261</f>
        <v>0</v>
      </c>
      <c r="K261" s="366">
        <f t="shared" si="11"/>
        <v>6</v>
      </c>
      <c r="L261" s="366">
        <f>+IF((C261&gt;='Resultats - informe'!$E$16)*(C261&lt;='Resultats - informe'!$G$16),1,0)</f>
        <v>1</v>
      </c>
      <c r="M261" s="366" cm="1">
        <f t="array" ref="M261">+_xlfn.IFS((C261&gt;='Resultats - informe'!$D$26)*(C261&lt;='Resultats - informe'!$E$26),0,(C261&gt;='Resultats - informe'!$D$27)*(C261&lt;='Resultats - informe'!$E$27),0,(C261&gt;='Resultats - informe'!$D$28)*(C261&lt;='Resultats - informe'!$E$28),0,(C261&gt;='Resultats - informe'!$D$29)*(C261&lt;='Resultats - informe'!$E$29),0,1,1)</f>
        <v>0</v>
      </c>
      <c r="N261" s="366">
        <f>+VLOOKUP(D261,'Resultats - informe'!$Y$18:$AG$42,'Introducció dades consum'!K261+1,0)</f>
        <v>0</v>
      </c>
      <c r="O261" s="367" cm="1">
        <f t="array" ref="O261">+_xlfn.SWITCH(MONTH(C261),1,1,2,1,3,1,4,2,5,2,6,3,7,3,8,3,9,3,10,2,11,2,12,1,2)</f>
        <v>1</v>
      </c>
      <c r="P261" s="43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</row>
    <row r="262" spans="1:73" ht="18" x14ac:dyDescent="0.35">
      <c r="A262" s="43"/>
      <c r="C262" s="393"/>
      <c r="E262" s="394"/>
      <c r="F262" s="394"/>
      <c r="G262" s="394"/>
      <c r="H262" s="8" t="s">
        <v>61</v>
      </c>
      <c r="I262" s="364">
        <f t="shared" ref="I262:I325" si="13">+E262+G262</f>
        <v>0</v>
      </c>
      <c r="J262" s="365">
        <f t="shared" si="12"/>
        <v>0</v>
      </c>
      <c r="K262" s="366">
        <f t="shared" ref="K262:K325" si="14">+WEEKDAY(C262,2)</f>
        <v>6</v>
      </c>
      <c r="L262" s="366">
        <f>+IF((C262&gt;='Resultats - informe'!$E$16)*(C262&lt;='Resultats - informe'!$G$16),1,0)</f>
        <v>1</v>
      </c>
      <c r="M262" s="366" cm="1">
        <f t="array" ref="M262">+_xlfn.IFS((C262&gt;='Resultats - informe'!$D$26)*(C262&lt;='Resultats - informe'!$E$26),0,(C262&gt;='Resultats - informe'!$D$27)*(C262&lt;='Resultats - informe'!$E$27),0,(C262&gt;='Resultats - informe'!$D$28)*(C262&lt;='Resultats - informe'!$E$28),0,(C262&gt;='Resultats - informe'!$D$29)*(C262&lt;='Resultats - informe'!$E$29),0,1,1)</f>
        <v>0</v>
      </c>
      <c r="N262" s="366">
        <f>+VLOOKUP(D262,'Resultats - informe'!$Y$18:$AG$42,'Introducció dades consum'!K262+1,0)</f>
        <v>0</v>
      </c>
      <c r="O262" s="367" cm="1">
        <f t="array" ref="O262">+_xlfn.SWITCH(MONTH(C262),1,1,2,1,3,1,4,2,5,2,6,3,7,3,8,3,9,3,10,2,11,2,12,1,2)</f>
        <v>1</v>
      </c>
      <c r="P262" s="43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</row>
    <row r="263" spans="1:73" ht="18" x14ac:dyDescent="0.35">
      <c r="A263" s="43"/>
      <c r="C263" s="393"/>
      <c r="E263" s="394"/>
      <c r="F263" s="394"/>
      <c r="G263" s="394"/>
      <c r="H263" s="8" t="s">
        <v>61</v>
      </c>
      <c r="I263" s="364">
        <f t="shared" si="13"/>
        <v>0</v>
      </c>
      <c r="J263" s="365">
        <f t="shared" si="12"/>
        <v>0</v>
      </c>
      <c r="K263" s="366">
        <f t="shared" si="14"/>
        <v>6</v>
      </c>
      <c r="L263" s="366">
        <f>+IF((C263&gt;='Resultats - informe'!$E$16)*(C263&lt;='Resultats - informe'!$G$16),1,0)</f>
        <v>1</v>
      </c>
      <c r="M263" s="366" cm="1">
        <f t="array" ref="M263">+_xlfn.IFS((C263&gt;='Resultats - informe'!$D$26)*(C263&lt;='Resultats - informe'!$E$26),0,(C263&gt;='Resultats - informe'!$D$27)*(C263&lt;='Resultats - informe'!$E$27),0,(C263&gt;='Resultats - informe'!$D$28)*(C263&lt;='Resultats - informe'!$E$28),0,(C263&gt;='Resultats - informe'!$D$29)*(C263&lt;='Resultats - informe'!$E$29),0,1,1)</f>
        <v>0</v>
      </c>
      <c r="N263" s="366">
        <f>+VLOOKUP(D263,'Resultats - informe'!$Y$18:$AG$42,'Introducció dades consum'!K263+1,0)</f>
        <v>0</v>
      </c>
      <c r="O263" s="367" cm="1">
        <f t="array" ref="O263">+_xlfn.SWITCH(MONTH(C263),1,1,2,1,3,1,4,2,5,2,6,3,7,3,8,3,9,3,10,2,11,2,12,1,2)</f>
        <v>1</v>
      </c>
      <c r="P263" s="43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</row>
    <row r="264" spans="1:73" ht="18" x14ac:dyDescent="0.35">
      <c r="A264" s="43"/>
      <c r="C264" s="393"/>
      <c r="E264" s="394"/>
      <c r="F264" s="394"/>
      <c r="G264" s="394"/>
      <c r="H264" s="8" t="s">
        <v>61</v>
      </c>
      <c r="I264" s="364">
        <f t="shared" si="13"/>
        <v>0</v>
      </c>
      <c r="J264" s="365">
        <f t="shared" si="12"/>
        <v>0</v>
      </c>
      <c r="K264" s="366">
        <f t="shared" si="14"/>
        <v>6</v>
      </c>
      <c r="L264" s="366">
        <f>+IF((C264&gt;='Resultats - informe'!$E$16)*(C264&lt;='Resultats - informe'!$G$16),1,0)</f>
        <v>1</v>
      </c>
      <c r="M264" s="366" cm="1">
        <f t="array" ref="M264">+_xlfn.IFS((C264&gt;='Resultats - informe'!$D$26)*(C264&lt;='Resultats - informe'!$E$26),0,(C264&gt;='Resultats - informe'!$D$27)*(C264&lt;='Resultats - informe'!$E$27),0,(C264&gt;='Resultats - informe'!$D$28)*(C264&lt;='Resultats - informe'!$E$28),0,(C264&gt;='Resultats - informe'!$D$29)*(C264&lt;='Resultats - informe'!$E$29),0,1,1)</f>
        <v>0</v>
      </c>
      <c r="N264" s="366">
        <f>+VLOOKUP(D264,'Resultats - informe'!$Y$18:$AG$42,'Introducció dades consum'!K264+1,0)</f>
        <v>0</v>
      </c>
      <c r="O264" s="367" cm="1">
        <f t="array" ref="O264">+_xlfn.SWITCH(MONTH(C264),1,1,2,1,3,1,4,2,5,2,6,3,7,3,8,3,9,3,10,2,11,2,12,1,2)</f>
        <v>1</v>
      </c>
      <c r="P264" s="43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</row>
    <row r="265" spans="1:73" ht="18" x14ac:dyDescent="0.35">
      <c r="A265" s="43"/>
      <c r="C265" s="393"/>
      <c r="E265" s="394"/>
      <c r="F265" s="394"/>
      <c r="G265" s="394"/>
      <c r="H265" s="8" t="s">
        <v>61</v>
      </c>
      <c r="I265" s="364">
        <f t="shared" si="13"/>
        <v>0</v>
      </c>
      <c r="J265" s="365">
        <f t="shared" si="12"/>
        <v>0</v>
      </c>
      <c r="K265" s="366">
        <f t="shared" si="14"/>
        <v>6</v>
      </c>
      <c r="L265" s="366">
        <f>+IF((C265&gt;='Resultats - informe'!$E$16)*(C265&lt;='Resultats - informe'!$G$16),1,0)</f>
        <v>1</v>
      </c>
      <c r="M265" s="366" cm="1">
        <f t="array" ref="M265">+_xlfn.IFS((C265&gt;='Resultats - informe'!$D$26)*(C265&lt;='Resultats - informe'!$E$26),0,(C265&gt;='Resultats - informe'!$D$27)*(C265&lt;='Resultats - informe'!$E$27),0,(C265&gt;='Resultats - informe'!$D$28)*(C265&lt;='Resultats - informe'!$E$28),0,(C265&gt;='Resultats - informe'!$D$29)*(C265&lt;='Resultats - informe'!$E$29),0,1,1)</f>
        <v>0</v>
      </c>
      <c r="N265" s="366">
        <f>+VLOOKUP(D265,'Resultats - informe'!$Y$18:$AG$42,'Introducció dades consum'!K265+1,0)</f>
        <v>0</v>
      </c>
      <c r="O265" s="367" cm="1">
        <f t="array" ref="O265">+_xlfn.SWITCH(MONTH(C265),1,1,2,1,3,1,4,2,5,2,6,3,7,3,8,3,9,3,10,2,11,2,12,1,2)</f>
        <v>1</v>
      </c>
      <c r="P265" s="43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</row>
    <row r="266" spans="1:73" ht="18" x14ac:dyDescent="0.35">
      <c r="A266" s="43"/>
      <c r="C266" s="393"/>
      <c r="E266" s="394"/>
      <c r="F266" s="394"/>
      <c r="G266" s="394"/>
      <c r="H266" s="8" t="s">
        <v>61</v>
      </c>
      <c r="I266" s="364">
        <f t="shared" si="13"/>
        <v>0</v>
      </c>
      <c r="J266" s="365">
        <f t="shared" si="12"/>
        <v>0</v>
      </c>
      <c r="K266" s="366">
        <f t="shared" si="14"/>
        <v>6</v>
      </c>
      <c r="L266" s="366">
        <f>+IF((C266&gt;='Resultats - informe'!$E$16)*(C266&lt;='Resultats - informe'!$G$16),1,0)</f>
        <v>1</v>
      </c>
      <c r="M266" s="366" cm="1">
        <f t="array" ref="M266">+_xlfn.IFS((C266&gt;='Resultats - informe'!$D$26)*(C266&lt;='Resultats - informe'!$E$26),0,(C266&gt;='Resultats - informe'!$D$27)*(C266&lt;='Resultats - informe'!$E$27),0,(C266&gt;='Resultats - informe'!$D$28)*(C266&lt;='Resultats - informe'!$E$28),0,(C266&gt;='Resultats - informe'!$D$29)*(C266&lt;='Resultats - informe'!$E$29),0,1,1)</f>
        <v>0</v>
      </c>
      <c r="N266" s="366">
        <f>+VLOOKUP(D266,'Resultats - informe'!$Y$18:$AG$42,'Introducció dades consum'!K266+1,0)</f>
        <v>0</v>
      </c>
      <c r="O266" s="367" cm="1">
        <f t="array" ref="O266">+_xlfn.SWITCH(MONTH(C266),1,1,2,1,3,1,4,2,5,2,6,3,7,3,8,3,9,3,10,2,11,2,12,1,2)</f>
        <v>1</v>
      </c>
      <c r="P266" s="43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</row>
    <row r="267" spans="1:73" ht="18" x14ac:dyDescent="0.35">
      <c r="A267" s="43"/>
      <c r="C267" s="393"/>
      <c r="E267" s="394"/>
      <c r="F267" s="394"/>
      <c r="G267" s="394"/>
      <c r="H267" s="8" t="s">
        <v>61</v>
      </c>
      <c r="I267" s="364">
        <f t="shared" si="13"/>
        <v>0</v>
      </c>
      <c r="J267" s="365">
        <f t="shared" si="12"/>
        <v>0</v>
      </c>
      <c r="K267" s="366">
        <f t="shared" si="14"/>
        <v>6</v>
      </c>
      <c r="L267" s="366">
        <f>+IF((C267&gt;='Resultats - informe'!$E$16)*(C267&lt;='Resultats - informe'!$G$16),1,0)</f>
        <v>1</v>
      </c>
      <c r="M267" s="366" cm="1">
        <f t="array" ref="M267">+_xlfn.IFS((C267&gt;='Resultats - informe'!$D$26)*(C267&lt;='Resultats - informe'!$E$26),0,(C267&gt;='Resultats - informe'!$D$27)*(C267&lt;='Resultats - informe'!$E$27),0,(C267&gt;='Resultats - informe'!$D$28)*(C267&lt;='Resultats - informe'!$E$28),0,(C267&gt;='Resultats - informe'!$D$29)*(C267&lt;='Resultats - informe'!$E$29),0,1,1)</f>
        <v>0</v>
      </c>
      <c r="N267" s="366">
        <f>+VLOOKUP(D267,'Resultats - informe'!$Y$18:$AG$42,'Introducció dades consum'!K267+1,0)</f>
        <v>0</v>
      </c>
      <c r="O267" s="367" cm="1">
        <f t="array" ref="O267">+_xlfn.SWITCH(MONTH(C267),1,1,2,1,3,1,4,2,5,2,6,3,7,3,8,3,9,3,10,2,11,2,12,1,2)</f>
        <v>1</v>
      </c>
      <c r="P267" s="43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</row>
    <row r="268" spans="1:73" ht="18" x14ac:dyDescent="0.35">
      <c r="A268" s="43"/>
      <c r="C268" s="393"/>
      <c r="E268" s="394"/>
      <c r="F268" s="394"/>
      <c r="G268" s="394"/>
      <c r="H268" s="8" t="s">
        <v>61</v>
      </c>
      <c r="I268" s="364">
        <f t="shared" si="13"/>
        <v>0</v>
      </c>
      <c r="J268" s="365">
        <f t="shared" si="12"/>
        <v>0</v>
      </c>
      <c r="K268" s="366">
        <f t="shared" si="14"/>
        <v>6</v>
      </c>
      <c r="L268" s="366">
        <f>+IF((C268&gt;='Resultats - informe'!$E$16)*(C268&lt;='Resultats - informe'!$G$16),1,0)</f>
        <v>1</v>
      </c>
      <c r="M268" s="366" cm="1">
        <f t="array" ref="M268">+_xlfn.IFS((C268&gt;='Resultats - informe'!$D$26)*(C268&lt;='Resultats - informe'!$E$26),0,(C268&gt;='Resultats - informe'!$D$27)*(C268&lt;='Resultats - informe'!$E$27),0,(C268&gt;='Resultats - informe'!$D$28)*(C268&lt;='Resultats - informe'!$E$28),0,(C268&gt;='Resultats - informe'!$D$29)*(C268&lt;='Resultats - informe'!$E$29),0,1,1)</f>
        <v>0</v>
      </c>
      <c r="N268" s="366">
        <f>+VLOOKUP(D268,'Resultats - informe'!$Y$18:$AG$42,'Introducció dades consum'!K268+1,0)</f>
        <v>0</v>
      </c>
      <c r="O268" s="367" cm="1">
        <f t="array" ref="O268">+_xlfn.SWITCH(MONTH(C268),1,1,2,1,3,1,4,2,5,2,6,3,7,3,8,3,9,3,10,2,11,2,12,1,2)</f>
        <v>1</v>
      </c>
      <c r="P268" s="43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</row>
    <row r="269" spans="1:73" ht="18" x14ac:dyDescent="0.35">
      <c r="A269" s="43"/>
      <c r="C269" s="393"/>
      <c r="E269" s="394"/>
      <c r="F269" s="394"/>
      <c r="G269" s="394"/>
      <c r="H269" s="8" t="s">
        <v>61</v>
      </c>
      <c r="I269" s="364">
        <f t="shared" si="13"/>
        <v>0</v>
      </c>
      <c r="J269" s="365">
        <f t="shared" si="12"/>
        <v>0</v>
      </c>
      <c r="K269" s="366">
        <f t="shared" si="14"/>
        <v>6</v>
      </c>
      <c r="L269" s="366">
        <f>+IF((C269&gt;='Resultats - informe'!$E$16)*(C269&lt;='Resultats - informe'!$G$16),1,0)</f>
        <v>1</v>
      </c>
      <c r="M269" s="366" cm="1">
        <f t="array" ref="M269">+_xlfn.IFS((C269&gt;='Resultats - informe'!$D$26)*(C269&lt;='Resultats - informe'!$E$26),0,(C269&gt;='Resultats - informe'!$D$27)*(C269&lt;='Resultats - informe'!$E$27),0,(C269&gt;='Resultats - informe'!$D$28)*(C269&lt;='Resultats - informe'!$E$28),0,(C269&gt;='Resultats - informe'!$D$29)*(C269&lt;='Resultats - informe'!$E$29),0,1,1)</f>
        <v>0</v>
      </c>
      <c r="N269" s="366">
        <f>+VLOOKUP(D269,'Resultats - informe'!$Y$18:$AG$42,'Introducció dades consum'!K269+1,0)</f>
        <v>0</v>
      </c>
      <c r="O269" s="367" cm="1">
        <f t="array" ref="O269">+_xlfn.SWITCH(MONTH(C269),1,1,2,1,3,1,4,2,5,2,6,3,7,3,8,3,9,3,10,2,11,2,12,1,2)</f>
        <v>1</v>
      </c>
      <c r="P269" s="43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</row>
    <row r="270" spans="1:73" ht="18" x14ac:dyDescent="0.35">
      <c r="A270" s="43"/>
      <c r="C270" s="393"/>
      <c r="E270" s="394"/>
      <c r="F270" s="394"/>
      <c r="G270" s="394"/>
      <c r="H270" s="8" t="s">
        <v>61</v>
      </c>
      <c r="I270" s="364">
        <f t="shared" si="13"/>
        <v>0</v>
      </c>
      <c r="J270" s="365">
        <f t="shared" si="12"/>
        <v>0</v>
      </c>
      <c r="K270" s="366">
        <f t="shared" si="14"/>
        <v>6</v>
      </c>
      <c r="L270" s="366">
        <f>+IF((C270&gt;='Resultats - informe'!$E$16)*(C270&lt;='Resultats - informe'!$G$16),1,0)</f>
        <v>1</v>
      </c>
      <c r="M270" s="366" cm="1">
        <f t="array" ref="M270">+_xlfn.IFS((C270&gt;='Resultats - informe'!$D$26)*(C270&lt;='Resultats - informe'!$E$26),0,(C270&gt;='Resultats - informe'!$D$27)*(C270&lt;='Resultats - informe'!$E$27),0,(C270&gt;='Resultats - informe'!$D$28)*(C270&lt;='Resultats - informe'!$E$28),0,(C270&gt;='Resultats - informe'!$D$29)*(C270&lt;='Resultats - informe'!$E$29),0,1,1)</f>
        <v>0</v>
      </c>
      <c r="N270" s="366">
        <f>+VLOOKUP(D270,'Resultats - informe'!$Y$18:$AG$42,'Introducció dades consum'!K270+1,0)</f>
        <v>0</v>
      </c>
      <c r="O270" s="367" cm="1">
        <f t="array" ref="O270">+_xlfn.SWITCH(MONTH(C270),1,1,2,1,3,1,4,2,5,2,6,3,7,3,8,3,9,3,10,2,11,2,12,1,2)</f>
        <v>1</v>
      </c>
      <c r="P270" s="43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</row>
    <row r="271" spans="1:73" ht="18" x14ac:dyDescent="0.35">
      <c r="A271" s="43"/>
      <c r="C271" s="393"/>
      <c r="E271" s="394"/>
      <c r="F271" s="394"/>
      <c r="G271" s="394"/>
      <c r="H271" s="8" t="s">
        <v>61</v>
      </c>
      <c r="I271" s="364">
        <f t="shared" si="13"/>
        <v>0</v>
      </c>
      <c r="J271" s="365">
        <f t="shared" si="12"/>
        <v>0</v>
      </c>
      <c r="K271" s="366">
        <f t="shared" si="14"/>
        <v>6</v>
      </c>
      <c r="L271" s="366">
        <f>+IF((C271&gt;='Resultats - informe'!$E$16)*(C271&lt;='Resultats - informe'!$G$16),1,0)</f>
        <v>1</v>
      </c>
      <c r="M271" s="366" cm="1">
        <f t="array" ref="M271">+_xlfn.IFS((C271&gt;='Resultats - informe'!$D$26)*(C271&lt;='Resultats - informe'!$E$26),0,(C271&gt;='Resultats - informe'!$D$27)*(C271&lt;='Resultats - informe'!$E$27),0,(C271&gt;='Resultats - informe'!$D$28)*(C271&lt;='Resultats - informe'!$E$28),0,(C271&gt;='Resultats - informe'!$D$29)*(C271&lt;='Resultats - informe'!$E$29),0,1,1)</f>
        <v>0</v>
      </c>
      <c r="N271" s="366">
        <f>+VLOOKUP(D271,'Resultats - informe'!$Y$18:$AG$42,'Introducció dades consum'!K271+1,0)</f>
        <v>0</v>
      </c>
      <c r="O271" s="367" cm="1">
        <f t="array" ref="O271">+_xlfn.SWITCH(MONTH(C271),1,1,2,1,3,1,4,2,5,2,6,3,7,3,8,3,9,3,10,2,11,2,12,1,2)</f>
        <v>1</v>
      </c>
      <c r="P271" s="43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</row>
    <row r="272" spans="1:73" ht="18" x14ac:dyDescent="0.35">
      <c r="A272" s="43"/>
      <c r="C272" s="393"/>
      <c r="E272" s="394"/>
      <c r="F272" s="394"/>
      <c r="G272" s="394"/>
      <c r="H272" s="8" t="s">
        <v>61</v>
      </c>
      <c r="I272" s="364">
        <f t="shared" si="13"/>
        <v>0</v>
      </c>
      <c r="J272" s="365">
        <f t="shared" si="12"/>
        <v>0</v>
      </c>
      <c r="K272" s="366">
        <f t="shared" si="14"/>
        <v>6</v>
      </c>
      <c r="L272" s="366">
        <f>+IF((C272&gt;='Resultats - informe'!$E$16)*(C272&lt;='Resultats - informe'!$G$16),1,0)</f>
        <v>1</v>
      </c>
      <c r="M272" s="366" cm="1">
        <f t="array" ref="M272">+_xlfn.IFS((C272&gt;='Resultats - informe'!$D$26)*(C272&lt;='Resultats - informe'!$E$26),0,(C272&gt;='Resultats - informe'!$D$27)*(C272&lt;='Resultats - informe'!$E$27),0,(C272&gt;='Resultats - informe'!$D$28)*(C272&lt;='Resultats - informe'!$E$28),0,(C272&gt;='Resultats - informe'!$D$29)*(C272&lt;='Resultats - informe'!$E$29),0,1,1)</f>
        <v>0</v>
      </c>
      <c r="N272" s="366">
        <f>+VLOOKUP(D272,'Resultats - informe'!$Y$18:$AG$42,'Introducció dades consum'!K272+1,0)</f>
        <v>0</v>
      </c>
      <c r="O272" s="367" cm="1">
        <f t="array" ref="O272">+_xlfn.SWITCH(MONTH(C272),1,1,2,1,3,1,4,2,5,2,6,3,7,3,8,3,9,3,10,2,11,2,12,1,2)</f>
        <v>1</v>
      </c>
      <c r="P272" s="43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</row>
    <row r="273" spans="1:73" ht="18" x14ac:dyDescent="0.35">
      <c r="A273" s="43"/>
      <c r="C273" s="393"/>
      <c r="E273" s="394"/>
      <c r="F273" s="394"/>
      <c r="G273" s="394"/>
      <c r="H273" s="8" t="s">
        <v>61</v>
      </c>
      <c r="I273" s="364">
        <f t="shared" si="13"/>
        <v>0</v>
      </c>
      <c r="J273" s="365">
        <f t="shared" si="12"/>
        <v>0</v>
      </c>
      <c r="K273" s="366">
        <f t="shared" si="14"/>
        <v>6</v>
      </c>
      <c r="L273" s="366">
        <f>+IF((C273&gt;='Resultats - informe'!$E$16)*(C273&lt;='Resultats - informe'!$G$16),1,0)</f>
        <v>1</v>
      </c>
      <c r="M273" s="366" cm="1">
        <f t="array" ref="M273">+_xlfn.IFS((C273&gt;='Resultats - informe'!$D$26)*(C273&lt;='Resultats - informe'!$E$26),0,(C273&gt;='Resultats - informe'!$D$27)*(C273&lt;='Resultats - informe'!$E$27),0,(C273&gt;='Resultats - informe'!$D$28)*(C273&lt;='Resultats - informe'!$E$28),0,(C273&gt;='Resultats - informe'!$D$29)*(C273&lt;='Resultats - informe'!$E$29),0,1,1)</f>
        <v>0</v>
      </c>
      <c r="N273" s="366">
        <f>+VLOOKUP(D273,'Resultats - informe'!$Y$18:$AG$42,'Introducció dades consum'!K273+1,0)</f>
        <v>0</v>
      </c>
      <c r="O273" s="367" cm="1">
        <f t="array" ref="O273">+_xlfn.SWITCH(MONTH(C273),1,1,2,1,3,1,4,2,5,2,6,3,7,3,8,3,9,3,10,2,11,2,12,1,2)</f>
        <v>1</v>
      </c>
      <c r="P273" s="43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</row>
    <row r="274" spans="1:73" ht="18" x14ac:dyDescent="0.35">
      <c r="A274" s="43"/>
      <c r="C274" s="393"/>
      <c r="E274" s="394"/>
      <c r="F274" s="394"/>
      <c r="G274" s="394"/>
      <c r="H274" s="8" t="s">
        <v>61</v>
      </c>
      <c r="I274" s="364">
        <f t="shared" si="13"/>
        <v>0</v>
      </c>
      <c r="J274" s="365">
        <f t="shared" si="12"/>
        <v>0</v>
      </c>
      <c r="K274" s="366">
        <f t="shared" si="14"/>
        <v>6</v>
      </c>
      <c r="L274" s="366">
        <f>+IF((C274&gt;='Resultats - informe'!$E$16)*(C274&lt;='Resultats - informe'!$G$16),1,0)</f>
        <v>1</v>
      </c>
      <c r="M274" s="366" cm="1">
        <f t="array" ref="M274">+_xlfn.IFS((C274&gt;='Resultats - informe'!$D$26)*(C274&lt;='Resultats - informe'!$E$26),0,(C274&gt;='Resultats - informe'!$D$27)*(C274&lt;='Resultats - informe'!$E$27),0,(C274&gt;='Resultats - informe'!$D$28)*(C274&lt;='Resultats - informe'!$E$28),0,(C274&gt;='Resultats - informe'!$D$29)*(C274&lt;='Resultats - informe'!$E$29),0,1,1)</f>
        <v>0</v>
      </c>
      <c r="N274" s="366">
        <f>+VLOOKUP(D274,'Resultats - informe'!$Y$18:$AG$42,'Introducció dades consum'!K274+1,0)</f>
        <v>0</v>
      </c>
      <c r="O274" s="367" cm="1">
        <f t="array" ref="O274">+_xlfn.SWITCH(MONTH(C274),1,1,2,1,3,1,4,2,5,2,6,3,7,3,8,3,9,3,10,2,11,2,12,1,2)</f>
        <v>1</v>
      </c>
      <c r="P274" s="43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</row>
    <row r="275" spans="1:73" ht="18" x14ac:dyDescent="0.35">
      <c r="A275" s="43"/>
      <c r="C275" s="393"/>
      <c r="E275" s="394"/>
      <c r="F275" s="394"/>
      <c r="G275" s="394"/>
      <c r="H275" s="8" t="s">
        <v>61</v>
      </c>
      <c r="I275" s="364">
        <f t="shared" si="13"/>
        <v>0</v>
      </c>
      <c r="J275" s="365">
        <f t="shared" si="12"/>
        <v>0</v>
      </c>
      <c r="K275" s="366">
        <f t="shared" si="14"/>
        <v>6</v>
      </c>
      <c r="L275" s="366">
        <f>+IF((C275&gt;='Resultats - informe'!$E$16)*(C275&lt;='Resultats - informe'!$G$16),1,0)</f>
        <v>1</v>
      </c>
      <c r="M275" s="366" cm="1">
        <f t="array" ref="M275">+_xlfn.IFS((C275&gt;='Resultats - informe'!$D$26)*(C275&lt;='Resultats - informe'!$E$26),0,(C275&gt;='Resultats - informe'!$D$27)*(C275&lt;='Resultats - informe'!$E$27),0,(C275&gt;='Resultats - informe'!$D$28)*(C275&lt;='Resultats - informe'!$E$28),0,(C275&gt;='Resultats - informe'!$D$29)*(C275&lt;='Resultats - informe'!$E$29),0,1,1)</f>
        <v>0</v>
      </c>
      <c r="N275" s="366">
        <f>+VLOOKUP(D275,'Resultats - informe'!$Y$18:$AG$42,'Introducció dades consum'!K275+1,0)</f>
        <v>0</v>
      </c>
      <c r="O275" s="367" cm="1">
        <f t="array" ref="O275">+_xlfn.SWITCH(MONTH(C275),1,1,2,1,3,1,4,2,5,2,6,3,7,3,8,3,9,3,10,2,11,2,12,1,2)</f>
        <v>1</v>
      </c>
      <c r="P275" s="43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</row>
    <row r="276" spans="1:73" ht="18" x14ac:dyDescent="0.35">
      <c r="A276" s="43"/>
      <c r="C276" s="393"/>
      <c r="E276" s="394"/>
      <c r="F276" s="394"/>
      <c r="G276" s="394"/>
      <c r="H276" s="8" t="s">
        <v>61</v>
      </c>
      <c r="I276" s="364">
        <f t="shared" si="13"/>
        <v>0</v>
      </c>
      <c r="J276" s="365">
        <f t="shared" si="12"/>
        <v>0</v>
      </c>
      <c r="K276" s="366">
        <f t="shared" si="14"/>
        <v>6</v>
      </c>
      <c r="L276" s="366">
        <f>+IF((C276&gt;='Resultats - informe'!$E$16)*(C276&lt;='Resultats - informe'!$G$16),1,0)</f>
        <v>1</v>
      </c>
      <c r="M276" s="366" cm="1">
        <f t="array" ref="M276">+_xlfn.IFS((C276&gt;='Resultats - informe'!$D$26)*(C276&lt;='Resultats - informe'!$E$26),0,(C276&gt;='Resultats - informe'!$D$27)*(C276&lt;='Resultats - informe'!$E$27),0,(C276&gt;='Resultats - informe'!$D$28)*(C276&lt;='Resultats - informe'!$E$28),0,(C276&gt;='Resultats - informe'!$D$29)*(C276&lt;='Resultats - informe'!$E$29),0,1,1)</f>
        <v>0</v>
      </c>
      <c r="N276" s="366">
        <f>+VLOOKUP(D276,'Resultats - informe'!$Y$18:$AG$42,'Introducció dades consum'!K276+1,0)</f>
        <v>0</v>
      </c>
      <c r="O276" s="367" cm="1">
        <f t="array" ref="O276">+_xlfn.SWITCH(MONTH(C276),1,1,2,1,3,1,4,2,5,2,6,3,7,3,8,3,9,3,10,2,11,2,12,1,2)</f>
        <v>1</v>
      </c>
      <c r="P276" s="43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</row>
    <row r="277" spans="1:73" ht="18" x14ac:dyDescent="0.35">
      <c r="A277" s="43"/>
      <c r="C277" s="393"/>
      <c r="E277" s="394"/>
      <c r="F277" s="394"/>
      <c r="G277" s="394"/>
      <c r="H277" s="8" t="s">
        <v>61</v>
      </c>
      <c r="I277" s="364">
        <f t="shared" si="13"/>
        <v>0</v>
      </c>
      <c r="J277" s="365">
        <f t="shared" si="12"/>
        <v>0</v>
      </c>
      <c r="K277" s="366">
        <f t="shared" si="14"/>
        <v>6</v>
      </c>
      <c r="L277" s="366">
        <f>+IF((C277&gt;='Resultats - informe'!$E$16)*(C277&lt;='Resultats - informe'!$G$16),1,0)</f>
        <v>1</v>
      </c>
      <c r="M277" s="366" cm="1">
        <f t="array" ref="M277">+_xlfn.IFS((C277&gt;='Resultats - informe'!$D$26)*(C277&lt;='Resultats - informe'!$E$26),0,(C277&gt;='Resultats - informe'!$D$27)*(C277&lt;='Resultats - informe'!$E$27),0,(C277&gt;='Resultats - informe'!$D$28)*(C277&lt;='Resultats - informe'!$E$28),0,(C277&gt;='Resultats - informe'!$D$29)*(C277&lt;='Resultats - informe'!$E$29),0,1,1)</f>
        <v>0</v>
      </c>
      <c r="N277" s="366">
        <f>+VLOOKUP(D277,'Resultats - informe'!$Y$18:$AG$42,'Introducció dades consum'!K277+1,0)</f>
        <v>0</v>
      </c>
      <c r="O277" s="367" cm="1">
        <f t="array" ref="O277">+_xlfn.SWITCH(MONTH(C277),1,1,2,1,3,1,4,2,5,2,6,3,7,3,8,3,9,3,10,2,11,2,12,1,2)</f>
        <v>1</v>
      </c>
      <c r="P277" s="43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</row>
    <row r="278" spans="1:73" ht="18" x14ac:dyDescent="0.35">
      <c r="A278" s="43"/>
      <c r="C278" s="393"/>
      <c r="E278" s="394"/>
      <c r="F278" s="394"/>
      <c r="G278" s="394"/>
      <c r="H278" s="8" t="s">
        <v>61</v>
      </c>
      <c r="I278" s="364">
        <f t="shared" si="13"/>
        <v>0</v>
      </c>
      <c r="J278" s="365">
        <f t="shared" si="12"/>
        <v>0</v>
      </c>
      <c r="K278" s="366">
        <f t="shared" si="14"/>
        <v>6</v>
      </c>
      <c r="L278" s="366">
        <f>+IF((C278&gt;='Resultats - informe'!$E$16)*(C278&lt;='Resultats - informe'!$G$16),1,0)</f>
        <v>1</v>
      </c>
      <c r="M278" s="366" cm="1">
        <f t="array" ref="M278">+_xlfn.IFS((C278&gt;='Resultats - informe'!$D$26)*(C278&lt;='Resultats - informe'!$E$26),0,(C278&gt;='Resultats - informe'!$D$27)*(C278&lt;='Resultats - informe'!$E$27),0,(C278&gt;='Resultats - informe'!$D$28)*(C278&lt;='Resultats - informe'!$E$28),0,(C278&gt;='Resultats - informe'!$D$29)*(C278&lt;='Resultats - informe'!$E$29),0,1,1)</f>
        <v>0</v>
      </c>
      <c r="N278" s="366">
        <f>+VLOOKUP(D278,'Resultats - informe'!$Y$18:$AG$42,'Introducció dades consum'!K278+1,0)</f>
        <v>0</v>
      </c>
      <c r="O278" s="367" cm="1">
        <f t="array" ref="O278">+_xlfn.SWITCH(MONTH(C278),1,1,2,1,3,1,4,2,5,2,6,3,7,3,8,3,9,3,10,2,11,2,12,1,2)</f>
        <v>1</v>
      </c>
      <c r="P278" s="43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</row>
    <row r="279" spans="1:73" ht="18" x14ac:dyDescent="0.35">
      <c r="A279" s="43"/>
      <c r="C279" s="393"/>
      <c r="E279" s="394"/>
      <c r="F279" s="394"/>
      <c r="G279" s="394"/>
      <c r="H279" s="8" t="s">
        <v>61</v>
      </c>
      <c r="I279" s="364">
        <f t="shared" si="13"/>
        <v>0</v>
      </c>
      <c r="J279" s="365">
        <f t="shared" si="12"/>
        <v>0</v>
      </c>
      <c r="K279" s="366">
        <f t="shared" si="14"/>
        <v>6</v>
      </c>
      <c r="L279" s="366">
        <f>+IF((C279&gt;='Resultats - informe'!$E$16)*(C279&lt;='Resultats - informe'!$G$16),1,0)</f>
        <v>1</v>
      </c>
      <c r="M279" s="366" cm="1">
        <f t="array" ref="M279">+_xlfn.IFS((C279&gt;='Resultats - informe'!$D$26)*(C279&lt;='Resultats - informe'!$E$26),0,(C279&gt;='Resultats - informe'!$D$27)*(C279&lt;='Resultats - informe'!$E$27),0,(C279&gt;='Resultats - informe'!$D$28)*(C279&lt;='Resultats - informe'!$E$28),0,(C279&gt;='Resultats - informe'!$D$29)*(C279&lt;='Resultats - informe'!$E$29),0,1,1)</f>
        <v>0</v>
      </c>
      <c r="N279" s="366">
        <f>+VLOOKUP(D279,'Resultats - informe'!$Y$18:$AG$42,'Introducció dades consum'!K279+1,0)</f>
        <v>0</v>
      </c>
      <c r="O279" s="367" cm="1">
        <f t="array" ref="O279">+_xlfn.SWITCH(MONTH(C279),1,1,2,1,3,1,4,2,5,2,6,3,7,3,8,3,9,3,10,2,11,2,12,1,2)</f>
        <v>1</v>
      </c>
      <c r="P279" s="43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</row>
    <row r="280" spans="1:73" ht="18" x14ac:dyDescent="0.35">
      <c r="A280" s="43"/>
      <c r="C280" s="393"/>
      <c r="E280" s="394"/>
      <c r="F280" s="394"/>
      <c r="G280" s="394"/>
      <c r="H280" s="8" t="s">
        <v>61</v>
      </c>
      <c r="I280" s="364">
        <f t="shared" si="13"/>
        <v>0</v>
      </c>
      <c r="J280" s="365">
        <f t="shared" si="12"/>
        <v>0</v>
      </c>
      <c r="K280" s="366">
        <f t="shared" si="14"/>
        <v>6</v>
      </c>
      <c r="L280" s="366">
        <f>+IF((C280&gt;='Resultats - informe'!$E$16)*(C280&lt;='Resultats - informe'!$G$16),1,0)</f>
        <v>1</v>
      </c>
      <c r="M280" s="366" cm="1">
        <f t="array" ref="M280">+_xlfn.IFS((C280&gt;='Resultats - informe'!$D$26)*(C280&lt;='Resultats - informe'!$E$26),0,(C280&gt;='Resultats - informe'!$D$27)*(C280&lt;='Resultats - informe'!$E$27),0,(C280&gt;='Resultats - informe'!$D$28)*(C280&lt;='Resultats - informe'!$E$28),0,(C280&gt;='Resultats - informe'!$D$29)*(C280&lt;='Resultats - informe'!$E$29),0,1,1)</f>
        <v>0</v>
      </c>
      <c r="N280" s="366">
        <f>+VLOOKUP(D280,'Resultats - informe'!$Y$18:$AG$42,'Introducció dades consum'!K280+1,0)</f>
        <v>0</v>
      </c>
      <c r="O280" s="367" cm="1">
        <f t="array" ref="O280">+_xlfn.SWITCH(MONTH(C280),1,1,2,1,3,1,4,2,5,2,6,3,7,3,8,3,9,3,10,2,11,2,12,1,2)</f>
        <v>1</v>
      </c>
      <c r="P280" s="43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</row>
    <row r="281" spans="1:73" ht="18" x14ac:dyDescent="0.35">
      <c r="A281" s="43"/>
      <c r="C281" s="393"/>
      <c r="E281" s="394"/>
      <c r="F281" s="394"/>
      <c r="G281" s="394"/>
      <c r="H281" s="8" t="s">
        <v>61</v>
      </c>
      <c r="I281" s="364">
        <f t="shared" si="13"/>
        <v>0</v>
      </c>
      <c r="J281" s="365">
        <f t="shared" si="12"/>
        <v>0</v>
      </c>
      <c r="K281" s="366">
        <f t="shared" si="14"/>
        <v>6</v>
      </c>
      <c r="L281" s="366">
        <f>+IF((C281&gt;='Resultats - informe'!$E$16)*(C281&lt;='Resultats - informe'!$G$16),1,0)</f>
        <v>1</v>
      </c>
      <c r="M281" s="366" cm="1">
        <f t="array" ref="M281">+_xlfn.IFS((C281&gt;='Resultats - informe'!$D$26)*(C281&lt;='Resultats - informe'!$E$26),0,(C281&gt;='Resultats - informe'!$D$27)*(C281&lt;='Resultats - informe'!$E$27),0,(C281&gt;='Resultats - informe'!$D$28)*(C281&lt;='Resultats - informe'!$E$28),0,(C281&gt;='Resultats - informe'!$D$29)*(C281&lt;='Resultats - informe'!$E$29),0,1,1)</f>
        <v>0</v>
      </c>
      <c r="N281" s="366">
        <f>+VLOOKUP(D281,'Resultats - informe'!$Y$18:$AG$42,'Introducció dades consum'!K281+1,0)</f>
        <v>0</v>
      </c>
      <c r="O281" s="367" cm="1">
        <f t="array" ref="O281">+_xlfn.SWITCH(MONTH(C281),1,1,2,1,3,1,4,2,5,2,6,3,7,3,8,3,9,3,10,2,11,2,12,1,2)</f>
        <v>1</v>
      </c>
      <c r="P281" s="43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</row>
    <row r="282" spans="1:73" ht="18" x14ac:dyDescent="0.35">
      <c r="A282" s="43"/>
      <c r="C282" s="393"/>
      <c r="E282" s="394"/>
      <c r="F282" s="394"/>
      <c r="G282" s="394"/>
      <c r="H282" s="8" t="s">
        <v>61</v>
      </c>
      <c r="I282" s="364">
        <f t="shared" si="13"/>
        <v>0</v>
      </c>
      <c r="J282" s="365">
        <f t="shared" si="12"/>
        <v>0</v>
      </c>
      <c r="K282" s="366">
        <f t="shared" si="14"/>
        <v>6</v>
      </c>
      <c r="L282" s="366">
        <f>+IF((C282&gt;='Resultats - informe'!$E$16)*(C282&lt;='Resultats - informe'!$G$16),1,0)</f>
        <v>1</v>
      </c>
      <c r="M282" s="366" cm="1">
        <f t="array" ref="M282">+_xlfn.IFS((C282&gt;='Resultats - informe'!$D$26)*(C282&lt;='Resultats - informe'!$E$26),0,(C282&gt;='Resultats - informe'!$D$27)*(C282&lt;='Resultats - informe'!$E$27),0,(C282&gt;='Resultats - informe'!$D$28)*(C282&lt;='Resultats - informe'!$E$28),0,(C282&gt;='Resultats - informe'!$D$29)*(C282&lt;='Resultats - informe'!$E$29),0,1,1)</f>
        <v>0</v>
      </c>
      <c r="N282" s="366">
        <f>+VLOOKUP(D282,'Resultats - informe'!$Y$18:$AG$42,'Introducció dades consum'!K282+1,0)</f>
        <v>0</v>
      </c>
      <c r="O282" s="367" cm="1">
        <f t="array" ref="O282">+_xlfn.SWITCH(MONTH(C282),1,1,2,1,3,1,4,2,5,2,6,3,7,3,8,3,9,3,10,2,11,2,12,1,2)</f>
        <v>1</v>
      </c>
      <c r="P282" s="43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</row>
    <row r="283" spans="1:73" ht="18" x14ac:dyDescent="0.35">
      <c r="A283" s="43"/>
      <c r="C283" s="393"/>
      <c r="E283" s="394"/>
      <c r="F283" s="394"/>
      <c r="G283" s="394"/>
      <c r="H283" s="8" t="s">
        <v>61</v>
      </c>
      <c r="I283" s="364">
        <f t="shared" si="13"/>
        <v>0</v>
      </c>
      <c r="J283" s="365">
        <f t="shared" si="12"/>
        <v>0</v>
      </c>
      <c r="K283" s="366">
        <f t="shared" si="14"/>
        <v>6</v>
      </c>
      <c r="L283" s="366">
        <f>+IF((C283&gt;='Resultats - informe'!$E$16)*(C283&lt;='Resultats - informe'!$G$16),1,0)</f>
        <v>1</v>
      </c>
      <c r="M283" s="366" cm="1">
        <f t="array" ref="M283">+_xlfn.IFS((C283&gt;='Resultats - informe'!$D$26)*(C283&lt;='Resultats - informe'!$E$26),0,(C283&gt;='Resultats - informe'!$D$27)*(C283&lt;='Resultats - informe'!$E$27),0,(C283&gt;='Resultats - informe'!$D$28)*(C283&lt;='Resultats - informe'!$E$28),0,(C283&gt;='Resultats - informe'!$D$29)*(C283&lt;='Resultats - informe'!$E$29),0,1,1)</f>
        <v>0</v>
      </c>
      <c r="N283" s="366">
        <f>+VLOOKUP(D283,'Resultats - informe'!$Y$18:$AG$42,'Introducció dades consum'!K283+1,0)</f>
        <v>0</v>
      </c>
      <c r="O283" s="367" cm="1">
        <f t="array" ref="O283">+_xlfn.SWITCH(MONTH(C283),1,1,2,1,3,1,4,2,5,2,6,3,7,3,8,3,9,3,10,2,11,2,12,1,2)</f>
        <v>1</v>
      </c>
      <c r="P283" s="43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</row>
    <row r="284" spans="1:73" ht="18" x14ac:dyDescent="0.35">
      <c r="A284" s="43"/>
      <c r="C284" s="393"/>
      <c r="E284" s="394"/>
      <c r="F284" s="394"/>
      <c r="G284" s="394"/>
      <c r="H284" s="8" t="s">
        <v>61</v>
      </c>
      <c r="I284" s="364">
        <f t="shared" si="13"/>
        <v>0</v>
      </c>
      <c r="J284" s="365">
        <f t="shared" si="12"/>
        <v>0</v>
      </c>
      <c r="K284" s="366">
        <f t="shared" si="14"/>
        <v>6</v>
      </c>
      <c r="L284" s="366">
        <f>+IF((C284&gt;='Resultats - informe'!$E$16)*(C284&lt;='Resultats - informe'!$G$16),1,0)</f>
        <v>1</v>
      </c>
      <c r="M284" s="366" cm="1">
        <f t="array" ref="M284">+_xlfn.IFS((C284&gt;='Resultats - informe'!$D$26)*(C284&lt;='Resultats - informe'!$E$26),0,(C284&gt;='Resultats - informe'!$D$27)*(C284&lt;='Resultats - informe'!$E$27),0,(C284&gt;='Resultats - informe'!$D$28)*(C284&lt;='Resultats - informe'!$E$28),0,(C284&gt;='Resultats - informe'!$D$29)*(C284&lt;='Resultats - informe'!$E$29),0,1,1)</f>
        <v>0</v>
      </c>
      <c r="N284" s="366">
        <f>+VLOOKUP(D284,'Resultats - informe'!$Y$18:$AG$42,'Introducció dades consum'!K284+1,0)</f>
        <v>0</v>
      </c>
      <c r="O284" s="367" cm="1">
        <f t="array" ref="O284">+_xlfn.SWITCH(MONTH(C284),1,1,2,1,3,1,4,2,5,2,6,3,7,3,8,3,9,3,10,2,11,2,12,1,2)</f>
        <v>1</v>
      </c>
      <c r="P284" s="43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</row>
    <row r="285" spans="1:73" ht="18" x14ac:dyDescent="0.35">
      <c r="A285" s="43"/>
      <c r="C285" s="393"/>
      <c r="E285" s="394"/>
      <c r="F285" s="394"/>
      <c r="G285" s="394"/>
      <c r="H285" s="8" t="s">
        <v>61</v>
      </c>
      <c r="I285" s="364">
        <f t="shared" si="13"/>
        <v>0</v>
      </c>
      <c r="J285" s="365">
        <f t="shared" si="12"/>
        <v>0</v>
      </c>
      <c r="K285" s="366">
        <f t="shared" si="14"/>
        <v>6</v>
      </c>
      <c r="L285" s="366">
        <f>+IF((C285&gt;='Resultats - informe'!$E$16)*(C285&lt;='Resultats - informe'!$G$16),1,0)</f>
        <v>1</v>
      </c>
      <c r="M285" s="366" cm="1">
        <f t="array" ref="M285">+_xlfn.IFS((C285&gt;='Resultats - informe'!$D$26)*(C285&lt;='Resultats - informe'!$E$26),0,(C285&gt;='Resultats - informe'!$D$27)*(C285&lt;='Resultats - informe'!$E$27),0,(C285&gt;='Resultats - informe'!$D$28)*(C285&lt;='Resultats - informe'!$E$28),0,(C285&gt;='Resultats - informe'!$D$29)*(C285&lt;='Resultats - informe'!$E$29),0,1,1)</f>
        <v>0</v>
      </c>
      <c r="N285" s="366">
        <f>+VLOOKUP(D285,'Resultats - informe'!$Y$18:$AG$42,'Introducció dades consum'!K285+1,0)</f>
        <v>0</v>
      </c>
      <c r="O285" s="367" cm="1">
        <f t="array" ref="O285">+_xlfn.SWITCH(MONTH(C285),1,1,2,1,3,1,4,2,5,2,6,3,7,3,8,3,9,3,10,2,11,2,12,1,2)</f>
        <v>1</v>
      </c>
      <c r="P285" s="43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</row>
    <row r="286" spans="1:73" ht="18" x14ac:dyDescent="0.35">
      <c r="A286" s="43"/>
      <c r="C286" s="393"/>
      <c r="E286" s="394"/>
      <c r="F286" s="394"/>
      <c r="G286" s="394"/>
      <c r="H286" s="8" t="s">
        <v>61</v>
      </c>
      <c r="I286" s="364">
        <f t="shared" si="13"/>
        <v>0</v>
      </c>
      <c r="J286" s="365">
        <f t="shared" si="12"/>
        <v>0</v>
      </c>
      <c r="K286" s="366">
        <f t="shared" si="14"/>
        <v>6</v>
      </c>
      <c r="L286" s="366">
        <f>+IF((C286&gt;='Resultats - informe'!$E$16)*(C286&lt;='Resultats - informe'!$G$16),1,0)</f>
        <v>1</v>
      </c>
      <c r="M286" s="366" cm="1">
        <f t="array" ref="M286">+_xlfn.IFS((C286&gt;='Resultats - informe'!$D$26)*(C286&lt;='Resultats - informe'!$E$26),0,(C286&gt;='Resultats - informe'!$D$27)*(C286&lt;='Resultats - informe'!$E$27),0,(C286&gt;='Resultats - informe'!$D$28)*(C286&lt;='Resultats - informe'!$E$28),0,(C286&gt;='Resultats - informe'!$D$29)*(C286&lt;='Resultats - informe'!$E$29),0,1,1)</f>
        <v>0</v>
      </c>
      <c r="N286" s="366">
        <f>+VLOOKUP(D286,'Resultats - informe'!$Y$18:$AG$42,'Introducció dades consum'!K286+1,0)</f>
        <v>0</v>
      </c>
      <c r="O286" s="367" cm="1">
        <f t="array" ref="O286">+_xlfn.SWITCH(MONTH(C286),1,1,2,1,3,1,4,2,5,2,6,3,7,3,8,3,9,3,10,2,11,2,12,1,2)</f>
        <v>1</v>
      </c>
      <c r="P286" s="43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</row>
    <row r="287" spans="1:73" ht="18" x14ac:dyDescent="0.35">
      <c r="A287" s="43"/>
      <c r="C287" s="393"/>
      <c r="E287" s="394"/>
      <c r="F287" s="394"/>
      <c r="G287" s="394"/>
      <c r="H287" s="8" t="s">
        <v>61</v>
      </c>
      <c r="I287" s="364">
        <f t="shared" si="13"/>
        <v>0</v>
      </c>
      <c r="J287" s="365">
        <f t="shared" si="12"/>
        <v>0</v>
      </c>
      <c r="K287" s="366">
        <f t="shared" si="14"/>
        <v>6</v>
      </c>
      <c r="L287" s="366">
        <f>+IF((C287&gt;='Resultats - informe'!$E$16)*(C287&lt;='Resultats - informe'!$G$16),1,0)</f>
        <v>1</v>
      </c>
      <c r="M287" s="366" cm="1">
        <f t="array" ref="M287">+_xlfn.IFS((C287&gt;='Resultats - informe'!$D$26)*(C287&lt;='Resultats - informe'!$E$26),0,(C287&gt;='Resultats - informe'!$D$27)*(C287&lt;='Resultats - informe'!$E$27),0,(C287&gt;='Resultats - informe'!$D$28)*(C287&lt;='Resultats - informe'!$E$28),0,(C287&gt;='Resultats - informe'!$D$29)*(C287&lt;='Resultats - informe'!$E$29),0,1,1)</f>
        <v>0</v>
      </c>
      <c r="N287" s="366">
        <f>+VLOOKUP(D287,'Resultats - informe'!$Y$18:$AG$42,'Introducció dades consum'!K287+1,0)</f>
        <v>0</v>
      </c>
      <c r="O287" s="367" cm="1">
        <f t="array" ref="O287">+_xlfn.SWITCH(MONTH(C287),1,1,2,1,3,1,4,2,5,2,6,3,7,3,8,3,9,3,10,2,11,2,12,1,2)</f>
        <v>1</v>
      </c>
      <c r="P287" s="43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</row>
    <row r="288" spans="1:73" ht="18" x14ac:dyDescent="0.35">
      <c r="A288" s="43"/>
      <c r="C288" s="393"/>
      <c r="E288" s="394"/>
      <c r="F288" s="394"/>
      <c r="G288" s="394"/>
      <c r="H288" s="8" t="s">
        <v>61</v>
      </c>
      <c r="I288" s="364">
        <f t="shared" si="13"/>
        <v>0</v>
      </c>
      <c r="J288" s="365">
        <f t="shared" si="12"/>
        <v>0</v>
      </c>
      <c r="K288" s="366">
        <f t="shared" si="14"/>
        <v>6</v>
      </c>
      <c r="L288" s="366">
        <f>+IF((C288&gt;='Resultats - informe'!$E$16)*(C288&lt;='Resultats - informe'!$G$16),1,0)</f>
        <v>1</v>
      </c>
      <c r="M288" s="366" cm="1">
        <f t="array" ref="M288">+_xlfn.IFS((C288&gt;='Resultats - informe'!$D$26)*(C288&lt;='Resultats - informe'!$E$26),0,(C288&gt;='Resultats - informe'!$D$27)*(C288&lt;='Resultats - informe'!$E$27),0,(C288&gt;='Resultats - informe'!$D$28)*(C288&lt;='Resultats - informe'!$E$28),0,(C288&gt;='Resultats - informe'!$D$29)*(C288&lt;='Resultats - informe'!$E$29),0,1,1)</f>
        <v>0</v>
      </c>
      <c r="N288" s="366">
        <f>+VLOOKUP(D288,'Resultats - informe'!$Y$18:$AG$42,'Introducció dades consum'!K288+1,0)</f>
        <v>0</v>
      </c>
      <c r="O288" s="367" cm="1">
        <f t="array" ref="O288">+_xlfn.SWITCH(MONTH(C288),1,1,2,1,3,1,4,2,5,2,6,3,7,3,8,3,9,3,10,2,11,2,12,1,2)</f>
        <v>1</v>
      </c>
      <c r="P288" s="43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</row>
    <row r="289" spans="1:73" ht="18" x14ac:dyDescent="0.35">
      <c r="A289" s="43"/>
      <c r="C289" s="393"/>
      <c r="E289" s="394"/>
      <c r="F289" s="394"/>
      <c r="G289" s="394"/>
      <c r="H289" s="8" t="s">
        <v>61</v>
      </c>
      <c r="I289" s="364">
        <f t="shared" si="13"/>
        <v>0</v>
      </c>
      <c r="J289" s="365">
        <f t="shared" si="12"/>
        <v>0</v>
      </c>
      <c r="K289" s="366">
        <f t="shared" si="14"/>
        <v>6</v>
      </c>
      <c r="L289" s="366">
        <f>+IF((C289&gt;='Resultats - informe'!$E$16)*(C289&lt;='Resultats - informe'!$G$16),1,0)</f>
        <v>1</v>
      </c>
      <c r="M289" s="366" cm="1">
        <f t="array" ref="M289">+_xlfn.IFS((C289&gt;='Resultats - informe'!$D$26)*(C289&lt;='Resultats - informe'!$E$26),0,(C289&gt;='Resultats - informe'!$D$27)*(C289&lt;='Resultats - informe'!$E$27),0,(C289&gt;='Resultats - informe'!$D$28)*(C289&lt;='Resultats - informe'!$E$28),0,(C289&gt;='Resultats - informe'!$D$29)*(C289&lt;='Resultats - informe'!$E$29),0,1,1)</f>
        <v>0</v>
      </c>
      <c r="N289" s="366">
        <f>+VLOOKUP(D289,'Resultats - informe'!$Y$18:$AG$42,'Introducció dades consum'!K289+1,0)</f>
        <v>0</v>
      </c>
      <c r="O289" s="367" cm="1">
        <f t="array" ref="O289">+_xlfn.SWITCH(MONTH(C289),1,1,2,1,3,1,4,2,5,2,6,3,7,3,8,3,9,3,10,2,11,2,12,1,2)</f>
        <v>1</v>
      </c>
      <c r="P289" s="43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</row>
    <row r="290" spans="1:73" ht="18" x14ac:dyDescent="0.35">
      <c r="A290" s="43"/>
      <c r="C290" s="393"/>
      <c r="E290" s="394"/>
      <c r="F290" s="394"/>
      <c r="G290" s="394"/>
      <c r="H290" s="8" t="s">
        <v>61</v>
      </c>
      <c r="I290" s="364">
        <f t="shared" si="13"/>
        <v>0</v>
      </c>
      <c r="J290" s="365">
        <f t="shared" si="12"/>
        <v>0</v>
      </c>
      <c r="K290" s="366">
        <f t="shared" si="14"/>
        <v>6</v>
      </c>
      <c r="L290" s="366">
        <f>+IF((C290&gt;='Resultats - informe'!$E$16)*(C290&lt;='Resultats - informe'!$G$16),1,0)</f>
        <v>1</v>
      </c>
      <c r="M290" s="366" cm="1">
        <f t="array" ref="M290">+_xlfn.IFS((C290&gt;='Resultats - informe'!$D$26)*(C290&lt;='Resultats - informe'!$E$26),0,(C290&gt;='Resultats - informe'!$D$27)*(C290&lt;='Resultats - informe'!$E$27),0,(C290&gt;='Resultats - informe'!$D$28)*(C290&lt;='Resultats - informe'!$E$28),0,(C290&gt;='Resultats - informe'!$D$29)*(C290&lt;='Resultats - informe'!$E$29),0,1,1)</f>
        <v>0</v>
      </c>
      <c r="N290" s="366">
        <f>+VLOOKUP(D290,'Resultats - informe'!$Y$18:$AG$42,'Introducció dades consum'!K290+1,0)</f>
        <v>0</v>
      </c>
      <c r="O290" s="367" cm="1">
        <f t="array" ref="O290">+_xlfn.SWITCH(MONTH(C290),1,1,2,1,3,1,4,2,5,2,6,3,7,3,8,3,9,3,10,2,11,2,12,1,2)</f>
        <v>1</v>
      </c>
      <c r="P290" s="43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</row>
    <row r="291" spans="1:73" ht="18" x14ac:dyDescent="0.35">
      <c r="A291" s="43"/>
      <c r="C291" s="393"/>
      <c r="E291" s="394"/>
      <c r="F291" s="394"/>
      <c r="G291" s="394"/>
      <c r="H291" s="8" t="s">
        <v>61</v>
      </c>
      <c r="I291" s="364">
        <f t="shared" si="13"/>
        <v>0</v>
      </c>
      <c r="J291" s="365">
        <f t="shared" si="12"/>
        <v>0</v>
      </c>
      <c r="K291" s="366">
        <f t="shared" si="14"/>
        <v>6</v>
      </c>
      <c r="L291" s="366">
        <f>+IF((C291&gt;='Resultats - informe'!$E$16)*(C291&lt;='Resultats - informe'!$G$16),1,0)</f>
        <v>1</v>
      </c>
      <c r="M291" s="366" cm="1">
        <f t="array" ref="M291">+_xlfn.IFS((C291&gt;='Resultats - informe'!$D$26)*(C291&lt;='Resultats - informe'!$E$26),0,(C291&gt;='Resultats - informe'!$D$27)*(C291&lt;='Resultats - informe'!$E$27),0,(C291&gt;='Resultats - informe'!$D$28)*(C291&lt;='Resultats - informe'!$E$28),0,(C291&gt;='Resultats - informe'!$D$29)*(C291&lt;='Resultats - informe'!$E$29),0,1,1)</f>
        <v>0</v>
      </c>
      <c r="N291" s="366">
        <f>+VLOOKUP(D291,'Resultats - informe'!$Y$18:$AG$42,'Introducció dades consum'!K291+1,0)</f>
        <v>0</v>
      </c>
      <c r="O291" s="367" cm="1">
        <f t="array" ref="O291">+_xlfn.SWITCH(MONTH(C291),1,1,2,1,3,1,4,2,5,2,6,3,7,3,8,3,9,3,10,2,11,2,12,1,2)</f>
        <v>1</v>
      </c>
      <c r="P291" s="43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</row>
    <row r="292" spans="1:73" ht="18" x14ac:dyDescent="0.35">
      <c r="A292" s="43"/>
      <c r="C292" s="393"/>
      <c r="E292" s="394"/>
      <c r="F292" s="394"/>
      <c r="G292" s="394"/>
      <c r="H292" s="8" t="s">
        <v>61</v>
      </c>
      <c r="I292" s="364">
        <f t="shared" si="13"/>
        <v>0</v>
      </c>
      <c r="J292" s="365">
        <f t="shared" si="12"/>
        <v>0</v>
      </c>
      <c r="K292" s="366">
        <f t="shared" si="14"/>
        <v>6</v>
      </c>
      <c r="L292" s="366">
        <f>+IF((C292&gt;='Resultats - informe'!$E$16)*(C292&lt;='Resultats - informe'!$G$16),1,0)</f>
        <v>1</v>
      </c>
      <c r="M292" s="366" cm="1">
        <f t="array" ref="M292">+_xlfn.IFS((C292&gt;='Resultats - informe'!$D$26)*(C292&lt;='Resultats - informe'!$E$26),0,(C292&gt;='Resultats - informe'!$D$27)*(C292&lt;='Resultats - informe'!$E$27),0,(C292&gt;='Resultats - informe'!$D$28)*(C292&lt;='Resultats - informe'!$E$28),0,(C292&gt;='Resultats - informe'!$D$29)*(C292&lt;='Resultats - informe'!$E$29),0,1,1)</f>
        <v>0</v>
      </c>
      <c r="N292" s="366">
        <f>+VLOOKUP(D292,'Resultats - informe'!$Y$18:$AG$42,'Introducció dades consum'!K292+1,0)</f>
        <v>0</v>
      </c>
      <c r="O292" s="367" cm="1">
        <f t="array" ref="O292">+_xlfn.SWITCH(MONTH(C292),1,1,2,1,3,1,4,2,5,2,6,3,7,3,8,3,9,3,10,2,11,2,12,1,2)</f>
        <v>1</v>
      </c>
      <c r="P292" s="43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</row>
    <row r="293" spans="1:73" ht="18" x14ac:dyDescent="0.35">
      <c r="A293" s="43"/>
      <c r="C293" s="393"/>
      <c r="E293" s="394"/>
      <c r="F293" s="394"/>
      <c r="G293" s="394"/>
      <c r="H293" s="8" t="s">
        <v>61</v>
      </c>
      <c r="I293" s="364">
        <f t="shared" si="13"/>
        <v>0</v>
      </c>
      <c r="J293" s="365">
        <f t="shared" si="12"/>
        <v>0</v>
      </c>
      <c r="K293" s="366">
        <f t="shared" si="14"/>
        <v>6</v>
      </c>
      <c r="L293" s="366">
        <f>+IF((C293&gt;='Resultats - informe'!$E$16)*(C293&lt;='Resultats - informe'!$G$16),1,0)</f>
        <v>1</v>
      </c>
      <c r="M293" s="366" cm="1">
        <f t="array" ref="M293">+_xlfn.IFS((C293&gt;='Resultats - informe'!$D$26)*(C293&lt;='Resultats - informe'!$E$26),0,(C293&gt;='Resultats - informe'!$D$27)*(C293&lt;='Resultats - informe'!$E$27),0,(C293&gt;='Resultats - informe'!$D$28)*(C293&lt;='Resultats - informe'!$E$28),0,(C293&gt;='Resultats - informe'!$D$29)*(C293&lt;='Resultats - informe'!$E$29),0,1,1)</f>
        <v>0</v>
      </c>
      <c r="N293" s="366">
        <f>+VLOOKUP(D293,'Resultats - informe'!$Y$18:$AG$42,'Introducció dades consum'!K293+1,0)</f>
        <v>0</v>
      </c>
      <c r="O293" s="367" cm="1">
        <f t="array" ref="O293">+_xlfn.SWITCH(MONTH(C293),1,1,2,1,3,1,4,2,5,2,6,3,7,3,8,3,9,3,10,2,11,2,12,1,2)</f>
        <v>1</v>
      </c>
      <c r="P293" s="43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</row>
    <row r="294" spans="1:73" ht="18" x14ac:dyDescent="0.35">
      <c r="A294" s="43"/>
      <c r="C294" s="393"/>
      <c r="E294" s="394"/>
      <c r="F294" s="394"/>
      <c r="G294" s="394"/>
      <c r="H294" s="8" t="s">
        <v>61</v>
      </c>
      <c r="I294" s="364">
        <f t="shared" si="13"/>
        <v>0</v>
      </c>
      <c r="J294" s="365">
        <f t="shared" si="12"/>
        <v>0</v>
      </c>
      <c r="K294" s="366">
        <f t="shared" si="14"/>
        <v>6</v>
      </c>
      <c r="L294" s="366">
        <f>+IF((C294&gt;='Resultats - informe'!$E$16)*(C294&lt;='Resultats - informe'!$G$16),1,0)</f>
        <v>1</v>
      </c>
      <c r="M294" s="366" cm="1">
        <f t="array" ref="M294">+_xlfn.IFS((C294&gt;='Resultats - informe'!$D$26)*(C294&lt;='Resultats - informe'!$E$26),0,(C294&gt;='Resultats - informe'!$D$27)*(C294&lt;='Resultats - informe'!$E$27),0,(C294&gt;='Resultats - informe'!$D$28)*(C294&lt;='Resultats - informe'!$E$28),0,(C294&gt;='Resultats - informe'!$D$29)*(C294&lt;='Resultats - informe'!$E$29),0,1,1)</f>
        <v>0</v>
      </c>
      <c r="N294" s="366">
        <f>+VLOOKUP(D294,'Resultats - informe'!$Y$18:$AG$42,'Introducció dades consum'!K294+1,0)</f>
        <v>0</v>
      </c>
      <c r="O294" s="367" cm="1">
        <f t="array" ref="O294">+_xlfn.SWITCH(MONTH(C294),1,1,2,1,3,1,4,2,5,2,6,3,7,3,8,3,9,3,10,2,11,2,12,1,2)</f>
        <v>1</v>
      </c>
      <c r="P294" s="43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</row>
    <row r="295" spans="1:73" ht="18" x14ac:dyDescent="0.35">
      <c r="A295" s="43"/>
      <c r="C295" s="393"/>
      <c r="E295" s="394"/>
      <c r="F295" s="394"/>
      <c r="G295" s="394"/>
      <c r="H295" s="8" t="s">
        <v>61</v>
      </c>
      <c r="I295" s="364">
        <f t="shared" si="13"/>
        <v>0</v>
      </c>
      <c r="J295" s="365">
        <f t="shared" si="12"/>
        <v>0</v>
      </c>
      <c r="K295" s="366">
        <f t="shared" si="14"/>
        <v>6</v>
      </c>
      <c r="L295" s="366">
        <f>+IF((C295&gt;='Resultats - informe'!$E$16)*(C295&lt;='Resultats - informe'!$G$16),1,0)</f>
        <v>1</v>
      </c>
      <c r="M295" s="366" cm="1">
        <f t="array" ref="M295">+_xlfn.IFS((C295&gt;='Resultats - informe'!$D$26)*(C295&lt;='Resultats - informe'!$E$26),0,(C295&gt;='Resultats - informe'!$D$27)*(C295&lt;='Resultats - informe'!$E$27),0,(C295&gt;='Resultats - informe'!$D$28)*(C295&lt;='Resultats - informe'!$E$28),0,(C295&gt;='Resultats - informe'!$D$29)*(C295&lt;='Resultats - informe'!$E$29),0,1,1)</f>
        <v>0</v>
      </c>
      <c r="N295" s="366">
        <f>+VLOOKUP(D295,'Resultats - informe'!$Y$18:$AG$42,'Introducció dades consum'!K295+1,0)</f>
        <v>0</v>
      </c>
      <c r="O295" s="367" cm="1">
        <f t="array" ref="O295">+_xlfn.SWITCH(MONTH(C295),1,1,2,1,3,1,4,2,5,2,6,3,7,3,8,3,9,3,10,2,11,2,12,1,2)</f>
        <v>1</v>
      </c>
      <c r="P295" s="43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</row>
    <row r="296" spans="1:73" ht="18" x14ac:dyDescent="0.35">
      <c r="A296" s="43"/>
      <c r="C296" s="393"/>
      <c r="E296" s="394"/>
      <c r="F296" s="394"/>
      <c r="G296" s="394"/>
      <c r="H296" s="8" t="s">
        <v>61</v>
      </c>
      <c r="I296" s="364">
        <f t="shared" si="13"/>
        <v>0</v>
      </c>
      <c r="J296" s="365">
        <f t="shared" si="12"/>
        <v>0</v>
      </c>
      <c r="K296" s="366">
        <f t="shared" si="14"/>
        <v>6</v>
      </c>
      <c r="L296" s="366">
        <f>+IF((C296&gt;='Resultats - informe'!$E$16)*(C296&lt;='Resultats - informe'!$G$16),1,0)</f>
        <v>1</v>
      </c>
      <c r="M296" s="366" cm="1">
        <f t="array" ref="M296">+_xlfn.IFS((C296&gt;='Resultats - informe'!$D$26)*(C296&lt;='Resultats - informe'!$E$26),0,(C296&gt;='Resultats - informe'!$D$27)*(C296&lt;='Resultats - informe'!$E$27),0,(C296&gt;='Resultats - informe'!$D$28)*(C296&lt;='Resultats - informe'!$E$28),0,(C296&gt;='Resultats - informe'!$D$29)*(C296&lt;='Resultats - informe'!$E$29),0,1,1)</f>
        <v>0</v>
      </c>
      <c r="N296" s="366">
        <f>+VLOOKUP(D296,'Resultats - informe'!$Y$18:$AG$42,'Introducció dades consum'!K296+1,0)</f>
        <v>0</v>
      </c>
      <c r="O296" s="367" cm="1">
        <f t="array" ref="O296">+_xlfn.SWITCH(MONTH(C296),1,1,2,1,3,1,4,2,5,2,6,3,7,3,8,3,9,3,10,2,11,2,12,1,2)</f>
        <v>1</v>
      </c>
      <c r="P296" s="43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</row>
    <row r="297" spans="1:73" ht="18" x14ac:dyDescent="0.35">
      <c r="A297" s="43"/>
      <c r="C297" s="393"/>
      <c r="E297" s="394"/>
      <c r="F297" s="394"/>
      <c r="G297" s="394"/>
      <c r="H297" s="8" t="s">
        <v>61</v>
      </c>
      <c r="I297" s="364">
        <f t="shared" si="13"/>
        <v>0</v>
      </c>
      <c r="J297" s="365">
        <f t="shared" si="12"/>
        <v>0</v>
      </c>
      <c r="K297" s="366">
        <f t="shared" si="14"/>
        <v>6</v>
      </c>
      <c r="L297" s="366">
        <f>+IF((C297&gt;='Resultats - informe'!$E$16)*(C297&lt;='Resultats - informe'!$G$16),1,0)</f>
        <v>1</v>
      </c>
      <c r="M297" s="366" cm="1">
        <f t="array" ref="M297">+_xlfn.IFS((C297&gt;='Resultats - informe'!$D$26)*(C297&lt;='Resultats - informe'!$E$26),0,(C297&gt;='Resultats - informe'!$D$27)*(C297&lt;='Resultats - informe'!$E$27),0,(C297&gt;='Resultats - informe'!$D$28)*(C297&lt;='Resultats - informe'!$E$28),0,(C297&gt;='Resultats - informe'!$D$29)*(C297&lt;='Resultats - informe'!$E$29),0,1,1)</f>
        <v>0</v>
      </c>
      <c r="N297" s="366">
        <f>+VLOOKUP(D297,'Resultats - informe'!$Y$18:$AG$42,'Introducció dades consum'!K297+1,0)</f>
        <v>0</v>
      </c>
      <c r="O297" s="367" cm="1">
        <f t="array" ref="O297">+_xlfn.SWITCH(MONTH(C297),1,1,2,1,3,1,4,2,5,2,6,3,7,3,8,3,9,3,10,2,11,2,12,1,2)</f>
        <v>1</v>
      </c>
      <c r="P297" s="43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</row>
    <row r="298" spans="1:73" ht="18" x14ac:dyDescent="0.35">
      <c r="A298" s="43"/>
      <c r="C298" s="393"/>
      <c r="E298" s="394"/>
      <c r="F298" s="394"/>
      <c r="G298" s="394"/>
      <c r="H298" s="8" t="s">
        <v>61</v>
      </c>
      <c r="I298" s="364">
        <f t="shared" si="13"/>
        <v>0</v>
      </c>
      <c r="J298" s="365">
        <f t="shared" si="12"/>
        <v>0</v>
      </c>
      <c r="K298" s="366">
        <f t="shared" si="14"/>
        <v>6</v>
      </c>
      <c r="L298" s="366">
        <f>+IF((C298&gt;='Resultats - informe'!$E$16)*(C298&lt;='Resultats - informe'!$G$16),1,0)</f>
        <v>1</v>
      </c>
      <c r="M298" s="366" cm="1">
        <f t="array" ref="M298">+_xlfn.IFS((C298&gt;='Resultats - informe'!$D$26)*(C298&lt;='Resultats - informe'!$E$26),0,(C298&gt;='Resultats - informe'!$D$27)*(C298&lt;='Resultats - informe'!$E$27),0,(C298&gt;='Resultats - informe'!$D$28)*(C298&lt;='Resultats - informe'!$E$28),0,(C298&gt;='Resultats - informe'!$D$29)*(C298&lt;='Resultats - informe'!$E$29),0,1,1)</f>
        <v>0</v>
      </c>
      <c r="N298" s="366">
        <f>+VLOOKUP(D298,'Resultats - informe'!$Y$18:$AG$42,'Introducció dades consum'!K298+1,0)</f>
        <v>0</v>
      </c>
      <c r="O298" s="367" cm="1">
        <f t="array" ref="O298">+_xlfn.SWITCH(MONTH(C298),1,1,2,1,3,1,4,2,5,2,6,3,7,3,8,3,9,3,10,2,11,2,12,1,2)</f>
        <v>1</v>
      </c>
      <c r="P298" s="43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</row>
    <row r="299" spans="1:73" ht="18" x14ac:dyDescent="0.35">
      <c r="A299" s="43"/>
      <c r="C299" s="393"/>
      <c r="E299" s="394"/>
      <c r="F299" s="394"/>
      <c r="G299" s="394"/>
      <c r="H299" s="8" t="s">
        <v>61</v>
      </c>
      <c r="I299" s="364">
        <f t="shared" si="13"/>
        <v>0</v>
      </c>
      <c r="J299" s="365">
        <f t="shared" si="12"/>
        <v>0</v>
      </c>
      <c r="K299" s="366">
        <f t="shared" si="14"/>
        <v>6</v>
      </c>
      <c r="L299" s="366">
        <f>+IF((C299&gt;='Resultats - informe'!$E$16)*(C299&lt;='Resultats - informe'!$G$16),1,0)</f>
        <v>1</v>
      </c>
      <c r="M299" s="366" cm="1">
        <f t="array" ref="M299">+_xlfn.IFS((C299&gt;='Resultats - informe'!$D$26)*(C299&lt;='Resultats - informe'!$E$26),0,(C299&gt;='Resultats - informe'!$D$27)*(C299&lt;='Resultats - informe'!$E$27),0,(C299&gt;='Resultats - informe'!$D$28)*(C299&lt;='Resultats - informe'!$E$28),0,(C299&gt;='Resultats - informe'!$D$29)*(C299&lt;='Resultats - informe'!$E$29),0,1,1)</f>
        <v>0</v>
      </c>
      <c r="N299" s="366">
        <f>+VLOOKUP(D299,'Resultats - informe'!$Y$18:$AG$42,'Introducció dades consum'!K299+1,0)</f>
        <v>0</v>
      </c>
      <c r="O299" s="367" cm="1">
        <f t="array" ref="O299">+_xlfn.SWITCH(MONTH(C299),1,1,2,1,3,1,4,2,5,2,6,3,7,3,8,3,9,3,10,2,11,2,12,1,2)</f>
        <v>1</v>
      </c>
      <c r="P299" s="43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</row>
    <row r="300" spans="1:73" ht="18" x14ac:dyDescent="0.35">
      <c r="A300" s="43"/>
      <c r="C300" s="393"/>
      <c r="E300" s="394"/>
      <c r="F300" s="394"/>
      <c r="G300" s="394"/>
      <c r="H300" s="8" t="s">
        <v>61</v>
      </c>
      <c r="I300" s="364">
        <f t="shared" si="13"/>
        <v>0</v>
      </c>
      <c r="J300" s="365">
        <f t="shared" si="12"/>
        <v>0</v>
      </c>
      <c r="K300" s="366">
        <f t="shared" si="14"/>
        <v>6</v>
      </c>
      <c r="L300" s="366">
        <f>+IF((C300&gt;='Resultats - informe'!$E$16)*(C300&lt;='Resultats - informe'!$G$16),1,0)</f>
        <v>1</v>
      </c>
      <c r="M300" s="366" cm="1">
        <f t="array" ref="M300">+_xlfn.IFS((C300&gt;='Resultats - informe'!$D$26)*(C300&lt;='Resultats - informe'!$E$26),0,(C300&gt;='Resultats - informe'!$D$27)*(C300&lt;='Resultats - informe'!$E$27),0,(C300&gt;='Resultats - informe'!$D$28)*(C300&lt;='Resultats - informe'!$E$28),0,(C300&gt;='Resultats - informe'!$D$29)*(C300&lt;='Resultats - informe'!$E$29),0,1,1)</f>
        <v>0</v>
      </c>
      <c r="N300" s="366">
        <f>+VLOOKUP(D300,'Resultats - informe'!$Y$18:$AG$42,'Introducció dades consum'!K300+1,0)</f>
        <v>0</v>
      </c>
      <c r="O300" s="367" cm="1">
        <f t="array" ref="O300">+_xlfn.SWITCH(MONTH(C300),1,1,2,1,3,1,4,2,5,2,6,3,7,3,8,3,9,3,10,2,11,2,12,1,2)</f>
        <v>1</v>
      </c>
      <c r="P300" s="43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</row>
    <row r="301" spans="1:73" ht="18" x14ac:dyDescent="0.35">
      <c r="A301" s="43"/>
      <c r="C301" s="393"/>
      <c r="E301" s="394"/>
      <c r="F301" s="394"/>
      <c r="G301" s="394"/>
      <c r="H301" s="8" t="s">
        <v>61</v>
      </c>
      <c r="I301" s="364">
        <f t="shared" si="13"/>
        <v>0</v>
      </c>
      <c r="J301" s="365">
        <f t="shared" si="12"/>
        <v>0</v>
      </c>
      <c r="K301" s="366">
        <f t="shared" si="14"/>
        <v>6</v>
      </c>
      <c r="L301" s="366">
        <f>+IF((C301&gt;='Resultats - informe'!$E$16)*(C301&lt;='Resultats - informe'!$G$16),1,0)</f>
        <v>1</v>
      </c>
      <c r="M301" s="366" cm="1">
        <f t="array" ref="M301">+_xlfn.IFS((C301&gt;='Resultats - informe'!$D$26)*(C301&lt;='Resultats - informe'!$E$26),0,(C301&gt;='Resultats - informe'!$D$27)*(C301&lt;='Resultats - informe'!$E$27),0,(C301&gt;='Resultats - informe'!$D$28)*(C301&lt;='Resultats - informe'!$E$28),0,(C301&gt;='Resultats - informe'!$D$29)*(C301&lt;='Resultats - informe'!$E$29),0,1,1)</f>
        <v>0</v>
      </c>
      <c r="N301" s="366">
        <f>+VLOOKUP(D301,'Resultats - informe'!$Y$18:$AG$42,'Introducció dades consum'!K301+1,0)</f>
        <v>0</v>
      </c>
      <c r="O301" s="367" cm="1">
        <f t="array" ref="O301">+_xlfn.SWITCH(MONTH(C301),1,1,2,1,3,1,4,2,5,2,6,3,7,3,8,3,9,3,10,2,11,2,12,1,2)</f>
        <v>1</v>
      </c>
      <c r="P301" s="43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</row>
    <row r="302" spans="1:73" ht="18" x14ac:dyDescent="0.35">
      <c r="A302" s="43"/>
      <c r="C302" s="393"/>
      <c r="E302" s="394"/>
      <c r="F302" s="394"/>
      <c r="G302" s="394"/>
      <c r="H302" s="8" t="s">
        <v>61</v>
      </c>
      <c r="I302" s="364">
        <f t="shared" si="13"/>
        <v>0</v>
      </c>
      <c r="J302" s="365">
        <f t="shared" si="12"/>
        <v>0</v>
      </c>
      <c r="K302" s="366">
        <f t="shared" si="14"/>
        <v>6</v>
      </c>
      <c r="L302" s="366">
        <f>+IF((C302&gt;='Resultats - informe'!$E$16)*(C302&lt;='Resultats - informe'!$G$16),1,0)</f>
        <v>1</v>
      </c>
      <c r="M302" s="366" cm="1">
        <f t="array" ref="M302">+_xlfn.IFS((C302&gt;='Resultats - informe'!$D$26)*(C302&lt;='Resultats - informe'!$E$26),0,(C302&gt;='Resultats - informe'!$D$27)*(C302&lt;='Resultats - informe'!$E$27),0,(C302&gt;='Resultats - informe'!$D$28)*(C302&lt;='Resultats - informe'!$E$28),0,(C302&gt;='Resultats - informe'!$D$29)*(C302&lt;='Resultats - informe'!$E$29),0,1,1)</f>
        <v>0</v>
      </c>
      <c r="N302" s="366">
        <f>+VLOOKUP(D302,'Resultats - informe'!$Y$18:$AG$42,'Introducció dades consum'!K302+1,0)</f>
        <v>0</v>
      </c>
      <c r="O302" s="367" cm="1">
        <f t="array" ref="O302">+_xlfn.SWITCH(MONTH(C302),1,1,2,1,3,1,4,2,5,2,6,3,7,3,8,3,9,3,10,2,11,2,12,1,2)</f>
        <v>1</v>
      </c>
      <c r="P302" s="43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</row>
    <row r="303" spans="1:73" ht="18" x14ac:dyDescent="0.35">
      <c r="A303" s="43"/>
      <c r="C303" s="393"/>
      <c r="E303" s="394"/>
      <c r="F303" s="394"/>
      <c r="G303" s="394"/>
      <c r="H303" s="8" t="s">
        <v>61</v>
      </c>
      <c r="I303" s="364">
        <f t="shared" si="13"/>
        <v>0</v>
      </c>
      <c r="J303" s="365">
        <f t="shared" si="12"/>
        <v>0</v>
      </c>
      <c r="K303" s="366">
        <f t="shared" si="14"/>
        <v>6</v>
      </c>
      <c r="L303" s="366">
        <f>+IF((C303&gt;='Resultats - informe'!$E$16)*(C303&lt;='Resultats - informe'!$G$16),1,0)</f>
        <v>1</v>
      </c>
      <c r="M303" s="366" cm="1">
        <f t="array" ref="M303">+_xlfn.IFS((C303&gt;='Resultats - informe'!$D$26)*(C303&lt;='Resultats - informe'!$E$26),0,(C303&gt;='Resultats - informe'!$D$27)*(C303&lt;='Resultats - informe'!$E$27),0,(C303&gt;='Resultats - informe'!$D$28)*(C303&lt;='Resultats - informe'!$E$28),0,(C303&gt;='Resultats - informe'!$D$29)*(C303&lt;='Resultats - informe'!$E$29),0,1,1)</f>
        <v>0</v>
      </c>
      <c r="N303" s="366">
        <f>+VLOOKUP(D303,'Resultats - informe'!$Y$18:$AG$42,'Introducció dades consum'!K303+1,0)</f>
        <v>0</v>
      </c>
      <c r="O303" s="367" cm="1">
        <f t="array" ref="O303">+_xlfn.SWITCH(MONTH(C303),1,1,2,1,3,1,4,2,5,2,6,3,7,3,8,3,9,3,10,2,11,2,12,1,2)</f>
        <v>1</v>
      </c>
      <c r="P303" s="43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</row>
    <row r="304" spans="1:73" ht="18" x14ac:dyDescent="0.35">
      <c r="A304" s="43"/>
      <c r="C304" s="393"/>
      <c r="E304" s="394"/>
      <c r="F304" s="394"/>
      <c r="G304" s="394"/>
      <c r="H304" s="8" t="s">
        <v>61</v>
      </c>
      <c r="I304" s="364">
        <f t="shared" si="13"/>
        <v>0</v>
      </c>
      <c r="J304" s="365">
        <f t="shared" si="12"/>
        <v>0</v>
      </c>
      <c r="K304" s="366">
        <f t="shared" si="14"/>
        <v>6</v>
      </c>
      <c r="L304" s="366">
        <f>+IF((C304&gt;='Resultats - informe'!$E$16)*(C304&lt;='Resultats - informe'!$G$16),1,0)</f>
        <v>1</v>
      </c>
      <c r="M304" s="366" cm="1">
        <f t="array" ref="M304">+_xlfn.IFS((C304&gt;='Resultats - informe'!$D$26)*(C304&lt;='Resultats - informe'!$E$26),0,(C304&gt;='Resultats - informe'!$D$27)*(C304&lt;='Resultats - informe'!$E$27),0,(C304&gt;='Resultats - informe'!$D$28)*(C304&lt;='Resultats - informe'!$E$28),0,(C304&gt;='Resultats - informe'!$D$29)*(C304&lt;='Resultats - informe'!$E$29),0,1,1)</f>
        <v>0</v>
      </c>
      <c r="N304" s="366">
        <f>+VLOOKUP(D304,'Resultats - informe'!$Y$18:$AG$42,'Introducció dades consum'!K304+1,0)</f>
        <v>0</v>
      </c>
      <c r="O304" s="367" cm="1">
        <f t="array" ref="O304">+_xlfn.SWITCH(MONTH(C304),1,1,2,1,3,1,4,2,5,2,6,3,7,3,8,3,9,3,10,2,11,2,12,1,2)</f>
        <v>1</v>
      </c>
      <c r="P304" s="43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</row>
    <row r="305" spans="1:73" ht="18" x14ac:dyDescent="0.35">
      <c r="A305" s="43"/>
      <c r="C305" s="393"/>
      <c r="E305" s="394"/>
      <c r="F305" s="394"/>
      <c r="G305" s="394"/>
      <c r="H305" s="8" t="s">
        <v>61</v>
      </c>
      <c r="I305" s="364">
        <f t="shared" si="13"/>
        <v>0</v>
      </c>
      <c r="J305" s="365">
        <f t="shared" si="12"/>
        <v>0</v>
      </c>
      <c r="K305" s="366">
        <f t="shared" si="14"/>
        <v>6</v>
      </c>
      <c r="L305" s="366">
        <f>+IF((C305&gt;='Resultats - informe'!$E$16)*(C305&lt;='Resultats - informe'!$G$16),1,0)</f>
        <v>1</v>
      </c>
      <c r="M305" s="366" cm="1">
        <f t="array" ref="M305">+_xlfn.IFS((C305&gt;='Resultats - informe'!$D$26)*(C305&lt;='Resultats - informe'!$E$26),0,(C305&gt;='Resultats - informe'!$D$27)*(C305&lt;='Resultats - informe'!$E$27),0,(C305&gt;='Resultats - informe'!$D$28)*(C305&lt;='Resultats - informe'!$E$28),0,(C305&gt;='Resultats - informe'!$D$29)*(C305&lt;='Resultats - informe'!$E$29),0,1,1)</f>
        <v>0</v>
      </c>
      <c r="N305" s="366">
        <f>+VLOOKUP(D305,'Resultats - informe'!$Y$18:$AG$42,'Introducció dades consum'!K305+1,0)</f>
        <v>0</v>
      </c>
      <c r="O305" s="367" cm="1">
        <f t="array" ref="O305">+_xlfn.SWITCH(MONTH(C305),1,1,2,1,3,1,4,2,5,2,6,3,7,3,8,3,9,3,10,2,11,2,12,1,2)</f>
        <v>1</v>
      </c>
      <c r="P305" s="43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</row>
    <row r="306" spans="1:73" ht="18" x14ac:dyDescent="0.35">
      <c r="A306" s="43"/>
      <c r="C306" s="393"/>
      <c r="E306" s="394"/>
      <c r="F306" s="394"/>
      <c r="G306" s="394"/>
      <c r="H306" s="8" t="s">
        <v>61</v>
      </c>
      <c r="I306" s="364">
        <f t="shared" si="13"/>
        <v>0</v>
      </c>
      <c r="J306" s="365">
        <f t="shared" si="12"/>
        <v>0</v>
      </c>
      <c r="K306" s="366">
        <f t="shared" si="14"/>
        <v>6</v>
      </c>
      <c r="L306" s="366">
        <f>+IF((C306&gt;='Resultats - informe'!$E$16)*(C306&lt;='Resultats - informe'!$G$16),1,0)</f>
        <v>1</v>
      </c>
      <c r="M306" s="366" cm="1">
        <f t="array" ref="M306">+_xlfn.IFS((C306&gt;='Resultats - informe'!$D$26)*(C306&lt;='Resultats - informe'!$E$26),0,(C306&gt;='Resultats - informe'!$D$27)*(C306&lt;='Resultats - informe'!$E$27),0,(C306&gt;='Resultats - informe'!$D$28)*(C306&lt;='Resultats - informe'!$E$28),0,(C306&gt;='Resultats - informe'!$D$29)*(C306&lt;='Resultats - informe'!$E$29),0,1,1)</f>
        <v>0</v>
      </c>
      <c r="N306" s="366">
        <f>+VLOOKUP(D306,'Resultats - informe'!$Y$18:$AG$42,'Introducció dades consum'!K306+1,0)</f>
        <v>0</v>
      </c>
      <c r="O306" s="367" cm="1">
        <f t="array" ref="O306">+_xlfn.SWITCH(MONTH(C306),1,1,2,1,3,1,4,2,5,2,6,3,7,3,8,3,9,3,10,2,11,2,12,1,2)</f>
        <v>1</v>
      </c>
      <c r="P306" s="43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</row>
    <row r="307" spans="1:73" ht="18" x14ac:dyDescent="0.35">
      <c r="A307" s="43"/>
      <c r="C307" s="393"/>
      <c r="E307" s="394"/>
      <c r="F307" s="394"/>
      <c r="G307" s="394"/>
      <c r="H307" s="8" t="s">
        <v>61</v>
      </c>
      <c r="I307" s="364">
        <f t="shared" si="13"/>
        <v>0</v>
      </c>
      <c r="J307" s="365">
        <f t="shared" si="12"/>
        <v>0</v>
      </c>
      <c r="K307" s="366">
        <f t="shared" si="14"/>
        <v>6</v>
      </c>
      <c r="L307" s="366">
        <f>+IF((C307&gt;='Resultats - informe'!$E$16)*(C307&lt;='Resultats - informe'!$G$16),1,0)</f>
        <v>1</v>
      </c>
      <c r="M307" s="366" cm="1">
        <f t="array" ref="M307">+_xlfn.IFS((C307&gt;='Resultats - informe'!$D$26)*(C307&lt;='Resultats - informe'!$E$26),0,(C307&gt;='Resultats - informe'!$D$27)*(C307&lt;='Resultats - informe'!$E$27),0,(C307&gt;='Resultats - informe'!$D$28)*(C307&lt;='Resultats - informe'!$E$28),0,(C307&gt;='Resultats - informe'!$D$29)*(C307&lt;='Resultats - informe'!$E$29),0,1,1)</f>
        <v>0</v>
      </c>
      <c r="N307" s="366">
        <f>+VLOOKUP(D307,'Resultats - informe'!$Y$18:$AG$42,'Introducció dades consum'!K307+1,0)</f>
        <v>0</v>
      </c>
      <c r="O307" s="367" cm="1">
        <f t="array" ref="O307">+_xlfn.SWITCH(MONTH(C307),1,1,2,1,3,1,4,2,5,2,6,3,7,3,8,3,9,3,10,2,11,2,12,1,2)</f>
        <v>1</v>
      </c>
      <c r="P307" s="43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</row>
    <row r="308" spans="1:73" ht="18" x14ac:dyDescent="0.35">
      <c r="A308" s="43"/>
      <c r="C308" s="393"/>
      <c r="E308" s="394"/>
      <c r="F308" s="394"/>
      <c r="G308" s="394"/>
      <c r="H308" s="8" t="s">
        <v>61</v>
      </c>
      <c r="I308" s="364">
        <f t="shared" si="13"/>
        <v>0</v>
      </c>
      <c r="J308" s="365">
        <f t="shared" si="12"/>
        <v>0</v>
      </c>
      <c r="K308" s="366">
        <f t="shared" si="14"/>
        <v>6</v>
      </c>
      <c r="L308" s="366">
        <f>+IF((C308&gt;='Resultats - informe'!$E$16)*(C308&lt;='Resultats - informe'!$G$16),1,0)</f>
        <v>1</v>
      </c>
      <c r="M308" s="366" cm="1">
        <f t="array" ref="M308">+_xlfn.IFS((C308&gt;='Resultats - informe'!$D$26)*(C308&lt;='Resultats - informe'!$E$26),0,(C308&gt;='Resultats - informe'!$D$27)*(C308&lt;='Resultats - informe'!$E$27),0,(C308&gt;='Resultats - informe'!$D$28)*(C308&lt;='Resultats - informe'!$E$28),0,(C308&gt;='Resultats - informe'!$D$29)*(C308&lt;='Resultats - informe'!$E$29),0,1,1)</f>
        <v>0</v>
      </c>
      <c r="N308" s="366">
        <f>+VLOOKUP(D308,'Resultats - informe'!$Y$18:$AG$42,'Introducció dades consum'!K308+1,0)</f>
        <v>0</v>
      </c>
      <c r="O308" s="367" cm="1">
        <f t="array" ref="O308">+_xlfn.SWITCH(MONTH(C308),1,1,2,1,3,1,4,2,5,2,6,3,7,3,8,3,9,3,10,2,11,2,12,1,2)</f>
        <v>1</v>
      </c>
      <c r="P308" s="43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</row>
    <row r="309" spans="1:73" ht="18" x14ac:dyDescent="0.35">
      <c r="A309" s="43"/>
      <c r="C309" s="393"/>
      <c r="E309" s="394"/>
      <c r="F309" s="394"/>
      <c r="G309" s="394"/>
      <c r="H309" s="8" t="s">
        <v>61</v>
      </c>
      <c r="I309" s="364">
        <f t="shared" si="13"/>
        <v>0</v>
      </c>
      <c r="J309" s="365">
        <f t="shared" si="12"/>
        <v>0</v>
      </c>
      <c r="K309" s="366">
        <f t="shared" si="14"/>
        <v>6</v>
      </c>
      <c r="L309" s="366">
        <f>+IF((C309&gt;='Resultats - informe'!$E$16)*(C309&lt;='Resultats - informe'!$G$16),1,0)</f>
        <v>1</v>
      </c>
      <c r="M309" s="366" cm="1">
        <f t="array" ref="M309">+_xlfn.IFS((C309&gt;='Resultats - informe'!$D$26)*(C309&lt;='Resultats - informe'!$E$26),0,(C309&gt;='Resultats - informe'!$D$27)*(C309&lt;='Resultats - informe'!$E$27),0,(C309&gt;='Resultats - informe'!$D$28)*(C309&lt;='Resultats - informe'!$E$28),0,(C309&gt;='Resultats - informe'!$D$29)*(C309&lt;='Resultats - informe'!$E$29),0,1,1)</f>
        <v>0</v>
      </c>
      <c r="N309" s="366">
        <f>+VLOOKUP(D309,'Resultats - informe'!$Y$18:$AG$42,'Introducció dades consum'!K309+1,0)</f>
        <v>0</v>
      </c>
      <c r="O309" s="367" cm="1">
        <f t="array" ref="O309">+_xlfn.SWITCH(MONTH(C309),1,1,2,1,3,1,4,2,5,2,6,3,7,3,8,3,9,3,10,2,11,2,12,1,2)</f>
        <v>1</v>
      </c>
      <c r="P309" s="43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</row>
    <row r="310" spans="1:73" ht="18" x14ac:dyDescent="0.35">
      <c r="A310" s="43"/>
      <c r="C310" s="393"/>
      <c r="E310" s="394"/>
      <c r="F310" s="394"/>
      <c r="G310" s="394"/>
      <c r="H310" s="8" t="s">
        <v>61</v>
      </c>
      <c r="I310" s="364">
        <f t="shared" si="13"/>
        <v>0</v>
      </c>
      <c r="J310" s="365">
        <f t="shared" si="12"/>
        <v>0</v>
      </c>
      <c r="K310" s="366">
        <f t="shared" si="14"/>
        <v>6</v>
      </c>
      <c r="L310" s="366">
        <f>+IF((C310&gt;='Resultats - informe'!$E$16)*(C310&lt;='Resultats - informe'!$G$16),1,0)</f>
        <v>1</v>
      </c>
      <c r="M310" s="366" cm="1">
        <f t="array" ref="M310">+_xlfn.IFS((C310&gt;='Resultats - informe'!$D$26)*(C310&lt;='Resultats - informe'!$E$26),0,(C310&gt;='Resultats - informe'!$D$27)*(C310&lt;='Resultats - informe'!$E$27),0,(C310&gt;='Resultats - informe'!$D$28)*(C310&lt;='Resultats - informe'!$E$28),0,(C310&gt;='Resultats - informe'!$D$29)*(C310&lt;='Resultats - informe'!$E$29),0,1,1)</f>
        <v>0</v>
      </c>
      <c r="N310" s="366">
        <f>+VLOOKUP(D310,'Resultats - informe'!$Y$18:$AG$42,'Introducció dades consum'!K310+1,0)</f>
        <v>0</v>
      </c>
      <c r="O310" s="367" cm="1">
        <f t="array" ref="O310">+_xlfn.SWITCH(MONTH(C310),1,1,2,1,3,1,4,2,5,2,6,3,7,3,8,3,9,3,10,2,11,2,12,1,2)</f>
        <v>1</v>
      </c>
      <c r="P310" s="43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</row>
    <row r="311" spans="1:73" ht="18" x14ac:dyDescent="0.35">
      <c r="A311" s="43"/>
      <c r="C311" s="393"/>
      <c r="E311" s="394"/>
      <c r="F311" s="394"/>
      <c r="G311" s="394"/>
      <c r="H311" s="8" t="s">
        <v>61</v>
      </c>
      <c r="I311" s="364">
        <f t="shared" si="13"/>
        <v>0</v>
      </c>
      <c r="J311" s="365">
        <f t="shared" si="12"/>
        <v>0</v>
      </c>
      <c r="K311" s="366">
        <f t="shared" si="14"/>
        <v>6</v>
      </c>
      <c r="L311" s="366">
        <f>+IF((C311&gt;='Resultats - informe'!$E$16)*(C311&lt;='Resultats - informe'!$G$16),1,0)</f>
        <v>1</v>
      </c>
      <c r="M311" s="366" cm="1">
        <f t="array" ref="M311">+_xlfn.IFS((C311&gt;='Resultats - informe'!$D$26)*(C311&lt;='Resultats - informe'!$E$26),0,(C311&gt;='Resultats - informe'!$D$27)*(C311&lt;='Resultats - informe'!$E$27),0,(C311&gt;='Resultats - informe'!$D$28)*(C311&lt;='Resultats - informe'!$E$28),0,(C311&gt;='Resultats - informe'!$D$29)*(C311&lt;='Resultats - informe'!$E$29),0,1,1)</f>
        <v>0</v>
      </c>
      <c r="N311" s="366">
        <f>+VLOOKUP(D311,'Resultats - informe'!$Y$18:$AG$42,'Introducció dades consum'!K311+1,0)</f>
        <v>0</v>
      </c>
      <c r="O311" s="367" cm="1">
        <f t="array" ref="O311">+_xlfn.SWITCH(MONTH(C311),1,1,2,1,3,1,4,2,5,2,6,3,7,3,8,3,9,3,10,2,11,2,12,1,2)</f>
        <v>1</v>
      </c>
      <c r="P311" s="43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</row>
    <row r="312" spans="1:73" ht="18" x14ac:dyDescent="0.35">
      <c r="A312" s="43"/>
      <c r="C312" s="393"/>
      <c r="E312" s="394"/>
      <c r="F312" s="394"/>
      <c r="G312" s="394"/>
      <c r="H312" s="8" t="s">
        <v>61</v>
      </c>
      <c r="I312" s="364">
        <f t="shared" si="13"/>
        <v>0</v>
      </c>
      <c r="J312" s="365">
        <f t="shared" si="12"/>
        <v>0</v>
      </c>
      <c r="K312" s="366">
        <f t="shared" si="14"/>
        <v>6</v>
      </c>
      <c r="L312" s="366">
        <f>+IF((C312&gt;='Resultats - informe'!$E$16)*(C312&lt;='Resultats - informe'!$G$16),1,0)</f>
        <v>1</v>
      </c>
      <c r="M312" s="366" cm="1">
        <f t="array" ref="M312">+_xlfn.IFS((C312&gt;='Resultats - informe'!$D$26)*(C312&lt;='Resultats - informe'!$E$26),0,(C312&gt;='Resultats - informe'!$D$27)*(C312&lt;='Resultats - informe'!$E$27),0,(C312&gt;='Resultats - informe'!$D$28)*(C312&lt;='Resultats - informe'!$E$28),0,(C312&gt;='Resultats - informe'!$D$29)*(C312&lt;='Resultats - informe'!$E$29),0,1,1)</f>
        <v>0</v>
      </c>
      <c r="N312" s="366">
        <f>+VLOOKUP(D312,'Resultats - informe'!$Y$18:$AG$42,'Introducció dades consum'!K312+1,0)</f>
        <v>0</v>
      </c>
      <c r="O312" s="367" cm="1">
        <f t="array" ref="O312">+_xlfn.SWITCH(MONTH(C312),1,1,2,1,3,1,4,2,5,2,6,3,7,3,8,3,9,3,10,2,11,2,12,1,2)</f>
        <v>1</v>
      </c>
      <c r="P312" s="43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</row>
    <row r="313" spans="1:73" ht="18" x14ac:dyDescent="0.35">
      <c r="A313" s="43"/>
      <c r="C313" s="393"/>
      <c r="E313" s="394"/>
      <c r="F313" s="394"/>
      <c r="G313" s="394"/>
      <c r="H313" s="8" t="s">
        <v>61</v>
      </c>
      <c r="I313" s="364">
        <f t="shared" si="13"/>
        <v>0</v>
      </c>
      <c r="J313" s="365">
        <f t="shared" si="12"/>
        <v>0</v>
      </c>
      <c r="K313" s="366">
        <f t="shared" si="14"/>
        <v>6</v>
      </c>
      <c r="L313" s="366">
        <f>+IF((C313&gt;='Resultats - informe'!$E$16)*(C313&lt;='Resultats - informe'!$G$16),1,0)</f>
        <v>1</v>
      </c>
      <c r="M313" s="366" cm="1">
        <f t="array" ref="M313">+_xlfn.IFS((C313&gt;='Resultats - informe'!$D$26)*(C313&lt;='Resultats - informe'!$E$26),0,(C313&gt;='Resultats - informe'!$D$27)*(C313&lt;='Resultats - informe'!$E$27),0,(C313&gt;='Resultats - informe'!$D$28)*(C313&lt;='Resultats - informe'!$E$28),0,(C313&gt;='Resultats - informe'!$D$29)*(C313&lt;='Resultats - informe'!$E$29),0,1,1)</f>
        <v>0</v>
      </c>
      <c r="N313" s="366">
        <f>+VLOOKUP(D313,'Resultats - informe'!$Y$18:$AG$42,'Introducció dades consum'!K313+1,0)</f>
        <v>0</v>
      </c>
      <c r="O313" s="367" cm="1">
        <f t="array" ref="O313">+_xlfn.SWITCH(MONTH(C313),1,1,2,1,3,1,4,2,5,2,6,3,7,3,8,3,9,3,10,2,11,2,12,1,2)</f>
        <v>1</v>
      </c>
      <c r="P313" s="43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</row>
    <row r="314" spans="1:73" ht="18" x14ac:dyDescent="0.35">
      <c r="A314" s="43"/>
      <c r="C314" s="393"/>
      <c r="E314" s="394"/>
      <c r="F314" s="394"/>
      <c r="G314" s="394"/>
      <c r="H314" s="8" t="s">
        <v>61</v>
      </c>
      <c r="I314" s="364">
        <f t="shared" si="13"/>
        <v>0</v>
      </c>
      <c r="J314" s="365">
        <f t="shared" si="12"/>
        <v>0</v>
      </c>
      <c r="K314" s="366">
        <f t="shared" si="14"/>
        <v>6</v>
      </c>
      <c r="L314" s="366">
        <f>+IF((C314&gt;='Resultats - informe'!$E$16)*(C314&lt;='Resultats - informe'!$G$16),1,0)</f>
        <v>1</v>
      </c>
      <c r="M314" s="366" cm="1">
        <f t="array" ref="M314">+_xlfn.IFS((C314&gt;='Resultats - informe'!$D$26)*(C314&lt;='Resultats - informe'!$E$26),0,(C314&gt;='Resultats - informe'!$D$27)*(C314&lt;='Resultats - informe'!$E$27),0,(C314&gt;='Resultats - informe'!$D$28)*(C314&lt;='Resultats - informe'!$E$28),0,(C314&gt;='Resultats - informe'!$D$29)*(C314&lt;='Resultats - informe'!$E$29),0,1,1)</f>
        <v>0</v>
      </c>
      <c r="N314" s="366">
        <f>+VLOOKUP(D314,'Resultats - informe'!$Y$18:$AG$42,'Introducció dades consum'!K314+1,0)</f>
        <v>0</v>
      </c>
      <c r="O314" s="367" cm="1">
        <f t="array" ref="O314">+_xlfn.SWITCH(MONTH(C314),1,1,2,1,3,1,4,2,5,2,6,3,7,3,8,3,9,3,10,2,11,2,12,1,2)</f>
        <v>1</v>
      </c>
      <c r="P314" s="43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</row>
    <row r="315" spans="1:73" ht="18" x14ac:dyDescent="0.35">
      <c r="A315" s="43"/>
      <c r="C315" s="393"/>
      <c r="E315" s="394"/>
      <c r="F315" s="394"/>
      <c r="G315" s="394"/>
      <c r="H315" s="8" t="s">
        <v>61</v>
      </c>
      <c r="I315" s="364">
        <f t="shared" si="13"/>
        <v>0</v>
      </c>
      <c r="J315" s="365">
        <f t="shared" si="12"/>
        <v>0</v>
      </c>
      <c r="K315" s="366">
        <f t="shared" si="14"/>
        <v>6</v>
      </c>
      <c r="L315" s="366">
        <f>+IF((C315&gt;='Resultats - informe'!$E$16)*(C315&lt;='Resultats - informe'!$G$16),1,0)</f>
        <v>1</v>
      </c>
      <c r="M315" s="366" cm="1">
        <f t="array" ref="M315">+_xlfn.IFS((C315&gt;='Resultats - informe'!$D$26)*(C315&lt;='Resultats - informe'!$E$26),0,(C315&gt;='Resultats - informe'!$D$27)*(C315&lt;='Resultats - informe'!$E$27),0,(C315&gt;='Resultats - informe'!$D$28)*(C315&lt;='Resultats - informe'!$E$28),0,(C315&gt;='Resultats - informe'!$D$29)*(C315&lt;='Resultats - informe'!$E$29),0,1,1)</f>
        <v>0</v>
      </c>
      <c r="N315" s="366">
        <f>+VLOOKUP(D315,'Resultats - informe'!$Y$18:$AG$42,'Introducció dades consum'!K315+1,0)</f>
        <v>0</v>
      </c>
      <c r="O315" s="367" cm="1">
        <f t="array" ref="O315">+_xlfn.SWITCH(MONTH(C315),1,1,2,1,3,1,4,2,5,2,6,3,7,3,8,3,9,3,10,2,11,2,12,1,2)</f>
        <v>1</v>
      </c>
      <c r="P315" s="43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</row>
    <row r="316" spans="1:73" ht="18" x14ac:dyDescent="0.35">
      <c r="A316" s="43"/>
      <c r="C316" s="393"/>
      <c r="E316" s="394"/>
      <c r="F316" s="394"/>
      <c r="G316" s="394"/>
      <c r="H316" s="8" t="s">
        <v>61</v>
      </c>
      <c r="I316" s="364">
        <f t="shared" si="13"/>
        <v>0</v>
      </c>
      <c r="J316" s="365">
        <f t="shared" si="12"/>
        <v>0</v>
      </c>
      <c r="K316" s="366">
        <f t="shared" si="14"/>
        <v>6</v>
      </c>
      <c r="L316" s="366">
        <f>+IF((C316&gt;='Resultats - informe'!$E$16)*(C316&lt;='Resultats - informe'!$G$16),1,0)</f>
        <v>1</v>
      </c>
      <c r="M316" s="366" cm="1">
        <f t="array" ref="M316">+_xlfn.IFS((C316&gt;='Resultats - informe'!$D$26)*(C316&lt;='Resultats - informe'!$E$26),0,(C316&gt;='Resultats - informe'!$D$27)*(C316&lt;='Resultats - informe'!$E$27),0,(C316&gt;='Resultats - informe'!$D$28)*(C316&lt;='Resultats - informe'!$E$28),0,(C316&gt;='Resultats - informe'!$D$29)*(C316&lt;='Resultats - informe'!$E$29),0,1,1)</f>
        <v>0</v>
      </c>
      <c r="N316" s="366">
        <f>+VLOOKUP(D316,'Resultats - informe'!$Y$18:$AG$42,'Introducció dades consum'!K316+1,0)</f>
        <v>0</v>
      </c>
      <c r="O316" s="367" cm="1">
        <f t="array" ref="O316">+_xlfn.SWITCH(MONTH(C316),1,1,2,1,3,1,4,2,5,2,6,3,7,3,8,3,9,3,10,2,11,2,12,1,2)</f>
        <v>1</v>
      </c>
      <c r="P316" s="43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</row>
    <row r="317" spans="1:73" ht="18" x14ac:dyDescent="0.35">
      <c r="A317" s="43"/>
      <c r="C317" s="393"/>
      <c r="E317" s="394"/>
      <c r="F317" s="394"/>
      <c r="G317" s="394"/>
      <c r="H317" s="8" t="s">
        <v>61</v>
      </c>
      <c r="I317" s="364">
        <f t="shared" si="13"/>
        <v>0</v>
      </c>
      <c r="J317" s="365">
        <f t="shared" si="12"/>
        <v>0</v>
      </c>
      <c r="K317" s="366">
        <f t="shared" si="14"/>
        <v>6</v>
      </c>
      <c r="L317" s="366">
        <f>+IF((C317&gt;='Resultats - informe'!$E$16)*(C317&lt;='Resultats - informe'!$G$16),1,0)</f>
        <v>1</v>
      </c>
      <c r="M317" s="366" cm="1">
        <f t="array" ref="M317">+_xlfn.IFS((C317&gt;='Resultats - informe'!$D$26)*(C317&lt;='Resultats - informe'!$E$26),0,(C317&gt;='Resultats - informe'!$D$27)*(C317&lt;='Resultats - informe'!$E$27),0,(C317&gt;='Resultats - informe'!$D$28)*(C317&lt;='Resultats - informe'!$E$28),0,(C317&gt;='Resultats - informe'!$D$29)*(C317&lt;='Resultats - informe'!$E$29),0,1,1)</f>
        <v>0</v>
      </c>
      <c r="N317" s="366">
        <f>+VLOOKUP(D317,'Resultats - informe'!$Y$18:$AG$42,'Introducció dades consum'!K317+1,0)</f>
        <v>0</v>
      </c>
      <c r="O317" s="367" cm="1">
        <f t="array" ref="O317">+_xlfn.SWITCH(MONTH(C317),1,1,2,1,3,1,4,2,5,2,6,3,7,3,8,3,9,3,10,2,11,2,12,1,2)</f>
        <v>1</v>
      </c>
      <c r="P317" s="43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</row>
    <row r="318" spans="1:73" ht="18" x14ac:dyDescent="0.35">
      <c r="A318" s="43"/>
      <c r="C318" s="393"/>
      <c r="E318" s="394"/>
      <c r="F318" s="394"/>
      <c r="G318" s="394"/>
      <c r="H318" s="8" t="s">
        <v>61</v>
      </c>
      <c r="I318" s="364">
        <f t="shared" si="13"/>
        <v>0</v>
      </c>
      <c r="J318" s="365">
        <f t="shared" si="12"/>
        <v>0</v>
      </c>
      <c r="K318" s="366">
        <f t="shared" si="14"/>
        <v>6</v>
      </c>
      <c r="L318" s="366">
        <f>+IF((C318&gt;='Resultats - informe'!$E$16)*(C318&lt;='Resultats - informe'!$G$16),1,0)</f>
        <v>1</v>
      </c>
      <c r="M318" s="366" cm="1">
        <f t="array" ref="M318">+_xlfn.IFS((C318&gt;='Resultats - informe'!$D$26)*(C318&lt;='Resultats - informe'!$E$26),0,(C318&gt;='Resultats - informe'!$D$27)*(C318&lt;='Resultats - informe'!$E$27),0,(C318&gt;='Resultats - informe'!$D$28)*(C318&lt;='Resultats - informe'!$E$28),0,(C318&gt;='Resultats - informe'!$D$29)*(C318&lt;='Resultats - informe'!$E$29),0,1,1)</f>
        <v>0</v>
      </c>
      <c r="N318" s="366">
        <f>+VLOOKUP(D318,'Resultats - informe'!$Y$18:$AG$42,'Introducció dades consum'!K318+1,0)</f>
        <v>0</v>
      </c>
      <c r="O318" s="367" cm="1">
        <f t="array" ref="O318">+_xlfn.SWITCH(MONTH(C318),1,1,2,1,3,1,4,2,5,2,6,3,7,3,8,3,9,3,10,2,11,2,12,1,2)</f>
        <v>1</v>
      </c>
      <c r="P318" s="43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</row>
    <row r="319" spans="1:73" ht="18" x14ac:dyDescent="0.35">
      <c r="A319" s="43"/>
      <c r="C319" s="393"/>
      <c r="E319" s="394"/>
      <c r="F319" s="394"/>
      <c r="G319" s="394"/>
      <c r="H319" s="8" t="s">
        <v>61</v>
      </c>
      <c r="I319" s="364">
        <f t="shared" si="13"/>
        <v>0</v>
      </c>
      <c r="J319" s="365">
        <f t="shared" si="12"/>
        <v>0</v>
      </c>
      <c r="K319" s="366">
        <f t="shared" si="14"/>
        <v>6</v>
      </c>
      <c r="L319" s="366">
        <f>+IF((C319&gt;='Resultats - informe'!$E$16)*(C319&lt;='Resultats - informe'!$G$16),1,0)</f>
        <v>1</v>
      </c>
      <c r="M319" s="366" cm="1">
        <f t="array" ref="M319">+_xlfn.IFS((C319&gt;='Resultats - informe'!$D$26)*(C319&lt;='Resultats - informe'!$E$26),0,(C319&gt;='Resultats - informe'!$D$27)*(C319&lt;='Resultats - informe'!$E$27),0,(C319&gt;='Resultats - informe'!$D$28)*(C319&lt;='Resultats - informe'!$E$28),0,(C319&gt;='Resultats - informe'!$D$29)*(C319&lt;='Resultats - informe'!$E$29),0,1,1)</f>
        <v>0</v>
      </c>
      <c r="N319" s="366">
        <f>+VLOOKUP(D319,'Resultats - informe'!$Y$18:$AG$42,'Introducció dades consum'!K319+1,0)</f>
        <v>0</v>
      </c>
      <c r="O319" s="367" cm="1">
        <f t="array" ref="O319">+_xlfn.SWITCH(MONTH(C319),1,1,2,1,3,1,4,2,5,2,6,3,7,3,8,3,9,3,10,2,11,2,12,1,2)</f>
        <v>1</v>
      </c>
      <c r="P319" s="43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</row>
    <row r="320" spans="1:73" ht="18" x14ac:dyDescent="0.35">
      <c r="A320" s="43"/>
      <c r="C320" s="393"/>
      <c r="E320" s="394"/>
      <c r="F320" s="394"/>
      <c r="G320" s="394"/>
      <c r="H320" s="8" t="s">
        <v>61</v>
      </c>
      <c r="I320" s="364">
        <f t="shared" si="13"/>
        <v>0</v>
      </c>
      <c r="J320" s="365">
        <f t="shared" si="12"/>
        <v>0</v>
      </c>
      <c r="K320" s="366">
        <f t="shared" si="14"/>
        <v>6</v>
      </c>
      <c r="L320" s="366">
        <f>+IF((C320&gt;='Resultats - informe'!$E$16)*(C320&lt;='Resultats - informe'!$G$16),1,0)</f>
        <v>1</v>
      </c>
      <c r="M320" s="366" cm="1">
        <f t="array" ref="M320">+_xlfn.IFS((C320&gt;='Resultats - informe'!$D$26)*(C320&lt;='Resultats - informe'!$E$26),0,(C320&gt;='Resultats - informe'!$D$27)*(C320&lt;='Resultats - informe'!$E$27),0,(C320&gt;='Resultats - informe'!$D$28)*(C320&lt;='Resultats - informe'!$E$28),0,(C320&gt;='Resultats - informe'!$D$29)*(C320&lt;='Resultats - informe'!$E$29),0,1,1)</f>
        <v>0</v>
      </c>
      <c r="N320" s="366">
        <f>+VLOOKUP(D320,'Resultats - informe'!$Y$18:$AG$42,'Introducció dades consum'!K320+1,0)</f>
        <v>0</v>
      </c>
      <c r="O320" s="367" cm="1">
        <f t="array" ref="O320">+_xlfn.SWITCH(MONTH(C320),1,1,2,1,3,1,4,2,5,2,6,3,7,3,8,3,9,3,10,2,11,2,12,1,2)</f>
        <v>1</v>
      </c>
      <c r="P320" s="43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</row>
    <row r="321" spans="1:73" ht="18" x14ac:dyDescent="0.35">
      <c r="A321" s="43"/>
      <c r="C321" s="393"/>
      <c r="E321" s="394"/>
      <c r="F321" s="394"/>
      <c r="G321" s="394"/>
      <c r="H321" s="8" t="s">
        <v>61</v>
      </c>
      <c r="I321" s="364">
        <f t="shared" si="13"/>
        <v>0</v>
      </c>
      <c r="J321" s="365">
        <f t="shared" si="12"/>
        <v>0</v>
      </c>
      <c r="K321" s="366">
        <f t="shared" si="14"/>
        <v>6</v>
      </c>
      <c r="L321" s="366">
        <f>+IF((C321&gt;='Resultats - informe'!$E$16)*(C321&lt;='Resultats - informe'!$G$16),1,0)</f>
        <v>1</v>
      </c>
      <c r="M321" s="366" cm="1">
        <f t="array" ref="M321">+_xlfn.IFS((C321&gt;='Resultats - informe'!$D$26)*(C321&lt;='Resultats - informe'!$E$26),0,(C321&gt;='Resultats - informe'!$D$27)*(C321&lt;='Resultats - informe'!$E$27),0,(C321&gt;='Resultats - informe'!$D$28)*(C321&lt;='Resultats - informe'!$E$28),0,(C321&gt;='Resultats - informe'!$D$29)*(C321&lt;='Resultats - informe'!$E$29),0,1,1)</f>
        <v>0</v>
      </c>
      <c r="N321" s="366">
        <f>+VLOOKUP(D321,'Resultats - informe'!$Y$18:$AG$42,'Introducció dades consum'!K321+1,0)</f>
        <v>0</v>
      </c>
      <c r="O321" s="367" cm="1">
        <f t="array" ref="O321">+_xlfn.SWITCH(MONTH(C321),1,1,2,1,3,1,4,2,5,2,6,3,7,3,8,3,9,3,10,2,11,2,12,1,2)</f>
        <v>1</v>
      </c>
      <c r="P321" s="43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</row>
    <row r="322" spans="1:73" ht="18" x14ac:dyDescent="0.35">
      <c r="A322" s="43"/>
      <c r="C322" s="393"/>
      <c r="E322" s="394"/>
      <c r="F322" s="394"/>
      <c r="G322" s="394"/>
      <c r="H322" s="8" t="s">
        <v>61</v>
      </c>
      <c r="I322" s="364">
        <f t="shared" si="13"/>
        <v>0</v>
      </c>
      <c r="J322" s="365">
        <f t="shared" si="12"/>
        <v>0</v>
      </c>
      <c r="K322" s="366">
        <f t="shared" si="14"/>
        <v>6</v>
      </c>
      <c r="L322" s="366">
        <f>+IF((C322&gt;='Resultats - informe'!$E$16)*(C322&lt;='Resultats - informe'!$G$16),1,0)</f>
        <v>1</v>
      </c>
      <c r="M322" s="366" cm="1">
        <f t="array" ref="M322">+_xlfn.IFS((C322&gt;='Resultats - informe'!$D$26)*(C322&lt;='Resultats - informe'!$E$26),0,(C322&gt;='Resultats - informe'!$D$27)*(C322&lt;='Resultats - informe'!$E$27),0,(C322&gt;='Resultats - informe'!$D$28)*(C322&lt;='Resultats - informe'!$E$28),0,(C322&gt;='Resultats - informe'!$D$29)*(C322&lt;='Resultats - informe'!$E$29),0,1,1)</f>
        <v>0</v>
      </c>
      <c r="N322" s="366">
        <f>+VLOOKUP(D322,'Resultats - informe'!$Y$18:$AG$42,'Introducció dades consum'!K322+1,0)</f>
        <v>0</v>
      </c>
      <c r="O322" s="367" cm="1">
        <f t="array" ref="O322">+_xlfn.SWITCH(MONTH(C322),1,1,2,1,3,1,4,2,5,2,6,3,7,3,8,3,9,3,10,2,11,2,12,1,2)</f>
        <v>1</v>
      </c>
      <c r="P322" s="43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</row>
    <row r="323" spans="1:73" ht="18" x14ac:dyDescent="0.35">
      <c r="A323" s="43"/>
      <c r="C323" s="393"/>
      <c r="E323" s="394"/>
      <c r="F323" s="394"/>
      <c r="G323" s="394"/>
      <c r="H323" s="8" t="s">
        <v>61</v>
      </c>
      <c r="I323" s="364">
        <f t="shared" si="13"/>
        <v>0</v>
      </c>
      <c r="J323" s="365">
        <f t="shared" si="12"/>
        <v>0</v>
      </c>
      <c r="K323" s="366">
        <f t="shared" si="14"/>
        <v>6</v>
      </c>
      <c r="L323" s="366">
        <f>+IF((C323&gt;='Resultats - informe'!$E$16)*(C323&lt;='Resultats - informe'!$G$16),1,0)</f>
        <v>1</v>
      </c>
      <c r="M323" s="366" cm="1">
        <f t="array" ref="M323">+_xlfn.IFS((C323&gt;='Resultats - informe'!$D$26)*(C323&lt;='Resultats - informe'!$E$26),0,(C323&gt;='Resultats - informe'!$D$27)*(C323&lt;='Resultats - informe'!$E$27),0,(C323&gt;='Resultats - informe'!$D$28)*(C323&lt;='Resultats - informe'!$E$28),0,(C323&gt;='Resultats - informe'!$D$29)*(C323&lt;='Resultats - informe'!$E$29),0,1,1)</f>
        <v>0</v>
      </c>
      <c r="N323" s="366">
        <f>+VLOOKUP(D323,'Resultats - informe'!$Y$18:$AG$42,'Introducció dades consum'!K323+1,0)</f>
        <v>0</v>
      </c>
      <c r="O323" s="367" cm="1">
        <f t="array" ref="O323">+_xlfn.SWITCH(MONTH(C323),1,1,2,1,3,1,4,2,5,2,6,3,7,3,8,3,9,3,10,2,11,2,12,1,2)</f>
        <v>1</v>
      </c>
      <c r="P323" s="43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</row>
    <row r="324" spans="1:73" ht="18" x14ac:dyDescent="0.35">
      <c r="A324" s="43"/>
      <c r="C324" s="393"/>
      <c r="E324" s="394"/>
      <c r="F324" s="394"/>
      <c r="G324" s="394"/>
      <c r="H324" s="8" t="s">
        <v>61</v>
      </c>
      <c r="I324" s="364">
        <f t="shared" si="13"/>
        <v>0</v>
      </c>
      <c r="J324" s="365">
        <f t="shared" si="12"/>
        <v>0</v>
      </c>
      <c r="K324" s="366">
        <f t="shared" si="14"/>
        <v>6</v>
      </c>
      <c r="L324" s="366">
        <f>+IF((C324&gt;='Resultats - informe'!$E$16)*(C324&lt;='Resultats - informe'!$G$16),1,0)</f>
        <v>1</v>
      </c>
      <c r="M324" s="366" cm="1">
        <f t="array" ref="M324">+_xlfn.IFS((C324&gt;='Resultats - informe'!$D$26)*(C324&lt;='Resultats - informe'!$E$26),0,(C324&gt;='Resultats - informe'!$D$27)*(C324&lt;='Resultats - informe'!$E$27),0,(C324&gt;='Resultats - informe'!$D$28)*(C324&lt;='Resultats - informe'!$E$28),0,(C324&gt;='Resultats - informe'!$D$29)*(C324&lt;='Resultats - informe'!$E$29),0,1,1)</f>
        <v>0</v>
      </c>
      <c r="N324" s="366">
        <f>+VLOOKUP(D324,'Resultats - informe'!$Y$18:$AG$42,'Introducció dades consum'!K324+1,0)</f>
        <v>0</v>
      </c>
      <c r="O324" s="367" cm="1">
        <f t="array" ref="O324">+_xlfn.SWITCH(MONTH(C324),1,1,2,1,3,1,4,2,5,2,6,3,7,3,8,3,9,3,10,2,11,2,12,1,2)</f>
        <v>1</v>
      </c>
      <c r="P324" s="43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</row>
    <row r="325" spans="1:73" ht="18" x14ac:dyDescent="0.35">
      <c r="A325" s="43"/>
      <c r="C325" s="393"/>
      <c r="E325" s="394"/>
      <c r="F325" s="394"/>
      <c r="G325" s="394"/>
      <c r="H325" s="8" t="s">
        <v>61</v>
      </c>
      <c r="I325" s="364">
        <f t="shared" si="13"/>
        <v>0</v>
      </c>
      <c r="J325" s="365">
        <f t="shared" ref="J325:J388" si="15">+C325</f>
        <v>0</v>
      </c>
      <c r="K325" s="366">
        <f t="shared" si="14"/>
        <v>6</v>
      </c>
      <c r="L325" s="366">
        <f>+IF((C325&gt;='Resultats - informe'!$E$16)*(C325&lt;='Resultats - informe'!$G$16),1,0)</f>
        <v>1</v>
      </c>
      <c r="M325" s="366" cm="1">
        <f t="array" ref="M325">+_xlfn.IFS((C325&gt;='Resultats - informe'!$D$26)*(C325&lt;='Resultats - informe'!$E$26),0,(C325&gt;='Resultats - informe'!$D$27)*(C325&lt;='Resultats - informe'!$E$27),0,(C325&gt;='Resultats - informe'!$D$28)*(C325&lt;='Resultats - informe'!$E$28),0,(C325&gt;='Resultats - informe'!$D$29)*(C325&lt;='Resultats - informe'!$E$29),0,1,1)</f>
        <v>0</v>
      </c>
      <c r="N325" s="366">
        <f>+VLOOKUP(D325,'Resultats - informe'!$Y$18:$AG$42,'Introducció dades consum'!K325+1,0)</f>
        <v>0</v>
      </c>
      <c r="O325" s="367" cm="1">
        <f t="array" ref="O325">+_xlfn.SWITCH(MONTH(C325),1,1,2,1,3,1,4,2,5,2,6,3,7,3,8,3,9,3,10,2,11,2,12,1,2)</f>
        <v>1</v>
      </c>
      <c r="P325" s="43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</row>
    <row r="326" spans="1:73" ht="18" x14ac:dyDescent="0.35">
      <c r="A326" s="43"/>
      <c r="C326" s="393"/>
      <c r="E326" s="394"/>
      <c r="F326" s="394"/>
      <c r="G326" s="394"/>
      <c r="H326" s="8" t="s">
        <v>61</v>
      </c>
      <c r="I326" s="364">
        <f t="shared" ref="I326:I389" si="16">+E326+G326</f>
        <v>0</v>
      </c>
      <c r="J326" s="365">
        <f t="shared" si="15"/>
        <v>0</v>
      </c>
      <c r="K326" s="366">
        <f t="shared" ref="K326:K389" si="17">+WEEKDAY(C326,2)</f>
        <v>6</v>
      </c>
      <c r="L326" s="366">
        <f>+IF((C326&gt;='Resultats - informe'!$E$16)*(C326&lt;='Resultats - informe'!$G$16),1,0)</f>
        <v>1</v>
      </c>
      <c r="M326" s="366" cm="1">
        <f t="array" ref="M326">+_xlfn.IFS((C326&gt;='Resultats - informe'!$D$26)*(C326&lt;='Resultats - informe'!$E$26),0,(C326&gt;='Resultats - informe'!$D$27)*(C326&lt;='Resultats - informe'!$E$27),0,(C326&gt;='Resultats - informe'!$D$28)*(C326&lt;='Resultats - informe'!$E$28),0,(C326&gt;='Resultats - informe'!$D$29)*(C326&lt;='Resultats - informe'!$E$29),0,1,1)</f>
        <v>0</v>
      </c>
      <c r="N326" s="366">
        <f>+VLOOKUP(D326,'Resultats - informe'!$Y$18:$AG$42,'Introducció dades consum'!K326+1,0)</f>
        <v>0</v>
      </c>
      <c r="O326" s="367" cm="1">
        <f t="array" ref="O326">+_xlfn.SWITCH(MONTH(C326),1,1,2,1,3,1,4,2,5,2,6,3,7,3,8,3,9,3,10,2,11,2,12,1,2)</f>
        <v>1</v>
      </c>
      <c r="P326" s="43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</row>
    <row r="327" spans="1:73" ht="18" x14ac:dyDescent="0.35">
      <c r="A327" s="43"/>
      <c r="C327" s="393"/>
      <c r="E327" s="394"/>
      <c r="F327" s="394"/>
      <c r="G327" s="394"/>
      <c r="H327" s="8" t="s">
        <v>61</v>
      </c>
      <c r="I327" s="364">
        <f t="shared" si="16"/>
        <v>0</v>
      </c>
      <c r="J327" s="365">
        <f t="shared" si="15"/>
        <v>0</v>
      </c>
      <c r="K327" s="366">
        <f t="shared" si="17"/>
        <v>6</v>
      </c>
      <c r="L327" s="366">
        <f>+IF((C327&gt;='Resultats - informe'!$E$16)*(C327&lt;='Resultats - informe'!$G$16),1,0)</f>
        <v>1</v>
      </c>
      <c r="M327" s="366" cm="1">
        <f t="array" ref="M327">+_xlfn.IFS((C327&gt;='Resultats - informe'!$D$26)*(C327&lt;='Resultats - informe'!$E$26),0,(C327&gt;='Resultats - informe'!$D$27)*(C327&lt;='Resultats - informe'!$E$27),0,(C327&gt;='Resultats - informe'!$D$28)*(C327&lt;='Resultats - informe'!$E$28),0,(C327&gt;='Resultats - informe'!$D$29)*(C327&lt;='Resultats - informe'!$E$29),0,1,1)</f>
        <v>0</v>
      </c>
      <c r="N327" s="366">
        <f>+VLOOKUP(D327,'Resultats - informe'!$Y$18:$AG$42,'Introducció dades consum'!K327+1,0)</f>
        <v>0</v>
      </c>
      <c r="O327" s="367" cm="1">
        <f t="array" ref="O327">+_xlfn.SWITCH(MONTH(C327),1,1,2,1,3,1,4,2,5,2,6,3,7,3,8,3,9,3,10,2,11,2,12,1,2)</f>
        <v>1</v>
      </c>
      <c r="P327" s="43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</row>
    <row r="328" spans="1:73" ht="18" x14ac:dyDescent="0.35">
      <c r="A328" s="43"/>
      <c r="C328" s="393"/>
      <c r="E328" s="394"/>
      <c r="F328" s="394"/>
      <c r="G328" s="394"/>
      <c r="H328" s="8" t="s">
        <v>61</v>
      </c>
      <c r="I328" s="364">
        <f t="shared" si="16"/>
        <v>0</v>
      </c>
      <c r="J328" s="365">
        <f t="shared" si="15"/>
        <v>0</v>
      </c>
      <c r="K328" s="366">
        <f t="shared" si="17"/>
        <v>6</v>
      </c>
      <c r="L328" s="366">
        <f>+IF((C328&gt;='Resultats - informe'!$E$16)*(C328&lt;='Resultats - informe'!$G$16),1,0)</f>
        <v>1</v>
      </c>
      <c r="M328" s="366" cm="1">
        <f t="array" ref="M328">+_xlfn.IFS((C328&gt;='Resultats - informe'!$D$26)*(C328&lt;='Resultats - informe'!$E$26),0,(C328&gt;='Resultats - informe'!$D$27)*(C328&lt;='Resultats - informe'!$E$27),0,(C328&gt;='Resultats - informe'!$D$28)*(C328&lt;='Resultats - informe'!$E$28),0,(C328&gt;='Resultats - informe'!$D$29)*(C328&lt;='Resultats - informe'!$E$29),0,1,1)</f>
        <v>0</v>
      </c>
      <c r="N328" s="366">
        <f>+VLOOKUP(D328,'Resultats - informe'!$Y$18:$AG$42,'Introducció dades consum'!K328+1,0)</f>
        <v>0</v>
      </c>
      <c r="O328" s="367" cm="1">
        <f t="array" ref="O328">+_xlfn.SWITCH(MONTH(C328),1,1,2,1,3,1,4,2,5,2,6,3,7,3,8,3,9,3,10,2,11,2,12,1,2)</f>
        <v>1</v>
      </c>
      <c r="P328" s="43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</row>
    <row r="329" spans="1:73" ht="18" x14ac:dyDescent="0.35">
      <c r="A329" s="43"/>
      <c r="C329" s="393"/>
      <c r="E329" s="394"/>
      <c r="F329" s="394"/>
      <c r="G329" s="394"/>
      <c r="H329" s="8" t="s">
        <v>61</v>
      </c>
      <c r="I329" s="364">
        <f t="shared" si="16"/>
        <v>0</v>
      </c>
      <c r="J329" s="365">
        <f t="shared" si="15"/>
        <v>0</v>
      </c>
      <c r="K329" s="366">
        <f t="shared" si="17"/>
        <v>6</v>
      </c>
      <c r="L329" s="366">
        <f>+IF((C329&gt;='Resultats - informe'!$E$16)*(C329&lt;='Resultats - informe'!$G$16),1,0)</f>
        <v>1</v>
      </c>
      <c r="M329" s="366" cm="1">
        <f t="array" ref="M329">+_xlfn.IFS((C329&gt;='Resultats - informe'!$D$26)*(C329&lt;='Resultats - informe'!$E$26),0,(C329&gt;='Resultats - informe'!$D$27)*(C329&lt;='Resultats - informe'!$E$27),0,(C329&gt;='Resultats - informe'!$D$28)*(C329&lt;='Resultats - informe'!$E$28),0,(C329&gt;='Resultats - informe'!$D$29)*(C329&lt;='Resultats - informe'!$E$29),0,1,1)</f>
        <v>0</v>
      </c>
      <c r="N329" s="366">
        <f>+VLOOKUP(D329,'Resultats - informe'!$Y$18:$AG$42,'Introducció dades consum'!K329+1,0)</f>
        <v>0</v>
      </c>
      <c r="O329" s="367" cm="1">
        <f t="array" ref="O329">+_xlfn.SWITCH(MONTH(C329),1,1,2,1,3,1,4,2,5,2,6,3,7,3,8,3,9,3,10,2,11,2,12,1,2)</f>
        <v>1</v>
      </c>
      <c r="P329" s="43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</row>
    <row r="330" spans="1:73" ht="18" x14ac:dyDescent="0.35">
      <c r="A330" s="43"/>
      <c r="C330" s="393"/>
      <c r="E330" s="394"/>
      <c r="F330" s="394"/>
      <c r="G330" s="394"/>
      <c r="H330" s="8" t="s">
        <v>61</v>
      </c>
      <c r="I330" s="364">
        <f t="shared" si="16"/>
        <v>0</v>
      </c>
      <c r="J330" s="365">
        <f t="shared" si="15"/>
        <v>0</v>
      </c>
      <c r="K330" s="366">
        <f t="shared" si="17"/>
        <v>6</v>
      </c>
      <c r="L330" s="366">
        <f>+IF((C330&gt;='Resultats - informe'!$E$16)*(C330&lt;='Resultats - informe'!$G$16),1,0)</f>
        <v>1</v>
      </c>
      <c r="M330" s="366" cm="1">
        <f t="array" ref="M330">+_xlfn.IFS((C330&gt;='Resultats - informe'!$D$26)*(C330&lt;='Resultats - informe'!$E$26),0,(C330&gt;='Resultats - informe'!$D$27)*(C330&lt;='Resultats - informe'!$E$27),0,(C330&gt;='Resultats - informe'!$D$28)*(C330&lt;='Resultats - informe'!$E$28),0,(C330&gt;='Resultats - informe'!$D$29)*(C330&lt;='Resultats - informe'!$E$29),0,1,1)</f>
        <v>0</v>
      </c>
      <c r="N330" s="366">
        <f>+VLOOKUP(D330,'Resultats - informe'!$Y$18:$AG$42,'Introducció dades consum'!K330+1,0)</f>
        <v>0</v>
      </c>
      <c r="O330" s="367" cm="1">
        <f t="array" ref="O330">+_xlfn.SWITCH(MONTH(C330),1,1,2,1,3,1,4,2,5,2,6,3,7,3,8,3,9,3,10,2,11,2,12,1,2)</f>
        <v>1</v>
      </c>
      <c r="P330" s="43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</row>
    <row r="331" spans="1:73" ht="18" x14ac:dyDescent="0.35">
      <c r="A331" s="43"/>
      <c r="C331" s="393"/>
      <c r="E331" s="394"/>
      <c r="F331" s="394"/>
      <c r="G331" s="394"/>
      <c r="H331" s="8" t="s">
        <v>61</v>
      </c>
      <c r="I331" s="364">
        <f t="shared" si="16"/>
        <v>0</v>
      </c>
      <c r="J331" s="365">
        <f t="shared" si="15"/>
        <v>0</v>
      </c>
      <c r="K331" s="366">
        <f t="shared" si="17"/>
        <v>6</v>
      </c>
      <c r="L331" s="366">
        <f>+IF((C331&gt;='Resultats - informe'!$E$16)*(C331&lt;='Resultats - informe'!$G$16),1,0)</f>
        <v>1</v>
      </c>
      <c r="M331" s="366" cm="1">
        <f t="array" ref="M331">+_xlfn.IFS((C331&gt;='Resultats - informe'!$D$26)*(C331&lt;='Resultats - informe'!$E$26),0,(C331&gt;='Resultats - informe'!$D$27)*(C331&lt;='Resultats - informe'!$E$27),0,(C331&gt;='Resultats - informe'!$D$28)*(C331&lt;='Resultats - informe'!$E$28),0,(C331&gt;='Resultats - informe'!$D$29)*(C331&lt;='Resultats - informe'!$E$29),0,1,1)</f>
        <v>0</v>
      </c>
      <c r="N331" s="366">
        <f>+VLOOKUP(D331,'Resultats - informe'!$Y$18:$AG$42,'Introducció dades consum'!K331+1,0)</f>
        <v>0</v>
      </c>
      <c r="O331" s="367" cm="1">
        <f t="array" ref="O331">+_xlfn.SWITCH(MONTH(C331),1,1,2,1,3,1,4,2,5,2,6,3,7,3,8,3,9,3,10,2,11,2,12,1,2)</f>
        <v>1</v>
      </c>
      <c r="P331" s="43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</row>
    <row r="332" spans="1:73" ht="18" x14ac:dyDescent="0.35">
      <c r="A332" s="43"/>
      <c r="C332" s="393"/>
      <c r="E332" s="394"/>
      <c r="F332" s="394"/>
      <c r="G332" s="394"/>
      <c r="H332" s="8" t="s">
        <v>61</v>
      </c>
      <c r="I332" s="364">
        <f t="shared" si="16"/>
        <v>0</v>
      </c>
      <c r="J332" s="365">
        <f t="shared" si="15"/>
        <v>0</v>
      </c>
      <c r="K332" s="366">
        <f t="shared" si="17"/>
        <v>6</v>
      </c>
      <c r="L332" s="366">
        <f>+IF((C332&gt;='Resultats - informe'!$E$16)*(C332&lt;='Resultats - informe'!$G$16),1,0)</f>
        <v>1</v>
      </c>
      <c r="M332" s="366" cm="1">
        <f t="array" ref="M332">+_xlfn.IFS((C332&gt;='Resultats - informe'!$D$26)*(C332&lt;='Resultats - informe'!$E$26),0,(C332&gt;='Resultats - informe'!$D$27)*(C332&lt;='Resultats - informe'!$E$27),0,(C332&gt;='Resultats - informe'!$D$28)*(C332&lt;='Resultats - informe'!$E$28),0,(C332&gt;='Resultats - informe'!$D$29)*(C332&lt;='Resultats - informe'!$E$29),0,1,1)</f>
        <v>0</v>
      </c>
      <c r="N332" s="366">
        <f>+VLOOKUP(D332,'Resultats - informe'!$Y$18:$AG$42,'Introducció dades consum'!K332+1,0)</f>
        <v>0</v>
      </c>
      <c r="O332" s="367" cm="1">
        <f t="array" ref="O332">+_xlfn.SWITCH(MONTH(C332),1,1,2,1,3,1,4,2,5,2,6,3,7,3,8,3,9,3,10,2,11,2,12,1,2)</f>
        <v>1</v>
      </c>
      <c r="P332" s="43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</row>
    <row r="333" spans="1:73" ht="18" x14ac:dyDescent="0.35">
      <c r="A333" s="43"/>
      <c r="C333" s="393"/>
      <c r="E333" s="394"/>
      <c r="F333" s="394"/>
      <c r="G333" s="394"/>
      <c r="H333" s="8" t="s">
        <v>61</v>
      </c>
      <c r="I333" s="364">
        <f t="shared" si="16"/>
        <v>0</v>
      </c>
      <c r="J333" s="365">
        <f t="shared" si="15"/>
        <v>0</v>
      </c>
      <c r="K333" s="366">
        <f t="shared" si="17"/>
        <v>6</v>
      </c>
      <c r="L333" s="366">
        <f>+IF((C333&gt;='Resultats - informe'!$E$16)*(C333&lt;='Resultats - informe'!$G$16),1,0)</f>
        <v>1</v>
      </c>
      <c r="M333" s="366" cm="1">
        <f t="array" ref="M333">+_xlfn.IFS((C333&gt;='Resultats - informe'!$D$26)*(C333&lt;='Resultats - informe'!$E$26),0,(C333&gt;='Resultats - informe'!$D$27)*(C333&lt;='Resultats - informe'!$E$27),0,(C333&gt;='Resultats - informe'!$D$28)*(C333&lt;='Resultats - informe'!$E$28),0,(C333&gt;='Resultats - informe'!$D$29)*(C333&lt;='Resultats - informe'!$E$29),0,1,1)</f>
        <v>0</v>
      </c>
      <c r="N333" s="366">
        <f>+VLOOKUP(D333,'Resultats - informe'!$Y$18:$AG$42,'Introducció dades consum'!K333+1,0)</f>
        <v>0</v>
      </c>
      <c r="O333" s="367" cm="1">
        <f t="array" ref="O333">+_xlfn.SWITCH(MONTH(C333),1,1,2,1,3,1,4,2,5,2,6,3,7,3,8,3,9,3,10,2,11,2,12,1,2)</f>
        <v>1</v>
      </c>
      <c r="P333" s="43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</row>
    <row r="334" spans="1:73" ht="18" x14ac:dyDescent="0.35">
      <c r="A334" s="43"/>
      <c r="C334" s="393"/>
      <c r="E334" s="394"/>
      <c r="F334" s="394"/>
      <c r="G334" s="394"/>
      <c r="H334" s="8" t="s">
        <v>61</v>
      </c>
      <c r="I334" s="364">
        <f t="shared" si="16"/>
        <v>0</v>
      </c>
      <c r="J334" s="365">
        <f t="shared" si="15"/>
        <v>0</v>
      </c>
      <c r="K334" s="366">
        <f t="shared" si="17"/>
        <v>6</v>
      </c>
      <c r="L334" s="366">
        <f>+IF((C334&gt;='Resultats - informe'!$E$16)*(C334&lt;='Resultats - informe'!$G$16),1,0)</f>
        <v>1</v>
      </c>
      <c r="M334" s="366" cm="1">
        <f t="array" ref="M334">+_xlfn.IFS((C334&gt;='Resultats - informe'!$D$26)*(C334&lt;='Resultats - informe'!$E$26),0,(C334&gt;='Resultats - informe'!$D$27)*(C334&lt;='Resultats - informe'!$E$27),0,(C334&gt;='Resultats - informe'!$D$28)*(C334&lt;='Resultats - informe'!$E$28),0,(C334&gt;='Resultats - informe'!$D$29)*(C334&lt;='Resultats - informe'!$E$29),0,1,1)</f>
        <v>0</v>
      </c>
      <c r="N334" s="366">
        <f>+VLOOKUP(D334,'Resultats - informe'!$Y$18:$AG$42,'Introducció dades consum'!K334+1,0)</f>
        <v>0</v>
      </c>
      <c r="O334" s="367" cm="1">
        <f t="array" ref="O334">+_xlfn.SWITCH(MONTH(C334),1,1,2,1,3,1,4,2,5,2,6,3,7,3,8,3,9,3,10,2,11,2,12,1,2)</f>
        <v>1</v>
      </c>
      <c r="P334" s="43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</row>
    <row r="335" spans="1:73" ht="18" x14ac:dyDescent="0.35">
      <c r="A335" s="43"/>
      <c r="C335" s="393"/>
      <c r="E335" s="394"/>
      <c r="F335" s="394"/>
      <c r="G335" s="394"/>
      <c r="H335" s="8" t="s">
        <v>61</v>
      </c>
      <c r="I335" s="364">
        <f t="shared" si="16"/>
        <v>0</v>
      </c>
      <c r="J335" s="365">
        <f t="shared" si="15"/>
        <v>0</v>
      </c>
      <c r="K335" s="366">
        <f t="shared" si="17"/>
        <v>6</v>
      </c>
      <c r="L335" s="366">
        <f>+IF((C335&gt;='Resultats - informe'!$E$16)*(C335&lt;='Resultats - informe'!$G$16),1,0)</f>
        <v>1</v>
      </c>
      <c r="M335" s="366" cm="1">
        <f t="array" ref="M335">+_xlfn.IFS((C335&gt;='Resultats - informe'!$D$26)*(C335&lt;='Resultats - informe'!$E$26),0,(C335&gt;='Resultats - informe'!$D$27)*(C335&lt;='Resultats - informe'!$E$27),0,(C335&gt;='Resultats - informe'!$D$28)*(C335&lt;='Resultats - informe'!$E$28),0,(C335&gt;='Resultats - informe'!$D$29)*(C335&lt;='Resultats - informe'!$E$29),0,1,1)</f>
        <v>0</v>
      </c>
      <c r="N335" s="366">
        <f>+VLOOKUP(D335,'Resultats - informe'!$Y$18:$AG$42,'Introducció dades consum'!K335+1,0)</f>
        <v>0</v>
      </c>
      <c r="O335" s="367" cm="1">
        <f t="array" ref="O335">+_xlfn.SWITCH(MONTH(C335),1,1,2,1,3,1,4,2,5,2,6,3,7,3,8,3,9,3,10,2,11,2,12,1,2)</f>
        <v>1</v>
      </c>
      <c r="P335" s="43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</row>
    <row r="336" spans="1:73" ht="18" x14ac:dyDescent="0.35">
      <c r="A336" s="43"/>
      <c r="C336" s="393"/>
      <c r="E336" s="394"/>
      <c r="F336" s="394"/>
      <c r="G336" s="394"/>
      <c r="H336" s="8" t="s">
        <v>61</v>
      </c>
      <c r="I336" s="364">
        <f t="shared" si="16"/>
        <v>0</v>
      </c>
      <c r="J336" s="365">
        <f t="shared" si="15"/>
        <v>0</v>
      </c>
      <c r="K336" s="366">
        <f t="shared" si="17"/>
        <v>6</v>
      </c>
      <c r="L336" s="366">
        <f>+IF((C336&gt;='Resultats - informe'!$E$16)*(C336&lt;='Resultats - informe'!$G$16),1,0)</f>
        <v>1</v>
      </c>
      <c r="M336" s="366" cm="1">
        <f t="array" ref="M336">+_xlfn.IFS((C336&gt;='Resultats - informe'!$D$26)*(C336&lt;='Resultats - informe'!$E$26),0,(C336&gt;='Resultats - informe'!$D$27)*(C336&lt;='Resultats - informe'!$E$27),0,(C336&gt;='Resultats - informe'!$D$28)*(C336&lt;='Resultats - informe'!$E$28),0,(C336&gt;='Resultats - informe'!$D$29)*(C336&lt;='Resultats - informe'!$E$29),0,1,1)</f>
        <v>0</v>
      </c>
      <c r="N336" s="366">
        <f>+VLOOKUP(D336,'Resultats - informe'!$Y$18:$AG$42,'Introducció dades consum'!K336+1,0)</f>
        <v>0</v>
      </c>
      <c r="O336" s="367" cm="1">
        <f t="array" ref="O336">+_xlfn.SWITCH(MONTH(C336),1,1,2,1,3,1,4,2,5,2,6,3,7,3,8,3,9,3,10,2,11,2,12,1,2)</f>
        <v>1</v>
      </c>
      <c r="P336" s="43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</row>
    <row r="337" spans="1:73" ht="18" x14ac:dyDescent="0.35">
      <c r="A337" s="43"/>
      <c r="C337" s="393"/>
      <c r="E337" s="394"/>
      <c r="F337" s="394"/>
      <c r="G337" s="394"/>
      <c r="H337" s="8" t="s">
        <v>61</v>
      </c>
      <c r="I337" s="364">
        <f t="shared" si="16"/>
        <v>0</v>
      </c>
      <c r="J337" s="365">
        <f t="shared" si="15"/>
        <v>0</v>
      </c>
      <c r="K337" s="366">
        <f t="shared" si="17"/>
        <v>6</v>
      </c>
      <c r="L337" s="366">
        <f>+IF((C337&gt;='Resultats - informe'!$E$16)*(C337&lt;='Resultats - informe'!$G$16),1,0)</f>
        <v>1</v>
      </c>
      <c r="M337" s="366" cm="1">
        <f t="array" ref="M337">+_xlfn.IFS((C337&gt;='Resultats - informe'!$D$26)*(C337&lt;='Resultats - informe'!$E$26),0,(C337&gt;='Resultats - informe'!$D$27)*(C337&lt;='Resultats - informe'!$E$27),0,(C337&gt;='Resultats - informe'!$D$28)*(C337&lt;='Resultats - informe'!$E$28),0,(C337&gt;='Resultats - informe'!$D$29)*(C337&lt;='Resultats - informe'!$E$29),0,1,1)</f>
        <v>0</v>
      </c>
      <c r="N337" s="366">
        <f>+VLOOKUP(D337,'Resultats - informe'!$Y$18:$AG$42,'Introducció dades consum'!K337+1,0)</f>
        <v>0</v>
      </c>
      <c r="O337" s="367" cm="1">
        <f t="array" ref="O337">+_xlfn.SWITCH(MONTH(C337),1,1,2,1,3,1,4,2,5,2,6,3,7,3,8,3,9,3,10,2,11,2,12,1,2)</f>
        <v>1</v>
      </c>
      <c r="P337" s="43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</row>
    <row r="338" spans="1:73" ht="18" x14ac:dyDescent="0.35">
      <c r="A338" s="43"/>
      <c r="C338" s="393"/>
      <c r="E338" s="394"/>
      <c r="F338" s="394"/>
      <c r="G338" s="394"/>
      <c r="H338" s="8" t="s">
        <v>61</v>
      </c>
      <c r="I338" s="364">
        <f t="shared" si="16"/>
        <v>0</v>
      </c>
      <c r="J338" s="365">
        <f t="shared" si="15"/>
        <v>0</v>
      </c>
      <c r="K338" s="366">
        <f t="shared" si="17"/>
        <v>6</v>
      </c>
      <c r="L338" s="366">
        <f>+IF((C338&gt;='Resultats - informe'!$E$16)*(C338&lt;='Resultats - informe'!$G$16),1,0)</f>
        <v>1</v>
      </c>
      <c r="M338" s="366" cm="1">
        <f t="array" ref="M338">+_xlfn.IFS((C338&gt;='Resultats - informe'!$D$26)*(C338&lt;='Resultats - informe'!$E$26),0,(C338&gt;='Resultats - informe'!$D$27)*(C338&lt;='Resultats - informe'!$E$27),0,(C338&gt;='Resultats - informe'!$D$28)*(C338&lt;='Resultats - informe'!$E$28),0,(C338&gt;='Resultats - informe'!$D$29)*(C338&lt;='Resultats - informe'!$E$29),0,1,1)</f>
        <v>0</v>
      </c>
      <c r="N338" s="366">
        <f>+VLOOKUP(D338,'Resultats - informe'!$Y$18:$AG$42,'Introducció dades consum'!K338+1,0)</f>
        <v>0</v>
      </c>
      <c r="O338" s="367" cm="1">
        <f t="array" ref="O338">+_xlfn.SWITCH(MONTH(C338),1,1,2,1,3,1,4,2,5,2,6,3,7,3,8,3,9,3,10,2,11,2,12,1,2)</f>
        <v>1</v>
      </c>
      <c r="P338" s="43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</row>
    <row r="339" spans="1:73" ht="18" x14ac:dyDescent="0.35">
      <c r="A339" s="43"/>
      <c r="C339" s="393"/>
      <c r="E339" s="394"/>
      <c r="F339" s="394"/>
      <c r="G339" s="394"/>
      <c r="H339" s="8" t="s">
        <v>61</v>
      </c>
      <c r="I339" s="364">
        <f t="shared" si="16"/>
        <v>0</v>
      </c>
      <c r="J339" s="365">
        <f t="shared" si="15"/>
        <v>0</v>
      </c>
      <c r="K339" s="366">
        <f t="shared" si="17"/>
        <v>6</v>
      </c>
      <c r="L339" s="366">
        <f>+IF((C339&gt;='Resultats - informe'!$E$16)*(C339&lt;='Resultats - informe'!$G$16),1,0)</f>
        <v>1</v>
      </c>
      <c r="M339" s="366" cm="1">
        <f t="array" ref="M339">+_xlfn.IFS((C339&gt;='Resultats - informe'!$D$26)*(C339&lt;='Resultats - informe'!$E$26),0,(C339&gt;='Resultats - informe'!$D$27)*(C339&lt;='Resultats - informe'!$E$27),0,(C339&gt;='Resultats - informe'!$D$28)*(C339&lt;='Resultats - informe'!$E$28),0,(C339&gt;='Resultats - informe'!$D$29)*(C339&lt;='Resultats - informe'!$E$29),0,1,1)</f>
        <v>0</v>
      </c>
      <c r="N339" s="366">
        <f>+VLOOKUP(D339,'Resultats - informe'!$Y$18:$AG$42,'Introducció dades consum'!K339+1,0)</f>
        <v>0</v>
      </c>
      <c r="O339" s="367" cm="1">
        <f t="array" ref="O339">+_xlfn.SWITCH(MONTH(C339),1,1,2,1,3,1,4,2,5,2,6,3,7,3,8,3,9,3,10,2,11,2,12,1,2)</f>
        <v>1</v>
      </c>
      <c r="P339" s="43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</row>
    <row r="340" spans="1:73" ht="18" x14ac:dyDescent="0.35">
      <c r="A340" s="43"/>
      <c r="C340" s="393"/>
      <c r="E340" s="394"/>
      <c r="F340" s="394"/>
      <c r="G340" s="394"/>
      <c r="H340" s="8" t="s">
        <v>61</v>
      </c>
      <c r="I340" s="364">
        <f t="shared" si="16"/>
        <v>0</v>
      </c>
      <c r="J340" s="365">
        <f t="shared" si="15"/>
        <v>0</v>
      </c>
      <c r="K340" s="366">
        <f t="shared" si="17"/>
        <v>6</v>
      </c>
      <c r="L340" s="366">
        <f>+IF((C340&gt;='Resultats - informe'!$E$16)*(C340&lt;='Resultats - informe'!$G$16),1,0)</f>
        <v>1</v>
      </c>
      <c r="M340" s="366" cm="1">
        <f t="array" ref="M340">+_xlfn.IFS((C340&gt;='Resultats - informe'!$D$26)*(C340&lt;='Resultats - informe'!$E$26),0,(C340&gt;='Resultats - informe'!$D$27)*(C340&lt;='Resultats - informe'!$E$27),0,(C340&gt;='Resultats - informe'!$D$28)*(C340&lt;='Resultats - informe'!$E$28),0,(C340&gt;='Resultats - informe'!$D$29)*(C340&lt;='Resultats - informe'!$E$29),0,1,1)</f>
        <v>0</v>
      </c>
      <c r="N340" s="366">
        <f>+VLOOKUP(D340,'Resultats - informe'!$Y$18:$AG$42,'Introducció dades consum'!K340+1,0)</f>
        <v>0</v>
      </c>
      <c r="O340" s="367" cm="1">
        <f t="array" ref="O340">+_xlfn.SWITCH(MONTH(C340),1,1,2,1,3,1,4,2,5,2,6,3,7,3,8,3,9,3,10,2,11,2,12,1,2)</f>
        <v>1</v>
      </c>
      <c r="P340" s="43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</row>
    <row r="341" spans="1:73" ht="18" x14ac:dyDescent="0.35">
      <c r="A341" s="43"/>
      <c r="C341" s="393"/>
      <c r="E341" s="394"/>
      <c r="F341" s="394"/>
      <c r="G341" s="394"/>
      <c r="H341" s="8" t="s">
        <v>61</v>
      </c>
      <c r="I341" s="364">
        <f t="shared" si="16"/>
        <v>0</v>
      </c>
      <c r="J341" s="365">
        <f t="shared" si="15"/>
        <v>0</v>
      </c>
      <c r="K341" s="366">
        <f t="shared" si="17"/>
        <v>6</v>
      </c>
      <c r="L341" s="366">
        <f>+IF((C341&gt;='Resultats - informe'!$E$16)*(C341&lt;='Resultats - informe'!$G$16),1,0)</f>
        <v>1</v>
      </c>
      <c r="M341" s="366" cm="1">
        <f t="array" ref="M341">+_xlfn.IFS((C341&gt;='Resultats - informe'!$D$26)*(C341&lt;='Resultats - informe'!$E$26),0,(C341&gt;='Resultats - informe'!$D$27)*(C341&lt;='Resultats - informe'!$E$27),0,(C341&gt;='Resultats - informe'!$D$28)*(C341&lt;='Resultats - informe'!$E$28),0,(C341&gt;='Resultats - informe'!$D$29)*(C341&lt;='Resultats - informe'!$E$29),0,1,1)</f>
        <v>0</v>
      </c>
      <c r="N341" s="366">
        <f>+VLOOKUP(D341,'Resultats - informe'!$Y$18:$AG$42,'Introducció dades consum'!K341+1,0)</f>
        <v>0</v>
      </c>
      <c r="O341" s="367" cm="1">
        <f t="array" ref="O341">+_xlfn.SWITCH(MONTH(C341),1,1,2,1,3,1,4,2,5,2,6,3,7,3,8,3,9,3,10,2,11,2,12,1,2)</f>
        <v>1</v>
      </c>
      <c r="P341" s="43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</row>
    <row r="342" spans="1:73" ht="18" x14ac:dyDescent="0.35">
      <c r="A342" s="43"/>
      <c r="C342" s="393"/>
      <c r="E342" s="394"/>
      <c r="F342" s="394"/>
      <c r="G342" s="394"/>
      <c r="H342" s="8" t="s">
        <v>61</v>
      </c>
      <c r="I342" s="364">
        <f t="shared" si="16"/>
        <v>0</v>
      </c>
      <c r="J342" s="365">
        <f t="shared" si="15"/>
        <v>0</v>
      </c>
      <c r="K342" s="366">
        <f t="shared" si="17"/>
        <v>6</v>
      </c>
      <c r="L342" s="366">
        <f>+IF((C342&gt;='Resultats - informe'!$E$16)*(C342&lt;='Resultats - informe'!$G$16),1,0)</f>
        <v>1</v>
      </c>
      <c r="M342" s="366" cm="1">
        <f t="array" ref="M342">+_xlfn.IFS((C342&gt;='Resultats - informe'!$D$26)*(C342&lt;='Resultats - informe'!$E$26),0,(C342&gt;='Resultats - informe'!$D$27)*(C342&lt;='Resultats - informe'!$E$27),0,(C342&gt;='Resultats - informe'!$D$28)*(C342&lt;='Resultats - informe'!$E$28),0,(C342&gt;='Resultats - informe'!$D$29)*(C342&lt;='Resultats - informe'!$E$29),0,1,1)</f>
        <v>0</v>
      </c>
      <c r="N342" s="366">
        <f>+VLOOKUP(D342,'Resultats - informe'!$Y$18:$AG$42,'Introducció dades consum'!K342+1,0)</f>
        <v>0</v>
      </c>
      <c r="O342" s="367" cm="1">
        <f t="array" ref="O342">+_xlfn.SWITCH(MONTH(C342),1,1,2,1,3,1,4,2,5,2,6,3,7,3,8,3,9,3,10,2,11,2,12,1,2)</f>
        <v>1</v>
      </c>
      <c r="P342" s="43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</row>
    <row r="343" spans="1:73" ht="18" x14ac:dyDescent="0.35">
      <c r="A343" s="43"/>
      <c r="C343" s="393"/>
      <c r="E343" s="394"/>
      <c r="F343" s="394"/>
      <c r="G343" s="394"/>
      <c r="H343" s="8" t="s">
        <v>61</v>
      </c>
      <c r="I343" s="364">
        <f t="shared" si="16"/>
        <v>0</v>
      </c>
      <c r="J343" s="365">
        <f t="shared" si="15"/>
        <v>0</v>
      </c>
      <c r="K343" s="366">
        <f t="shared" si="17"/>
        <v>6</v>
      </c>
      <c r="L343" s="366">
        <f>+IF((C343&gt;='Resultats - informe'!$E$16)*(C343&lt;='Resultats - informe'!$G$16),1,0)</f>
        <v>1</v>
      </c>
      <c r="M343" s="366" cm="1">
        <f t="array" ref="M343">+_xlfn.IFS((C343&gt;='Resultats - informe'!$D$26)*(C343&lt;='Resultats - informe'!$E$26),0,(C343&gt;='Resultats - informe'!$D$27)*(C343&lt;='Resultats - informe'!$E$27),0,(C343&gt;='Resultats - informe'!$D$28)*(C343&lt;='Resultats - informe'!$E$28),0,(C343&gt;='Resultats - informe'!$D$29)*(C343&lt;='Resultats - informe'!$E$29),0,1,1)</f>
        <v>0</v>
      </c>
      <c r="N343" s="366">
        <f>+VLOOKUP(D343,'Resultats - informe'!$Y$18:$AG$42,'Introducció dades consum'!K343+1,0)</f>
        <v>0</v>
      </c>
      <c r="O343" s="367" cm="1">
        <f t="array" ref="O343">+_xlfn.SWITCH(MONTH(C343),1,1,2,1,3,1,4,2,5,2,6,3,7,3,8,3,9,3,10,2,11,2,12,1,2)</f>
        <v>1</v>
      </c>
      <c r="P343" s="43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</row>
    <row r="344" spans="1:73" ht="18" x14ac:dyDescent="0.35">
      <c r="A344" s="43"/>
      <c r="C344" s="393"/>
      <c r="E344" s="394"/>
      <c r="F344" s="394"/>
      <c r="G344" s="394"/>
      <c r="H344" s="8" t="s">
        <v>61</v>
      </c>
      <c r="I344" s="364">
        <f t="shared" si="16"/>
        <v>0</v>
      </c>
      <c r="J344" s="365">
        <f t="shared" si="15"/>
        <v>0</v>
      </c>
      <c r="K344" s="366">
        <f t="shared" si="17"/>
        <v>6</v>
      </c>
      <c r="L344" s="366">
        <f>+IF((C344&gt;='Resultats - informe'!$E$16)*(C344&lt;='Resultats - informe'!$G$16),1,0)</f>
        <v>1</v>
      </c>
      <c r="M344" s="366" cm="1">
        <f t="array" ref="M344">+_xlfn.IFS((C344&gt;='Resultats - informe'!$D$26)*(C344&lt;='Resultats - informe'!$E$26),0,(C344&gt;='Resultats - informe'!$D$27)*(C344&lt;='Resultats - informe'!$E$27),0,(C344&gt;='Resultats - informe'!$D$28)*(C344&lt;='Resultats - informe'!$E$28),0,(C344&gt;='Resultats - informe'!$D$29)*(C344&lt;='Resultats - informe'!$E$29),0,1,1)</f>
        <v>0</v>
      </c>
      <c r="N344" s="366">
        <f>+VLOOKUP(D344,'Resultats - informe'!$Y$18:$AG$42,'Introducció dades consum'!K344+1,0)</f>
        <v>0</v>
      </c>
      <c r="O344" s="367" cm="1">
        <f t="array" ref="O344">+_xlfn.SWITCH(MONTH(C344),1,1,2,1,3,1,4,2,5,2,6,3,7,3,8,3,9,3,10,2,11,2,12,1,2)</f>
        <v>1</v>
      </c>
      <c r="P344" s="43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</row>
    <row r="345" spans="1:73" ht="18" x14ac:dyDescent="0.35">
      <c r="A345" s="43"/>
      <c r="C345" s="393"/>
      <c r="E345" s="394"/>
      <c r="F345" s="394"/>
      <c r="G345" s="394"/>
      <c r="H345" s="8" t="s">
        <v>61</v>
      </c>
      <c r="I345" s="364">
        <f t="shared" si="16"/>
        <v>0</v>
      </c>
      <c r="J345" s="365">
        <f t="shared" si="15"/>
        <v>0</v>
      </c>
      <c r="K345" s="366">
        <f t="shared" si="17"/>
        <v>6</v>
      </c>
      <c r="L345" s="366">
        <f>+IF((C345&gt;='Resultats - informe'!$E$16)*(C345&lt;='Resultats - informe'!$G$16),1,0)</f>
        <v>1</v>
      </c>
      <c r="M345" s="366" cm="1">
        <f t="array" ref="M345">+_xlfn.IFS((C345&gt;='Resultats - informe'!$D$26)*(C345&lt;='Resultats - informe'!$E$26),0,(C345&gt;='Resultats - informe'!$D$27)*(C345&lt;='Resultats - informe'!$E$27),0,(C345&gt;='Resultats - informe'!$D$28)*(C345&lt;='Resultats - informe'!$E$28),0,(C345&gt;='Resultats - informe'!$D$29)*(C345&lt;='Resultats - informe'!$E$29),0,1,1)</f>
        <v>0</v>
      </c>
      <c r="N345" s="366">
        <f>+VLOOKUP(D345,'Resultats - informe'!$Y$18:$AG$42,'Introducció dades consum'!K345+1,0)</f>
        <v>0</v>
      </c>
      <c r="O345" s="367" cm="1">
        <f t="array" ref="O345">+_xlfn.SWITCH(MONTH(C345),1,1,2,1,3,1,4,2,5,2,6,3,7,3,8,3,9,3,10,2,11,2,12,1,2)</f>
        <v>1</v>
      </c>
      <c r="P345" s="43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</row>
    <row r="346" spans="1:73" ht="18" x14ac:dyDescent="0.35">
      <c r="A346" s="43"/>
      <c r="C346" s="393"/>
      <c r="E346" s="394"/>
      <c r="F346" s="394"/>
      <c r="G346" s="394"/>
      <c r="H346" s="8" t="s">
        <v>61</v>
      </c>
      <c r="I346" s="364">
        <f t="shared" si="16"/>
        <v>0</v>
      </c>
      <c r="J346" s="365">
        <f t="shared" si="15"/>
        <v>0</v>
      </c>
      <c r="K346" s="366">
        <f t="shared" si="17"/>
        <v>6</v>
      </c>
      <c r="L346" s="366">
        <f>+IF((C346&gt;='Resultats - informe'!$E$16)*(C346&lt;='Resultats - informe'!$G$16),1,0)</f>
        <v>1</v>
      </c>
      <c r="M346" s="366" cm="1">
        <f t="array" ref="M346">+_xlfn.IFS((C346&gt;='Resultats - informe'!$D$26)*(C346&lt;='Resultats - informe'!$E$26),0,(C346&gt;='Resultats - informe'!$D$27)*(C346&lt;='Resultats - informe'!$E$27),0,(C346&gt;='Resultats - informe'!$D$28)*(C346&lt;='Resultats - informe'!$E$28),0,(C346&gt;='Resultats - informe'!$D$29)*(C346&lt;='Resultats - informe'!$E$29),0,1,1)</f>
        <v>0</v>
      </c>
      <c r="N346" s="366">
        <f>+VLOOKUP(D346,'Resultats - informe'!$Y$18:$AG$42,'Introducció dades consum'!K346+1,0)</f>
        <v>0</v>
      </c>
      <c r="O346" s="367" cm="1">
        <f t="array" ref="O346">+_xlfn.SWITCH(MONTH(C346),1,1,2,1,3,1,4,2,5,2,6,3,7,3,8,3,9,3,10,2,11,2,12,1,2)</f>
        <v>1</v>
      </c>
      <c r="P346" s="43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</row>
    <row r="347" spans="1:73" ht="18" x14ac:dyDescent="0.35">
      <c r="A347" s="43"/>
      <c r="C347" s="393"/>
      <c r="E347" s="394"/>
      <c r="F347" s="394"/>
      <c r="G347" s="394"/>
      <c r="H347" s="8" t="s">
        <v>61</v>
      </c>
      <c r="I347" s="364">
        <f t="shared" si="16"/>
        <v>0</v>
      </c>
      <c r="J347" s="365">
        <f t="shared" si="15"/>
        <v>0</v>
      </c>
      <c r="K347" s="366">
        <f t="shared" si="17"/>
        <v>6</v>
      </c>
      <c r="L347" s="366">
        <f>+IF((C347&gt;='Resultats - informe'!$E$16)*(C347&lt;='Resultats - informe'!$G$16),1,0)</f>
        <v>1</v>
      </c>
      <c r="M347" s="366" cm="1">
        <f t="array" ref="M347">+_xlfn.IFS((C347&gt;='Resultats - informe'!$D$26)*(C347&lt;='Resultats - informe'!$E$26),0,(C347&gt;='Resultats - informe'!$D$27)*(C347&lt;='Resultats - informe'!$E$27),0,(C347&gt;='Resultats - informe'!$D$28)*(C347&lt;='Resultats - informe'!$E$28),0,(C347&gt;='Resultats - informe'!$D$29)*(C347&lt;='Resultats - informe'!$E$29),0,1,1)</f>
        <v>0</v>
      </c>
      <c r="N347" s="366">
        <f>+VLOOKUP(D347,'Resultats - informe'!$Y$18:$AG$42,'Introducció dades consum'!K347+1,0)</f>
        <v>0</v>
      </c>
      <c r="O347" s="367" cm="1">
        <f t="array" ref="O347">+_xlfn.SWITCH(MONTH(C347),1,1,2,1,3,1,4,2,5,2,6,3,7,3,8,3,9,3,10,2,11,2,12,1,2)</f>
        <v>1</v>
      </c>
      <c r="P347" s="43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</row>
    <row r="348" spans="1:73" ht="18" x14ac:dyDescent="0.35">
      <c r="A348" s="43"/>
      <c r="C348" s="393"/>
      <c r="E348" s="394"/>
      <c r="F348" s="394"/>
      <c r="G348" s="394"/>
      <c r="H348" s="8" t="s">
        <v>61</v>
      </c>
      <c r="I348" s="364">
        <f t="shared" si="16"/>
        <v>0</v>
      </c>
      <c r="J348" s="365">
        <f t="shared" si="15"/>
        <v>0</v>
      </c>
      <c r="K348" s="366">
        <f t="shared" si="17"/>
        <v>6</v>
      </c>
      <c r="L348" s="366">
        <f>+IF((C348&gt;='Resultats - informe'!$E$16)*(C348&lt;='Resultats - informe'!$G$16),1,0)</f>
        <v>1</v>
      </c>
      <c r="M348" s="366" cm="1">
        <f t="array" ref="M348">+_xlfn.IFS((C348&gt;='Resultats - informe'!$D$26)*(C348&lt;='Resultats - informe'!$E$26),0,(C348&gt;='Resultats - informe'!$D$27)*(C348&lt;='Resultats - informe'!$E$27),0,(C348&gt;='Resultats - informe'!$D$28)*(C348&lt;='Resultats - informe'!$E$28),0,(C348&gt;='Resultats - informe'!$D$29)*(C348&lt;='Resultats - informe'!$E$29),0,1,1)</f>
        <v>0</v>
      </c>
      <c r="N348" s="366">
        <f>+VLOOKUP(D348,'Resultats - informe'!$Y$18:$AG$42,'Introducció dades consum'!K348+1,0)</f>
        <v>0</v>
      </c>
      <c r="O348" s="367" cm="1">
        <f t="array" ref="O348">+_xlfn.SWITCH(MONTH(C348),1,1,2,1,3,1,4,2,5,2,6,3,7,3,8,3,9,3,10,2,11,2,12,1,2)</f>
        <v>1</v>
      </c>
      <c r="P348" s="43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</row>
    <row r="349" spans="1:73" ht="18" x14ac:dyDescent="0.35">
      <c r="A349" s="43"/>
      <c r="C349" s="393"/>
      <c r="E349" s="394"/>
      <c r="F349" s="394"/>
      <c r="G349" s="394"/>
      <c r="H349" s="8" t="s">
        <v>61</v>
      </c>
      <c r="I349" s="364">
        <f t="shared" si="16"/>
        <v>0</v>
      </c>
      <c r="J349" s="365">
        <f t="shared" si="15"/>
        <v>0</v>
      </c>
      <c r="K349" s="366">
        <f t="shared" si="17"/>
        <v>6</v>
      </c>
      <c r="L349" s="366">
        <f>+IF((C349&gt;='Resultats - informe'!$E$16)*(C349&lt;='Resultats - informe'!$G$16),1,0)</f>
        <v>1</v>
      </c>
      <c r="M349" s="366" cm="1">
        <f t="array" ref="M349">+_xlfn.IFS((C349&gt;='Resultats - informe'!$D$26)*(C349&lt;='Resultats - informe'!$E$26),0,(C349&gt;='Resultats - informe'!$D$27)*(C349&lt;='Resultats - informe'!$E$27),0,(C349&gt;='Resultats - informe'!$D$28)*(C349&lt;='Resultats - informe'!$E$28),0,(C349&gt;='Resultats - informe'!$D$29)*(C349&lt;='Resultats - informe'!$E$29),0,1,1)</f>
        <v>0</v>
      </c>
      <c r="N349" s="366">
        <f>+VLOOKUP(D349,'Resultats - informe'!$Y$18:$AG$42,'Introducció dades consum'!K349+1,0)</f>
        <v>0</v>
      </c>
      <c r="O349" s="367" cm="1">
        <f t="array" ref="O349">+_xlfn.SWITCH(MONTH(C349),1,1,2,1,3,1,4,2,5,2,6,3,7,3,8,3,9,3,10,2,11,2,12,1,2)</f>
        <v>1</v>
      </c>
      <c r="P349" s="43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</row>
    <row r="350" spans="1:73" ht="18" x14ac:dyDescent="0.35">
      <c r="A350" s="43"/>
      <c r="C350" s="393"/>
      <c r="E350" s="394"/>
      <c r="F350" s="394"/>
      <c r="G350" s="394"/>
      <c r="H350" s="8" t="s">
        <v>61</v>
      </c>
      <c r="I350" s="364">
        <f t="shared" si="16"/>
        <v>0</v>
      </c>
      <c r="J350" s="365">
        <f t="shared" si="15"/>
        <v>0</v>
      </c>
      <c r="K350" s="366">
        <f t="shared" si="17"/>
        <v>6</v>
      </c>
      <c r="L350" s="366">
        <f>+IF((C350&gt;='Resultats - informe'!$E$16)*(C350&lt;='Resultats - informe'!$G$16),1,0)</f>
        <v>1</v>
      </c>
      <c r="M350" s="366" cm="1">
        <f t="array" ref="M350">+_xlfn.IFS((C350&gt;='Resultats - informe'!$D$26)*(C350&lt;='Resultats - informe'!$E$26),0,(C350&gt;='Resultats - informe'!$D$27)*(C350&lt;='Resultats - informe'!$E$27),0,(C350&gt;='Resultats - informe'!$D$28)*(C350&lt;='Resultats - informe'!$E$28),0,(C350&gt;='Resultats - informe'!$D$29)*(C350&lt;='Resultats - informe'!$E$29),0,1,1)</f>
        <v>0</v>
      </c>
      <c r="N350" s="366">
        <f>+VLOOKUP(D350,'Resultats - informe'!$Y$18:$AG$42,'Introducció dades consum'!K350+1,0)</f>
        <v>0</v>
      </c>
      <c r="O350" s="367" cm="1">
        <f t="array" ref="O350">+_xlfn.SWITCH(MONTH(C350),1,1,2,1,3,1,4,2,5,2,6,3,7,3,8,3,9,3,10,2,11,2,12,1,2)</f>
        <v>1</v>
      </c>
      <c r="P350" s="43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</row>
    <row r="351" spans="1:73" ht="18" x14ac:dyDescent="0.35">
      <c r="A351" s="43"/>
      <c r="C351" s="393"/>
      <c r="E351" s="394"/>
      <c r="F351" s="394"/>
      <c r="G351" s="394"/>
      <c r="H351" s="8" t="s">
        <v>61</v>
      </c>
      <c r="I351" s="364">
        <f t="shared" si="16"/>
        <v>0</v>
      </c>
      <c r="J351" s="365">
        <f t="shared" si="15"/>
        <v>0</v>
      </c>
      <c r="K351" s="366">
        <f t="shared" si="17"/>
        <v>6</v>
      </c>
      <c r="L351" s="366">
        <f>+IF((C351&gt;='Resultats - informe'!$E$16)*(C351&lt;='Resultats - informe'!$G$16),1,0)</f>
        <v>1</v>
      </c>
      <c r="M351" s="366" cm="1">
        <f t="array" ref="M351">+_xlfn.IFS((C351&gt;='Resultats - informe'!$D$26)*(C351&lt;='Resultats - informe'!$E$26),0,(C351&gt;='Resultats - informe'!$D$27)*(C351&lt;='Resultats - informe'!$E$27),0,(C351&gt;='Resultats - informe'!$D$28)*(C351&lt;='Resultats - informe'!$E$28),0,(C351&gt;='Resultats - informe'!$D$29)*(C351&lt;='Resultats - informe'!$E$29),0,1,1)</f>
        <v>0</v>
      </c>
      <c r="N351" s="366">
        <f>+VLOOKUP(D351,'Resultats - informe'!$Y$18:$AG$42,'Introducció dades consum'!K351+1,0)</f>
        <v>0</v>
      </c>
      <c r="O351" s="367" cm="1">
        <f t="array" ref="O351">+_xlfn.SWITCH(MONTH(C351),1,1,2,1,3,1,4,2,5,2,6,3,7,3,8,3,9,3,10,2,11,2,12,1,2)</f>
        <v>1</v>
      </c>
      <c r="P351" s="43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</row>
    <row r="352" spans="1:73" ht="18" x14ac:dyDescent="0.35">
      <c r="A352" s="43"/>
      <c r="C352" s="393"/>
      <c r="E352" s="394"/>
      <c r="F352" s="394"/>
      <c r="G352" s="394"/>
      <c r="H352" s="8" t="s">
        <v>61</v>
      </c>
      <c r="I352" s="364">
        <f t="shared" si="16"/>
        <v>0</v>
      </c>
      <c r="J352" s="365">
        <f t="shared" si="15"/>
        <v>0</v>
      </c>
      <c r="K352" s="366">
        <f t="shared" si="17"/>
        <v>6</v>
      </c>
      <c r="L352" s="366">
        <f>+IF((C352&gt;='Resultats - informe'!$E$16)*(C352&lt;='Resultats - informe'!$G$16),1,0)</f>
        <v>1</v>
      </c>
      <c r="M352" s="366" cm="1">
        <f t="array" ref="M352">+_xlfn.IFS((C352&gt;='Resultats - informe'!$D$26)*(C352&lt;='Resultats - informe'!$E$26),0,(C352&gt;='Resultats - informe'!$D$27)*(C352&lt;='Resultats - informe'!$E$27),0,(C352&gt;='Resultats - informe'!$D$28)*(C352&lt;='Resultats - informe'!$E$28),0,(C352&gt;='Resultats - informe'!$D$29)*(C352&lt;='Resultats - informe'!$E$29),0,1,1)</f>
        <v>0</v>
      </c>
      <c r="N352" s="366">
        <f>+VLOOKUP(D352,'Resultats - informe'!$Y$18:$AG$42,'Introducció dades consum'!K352+1,0)</f>
        <v>0</v>
      </c>
      <c r="O352" s="367" cm="1">
        <f t="array" ref="O352">+_xlfn.SWITCH(MONTH(C352),1,1,2,1,3,1,4,2,5,2,6,3,7,3,8,3,9,3,10,2,11,2,12,1,2)</f>
        <v>1</v>
      </c>
      <c r="P352" s="43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</row>
    <row r="353" spans="1:73" ht="18" x14ac:dyDescent="0.35">
      <c r="A353" s="43"/>
      <c r="C353" s="393"/>
      <c r="E353" s="394"/>
      <c r="F353" s="394"/>
      <c r="G353" s="394"/>
      <c r="H353" s="8" t="s">
        <v>61</v>
      </c>
      <c r="I353" s="364">
        <f t="shared" si="16"/>
        <v>0</v>
      </c>
      <c r="J353" s="365">
        <f t="shared" si="15"/>
        <v>0</v>
      </c>
      <c r="K353" s="366">
        <f t="shared" si="17"/>
        <v>6</v>
      </c>
      <c r="L353" s="366">
        <f>+IF((C353&gt;='Resultats - informe'!$E$16)*(C353&lt;='Resultats - informe'!$G$16),1,0)</f>
        <v>1</v>
      </c>
      <c r="M353" s="366" cm="1">
        <f t="array" ref="M353">+_xlfn.IFS((C353&gt;='Resultats - informe'!$D$26)*(C353&lt;='Resultats - informe'!$E$26),0,(C353&gt;='Resultats - informe'!$D$27)*(C353&lt;='Resultats - informe'!$E$27),0,(C353&gt;='Resultats - informe'!$D$28)*(C353&lt;='Resultats - informe'!$E$28),0,(C353&gt;='Resultats - informe'!$D$29)*(C353&lt;='Resultats - informe'!$E$29),0,1,1)</f>
        <v>0</v>
      </c>
      <c r="N353" s="366">
        <f>+VLOOKUP(D353,'Resultats - informe'!$Y$18:$AG$42,'Introducció dades consum'!K353+1,0)</f>
        <v>0</v>
      </c>
      <c r="O353" s="367" cm="1">
        <f t="array" ref="O353">+_xlfn.SWITCH(MONTH(C353),1,1,2,1,3,1,4,2,5,2,6,3,7,3,8,3,9,3,10,2,11,2,12,1,2)</f>
        <v>1</v>
      </c>
      <c r="P353" s="43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</row>
    <row r="354" spans="1:73" ht="18" x14ac:dyDescent="0.35">
      <c r="A354" s="43"/>
      <c r="C354" s="393"/>
      <c r="E354" s="394"/>
      <c r="F354" s="394"/>
      <c r="G354" s="394"/>
      <c r="H354" s="8" t="s">
        <v>61</v>
      </c>
      <c r="I354" s="364">
        <f t="shared" si="16"/>
        <v>0</v>
      </c>
      <c r="J354" s="365">
        <f t="shared" si="15"/>
        <v>0</v>
      </c>
      <c r="K354" s="366">
        <f t="shared" si="17"/>
        <v>6</v>
      </c>
      <c r="L354" s="366">
        <f>+IF((C354&gt;='Resultats - informe'!$E$16)*(C354&lt;='Resultats - informe'!$G$16),1,0)</f>
        <v>1</v>
      </c>
      <c r="M354" s="366" cm="1">
        <f t="array" ref="M354">+_xlfn.IFS((C354&gt;='Resultats - informe'!$D$26)*(C354&lt;='Resultats - informe'!$E$26),0,(C354&gt;='Resultats - informe'!$D$27)*(C354&lt;='Resultats - informe'!$E$27),0,(C354&gt;='Resultats - informe'!$D$28)*(C354&lt;='Resultats - informe'!$E$28),0,(C354&gt;='Resultats - informe'!$D$29)*(C354&lt;='Resultats - informe'!$E$29),0,1,1)</f>
        <v>0</v>
      </c>
      <c r="N354" s="366">
        <f>+VLOOKUP(D354,'Resultats - informe'!$Y$18:$AG$42,'Introducció dades consum'!K354+1,0)</f>
        <v>0</v>
      </c>
      <c r="O354" s="367" cm="1">
        <f t="array" ref="O354">+_xlfn.SWITCH(MONTH(C354),1,1,2,1,3,1,4,2,5,2,6,3,7,3,8,3,9,3,10,2,11,2,12,1,2)</f>
        <v>1</v>
      </c>
      <c r="P354" s="43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</row>
    <row r="355" spans="1:73" ht="18" x14ac:dyDescent="0.35">
      <c r="A355" s="43"/>
      <c r="C355" s="393"/>
      <c r="E355" s="394"/>
      <c r="F355" s="394"/>
      <c r="G355" s="394"/>
      <c r="H355" s="8" t="s">
        <v>61</v>
      </c>
      <c r="I355" s="364">
        <f t="shared" si="16"/>
        <v>0</v>
      </c>
      <c r="J355" s="365">
        <f t="shared" si="15"/>
        <v>0</v>
      </c>
      <c r="K355" s="366">
        <f t="shared" si="17"/>
        <v>6</v>
      </c>
      <c r="L355" s="366">
        <f>+IF((C355&gt;='Resultats - informe'!$E$16)*(C355&lt;='Resultats - informe'!$G$16),1,0)</f>
        <v>1</v>
      </c>
      <c r="M355" s="366" cm="1">
        <f t="array" ref="M355">+_xlfn.IFS((C355&gt;='Resultats - informe'!$D$26)*(C355&lt;='Resultats - informe'!$E$26),0,(C355&gt;='Resultats - informe'!$D$27)*(C355&lt;='Resultats - informe'!$E$27),0,(C355&gt;='Resultats - informe'!$D$28)*(C355&lt;='Resultats - informe'!$E$28),0,(C355&gt;='Resultats - informe'!$D$29)*(C355&lt;='Resultats - informe'!$E$29),0,1,1)</f>
        <v>0</v>
      </c>
      <c r="N355" s="366">
        <f>+VLOOKUP(D355,'Resultats - informe'!$Y$18:$AG$42,'Introducció dades consum'!K355+1,0)</f>
        <v>0</v>
      </c>
      <c r="O355" s="367" cm="1">
        <f t="array" ref="O355">+_xlfn.SWITCH(MONTH(C355),1,1,2,1,3,1,4,2,5,2,6,3,7,3,8,3,9,3,10,2,11,2,12,1,2)</f>
        <v>1</v>
      </c>
      <c r="P355" s="43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</row>
    <row r="356" spans="1:73" ht="18" x14ac:dyDescent="0.35">
      <c r="A356" s="43"/>
      <c r="C356" s="393"/>
      <c r="E356" s="394"/>
      <c r="F356" s="394"/>
      <c r="G356" s="394"/>
      <c r="H356" s="8" t="s">
        <v>61</v>
      </c>
      <c r="I356" s="364">
        <f t="shared" si="16"/>
        <v>0</v>
      </c>
      <c r="J356" s="365">
        <f t="shared" si="15"/>
        <v>0</v>
      </c>
      <c r="K356" s="366">
        <f t="shared" si="17"/>
        <v>6</v>
      </c>
      <c r="L356" s="366">
        <f>+IF((C356&gt;='Resultats - informe'!$E$16)*(C356&lt;='Resultats - informe'!$G$16),1,0)</f>
        <v>1</v>
      </c>
      <c r="M356" s="366" cm="1">
        <f t="array" ref="M356">+_xlfn.IFS((C356&gt;='Resultats - informe'!$D$26)*(C356&lt;='Resultats - informe'!$E$26),0,(C356&gt;='Resultats - informe'!$D$27)*(C356&lt;='Resultats - informe'!$E$27),0,(C356&gt;='Resultats - informe'!$D$28)*(C356&lt;='Resultats - informe'!$E$28),0,(C356&gt;='Resultats - informe'!$D$29)*(C356&lt;='Resultats - informe'!$E$29),0,1,1)</f>
        <v>0</v>
      </c>
      <c r="N356" s="366">
        <f>+VLOOKUP(D356,'Resultats - informe'!$Y$18:$AG$42,'Introducció dades consum'!K356+1,0)</f>
        <v>0</v>
      </c>
      <c r="O356" s="367" cm="1">
        <f t="array" ref="O356">+_xlfn.SWITCH(MONTH(C356),1,1,2,1,3,1,4,2,5,2,6,3,7,3,8,3,9,3,10,2,11,2,12,1,2)</f>
        <v>1</v>
      </c>
      <c r="P356" s="43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</row>
    <row r="357" spans="1:73" ht="18" x14ac:dyDescent="0.35">
      <c r="A357" s="43"/>
      <c r="C357" s="393"/>
      <c r="E357" s="394"/>
      <c r="F357" s="394"/>
      <c r="G357" s="394"/>
      <c r="H357" s="8" t="s">
        <v>61</v>
      </c>
      <c r="I357" s="364">
        <f t="shared" si="16"/>
        <v>0</v>
      </c>
      <c r="J357" s="365">
        <f t="shared" si="15"/>
        <v>0</v>
      </c>
      <c r="K357" s="366">
        <f t="shared" si="17"/>
        <v>6</v>
      </c>
      <c r="L357" s="366">
        <f>+IF((C357&gt;='Resultats - informe'!$E$16)*(C357&lt;='Resultats - informe'!$G$16),1,0)</f>
        <v>1</v>
      </c>
      <c r="M357" s="366" cm="1">
        <f t="array" ref="M357">+_xlfn.IFS((C357&gt;='Resultats - informe'!$D$26)*(C357&lt;='Resultats - informe'!$E$26),0,(C357&gt;='Resultats - informe'!$D$27)*(C357&lt;='Resultats - informe'!$E$27),0,(C357&gt;='Resultats - informe'!$D$28)*(C357&lt;='Resultats - informe'!$E$28),0,(C357&gt;='Resultats - informe'!$D$29)*(C357&lt;='Resultats - informe'!$E$29),0,1,1)</f>
        <v>0</v>
      </c>
      <c r="N357" s="366">
        <f>+VLOOKUP(D357,'Resultats - informe'!$Y$18:$AG$42,'Introducció dades consum'!K357+1,0)</f>
        <v>0</v>
      </c>
      <c r="O357" s="367" cm="1">
        <f t="array" ref="O357">+_xlfn.SWITCH(MONTH(C357),1,1,2,1,3,1,4,2,5,2,6,3,7,3,8,3,9,3,10,2,11,2,12,1,2)</f>
        <v>1</v>
      </c>
      <c r="P357" s="43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</row>
    <row r="358" spans="1:73" ht="18" x14ac:dyDescent="0.35">
      <c r="A358" s="43"/>
      <c r="C358" s="393"/>
      <c r="E358" s="394"/>
      <c r="F358" s="394"/>
      <c r="G358" s="394"/>
      <c r="H358" s="8" t="s">
        <v>61</v>
      </c>
      <c r="I358" s="364">
        <f t="shared" si="16"/>
        <v>0</v>
      </c>
      <c r="J358" s="365">
        <f t="shared" si="15"/>
        <v>0</v>
      </c>
      <c r="K358" s="366">
        <f t="shared" si="17"/>
        <v>6</v>
      </c>
      <c r="L358" s="366">
        <f>+IF((C358&gt;='Resultats - informe'!$E$16)*(C358&lt;='Resultats - informe'!$G$16),1,0)</f>
        <v>1</v>
      </c>
      <c r="M358" s="366" cm="1">
        <f t="array" ref="M358">+_xlfn.IFS((C358&gt;='Resultats - informe'!$D$26)*(C358&lt;='Resultats - informe'!$E$26),0,(C358&gt;='Resultats - informe'!$D$27)*(C358&lt;='Resultats - informe'!$E$27),0,(C358&gt;='Resultats - informe'!$D$28)*(C358&lt;='Resultats - informe'!$E$28),0,(C358&gt;='Resultats - informe'!$D$29)*(C358&lt;='Resultats - informe'!$E$29),0,1,1)</f>
        <v>0</v>
      </c>
      <c r="N358" s="366">
        <f>+VLOOKUP(D358,'Resultats - informe'!$Y$18:$AG$42,'Introducció dades consum'!K358+1,0)</f>
        <v>0</v>
      </c>
      <c r="O358" s="367" cm="1">
        <f t="array" ref="O358">+_xlfn.SWITCH(MONTH(C358),1,1,2,1,3,1,4,2,5,2,6,3,7,3,8,3,9,3,10,2,11,2,12,1,2)</f>
        <v>1</v>
      </c>
      <c r="P358" s="43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</row>
    <row r="359" spans="1:73" ht="18" x14ac:dyDescent="0.35">
      <c r="A359" s="43"/>
      <c r="C359" s="393"/>
      <c r="E359" s="394"/>
      <c r="F359" s="394"/>
      <c r="G359" s="394"/>
      <c r="H359" s="8" t="s">
        <v>61</v>
      </c>
      <c r="I359" s="364">
        <f t="shared" si="16"/>
        <v>0</v>
      </c>
      <c r="J359" s="365">
        <f t="shared" si="15"/>
        <v>0</v>
      </c>
      <c r="K359" s="366">
        <f t="shared" si="17"/>
        <v>6</v>
      </c>
      <c r="L359" s="366">
        <f>+IF((C359&gt;='Resultats - informe'!$E$16)*(C359&lt;='Resultats - informe'!$G$16),1,0)</f>
        <v>1</v>
      </c>
      <c r="M359" s="366" cm="1">
        <f t="array" ref="M359">+_xlfn.IFS((C359&gt;='Resultats - informe'!$D$26)*(C359&lt;='Resultats - informe'!$E$26),0,(C359&gt;='Resultats - informe'!$D$27)*(C359&lt;='Resultats - informe'!$E$27),0,(C359&gt;='Resultats - informe'!$D$28)*(C359&lt;='Resultats - informe'!$E$28),0,(C359&gt;='Resultats - informe'!$D$29)*(C359&lt;='Resultats - informe'!$E$29),0,1,1)</f>
        <v>0</v>
      </c>
      <c r="N359" s="366">
        <f>+VLOOKUP(D359,'Resultats - informe'!$Y$18:$AG$42,'Introducció dades consum'!K359+1,0)</f>
        <v>0</v>
      </c>
      <c r="O359" s="367" cm="1">
        <f t="array" ref="O359">+_xlfn.SWITCH(MONTH(C359),1,1,2,1,3,1,4,2,5,2,6,3,7,3,8,3,9,3,10,2,11,2,12,1,2)</f>
        <v>1</v>
      </c>
      <c r="P359" s="43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</row>
    <row r="360" spans="1:73" ht="18" x14ac:dyDescent="0.35">
      <c r="A360" s="43"/>
      <c r="C360" s="393"/>
      <c r="E360" s="394"/>
      <c r="F360" s="394"/>
      <c r="G360" s="394"/>
      <c r="H360" s="8" t="s">
        <v>61</v>
      </c>
      <c r="I360" s="364">
        <f t="shared" si="16"/>
        <v>0</v>
      </c>
      <c r="J360" s="365">
        <f t="shared" si="15"/>
        <v>0</v>
      </c>
      <c r="K360" s="366">
        <f t="shared" si="17"/>
        <v>6</v>
      </c>
      <c r="L360" s="366">
        <f>+IF((C360&gt;='Resultats - informe'!$E$16)*(C360&lt;='Resultats - informe'!$G$16),1,0)</f>
        <v>1</v>
      </c>
      <c r="M360" s="366" cm="1">
        <f t="array" ref="M360">+_xlfn.IFS((C360&gt;='Resultats - informe'!$D$26)*(C360&lt;='Resultats - informe'!$E$26),0,(C360&gt;='Resultats - informe'!$D$27)*(C360&lt;='Resultats - informe'!$E$27),0,(C360&gt;='Resultats - informe'!$D$28)*(C360&lt;='Resultats - informe'!$E$28),0,(C360&gt;='Resultats - informe'!$D$29)*(C360&lt;='Resultats - informe'!$E$29),0,1,1)</f>
        <v>0</v>
      </c>
      <c r="N360" s="366">
        <f>+VLOOKUP(D360,'Resultats - informe'!$Y$18:$AG$42,'Introducció dades consum'!K360+1,0)</f>
        <v>0</v>
      </c>
      <c r="O360" s="367" cm="1">
        <f t="array" ref="O360">+_xlfn.SWITCH(MONTH(C360),1,1,2,1,3,1,4,2,5,2,6,3,7,3,8,3,9,3,10,2,11,2,12,1,2)</f>
        <v>1</v>
      </c>
      <c r="P360" s="43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</row>
    <row r="361" spans="1:73" ht="18" x14ac:dyDescent="0.35">
      <c r="A361" s="43"/>
      <c r="C361" s="393"/>
      <c r="E361" s="394"/>
      <c r="F361" s="394"/>
      <c r="G361" s="394"/>
      <c r="H361" s="8" t="s">
        <v>61</v>
      </c>
      <c r="I361" s="364">
        <f t="shared" si="16"/>
        <v>0</v>
      </c>
      <c r="J361" s="365">
        <f t="shared" si="15"/>
        <v>0</v>
      </c>
      <c r="K361" s="366">
        <f t="shared" si="17"/>
        <v>6</v>
      </c>
      <c r="L361" s="366">
        <f>+IF((C361&gt;='Resultats - informe'!$E$16)*(C361&lt;='Resultats - informe'!$G$16),1,0)</f>
        <v>1</v>
      </c>
      <c r="M361" s="366" cm="1">
        <f t="array" ref="M361">+_xlfn.IFS((C361&gt;='Resultats - informe'!$D$26)*(C361&lt;='Resultats - informe'!$E$26),0,(C361&gt;='Resultats - informe'!$D$27)*(C361&lt;='Resultats - informe'!$E$27),0,(C361&gt;='Resultats - informe'!$D$28)*(C361&lt;='Resultats - informe'!$E$28),0,(C361&gt;='Resultats - informe'!$D$29)*(C361&lt;='Resultats - informe'!$E$29),0,1,1)</f>
        <v>0</v>
      </c>
      <c r="N361" s="366">
        <f>+VLOOKUP(D361,'Resultats - informe'!$Y$18:$AG$42,'Introducció dades consum'!K361+1,0)</f>
        <v>0</v>
      </c>
      <c r="O361" s="367" cm="1">
        <f t="array" ref="O361">+_xlfn.SWITCH(MONTH(C361),1,1,2,1,3,1,4,2,5,2,6,3,7,3,8,3,9,3,10,2,11,2,12,1,2)</f>
        <v>1</v>
      </c>
      <c r="P361" s="43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</row>
    <row r="362" spans="1:73" ht="18" x14ac:dyDescent="0.35">
      <c r="A362" s="43"/>
      <c r="C362" s="393"/>
      <c r="E362" s="394"/>
      <c r="F362" s="394"/>
      <c r="G362" s="394"/>
      <c r="H362" s="8" t="s">
        <v>61</v>
      </c>
      <c r="I362" s="364">
        <f t="shared" si="16"/>
        <v>0</v>
      </c>
      <c r="J362" s="365">
        <f t="shared" si="15"/>
        <v>0</v>
      </c>
      <c r="K362" s="366">
        <f t="shared" si="17"/>
        <v>6</v>
      </c>
      <c r="L362" s="366">
        <f>+IF((C362&gt;='Resultats - informe'!$E$16)*(C362&lt;='Resultats - informe'!$G$16),1,0)</f>
        <v>1</v>
      </c>
      <c r="M362" s="366" cm="1">
        <f t="array" ref="M362">+_xlfn.IFS((C362&gt;='Resultats - informe'!$D$26)*(C362&lt;='Resultats - informe'!$E$26),0,(C362&gt;='Resultats - informe'!$D$27)*(C362&lt;='Resultats - informe'!$E$27),0,(C362&gt;='Resultats - informe'!$D$28)*(C362&lt;='Resultats - informe'!$E$28),0,(C362&gt;='Resultats - informe'!$D$29)*(C362&lt;='Resultats - informe'!$E$29),0,1,1)</f>
        <v>0</v>
      </c>
      <c r="N362" s="366">
        <f>+VLOOKUP(D362,'Resultats - informe'!$Y$18:$AG$42,'Introducció dades consum'!K362+1,0)</f>
        <v>0</v>
      </c>
      <c r="O362" s="367" cm="1">
        <f t="array" ref="O362">+_xlfn.SWITCH(MONTH(C362),1,1,2,1,3,1,4,2,5,2,6,3,7,3,8,3,9,3,10,2,11,2,12,1,2)</f>
        <v>1</v>
      </c>
      <c r="P362" s="43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</row>
    <row r="363" spans="1:73" ht="18" x14ac:dyDescent="0.35">
      <c r="A363" s="43"/>
      <c r="C363" s="393"/>
      <c r="E363" s="394"/>
      <c r="F363" s="394"/>
      <c r="G363" s="394"/>
      <c r="H363" s="8" t="s">
        <v>61</v>
      </c>
      <c r="I363" s="364">
        <f t="shared" si="16"/>
        <v>0</v>
      </c>
      <c r="J363" s="365">
        <f t="shared" si="15"/>
        <v>0</v>
      </c>
      <c r="K363" s="366">
        <f t="shared" si="17"/>
        <v>6</v>
      </c>
      <c r="L363" s="366">
        <f>+IF((C363&gt;='Resultats - informe'!$E$16)*(C363&lt;='Resultats - informe'!$G$16),1,0)</f>
        <v>1</v>
      </c>
      <c r="M363" s="366" cm="1">
        <f t="array" ref="M363">+_xlfn.IFS((C363&gt;='Resultats - informe'!$D$26)*(C363&lt;='Resultats - informe'!$E$26),0,(C363&gt;='Resultats - informe'!$D$27)*(C363&lt;='Resultats - informe'!$E$27),0,(C363&gt;='Resultats - informe'!$D$28)*(C363&lt;='Resultats - informe'!$E$28),0,(C363&gt;='Resultats - informe'!$D$29)*(C363&lt;='Resultats - informe'!$E$29),0,1,1)</f>
        <v>0</v>
      </c>
      <c r="N363" s="366">
        <f>+VLOOKUP(D363,'Resultats - informe'!$Y$18:$AG$42,'Introducció dades consum'!K363+1,0)</f>
        <v>0</v>
      </c>
      <c r="O363" s="367" cm="1">
        <f t="array" ref="O363">+_xlfn.SWITCH(MONTH(C363),1,1,2,1,3,1,4,2,5,2,6,3,7,3,8,3,9,3,10,2,11,2,12,1,2)</f>
        <v>1</v>
      </c>
      <c r="P363" s="43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</row>
    <row r="364" spans="1:73" ht="18" x14ac:dyDescent="0.35">
      <c r="A364" s="43"/>
      <c r="C364" s="393"/>
      <c r="E364" s="394"/>
      <c r="F364" s="394"/>
      <c r="G364" s="394"/>
      <c r="H364" s="8" t="s">
        <v>61</v>
      </c>
      <c r="I364" s="364">
        <f t="shared" si="16"/>
        <v>0</v>
      </c>
      <c r="J364" s="365">
        <f t="shared" si="15"/>
        <v>0</v>
      </c>
      <c r="K364" s="366">
        <f t="shared" si="17"/>
        <v>6</v>
      </c>
      <c r="L364" s="366">
        <f>+IF((C364&gt;='Resultats - informe'!$E$16)*(C364&lt;='Resultats - informe'!$G$16),1,0)</f>
        <v>1</v>
      </c>
      <c r="M364" s="366" cm="1">
        <f t="array" ref="M364">+_xlfn.IFS((C364&gt;='Resultats - informe'!$D$26)*(C364&lt;='Resultats - informe'!$E$26),0,(C364&gt;='Resultats - informe'!$D$27)*(C364&lt;='Resultats - informe'!$E$27),0,(C364&gt;='Resultats - informe'!$D$28)*(C364&lt;='Resultats - informe'!$E$28),0,(C364&gt;='Resultats - informe'!$D$29)*(C364&lt;='Resultats - informe'!$E$29),0,1,1)</f>
        <v>0</v>
      </c>
      <c r="N364" s="366">
        <f>+VLOOKUP(D364,'Resultats - informe'!$Y$18:$AG$42,'Introducció dades consum'!K364+1,0)</f>
        <v>0</v>
      </c>
      <c r="O364" s="367" cm="1">
        <f t="array" ref="O364">+_xlfn.SWITCH(MONTH(C364),1,1,2,1,3,1,4,2,5,2,6,3,7,3,8,3,9,3,10,2,11,2,12,1,2)</f>
        <v>1</v>
      </c>
      <c r="P364" s="43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</row>
    <row r="365" spans="1:73" ht="18" x14ac:dyDescent="0.35">
      <c r="A365" s="43"/>
      <c r="C365" s="393"/>
      <c r="E365" s="394"/>
      <c r="F365" s="394"/>
      <c r="G365" s="394"/>
      <c r="H365" s="8" t="s">
        <v>61</v>
      </c>
      <c r="I365" s="364">
        <f t="shared" si="16"/>
        <v>0</v>
      </c>
      <c r="J365" s="365">
        <f t="shared" si="15"/>
        <v>0</v>
      </c>
      <c r="K365" s="366">
        <f t="shared" si="17"/>
        <v>6</v>
      </c>
      <c r="L365" s="366">
        <f>+IF((C365&gt;='Resultats - informe'!$E$16)*(C365&lt;='Resultats - informe'!$G$16),1,0)</f>
        <v>1</v>
      </c>
      <c r="M365" s="366" cm="1">
        <f t="array" ref="M365">+_xlfn.IFS((C365&gt;='Resultats - informe'!$D$26)*(C365&lt;='Resultats - informe'!$E$26),0,(C365&gt;='Resultats - informe'!$D$27)*(C365&lt;='Resultats - informe'!$E$27),0,(C365&gt;='Resultats - informe'!$D$28)*(C365&lt;='Resultats - informe'!$E$28),0,(C365&gt;='Resultats - informe'!$D$29)*(C365&lt;='Resultats - informe'!$E$29),0,1,1)</f>
        <v>0</v>
      </c>
      <c r="N365" s="366">
        <f>+VLOOKUP(D365,'Resultats - informe'!$Y$18:$AG$42,'Introducció dades consum'!K365+1,0)</f>
        <v>0</v>
      </c>
      <c r="O365" s="367" cm="1">
        <f t="array" ref="O365">+_xlfn.SWITCH(MONTH(C365),1,1,2,1,3,1,4,2,5,2,6,3,7,3,8,3,9,3,10,2,11,2,12,1,2)</f>
        <v>1</v>
      </c>
      <c r="P365" s="43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</row>
    <row r="366" spans="1:73" ht="18" x14ac:dyDescent="0.35">
      <c r="A366" s="43"/>
      <c r="C366" s="393"/>
      <c r="E366" s="394"/>
      <c r="F366" s="394"/>
      <c r="G366" s="394"/>
      <c r="H366" s="8" t="s">
        <v>61</v>
      </c>
      <c r="I366" s="364">
        <f t="shared" si="16"/>
        <v>0</v>
      </c>
      <c r="J366" s="365">
        <f t="shared" si="15"/>
        <v>0</v>
      </c>
      <c r="K366" s="366">
        <f t="shared" si="17"/>
        <v>6</v>
      </c>
      <c r="L366" s="366">
        <f>+IF((C366&gt;='Resultats - informe'!$E$16)*(C366&lt;='Resultats - informe'!$G$16),1,0)</f>
        <v>1</v>
      </c>
      <c r="M366" s="366" cm="1">
        <f t="array" ref="M366">+_xlfn.IFS((C366&gt;='Resultats - informe'!$D$26)*(C366&lt;='Resultats - informe'!$E$26),0,(C366&gt;='Resultats - informe'!$D$27)*(C366&lt;='Resultats - informe'!$E$27),0,(C366&gt;='Resultats - informe'!$D$28)*(C366&lt;='Resultats - informe'!$E$28),0,(C366&gt;='Resultats - informe'!$D$29)*(C366&lt;='Resultats - informe'!$E$29),0,1,1)</f>
        <v>0</v>
      </c>
      <c r="N366" s="366">
        <f>+VLOOKUP(D366,'Resultats - informe'!$Y$18:$AG$42,'Introducció dades consum'!K366+1,0)</f>
        <v>0</v>
      </c>
      <c r="O366" s="367" cm="1">
        <f t="array" ref="O366">+_xlfn.SWITCH(MONTH(C366),1,1,2,1,3,1,4,2,5,2,6,3,7,3,8,3,9,3,10,2,11,2,12,1,2)</f>
        <v>1</v>
      </c>
      <c r="P366" s="43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</row>
    <row r="367" spans="1:73" ht="18" x14ac:dyDescent="0.35">
      <c r="A367" s="43"/>
      <c r="C367" s="393"/>
      <c r="E367" s="394"/>
      <c r="F367" s="394"/>
      <c r="G367" s="394"/>
      <c r="H367" s="8" t="s">
        <v>61</v>
      </c>
      <c r="I367" s="364">
        <f t="shared" si="16"/>
        <v>0</v>
      </c>
      <c r="J367" s="365">
        <f t="shared" si="15"/>
        <v>0</v>
      </c>
      <c r="K367" s="366">
        <f t="shared" si="17"/>
        <v>6</v>
      </c>
      <c r="L367" s="366">
        <f>+IF((C367&gt;='Resultats - informe'!$E$16)*(C367&lt;='Resultats - informe'!$G$16),1,0)</f>
        <v>1</v>
      </c>
      <c r="M367" s="366" cm="1">
        <f t="array" ref="M367">+_xlfn.IFS((C367&gt;='Resultats - informe'!$D$26)*(C367&lt;='Resultats - informe'!$E$26),0,(C367&gt;='Resultats - informe'!$D$27)*(C367&lt;='Resultats - informe'!$E$27),0,(C367&gt;='Resultats - informe'!$D$28)*(C367&lt;='Resultats - informe'!$E$28),0,(C367&gt;='Resultats - informe'!$D$29)*(C367&lt;='Resultats - informe'!$E$29),0,1,1)</f>
        <v>0</v>
      </c>
      <c r="N367" s="366">
        <f>+VLOOKUP(D367,'Resultats - informe'!$Y$18:$AG$42,'Introducció dades consum'!K367+1,0)</f>
        <v>0</v>
      </c>
      <c r="O367" s="367" cm="1">
        <f t="array" ref="O367">+_xlfn.SWITCH(MONTH(C367),1,1,2,1,3,1,4,2,5,2,6,3,7,3,8,3,9,3,10,2,11,2,12,1,2)</f>
        <v>1</v>
      </c>
      <c r="P367" s="43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</row>
    <row r="368" spans="1:73" ht="18" x14ac:dyDescent="0.35">
      <c r="A368" s="43"/>
      <c r="C368" s="393"/>
      <c r="E368" s="394"/>
      <c r="F368" s="394"/>
      <c r="G368" s="394"/>
      <c r="H368" s="8" t="s">
        <v>61</v>
      </c>
      <c r="I368" s="364">
        <f t="shared" si="16"/>
        <v>0</v>
      </c>
      <c r="J368" s="365">
        <f t="shared" si="15"/>
        <v>0</v>
      </c>
      <c r="K368" s="366">
        <f t="shared" si="17"/>
        <v>6</v>
      </c>
      <c r="L368" s="366">
        <f>+IF((C368&gt;='Resultats - informe'!$E$16)*(C368&lt;='Resultats - informe'!$G$16),1,0)</f>
        <v>1</v>
      </c>
      <c r="M368" s="366" cm="1">
        <f t="array" ref="M368">+_xlfn.IFS((C368&gt;='Resultats - informe'!$D$26)*(C368&lt;='Resultats - informe'!$E$26),0,(C368&gt;='Resultats - informe'!$D$27)*(C368&lt;='Resultats - informe'!$E$27),0,(C368&gt;='Resultats - informe'!$D$28)*(C368&lt;='Resultats - informe'!$E$28),0,(C368&gt;='Resultats - informe'!$D$29)*(C368&lt;='Resultats - informe'!$E$29),0,1,1)</f>
        <v>0</v>
      </c>
      <c r="N368" s="366">
        <f>+VLOOKUP(D368,'Resultats - informe'!$Y$18:$AG$42,'Introducció dades consum'!K368+1,0)</f>
        <v>0</v>
      </c>
      <c r="O368" s="367" cm="1">
        <f t="array" ref="O368">+_xlfn.SWITCH(MONTH(C368),1,1,2,1,3,1,4,2,5,2,6,3,7,3,8,3,9,3,10,2,11,2,12,1,2)</f>
        <v>1</v>
      </c>
      <c r="P368" s="43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</row>
    <row r="369" spans="1:73" ht="18" x14ac:dyDescent="0.35">
      <c r="A369" s="43"/>
      <c r="C369" s="393"/>
      <c r="E369" s="394"/>
      <c r="F369" s="394"/>
      <c r="G369" s="394"/>
      <c r="H369" s="8" t="s">
        <v>61</v>
      </c>
      <c r="I369" s="364">
        <f t="shared" si="16"/>
        <v>0</v>
      </c>
      <c r="J369" s="365">
        <f t="shared" si="15"/>
        <v>0</v>
      </c>
      <c r="K369" s="366">
        <f t="shared" si="17"/>
        <v>6</v>
      </c>
      <c r="L369" s="366">
        <f>+IF((C369&gt;='Resultats - informe'!$E$16)*(C369&lt;='Resultats - informe'!$G$16),1,0)</f>
        <v>1</v>
      </c>
      <c r="M369" s="366" cm="1">
        <f t="array" ref="M369">+_xlfn.IFS((C369&gt;='Resultats - informe'!$D$26)*(C369&lt;='Resultats - informe'!$E$26),0,(C369&gt;='Resultats - informe'!$D$27)*(C369&lt;='Resultats - informe'!$E$27),0,(C369&gt;='Resultats - informe'!$D$28)*(C369&lt;='Resultats - informe'!$E$28),0,(C369&gt;='Resultats - informe'!$D$29)*(C369&lt;='Resultats - informe'!$E$29),0,1,1)</f>
        <v>0</v>
      </c>
      <c r="N369" s="366">
        <f>+VLOOKUP(D369,'Resultats - informe'!$Y$18:$AG$42,'Introducció dades consum'!K369+1,0)</f>
        <v>0</v>
      </c>
      <c r="O369" s="367" cm="1">
        <f t="array" ref="O369">+_xlfn.SWITCH(MONTH(C369),1,1,2,1,3,1,4,2,5,2,6,3,7,3,8,3,9,3,10,2,11,2,12,1,2)</f>
        <v>1</v>
      </c>
      <c r="P369" s="43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</row>
    <row r="370" spans="1:73" ht="18" x14ac:dyDescent="0.35">
      <c r="A370" s="43"/>
      <c r="C370" s="393"/>
      <c r="E370" s="394"/>
      <c r="F370" s="394"/>
      <c r="G370" s="394"/>
      <c r="H370" s="8" t="s">
        <v>61</v>
      </c>
      <c r="I370" s="364">
        <f t="shared" si="16"/>
        <v>0</v>
      </c>
      <c r="J370" s="365">
        <f t="shared" si="15"/>
        <v>0</v>
      </c>
      <c r="K370" s="366">
        <f t="shared" si="17"/>
        <v>6</v>
      </c>
      <c r="L370" s="366">
        <f>+IF((C370&gt;='Resultats - informe'!$E$16)*(C370&lt;='Resultats - informe'!$G$16),1,0)</f>
        <v>1</v>
      </c>
      <c r="M370" s="366" cm="1">
        <f t="array" ref="M370">+_xlfn.IFS((C370&gt;='Resultats - informe'!$D$26)*(C370&lt;='Resultats - informe'!$E$26),0,(C370&gt;='Resultats - informe'!$D$27)*(C370&lt;='Resultats - informe'!$E$27),0,(C370&gt;='Resultats - informe'!$D$28)*(C370&lt;='Resultats - informe'!$E$28),0,(C370&gt;='Resultats - informe'!$D$29)*(C370&lt;='Resultats - informe'!$E$29),0,1,1)</f>
        <v>0</v>
      </c>
      <c r="N370" s="366">
        <f>+VLOOKUP(D370,'Resultats - informe'!$Y$18:$AG$42,'Introducció dades consum'!K370+1,0)</f>
        <v>0</v>
      </c>
      <c r="O370" s="367" cm="1">
        <f t="array" ref="O370">+_xlfn.SWITCH(MONTH(C370),1,1,2,1,3,1,4,2,5,2,6,3,7,3,8,3,9,3,10,2,11,2,12,1,2)</f>
        <v>1</v>
      </c>
      <c r="P370" s="43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</row>
    <row r="371" spans="1:73" ht="18" x14ac:dyDescent="0.35">
      <c r="A371" s="43"/>
      <c r="C371" s="393"/>
      <c r="E371" s="394"/>
      <c r="F371" s="394"/>
      <c r="G371" s="394"/>
      <c r="H371" s="8" t="s">
        <v>61</v>
      </c>
      <c r="I371" s="364">
        <f t="shared" si="16"/>
        <v>0</v>
      </c>
      <c r="J371" s="365">
        <f t="shared" si="15"/>
        <v>0</v>
      </c>
      <c r="K371" s="366">
        <f t="shared" si="17"/>
        <v>6</v>
      </c>
      <c r="L371" s="366">
        <f>+IF((C371&gt;='Resultats - informe'!$E$16)*(C371&lt;='Resultats - informe'!$G$16),1,0)</f>
        <v>1</v>
      </c>
      <c r="M371" s="366" cm="1">
        <f t="array" ref="M371">+_xlfn.IFS((C371&gt;='Resultats - informe'!$D$26)*(C371&lt;='Resultats - informe'!$E$26),0,(C371&gt;='Resultats - informe'!$D$27)*(C371&lt;='Resultats - informe'!$E$27),0,(C371&gt;='Resultats - informe'!$D$28)*(C371&lt;='Resultats - informe'!$E$28),0,(C371&gt;='Resultats - informe'!$D$29)*(C371&lt;='Resultats - informe'!$E$29),0,1,1)</f>
        <v>0</v>
      </c>
      <c r="N371" s="366">
        <f>+VLOOKUP(D371,'Resultats - informe'!$Y$18:$AG$42,'Introducció dades consum'!K371+1,0)</f>
        <v>0</v>
      </c>
      <c r="O371" s="367" cm="1">
        <f t="array" ref="O371">+_xlfn.SWITCH(MONTH(C371),1,1,2,1,3,1,4,2,5,2,6,3,7,3,8,3,9,3,10,2,11,2,12,1,2)</f>
        <v>1</v>
      </c>
      <c r="P371" s="43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</row>
    <row r="372" spans="1:73" ht="18" x14ac:dyDescent="0.35">
      <c r="A372" s="43"/>
      <c r="C372" s="393"/>
      <c r="E372" s="394"/>
      <c r="F372" s="394"/>
      <c r="G372" s="394"/>
      <c r="H372" s="8" t="s">
        <v>61</v>
      </c>
      <c r="I372" s="364">
        <f t="shared" si="16"/>
        <v>0</v>
      </c>
      <c r="J372" s="365">
        <f t="shared" si="15"/>
        <v>0</v>
      </c>
      <c r="K372" s="366">
        <f t="shared" si="17"/>
        <v>6</v>
      </c>
      <c r="L372" s="366">
        <f>+IF((C372&gt;='Resultats - informe'!$E$16)*(C372&lt;='Resultats - informe'!$G$16),1,0)</f>
        <v>1</v>
      </c>
      <c r="M372" s="366" cm="1">
        <f t="array" ref="M372">+_xlfn.IFS((C372&gt;='Resultats - informe'!$D$26)*(C372&lt;='Resultats - informe'!$E$26),0,(C372&gt;='Resultats - informe'!$D$27)*(C372&lt;='Resultats - informe'!$E$27),0,(C372&gt;='Resultats - informe'!$D$28)*(C372&lt;='Resultats - informe'!$E$28),0,(C372&gt;='Resultats - informe'!$D$29)*(C372&lt;='Resultats - informe'!$E$29),0,1,1)</f>
        <v>0</v>
      </c>
      <c r="N372" s="366">
        <f>+VLOOKUP(D372,'Resultats - informe'!$Y$18:$AG$42,'Introducció dades consum'!K372+1,0)</f>
        <v>0</v>
      </c>
      <c r="O372" s="367" cm="1">
        <f t="array" ref="O372">+_xlfn.SWITCH(MONTH(C372),1,1,2,1,3,1,4,2,5,2,6,3,7,3,8,3,9,3,10,2,11,2,12,1,2)</f>
        <v>1</v>
      </c>
      <c r="P372" s="43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</row>
    <row r="373" spans="1:73" ht="18" x14ac:dyDescent="0.35">
      <c r="A373" s="43"/>
      <c r="C373" s="393"/>
      <c r="E373" s="394"/>
      <c r="F373" s="394"/>
      <c r="G373" s="394"/>
      <c r="H373" s="8" t="s">
        <v>61</v>
      </c>
      <c r="I373" s="364">
        <f t="shared" si="16"/>
        <v>0</v>
      </c>
      <c r="J373" s="365">
        <f t="shared" si="15"/>
        <v>0</v>
      </c>
      <c r="K373" s="366">
        <f t="shared" si="17"/>
        <v>6</v>
      </c>
      <c r="L373" s="366">
        <f>+IF((C373&gt;='Resultats - informe'!$E$16)*(C373&lt;='Resultats - informe'!$G$16),1,0)</f>
        <v>1</v>
      </c>
      <c r="M373" s="366" cm="1">
        <f t="array" ref="M373">+_xlfn.IFS((C373&gt;='Resultats - informe'!$D$26)*(C373&lt;='Resultats - informe'!$E$26),0,(C373&gt;='Resultats - informe'!$D$27)*(C373&lt;='Resultats - informe'!$E$27),0,(C373&gt;='Resultats - informe'!$D$28)*(C373&lt;='Resultats - informe'!$E$28),0,(C373&gt;='Resultats - informe'!$D$29)*(C373&lt;='Resultats - informe'!$E$29),0,1,1)</f>
        <v>0</v>
      </c>
      <c r="N373" s="366">
        <f>+VLOOKUP(D373,'Resultats - informe'!$Y$18:$AG$42,'Introducció dades consum'!K373+1,0)</f>
        <v>0</v>
      </c>
      <c r="O373" s="367" cm="1">
        <f t="array" ref="O373">+_xlfn.SWITCH(MONTH(C373),1,1,2,1,3,1,4,2,5,2,6,3,7,3,8,3,9,3,10,2,11,2,12,1,2)</f>
        <v>1</v>
      </c>
      <c r="P373" s="43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</row>
    <row r="374" spans="1:73" ht="18" x14ac:dyDescent="0.35">
      <c r="A374" s="43"/>
      <c r="C374" s="393"/>
      <c r="E374" s="394"/>
      <c r="F374" s="394"/>
      <c r="G374" s="394"/>
      <c r="H374" s="8" t="s">
        <v>61</v>
      </c>
      <c r="I374" s="364">
        <f t="shared" si="16"/>
        <v>0</v>
      </c>
      <c r="J374" s="365">
        <f t="shared" si="15"/>
        <v>0</v>
      </c>
      <c r="K374" s="366">
        <f t="shared" si="17"/>
        <v>6</v>
      </c>
      <c r="L374" s="366">
        <f>+IF((C374&gt;='Resultats - informe'!$E$16)*(C374&lt;='Resultats - informe'!$G$16),1,0)</f>
        <v>1</v>
      </c>
      <c r="M374" s="366" cm="1">
        <f t="array" ref="M374">+_xlfn.IFS((C374&gt;='Resultats - informe'!$D$26)*(C374&lt;='Resultats - informe'!$E$26),0,(C374&gt;='Resultats - informe'!$D$27)*(C374&lt;='Resultats - informe'!$E$27),0,(C374&gt;='Resultats - informe'!$D$28)*(C374&lt;='Resultats - informe'!$E$28),0,(C374&gt;='Resultats - informe'!$D$29)*(C374&lt;='Resultats - informe'!$E$29),0,1,1)</f>
        <v>0</v>
      </c>
      <c r="N374" s="366">
        <f>+VLOOKUP(D374,'Resultats - informe'!$Y$18:$AG$42,'Introducció dades consum'!K374+1,0)</f>
        <v>0</v>
      </c>
      <c r="O374" s="367" cm="1">
        <f t="array" ref="O374">+_xlfn.SWITCH(MONTH(C374),1,1,2,1,3,1,4,2,5,2,6,3,7,3,8,3,9,3,10,2,11,2,12,1,2)</f>
        <v>1</v>
      </c>
      <c r="P374" s="43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</row>
    <row r="375" spans="1:73" ht="18" x14ac:dyDescent="0.35">
      <c r="A375" s="43"/>
      <c r="C375" s="393"/>
      <c r="E375" s="394"/>
      <c r="F375" s="394"/>
      <c r="G375" s="394"/>
      <c r="H375" s="8" t="s">
        <v>61</v>
      </c>
      <c r="I375" s="364">
        <f t="shared" si="16"/>
        <v>0</v>
      </c>
      <c r="J375" s="365">
        <f t="shared" si="15"/>
        <v>0</v>
      </c>
      <c r="K375" s="366">
        <f t="shared" si="17"/>
        <v>6</v>
      </c>
      <c r="L375" s="366">
        <f>+IF((C375&gt;='Resultats - informe'!$E$16)*(C375&lt;='Resultats - informe'!$G$16),1,0)</f>
        <v>1</v>
      </c>
      <c r="M375" s="366" cm="1">
        <f t="array" ref="M375">+_xlfn.IFS((C375&gt;='Resultats - informe'!$D$26)*(C375&lt;='Resultats - informe'!$E$26),0,(C375&gt;='Resultats - informe'!$D$27)*(C375&lt;='Resultats - informe'!$E$27),0,(C375&gt;='Resultats - informe'!$D$28)*(C375&lt;='Resultats - informe'!$E$28),0,(C375&gt;='Resultats - informe'!$D$29)*(C375&lt;='Resultats - informe'!$E$29),0,1,1)</f>
        <v>0</v>
      </c>
      <c r="N375" s="366">
        <f>+VLOOKUP(D375,'Resultats - informe'!$Y$18:$AG$42,'Introducció dades consum'!K375+1,0)</f>
        <v>0</v>
      </c>
      <c r="O375" s="367" cm="1">
        <f t="array" ref="O375">+_xlfn.SWITCH(MONTH(C375),1,1,2,1,3,1,4,2,5,2,6,3,7,3,8,3,9,3,10,2,11,2,12,1,2)</f>
        <v>1</v>
      </c>
      <c r="P375" s="43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</row>
    <row r="376" spans="1:73" ht="18" x14ac:dyDescent="0.35">
      <c r="A376" s="43"/>
      <c r="C376" s="393"/>
      <c r="E376" s="394"/>
      <c r="F376" s="394"/>
      <c r="G376" s="394"/>
      <c r="H376" s="8" t="s">
        <v>61</v>
      </c>
      <c r="I376" s="364">
        <f t="shared" si="16"/>
        <v>0</v>
      </c>
      <c r="J376" s="365">
        <f t="shared" si="15"/>
        <v>0</v>
      </c>
      <c r="K376" s="366">
        <f t="shared" si="17"/>
        <v>6</v>
      </c>
      <c r="L376" s="366">
        <f>+IF((C376&gt;='Resultats - informe'!$E$16)*(C376&lt;='Resultats - informe'!$G$16),1,0)</f>
        <v>1</v>
      </c>
      <c r="M376" s="366" cm="1">
        <f t="array" ref="M376">+_xlfn.IFS((C376&gt;='Resultats - informe'!$D$26)*(C376&lt;='Resultats - informe'!$E$26),0,(C376&gt;='Resultats - informe'!$D$27)*(C376&lt;='Resultats - informe'!$E$27),0,(C376&gt;='Resultats - informe'!$D$28)*(C376&lt;='Resultats - informe'!$E$28),0,(C376&gt;='Resultats - informe'!$D$29)*(C376&lt;='Resultats - informe'!$E$29),0,1,1)</f>
        <v>0</v>
      </c>
      <c r="N376" s="366">
        <f>+VLOOKUP(D376,'Resultats - informe'!$Y$18:$AG$42,'Introducció dades consum'!K376+1,0)</f>
        <v>0</v>
      </c>
      <c r="O376" s="367" cm="1">
        <f t="array" ref="O376">+_xlfn.SWITCH(MONTH(C376),1,1,2,1,3,1,4,2,5,2,6,3,7,3,8,3,9,3,10,2,11,2,12,1,2)</f>
        <v>1</v>
      </c>
      <c r="P376" s="43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</row>
    <row r="377" spans="1:73" ht="18" x14ac:dyDescent="0.35">
      <c r="A377" s="43"/>
      <c r="C377" s="393"/>
      <c r="E377" s="394"/>
      <c r="F377" s="394"/>
      <c r="G377" s="394"/>
      <c r="H377" s="8" t="s">
        <v>61</v>
      </c>
      <c r="I377" s="364">
        <f t="shared" si="16"/>
        <v>0</v>
      </c>
      <c r="J377" s="365">
        <f t="shared" si="15"/>
        <v>0</v>
      </c>
      <c r="K377" s="366">
        <f t="shared" si="17"/>
        <v>6</v>
      </c>
      <c r="L377" s="366">
        <f>+IF((C377&gt;='Resultats - informe'!$E$16)*(C377&lt;='Resultats - informe'!$G$16),1,0)</f>
        <v>1</v>
      </c>
      <c r="M377" s="366" cm="1">
        <f t="array" ref="M377">+_xlfn.IFS((C377&gt;='Resultats - informe'!$D$26)*(C377&lt;='Resultats - informe'!$E$26),0,(C377&gt;='Resultats - informe'!$D$27)*(C377&lt;='Resultats - informe'!$E$27),0,(C377&gt;='Resultats - informe'!$D$28)*(C377&lt;='Resultats - informe'!$E$28),0,(C377&gt;='Resultats - informe'!$D$29)*(C377&lt;='Resultats - informe'!$E$29),0,1,1)</f>
        <v>0</v>
      </c>
      <c r="N377" s="366">
        <f>+VLOOKUP(D377,'Resultats - informe'!$Y$18:$AG$42,'Introducció dades consum'!K377+1,0)</f>
        <v>0</v>
      </c>
      <c r="O377" s="367" cm="1">
        <f t="array" ref="O377">+_xlfn.SWITCH(MONTH(C377),1,1,2,1,3,1,4,2,5,2,6,3,7,3,8,3,9,3,10,2,11,2,12,1,2)</f>
        <v>1</v>
      </c>
      <c r="P377" s="43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</row>
    <row r="378" spans="1:73" ht="18" x14ac:dyDescent="0.35">
      <c r="A378" s="43"/>
      <c r="C378" s="393"/>
      <c r="E378" s="394"/>
      <c r="F378" s="394"/>
      <c r="G378" s="394"/>
      <c r="H378" s="8" t="s">
        <v>61</v>
      </c>
      <c r="I378" s="364">
        <f t="shared" si="16"/>
        <v>0</v>
      </c>
      <c r="J378" s="365">
        <f t="shared" si="15"/>
        <v>0</v>
      </c>
      <c r="K378" s="366">
        <f t="shared" si="17"/>
        <v>6</v>
      </c>
      <c r="L378" s="366">
        <f>+IF((C378&gt;='Resultats - informe'!$E$16)*(C378&lt;='Resultats - informe'!$G$16),1,0)</f>
        <v>1</v>
      </c>
      <c r="M378" s="366" cm="1">
        <f t="array" ref="M378">+_xlfn.IFS((C378&gt;='Resultats - informe'!$D$26)*(C378&lt;='Resultats - informe'!$E$26),0,(C378&gt;='Resultats - informe'!$D$27)*(C378&lt;='Resultats - informe'!$E$27),0,(C378&gt;='Resultats - informe'!$D$28)*(C378&lt;='Resultats - informe'!$E$28),0,(C378&gt;='Resultats - informe'!$D$29)*(C378&lt;='Resultats - informe'!$E$29),0,1,1)</f>
        <v>0</v>
      </c>
      <c r="N378" s="366">
        <f>+VLOOKUP(D378,'Resultats - informe'!$Y$18:$AG$42,'Introducció dades consum'!K378+1,0)</f>
        <v>0</v>
      </c>
      <c r="O378" s="367" cm="1">
        <f t="array" ref="O378">+_xlfn.SWITCH(MONTH(C378),1,1,2,1,3,1,4,2,5,2,6,3,7,3,8,3,9,3,10,2,11,2,12,1,2)</f>
        <v>1</v>
      </c>
      <c r="P378" s="43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</row>
    <row r="379" spans="1:73" ht="18" x14ac:dyDescent="0.35">
      <c r="A379" s="43"/>
      <c r="C379" s="393"/>
      <c r="E379" s="394"/>
      <c r="F379" s="394"/>
      <c r="G379" s="394"/>
      <c r="H379" s="8" t="s">
        <v>61</v>
      </c>
      <c r="I379" s="364">
        <f t="shared" si="16"/>
        <v>0</v>
      </c>
      <c r="J379" s="365">
        <f t="shared" si="15"/>
        <v>0</v>
      </c>
      <c r="K379" s="366">
        <f t="shared" si="17"/>
        <v>6</v>
      </c>
      <c r="L379" s="366">
        <f>+IF((C379&gt;='Resultats - informe'!$E$16)*(C379&lt;='Resultats - informe'!$G$16),1,0)</f>
        <v>1</v>
      </c>
      <c r="M379" s="366" cm="1">
        <f t="array" ref="M379">+_xlfn.IFS((C379&gt;='Resultats - informe'!$D$26)*(C379&lt;='Resultats - informe'!$E$26),0,(C379&gt;='Resultats - informe'!$D$27)*(C379&lt;='Resultats - informe'!$E$27),0,(C379&gt;='Resultats - informe'!$D$28)*(C379&lt;='Resultats - informe'!$E$28),0,(C379&gt;='Resultats - informe'!$D$29)*(C379&lt;='Resultats - informe'!$E$29),0,1,1)</f>
        <v>0</v>
      </c>
      <c r="N379" s="366">
        <f>+VLOOKUP(D379,'Resultats - informe'!$Y$18:$AG$42,'Introducció dades consum'!K379+1,0)</f>
        <v>0</v>
      </c>
      <c r="O379" s="367" cm="1">
        <f t="array" ref="O379">+_xlfn.SWITCH(MONTH(C379),1,1,2,1,3,1,4,2,5,2,6,3,7,3,8,3,9,3,10,2,11,2,12,1,2)</f>
        <v>1</v>
      </c>
      <c r="P379" s="43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</row>
    <row r="380" spans="1:73" ht="18" x14ac:dyDescent="0.35">
      <c r="A380" s="43"/>
      <c r="C380" s="393"/>
      <c r="E380" s="394"/>
      <c r="F380" s="394"/>
      <c r="G380" s="394"/>
      <c r="H380" s="8" t="s">
        <v>61</v>
      </c>
      <c r="I380" s="364">
        <f t="shared" si="16"/>
        <v>0</v>
      </c>
      <c r="J380" s="365">
        <f t="shared" si="15"/>
        <v>0</v>
      </c>
      <c r="K380" s="366">
        <f t="shared" si="17"/>
        <v>6</v>
      </c>
      <c r="L380" s="366">
        <f>+IF((C380&gt;='Resultats - informe'!$E$16)*(C380&lt;='Resultats - informe'!$G$16),1,0)</f>
        <v>1</v>
      </c>
      <c r="M380" s="366" cm="1">
        <f t="array" ref="M380">+_xlfn.IFS((C380&gt;='Resultats - informe'!$D$26)*(C380&lt;='Resultats - informe'!$E$26),0,(C380&gt;='Resultats - informe'!$D$27)*(C380&lt;='Resultats - informe'!$E$27),0,(C380&gt;='Resultats - informe'!$D$28)*(C380&lt;='Resultats - informe'!$E$28),0,(C380&gt;='Resultats - informe'!$D$29)*(C380&lt;='Resultats - informe'!$E$29),0,1,1)</f>
        <v>0</v>
      </c>
      <c r="N380" s="366">
        <f>+VLOOKUP(D380,'Resultats - informe'!$Y$18:$AG$42,'Introducció dades consum'!K380+1,0)</f>
        <v>0</v>
      </c>
      <c r="O380" s="367" cm="1">
        <f t="array" ref="O380">+_xlfn.SWITCH(MONTH(C380),1,1,2,1,3,1,4,2,5,2,6,3,7,3,8,3,9,3,10,2,11,2,12,1,2)</f>
        <v>1</v>
      </c>
      <c r="P380" s="43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</row>
    <row r="381" spans="1:73" ht="18" x14ac:dyDescent="0.35">
      <c r="A381" s="43"/>
      <c r="C381" s="393"/>
      <c r="E381" s="394"/>
      <c r="F381" s="394"/>
      <c r="G381" s="394"/>
      <c r="H381" s="8" t="s">
        <v>61</v>
      </c>
      <c r="I381" s="364">
        <f t="shared" si="16"/>
        <v>0</v>
      </c>
      <c r="J381" s="365">
        <f t="shared" si="15"/>
        <v>0</v>
      </c>
      <c r="K381" s="366">
        <f t="shared" si="17"/>
        <v>6</v>
      </c>
      <c r="L381" s="366">
        <f>+IF((C381&gt;='Resultats - informe'!$E$16)*(C381&lt;='Resultats - informe'!$G$16),1,0)</f>
        <v>1</v>
      </c>
      <c r="M381" s="366" cm="1">
        <f t="array" ref="M381">+_xlfn.IFS((C381&gt;='Resultats - informe'!$D$26)*(C381&lt;='Resultats - informe'!$E$26),0,(C381&gt;='Resultats - informe'!$D$27)*(C381&lt;='Resultats - informe'!$E$27),0,(C381&gt;='Resultats - informe'!$D$28)*(C381&lt;='Resultats - informe'!$E$28),0,(C381&gt;='Resultats - informe'!$D$29)*(C381&lt;='Resultats - informe'!$E$29),0,1,1)</f>
        <v>0</v>
      </c>
      <c r="N381" s="366">
        <f>+VLOOKUP(D381,'Resultats - informe'!$Y$18:$AG$42,'Introducció dades consum'!K381+1,0)</f>
        <v>0</v>
      </c>
      <c r="O381" s="367" cm="1">
        <f t="array" ref="O381">+_xlfn.SWITCH(MONTH(C381),1,1,2,1,3,1,4,2,5,2,6,3,7,3,8,3,9,3,10,2,11,2,12,1,2)</f>
        <v>1</v>
      </c>
      <c r="P381" s="43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</row>
    <row r="382" spans="1:73" ht="18" x14ac:dyDescent="0.35">
      <c r="A382" s="43"/>
      <c r="C382" s="393"/>
      <c r="E382" s="394"/>
      <c r="F382" s="394"/>
      <c r="G382" s="394"/>
      <c r="H382" s="8" t="s">
        <v>61</v>
      </c>
      <c r="I382" s="364">
        <f t="shared" si="16"/>
        <v>0</v>
      </c>
      <c r="J382" s="365">
        <f t="shared" si="15"/>
        <v>0</v>
      </c>
      <c r="K382" s="366">
        <f t="shared" si="17"/>
        <v>6</v>
      </c>
      <c r="L382" s="366">
        <f>+IF((C382&gt;='Resultats - informe'!$E$16)*(C382&lt;='Resultats - informe'!$G$16),1,0)</f>
        <v>1</v>
      </c>
      <c r="M382" s="366" cm="1">
        <f t="array" ref="M382">+_xlfn.IFS((C382&gt;='Resultats - informe'!$D$26)*(C382&lt;='Resultats - informe'!$E$26),0,(C382&gt;='Resultats - informe'!$D$27)*(C382&lt;='Resultats - informe'!$E$27),0,(C382&gt;='Resultats - informe'!$D$28)*(C382&lt;='Resultats - informe'!$E$28),0,(C382&gt;='Resultats - informe'!$D$29)*(C382&lt;='Resultats - informe'!$E$29),0,1,1)</f>
        <v>0</v>
      </c>
      <c r="N382" s="366">
        <f>+VLOOKUP(D382,'Resultats - informe'!$Y$18:$AG$42,'Introducció dades consum'!K382+1,0)</f>
        <v>0</v>
      </c>
      <c r="O382" s="367" cm="1">
        <f t="array" ref="O382">+_xlfn.SWITCH(MONTH(C382),1,1,2,1,3,1,4,2,5,2,6,3,7,3,8,3,9,3,10,2,11,2,12,1,2)</f>
        <v>1</v>
      </c>
      <c r="P382" s="43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</row>
    <row r="383" spans="1:73" ht="18" x14ac:dyDescent="0.35">
      <c r="A383" s="43"/>
      <c r="C383" s="393"/>
      <c r="E383" s="394"/>
      <c r="F383" s="394"/>
      <c r="G383" s="394"/>
      <c r="H383" s="8" t="s">
        <v>61</v>
      </c>
      <c r="I383" s="364">
        <f t="shared" si="16"/>
        <v>0</v>
      </c>
      <c r="J383" s="365">
        <f t="shared" si="15"/>
        <v>0</v>
      </c>
      <c r="K383" s="366">
        <f t="shared" si="17"/>
        <v>6</v>
      </c>
      <c r="L383" s="366">
        <f>+IF((C383&gt;='Resultats - informe'!$E$16)*(C383&lt;='Resultats - informe'!$G$16),1,0)</f>
        <v>1</v>
      </c>
      <c r="M383" s="366" cm="1">
        <f t="array" ref="M383">+_xlfn.IFS((C383&gt;='Resultats - informe'!$D$26)*(C383&lt;='Resultats - informe'!$E$26),0,(C383&gt;='Resultats - informe'!$D$27)*(C383&lt;='Resultats - informe'!$E$27),0,(C383&gt;='Resultats - informe'!$D$28)*(C383&lt;='Resultats - informe'!$E$28),0,(C383&gt;='Resultats - informe'!$D$29)*(C383&lt;='Resultats - informe'!$E$29),0,1,1)</f>
        <v>0</v>
      </c>
      <c r="N383" s="366">
        <f>+VLOOKUP(D383,'Resultats - informe'!$Y$18:$AG$42,'Introducció dades consum'!K383+1,0)</f>
        <v>0</v>
      </c>
      <c r="O383" s="367" cm="1">
        <f t="array" ref="O383">+_xlfn.SWITCH(MONTH(C383),1,1,2,1,3,1,4,2,5,2,6,3,7,3,8,3,9,3,10,2,11,2,12,1,2)</f>
        <v>1</v>
      </c>
      <c r="P383" s="43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</row>
    <row r="384" spans="1:73" ht="18" x14ac:dyDescent="0.35">
      <c r="A384" s="43"/>
      <c r="C384" s="393"/>
      <c r="E384" s="394"/>
      <c r="F384" s="394"/>
      <c r="G384" s="394"/>
      <c r="H384" s="8" t="s">
        <v>61</v>
      </c>
      <c r="I384" s="364">
        <f t="shared" si="16"/>
        <v>0</v>
      </c>
      <c r="J384" s="365">
        <f t="shared" si="15"/>
        <v>0</v>
      </c>
      <c r="K384" s="366">
        <f t="shared" si="17"/>
        <v>6</v>
      </c>
      <c r="L384" s="366">
        <f>+IF((C384&gt;='Resultats - informe'!$E$16)*(C384&lt;='Resultats - informe'!$G$16),1,0)</f>
        <v>1</v>
      </c>
      <c r="M384" s="366" cm="1">
        <f t="array" ref="M384">+_xlfn.IFS((C384&gt;='Resultats - informe'!$D$26)*(C384&lt;='Resultats - informe'!$E$26),0,(C384&gt;='Resultats - informe'!$D$27)*(C384&lt;='Resultats - informe'!$E$27),0,(C384&gt;='Resultats - informe'!$D$28)*(C384&lt;='Resultats - informe'!$E$28),0,(C384&gt;='Resultats - informe'!$D$29)*(C384&lt;='Resultats - informe'!$E$29),0,1,1)</f>
        <v>0</v>
      </c>
      <c r="N384" s="366">
        <f>+VLOOKUP(D384,'Resultats - informe'!$Y$18:$AG$42,'Introducció dades consum'!K384+1,0)</f>
        <v>0</v>
      </c>
      <c r="O384" s="367" cm="1">
        <f t="array" ref="O384">+_xlfn.SWITCH(MONTH(C384),1,1,2,1,3,1,4,2,5,2,6,3,7,3,8,3,9,3,10,2,11,2,12,1,2)</f>
        <v>1</v>
      </c>
      <c r="P384" s="43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</row>
    <row r="385" spans="1:73" ht="18" x14ac:dyDescent="0.35">
      <c r="A385" s="43"/>
      <c r="C385" s="393"/>
      <c r="E385" s="394"/>
      <c r="F385" s="394"/>
      <c r="G385" s="394"/>
      <c r="H385" s="8" t="s">
        <v>61</v>
      </c>
      <c r="I385" s="364">
        <f t="shared" si="16"/>
        <v>0</v>
      </c>
      <c r="J385" s="365">
        <f t="shared" si="15"/>
        <v>0</v>
      </c>
      <c r="K385" s="366">
        <f t="shared" si="17"/>
        <v>6</v>
      </c>
      <c r="L385" s="366">
        <f>+IF((C385&gt;='Resultats - informe'!$E$16)*(C385&lt;='Resultats - informe'!$G$16),1,0)</f>
        <v>1</v>
      </c>
      <c r="M385" s="366" cm="1">
        <f t="array" ref="M385">+_xlfn.IFS((C385&gt;='Resultats - informe'!$D$26)*(C385&lt;='Resultats - informe'!$E$26),0,(C385&gt;='Resultats - informe'!$D$27)*(C385&lt;='Resultats - informe'!$E$27),0,(C385&gt;='Resultats - informe'!$D$28)*(C385&lt;='Resultats - informe'!$E$28),0,(C385&gt;='Resultats - informe'!$D$29)*(C385&lt;='Resultats - informe'!$E$29),0,1,1)</f>
        <v>0</v>
      </c>
      <c r="N385" s="366">
        <f>+VLOOKUP(D385,'Resultats - informe'!$Y$18:$AG$42,'Introducció dades consum'!K385+1,0)</f>
        <v>0</v>
      </c>
      <c r="O385" s="367" cm="1">
        <f t="array" ref="O385">+_xlfn.SWITCH(MONTH(C385),1,1,2,1,3,1,4,2,5,2,6,3,7,3,8,3,9,3,10,2,11,2,12,1,2)</f>
        <v>1</v>
      </c>
      <c r="P385" s="43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</row>
    <row r="386" spans="1:73" ht="18" x14ac:dyDescent="0.35">
      <c r="A386" s="43"/>
      <c r="C386" s="393"/>
      <c r="E386" s="394"/>
      <c r="F386" s="394"/>
      <c r="G386" s="394"/>
      <c r="H386" s="8" t="s">
        <v>61</v>
      </c>
      <c r="I386" s="364">
        <f t="shared" si="16"/>
        <v>0</v>
      </c>
      <c r="J386" s="365">
        <f t="shared" si="15"/>
        <v>0</v>
      </c>
      <c r="K386" s="366">
        <f t="shared" si="17"/>
        <v>6</v>
      </c>
      <c r="L386" s="366">
        <f>+IF((C386&gt;='Resultats - informe'!$E$16)*(C386&lt;='Resultats - informe'!$G$16),1,0)</f>
        <v>1</v>
      </c>
      <c r="M386" s="366" cm="1">
        <f t="array" ref="M386">+_xlfn.IFS((C386&gt;='Resultats - informe'!$D$26)*(C386&lt;='Resultats - informe'!$E$26),0,(C386&gt;='Resultats - informe'!$D$27)*(C386&lt;='Resultats - informe'!$E$27),0,(C386&gt;='Resultats - informe'!$D$28)*(C386&lt;='Resultats - informe'!$E$28),0,(C386&gt;='Resultats - informe'!$D$29)*(C386&lt;='Resultats - informe'!$E$29),0,1,1)</f>
        <v>0</v>
      </c>
      <c r="N386" s="366">
        <f>+VLOOKUP(D386,'Resultats - informe'!$Y$18:$AG$42,'Introducció dades consum'!K386+1,0)</f>
        <v>0</v>
      </c>
      <c r="O386" s="367" cm="1">
        <f t="array" ref="O386">+_xlfn.SWITCH(MONTH(C386),1,1,2,1,3,1,4,2,5,2,6,3,7,3,8,3,9,3,10,2,11,2,12,1,2)</f>
        <v>1</v>
      </c>
      <c r="P386" s="43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</row>
    <row r="387" spans="1:73" ht="18" x14ac:dyDescent="0.35">
      <c r="A387" s="43"/>
      <c r="C387" s="393"/>
      <c r="E387" s="394"/>
      <c r="F387" s="394"/>
      <c r="G387" s="394"/>
      <c r="H387" s="8" t="s">
        <v>61</v>
      </c>
      <c r="I387" s="364">
        <f t="shared" si="16"/>
        <v>0</v>
      </c>
      <c r="J387" s="365">
        <f t="shared" si="15"/>
        <v>0</v>
      </c>
      <c r="K387" s="366">
        <f t="shared" si="17"/>
        <v>6</v>
      </c>
      <c r="L387" s="366">
        <f>+IF((C387&gt;='Resultats - informe'!$E$16)*(C387&lt;='Resultats - informe'!$G$16),1,0)</f>
        <v>1</v>
      </c>
      <c r="M387" s="366" cm="1">
        <f t="array" ref="M387">+_xlfn.IFS((C387&gt;='Resultats - informe'!$D$26)*(C387&lt;='Resultats - informe'!$E$26),0,(C387&gt;='Resultats - informe'!$D$27)*(C387&lt;='Resultats - informe'!$E$27),0,(C387&gt;='Resultats - informe'!$D$28)*(C387&lt;='Resultats - informe'!$E$28),0,(C387&gt;='Resultats - informe'!$D$29)*(C387&lt;='Resultats - informe'!$E$29),0,1,1)</f>
        <v>0</v>
      </c>
      <c r="N387" s="366">
        <f>+VLOOKUP(D387,'Resultats - informe'!$Y$18:$AG$42,'Introducció dades consum'!K387+1,0)</f>
        <v>0</v>
      </c>
      <c r="O387" s="367" cm="1">
        <f t="array" ref="O387">+_xlfn.SWITCH(MONTH(C387),1,1,2,1,3,1,4,2,5,2,6,3,7,3,8,3,9,3,10,2,11,2,12,1,2)</f>
        <v>1</v>
      </c>
      <c r="P387" s="43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</row>
    <row r="388" spans="1:73" ht="18" x14ac:dyDescent="0.35">
      <c r="A388" s="43"/>
      <c r="C388" s="393"/>
      <c r="E388" s="394"/>
      <c r="F388" s="394"/>
      <c r="G388" s="394"/>
      <c r="H388" s="8" t="s">
        <v>61</v>
      </c>
      <c r="I388" s="364">
        <f t="shared" si="16"/>
        <v>0</v>
      </c>
      <c r="J388" s="365">
        <f t="shared" si="15"/>
        <v>0</v>
      </c>
      <c r="K388" s="366">
        <f t="shared" si="17"/>
        <v>6</v>
      </c>
      <c r="L388" s="366">
        <f>+IF((C388&gt;='Resultats - informe'!$E$16)*(C388&lt;='Resultats - informe'!$G$16),1,0)</f>
        <v>1</v>
      </c>
      <c r="M388" s="366" cm="1">
        <f t="array" ref="M388">+_xlfn.IFS((C388&gt;='Resultats - informe'!$D$26)*(C388&lt;='Resultats - informe'!$E$26),0,(C388&gt;='Resultats - informe'!$D$27)*(C388&lt;='Resultats - informe'!$E$27),0,(C388&gt;='Resultats - informe'!$D$28)*(C388&lt;='Resultats - informe'!$E$28),0,(C388&gt;='Resultats - informe'!$D$29)*(C388&lt;='Resultats - informe'!$E$29),0,1,1)</f>
        <v>0</v>
      </c>
      <c r="N388" s="366">
        <f>+VLOOKUP(D388,'Resultats - informe'!$Y$18:$AG$42,'Introducció dades consum'!K388+1,0)</f>
        <v>0</v>
      </c>
      <c r="O388" s="367" cm="1">
        <f t="array" ref="O388">+_xlfn.SWITCH(MONTH(C388),1,1,2,1,3,1,4,2,5,2,6,3,7,3,8,3,9,3,10,2,11,2,12,1,2)</f>
        <v>1</v>
      </c>
      <c r="P388" s="43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</row>
    <row r="389" spans="1:73" ht="18" x14ac:dyDescent="0.35">
      <c r="A389" s="43"/>
      <c r="C389" s="393"/>
      <c r="E389" s="394"/>
      <c r="F389" s="394"/>
      <c r="G389" s="394"/>
      <c r="H389" s="8" t="s">
        <v>61</v>
      </c>
      <c r="I389" s="364">
        <f t="shared" si="16"/>
        <v>0</v>
      </c>
      <c r="J389" s="365">
        <f t="shared" ref="J389:J452" si="18">+C389</f>
        <v>0</v>
      </c>
      <c r="K389" s="366">
        <f t="shared" si="17"/>
        <v>6</v>
      </c>
      <c r="L389" s="366">
        <f>+IF((C389&gt;='Resultats - informe'!$E$16)*(C389&lt;='Resultats - informe'!$G$16),1,0)</f>
        <v>1</v>
      </c>
      <c r="M389" s="366" cm="1">
        <f t="array" ref="M389">+_xlfn.IFS((C389&gt;='Resultats - informe'!$D$26)*(C389&lt;='Resultats - informe'!$E$26),0,(C389&gt;='Resultats - informe'!$D$27)*(C389&lt;='Resultats - informe'!$E$27),0,(C389&gt;='Resultats - informe'!$D$28)*(C389&lt;='Resultats - informe'!$E$28),0,(C389&gt;='Resultats - informe'!$D$29)*(C389&lt;='Resultats - informe'!$E$29),0,1,1)</f>
        <v>0</v>
      </c>
      <c r="N389" s="366">
        <f>+VLOOKUP(D389,'Resultats - informe'!$Y$18:$AG$42,'Introducció dades consum'!K389+1,0)</f>
        <v>0</v>
      </c>
      <c r="O389" s="367" cm="1">
        <f t="array" ref="O389">+_xlfn.SWITCH(MONTH(C389),1,1,2,1,3,1,4,2,5,2,6,3,7,3,8,3,9,3,10,2,11,2,12,1,2)</f>
        <v>1</v>
      </c>
      <c r="P389" s="43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</row>
    <row r="390" spans="1:73" ht="18" x14ac:dyDescent="0.35">
      <c r="A390" s="43"/>
      <c r="C390" s="393"/>
      <c r="E390" s="394"/>
      <c r="F390" s="394"/>
      <c r="G390" s="394"/>
      <c r="H390" s="8" t="s">
        <v>61</v>
      </c>
      <c r="I390" s="364">
        <f t="shared" ref="I390:I453" si="19">+E390+G390</f>
        <v>0</v>
      </c>
      <c r="J390" s="365">
        <f t="shared" si="18"/>
        <v>0</v>
      </c>
      <c r="K390" s="366">
        <f t="shared" ref="K390:K453" si="20">+WEEKDAY(C390,2)</f>
        <v>6</v>
      </c>
      <c r="L390" s="366">
        <f>+IF((C390&gt;='Resultats - informe'!$E$16)*(C390&lt;='Resultats - informe'!$G$16),1,0)</f>
        <v>1</v>
      </c>
      <c r="M390" s="366" cm="1">
        <f t="array" ref="M390">+_xlfn.IFS((C390&gt;='Resultats - informe'!$D$26)*(C390&lt;='Resultats - informe'!$E$26),0,(C390&gt;='Resultats - informe'!$D$27)*(C390&lt;='Resultats - informe'!$E$27),0,(C390&gt;='Resultats - informe'!$D$28)*(C390&lt;='Resultats - informe'!$E$28),0,(C390&gt;='Resultats - informe'!$D$29)*(C390&lt;='Resultats - informe'!$E$29),0,1,1)</f>
        <v>0</v>
      </c>
      <c r="N390" s="366">
        <f>+VLOOKUP(D390,'Resultats - informe'!$Y$18:$AG$42,'Introducció dades consum'!K390+1,0)</f>
        <v>0</v>
      </c>
      <c r="O390" s="367" cm="1">
        <f t="array" ref="O390">+_xlfn.SWITCH(MONTH(C390),1,1,2,1,3,1,4,2,5,2,6,3,7,3,8,3,9,3,10,2,11,2,12,1,2)</f>
        <v>1</v>
      </c>
      <c r="P390" s="43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</row>
    <row r="391" spans="1:73" ht="18" x14ac:dyDescent="0.35">
      <c r="A391" s="43"/>
      <c r="C391" s="393"/>
      <c r="E391" s="394"/>
      <c r="F391" s="394"/>
      <c r="G391" s="394"/>
      <c r="H391" s="8" t="s">
        <v>61</v>
      </c>
      <c r="I391" s="364">
        <f t="shared" si="19"/>
        <v>0</v>
      </c>
      <c r="J391" s="365">
        <f t="shared" si="18"/>
        <v>0</v>
      </c>
      <c r="K391" s="366">
        <f t="shared" si="20"/>
        <v>6</v>
      </c>
      <c r="L391" s="366">
        <f>+IF((C391&gt;='Resultats - informe'!$E$16)*(C391&lt;='Resultats - informe'!$G$16),1,0)</f>
        <v>1</v>
      </c>
      <c r="M391" s="366" cm="1">
        <f t="array" ref="M391">+_xlfn.IFS((C391&gt;='Resultats - informe'!$D$26)*(C391&lt;='Resultats - informe'!$E$26),0,(C391&gt;='Resultats - informe'!$D$27)*(C391&lt;='Resultats - informe'!$E$27),0,(C391&gt;='Resultats - informe'!$D$28)*(C391&lt;='Resultats - informe'!$E$28),0,(C391&gt;='Resultats - informe'!$D$29)*(C391&lt;='Resultats - informe'!$E$29),0,1,1)</f>
        <v>0</v>
      </c>
      <c r="N391" s="366">
        <f>+VLOOKUP(D391,'Resultats - informe'!$Y$18:$AG$42,'Introducció dades consum'!K391+1,0)</f>
        <v>0</v>
      </c>
      <c r="O391" s="367" cm="1">
        <f t="array" ref="O391">+_xlfn.SWITCH(MONTH(C391),1,1,2,1,3,1,4,2,5,2,6,3,7,3,8,3,9,3,10,2,11,2,12,1,2)</f>
        <v>1</v>
      </c>
      <c r="P391" s="43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</row>
    <row r="392" spans="1:73" ht="18" x14ac:dyDescent="0.35">
      <c r="A392" s="43"/>
      <c r="C392" s="393"/>
      <c r="E392" s="394"/>
      <c r="F392" s="394"/>
      <c r="G392" s="394"/>
      <c r="H392" s="8" t="s">
        <v>61</v>
      </c>
      <c r="I392" s="364">
        <f t="shared" si="19"/>
        <v>0</v>
      </c>
      <c r="J392" s="365">
        <f t="shared" si="18"/>
        <v>0</v>
      </c>
      <c r="K392" s="366">
        <f t="shared" si="20"/>
        <v>6</v>
      </c>
      <c r="L392" s="366">
        <f>+IF((C392&gt;='Resultats - informe'!$E$16)*(C392&lt;='Resultats - informe'!$G$16),1,0)</f>
        <v>1</v>
      </c>
      <c r="M392" s="366" cm="1">
        <f t="array" ref="M392">+_xlfn.IFS((C392&gt;='Resultats - informe'!$D$26)*(C392&lt;='Resultats - informe'!$E$26),0,(C392&gt;='Resultats - informe'!$D$27)*(C392&lt;='Resultats - informe'!$E$27),0,(C392&gt;='Resultats - informe'!$D$28)*(C392&lt;='Resultats - informe'!$E$28),0,(C392&gt;='Resultats - informe'!$D$29)*(C392&lt;='Resultats - informe'!$E$29),0,1,1)</f>
        <v>0</v>
      </c>
      <c r="N392" s="366">
        <f>+VLOOKUP(D392,'Resultats - informe'!$Y$18:$AG$42,'Introducció dades consum'!K392+1,0)</f>
        <v>0</v>
      </c>
      <c r="O392" s="367" cm="1">
        <f t="array" ref="O392">+_xlfn.SWITCH(MONTH(C392),1,1,2,1,3,1,4,2,5,2,6,3,7,3,8,3,9,3,10,2,11,2,12,1,2)</f>
        <v>1</v>
      </c>
      <c r="P392" s="43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</row>
    <row r="393" spans="1:73" ht="18" x14ac:dyDescent="0.35">
      <c r="A393" s="43"/>
      <c r="C393" s="393"/>
      <c r="E393" s="394"/>
      <c r="F393" s="394"/>
      <c r="G393" s="394"/>
      <c r="H393" s="8" t="s">
        <v>61</v>
      </c>
      <c r="I393" s="364">
        <f t="shared" si="19"/>
        <v>0</v>
      </c>
      <c r="J393" s="365">
        <f t="shared" si="18"/>
        <v>0</v>
      </c>
      <c r="K393" s="366">
        <f t="shared" si="20"/>
        <v>6</v>
      </c>
      <c r="L393" s="366">
        <f>+IF((C393&gt;='Resultats - informe'!$E$16)*(C393&lt;='Resultats - informe'!$G$16),1,0)</f>
        <v>1</v>
      </c>
      <c r="M393" s="366" cm="1">
        <f t="array" ref="M393">+_xlfn.IFS((C393&gt;='Resultats - informe'!$D$26)*(C393&lt;='Resultats - informe'!$E$26),0,(C393&gt;='Resultats - informe'!$D$27)*(C393&lt;='Resultats - informe'!$E$27),0,(C393&gt;='Resultats - informe'!$D$28)*(C393&lt;='Resultats - informe'!$E$28),0,(C393&gt;='Resultats - informe'!$D$29)*(C393&lt;='Resultats - informe'!$E$29),0,1,1)</f>
        <v>0</v>
      </c>
      <c r="N393" s="366">
        <f>+VLOOKUP(D393,'Resultats - informe'!$Y$18:$AG$42,'Introducció dades consum'!K393+1,0)</f>
        <v>0</v>
      </c>
      <c r="O393" s="367" cm="1">
        <f t="array" ref="O393">+_xlfn.SWITCH(MONTH(C393),1,1,2,1,3,1,4,2,5,2,6,3,7,3,8,3,9,3,10,2,11,2,12,1,2)</f>
        <v>1</v>
      </c>
      <c r="P393" s="43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</row>
    <row r="394" spans="1:73" ht="18" x14ac:dyDescent="0.35">
      <c r="A394" s="43"/>
      <c r="C394" s="393"/>
      <c r="E394" s="394"/>
      <c r="F394" s="394"/>
      <c r="G394" s="394"/>
      <c r="H394" s="8" t="s">
        <v>61</v>
      </c>
      <c r="I394" s="364">
        <f t="shared" si="19"/>
        <v>0</v>
      </c>
      <c r="J394" s="365">
        <f t="shared" si="18"/>
        <v>0</v>
      </c>
      <c r="K394" s="366">
        <f t="shared" si="20"/>
        <v>6</v>
      </c>
      <c r="L394" s="366">
        <f>+IF((C394&gt;='Resultats - informe'!$E$16)*(C394&lt;='Resultats - informe'!$G$16),1,0)</f>
        <v>1</v>
      </c>
      <c r="M394" s="366" cm="1">
        <f t="array" ref="M394">+_xlfn.IFS((C394&gt;='Resultats - informe'!$D$26)*(C394&lt;='Resultats - informe'!$E$26),0,(C394&gt;='Resultats - informe'!$D$27)*(C394&lt;='Resultats - informe'!$E$27),0,(C394&gt;='Resultats - informe'!$D$28)*(C394&lt;='Resultats - informe'!$E$28),0,(C394&gt;='Resultats - informe'!$D$29)*(C394&lt;='Resultats - informe'!$E$29),0,1,1)</f>
        <v>0</v>
      </c>
      <c r="N394" s="366">
        <f>+VLOOKUP(D394,'Resultats - informe'!$Y$18:$AG$42,'Introducció dades consum'!K394+1,0)</f>
        <v>0</v>
      </c>
      <c r="O394" s="367" cm="1">
        <f t="array" ref="O394">+_xlfn.SWITCH(MONTH(C394),1,1,2,1,3,1,4,2,5,2,6,3,7,3,8,3,9,3,10,2,11,2,12,1,2)</f>
        <v>1</v>
      </c>
      <c r="P394" s="43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</row>
    <row r="395" spans="1:73" ht="18" x14ac:dyDescent="0.35">
      <c r="A395" s="43"/>
      <c r="C395" s="393"/>
      <c r="E395" s="394"/>
      <c r="F395" s="394"/>
      <c r="G395" s="394"/>
      <c r="H395" s="8" t="s">
        <v>61</v>
      </c>
      <c r="I395" s="364">
        <f t="shared" si="19"/>
        <v>0</v>
      </c>
      <c r="J395" s="365">
        <f t="shared" si="18"/>
        <v>0</v>
      </c>
      <c r="K395" s="366">
        <f t="shared" si="20"/>
        <v>6</v>
      </c>
      <c r="L395" s="366">
        <f>+IF((C395&gt;='Resultats - informe'!$E$16)*(C395&lt;='Resultats - informe'!$G$16),1,0)</f>
        <v>1</v>
      </c>
      <c r="M395" s="366" cm="1">
        <f t="array" ref="M395">+_xlfn.IFS((C395&gt;='Resultats - informe'!$D$26)*(C395&lt;='Resultats - informe'!$E$26),0,(C395&gt;='Resultats - informe'!$D$27)*(C395&lt;='Resultats - informe'!$E$27),0,(C395&gt;='Resultats - informe'!$D$28)*(C395&lt;='Resultats - informe'!$E$28),0,(C395&gt;='Resultats - informe'!$D$29)*(C395&lt;='Resultats - informe'!$E$29),0,1,1)</f>
        <v>0</v>
      </c>
      <c r="N395" s="366">
        <f>+VLOOKUP(D395,'Resultats - informe'!$Y$18:$AG$42,'Introducció dades consum'!K395+1,0)</f>
        <v>0</v>
      </c>
      <c r="O395" s="367" cm="1">
        <f t="array" ref="O395">+_xlfn.SWITCH(MONTH(C395),1,1,2,1,3,1,4,2,5,2,6,3,7,3,8,3,9,3,10,2,11,2,12,1,2)</f>
        <v>1</v>
      </c>
      <c r="P395" s="43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</row>
    <row r="396" spans="1:73" ht="18" x14ac:dyDescent="0.35">
      <c r="A396" s="43"/>
      <c r="C396" s="393"/>
      <c r="E396" s="394"/>
      <c r="F396" s="394"/>
      <c r="G396" s="394"/>
      <c r="H396" s="8" t="s">
        <v>61</v>
      </c>
      <c r="I396" s="364">
        <f t="shared" si="19"/>
        <v>0</v>
      </c>
      <c r="J396" s="365">
        <f t="shared" si="18"/>
        <v>0</v>
      </c>
      <c r="K396" s="366">
        <f t="shared" si="20"/>
        <v>6</v>
      </c>
      <c r="L396" s="366">
        <f>+IF((C396&gt;='Resultats - informe'!$E$16)*(C396&lt;='Resultats - informe'!$G$16),1,0)</f>
        <v>1</v>
      </c>
      <c r="M396" s="366" cm="1">
        <f t="array" ref="M396">+_xlfn.IFS((C396&gt;='Resultats - informe'!$D$26)*(C396&lt;='Resultats - informe'!$E$26),0,(C396&gt;='Resultats - informe'!$D$27)*(C396&lt;='Resultats - informe'!$E$27),0,(C396&gt;='Resultats - informe'!$D$28)*(C396&lt;='Resultats - informe'!$E$28),0,(C396&gt;='Resultats - informe'!$D$29)*(C396&lt;='Resultats - informe'!$E$29),0,1,1)</f>
        <v>0</v>
      </c>
      <c r="N396" s="366">
        <f>+VLOOKUP(D396,'Resultats - informe'!$Y$18:$AG$42,'Introducció dades consum'!K396+1,0)</f>
        <v>0</v>
      </c>
      <c r="O396" s="367" cm="1">
        <f t="array" ref="O396">+_xlfn.SWITCH(MONTH(C396),1,1,2,1,3,1,4,2,5,2,6,3,7,3,8,3,9,3,10,2,11,2,12,1,2)</f>
        <v>1</v>
      </c>
      <c r="P396" s="43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</row>
    <row r="397" spans="1:73" ht="18" x14ac:dyDescent="0.35">
      <c r="A397" s="43"/>
      <c r="C397" s="393"/>
      <c r="E397" s="394"/>
      <c r="F397" s="394"/>
      <c r="G397" s="394"/>
      <c r="H397" s="8" t="s">
        <v>61</v>
      </c>
      <c r="I397" s="364">
        <f t="shared" si="19"/>
        <v>0</v>
      </c>
      <c r="J397" s="365">
        <f t="shared" si="18"/>
        <v>0</v>
      </c>
      <c r="K397" s="366">
        <f t="shared" si="20"/>
        <v>6</v>
      </c>
      <c r="L397" s="366">
        <f>+IF((C397&gt;='Resultats - informe'!$E$16)*(C397&lt;='Resultats - informe'!$G$16),1,0)</f>
        <v>1</v>
      </c>
      <c r="M397" s="366" cm="1">
        <f t="array" ref="M397">+_xlfn.IFS((C397&gt;='Resultats - informe'!$D$26)*(C397&lt;='Resultats - informe'!$E$26),0,(C397&gt;='Resultats - informe'!$D$27)*(C397&lt;='Resultats - informe'!$E$27),0,(C397&gt;='Resultats - informe'!$D$28)*(C397&lt;='Resultats - informe'!$E$28),0,(C397&gt;='Resultats - informe'!$D$29)*(C397&lt;='Resultats - informe'!$E$29),0,1,1)</f>
        <v>0</v>
      </c>
      <c r="N397" s="366">
        <f>+VLOOKUP(D397,'Resultats - informe'!$Y$18:$AG$42,'Introducció dades consum'!K397+1,0)</f>
        <v>0</v>
      </c>
      <c r="O397" s="367" cm="1">
        <f t="array" ref="O397">+_xlfn.SWITCH(MONTH(C397),1,1,2,1,3,1,4,2,5,2,6,3,7,3,8,3,9,3,10,2,11,2,12,1,2)</f>
        <v>1</v>
      </c>
      <c r="P397" s="43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</row>
    <row r="398" spans="1:73" ht="18" x14ac:dyDescent="0.35">
      <c r="A398" s="43"/>
      <c r="C398" s="393"/>
      <c r="E398" s="394"/>
      <c r="F398" s="394"/>
      <c r="G398" s="394"/>
      <c r="H398" s="8" t="s">
        <v>61</v>
      </c>
      <c r="I398" s="364">
        <f t="shared" si="19"/>
        <v>0</v>
      </c>
      <c r="J398" s="365">
        <f t="shared" si="18"/>
        <v>0</v>
      </c>
      <c r="K398" s="366">
        <f t="shared" si="20"/>
        <v>6</v>
      </c>
      <c r="L398" s="366">
        <f>+IF((C398&gt;='Resultats - informe'!$E$16)*(C398&lt;='Resultats - informe'!$G$16),1,0)</f>
        <v>1</v>
      </c>
      <c r="M398" s="366" cm="1">
        <f t="array" ref="M398">+_xlfn.IFS((C398&gt;='Resultats - informe'!$D$26)*(C398&lt;='Resultats - informe'!$E$26),0,(C398&gt;='Resultats - informe'!$D$27)*(C398&lt;='Resultats - informe'!$E$27),0,(C398&gt;='Resultats - informe'!$D$28)*(C398&lt;='Resultats - informe'!$E$28),0,(C398&gt;='Resultats - informe'!$D$29)*(C398&lt;='Resultats - informe'!$E$29),0,1,1)</f>
        <v>0</v>
      </c>
      <c r="N398" s="366">
        <f>+VLOOKUP(D398,'Resultats - informe'!$Y$18:$AG$42,'Introducció dades consum'!K398+1,0)</f>
        <v>0</v>
      </c>
      <c r="O398" s="367" cm="1">
        <f t="array" ref="O398">+_xlfn.SWITCH(MONTH(C398),1,1,2,1,3,1,4,2,5,2,6,3,7,3,8,3,9,3,10,2,11,2,12,1,2)</f>
        <v>1</v>
      </c>
      <c r="P398" s="43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</row>
    <row r="399" spans="1:73" ht="18" x14ac:dyDescent="0.35">
      <c r="A399" s="43"/>
      <c r="C399" s="393"/>
      <c r="E399" s="394"/>
      <c r="F399" s="394"/>
      <c r="G399" s="394"/>
      <c r="H399" s="8" t="s">
        <v>61</v>
      </c>
      <c r="I399" s="364">
        <f t="shared" si="19"/>
        <v>0</v>
      </c>
      <c r="J399" s="365">
        <f t="shared" si="18"/>
        <v>0</v>
      </c>
      <c r="K399" s="366">
        <f t="shared" si="20"/>
        <v>6</v>
      </c>
      <c r="L399" s="366">
        <f>+IF((C399&gt;='Resultats - informe'!$E$16)*(C399&lt;='Resultats - informe'!$G$16),1,0)</f>
        <v>1</v>
      </c>
      <c r="M399" s="366" cm="1">
        <f t="array" ref="M399">+_xlfn.IFS((C399&gt;='Resultats - informe'!$D$26)*(C399&lt;='Resultats - informe'!$E$26),0,(C399&gt;='Resultats - informe'!$D$27)*(C399&lt;='Resultats - informe'!$E$27),0,(C399&gt;='Resultats - informe'!$D$28)*(C399&lt;='Resultats - informe'!$E$28),0,(C399&gt;='Resultats - informe'!$D$29)*(C399&lt;='Resultats - informe'!$E$29),0,1,1)</f>
        <v>0</v>
      </c>
      <c r="N399" s="366">
        <f>+VLOOKUP(D399,'Resultats - informe'!$Y$18:$AG$42,'Introducció dades consum'!K399+1,0)</f>
        <v>0</v>
      </c>
      <c r="O399" s="367" cm="1">
        <f t="array" ref="O399">+_xlfn.SWITCH(MONTH(C399),1,1,2,1,3,1,4,2,5,2,6,3,7,3,8,3,9,3,10,2,11,2,12,1,2)</f>
        <v>1</v>
      </c>
      <c r="P399" s="43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</row>
    <row r="400" spans="1:73" ht="18" x14ac:dyDescent="0.35">
      <c r="A400" s="43"/>
      <c r="C400" s="393"/>
      <c r="E400" s="394"/>
      <c r="F400" s="394"/>
      <c r="G400" s="394"/>
      <c r="H400" s="8" t="s">
        <v>61</v>
      </c>
      <c r="I400" s="364">
        <f t="shared" si="19"/>
        <v>0</v>
      </c>
      <c r="J400" s="365">
        <f t="shared" si="18"/>
        <v>0</v>
      </c>
      <c r="K400" s="366">
        <f t="shared" si="20"/>
        <v>6</v>
      </c>
      <c r="L400" s="366">
        <f>+IF((C400&gt;='Resultats - informe'!$E$16)*(C400&lt;='Resultats - informe'!$G$16),1,0)</f>
        <v>1</v>
      </c>
      <c r="M400" s="366" cm="1">
        <f t="array" ref="M400">+_xlfn.IFS((C400&gt;='Resultats - informe'!$D$26)*(C400&lt;='Resultats - informe'!$E$26),0,(C400&gt;='Resultats - informe'!$D$27)*(C400&lt;='Resultats - informe'!$E$27),0,(C400&gt;='Resultats - informe'!$D$28)*(C400&lt;='Resultats - informe'!$E$28),0,(C400&gt;='Resultats - informe'!$D$29)*(C400&lt;='Resultats - informe'!$E$29),0,1,1)</f>
        <v>0</v>
      </c>
      <c r="N400" s="366">
        <f>+VLOOKUP(D400,'Resultats - informe'!$Y$18:$AG$42,'Introducció dades consum'!K400+1,0)</f>
        <v>0</v>
      </c>
      <c r="O400" s="367" cm="1">
        <f t="array" ref="O400">+_xlfn.SWITCH(MONTH(C400),1,1,2,1,3,1,4,2,5,2,6,3,7,3,8,3,9,3,10,2,11,2,12,1,2)</f>
        <v>1</v>
      </c>
      <c r="P400" s="43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</row>
    <row r="401" spans="1:73" ht="18" x14ac:dyDescent="0.35">
      <c r="A401" s="43"/>
      <c r="C401" s="393"/>
      <c r="E401" s="394"/>
      <c r="F401" s="394"/>
      <c r="G401" s="394"/>
      <c r="H401" s="8" t="s">
        <v>61</v>
      </c>
      <c r="I401" s="364">
        <f t="shared" si="19"/>
        <v>0</v>
      </c>
      <c r="J401" s="365">
        <f t="shared" si="18"/>
        <v>0</v>
      </c>
      <c r="K401" s="366">
        <f t="shared" si="20"/>
        <v>6</v>
      </c>
      <c r="L401" s="366">
        <f>+IF((C401&gt;='Resultats - informe'!$E$16)*(C401&lt;='Resultats - informe'!$G$16),1,0)</f>
        <v>1</v>
      </c>
      <c r="M401" s="366" cm="1">
        <f t="array" ref="M401">+_xlfn.IFS((C401&gt;='Resultats - informe'!$D$26)*(C401&lt;='Resultats - informe'!$E$26),0,(C401&gt;='Resultats - informe'!$D$27)*(C401&lt;='Resultats - informe'!$E$27),0,(C401&gt;='Resultats - informe'!$D$28)*(C401&lt;='Resultats - informe'!$E$28),0,(C401&gt;='Resultats - informe'!$D$29)*(C401&lt;='Resultats - informe'!$E$29),0,1,1)</f>
        <v>0</v>
      </c>
      <c r="N401" s="366">
        <f>+VLOOKUP(D401,'Resultats - informe'!$Y$18:$AG$42,'Introducció dades consum'!K401+1,0)</f>
        <v>0</v>
      </c>
      <c r="O401" s="367" cm="1">
        <f t="array" ref="O401">+_xlfn.SWITCH(MONTH(C401),1,1,2,1,3,1,4,2,5,2,6,3,7,3,8,3,9,3,10,2,11,2,12,1,2)</f>
        <v>1</v>
      </c>
      <c r="P401" s="43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</row>
    <row r="402" spans="1:73" ht="18" x14ac:dyDescent="0.35">
      <c r="A402" s="43"/>
      <c r="C402" s="393"/>
      <c r="E402" s="394"/>
      <c r="F402" s="394"/>
      <c r="G402" s="394"/>
      <c r="H402" s="8" t="s">
        <v>61</v>
      </c>
      <c r="I402" s="364">
        <f t="shared" si="19"/>
        <v>0</v>
      </c>
      <c r="J402" s="365">
        <f t="shared" si="18"/>
        <v>0</v>
      </c>
      <c r="K402" s="366">
        <f t="shared" si="20"/>
        <v>6</v>
      </c>
      <c r="L402" s="366">
        <f>+IF((C402&gt;='Resultats - informe'!$E$16)*(C402&lt;='Resultats - informe'!$G$16),1,0)</f>
        <v>1</v>
      </c>
      <c r="M402" s="366" cm="1">
        <f t="array" ref="M402">+_xlfn.IFS((C402&gt;='Resultats - informe'!$D$26)*(C402&lt;='Resultats - informe'!$E$26),0,(C402&gt;='Resultats - informe'!$D$27)*(C402&lt;='Resultats - informe'!$E$27),0,(C402&gt;='Resultats - informe'!$D$28)*(C402&lt;='Resultats - informe'!$E$28),0,(C402&gt;='Resultats - informe'!$D$29)*(C402&lt;='Resultats - informe'!$E$29),0,1,1)</f>
        <v>0</v>
      </c>
      <c r="N402" s="366">
        <f>+VLOOKUP(D402,'Resultats - informe'!$Y$18:$AG$42,'Introducció dades consum'!K402+1,0)</f>
        <v>0</v>
      </c>
      <c r="O402" s="367" cm="1">
        <f t="array" ref="O402">+_xlfn.SWITCH(MONTH(C402),1,1,2,1,3,1,4,2,5,2,6,3,7,3,8,3,9,3,10,2,11,2,12,1,2)</f>
        <v>1</v>
      </c>
      <c r="P402" s="43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</row>
    <row r="403" spans="1:73" ht="18" x14ac:dyDescent="0.35">
      <c r="A403" s="43"/>
      <c r="C403" s="393"/>
      <c r="E403" s="394"/>
      <c r="F403" s="394"/>
      <c r="G403" s="394"/>
      <c r="H403" s="8" t="s">
        <v>61</v>
      </c>
      <c r="I403" s="364">
        <f t="shared" si="19"/>
        <v>0</v>
      </c>
      <c r="J403" s="365">
        <f t="shared" si="18"/>
        <v>0</v>
      </c>
      <c r="K403" s="366">
        <f t="shared" si="20"/>
        <v>6</v>
      </c>
      <c r="L403" s="366">
        <f>+IF((C403&gt;='Resultats - informe'!$E$16)*(C403&lt;='Resultats - informe'!$G$16),1,0)</f>
        <v>1</v>
      </c>
      <c r="M403" s="366" cm="1">
        <f t="array" ref="M403">+_xlfn.IFS((C403&gt;='Resultats - informe'!$D$26)*(C403&lt;='Resultats - informe'!$E$26),0,(C403&gt;='Resultats - informe'!$D$27)*(C403&lt;='Resultats - informe'!$E$27),0,(C403&gt;='Resultats - informe'!$D$28)*(C403&lt;='Resultats - informe'!$E$28),0,(C403&gt;='Resultats - informe'!$D$29)*(C403&lt;='Resultats - informe'!$E$29),0,1,1)</f>
        <v>0</v>
      </c>
      <c r="N403" s="366">
        <f>+VLOOKUP(D403,'Resultats - informe'!$Y$18:$AG$42,'Introducció dades consum'!K403+1,0)</f>
        <v>0</v>
      </c>
      <c r="O403" s="367" cm="1">
        <f t="array" ref="O403">+_xlfn.SWITCH(MONTH(C403),1,1,2,1,3,1,4,2,5,2,6,3,7,3,8,3,9,3,10,2,11,2,12,1,2)</f>
        <v>1</v>
      </c>
      <c r="P403" s="43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</row>
    <row r="404" spans="1:73" ht="18" x14ac:dyDescent="0.35">
      <c r="A404" s="43"/>
      <c r="C404" s="393"/>
      <c r="E404" s="394"/>
      <c r="F404" s="394"/>
      <c r="G404" s="394"/>
      <c r="H404" s="8" t="s">
        <v>61</v>
      </c>
      <c r="I404" s="364">
        <f t="shared" si="19"/>
        <v>0</v>
      </c>
      <c r="J404" s="365">
        <f t="shared" si="18"/>
        <v>0</v>
      </c>
      <c r="K404" s="366">
        <f t="shared" si="20"/>
        <v>6</v>
      </c>
      <c r="L404" s="366">
        <f>+IF((C404&gt;='Resultats - informe'!$E$16)*(C404&lt;='Resultats - informe'!$G$16),1,0)</f>
        <v>1</v>
      </c>
      <c r="M404" s="366" cm="1">
        <f t="array" ref="M404">+_xlfn.IFS((C404&gt;='Resultats - informe'!$D$26)*(C404&lt;='Resultats - informe'!$E$26),0,(C404&gt;='Resultats - informe'!$D$27)*(C404&lt;='Resultats - informe'!$E$27),0,(C404&gt;='Resultats - informe'!$D$28)*(C404&lt;='Resultats - informe'!$E$28),0,(C404&gt;='Resultats - informe'!$D$29)*(C404&lt;='Resultats - informe'!$E$29),0,1,1)</f>
        <v>0</v>
      </c>
      <c r="N404" s="366">
        <f>+VLOOKUP(D404,'Resultats - informe'!$Y$18:$AG$42,'Introducció dades consum'!K404+1,0)</f>
        <v>0</v>
      </c>
      <c r="O404" s="367" cm="1">
        <f t="array" ref="O404">+_xlfn.SWITCH(MONTH(C404),1,1,2,1,3,1,4,2,5,2,6,3,7,3,8,3,9,3,10,2,11,2,12,1,2)</f>
        <v>1</v>
      </c>
      <c r="P404" s="43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</row>
    <row r="405" spans="1:73" ht="18" x14ac:dyDescent="0.35">
      <c r="A405" s="43"/>
      <c r="C405" s="393"/>
      <c r="E405" s="394"/>
      <c r="F405" s="394"/>
      <c r="G405" s="394"/>
      <c r="H405" s="8" t="s">
        <v>61</v>
      </c>
      <c r="I405" s="364">
        <f t="shared" si="19"/>
        <v>0</v>
      </c>
      <c r="J405" s="365">
        <f t="shared" si="18"/>
        <v>0</v>
      </c>
      <c r="K405" s="366">
        <f t="shared" si="20"/>
        <v>6</v>
      </c>
      <c r="L405" s="366">
        <f>+IF((C405&gt;='Resultats - informe'!$E$16)*(C405&lt;='Resultats - informe'!$G$16),1,0)</f>
        <v>1</v>
      </c>
      <c r="M405" s="366" cm="1">
        <f t="array" ref="M405">+_xlfn.IFS((C405&gt;='Resultats - informe'!$D$26)*(C405&lt;='Resultats - informe'!$E$26),0,(C405&gt;='Resultats - informe'!$D$27)*(C405&lt;='Resultats - informe'!$E$27),0,(C405&gt;='Resultats - informe'!$D$28)*(C405&lt;='Resultats - informe'!$E$28),0,(C405&gt;='Resultats - informe'!$D$29)*(C405&lt;='Resultats - informe'!$E$29),0,1,1)</f>
        <v>0</v>
      </c>
      <c r="N405" s="366">
        <f>+VLOOKUP(D405,'Resultats - informe'!$Y$18:$AG$42,'Introducció dades consum'!K405+1,0)</f>
        <v>0</v>
      </c>
      <c r="O405" s="367" cm="1">
        <f t="array" ref="O405">+_xlfn.SWITCH(MONTH(C405),1,1,2,1,3,1,4,2,5,2,6,3,7,3,8,3,9,3,10,2,11,2,12,1,2)</f>
        <v>1</v>
      </c>
      <c r="P405" s="43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</row>
    <row r="406" spans="1:73" ht="18" x14ac:dyDescent="0.35">
      <c r="A406" s="43"/>
      <c r="C406" s="393"/>
      <c r="E406" s="394"/>
      <c r="F406" s="394"/>
      <c r="G406" s="394"/>
      <c r="H406" s="8" t="s">
        <v>61</v>
      </c>
      <c r="I406" s="364">
        <f t="shared" si="19"/>
        <v>0</v>
      </c>
      <c r="J406" s="365">
        <f t="shared" si="18"/>
        <v>0</v>
      </c>
      <c r="K406" s="366">
        <f t="shared" si="20"/>
        <v>6</v>
      </c>
      <c r="L406" s="366">
        <f>+IF((C406&gt;='Resultats - informe'!$E$16)*(C406&lt;='Resultats - informe'!$G$16),1,0)</f>
        <v>1</v>
      </c>
      <c r="M406" s="366" cm="1">
        <f t="array" ref="M406">+_xlfn.IFS((C406&gt;='Resultats - informe'!$D$26)*(C406&lt;='Resultats - informe'!$E$26),0,(C406&gt;='Resultats - informe'!$D$27)*(C406&lt;='Resultats - informe'!$E$27),0,(C406&gt;='Resultats - informe'!$D$28)*(C406&lt;='Resultats - informe'!$E$28),0,(C406&gt;='Resultats - informe'!$D$29)*(C406&lt;='Resultats - informe'!$E$29),0,1,1)</f>
        <v>0</v>
      </c>
      <c r="N406" s="366">
        <f>+VLOOKUP(D406,'Resultats - informe'!$Y$18:$AG$42,'Introducció dades consum'!K406+1,0)</f>
        <v>0</v>
      </c>
      <c r="O406" s="367" cm="1">
        <f t="array" ref="O406">+_xlfn.SWITCH(MONTH(C406),1,1,2,1,3,1,4,2,5,2,6,3,7,3,8,3,9,3,10,2,11,2,12,1,2)</f>
        <v>1</v>
      </c>
      <c r="P406" s="43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</row>
    <row r="407" spans="1:73" ht="18" x14ac:dyDescent="0.35">
      <c r="A407" s="43"/>
      <c r="C407" s="393"/>
      <c r="E407" s="394"/>
      <c r="F407" s="394"/>
      <c r="G407" s="394"/>
      <c r="H407" s="8" t="s">
        <v>61</v>
      </c>
      <c r="I407" s="364">
        <f t="shared" si="19"/>
        <v>0</v>
      </c>
      <c r="J407" s="365">
        <f t="shared" si="18"/>
        <v>0</v>
      </c>
      <c r="K407" s="366">
        <f t="shared" si="20"/>
        <v>6</v>
      </c>
      <c r="L407" s="366">
        <f>+IF((C407&gt;='Resultats - informe'!$E$16)*(C407&lt;='Resultats - informe'!$G$16),1,0)</f>
        <v>1</v>
      </c>
      <c r="M407" s="366" cm="1">
        <f t="array" ref="M407">+_xlfn.IFS((C407&gt;='Resultats - informe'!$D$26)*(C407&lt;='Resultats - informe'!$E$26),0,(C407&gt;='Resultats - informe'!$D$27)*(C407&lt;='Resultats - informe'!$E$27),0,(C407&gt;='Resultats - informe'!$D$28)*(C407&lt;='Resultats - informe'!$E$28),0,(C407&gt;='Resultats - informe'!$D$29)*(C407&lt;='Resultats - informe'!$E$29),0,1,1)</f>
        <v>0</v>
      </c>
      <c r="N407" s="366">
        <f>+VLOOKUP(D407,'Resultats - informe'!$Y$18:$AG$42,'Introducció dades consum'!K407+1,0)</f>
        <v>0</v>
      </c>
      <c r="O407" s="367" cm="1">
        <f t="array" ref="O407">+_xlfn.SWITCH(MONTH(C407),1,1,2,1,3,1,4,2,5,2,6,3,7,3,8,3,9,3,10,2,11,2,12,1,2)</f>
        <v>1</v>
      </c>
      <c r="P407" s="43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</row>
    <row r="408" spans="1:73" ht="18" x14ac:dyDescent="0.35">
      <c r="A408" s="43"/>
      <c r="C408" s="393"/>
      <c r="E408" s="394"/>
      <c r="F408" s="394"/>
      <c r="G408" s="394"/>
      <c r="H408" s="8" t="s">
        <v>61</v>
      </c>
      <c r="I408" s="364">
        <f t="shared" si="19"/>
        <v>0</v>
      </c>
      <c r="J408" s="365">
        <f t="shared" si="18"/>
        <v>0</v>
      </c>
      <c r="K408" s="366">
        <f t="shared" si="20"/>
        <v>6</v>
      </c>
      <c r="L408" s="366">
        <f>+IF((C408&gt;='Resultats - informe'!$E$16)*(C408&lt;='Resultats - informe'!$G$16),1,0)</f>
        <v>1</v>
      </c>
      <c r="M408" s="366" cm="1">
        <f t="array" ref="M408">+_xlfn.IFS((C408&gt;='Resultats - informe'!$D$26)*(C408&lt;='Resultats - informe'!$E$26),0,(C408&gt;='Resultats - informe'!$D$27)*(C408&lt;='Resultats - informe'!$E$27),0,(C408&gt;='Resultats - informe'!$D$28)*(C408&lt;='Resultats - informe'!$E$28),0,(C408&gt;='Resultats - informe'!$D$29)*(C408&lt;='Resultats - informe'!$E$29),0,1,1)</f>
        <v>0</v>
      </c>
      <c r="N408" s="366">
        <f>+VLOOKUP(D408,'Resultats - informe'!$Y$18:$AG$42,'Introducció dades consum'!K408+1,0)</f>
        <v>0</v>
      </c>
      <c r="O408" s="367" cm="1">
        <f t="array" ref="O408">+_xlfn.SWITCH(MONTH(C408),1,1,2,1,3,1,4,2,5,2,6,3,7,3,8,3,9,3,10,2,11,2,12,1,2)</f>
        <v>1</v>
      </c>
      <c r="P408" s="43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</row>
    <row r="409" spans="1:73" ht="18" x14ac:dyDescent="0.35">
      <c r="A409" s="43"/>
      <c r="C409" s="393"/>
      <c r="E409" s="394"/>
      <c r="F409" s="394"/>
      <c r="G409" s="394"/>
      <c r="H409" s="8" t="s">
        <v>61</v>
      </c>
      <c r="I409" s="364">
        <f t="shared" si="19"/>
        <v>0</v>
      </c>
      <c r="J409" s="365">
        <f t="shared" si="18"/>
        <v>0</v>
      </c>
      <c r="K409" s="366">
        <f t="shared" si="20"/>
        <v>6</v>
      </c>
      <c r="L409" s="366">
        <f>+IF((C409&gt;='Resultats - informe'!$E$16)*(C409&lt;='Resultats - informe'!$G$16),1,0)</f>
        <v>1</v>
      </c>
      <c r="M409" s="366" cm="1">
        <f t="array" ref="M409">+_xlfn.IFS((C409&gt;='Resultats - informe'!$D$26)*(C409&lt;='Resultats - informe'!$E$26),0,(C409&gt;='Resultats - informe'!$D$27)*(C409&lt;='Resultats - informe'!$E$27),0,(C409&gt;='Resultats - informe'!$D$28)*(C409&lt;='Resultats - informe'!$E$28),0,(C409&gt;='Resultats - informe'!$D$29)*(C409&lt;='Resultats - informe'!$E$29),0,1,1)</f>
        <v>0</v>
      </c>
      <c r="N409" s="366">
        <f>+VLOOKUP(D409,'Resultats - informe'!$Y$18:$AG$42,'Introducció dades consum'!K409+1,0)</f>
        <v>0</v>
      </c>
      <c r="O409" s="367" cm="1">
        <f t="array" ref="O409">+_xlfn.SWITCH(MONTH(C409),1,1,2,1,3,1,4,2,5,2,6,3,7,3,8,3,9,3,10,2,11,2,12,1,2)</f>
        <v>1</v>
      </c>
      <c r="P409" s="43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</row>
    <row r="410" spans="1:73" ht="18" x14ac:dyDescent="0.35">
      <c r="A410" s="43"/>
      <c r="C410" s="393"/>
      <c r="E410" s="394"/>
      <c r="F410" s="394"/>
      <c r="G410" s="394"/>
      <c r="H410" s="8" t="s">
        <v>61</v>
      </c>
      <c r="I410" s="364">
        <f t="shared" si="19"/>
        <v>0</v>
      </c>
      <c r="J410" s="365">
        <f t="shared" si="18"/>
        <v>0</v>
      </c>
      <c r="K410" s="366">
        <f t="shared" si="20"/>
        <v>6</v>
      </c>
      <c r="L410" s="366">
        <f>+IF((C410&gt;='Resultats - informe'!$E$16)*(C410&lt;='Resultats - informe'!$G$16),1,0)</f>
        <v>1</v>
      </c>
      <c r="M410" s="366" cm="1">
        <f t="array" ref="M410">+_xlfn.IFS((C410&gt;='Resultats - informe'!$D$26)*(C410&lt;='Resultats - informe'!$E$26),0,(C410&gt;='Resultats - informe'!$D$27)*(C410&lt;='Resultats - informe'!$E$27),0,(C410&gt;='Resultats - informe'!$D$28)*(C410&lt;='Resultats - informe'!$E$28),0,(C410&gt;='Resultats - informe'!$D$29)*(C410&lt;='Resultats - informe'!$E$29),0,1,1)</f>
        <v>0</v>
      </c>
      <c r="N410" s="366">
        <f>+VLOOKUP(D410,'Resultats - informe'!$Y$18:$AG$42,'Introducció dades consum'!K410+1,0)</f>
        <v>0</v>
      </c>
      <c r="O410" s="367" cm="1">
        <f t="array" ref="O410">+_xlfn.SWITCH(MONTH(C410),1,1,2,1,3,1,4,2,5,2,6,3,7,3,8,3,9,3,10,2,11,2,12,1,2)</f>
        <v>1</v>
      </c>
      <c r="P410" s="43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</row>
    <row r="411" spans="1:73" ht="18" x14ac:dyDescent="0.35">
      <c r="A411" s="43"/>
      <c r="C411" s="393"/>
      <c r="E411" s="394"/>
      <c r="F411" s="394"/>
      <c r="G411" s="394"/>
      <c r="H411" s="8" t="s">
        <v>61</v>
      </c>
      <c r="I411" s="364">
        <f t="shared" si="19"/>
        <v>0</v>
      </c>
      <c r="J411" s="365">
        <f t="shared" si="18"/>
        <v>0</v>
      </c>
      <c r="K411" s="366">
        <f t="shared" si="20"/>
        <v>6</v>
      </c>
      <c r="L411" s="366">
        <f>+IF((C411&gt;='Resultats - informe'!$E$16)*(C411&lt;='Resultats - informe'!$G$16),1,0)</f>
        <v>1</v>
      </c>
      <c r="M411" s="366" cm="1">
        <f t="array" ref="M411">+_xlfn.IFS((C411&gt;='Resultats - informe'!$D$26)*(C411&lt;='Resultats - informe'!$E$26),0,(C411&gt;='Resultats - informe'!$D$27)*(C411&lt;='Resultats - informe'!$E$27),0,(C411&gt;='Resultats - informe'!$D$28)*(C411&lt;='Resultats - informe'!$E$28),0,(C411&gt;='Resultats - informe'!$D$29)*(C411&lt;='Resultats - informe'!$E$29),0,1,1)</f>
        <v>0</v>
      </c>
      <c r="N411" s="366">
        <f>+VLOOKUP(D411,'Resultats - informe'!$Y$18:$AG$42,'Introducció dades consum'!K411+1,0)</f>
        <v>0</v>
      </c>
      <c r="O411" s="367" cm="1">
        <f t="array" ref="O411">+_xlfn.SWITCH(MONTH(C411),1,1,2,1,3,1,4,2,5,2,6,3,7,3,8,3,9,3,10,2,11,2,12,1,2)</f>
        <v>1</v>
      </c>
      <c r="P411" s="43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</row>
    <row r="412" spans="1:73" ht="18" x14ac:dyDescent="0.35">
      <c r="A412" s="43"/>
      <c r="C412" s="393"/>
      <c r="E412" s="394"/>
      <c r="F412" s="394"/>
      <c r="G412" s="394"/>
      <c r="H412" s="8" t="s">
        <v>61</v>
      </c>
      <c r="I412" s="364">
        <f t="shared" si="19"/>
        <v>0</v>
      </c>
      <c r="J412" s="365">
        <f t="shared" si="18"/>
        <v>0</v>
      </c>
      <c r="K412" s="366">
        <f t="shared" si="20"/>
        <v>6</v>
      </c>
      <c r="L412" s="366">
        <f>+IF((C412&gt;='Resultats - informe'!$E$16)*(C412&lt;='Resultats - informe'!$G$16),1,0)</f>
        <v>1</v>
      </c>
      <c r="M412" s="366" cm="1">
        <f t="array" ref="M412">+_xlfn.IFS((C412&gt;='Resultats - informe'!$D$26)*(C412&lt;='Resultats - informe'!$E$26),0,(C412&gt;='Resultats - informe'!$D$27)*(C412&lt;='Resultats - informe'!$E$27),0,(C412&gt;='Resultats - informe'!$D$28)*(C412&lt;='Resultats - informe'!$E$28),0,(C412&gt;='Resultats - informe'!$D$29)*(C412&lt;='Resultats - informe'!$E$29),0,1,1)</f>
        <v>0</v>
      </c>
      <c r="N412" s="366">
        <f>+VLOOKUP(D412,'Resultats - informe'!$Y$18:$AG$42,'Introducció dades consum'!K412+1,0)</f>
        <v>0</v>
      </c>
      <c r="O412" s="367" cm="1">
        <f t="array" ref="O412">+_xlfn.SWITCH(MONTH(C412),1,1,2,1,3,1,4,2,5,2,6,3,7,3,8,3,9,3,10,2,11,2,12,1,2)</f>
        <v>1</v>
      </c>
      <c r="P412" s="43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</row>
    <row r="413" spans="1:73" ht="18" x14ac:dyDescent="0.35">
      <c r="A413" s="43"/>
      <c r="C413" s="393"/>
      <c r="E413" s="394"/>
      <c r="F413" s="394"/>
      <c r="G413" s="394"/>
      <c r="H413" s="8" t="s">
        <v>61</v>
      </c>
      <c r="I413" s="364">
        <f t="shared" si="19"/>
        <v>0</v>
      </c>
      <c r="J413" s="365">
        <f t="shared" si="18"/>
        <v>0</v>
      </c>
      <c r="K413" s="366">
        <f t="shared" si="20"/>
        <v>6</v>
      </c>
      <c r="L413" s="366">
        <f>+IF((C413&gt;='Resultats - informe'!$E$16)*(C413&lt;='Resultats - informe'!$G$16),1,0)</f>
        <v>1</v>
      </c>
      <c r="M413" s="366" cm="1">
        <f t="array" ref="M413">+_xlfn.IFS((C413&gt;='Resultats - informe'!$D$26)*(C413&lt;='Resultats - informe'!$E$26),0,(C413&gt;='Resultats - informe'!$D$27)*(C413&lt;='Resultats - informe'!$E$27),0,(C413&gt;='Resultats - informe'!$D$28)*(C413&lt;='Resultats - informe'!$E$28),0,(C413&gt;='Resultats - informe'!$D$29)*(C413&lt;='Resultats - informe'!$E$29),0,1,1)</f>
        <v>0</v>
      </c>
      <c r="N413" s="366">
        <f>+VLOOKUP(D413,'Resultats - informe'!$Y$18:$AG$42,'Introducció dades consum'!K413+1,0)</f>
        <v>0</v>
      </c>
      <c r="O413" s="367" cm="1">
        <f t="array" ref="O413">+_xlfn.SWITCH(MONTH(C413),1,1,2,1,3,1,4,2,5,2,6,3,7,3,8,3,9,3,10,2,11,2,12,1,2)</f>
        <v>1</v>
      </c>
      <c r="P413" s="43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</row>
    <row r="414" spans="1:73" ht="18" x14ac:dyDescent="0.35">
      <c r="A414" s="43"/>
      <c r="C414" s="393"/>
      <c r="E414" s="394"/>
      <c r="F414" s="394"/>
      <c r="G414" s="394"/>
      <c r="H414" s="8" t="s">
        <v>61</v>
      </c>
      <c r="I414" s="364">
        <f t="shared" si="19"/>
        <v>0</v>
      </c>
      <c r="J414" s="365">
        <f t="shared" si="18"/>
        <v>0</v>
      </c>
      <c r="K414" s="366">
        <f t="shared" si="20"/>
        <v>6</v>
      </c>
      <c r="L414" s="366">
        <f>+IF((C414&gt;='Resultats - informe'!$E$16)*(C414&lt;='Resultats - informe'!$G$16),1,0)</f>
        <v>1</v>
      </c>
      <c r="M414" s="366" cm="1">
        <f t="array" ref="M414">+_xlfn.IFS((C414&gt;='Resultats - informe'!$D$26)*(C414&lt;='Resultats - informe'!$E$26),0,(C414&gt;='Resultats - informe'!$D$27)*(C414&lt;='Resultats - informe'!$E$27),0,(C414&gt;='Resultats - informe'!$D$28)*(C414&lt;='Resultats - informe'!$E$28),0,(C414&gt;='Resultats - informe'!$D$29)*(C414&lt;='Resultats - informe'!$E$29),0,1,1)</f>
        <v>0</v>
      </c>
      <c r="N414" s="366">
        <f>+VLOOKUP(D414,'Resultats - informe'!$Y$18:$AG$42,'Introducció dades consum'!K414+1,0)</f>
        <v>0</v>
      </c>
      <c r="O414" s="367" cm="1">
        <f t="array" ref="O414">+_xlfn.SWITCH(MONTH(C414),1,1,2,1,3,1,4,2,5,2,6,3,7,3,8,3,9,3,10,2,11,2,12,1,2)</f>
        <v>1</v>
      </c>
      <c r="P414" s="43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</row>
    <row r="415" spans="1:73" ht="18" x14ac:dyDescent="0.35">
      <c r="A415" s="43"/>
      <c r="C415" s="393"/>
      <c r="E415" s="394"/>
      <c r="F415" s="394"/>
      <c r="G415" s="394"/>
      <c r="H415" s="8" t="s">
        <v>61</v>
      </c>
      <c r="I415" s="364">
        <f t="shared" si="19"/>
        <v>0</v>
      </c>
      <c r="J415" s="365">
        <f t="shared" si="18"/>
        <v>0</v>
      </c>
      <c r="K415" s="366">
        <f t="shared" si="20"/>
        <v>6</v>
      </c>
      <c r="L415" s="366">
        <f>+IF((C415&gt;='Resultats - informe'!$E$16)*(C415&lt;='Resultats - informe'!$G$16),1,0)</f>
        <v>1</v>
      </c>
      <c r="M415" s="366" cm="1">
        <f t="array" ref="M415">+_xlfn.IFS((C415&gt;='Resultats - informe'!$D$26)*(C415&lt;='Resultats - informe'!$E$26),0,(C415&gt;='Resultats - informe'!$D$27)*(C415&lt;='Resultats - informe'!$E$27),0,(C415&gt;='Resultats - informe'!$D$28)*(C415&lt;='Resultats - informe'!$E$28),0,(C415&gt;='Resultats - informe'!$D$29)*(C415&lt;='Resultats - informe'!$E$29),0,1,1)</f>
        <v>0</v>
      </c>
      <c r="N415" s="366">
        <f>+VLOOKUP(D415,'Resultats - informe'!$Y$18:$AG$42,'Introducció dades consum'!K415+1,0)</f>
        <v>0</v>
      </c>
      <c r="O415" s="367" cm="1">
        <f t="array" ref="O415">+_xlfn.SWITCH(MONTH(C415),1,1,2,1,3,1,4,2,5,2,6,3,7,3,8,3,9,3,10,2,11,2,12,1,2)</f>
        <v>1</v>
      </c>
      <c r="P415" s="43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</row>
    <row r="416" spans="1:73" ht="18" x14ac:dyDescent="0.35">
      <c r="A416" s="43"/>
      <c r="C416" s="393"/>
      <c r="E416" s="394"/>
      <c r="F416" s="394"/>
      <c r="G416" s="394"/>
      <c r="H416" s="8" t="s">
        <v>61</v>
      </c>
      <c r="I416" s="364">
        <f t="shared" si="19"/>
        <v>0</v>
      </c>
      <c r="J416" s="365">
        <f t="shared" si="18"/>
        <v>0</v>
      </c>
      <c r="K416" s="366">
        <f t="shared" si="20"/>
        <v>6</v>
      </c>
      <c r="L416" s="366">
        <f>+IF((C416&gt;='Resultats - informe'!$E$16)*(C416&lt;='Resultats - informe'!$G$16),1,0)</f>
        <v>1</v>
      </c>
      <c r="M416" s="366" cm="1">
        <f t="array" ref="M416">+_xlfn.IFS((C416&gt;='Resultats - informe'!$D$26)*(C416&lt;='Resultats - informe'!$E$26),0,(C416&gt;='Resultats - informe'!$D$27)*(C416&lt;='Resultats - informe'!$E$27),0,(C416&gt;='Resultats - informe'!$D$28)*(C416&lt;='Resultats - informe'!$E$28),0,(C416&gt;='Resultats - informe'!$D$29)*(C416&lt;='Resultats - informe'!$E$29),0,1,1)</f>
        <v>0</v>
      </c>
      <c r="N416" s="366">
        <f>+VLOOKUP(D416,'Resultats - informe'!$Y$18:$AG$42,'Introducció dades consum'!K416+1,0)</f>
        <v>0</v>
      </c>
      <c r="O416" s="367" cm="1">
        <f t="array" ref="O416">+_xlfn.SWITCH(MONTH(C416),1,1,2,1,3,1,4,2,5,2,6,3,7,3,8,3,9,3,10,2,11,2,12,1,2)</f>
        <v>1</v>
      </c>
      <c r="P416" s="43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</row>
    <row r="417" spans="1:73" ht="18" x14ac:dyDescent="0.35">
      <c r="A417" s="43"/>
      <c r="C417" s="393"/>
      <c r="E417" s="394"/>
      <c r="F417" s="394"/>
      <c r="G417" s="394"/>
      <c r="H417" s="8" t="s">
        <v>61</v>
      </c>
      <c r="I417" s="364">
        <f t="shared" si="19"/>
        <v>0</v>
      </c>
      <c r="J417" s="365">
        <f t="shared" si="18"/>
        <v>0</v>
      </c>
      <c r="K417" s="366">
        <f t="shared" si="20"/>
        <v>6</v>
      </c>
      <c r="L417" s="366">
        <f>+IF((C417&gt;='Resultats - informe'!$E$16)*(C417&lt;='Resultats - informe'!$G$16),1,0)</f>
        <v>1</v>
      </c>
      <c r="M417" s="366" cm="1">
        <f t="array" ref="M417">+_xlfn.IFS((C417&gt;='Resultats - informe'!$D$26)*(C417&lt;='Resultats - informe'!$E$26),0,(C417&gt;='Resultats - informe'!$D$27)*(C417&lt;='Resultats - informe'!$E$27),0,(C417&gt;='Resultats - informe'!$D$28)*(C417&lt;='Resultats - informe'!$E$28),0,(C417&gt;='Resultats - informe'!$D$29)*(C417&lt;='Resultats - informe'!$E$29),0,1,1)</f>
        <v>0</v>
      </c>
      <c r="N417" s="366">
        <f>+VLOOKUP(D417,'Resultats - informe'!$Y$18:$AG$42,'Introducció dades consum'!K417+1,0)</f>
        <v>0</v>
      </c>
      <c r="O417" s="367" cm="1">
        <f t="array" ref="O417">+_xlfn.SWITCH(MONTH(C417),1,1,2,1,3,1,4,2,5,2,6,3,7,3,8,3,9,3,10,2,11,2,12,1,2)</f>
        <v>1</v>
      </c>
      <c r="P417" s="43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</row>
    <row r="418" spans="1:73" ht="18" x14ac:dyDescent="0.35">
      <c r="A418" s="43"/>
      <c r="C418" s="393"/>
      <c r="E418" s="394"/>
      <c r="F418" s="394"/>
      <c r="G418" s="394"/>
      <c r="H418" s="8" t="s">
        <v>61</v>
      </c>
      <c r="I418" s="364">
        <f t="shared" si="19"/>
        <v>0</v>
      </c>
      <c r="J418" s="365">
        <f t="shared" si="18"/>
        <v>0</v>
      </c>
      <c r="K418" s="366">
        <f t="shared" si="20"/>
        <v>6</v>
      </c>
      <c r="L418" s="366">
        <f>+IF((C418&gt;='Resultats - informe'!$E$16)*(C418&lt;='Resultats - informe'!$G$16),1,0)</f>
        <v>1</v>
      </c>
      <c r="M418" s="366" cm="1">
        <f t="array" ref="M418">+_xlfn.IFS((C418&gt;='Resultats - informe'!$D$26)*(C418&lt;='Resultats - informe'!$E$26),0,(C418&gt;='Resultats - informe'!$D$27)*(C418&lt;='Resultats - informe'!$E$27),0,(C418&gt;='Resultats - informe'!$D$28)*(C418&lt;='Resultats - informe'!$E$28),0,(C418&gt;='Resultats - informe'!$D$29)*(C418&lt;='Resultats - informe'!$E$29),0,1,1)</f>
        <v>0</v>
      </c>
      <c r="N418" s="366">
        <f>+VLOOKUP(D418,'Resultats - informe'!$Y$18:$AG$42,'Introducció dades consum'!K418+1,0)</f>
        <v>0</v>
      </c>
      <c r="O418" s="367" cm="1">
        <f t="array" ref="O418">+_xlfn.SWITCH(MONTH(C418),1,1,2,1,3,1,4,2,5,2,6,3,7,3,8,3,9,3,10,2,11,2,12,1,2)</f>
        <v>1</v>
      </c>
      <c r="P418" s="43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</row>
    <row r="419" spans="1:73" ht="18" x14ac:dyDescent="0.35">
      <c r="A419" s="43"/>
      <c r="C419" s="393"/>
      <c r="E419" s="394"/>
      <c r="F419" s="394"/>
      <c r="G419" s="394"/>
      <c r="H419" s="8" t="s">
        <v>61</v>
      </c>
      <c r="I419" s="364">
        <f t="shared" si="19"/>
        <v>0</v>
      </c>
      <c r="J419" s="365">
        <f t="shared" si="18"/>
        <v>0</v>
      </c>
      <c r="K419" s="366">
        <f t="shared" si="20"/>
        <v>6</v>
      </c>
      <c r="L419" s="366">
        <f>+IF((C419&gt;='Resultats - informe'!$E$16)*(C419&lt;='Resultats - informe'!$G$16),1,0)</f>
        <v>1</v>
      </c>
      <c r="M419" s="366" cm="1">
        <f t="array" ref="M419">+_xlfn.IFS((C419&gt;='Resultats - informe'!$D$26)*(C419&lt;='Resultats - informe'!$E$26),0,(C419&gt;='Resultats - informe'!$D$27)*(C419&lt;='Resultats - informe'!$E$27),0,(C419&gt;='Resultats - informe'!$D$28)*(C419&lt;='Resultats - informe'!$E$28),0,(C419&gt;='Resultats - informe'!$D$29)*(C419&lt;='Resultats - informe'!$E$29),0,1,1)</f>
        <v>0</v>
      </c>
      <c r="N419" s="366">
        <f>+VLOOKUP(D419,'Resultats - informe'!$Y$18:$AG$42,'Introducció dades consum'!K419+1,0)</f>
        <v>0</v>
      </c>
      <c r="O419" s="367" cm="1">
        <f t="array" ref="O419">+_xlfn.SWITCH(MONTH(C419),1,1,2,1,3,1,4,2,5,2,6,3,7,3,8,3,9,3,10,2,11,2,12,1,2)</f>
        <v>1</v>
      </c>
      <c r="P419" s="43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</row>
    <row r="420" spans="1:73" ht="18" x14ac:dyDescent="0.35">
      <c r="A420" s="43"/>
      <c r="C420" s="393"/>
      <c r="E420" s="394"/>
      <c r="F420" s="394"/>
      <c r="G420" s="394"/>
      <c r="H420" s="8" t="s">
        <v>61</v>
      </c>
      <c r="I420" s="364">
        <f t="shared" si="19"/>
        <v>0</v>
      </c>
      <c r="J420" s="365">
        <f t="shared" si="18"/>
        <v>0</v>
      </c>
      <c r="K420" s="366">
        <f t="shared" si="20"/>
        <v>6</v>
      </c>
      <c r="L420" s="366">
        <f>+IF((C420&gt;='Resultats - informe'!$E$16)*(C420&lt;='Resultats - informe'!$G$16),1,0)</f>
        <v>1</v>
      </c>
      <c r="M420" s="366" cm="1">
        <f t="array" ref="M420">+_xlfn.IFS((C420&gt;='Resultats - informe'!$D$26)*(C420&lt;='Resultats - informe'!$E$26),0,(C420&gt;='Resultats - informe'!$D$27)*(C420&lt;='Resultats - informe'!$E$27),0,(C420&gt;='Resultats - informe'!$D$28)*(C420&lt;='Resultats - informe'!$E$28),0,(C420&gt;='Resultats - informe'!$D$29)*(C420&lt;='Resultats - informe'!$E$29),0,1,1)</f>
        <v>0</v>
      </c>
      <c r="N420" s="366">
        <f>+VLOOKUP(D420,'Resultats - informe'!$Y$18:$AG$42,'Introducció dades consum'!K420+1,0)</f>
        <v>0</v>
      </c>
      <c r="O420" s="367" cm="1">
        <f t="array" ref="O420">+_xlfn.SWITCH(MONTH(C420),1,1,2,1,3,1,4,2,5,2,6,3,7,3,8,3,9,3,10,2,11,2,12,1,2)</f>
        <v>1</v>
      </c>
      <c r="P420" s="43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</row>
    <row r="421" spans="1:73" ht="18" x14ac:dyDescent="0.35">
      <c r="A421" s="43"/>
      <c r="C421" s="393"/>
      <c r="E421" s="394"/>
      <c r="F421" s="394"/>
      <c r="G421" s="394"/>
      <c r="H421" s="8" t="s">
        <v>61</v>
      </c>
      <c r="I421" s="364">
        <f t="shared" si="19"/>
        <v>0</v>
      </c>
      <c r="J421" s="365">
        <f t="shared" si="18"/>
        <v>0</v>
      </c>
      <c r="K421" s="366">
        <f t="shared" si="20"/>
        <v>6</v>
      </c>
      <c r="L421" s="366">
        <f>+IF((C421&gt;='Resultats - informe'!$E$16)*(C421&lt;='Resultats - informe'!$G$16),1,0)</f>
        <v>1</v>
      </c>
      <c r="M421" s="366" cm="1">
        <f t="array" ref="M421">+_xlfn.IFS((C421&gt;='Resultats - informe'!$D$26)*(C421&lt;='Resultats - informe'!$E$26),0,(C421&gt;='Resultats - informe'!$D$27)*(C421&lt;='Resultats - informe'!$E$27),0,(C421&gt;='Resultats - informe'!$D$28)*(C421&lt;='Resultats - informe'!$E$28),0,(C421&gt;='Resultats - informe'!$D$29)*(C421&lt;='Resultats - informe'!$E$29),0,1,1)</f>
        <v>0</v>
      </c>
      <c r="N421" s="366">
        <f>+VLOOKUP(D421,'Resultats - informe'!$Y$18:$AG$42,'Introducció dades consum'!K421+1,0)</f>
        <v>0</v>
      </c>
      <c r="O421" s="367" cm="1">
        <f t="array" ref="O421">+_xlfn.SWITCH(MONTH(C421),1,1,2,1,3,1,4,2,5,2,6,3,7,3,8,3,9,3,10,2,11,2,12,1,2)</f>
        <v>1</v>
      </c>
      <c r="P421" s="43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</row>
    <row r="422" spans="1:73" ht="18" x14ac:dyDescent="0.35">
      <c r="A422" s="43"/>
      <c r="C422" s="393"/>
      <c r="E422" s="394"/>
      <c r="F422" s="394"/>
      <c r="G422" s="394"/>
      <c r="H422" s="8" t="s">
        <v>61</v>
      </c>
      <c r="I422" s="364">
        <f t="shared" si="19"/>
        <v>0</v>
      </c>
      <c r="J422" s="365">
        <f t="shared" si="18"/>
        <v>0</v>
      </c>
      <c r="K422" s="366">
        <f t="shared" si="20"/>
        <v>6</v>
      </c>
      <c r="L422" s="366">
        <f>+IF((C422&gt;='Resultats - informe'!$E$16)*(C422&lt;='Resultats - informe'!$G$16),1,0)</f>
        <v>1</v>
      </c>
      <c r="M422" s="366" cm="1">
        <f t="array" ref="M422">+_xlfn.IFS((C422&gt;='Resultats - informe'!$D$26)*(C422&lt;='Resultats - informe'!$E$26),0,(C422&gt;='Resultats - informe'!$D$27)*(C422&lt;='Resultats - informe'!$E$27),0,(C422&gt;='Resultats - informe'!$D$28)*(C422&lt;='Resultats - informe'!$E$28),0,(C422&gt;='Resultats - informe'!$D$29)*(C422&lt;='Resultats - informe'!$E$29),0,1,1)</f>
        <v>0</v>
      </c>
      <c r="N422" s="366">
        <f>+VLOOKUP(D422,'Resultats - informe'!$Y$18:$AG$42,'Introducció dades consum'!K422+1,0)</f>
        <v>0</v>
      </c>
      <c r="O422" s="367" cm="1">
        <f t="array" ref="O422">+_xlfn.SWITCH(MONTH(C422),1,1,2,1,3,1,4,2,5,2,6,3,7,3,8,3,9,3,10,2,11,2,12,1,2)</f>
        <v>1</v>
      </c>
      <c r="P422" s="43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</row>
    <row r="423" spans="1:73" ht="18" x14ac:dyDescent="0.35">
      <c r="A423" s="43"/>
      <c r="C423" s="393"/>
      <c r="E423" s="394"/>
      <c r="F423" s="394"/>
      <c r="G423" s="394"/>
      <c r="H423" s="8" t="s">
        <v>61</v>
      </c>
      <c r="I423" s="364">
        <f t="shared" si="19"/>
        <v>0</v>
      </c>
      <c r="J423" s="365">
        <f t="shared" si="18"/>
        <v>0</v>
      </c>
      <c r="K423" s="366">
        <f t="shared" si="20"/>
        <v>6</v>
      </c>
      <c r="L423" s="366">
        <f>+IF((C423&gt;='Resultats - informe'!$E$16)*(C423&lt;='Resultats - informe'!$G$16),1,0)</f>
        <v>1</v>
      </c>
      <c r="M423" s="366" cm="1">
        <f t="array" ref="M423">+_xlfn.IFS((C423&gt;='Resultats - informe'!$D$26)*(C423&lt;='Resultats - informe'!$E$26),0,(C423&gt;='Resultats - informe'!$D$27)*(C423&lt;='Resultats - informe'!$E$27),0,(C423&gt;='Resultats - informe'!$D$28)*(C423&lt;='Resultats - informe'!$E$28),0,(C423&gt;='Resultats - informe'!$D$29)*(C423&lt;='Resultats - informe'!$E$29),0,1,1)</f>
        <v>0</v>
      </c>
      <c r="N423" s="366">
        <f>+VLOOKUP(D423,'Resultats - informe'!$Y$18:$AG$42,'Introducció dades consum'!K423+1,0)</f>
        <v>0</v>
      </c>
      <c r="O423" s="367" cm="1">
        <f t="array" ref="O423">+_xlfn.SWITCH(MONTH(C423),1,1,2,1,3,1,4,2,5,2,6,3,7,3,8,3,9,3,10,2,11,2,12,1,2)</f>
        <v>1</v>
      </c>
      <c r="P423" s="43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</row>
    <row r="424" spans="1:73" ht="18" x14ac:dyDescent="0.35">
      <c r="A424" s="43"/>
      <c r="C424" s="393"/>
      <c r="E424" s="394"/>
      <c r="F424" s="394"/>
      <c r="G424" s="394"/>
      <c r="H424" s="8" t="s">
        <v>61</v>
      </c>
      <c r="I424" s="364">
        <f t="shared" si="19"/>
        <v>0</v>
      </c>
      <c r="J424" s="365">
        <f t="shared" si="18"/>
        <v>0</v>
      </c>
      <c r="K424" s="366">
        <f t="shared" si="20"/>
        <v>6</v>
      </c>
      <c r="L424" s="366">
        <f>+IF((C424&gt;='Resultats - informe'!$E$16)*(C424&lt;='Resultats - informe'!$G$16),1,0)</f>
        <v>1</v>
      </c>
      <c r="M424" s="366" cm="1">
        <f t="array" ref="M424">+_xlfn.IFS((C424&gt;='Resultats - informe'!$D$26)*(C424&lt;='Resultats - informe'!$E$26),0,(C424&gt;='Resultats - informe'!$D$27)*(C424&lt;='Resultats - informe'!$E$27),0,(C424&gt;='Resultats - informe'!$D$28)*(C424&lt;='Resultats - informe'!$E$28),0,(C424&gt;='Resultats - informe'!$D$29)*(C424&lt;='Resultats - informe'!$E$29),0,1,1)</f>
        <v>0</v>
      </c>
      <c r="N424" s="366">
        <f>+VLOOKUP(D424,'Resultats - informe'!$Y$18:$AG$42,'Introducció dades consum'!K424+1,0)</f>
        <v>0</v>
      </c>
      <c r="O424" s="367" cm="1">
        <f t="array" ref="O424">+_xlfn.SWITCH(MONTH(C424),1,1,2,1,3,1,4,2,5,2,6,3,7,3,8,3,9,3,10,2,11,2,12,1,2)</f>
        <v>1</v>
      </c>
      <c r="P424" s="43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</row>
    <row r="425" spans="1:73" ht="18" x14ac:dyDescent="0.35">
      <c r="A425" s="43"/>
      <c r="C425" s="393"/>
      <c r="E425" s="394"/>
      <c r="F425" s="394"/>
      <c r="G425" s="394"/>
      <c r="H425" s="8" t="s">
        <v>61</v>
      </c>
      <c r="I425" s="364">
        <f t="shared" si="19"/>
        <v>0</v>
      </c>
      <c r="J425" s="365">
        <f t="shared" si="18"/>
        <v>0</v>
      </c>
      <c r="K425" s="366">
        <f t="shared" si="20"/>
        <v>6</v>
      </c>
      <c r="L425" s="366">
        <f>+IF((C425&gt;='Resultats - informe'!$E$16)*(C425&lt;='Resultats - informe'!$G$16),1,0)</f>
        <v>1</v>
      </c>
      <c r="M425" s="366" cm="1">
        <f t="array" ref="M425">+_xlfn.IFS((C425&gt;='Resultats - informe'!$D$26)*(C425&lt;='Resultats - informe'!$E$26),0,(C425&gt;='Resultats - informe'!$D$27)*(C425&lt;='Resultats - informe'!$E$27),0,(C425&gt;='Resultats - informe'!$D$28)*(C425&lt;='Resultats - informe'!$E$28),0,(C425&gt;='Resultats - informe'!$D$29)*(C425&lt;='Resultats - informe'!$E$29),0,1,1)</f>
        <v>0</v>
      </c>
      <c r="N425" s="366">
        <f>+VLOOKUP(D425,'Resultats - informe'!$Y$18:$AG$42,'Introducció dades consum'!K425+1,0)</f>
        <v>0</v>
      </c>
      <c r="O425" s="367" cm="1">
        <f t="array" ref="O425">+_xlfn.SWITCH(MONTH(C425),1,1,2,1,3,1,4,2,5,2,6,3,7,3,8,3,9,3,10,2,11,2,12,1,2)</f>
        <v>1</v>
      </c>
      <c r="P425" s="43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</row>
    <row r="426" spans="1:73" ht="18" x14ac:dyDescent="0.35">
      <c r="A426" s="43"/>
      <c r="C426" s="393"/>
      <c r="E426" s="394"/>
      <c r="F426" s="394"/>
      <c r="G426" s="394"/>
      <c r="H426" s="8" t="s">
        <v>61</v>
      </c>
      <c r="I426" s="364">
        <f t="shared" si="19"/>
        <v>0</v>
      </c>
      <c r="J426" s="365">
        <f t="shared" si="18"/>
        <v>0</v>
      </c>
      <c r="K426" s="366">
        <f t="shared" si="20"/>
        <v>6</v>
      </c>
      <c r="L426" s="366">
        <f>+IF((C426&gt;='Resultats - informe'!$E$16)*(C426&lt;='Resultats - informe'!$G$16),1,0)</f>
        <v>1</v>
      </c>
      <c r="M426" s="366" cm="1">
        <f t="array" ref="M426">+_xlfn.IFS((C426&gt;='Resultats - informe'!$D$26)*(C426&lt;='Resultats - informe'!$E$26),0,(C426&gt;='Resultats - informe'!$D$27)*(C426&lt;='Resultats - informe'!$E$27),0,(C426&gt;='Resultats - informe'!$D$28)*(C426&lt;='Resultats - informe'!$E$28),0,(C426&gt;='Resultats - informe'!$D$29)*(C426&lt;='Resultats - informe'!$E$29),0,1,1)</f>
        <v>0</v>
      </c>
      <c r="N426" s="366">
        <f>+VLOOKUP(D426,'Resultats - informe'!$Y$18:$AG$42,'Introducció dades consum'!K426+1,0)</f>
        <v>0</v>
      </c>
      <c r="O426" s="367" cm="1">
        <f t="array" ref="O426">+_xlfn.SWITCH(MONTH(C426),1,1,2,1,3,1,4,2,5,2,6,3,7,3,8,3,9,3,10,2,11,2,12,1,2)</f>
        <v>1</v>
      </c>
      <c r="P426" s="43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</row>
    <row r="427" spans="1:73" ht="18" x14ac:dyDescent="0.35">
      <c r="A427" s="43"/>
      <c r="C427" s="393"/>
      <c r="E427" s="394"/>
      <c r="F427" s="394"/>
      <c r="G427" s="394"/>
      <c r="H427" s="8" t="s">
        <v>61</v>
      </c>
      <c r="I427" s="364">
        <f t="shared" si="19"/>
        <v>0</v>
      </c>
      <c r="J427" s="365">
        <f t="shared" si="18"/>
        <v>0</v>
      </c>
      <c r="K427" s="366">
        <f t="shared" si="20"/>
        <v>6</v>
      </c>
      <c r="L427" s="366">
        <f>+IF((C427&gt;='Resultats - informe'!$E$16)*(C427&lt;='Resultats - informe'!$G$16),1,0)</f>
        <v>1</v>
      </c>
      <c r="M427" s="366" cm="1">
        <f t="array" ref="M427">+_xlfn.IFS((C427&gt;='Resultats - informe'!$D$26)*(C427&lt;='Resultats - informe'!$E$26),0,(C427&gt;='Resultats - informe'!$D$27)*(C427&lt;='Resultats - informe'!$E$27),0,(C427&gt;='Resultats - informe'!$D$28)*(C427&lt;='Resultats - informe'!$E$28),0,(C427&gt;='Resultats - informe'!$D$29)*(C427&lt;='Resultats - informe'!$E$29),0,1,1)</f>
        <v>0</v>
      </c>
      <c r="N427" s="366">
        <f>+VLOOKUP(D427,'Resultats - informe'!$Y$18:$AG$42,'Introducció dades consum'!K427+1,0)</f>
        <v>0</v>
      </c>
      <c r="O427" s="367" cm="1">
        <f t="array" ref="O427">+_xlfn.SWITCH(MONTH(C427),1,1,2,1,3,1,4,2,5,2,6,3,7,3,8,3,9,3,10,2,11,2,12,1,2)</f>
        <v>1</v>
      </c>
      <c r="P427" s="43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</row>
    <row r="428" spans="1:73" ht="18" x14ac:dyDescent="0.35">
      <c r="A428" s="43"/>
      <c r="C428" s="393"/>
      <c r="E428" s="394"/>
      <c r="F428" s="394"/>
      <c r="G428" s="394"/>
      <c r="H428" s="8" t="s">
        <v>61</v>
      </c>
      <c r="I428" s="364">
        <f t="shared" si="19"/>
        <v>0</v>
      </c>
      <c r="J428" s="365">
        <f t="shared" si="18"/>
        <v>0</v>
      </c>
      <c r="K428" s="366">
        <f t="shared" si="20"/>
        <v>6</v>
      </c>
      <c r="L428" s="366">
        <f>+IF((C428&gt;='Resultats - informe'!$E$16)*(C428&lt;='Resultats - informe'!$G$16),1,0)</f>
        <v>1</v>
      </c>
      <c r="M428" s="366" cm="1">
        <f t="array" ref="M428">+_xlfn.IFS((C428&gt;='Resultats - informe'!$D$26)*(C428&lt;='Resultats - informe'!$E$26),0,(C428&gt;='Resultats - informe'!$D$27)*(C428&lt;='Resultats - informe'!$E$27),0,(C428&gt;='Resultats - informe'!$D$28)*(C428&lt;='Resultats - informe'!$E$28),0,(C428&gt;='Resultats - informe'!$D$29)*(C428&lt;='Resultats - informe'!$E$29),0,1,1)</f>
        <v>0</v>
      </c>
      <c r="N428" s="366">
        <f>+VLOOKUP(D428,'Resultats - informe'!$Y$18:$AG$42,'Introducció dades consum'!K428+1,0)</f>
        <v>0</v>
      </c>
      <c r="O428" s="367" cm="1">
        <f t="array" ref="O428">+_xlfn.SWITCH(MONTH(C428),1,1,2,1,3,1,4,2,5,2,6,3,7,3,8,3,9,3,10,2,11,2,12,1,2)</f>
        <v>1</v>
      </c>
      <c r="P428" s="43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</row>
    <row r="429" spans="1:73" ht="18" x14ac:dyDescent="0.35">
      <c r="A429" s="43"/>
      <c r="C429" s="393"/>
      <c r="E429" s="394"/>
      <c r="F429" s="394"/>
      <c r="G429" s="394"/>
      <c r="H429" s="8" t="s">
        <v>61</v>
      </c>
      <c r="I429" s="364">
        <f t="shared" si="19"/>
        <v>0</v>
      </c>
      <c r="J429" s="365">
        <f t="shared" si="18"/>
        <v>0</v>
      </c>
      <c r="K429" s="366">
        <f t="shared" si="20"/>
        <v>6</v>
      </c>
      <c r="L429" s="366">
        <f>+IF((C429&gt;='Resultats - informe'!$E$16)*(C429&lt;='Resultats - informe'!$G$16),1,0)</f>
        <v>1</v>
      </c>
      <c r="M429" s="366" cm="1">
        <f t="array" ref="M429">+_xlfn.IFS((C429&gt;='Resultats - informe'!$D$26)*(C429&lt;='Resultats - informe'!$E$26),0,(C429&gt;='Resultats - informe'!$D$27)*(C429&lt;='Resultats - informe'!$E$27),0,(C429&gt;='Resultats - informe'!$D$28)*(C429&lt;='Resultats - informe'!$E$28),0,(C429&gt;='Resultats - informe'!$D$29)*(C429&lt;='Resultats - informe'!$E$29),0,1,1)</f>
        <v>0</v>
      </c>
      <c r="N429" s="366">
        <f>+VLOOKUP(D429,'Resultats - informe'!$Y$18:$AG$42,'Introducció dades consum'!K429+1,0)</f>
        <v>0</v>
      </c>
      <c r="O429" s="367" cm="1">
        <f t="array" ref="O429">+_xlfn.SWITCH(MONTH(C429),1,1,2,1,3,1,4,2,5,2,6,3,7,3,8,3,9,3,10,2,11,2,12,1,2)</f>
        <v>1</v>
      </c>
      <c r="P429" s="43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</row>
    <row r="430" spans="1:73" ht="18" x14ac:dyDescent="0.35">
      <c r="A430" s="43"/>
      <c r="C430" s="393"/>
      <c r="E430" s="394"/>
      <c r="F430" s="394"/>
      <c r="G430" s="394"/>
      <c r="H430" s="8" t="s">
        <v>61</v>
      </c>
      <c r="I430" s="364">
        <f t="shared" si="19"/>
        <v>0</v>
      </c>
      <c r="J430" s="365">
        <f t="shared" si="18"/>
        <v>0</v>
      </c>
      <c r="K430" s="366">
        <f t="shared" si="20"/>
        <v>6</v>
      </c>
      <c r="L430" s="366">
        <f>+IF((C430&gt;='Resultats - informe'!$E$16)*(C430&lt;='Resultats - informe'!$G$16),1,0)</f>
        <v>1</v>
      </c>
      <c r="M430" s="366" cm="1">
        <f t="array" ref="M430">+_xlfn.IFS((C430&gt;='Resultats - informe'!$D$26)*(C430&lt;='Resultats - informe'!$E$26),0,(C430&gt;='Resultats - informe'!$D$27)*(C430&lt;='Resultats - informe'!$E$27),0,(C430&gt;='Resultats - informe'!$D$28)*(C430&lt;='Resultats - informe'!$E$28),0,(C430&gt;='Resultats - informe'!$D$29)*(C430&lt;='Resultats - informe'!$E$29),0,1,1)</f>
        <v>0</v>
      </c>
      <c r="N430" s="366">
        <f>+VLOOKUP(D430,'Resultats - informe'!$Y$18:$AG$42,'Introducció dades consum'!K430+1,0)</f>
        <v>0</v>
      </c>
      <c r="O430" s="367" cm="1">
        <f t="array" ref="O430">+_xlfn.SWITCH(MONTH(C430),1,1,2,1,3,1,4,2,5,2,6,3,7,3,8,3,9,3,10,2,11,2,12,1,2)</f>
        <v>1</v>
      </c>
      <c r="P430" s="43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</row>
    <row r="431" spans="1:73" ht="18" x14ac:dyDescent="0.35">
      <c r="A431" s="43"/>
      <c r="C431" s="393"/>
      <c r="E431" s="394"/>
      <c r="F431" s="394"/>
      <c r="G431" s="394"/>
      <c r="H431" s="8" t="s">
        <v>61</v>
      </c>
      <c r="I431" s="364">
        <f t="shared" si="19"/>
        <v>0</v>
      </c>
      <c r="J431" s="365">
        <f t="shared" si="18"/>
        <v>0</v>
      </c>
      <c r="K431" s="366">
        <f t="shared" si="20"/>
        <v>6</v>
      </c>
      <c r="L431" s="366">
        <f>+IF((C431&gt;='Resultats - informe'!$E$16)*(C431&lt;='Resultats - informe'!$G$16),1,0)</f>
        <v>1</v>
      </c>
      <c r="M431" s="366" cm="1">
        <f t="array" ref="M431">+_xlfn.IFS((C431&gt;='Resultats - informe'!$D$26)*(C431&lt;='Resultats - informe'!$E$26),0,(C431&gt;='Resultats - informe'!$D$27)*(C431&lt;='Resultats - informe'!$E$27),0,(C431&gt;='Resultats - informe'!$D$28)*(C431&lt;='Resultats - informe'!$E$28),0,(C431&gt;='Resultats - informe'!$D$29)*(C431&lt;='Resultats - informe'!$E$29),0,1,1)</f>
        <v>0</v>
      </c>
      <c r="N431" s="366">
        <f>+VLOOKUP(D431,'Resultats - informe'!$Y$18:$AG$42,'Introducció dades consum'!K431+1,0)</f>
        <v>0</v>
      </c>
      <c r="O431" s="367" cm="1">
        <f t="array" ref="O431">+_xlfn.SWITCH(MONTH(C431),1,1,2,1,3,1,4,2,5,2,6,3,7,3,8,3,9,3,10,2,11,2,12,1,2)</f>
        <v>1</v>
      </c>
      <c r="P431" s="43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</row>
    <row r="432" spans="1:73" ht="18" x14ac:dyDescent="0.35">
      <c r="A432" s="43"/>
      <c r="C432" s="393"/>
      <c r="E432" s="394"/>
      <c r="F432" s="394"/>
      <c r="G432" s="394"/>
      <c r="H432" s="8" t="s">
        <v>61</v>
      </c>
      <c r="I432" s="364">
        <f t="shared" si="19"/>
        <v>0</v>
      </c>
      <c r="J432" s="365">
        <f t="shared" si="18"/>
        <v>0</v>
      </c>
      <c r="K432" s="366">
        <f t="shared" si="20"/>
        <v>6</v>
      </c>
      <c r="L432" s="366">
        <f>+IF((C432&gt;='Resultats - informe'!$E$16)*(C432&lt;='Resultats - informe'!$G$16),1,0)</f>
        <v>1</v>
      </c>
      <c r="M432" s="366" cm="1">
        <f t="array" ref="M432">+_xlfn.IFS((C432&gt;='Resultats - informe'!$D$26)*(C432&lt;='Resultats - informe'!$E$26),0,(C432&gt;='Resultats - informe'!$D$27)*(C432&lt;='Resultats - informe'!$E$27),0,(C432&gt;='Resultats - informe'!$D$28)*(C432&lt;='Resultats - informe'!$E$28),0,(C432&gt;='Resultats - informe'!$D$29)*(C432&lt;='Resultats - informe'!$E$29),0,1,1)</f>
        <v>0</v>
      </c>
      <c r="N432" s="366">
        <f>+VLOOKUP(D432,'Resultats - informe'!$Y$18:$AG$42,'Introducció dades consum'!K432+1,0)</f>
        <v>0</v>
      </c>
      <c r="O432" s="367" cm="1">
        <f t="array" ref="O432">+_xlfn.SWITCH(MONTH(C432),1,1,2,1,3,1,4,2,5,2,6,3,7,3,8,3,9,3,10,2,11,2,12,1,2)</f>
        <v>1</v>
      </c>
      <c r="P432" s="43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</row>
    <row r="433" spans="1:73" ht="18" x14ac:dyDescent="0.35">
      <c r="A433" s="43"/>
      <c r="C433" s="393"/>
      <c r="E433" s="394"/>
      <c r="F433" s="394"/>
      <c r="G433" s="394"/>
      <c r="H433" s="8" t="s">
        <v>61</v>
      </c>
      <c r="I433" s="364">
        <f t="shared" si="19"/>
        <v>0</v>
      </c>
      <c r="J433" s="365">
        <f t="shared" si="18"/>
        <v>0</v>
      </c>
      <c r="K433" s="366">
        <f t="shared" si="20"/>
        <v>6</v>
      </c>
      <c r="L433" s="366">
        <f>+IF((C433&gt;='Resultats - informe'!$E$16)*(C433&lt;='Resultats - informe'!$G$16),1,0)</f>
        <v>1</v>
      </c>
      <c r="M433" s="366" cm="1">
        <f t="array" ref="M433">+_xlfn.IFS((C433&gt;='Resultats - informe'!$D$26)*(C433&lt;='Resultats - informe'!$E$26),0,(C433&gt;='Resultats - informe'!$D$27)*(C433&lt;='Resultats - informe'!$E$27),0,(C433&gt;='Resultats - informe'!$D$28)*(C433&lt;='Resultats - informe'!$E$28),0,(C433&gt;='Resultats - informe'!$D$29)*(C433&lt;='Resultats - informe'!$E$29),0,1,1)</f>
        <v>0</v>
      </c>
      <c r="N433" s="366">
        <f>+VLOOKUP(D433,'Resultats - informe'!$Y$18:$AG$42,'Introducció dades consum'!K433+1,0)</f>
        <v>0</v>
      </c>
      <c r="O433" s="367" cm="1">
        <f t="array" ref="O433">+_xlfn.SWITCH(MONTH(C433),1,1,2,1,3,1,4,2,5,2,6,3,7,3,8,3,9,3,10,2,11,2,12,1,2)</f>
        <v>1</v>
      </c>
      <c r="P433" s="43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</row>
    <row r="434" spans="1:73" ht="18" x14ac:dyDescent="0.35">
      <c r="A434" s="43"/>
      <c r="C434" s="393"/>
      <c r="E434" s="394"/>
      <c r="F434" s="394"/>
      <c r="G434" s="394"/>
      <c r="H434" s="8" t="s">
        <v>61</v>
      </c>
      <c r="I434" s="364">
        <f t="shared" si="19"/>
        <v>0</v>
      </c>
      <c r="J434" s="365">
        <f t="shared" si="18"/>
        <v>0</v>
      </c>
      <c r="K434" s="366">
        <f t="shared" si="20"/>
        <v>6</v>
      </c>
      <c r="L434" s="366">
        <f>+IF((C434&gt;='Resultats - informe'!$E$16)*(C434&lt;='Resultats - informe'!$G$16),1,0)</f>
        <v>1</v>
      </c>
      <c r="M434" s="366" cm="1">
        <f t="array" ref="M434">+_xlfn.IFS((C434&gt;='Resultats - informe'!$D$26)*(C434&lt;='Resultats - informe'!$E$26),0,(C434&gt;='Resultats - informe'!$D$27)*(C434&lt;='Resultats - informe'!$E$27),0,(C434&gt;='Resultats - informe'!$D$28)*(C434&lt;='Resultats - informe'!$E$28),0,(C434&gt;='Resultats - informe'!$D$29)*(C434&lt;='Resultats - informe'!$E$29),0,1,1)</f>
        <v>0</v>
      </c>
      <c r="N434" s="366">
        <f>+VLOOKUP(D434,'Resultats - informe'!$Y$18:$AG$42,'Introducció dades consum'!K434+1,0)</f>
        <v>0</v>
      </c>
      <c r="O434" s="367" cm="1">
        <f t="array" ref="O434">+_xlfn.SWITCH(MONTH(C434),1,1,2,1,3,1,4,2,5,2,6,3,7,3,8,3,9,3,10,2,11,2,12,1,2)</f>
        <v>1</v>
      </c>
      <c r="P434" s="43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</row>
    <row r="435" spans="1:73" ht="18" x14ac:dyDescent="0.35">
      <c r="A435" s="43"/>
      <c r="C435" s="393"/>
      <c r="E435" s="394"/>
      <c r="F435" s="394"/>
      <c r="G435" s="394"/>
      <c r="H435" s="8" t="s">
        <v>61</v>
      </c>
      <c r="I435" s="364">
        <f t="shared" si="19"/>
        <v>0</v>
      </c>
      <c r="J435" s="365">
        <f t="shared" si="18"/>
        <v>0</v>
      </c>
      <c r="K435" s="366">
        <f t="shared" si="20"/>
        <v>6</v>
      </c>
      <c r="L435" s="366">
        <f>+IF((C435&gt;='Resultats - informe'!$E$16)*(C435&lt;='Resultats - informe'!$G$16),1,0)</f>
        <v>1</v>
      </c>
      <c r="M435" s="366" cm="1">
        <f t="array" ref="M435">+_xlfn.IFS((C435&gt;='Resultats - informe'!$D$26)*(C435&lt;='Resultats - informe'!$E$26),0,(C435&gt;='Resultats - informe'!$D$27)*(C435&lt;='Resultats - informe'!$E$27),0,(C435&gt;='Resultats - informe'!$D$28)*(C435&lt;='Resultats - informe'!$E$28),0,(C435&gt;='Resultats - informe'!$D$29)*(C435&lt;='Resultats - informe'!$E$29),0,1,1)</f>
        <v>0</v>
      </c>
      <c r="N435" s="366">
        <f>+VLOOKUP(D435,'Resultats - informe'!$Y$18:$AG$42,'Introducció dades consum'!K435+1,0)</f>
        <v>0</v>
      </c>
      <c r="O435" s="367" cm="1">
        <f t="array" ref="O435">+_xlfn.SWITCH(MONTH(C435),1,1,2,1,3,1,4,2,5,2,6,3,7,3,8,3,9,3,10,2,11,2,12,1,2)</f>
        <v>1</v>
      </c>
      <c r="P435" s="43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</row>
    <row r="436" spans="1:73" ht="18" x14ac:dyDescent="0.35">
      <c r="A436" s="43"/>
      <c r="C436" s="393"/>
      <c r="E436" s="394"/>
      <c r="F436" s="394"/>
      <c r="G436" s="394"/>
      <c r="H436" s="8" t="s">
        <v>61</v>
      </c>
      <c r="I436" s="364">
        <f t="shared" si="19"/>
        <v>0</v>
      </c>
      <c r="J436" s="365">
        <f t="shared" si="18"/>
        <v>0</v>
      </c>
      <c r="K436" s="366">
        <f t="shared" si="20"/>
        <v>6</v>
      </c>
      <c r="L436" s="366">
        <f>+IF((C436&gt;='Resultats - informe'!$E$16)*(C436&lt;='Resultats - informe'!$G$16),1,0)</f>
        <v>1</v>
      </c>
      <c r="M436" s="366" cm="1">
        <f t="array" ref="M436">+_xlfn.IFS((C436&gt;='Resultats - informe'!$D$26)*(C436&lt;='Resultats - informe'!$E$26),0,(C436&gt;='Resultats - informe'!$D$27)*(C436&lt;='Resultats - informe'!$E$27),0,(C436&gt;='Resultats - informe'!$D$28)*(C436&lt;='Resultats - informe'!$E$28),0,(C436&gt;='Resultats - informe'!$D$29)*(C436&lt;='Resultats - informe'!$E$29),0,1,1)</f>
        <v>0</v>
      </c>
      <c r="N436" s="366">
        <f>+VLOOKUP(D436,'Resultats - informe'!$Y$18:$AG$42,'Introducció dades consum'!K436+1,0)</f>
        <v>0</v>
      </c>
      <c r="O436" s="367" cm="1">
        <f t="array" ref="O436">+_xlfn.SWITCH(MONTH(C436),1,1,2,1,3,1,4,2,5,2,6,3,7,3,8,3,9,3,10,2,11,2,12,1,2)</f>
        <v>1</v>
      </c>
      <c r="P436" s="43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</row>
    <row r="437" spans="1:73" ht="18" x14ac:dyDescent="0.35">
      <c r="A437" s="43"/>
      <c r="C437" s="393"/>
      <c r="E437" s="394"/>
      <c r="F437" s="394"/>
      <c r="G437" s="394"/>
      <c r="H437" s="8" t="s">
        <v>61</v>
      </c>
      <c r="I437" s="364">
        <f t="shared" si="19"/>
        <v>0</v>
      </c>
      <c r="J437" s="365">
        <f t="shared" si="18"/>
        <v>0</v>
      </c>
      <c r="K437" s="366">
        <f t="shared" si="20"/>
        <v>6</v>
      </c>
      <c r="L437" s="366">
        <f>+IF((C437&gt;='Resultats - informe'!$E$16)*(C437&lt;='Resultats - informe'!$G$16),1,0)</f>
        <v>1</v>
      </c>
      <c r="M437" s="366" cm="1">
        <f t="array" ref="M437">+_xlfn.IFS((C437&gt;='Resultats - informe'!$D$26)*(C437&lt;='Resultats - informe'!$E$26),0,(C437&gt;='Resultats - informe'!$D$27)*(C437&lt;='Resultats - informe'!$E$27),0,(C437&gt;='Resultats - informe'!$D$28)*(C437&lt;='Resultats - informe'!$E$28),0,(C437&gt;='Resultats - informe'!$D$29)*(C437&lt;='Resultats - informe'!$E$29),0,1,1)</f>
        <v>0</v>
      </c>
      <c r="N437" s="366">
        <f>+VLOOKUP(D437,'Resultats - informe'!$Y$18:$AG$42,'Introducció dades consum'!K437+1,0)</f>
        <v>0</v>
      </c>
      <c r="O437" s="367" cm="1">
        <f t="array" ref="O437">+_xlfn.SWITCH(MONTH(C437),1,1,2,1,3,1,4,2,5,2,6,3,7,3,8,3,9,3,10,2,11,2,12,1,2)</f>
        <v>1</v>
      </c>
      <c r="P437" s="43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</row>
    <row r="438" spans="1:73" ht="18" x14ac:dyDescent="0.35">
      <c r="A438" s="43"/>
      <c r="C438" s="393"/>
      <c r="E438" s="394"/>
      <c r="F438" s="394"/>
      <c r="G438" s="394"/>
      <c r="H438" s="8" t="s">
        <v>61</v>
      </c>
      <c r="I438" s="364">
        <f t="shared" si="19"/>
        <v>0</v>
      </c>
      <c r="J438" s="365">
        <f t="shared" si="18"/>
        <v>0</v>
      </c>
      <c r="K438" s="366">
        <f t="shared" si="20"/>
        <v>6</v>
      </c>
      <c r="L438" s="366">
        <f>+IF((C438&gt;='Resultats - informe'!$E$16)*(C438&lt;='Resultats - informe'!$G$16),1,0)</f>
        <v>1</v>
      </c>
      <c r="M438" s="366" cm="1">
        <f t="array" ref="M438">+_xlfn.IFS((C438&gt;='Resultats - informe'!$D$26)*(C438&lt;='Resultats - informe'!$E$26),0,(C438&gt;='Resultats - informe'!$D$27)*(C438&lt;='Resultats - informe'!$E$27),0,(C438&gt;='Resultats - informe'!$D$28)*(C438&lt;='Resultats - informe'!$E$28),0,(C438&gt;='Resultats - informe'!$D$29)*(C438&lt;='Resultats - informe'!$E$29),0,1,1)</f>
        <v>0</v>
      </c>
      <c r="N438" s="366">
        <f>+VLOOKUP(D438,'Resultats - informe'!$Y$18:$AG$42,'Introducció dades consum'!K438+1,0)</f>
        <v>0</v>
      </c>
      <c r="O438" s="367" cm="1">
        <f t="array" ref="O438">+_xlfn.SWITCH(MONTH(C438),1,1,2,1,3,1,4,2,5,2,6,3,7,3,8,3,9,3,10,2,11,2,12,1,2)</f>
        <v>1</v>
      </c>
      <c r="P438" s="43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</row>
    <row r="439" spans="1:73" ht="18" x14ac:dyDescent="0.35">
      <c r="A439" s="43"/>
      <c r="C439" s="393"/>
      <c r="E439" s="394"/>
      <c r="F439" s="394"/>
      <c r="G439" s="394"/>
      <c r="H439" s="8" t="s">
        <v>61</v>
      </c>
      <c r="I439" s="364">
        <f t="shared" si="19"/>
        <v>0</v>
      </c>
      <c r="J439" s="365">
        <f t="shared" si="18"/>
        <v>0</v>
      </c>
      <c r="K439" s="366">
        <f t="shared" si="20"/>
        <v>6</v>
      </c>
      <c r="L439" s="366">
        <f>+IF((C439&gt;='Resultats - informe'!$E$16)*(C439&lt;='Resultats - informe'!$G$16),1,0)</f>
        <v>1</v>
      </c>
      <c r="M439" s="366" cm="1">
        <f t="array" ref="M439">+_xlfn.IFS((C439&gt;='Resultats - informe'!$D$26)*(C439&lt;='Resultats - informe'!$E$26),0,(C439&gt;='Resultats - informe'!$D$27)*(C439&lt;='Resultats - informe'!$E$27),0,(C439&gt;='Resultats - informe'!$D$28)*(C439&lt;='Resultats - informe'!$E$28),0,(C439&gt;='Resultats - informe'!$D$29)*(C439&lt;='Resultats - informe'!$E$29),0,1,1)</f>
        <v>0</v>
      </c>
      <c r="N439" s="366">
        <f>+VLOOKUP(D439,'Resultats - informe'!$Y$18:$AG$42,'Introducció dades consum'!K439+1,0)</f>
        <v>0</v>
      </c>
      <c r="O439" s="367" cm="1">
        <f t="array" ref="O439">+_xlfn.SWITCH(MONTH(C439),1,1,2,1,3,1,4,2,5,2,6,3,7,3,8,3,9,3,10,2,11,2,12,1,2)</f>
        <v>1</v>
      </c>
      <c r="P439" s="43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</row>
    <row r="440" spans="1:73" ht="18" x14ac:dyDescent="0.35">
      <c r="A440" s="43"/>
      <c r="C440" s="393"/>
      <c r="E440" s="394"/>
      <c r="F440" s="394"/>
      <c r="G440" s="394"/>
      <c r="H440" s="8" t="s">
        <v>61</v>
      </c>
      <c r="I440" s="364">
        <f t="shared" si="19"/>
        <v>0</v>
      </c>
      <c r="J440" s="365">
        <f t="shared" si="18"/>
        <v>0</v>
      </c>
      <c r="K440" s="366">
        <f t="shared" si="20"/>
        <v>6</v>
      </c>
      <c r="L440" s="366">
        <f>+IF((C440&gt;='Resultats - informe'!$E$16)*(C440&lt;='Resultats - informe'!$G$16),1,0)</f>
        <v>1</v>
      </c>
      <c r="M440" s="366" cm="1">
        <f t="array" ref="M440">+_xlfn.IFS((C440&gt;='Resultats - informe'!$D$26)*(C440&lt;='Resultats - informe'!$E$26),0,(C440&gt;='Resultats - informe'!$D$27)*(C440&lt;='Resultats - informe'!$E$27),0,(C440&gt;='Resultats - informe'!$D$28)*(C440&lt;='Resultats - informe'!$E$28),0,(C440&gt;='Resultats - informe'!$D$29)*(C440&lt;='Resultats - informe'!$E$29),0,1,1)</f>
        <v>0</v>
      </c>
      <c r="N440" s="366">
        <f>+VLOOKUP(D440,'Resultats - informe'!$Y$18:$AG$42,'Introducció dades consum'!K440+1,0)</f>
        <v>0</v>
      </c>
      <c r="O440" s="367" cm="1">
        <f t="array" ref="O440">+_xlfn.SWITCH(MONTH(C440),1,1,2,1,3,1,4,2,5,2,6,3,7,3,8,3,9,3,10,2,11,2,12,1,2)</f>
        <v>1</v>
      </c>
      <c r="P440" s="43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</row>
    <row r="441" spans="1:73" ht="18" x14ac:dyDescent="0.35">
      <c r="A441" s="43"/>
      <c r="C441" s="393"/>
      <c r="E441" s="394"/>
      <c r="F441" s="394"/>
      <c r="G441" s="394"/>
      <c r="H441" s="8" t="s">
        <v>61</v>
      </c>
      <c r="I441" s="364">
        <f t="shared" si="19"/>
        <v>0</v>
      </c>
      <c r="J441" s="365">
        <f t="shared" si="18"/>
        <v>0</v>
      </c>
      <c r="K441" s="366">
        <f t="shared" si="20"/>
        <v>6</v>
      </c>
      <c r="L441" s="366">
        <f>+IF((C441&gt;='Resultats - informe'!$E$16)*(C441&lt;='Resultats - informe'!$G$16),1,0)</f>
        <v>1</v>
      </c>
      <c r="M441" s="366" cm="1">
        <f t="array" ref="M441">+_xlfn.IFS((C441&gt;='Resultats - informe'!$D$26)*(C441&lt;='Resultats - informe'!$E$26),0,(C441&gt;='Resultats - informe'!$D$27)*(C441&lt;='Resultats - informe'!$E$27),0,(C441&gt;='Resultats - informe'!$D$28)*(C441&lt;='Resultats - informe'!$E$28),0,(C441&gt;='Resultats - informe'!$D$29)*(C441&lt;='Resultats - informe'!$E$29),0,1,1)</f>
        <v>0</v>
      </c>
      <c r="N441" s="366">
        <f>+VLOOKUP(D441,'Resultats - informe'!$Y$18:$AG$42,'Introducció dades consum'!K441+1,0)</f>
        <v>0</v>
      </c>
      <c r="O441" s="367" cm="1">
        <f t="array" ref="O441">+_xlfn.SWITCH(MONTH(C441),1,1,2,1,3,1,4,2,5,2,6,3,7,3,8,3,9,3,10,2,11,2,12,1,2)</f>
        <v>1</v>
      </c>
      <c r="P441" s="43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</row>
    <row r="442" spans="1:73" ht="18" x14ac:dyDescent="0.35">
      <c r="A442" s="43"/>
      <c r="C442" s="393"/>
      <c r="E442" s="394"/>
      <c r="F442" s="394"/>
      <c r="G442" s="394"/>
      <c r="H442" s="8" t="s">
        <v>61</v>
      </c>
      <c r="I442" s="364">
        <f t="shared" si="19"/>
        <v>0</v>
      </c>
      <c r="J442" s="365">
        <f t="shared" si="18"/>
        <v>0</v>
      </c>
      <c r="K442" s="366">
        <f t="shared" si="20"/>
        <v>6</v>
      </c>
      <c r="L442" s="366">
        <f>+IF((C442&gt;='Resultats - informe'!$E$16)*(C442&lt;='Resultats - informe'!$G$16),1,0)</f>
        <v>1</v>
      </c>
      <c r="M442" s="366" cm="1">
        <f t="array" ref="M442">+_xlfn.IFS((C442&gt;='Resultats - informe'!$D$26)*(C442&lt;='Resultats - informe'!$E$26),0,(C442&gt;='Resultats - informe'!$D$27)*(C442&lt;='Resultats - informe'!$E$27),0,(C442&gt;='Resultats - informe'!$D$28)*(C442&lt;='Resultats - informe'!$E$28),0,(C442&gt;='Resultats - informe'!$D$29)*(C442&lt;='Resultats - informe'!$E$29),0,1,1)</f>
        <v>0</v>
      </c>
      <c r="N442" s="366">
        <f>+VLOOKUP(D442,'Resultats - informe'!$Y$18:$AG$42,'Introducció dades consum'!K442+1,0)</f>
        <v>0</v>
      </c>
      <c r="O442" s="367" cm="1">
        <f t="array" ref="O442">+_xlfn.SWITCH(MONTH(C442),1,1,2,1,3,1,4,2,5,2,6,3,7,3,8,3,9,3,10,2,11,2,12,1,2)</f>
        <v>1</v>
      </c>
      <c r="P442" s="43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</row>
    <row r="443" spans="1:73" ht="18" x14ac:dyDescent="0.35">
      <c r="A443" s="43"/>
      <c r="C443" s="393"/>
      <c r="E443" s="394"/>
      <c r="F443" s="394"/>
      <c r="G443" s="394"/>
      <c r="H443" s="8" t="s">
        <v>61</v>
      </c>
      <c r="I443" s="364">
        <f t="shared" si="19"/>
        <v>0</v>
      </c>
      <c r="J443" s="365">
        <f t="shared" si="18"/>
        <v>0</v>
      </c>
      <c r="K443" s="366">
        <f t="shared" si="20"/>
        <v>6</v>
      </c>
      <c r="L443" s="366">
        <f>+IF((C443&gt;='Resultats - informe'!$E$16)*(C443&lt;='Resultats - informe'!$G$16),1,0)</f>
        <v>1</v>
      </c>
      <c r="M443" s="366" cm="1">
        <f t="array" ref="M443">+_xlfn.IFS((C443&gt;='Resultats - informe'!$D$26)*(C443&lt;='Resultats - informe'!$E$26),0,(C443&gt;='Resultats - informe'!$D$27)*(C443&lt;='Resultats - informe'!$E$27),0,(C443&gt;='Resultats - informe'!$D$28)*(C443&lt;='Resultats - informe'!$E$28),0,(C443&gt;='Resultats - informe'!$D$29)*(C443&lt;='Resultats - informe'!$E$29),0,1,1)</f>
        <v>0</v>
      </c>
      <c r="N443" s="366">
        <f>+VLOOKUP(D443,'Resultats - informe'!$Y$18:$AG$42,'Introducció dades consum'!K443+1,0)</f>
        <v>0</v>
      </c>
      <c r="O443" s="367" cm="1">
        <f t="array" ref="O443">+_xlfn.SWITCH(MONTH(C443),1,1,2,1,3,1,4,2,5,2,6,3,7,3,8,3,9,3,10,2,11,2,12,1,2)</f>
        <v>1</v>
      </c>
      <c r="P443" s="43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</row>
    <row r="444" spans="1:73" ht="18" x14ac:dyDescent="0.35">
      <c r="A444" s="43"/>
      <c r="C444" s="393"/>
      <c r="E444" s="394"/>
      <c r="F444" s="394"/>
      <c r="G444" s="394"/>
      <c r="H444" s="8" t="s">
        <v>61</v>
      </c>
      <c r="I444" s="364">
        <f t="shared" si="19"/>
        <v>0</v>
      </c>
      <c r="J444" s="365">
        <f t="shared" si="18"/>
        <v>0</v>
      </c>
      <c r="K444" s="366">
        <f t="shared" si="20"/>
        <v>6</v>
      </c>
      <c r="L444" s="366">
        <f>+IF((C444&gt;='Resultats - informe'!$E$16)*(C444&lt;='Resultats - informe'!$G$16),1,0)</f>
        <v>1</v>
      </c>
      <c r="M444" s="366" cm="1">
        <f t="array" ref="M444">+_xlfn.IFS((C444&gt;='Resultats - informe'!$D$26)*(C444&lt;='Resultats - informe'!$E$26),0,(C444&gt;='Resultats - informe'!$D$27)*(C444&lt;='Resultats - informe'!$E$27),0,(C444&gt;='Resultats - informe'!$D$28)*(C444&lt;='Resultats - informe'!$E$28),0,(C444&gt;='Resultats - informe'!$D$29)*(C444&lt;='Resultats - informe'!$E$29),0,1,1)</f>
        <v>0</v>
      </c>
      <c r="N444" s="366">
        <f>+VLOOKUP(D444,'Resultats - informe'!$Y$18:$AG$42,'Introducció dades consum'!K444+1,0)</f>
        <v>0</v>
      </c>
      <c r="O444" s="367" cm="1">
        <f t="array" ref="O444">+_xlfn.SWITCH(MONTH(C444),1,1,2,1,3,1,4,2,5,2,6,3,7,3,8,3,9,3,10,2,11,2,12,1,2)</f>
        <v>1</v>
      </c>
      <c r="P444" s="43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</row>
    <row r="445" spans="1:73" ht="18" x14ac:dyDescent="0.35">
      <c r="A445" s="43"/>
      <c r="C445" s="393"/>
      <c r="E445" s="394"/>
      <c r="F445" s="394"/>
      <c r="G445" s="394"/>
      <c r="H445" s="8" t="s">
        <v>61</v>
      </c>
      <c r="I445" s="364">
        <f t="shared" si="19"/>
        <v>0</v>
      </c>
      <c r="J445" s="365">
        <f t="shared" si="18"/>
        <v>0</v>
      </c>
      <c r="K445" s="366">
        <f t="shared" si="20"/>
        <v>6</v>
      </c>
      <c r="L445" s="366">
        <f>+IF((C445&gt;='Resultats - informe'!$E$16)*(C445&lt;='Resultats - informe'!$G$16),1,0)</f>
        <v>1</v>
      </c>
      <c r="M445" s="366" cm="1">
        <f t="array" ref="M445">+_xlfn.IFS((C445&gt;='Resultats - informe'!$D$26)*(C445&lt;='Resultats - informe'!$E$26),0,(C445&gt;='Resultats - informe'!$D$27)*(C445&lt;='Resultats - informe'!$E$27),0,(C445&gt;='Resultats - informe'!$D$28)*(C445&lt;='Resultats - informe'!$E$28),0,(C445&gt;='Resultats - informe'!$D$29)*(C445&lt;='Resultats - informe'!$E$29),0,1,1)</f>
        <v>0</v>
      </c>
      <c r="N445" s="366">
        <f>+VLOOKUP(D445,'Resultats - informe'!$Y$18:$AG$42,'Introducció dades consum'!K445+1,0)</f>
        <v>0</v>
      </c>
      <c r="O445" s="367" cm="1">
        <f t="array" ref="O445">+_xlfn.SWITCH(MONTH(C445),1,1,2,1,3,1,4,2,5,2,6,3,7,3,8,3,9,3,10,2,11,2,12,1,2)</f>
        <v>1</v>
      </c>
      <c r="P445" s="43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</row>
    <row r="446" spans="1:73" ht="18" x14ac:dyDescent="0.35">
      <c r="A446" s="43"/>
      <c r="C446" s="393"/>
      <c r="E446" s="394"/>
      <c r="F446" s="394"/>
      <c r="G446" s="394"/>
      <c r="H446" s="8" t="s">
        <v>61</v>
      </c>
      <c r="I446" s="364">
        <f t="shared" si="19"/>
        <v>0</v>
      </c>
      <c r="J446" s="365">
        <f t="shared" si="18"/>
        <v>0</v>
      </c>
      <c r="K446" s="366">
        <f t="shared" si="20"/>
        <v>6</v>
      </c>
      <c r="L446" s="366">
        <f>+IF((C446&gt;='Resultats - informe'!$E$16)*(C446&lt;='Resultats - informe'!$G$16),1,0)</f>
        <v>1</v>
      </c>
      <c r="M446" s="366" cm="1">
        <f t="array" ref="M446">+_xlfn.IFS((C446&gt;='Resultats - informe'!$D$26)*(C446&lt;='Resultats - informe'!$E$26),0,(C446&gt;='Resultats - informe'!$D$27)*(C446&lt;='Resultats - informe'!$E$27),0,(C446&gt;='Resultats - informe'!$D$28)*(C446&lt;='Resultats - informe'!$E$28),0,(C446&gt;='Resultats - informe'!$D$29)*(C446&lt;='Resultats - informe'!$E$29),0,1,1)</f>
        <v>0</v>
      </c>
      <c r="N446" s="366">
        <f>+VLOOKUP(D446,'Resultats - informe'!$Y$18:$AG$42,'Introducció dades consum'!K446+1,0)</f>
        <v>0</v>
      </c>
      <c r="O446" s="367" cm="1">
        <f t="array" ref="O446">+_xlfn.SWITCH(MONTH(C446),1,1,2,1,3,1,4,2,5,2,6,3,7,3,8,3,9,3,10,2,11,2,12,1,2)</f>
        <v>1</v>
      </c>
      <c r="P446" s="43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</row>
    <row r="447" spans="1:73" ht="18" x14ac:dyDescent="0.35">
      <c r="A447" s="43"/>
      <c r="C447" s="393"/>
      <c r="E447" s="394"/>
      <c r="F447" s="394"/>
      <c r="G447" s="394"/>
      <c r="H447" s="8" t="s">
        <v>61</v>
      </c>
      <c r="I447" s="364">
        <f t="shared" si="19"/>
        <v>0</v>
      </c>
      <c r="J447" s="365">
        <f t="shared" si="18"/>
        <v>0</v>
      </c>
      <c r="K447" s="366">
        <f t="shared" si="20"/>
        <v>6</v>
      </c>
      <c r="L447" s="366">
        <f>+IF((C447&gt;='Resultats - informe'!$E$16)*(C447&lt;='Resultats - informe'!$G$16),1,0)</f>
        <v>1</v>
      </c>
      <c r="M447" s="366" cm="1">
        <f t="array" ref="M447">+_xlfn.IFS((C447&gt;='Resultats - informe'!$D$26)*(C447&lt;='Resultats - informe'!$E$26),0,(C447&gt;='Resultats - informe'!$D$27)*(C447&lt;='Resultats - informe'!$E$27),0,(C447&gt;='Resultats - informe'!$D$28)*(C447&lt;='Resultats - informe'!$E$28),0,(C447&gt;='Resultats - informe'!$D$29)*(C447&lt;='Resultats - informe'!$E$29),0,1,1)</f>
        <v>0</v>
      </c>
      <c r="N447" s="366">
        <f>+VLOOKUP(D447,'Resultats - informe'!$Y$18:$AG$42,'Introducció dades consum'!K447+1,0)</f>
        <v>0</v>
      </c>
      <c r="O447" s="367" cm="1">
        <f t="array" ref="O447">+_xlfn.SWITCH(MONTH(C447),1,1,2,1,3,1,4,2,5,2,6,3,7,3,8,3,9,3,10,2,11,2,12,1,2)</f>
        <v>1</v>
      </c>
      <c r="P447" s="43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</row>
    <row r="448" spans="1:73" ht="18" x14ac:dyDescent="0.35">
      <c r="A448" s="43"/>
      <c r="C448" s="393"/>
      <c r="E448" s="394"/>
      <c r="F448" s="394"/>
      <c r="G448" s="394"/>
      <c r="H448" s="8" t="s">
        <v>61</v>
      </c>
      <c r="I448" s="364">
        <f t="shared" si="19"/>
        <v>0</v>
      </c>
      <c r="J448" s="365">
        <f t="shared" si="18"/>
        <v>0</v>
      </c>
      <c r="K448" s="366">
        <f t="shared" si="20"/>
        <v>6</v>
      </c>
      <c r="L448" s="366">
        <f>+IF((C448&gt;='Resultats - informe'!$E$16)*(C448&lt;='Resultats - informe'!$G$16),1,0)</f>
        <v>1</v>
      </c>
      <c r="M448" s="366" cm="1">
        <f t="array" ref="M448">+_xlfn.IFS((C448&gt;='Resultats - informe'!$D$26)*(C448&lt;='Resultats - informe'!$E$26),0,(C448&gt;='Resultats - informe'!$D$27)*(C448&lt;='Resultats - informe'!$E$27),0,(C448&gt;='Resultats - informe'!$D$28)*(C448&lt;='Resultats - informe'!$E$28),0,(C448&gt;='Resultats - informe'!$D$29)*(C448&lt;='Resultats - informe'!$E$29),0,1,1)</f>
        <v>0</v>
      </c>
      <c r="N448" s="366">
        <f>+VLOOKUP(D448,'Resultats - informe'!$Y$18:$AG$42,'Introducció dades consum'!K448+1,0)</f>
        <v>0</v>
      </c>
      <c r="O448" s="367" cm="1">
        <f t="array" ref="O448">+_xlfn.SWITCH(MONTH(C448),1,1,2,1,3,1,4,2,5,2,6,3,7,3,8,3,9,3,10,2,11,2,12,1,2)</f>
        <v>1</v>
      </c>
      <c r="P448" s="43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</row>
    <row r="449" spans="1:73" ht="18" x14ac:dyDescent="0.35">
      <c r="A449" s="43"/>
      <c r="C449" s="393"/>
      <c r="E449" s="394"/>
      <c r="F449" s="394"/>
      <c r="G449" s="394"/>
      <c r="H449" s="8" t="s">
        <v>61</v>
      </c>
      <c r="I449" s="364">
        <f t="shared" si="19"/>
        <v>0</v>
      </c>
      <c r="J449" s="365">
        <f t="shared" si="18"/>
        <v>0</v>
      </c>
      <c r="K449" s="366">
        <f t="shared" si="20"/>
        <v>6</v>
      </c>
      <c r="L449" s="366">
        <f>+IF((C449&gt;='Resultats - informe'!$E$16)*(C449&lt;='Resultats - informe'!$G$16),1,0)</f>
        <v>1</v>
      </c>
      <c r="M449" s="366" cm="1">
        <f t="array" ref="M449">+_xlfn.IFS((C449&gt;='Resultats - informe'!$D$26)*(C449&lt;='Resultats - informe'!$E$26),0,(C449&gt;='Resultats - informe'!$D$27)*(C449&lt;='Resultats - informe'!$E$27),0,(C449&gt;='Resultats - informe'!$D$28)*(C449&lt;='Resultats - informe'!$E$28),0,(C449&gt;='Resultats - informe'!$D$29)*(C449&lt;='Resultats - informe'!$E$29),0,1,1)</f>
        <v>0</v>
      </c>
      <c r="N449" s="366">
        <f>+VLOOKUP(D449,'Resultats - informe'!$Y$18:$AG$42,'Introducció dades consum'!K449+1,0)</f>
        <v>0</v>
      </c>
      <c r="O449" s="367" cm="1">
        <f t="array" ref="O449">+_xlfn.SWITCH(MONTH(C449),1,1,2,1,3,1,4,2,5,2,6,3,7,3,8,3,9,3,10,2,11,2,12,1,2)</f>
        <v>1</v>
      </c>
      <c r="P449" s="43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</row>
    <row r="450" spans="1:73" ht="18" x14ac:dyDescent="0.35">
      <c r="A450" s="43"/>
      <c r="C450" s="393"/>
      <c r="E450" s="394"/>
      <c r="F450" s="394"/>
      <c r="G450" s="394"/>
      <c r="H450" s="8" t="s">
        <v>61</v>
      </c>
      <c r="I450" s="364">
        <f t="shared" si="19"/>
        <v>0</v>
      </c>
      <c r="J450" s="365">
        <f t="shared" si="18"/>
        <v>0</v>
      </c>
      <c r="K450" s="366">
        <f t="shared" si="20"/>
        <v>6</v>
      </c>
      <c r="L450" s="366">
        <f>+IF((C450&gt;='Resultats - informe'!$E$16)*(C450&lt;='Resultats - informe'!$G$16),1,0)</f>
        <v>1</v>
      </c>
      <c r="M450" s="366" cm="1">
        <f t="array" ref="M450">+_xlfn.IFS((C450&gt;='Resultats - informe'!$D$26)*(C450&lt;='Resultats - informe'!$E$26),0,(C450&gt;='Resultats - informe'!$D$27)*(C450&lt;='Resultats - informe'!$E$27),0,(C450&gt;='Resultats - informe'!$D$28)*(C450&lt;='Resultats - informe'!$E$28),0,(C450&gt;='Resultats - informe'!$D$29)*(C450&lt;='Resultats - informe'!$E$29),0,1,1)</f>
        <v>0</v>
      </c>
      <c r="N450" s="366">
        <f>+VLOOKUP(D450,'Resultats - informe'!$Y$18:$AG$42,'Introducció dades consum'!K450+1,0)</f>
        <v>0</v>
      </c>
      <c r="O450" s="367" cm="1">
        <f t="array" ref="O450">+_xlfn.SWITCH(MONTH(C450),1,1,2,1,3,1,4,2,5,2,6,3,7,3,8,3,9,3,10,2,11,2,12,1,2)</f>
        <v>1</v>
      </c>
      <c r="P450" s="43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</row>
    <row r="451" spans="1:73" ht="18" x14ac:dyDescent="0.35">
      <c r="A451" s="43"/>
      <c r="C451" s="393"/>
      <c r="E451" s="394"/>
      <c r="F451" s="394"/>
      <c r="G451" s="394"/>
      <c r="H451" s="8" t="s">
        <v>61</v>
      </c>
      <c r="I451" s="364">
        <f t="shared" si="19"/>
        <v>0</v>
      </c>
      <c r="J451" s="365">
        <f t="shared" si="18"/>
        <v>0</v>
      </c>
      <c r="K451" s="366">
        <f t="shared" si="20"/>
        <v>6</v>
      </c>
      <c r="L451" s="366">
        <f>+IF((C451&gt;='Resultats - informe'!$E$16)*(C451&lt;='Resultats - informe'!$G$16),1,0)</f>
        <v>1</v>
      </c>
      <c r="M451" s="366" cm="1">
        <f t="array" ref="M451">+_xlfn.IFS((C451&gt;='Resultats - informe'!$D$26)*(C451&lt;='Resultats - informe'!$E$26),0,(C451&gt;='Resultats - informe'!$D$27)*(C451&lt;='Resultats - informe'!$E$27),0,(C451&gt;='Resultats - informe'!$D$28)*(C451&lt;='Resultats - informe'!$E$28),0,(C451&gt;='Resultats - informe'!$D$29)*(C451&lt;='Resultats - informe'!$E$29),0,1,1)</f>
        <v>0</v>
      </c>
      <c r="N451" s="366">
        <f>+VLOOKUP(D451,'Resultats - informe'!$Y$18:$AG$42,'Introducció dades consum'!K451+1,0)</f>
        <v>0</v>
      </c>
      <c r="O451" s="367" cm="1">
        <f t="array" ref="O451">+_xlfn.SWITCH(MONTH(C451),1,1,2,1,3,1,4,2,5,2,6,3,7,3,8,3,9,3,10,2,11,2,12,1,2)</f>
        <v>1</v>
      </c>
      <c r="P451" s="43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</row>
    <row r="452" spans="1:73" ht="18" x14ac:dyDescent="0.35">
      <c r="A452" s="43"/>
      <c r="C452" s="393"/>
      <c r="E452" s="394"/>
      <c r="F452" s="394"/>
      <c r="G452" s="394"/>
      <c r="H452" s="8" t="s">
        <v>61</v>
      </c>
      <c r="I452" s="364">
        <f t="shared" si="19"/>
        <v>0</v>
      </c>
      <c r="J452" s="365">
        <f t="shared" si="18"/>
        <v>0</v>
      </c>
      <c r="K452" s="366">
        <f t="shared" si="20"/>
        <v>6</v>
      </c>
      <c r="L452" s="366">
        <f>+IF((C452&gt;='Resultats - informe'!$E$16)*(C452&lt;='Resultats - informe'!$G$16),1,0)</f>
        <v>1</v>
      </c>
      <c r="M452" s="366" cm="1">
        <f t="array" ref="M452">+_xlfn.IFS((C452&gt;='Resultats - informe'!$D$26)*(C452&lt;='Resultats - informe'!$E$26),0,(C452&gt;='Resultats - informe'!$D$27)*(C452&lt;='Resultats - informe'!$E$27),0,(C452&gt;='Resultats - informe'!$D$28)*(C452&lt;='Resultats - informe'!$E$28),0,(C452&gt;='Resultats - informe'!$D$29)*(C452&lt;='Resultats - informe'!$E$29),0,1,1)</f>
        <v>0</v>
      </c>
      <c r="N452" s="366">
        <f>+VLOOKUP(D452,'Resultats - informe'!$Y$18:$AG$42,'Introducció dades consum'!K452+1,0)</f>
        <v>0</v>
      </c>
      <c r="O452" s="367" cm="1">
        <f t="array" ref="O452">+_xlfn.SWITCH(MONTH(C452),1,1,2,1,3,1,4,2,5,2,6,3,7,3,8,3,9,3,10,2,11,2,12,1,2)</f>
        <v>1</v>
      </c>
      <c r="P452" s="43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</row>
    <row r="453" spans="1:73" ht="18" x14ac:dyDescent="0.35">
      <c r="A453" s="43"/>
      <c r="C453" s="393"/>
      <c r="E453" s="394"/>
      <c r="F453" s="394"/>
      <c r="G453" s="394"/>
      <c r="H453" s="8" t="s">
        <v>61</v>
      </c>
      <c r="I453" s="364">
        <f t="shared" si="19"/>
        <v>0</v>
      </c>
      <c r="J453" s="365">
        <f t="shared" ref="J453:J516" si="21">+C453</f>
        <v>0</v>
      </c>
      <c r="K453" s="366">
        <f t="shared" si="20"/>
        <v>6</v>
      </c>
      <c r="L453" s="366">
        <f>+IF((C453&gt;='Resultats - informe'!$E$16)*(C453&lt;='Resultats - informe'!$G$16),1,0)</f>
        <v>1</v>
      </c>
      <c r="M453" s="366" cm="1">
        <f t="array" ref="M453">+_xlfn.IFS((C453&gt;='Resultats - informe'!$D$26)*(C453&lt;='Resultats - informe'!$E$26),0,(C453&gt;='Resultats - informe'!$D$27)*(C453&lt;='Resultats - informe'!$E$27),0,(C453&gt;='Resultats - informe'!$D$28)*(C453&lt;='Resultats - informe'!$E$28),0,(C453&gt;='Resultats - informe'!$D$29)*(C453&lt;='Resultats - informe'!$E$29),0,1,1)</f>
        <v>0</v>
      </c>
      <c r="N453" s="366">
        <f>+VLOOKUP(D453,'Resultats - informe'!$Y$18:$AG$42,'Introducció dades consum'!K453+1,0)</f>
        <v>0</v>
      </c>
      <c r="O453" s="367" cm="1">
        <f t="array" ref="O453">+_xlfn.SWITCH(MONTH(C453),1,1,2,1,3,1,4,2,5,2,6,3,7,3,8,3,9,3,10,2,11,2,12,1,2)</f>
        <v>1</v>
      </c>
      <c r="P453" s="43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</row>
    <row r="454" spans="1:73" ht="18" x14ac:dyDescent="0.35">
      <c r="A454" s="43"/>
      <c r="C454" s="393"/>
      <c r="E454" s="394"/>
      <c r="F454" s="394"/>
      <c r="G454" s="394"/>
      <c r="H454" s="8" t="s">
        <v>61</v>
      </c>
      <c r="I454" s="364">
        <f t="shared" ref="I454:I517" si="22">+E454+G454</f>
        <v>0</v>
      </c>
      <c r="J454" s="365">
        <f t="shared" si="21"/>
        <v>0</v>
      </c>
      <c r="K454" s="366">
        <f t="shared" ref="K454:K517" si="23">+WEEKDAY(C454,2)</f>
        <v>6</v>
      </c>
      <c r="L454" s="366">
        <f>+IF((C454&gt;='Resultats - informe'!$E$16)*(C454&lt;='Resultats - informe'!$G$16),1,0)</f>
        <v>1</v>
      </c>
      <c r="M454" s="366" cm="1">
        <f t="array" ref="M454">+_xlfn.IFS((C454&gt;='Resultats - informe'!$D$26)*(C454&lt;='Resultats - informe'!$E$26),0,(C454&gt;='Resultats - informe'!$D$27)*(C454&lt;='Resultats - informe'!$E$27),0,(C454&gt;='Resultats - informe'!$D$28)*(C454&lt;='Resultats - informe'!$E$28),0,(C454&gt;='Resultats - informe'!$D$29)*(C454&lt;='Resultats - informe'!$E$29),0,1,1)</f>
        <v>0</v>
      </c>
      <c r="N454" s="366">
        <f>+VLOOKUP(D454,'Resultats - informe'!$Y$18:$AG$42,'Introducció dades consum'!K454+1,0)</f>
        <v>0</v>
      </c>
      <c r="O454" s="367" cm="1">
        <f t="array" ref="O454">+_xlfn.SWITCH(MONTH(C454),1,1,2,1,3,1,4,2,5,2,6,3,7,3,8,3,9,3,10,2,11,2,12,1,2)</f>
        <v>1</v>
      </c>
      <c r="P454" s="43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</row>
    <row r="455" spans="1:73" ht="18" x14ac:dyDescent="0.35">
      <c r="A455" s="43"/>
      <c r="C455" s="393"/>
      <c r="E455" s="394"/>
      <c r="F455" s="394"/>
      <c r="G455" s="394"/>
      <c r="H455" s="8" t="s">
        <v>61</v>
      </c>
      <c r="I455" s="364">
        <f t="shared" si="22"/>
        <v>0</v>
      </c>
      <c r="J455" s="365">
        <f t="shared" si="21"/>
        <v>0</v>
      </c>
      <c r="K455" s="366">
        <f t="shared" si="23"/>
        <v>6</v>
      </c>
      <c r="L455" s="366">
        <f>+IF((C455&gt;='Resultats - informe'!$E$16)*(C455&lt;='Resultats - informe'!$G$16),1,0)</f>
        <v>1</v>
      </c>
      <c r="M455" s="366" cm="1">
        <f t="array" ref="M455">+_xlfn.IFS((C455&gt;='Resultats - informe'!$D$26)*(C455&lt;='Resultats - informe'!$E$26),0,(C455&gt;='Resultats - informe'!$D$27)*(C455&lt;='Resultats - informe'!$E$27),0,(C455&gt;='Resultats - informe'!$D$28)*(C455&lt;='Resultats - informe'!$E$28),0,(C455&gt;='Resultats - informe'!$D$29)*(C455&lt;='Resultats - informe'!$E$29),0,1,1)</f>
        <v>0</v>
      </c>
      <c r="N455" s="366">
        <f>+VLOOKUP(D455,'Resultats - informe'!$Y$18:$AG$42,'Introducció dades consum'!K455+1,0)</f>
        <v>0</v>
      </c>
      <c r="O455" s="367" cm="1">
        <f t="array" ref="O455">+_xlfn.SWITCH(MONTH(C455),1,1,2,1,3,1,4,2,5,2,6,3,7,3,8,3,9,3,10,2,11,2,12,1,2)</f>
        <v>1</v>
      </c>
      <c r="P455" s="43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</row>
    <row r="456" spans="1:73" ht="18" x14ac:dyDescent="0.35">
      <c r="A456" s="43"/>
      <c r="C456" s="393"/>
      <c r="E456" s="394"/>
      <c r="F456" s="394"/>
      <c r="G456" s="394"/>
      <c r="H456" s="8" t="s">
        <v>61</v>
      </c>
      <c r="I456" s="364">
        <f t="shared" si="22"/>
        <v>0</v>
      </c>
      <c r="J456" s="365">
        <f t="shared" si="21"/>
        <v>0</v>
      </c>
      <c r="K456" s="366">
        <f t="shared" si="23"/>
        <v>6</v>
      </c>
      <c r="L456" s="366">
        <f>+IF((C456&gt;='Resultats - informe'!$E$16)*(C456&lt;='Resultats - informe'!$G$16),1,0)</f>
        <v>1</v>
      </c>
      <c r="M456" s="366" cm="1">
        <f t="array" ref="M456">+_xlfn.IFS((C456&gt;='Resultats - informe'!$D$26)*(C456&lt;='Resultats - informe'!$E$26),0,(C456&gt;='Resultats - informe'!$D$27)*(C456&lt;='Resultats - informe'!$E$27),0,(C456&gt;='Resultats - informe'!$D$28)*(C456&lt;='Resultats - informe'!$E$28),0,(C456&gt;='Resultats - informe'!$D$29)*(C456&lt;='Resultats - informe'!$E$29),0,1,1)</f>
        <v>0</v>
      </c>
      <c r="N456" s="366">
        <f>+VLOOKUP(D456,'Resultats - informe'!$Y$18:$AG$42,'Introducció dades consum'!K456+1,0)</f>
        <v>0</v>
      </c>
      <c r="O456" s="367" cm="1">
        <f t="array" ref="O456">+_xlfn.SWITCH(MONTH(C456),1,1,2,1,3,1,4,2,5,2,6,3,7,3,8,3,9,3,10,2,11,2,12,1,2)</f>
        <v>1</v>
      </c>
      <c r="P456" s="43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</row>
    <row r="457" spans="1:73" ht="18" x14ac:dyDescent="0.35">
      <c r="A457" s="43"/>
      <c r="C457" s="393"/>
      <c r="E457" s="394"/>
      <c r="F457" s="394"/>
      <c r="G457" s="394"/>
      <c r="H457" s="8" t="s">
        <v>61</v>
      </c>
      <c r="I457" s="364">
        <f t="shared" si="22"/>
        <v>0</v>
      </c>
      <c r="J457" s="365">
        <f t="shared" si="21"/>
        <v>0</v>
      </c>
      <c r="K457" s="366">
        <f t="shared" si="23"/>
        <v>6</v>
      </c>
      <c r="L457" s="366">
        <f>+IF((C457&gt;='Resultats - informe'!$E$16)*(C457&lt;='Resultats - informe'!$G$16),1,0)</f>
        <v>1</v>
      </c>
      <c r="M457" s="366" cm="1">
        <f t="array" ref="M457">+_xlfn.IFS((C457&gt;='Resultats - informe'!$D$26)*(C457&lt;='Resultats - informe'!$E$26),0,(C457&gt;='Resultats - informe'!$D$27)*(C457&lt;='Resultats - informe'!$E$27),0,(C457&gt;='Resultats - informe'!$D$28)*(C457&lt;='Resultats - informe'!$E$28),0,(C457&gt;='Resultats - informe'!$D$29)*(C457&lt;='Resultats - informe'!$E$29),0,1,1)</f>
        <v>0</v>
      </c>
      <c r="N457" s="366">
        <f>+VLOOKUP(D457,'Resultats - informe'!$Y$18:$AG$42,'Introducció dades consum'!K457+1,0)</f>
        <v>0</v>
      </c>
      <c r="O457" s="367" cm="1">
        <f t="array" ref="O457">+_xlfn.SWITCH(MONTH(C457),1,1,2,1,3,1,4,2,5,2,6,3,7,3,8,3,9,3,10,2,11,2,12,1,2)</f>
        <v>1</v>
      </c>
      <c r="P457" s="43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</row>
    <row r="458" spans="1:73" ht="18" x14ac:dyDescent="0.35">
      <c r="A458" s="43"/>
      <c r="C458" s="393"/>
      <c r="E458" s="394"/>
      <c r="F458" s="394"/>
      <c r="G458" s="394"/>
      <c r="H458" s="8" t="s">
        <v>61</v>
      </c>
      <c r="I458" s="364">
        <f t="shared" si="22"/>
        <v>0</v>
      </c>
      <c r="J458" s="365">
        <f t="shared" si="21"/>
        <v>0</v>
      </c>
      <c r="K458" s="366">
        <f t="shared" si="23"/>
        <v>6</v>
      </c>
      <c r="L458" s="366">
        <f>+IF((C458&gt;='Resultats - informe'!$E$16)*(C458&lt;='Resultats - informe'!$G$16),1,0)</f>
        <v>1</v>
      </c>
      <c r="M458" s="366" cm="1">
        <f t="array" ref="M458">+_xlfn.IFS((C458&gt;='Resultats - informe'!$D$26)*(C458&lt;='Resultats - informe'!$E$26),0,(C458&gt;='Resultats - informe'!$D$27)*(C458&lt;='Resultats - informe'!$E$27),0,(C458&gt;='Resultats - informe'!$D$28)*(C458&lt;='Resultats - informe'!$E$28),0,(C458&gt;='Resultats - informe'!$D$29)*(C458&lt;='Resultats - informe'!$E$29),0,1,1)</f>
        <v>0</v>
      </c>
      <c r="N458" s="366">
        <f>+VLOOKUP(D458,'Resultats - informe'!$Y$18:$AG$42,'Introducció dades consum'!K458+1,0)</f>
        <v>0</v>
      </c>
      <c r="O458" s="367" cm="1">
        <f t="array" ref="O458">+_xlfn.SWITCH(MONTH(C458),1,1,2,1,3,1,4,2,5,2,6,3,7,3,8,3,9,3,10,2,11,2,12,1,2)</f>
        <v>1</v>
      </c>
      <c r="P458" s="43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</row>
    <row r="459" spans="1:73" ht="18" x14ac:dyDescent="0.35">
      <c r="A459" s="43"/>
      <c r="C459" s="393"/>
      <c r="E459" s="394"/>
      <c r="F459" s="394"/>
      <c r="G459" s="394"/>
      <c r="H459" s="8" t="s">
        <v>61</v>
      </c>
      <c r="I459" s="364">
        <f t="shared" si="22"/>
        <v>0</v>
      </c>
      <c r="J459" s="365">
        <f t="shared" si="21"/>
        <v>0</v>
      </c>
      <c r="K459" s="366">
        <f t="shared" si="23"/>
        <v>6</v>
      </c>
      <c r="L459" s="366">
        <f>+IF((C459&gt;='Resultats - informe'!$E$16)*(C459&lt;='Resultats - informe'!$G$16),1,0)</f>
        <v>1</v>
      </c>
      <c r="M459" s="366" cm="1">
        <f t="array" ref="M459">+_xlfn.IFS((C459&gt;='Resultats - informe'!$D$26)*(C459&lt;='Resultats - informe'!$E$26),0,(C459&gt;='Resultats - informe'!$D$27)*(C459&lt;='Resultats - informe'!$E$27),0,(C459&gt;='Resultats - informe'!$D$28)*(C459&lt;='Resultats - informe'!$E$28),0,(C459&gt;='Resultats - informe'!$D$29)*(C459&lt;='Resultats - informe'!$E$29),0,1,1)</f>
        <v>0</v>
      </c>
      <c r="N459" s="366">
        <f>+VLOOKUP(D459,'Resultats - informe'!$Y$18:$AG$42,'Introducció dades consum'!K459+1,0)</f>
        <v>0</v>
      </c>
      <c r="O459" s="367" cm="1">
        <f t="array" ref="O459">+_xlfn.SWITCH(MONTH(C459),1,1,2,1,3,1,4,2,5,2,6,3,7,3,8,3,9,3,10,2,11,2,12,1,2)</f>
        <v>1</v>
      </c>
      <c r="P459" s="43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</row>
    <row r="460" spans="1:73" ht="18" x14ac:dyDescent="0.35">
      <c r="A460" s="43"/>
      <c r="C460" s="393"/>
      <c r="E460" s="394"/>
      <c r="F460" s="394"/>
      <c r="G460" s="394"/>
      <c r="H460" s="8" t="s">
        <v>61</v>
      </c>
      <c r="I460" s="364">
        <f t="shared" si="22"/>
        <v>0</v>
      </c>
      <c r="J460" s="365">
        <f t="shared" si="21"/>
        <v>0</v>
      </c>
      <c r="K460" s="366">
        <f t="shared" si="23"/>
        <v>6</v>
      </c>
      <c r="L460" s="366">
        <f>+IF((C460&gt;='Resultats - informe'!$E$16)*(C460&lt;='Resultats - informe'!$G$16),1,0)</f>
        <v>1</v>
      </c>
      <c r="M460" s="366" cm="1">
        <f t="array" ref="M460">+_xlfn.IFS((C460&gt;='Resultats - informe'!$D$26)*(C460&lt;='Resultats - informe'!$E$26),0,(C460&gt;='Resultats - informe'!$D$27)*(C460&lt;='Resultats - informe'!$E$27),0,(C460&gt;='Resultats - informe'!$D$28)*(C460&lt;='Resultats - informe'!$E$28),0,(C460&gt;='Resultats - informe'!$D$29)*(C460&lt;='Resultats - informe'!$E$29),0,1,1)</f>
        <v>0</v>
      </c>
      <c r="N460" s="366">
        <f>+VLOOKUP(D460,'Resultats - informe'!$Y$18:$AG$42,'Introducció dades consum'!K460+1,0)</f>
        <v>0</v>
      </c>
      <c r="O460" s="367" cm="1">
        <f t="array" ref="O460">+_xlfn.SWITCH(MONTH(C460),1,1,2,1,3,1,4,2,5,2,6,3,7,3,8,3,9,3,10,2,11,2,12,1,2)</f>
        <v>1</v>
      </c>
      <c r="P460" s="43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</row>
    <row r="461" spans="1:73" ht="18" x14ac:dyDescent="0.35">
      <c r="A461" s="43"/>
      <c r="C461" s="393"/>
      <c r="E461" s="394"/>
      <c r="F461" s="394"/>
      <c r="G461" s="394"/>
      <c r="H461" s="8" t="s">
        <v>61</v>
      </c>
      <c r="I461" s="364">
        <f t="shared" si="22"/>
        <v>0</v>
      </c>
      <c r="J461" s="365">
        <f t="shared" si="21"/>
        <v>0</v>
      </c>
      <c r="K461" s="366">
        <f t="shared" si="23"/>
        <v>6</v>
      </c>
      <c r="L461" s="366">
        <f>+IF((C461&gt;='Resultats - informe'!$E$16)*(C461&lt;='Resultats - informe'!$G$16),1,0)</f>
        <v>1</v>
      </c>
      <c r="M461" s="366" cm="1">
        <f t="array" ref="M461">+_xlfn.IFS((C461&gt;='Resultats - informe'!$D$26)*(C461&lt;='Resultats - informe'!$E$26),0,(C461&gt;='Resultats - informe'!$D$27)*(C461&lt;='Resultats - informe'!$E$27),0,(C461&gt;='Resultats - informe'!$D$28)*(C461&lt;='Resultats - informe'!$E$28),0,(C461&gt;='Resultats - informe'!$D$29)*(C461&lt;='Resultats - informe'!$E$29),0,1,1)</f>
        <v>0</v>
      </c>
      <c r="N461" s="366">
        <f>+VLOOKUP(D461,'Resultats - informe'!$Y$18:$AG$42,'Introducció dades consum'!K461+1,0)</f>
        <v>0</v>
      </c>
      <c r="O461" s="367" cm="1">
        <f t="array" ref="O461">+_xlfn.SWITCH(MONTH(C461),1,1,2,1,3,1,4,2,5,2,6,3,7,3,8,3,9,3,10,2,11,2,12,1,2)</f>
        <v>1</v>
      </c>
      <c r="P461" s="43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</row>
    <row r="462" spans="1:73" ht="18" x14ac:dyDescent="0.35">
      <c r="A462" s="43"/>
      <c r="C462" s="393"/>
      <c r="E462" s="394"/>
      <c r="F462" s="394"/>
      <c r="G462" s="394"/>
      <c r="H462" s="8" t="s">
        <v>61</v>
      </c>
      <c r="I462" s="364">
        <f t="shared" si="22"/>
        <v>0</v>
      </c>
      <c r="J462" s="365">
        <f t="shared" si="21"/>
        <v>0</v>
      </c>
      <c r="K462" s="366">
        <f t="shared" si="23"/>
        <v>6</v>
      </c>
      <c r="L462" s="366">
        <f>+IF((C462&gt;='Resultats - informe'!$E$16)*(C462&lt;='Resultats - informe'!$G$16),1,0)</f>
        <v>1</v>
      </c>
      <c r="M462" s="366" cm="1">
        <f t="array" ref="M462">+_xlfn.IFS((C462&gt;='Resultats - informe'!$D$26)*(C462&lt;='Resultats - informe'!$E$26),0,(C462&gt;='Resultats - informe'!$D$27)*(C462&lt;='Resultats - informe'!$E$27),0,(C462&gt;='Resultats - informe'!$D$28)*(C462&lt;='Resultats - informe'!$E$28),0,(C462&gt;='Resultats - informe'!$D$29)*(C462&lt;='Resultats - informe'!$E$29),0,1,1)</f>
        <v>0</v>
      </c>
      <c r="N462" s="366">
        <f>+VLOOKUP(D462,'Resultats - informe'!$Y$18:$AG$42,'Introducció dades consum'!K462+1,0)</f>
        <v>0</v>
      </c>
      <c r="O462" s="367" cm="1">
        <f t="array" ref="O462">+_xlfn.SWITCH(MONTH(C462),1,1,2,1,3,1,4,2,5,2,6,3,7,3,8,3,9,3,10,2,11,2,12,1,2)</f>
        <v>1</v>
      </c>
      <c r="P462" s="43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</row>
    <row r="463" spans="1:73" ht="18" x14ac:dyDescent="0.35">
      <c r="A463" s="43"/>
      <c r="C463" s="393"/>
      <c r="E463" s="394"/>
      <c r="F463" s="394"/>
      <c r="G463" s="394"/>
      <c r="H463" s="8" t="s">
        <v>61</v>
      </c>
      <c r="I463" s="364">
        <f t="shared" si="22"/>
        <v>0</v>
      </c>
      <c r="J463" s="365">
        <f t="shared" si="21"/>
        <v>0</v>
      </c>
      <c r="K463" s="366">
        <f t="shared" si="23"/>
        <v>6</v>
      </c>
      <c r="L463" s="366">
        <f>+IF((C463&gt;='Resultats - informe'!$E$16)*(C463&lt;='Resultats - informe'!$G$16),1,0)</f>
        <v>1</v>
      </c>
      <c r="M463" s="366" cm="1">
        <f t="array" ref="M463">+_xlfn.IFS((C463&gt;='Resultats - informe'!$D$26)*(C463&lt;='Resultats - informe'!$E$26),0,(C463&gt;='Resultats - informe'!$D$27)*(C463&lt;='Resultats - informe'!$E$27),0,(C463&gt;='Resultats - informe'!$D$28)*(C463&lt;='Resultats - informe'!$E$28),0,(C463&gt;='Resultats - informe'!$D$29)*(C463&lt;='Resultats - informe'!$E$29),0,1,1)</f>
        <v>0</v>
      </c>
      <c r="N463" s="366">
        <f>+VLOOKUP(D463,'Resultats - informe'!$Y$18:$AG$42,'Introducció dades consum'!K463+1,0)</f>
        <v>0</v>
      </c>
      <c r="O463" s="367" cm="1">
        <f t="array" ref="O463">+_xlfn.SWITCH(MONTH(C463),1,1,2,1,3,1,4,2,5,2,6,3,7,3,8,3,9,3,10,2,11,2,12,1,2)</f>
        <v>1</v>
      </c>
      <c r="P463" s="43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</row>
    <row r="464" spans="1:73" ht="18" x14ac:dyDescent="0.35">
      <c r="A464" s="43"/>
      <c r="C464" s="393"/>
      <c r="E464" s="394"/>
      <c r="F464" s="394"/>
      <c r="G464" s="394"/>
      <c r="H464" s="8" t="s">
        <v>61</v>
      </c>
      <c r="I464" s="364">
        <f t="shared" si="22"/>
        <v>0</v>
      </c>
      <c r="J464" s="365">
        <f t="shared" si="21"/>
        <v>0</v>
      </c>
      <c r="K464" s="366">
        <f t="shared" si="23"/>
        <v>6</v>
      </c>
      <c r="L464" s="366">
        <f>+IF((C464&gt;='Resultats - informe'!$E$16)*(C464&lt;='Resultats - informe'!$G$16),1,0)</f>
        <v>1</v>
      </c>
      <c r="M464" s="366" cm="1">
        <f t="array" ref="M464">+_xlfn.IFS((C464&gt;='Resultats - informe'!$D$26)*(C464&lt;='Resultats - informe'!$E$26),0,(C464&gt;='Resultats - informe'!$D$27)*(C464&lt;='Resultats - informe'!$E$27),0,(C464&gt;='Resultats - informe'!$D$28)*(C464&lt;='Resultats - informe'!$E$28),0,(C464&gt;='Resultats - informe'!$D$29)*(C464&lt;='Resultats - informe'!$E$29),0,1,1)</f>
        <v>0</v>
      </c>
      <c r="N464" s="366">
        <f>+VLOOKUP(D464,'Resultats - informe'!$Y$18:$AG$42,'Introducció dades consum'!K464+1,0)</f>
        <v>0</v>
      </c>
      <c r="O464" s="367" cm="1">
        <f t="array" ref="O464">+_xlfn.SWITCH(MONTH(C464),1,1,2,1,3,1,4,2,5,2,6,3,7,3,8,3,9,3,10,2,11,2,12,1,2)</f>
        <v>1</v>
      </c>
      <c r="P464" s="43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</row>
    <row r="465" spans="1:73" ht="18" x14ac:dyDescent="0.35">
      <c r="A465" s="43"/>
      <c r="C465" s="393"/>
      <c r="E465" s="394"/>
      <c r="F465" s="394"/>
      <c r="G465" s="394"/>
      <c r="H465" s="8" t="s">
        <v>61</v>
      </c>
      <c r="I465" s="364">
        <f t="shared" si="22"/>
        <v>0</v>
      </c>
      <c r="J465" s="365">
        <f t="shared" si="21"/>
        <v>0</v>
      </c>
      <c r="K465" s="366">
        <f t="shared" si="23"/>
        <v>6</v>
      </c>
      <c r="L465" s="366">
        <f>+IF((C465&gt;='Resultats - informe'!$E$16)*(C465&lt;='Resultats - informe'!$G$16),1,0)</f>
        <v>1</v>
      </c>
      <c r="M465" s="366" cm="1">
        <f t="array" ref="M465">+_xlfn.IFS((C465&gt;='Resultats - informe'!$D$26)*(C465&lt;='Resultats - informe'!$E$26),0,(C465&gt;='Resultats - informe'!$D$27)*(C465&lt;='Resultats - informe'!$E$27),0,(C465&gt;='Resultats - informe'!$D$28)*(C465&lt;='Resultats - informe'!$E$28),0,(C465&gt;='Resultats - informe'!$D$29)*(C465&lt;='Resultats - informe'!$E$29),0,1,1)</f>
        <v>0</v>
      </c>
      <c r="N465" s="366">
        <f>+VLOOKUP(D465,'Resultats - informe'!$Y$18:$AG$42,'Introducció dades consum'!K465+1,0)</f>
        <v>0</v>
      </c>
      <c r="O465" s="367" cm="1">
        <f t="array" ref="O465">+_xlfn.SWITCH(MONTH(C465),1,1,2,1,3,1,4,2,5,2,6,3,7,3,8,3,9,3,10,2,11,2,12,1,2)</f>
        <v>1</v>
      </c>
      <c r="P465" s="43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</row>
    <row r="466" spans="1:73" ht="18" x14ac:dyDescent="0.35">
      <c r="A466" s="43"/>
      <c r="C466" s="393"/>
      <c r="E466" s="394"/>
      <c r="F466" s="394"/>
      <c r="G466" s="394"/>
      <c r="H466" s="8" t="s">
        <v>61</v>
      </c>
      <c r="I466" s="364">
        <f t="shared" si="22"/>
        <v>0</v>
      </c>
      <c r="J466" s="365">
        <f t="shared" si="21"/>
        <v>0</v>
      </c>
      <c r="K466" s="366">
        <f t="shared" si="23"/>
        <v>6</v>
      </c>
      <c r="L466" s="366">
        <f>+IF((C466&gt;='Resultats - informe'!$E$16)*(C466&lt;='Resultats - informe'!$G$16),1,0)</f>
        <v>1</v>
      </c>
      <c r="M466" s="366" cm="1">
        <f t="array" ref="M466">+_xlfn.IFS((C466&gt;='Resultats - informe'!$D$26)*(C466&lt;='Resultats - informe'!$E$26),0,(C466&gt;='Resultats - informe'!$D$27)*(C466&lt;='Resultats - informe'!$E$27),0,(C466&gt;='Resultats - informe'!$D$28)*(C466&lt;='Resultats - informe'!$E$28),0,(C466&gt;='Resultats - informe'!$D$29)*(C466&lt;='Resultats - informe'!$E$29),0,1,1)</f>
        <v>0</v>
      </c>
      <c r="N466" s="366">
        <f>+VLOOKUP(D466,'Resultats - informe'!$Y$18:$AG$42,'Introducció dades consum'!K466+1,0)</f>
        <v>0</v>
      </c>
      <c r="O466" s="367" cm="1">
        <f t="array" ref="O466">+_xlfn.SWITCH(MONTH(C466),1,1,2,1,3,1,4,2,5,2,6,3,7,3,8,3,9,3,10,2,11,2,12,1,2)</f>
        <v>1</v>
      </c>
      <c r="P466" s="43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</row>
    <row r="467" spans="1:73" ht="18" x14ac:dyDescent="0.35">
      <c r="A467" s="43"/>
      <c r="C467" s="393"/>
      <c r="E467" s="394"/>
      <c r="F467" s="394"/>
      <c r="G467" s="394"/>
      <c r="H467" s="8" t="s">
        <v>61</v>
      </c>
      <c r="I467" s="364">
        <f t="shared" si="22"/>
        <v>0</v>
      </c>
      <c r="J467" s="365">
        <f t="shared" si="21"/>
        <v>0</v>
      </c>
      <c r="K467" s="366">
        <f t="shared" si="23"/>
        <v>6</v>
      </c>
      <c r="L467" s="366">
        <f>+IF((C467&gt;='Resultats - informe'!$E$16)*(C467&lt;='Resultats - informe'!$G$16),1,0)</f>
        <v>1</v>
      </c>
      <c r="M467" s="366" cm="1">
        <f t="array" ref="M467">+_xlfn.IFS((C467&gt;='Resultats - informe'!$D$26)*(C467&lt;='Resultats - informe'!$E$26),0,(C467&gt;='Resultats - informe'!$D$27)*(C467&lt;='Resultats - informe'!$E$27),0,(C467&gt;='Resultats - informe'!$D$28)*(C467&lt;='Resultats - informe'!$E$28),0,(C467&gt;='Resultats - informe'!$D$29)*(C467&lt;='Resultats - informe'!$E$29),0,1,1)</f>
        <v>0</v>
      </c>
      <c r="N467" s="366">
        <f>+VLOOKUP(D467,'Resultats - informe'!$Y$18:$AG$42,'Introducció dades consum'!K467+1,0)</f>
        <v>0</v>
      </c>
      <c r="O467" s="367" cm="1">
        <f t="array" ref="O467">+_xlfn.SWITCH(MONTH(C467),1,1,2,1,3,1,4,2,5,2,6,3,7,3,8,3,9,3,10,2,11,2,12,1,2)</f>
        <v>1</v>
      </c>
      <c r="P467" s="43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</row>
    <row r="468" spans="1:73" ht="18" x14ac:dyDescent="0.35">
      <c r="A468" s="43"/>
      <c r="C468" s="393"/>
      <c r="E468" s="394"/>
      <c r="F468" s="394"/>
      <c r="G468" s="394"/>
      <c r="H468" s="8" t="s">
        <v>61</v>
      </c>
      <c r="I468" s="364">
        <f t="shared" si="22"/>
        <v>0</v>
      </c>
      <c r="J468" s="365">
        <f t="shared" si="21"/>
        <v>0</v>
      </c>
      <c r="K468" s="366">
        <f t="shared" si="23"/>
        <v>6</v>
      </c>
      <c r="L468" s="366">
        <f>+IF((C468&gt;='Resultats - informe'!$E$16)*(C468&lt;='Resultats - informe'!$G$16),1,0)</f>
        <v>1</v>
      </c>
      <c r="M468" s="366" cm="1">
        <f t="array" ref="M468">+_xlfn.IFS((C468&gt;='Resultats - informe'!$D$26)*(C468&lt;='Resultats - informe'!$E$26),0,(C468&gt;='Resultats - informe'!$D$27)*(C468&lt;='Resultats - informe'!$E$27),0,(C468&gt;='Resultats - informe'!$D$28)*(C468&lt;='Resultats - informe'!$E$28),0,(C468&gt;='Resultats - informe'!$D$29)*(C468&lt;='Resultats - informe'!$E$29),0,1,1)</f>
        <v>0</v>
      </c>
      <c r="N468" s="366">
        <f>+VLOOKUP(D468,'Resultats - informe'!$Y$18:$AG$42,'Introducció dades consum'!K468+1,0)</f>
        <v>0</v>
      </c>
      <c r="O468" s="367" cm="1">
        <f t="array" ref="O468">+_xlfn.SWITCH(MONTH(C468),1,1,2,1,3,1,4,2,5,2,6,3,7,3,8,3,9,3,10,2,11,2,12,1,2)</f>
        <v>1</v>
      </c>
      <c r="P468" s="43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</row>
    <row r="469" spans="1:73" ht="18" x14ac:dyDescent="0.35">
      <c r="A469" s="43"/>
      <c r="C469" s="393"/>
      <c r="E469" s="394"/>
      <c r="F469" s="394"/>
      <c r="G469" s="394"/>
      <c r="H469" s="8" t="s">
        <v>61</v>
      </c>
      <c r="I469" s="364">
        <f t="shared" si="22"/>
        <v>0</v>
      </c>
      <c r="J469" s="365">
        <f t="shared" si="21"/>
        <v>0</v>
      </c>
      <c r="K469" s="366">
        <f t="shared" si="23"/>
        <v>6</v>
      </c>
      <c r="L469" s="366">
        <f>+IF((C469&gt;='Resultats - informe'!$E$16)*(C469&lt;='Resultats - informe'!$G$16),1,0)</f>
        <v>1</v>
      </c>
      <c r="M469" s="366" cm="1">
        <f t="array" ref="M469">+_xlfn.IFS((C469&gt;='Resultats - informe'!$D$26)*(C469&lt;='Resultats - informe'!$E$26),0,(C469&gt;='Resultats - informe'!$D$27)*(C469&lt;='Resultats - informe'!$E$27),0,(C469&gt;='Resultats - informe'!$D$28)*(C469&lt;='Resultats - informe'!$E$28),0,(C469&gt;='Resultats - informe'!$D$29)*(C469&lt;='Resultats - informe'!$E$29),0,1,1)</f>
        <v>0</v>
      </c>
      <c r="N469" s="366">
        <f>+VLOOKUP(D469,'Resultats - informe'!$Y$18:$AG$42,'Introducció dades consum'!K469+1,0)</f>
        <v>0</v>
      </c>
      <c r="O469" s="367" cm="1">
        <f t="array" ref="O469">+_xlfn.SWITCH(MONTH(C469),1,1,2,1,3,1,4,2,5,2,6,3,7,3,8,3,9,3,10,2,11,2,12,1,2)</f>
        <v>1</v>
      </c>
      <c r="P469" s="43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</row>
    <row r="470" spans="1:73" ht="18" x14ac:dyDescent="0.35">
      <c r="A470" s="43"/>
      <c r="C470" s="393"/>
      <c r="E470" s="394"/>
      <c r="F470" s="394"/>
      <c r="G470" s="394"/>
      <c r="H470" s="8" t="s">
        <v>61</v>
      </c>
      <c r="I470" s="364">
        <f t="shared" si="22"/>
        <v>0</v>
      </c>
      <c r="J470" s="365">
        <f t="shared" si="21"/>
        <v>0</v>
      </c>
      <c r="K470" s="366">
        <f t="shared" si="23"/>
        <v>6</v>
      </c>
      <c r="L470" s="366">
        <f>+IF((C470&gt;='Resultats - informe'!$E$16)*(C470&lt;='Resultats - informe'!$G$16),1,0)</f>
        <v>1</v>
      </c>
      <c r="M470" s="366" cm="1">
        <f t="array" ref="M470">+_xlfn.IFS((C470&gt;='Resultats - informe'!$D$26)*(C470&lt;='Resultats - informe'!$E$26),0,(C470&gt;='Resultats - informe'!$D$27)*(C470&lt;='Resultats - informe'!$E$27),0,(C470&gt;='Resultats - informe'!$D$28)*(C470&lt;='Resultats - informe'!$E$28),0,(C470&gt;='Resultats - informe'!$D$29)*(C470&lt;='Resultats - informe'!$E$29),0,1,1)</f>
        <v>0</v>
      </c>
      <c r="N470" s="366">
        <f>+VLOOKUP(D470,'Resultats - informe'!$Y$18:$AG$42,'Introducció dades consum'!K470+1,0)</f>
        <v>0</v>
      </c>
      <c r="O470" s="367" cm="1">
        <f t="array" ref="O470">+_xlfn.SWITCH(MONTH(C470),1,1,2,1,3,1,4,2,5,2,6,3,7,3,8,3,9,3,10,2,11,2,12,1,2)</f>
        <v>1</v>
      </c>
      <c r="P470" s="43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</row>
    <row r="471" spans="1:73" ht="18" x14ac:dyDescent="0.35">
      <c r="A471" s="43"/>
      <c r="C471" s="393"/>
      <c r="E471" s="394"/>
      <c r="F471" s="394"/>
      <c r="G471" s="394"/>
      <c r="H471" s="8" t="s">
        <v>61</v>
      </c>
      <c r="I471" s="364">
        <f t="shared" si="22"/>
        <v>0</v>
      </c>
      <c r="J471" s="365">
        <f t="shared" si="21"/>
        <v>0</v>
      </c>
      <c r="K471" s="366">
        <f t="shared" si="23"/>
        <v>6</v>
      </c>
      <c r="L471" s="366">
        <f>+IF((C471&gt;='Resultats - informe'!$E$16)*(C471&lt;='Resultats - informe'!$G$16),1,0)</f>
        <v>1</v>
      </c>
      <c r="M471" s="366" cm="1">
        <f t="array" ref="M471">+_xlfn.IFS((C471&gt;='Resultats - informe'!$D$26)*(C471&lt;='Resultats - informe'!$E$26),0,(C471&gt;='Resultats - informe'!$D$27)*(C471&lt;='Resultats - informe'!$E$27),0,(C471&gt;='Resultats - informe'!$D$28)*(C471&lt;='Resultats - informe'!$E$28),0,(C471&gt;='Resultats - informe'!$D$29)*(C471&lt;='Resultats - informe'!$E$29),0,1,1)</f>
        <v>0</v>
      </c>
      <c r="N471" s="366">
        <f>+VLOOKUP(D471,'Resultats - informe'!$Y$18:$AG$42,'Introducció dades consum'!K471+1,0)</f>
        <v>0</v>
      </c>
      <c r="O471" s="367" cm="1">
        <f t="array" ref="O471">+_xlfn.SWITCH(MONTH(C471),1,1,2,1,3,1,4,2,5,2,6,3,7,3,8,3,9,3,10,2,11,2,12,1,2)</f>
        <v>1</v>
      </c>
      <c r="P471" s="43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</row>
    <row r="472" spans="1:73" ht="18" x14ac:dyDescent="0.35">
      <c r="A472" s="43"/>
      <c r="C472" s="393"/>
      <c r="E472" s="394"/>
      <c r="F472" s="394"/>
      <c r="G472" s="394"/>
      <c r="H472" s="8" t="s">
        <v>61</v>
      </c>
      <c r="I472" s="364">
        <f t="shared" si="22"/>
        <v>0</v>
      </c>
      <c r="J472" s="365">
        <f t="shared" si="21"/>
        <v>0</v>
      </c>
      <c r="K472" s="366">
        <f t="shared" si="23"/>
        <v>6</v>
      </c>
      <c r="L472" s="366">
        <f>+IF((C472&gt;='Resultats - informe'!$E$16)*(C472&lt;='Resultats - informe'!$G$16),1,0)</f>
        <v>1</v>
      </c>
      <c r="M472" s="366" cm="1">
        <f t="array" ref="M472">+_xlfn.IFS((C472&gt;='Resultats - informe'!$D$26)*(C472&lt;='Resultats - informe'!$E$26),0,(C472&gt;='Resultats - informe'!$D$27)*(C472&lt;='Resultats - informe'!$E$27),0,(C472&gt;='Resultats - informe'!$D$28)*(C472&lt;='Resultats - informe'!$E$28),0,(C472&gt;='Resultats - informe'!$D$29)*(C472&lt;='Resultats - informe'!$E$29),0,1,1)</f>
        <v>0</v>
      </c>
      <c r="N472" s="366">
        <f>+VLOOKUP(D472,'Resultats - informe'!$Y$18:$AG$42,'Introducció dades consum'!K472+1,0)</f>
        <v>0</v>
      </c>
      <c r="O472" s="367" cm="1">
        <f t="array" ref="O472">+_xlfn.SWITCH(MONTH(C472),1,1,2,1,3,1,4,2,5,2,6,3,7,3,8,3,9,3,10,2,11,2,12,1,2)</f>
        <v>1</v>
      </c>
      <c r="P472" s="43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</row>
    <row r="473" spans="1:73" ht="18" x14ac:dyDescent="0.35">
      <c r="A473" s="43"/>
      <c r="C473" s="393"/>
      <c r="E473" s="394"/>
      <c r="F473" s="394"/>
      <c r="G473" s="394"/>
      <c r="H473" s="8" t="s">
        <v>61</v>
      </c>
      <c r="I473" s="364">
        <f t="shared" si="22"/>
        <v>0</v>
      </c>
      <c r="J473" s="365">
        <f t="shared" si="21"/>
        <v>0</v>
      </c>
      <c r="K473" s="366">
        <f t="shared" si="23"/>
        <v>6</v>
      </c>
      <c r="L473" s="366">
        <f>+IF((C473&gt;='Resultats - informe'!$E$16)*(C473&lt;='Resultats - informe'!$G$16),1,0)</f>
        <v>1</v>
      </c>
      <c r="M473" s="366" cm="1">
        <f t="array" ref="M473">+_xlfn.IFS((C473&gt;='Resultats - informe'!$D$26)*(C473&lt;='Resultats - informe'!$E$26),0,(C473&gt;='Resultats - informe'!$D$27)*(C473&lt;='Resultats - informe'!$E$27),0,(C473&gt;='Resultats - informe'!$D$28)*(C473&lt;='Resultats - informe'!$E$28),0,(C473&gt;='Resultats - informe'!$D$29)*(C473&lt;='Resultats - informe'!$E$29),0,1,1)</f>
        <v>0</v>
      </c>
      <c r="N473" s="366">
        <f>+VLOOKUP(D473,'Resultats - informe'!$Y$18:$AG$42,'Introducció dades consum'!K473+1,0)</f>
        <v>0</v>
      </c>
      <c r="O473" s="367" cm="1">
        <f t="array" ref="O473">+_xlfn.SWITCH(MONTH(C473),1,1,2,1,3,1,4,2,5,2,6,3,7,3,8,3,9,3,10,2,11,2,12,1,2)</f>
        <v>1</v>
      </c>
      <c r="P473" s="43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</row>
    <row r="474" spans="1:73" ht="18" x14ac:dyDescent="0.35">
      <c r="A474" s="43"/>
      <c r="C474" s="393"/>
      <c r="E474" s="394"/>
      <c r="F474" s="394"/>
      <c r="G474" s="394"/>
      <c r="H474" s="8" t="s">
        <v>61</v>
      </c>
      <c r="I474" s="364">
        <f t="shared" si="22"/>
        <v>0</v>
      </c>
      <c r="J474" s="365">
        <f t="shared" si="21"/>
        <v>0</v>
      </c>
      <c r="K474" s="366">
        <f t="shared" si="23"/>
        <v>6</v>
      </c>
      <c r="L474" s="366">
        <f>+IF((C474&gt;='Resultats - informe'!$E$16)*(C474&lt;='Resultats - informe'!$G$16),1,0)</f>
        <v>1</v>
      </c>
      <c r="M474" s="366" cm="1">
        <f t="array" ref="M474">+_xlfn.IFS((C474&gt;='Resultats - informe'!$D$26)*(C474&lt;='Resultats - informe'!$E$26),0,(C474&gt;='Resultats - informe'!$D$27)*(C474&lt;='Resultats - informe'!$E$27),0,(C474&gt;='Resultats - informe'!$D$28)*(C474&lt;='Resultats - informe'!$E$28),0,(C474&gt;='Resultats - informe'!$D$29)*(C474&lt;='Resultats - informe'!$E$29),0,1,1)</f>
        <v>0</v>
      </c>
      <c r="N474" s="366">
        <f>+VLOOKUP(D474,'Resultats - informe'!$Y$18:$AG$42,'Introducció dades consum'!K474+1,0)</f>
        <v>0</v>
      </c>
      <c r="O474" s="367" cm="1">
        <f t="array" ref="O474">+_xlfn.SWITCH(MONTH(C474),1,1,2,1,3,1,4,2,5,2,6,3,7,3,8,3,9,3,10,2,11,2,12,1,2)</f>
        <v>1</v>
      </c>
      <c r="P474" s="43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</row>
    <row r="475" spans="1:73" ht="18" x14ac:dyDescent="0.35">
      <c r="A475" s="43"/>
      <c r="C475" s="393"/>
      <c r="E475" s="394"/>
      <c r="F475" s="394"/>
      <c r="G475" s="394"/>
      <c r="H475" s="8" t="s">
        <v>61</v>
      </c>
      <c r="I475" s="364">
        <f t="shared" si="22"/>
        <v>0</v>
      </c>
      <c r="J475" s="365">
        <f t="shared" si="21"/>
        <v>0</v>
      </c>
      <c r="K475" s="366">
        <f t="shared" si="23"/>
        <v>6</v>
      </c>
      <c r="L475" s="366">
        <f>+IF((C475&gt;='Resultats - informe'!$E$16)*(C475&lt;='Resultats - informe'!$G$16),1,0)</f>
        <v>1</v>
      </c>
      <c r="M475" s="366" cm="1">
        <f t="array" ref="M475">+_xlfn.IFS((C475&gt;='Resultats - informe'!$D$26)*(C475&lt;='Resultats - informe'!$E$26),0,(C475&gt;='Resultats - informe'!$D$27)*(C475&lt;='Resultats - informe'!$E$27),0,(C475&gt;='Resultats - informe'!$D$28)*(C475&lt;='Resultats - informe'!$E$28),0,(C475&gt;='Resultats - informe'!$D$29)*(C475&lt;='Resultats - informe'!$E$29),0,1,1)</f>
        <v>0</v>
      </c>
      <c r="N475" s="366">
        <f>+VLOOKUP(D475,'Resultats - informe'!$Y$18:$AG$42,'Introducció dades consum'!K475+1,0)</f>
        <v>0</v>
      </c>
      <c r="O475" s="367" cm="1">
        <f t="array" ref="O475">+_xlfn.SWITCH(MONTH(C475),1,1,2,1,3,1,4,2,5,2,6,3,7,3,8,3,9,3,10,2,11,2,12,1,2)</f>
        <v>1</v>
      </c>
      <c r="P475" s="43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</row>
    <row r="476" spans="1:73" ht="18" x14ac:dyDescent="0.35">
      <c r="A476" s="43"/>
      <c r="C476" s="393"/>
      <c r="E476" s="394"/>
      <c r="F476" s="394"/>
      <c r="G476" s="394"/>
      <c r="H476" s="8" t="s">
        <v>61</v>
      </c>
      <c r="I476" s="364">
        <f t="shared" si="22"/>
        <v>0</v>
      </c>
      <c r="J476" s="365">
        <f t="shared" si="21"/>
        <v>0</v>
      </c>
      <c r="K476" s="366">
        <f t="shared" si="23"/>
        <v>6</v>
      </c>
      <c r="L476" s="366">
        <f>+IF((C476&gt;='Resultats - informe'!$E$16)*(C476&lt;='Resultats - informe'!$G$16),1,0)</f>
        <v>1</v>
      </c>
      <c r="M476" s="366" cm="1">
        <f t="array" ref="M476">+_xlfn.IFS((C476&gt;='Resultats - informe'!$D$26)*(C476&lt;='Resultats - informe'!$E$26),0,(C476&gt;='Resultats - informe'!$D$27)*(C476&lt;='Resultats - informe'!$E$27),0,(C476&gt;='Resultats - informe'!$D$28)*(C476&lt;='Resultats - informe'!$E$28),0,(C476&gt;='Resultats - informe'!$D$29)*(C476&lt;='Resultats - informe'!$E$29),0,1,1)</f>
        <v>0</v>
      </c>
      <c r="N476" s="366">
        <f>+VLOOKUP(D476,'Resultats - informe'!$Y$18:$AG$42,'Introducció dades consum'!K476+1,0)</f>
        <v>0</v>
      </c>
      <c r="O476" s="367" cm="1">
        <f t="array" ref="O476">+_xlfn.SWITCH(MONTH(C476),1,1,2,1,3,1,4,2,5,2,6,3,7,3,8,3,9,3,10,2,11,2,12,1,2)</f>
        <v>1</v>
      </c>
      <c r="P476" s="43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</row>
    <row r="477" spans="1:73" ht="18" x14ac:dyDescent="0.35">
      <c r="A477" s="43"/>
      <c r="C477" s="393"/>
      <c r="E477" s="394"/>
      <c r="F477" s="394"/>
      <c r="G477" s="394"/>
      <c r="H477" s="8" t="s">
        <v>61</v>
      </c>
      <c r="I477" s="364">
        <f t="shared" si="22"/>
        <v>0</v>
      </c>
      <c r="J477" s="365">
        <f t="shared" si="21"/>
        <v>0</v>
      </c>
      <c r="K477" s="366">
        <f t="shared" si="23"/>
        <v>6</v>
      </c>
      <c r="L477" s="366">
        <f>+IF((C477&gt;='Resultats - informe'!$E$16)*(C477&lt;='Resultats - informe'!$G$16),1,0)</f>
        <v>1</v>
      </c>
      <c r="M477" s="366" cm="1">
        <f t="array" ref="M477">+_xlfn.IFS((C477&gt;='Resultats - informe'!$D$26)*(C477&lt;='Resultats - informe'!$E$26),0,(C477&gt;='Resultats - informe'!$D$27)*(C477&lt;='Resultats - informe'!$E$27),0,(C477&gt;='Resultats - informe'!$D$28)*(C477&lt;='Resultats - informe'!$E$28),0,(C477&gt;='Resultats - informe'!$D$29)*(C477&lt;='Resultats - informe'!$E$29),0,1,1)</f>
        <v>0</v>
      </c>
      <c r="N477" s="366">
        <f>+VLOOKUP(D477,'Resultats - informe'!$Y$18:$AG$42,'Introducció dades consum'!K477+1,0)</f>
        <v>0</v>
      </c>
      <c r="O477" s="367" cm="1">
        <f t="array" ref="O477">+_xlfn.SWITCH(MONTH(C477),1,1,2,1,3,1,4,2,5,2,6,3,7,3,8,3,9,3,10,2,11,2,12,1,2)</f>
        <v>1</v>
      </c>
      <c r="P477" s="43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</row>
    <row r="478" spans="1:73" ht="18" x14ac:dyDescent="0.35">
      <c r="A478" s="43"/>
      <c r="C478" s="393"/>
      <c r="E478" s="394"/>
      <c r="F478" s="394"/>
      <c r="G478" s="394"/>
      <c r="H478" s="8" t="s">
        <v>61</v>
      </c>
      <c r="I478" s="364">
        <f t="shared" si="22"/>
        <v>0</v>
      </c>
      <c r="J478" s="365">
        <f t="shared" si="21"/>
        <v>0</v>
      </c>
      <c r="K478" s="366">
        <f t="shared" si="23"/>
        <v>6</v>
      </c>
      <c r="L478" s="366">
        <f>+IF((C478&gt;='Resultats - informe'!$E$16)*(C478&lt;='Resultats - informe'!$G$16),1,0)</f>
        <v>1</v>
      </c>
      <c r="M478" s="366" cm="1">
        <f t="array" ref="M478">+_xlfn.IFS((C478&gt;='Resultats - informe'!$D$26)*(C478&lt;='Resultats - informe'!$E$26),0,(C478&gt;='Resultats - informe'!$D$27)*(C478&lt;='Resultats - informe'!$E$27),0,(C478&gt;='Resultats - informe'!$D$28)*(C478&lt;='Resultats - informe'!$E$28),0,(C478&gt;='Resultats - informe'!$D$29)*(C478&lt;='Resultats - informe'!$E$29),0,1,1)</f>
        <v>0</v>
      </c>
      <c r="N478" s="366">
        <f>+VLOOKUP(D478,'Resultats - informe'!$Y$18:$AG$42,'Introducció dades consum'!K478+1,0)</f>
        <v>0</v>
      </c>
      <c r="O478" s="367" cm="1">
        <f t="array" ref="O478">+_xlfn.SWITCH(MONTH(C478),1,1,2,1,3,1,4,2,5,2,6,3,7,3,8,3,9,3,10,2,11,2,12,1,2)</f>
        <v>1</v>
      </c>
      <c r="P478" s="43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</row>
    <row r="479" spans="1:73" ht="18" x14ac:dyDescent="0.35">
      <c r="A479" s="43"/>
      <c r="C479" s="393"/>
      <c r="E479" s="394"/>
      <c r="F479" s="394"/>
      <c r="G479" s="394"/>
      <c r="H479" s="8" t="s">
        <v>61</v>
      </c>
      <c r="I479" s="364">
        <f t="shared" si="22"/>
        <v>0</v>
      </c>
      <c r="J479" s="365">
        <f t="shared" si="21"/>
        <v>0</v>
      </c>
      <c r="K479" s="366">
        <f t="shared" si="23"/>
        <v>6</v>
      </c>
      <c r="L479" s="366">
        <f>+IF((C479&gt;='Resultats - informe'!$E$16)*(C479&lt;='Resultats - informe'!$G$16),1,0)</f>
        <v>1</v>
      </c>
      <c r="M479" s="366" cm="1">
        <f t="array" ref="M479">+_xlfn.IFS((C479&gt;='Resultats - informe'!$D$26)*(C479&lt;='Resultats - informe'!$E$26),0,(C479&gt;='Resultats - informe'!$D$27)*(C479&lt;='Resultats - informe'!$E$27),0,(C479&gt;='Resultats - informe'!$D$28)*(C479&lt;='Resultats - informe'!$E$28),0,(C479&gt;='Resultats - informe'!$D$29)*(C479&lt;='Resultats - informe'!$E$29),0,1,1)</f>
        <v>0</v>
      </c>
      <c r="N479" s="366">
        <f>+VLOOKUP(D479,'Resultats - informe'!$Y$18:$AG$42,'Introducció dades consum'!K479+1,0)</f>
        <v>0</v>
      </c>
      <c r="O479" s="367" cm="1">
        <f t="array" ref="O479">+_xlfn.SWITCH(MONTH(C479),1,1,2,1,3,1,4,2,5,2,6,3,7,3,8,3,9,3,10,2,11,2,12,1,2)</f>
        <v>1</v>
      </c>
      <c r="P479" s="43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</row>
    <row r="480" spans="1:73" ht="18" x14ac:dyDescent="0.35">
      <c r="A480" s="43"/>
      <c r="C480" s="393"/>
      <c r="E480" s="394"/>
      <c r="F480" s="394"/>
      <c r="G480" s="394"/>
      <c r="H480" s="8" t="s">
        <v>61</v>
      </c>
      <c r="I480" s="364">
        <f t="shared" si="22"/>
        <v>0</v>
      </c>
      <c r="J480" s="365">
        <f t="shared" si="21"/>
        <v>0</v>
      </c>
      <c r="K480" s="366">
        <f t="shared" si="23"/>
        <v>6</v>
      </c>
      <c r="L480" s="366">
        <f>+IF((C480&gt;='Resultats - informe'!$E$16)*(C480&lt;='Resultats - informe'!$G$16),1,0)</f>
        <v>1</v>
      </c>
      <c r="M480" s="366" cm="1">
        <f t="array" ref="M480">+_xlfn.IFS((C480&gt;='Resultats - informe'!$D$26)*(C480&lt;='Resultats - informe'!$E$26),0,(C480&gt;='Resultats - informe'!$D$27)*(C480&lt;='Resultats - informe'!$E$27),0,(C480&gt;='Resultats - informe'!$D$28)*(C480&lt;='Resultats - informe'!$E$28),0,(C480&gt;='Resultats - informe'!$D$29)*(C480&lt;='Resultats - informe'!$E$29),0,1,1)</f>
        <v>0</v>
      </c>
      <c r="N480" s="366">
        <f>+VLOOKUP(D480,'Resultats - informe'!$Y$18:$AG$42,'Introducció dades consum'!K480+1,0)</f>
        <v>0</v>
      </c>
      <c r="O480" s="367" cm="1">
        <f t="array" ref="O480">+_xlfn.SWITCH(MONTH(C480),1,1,2,1,3,1,4,2,5,2,6,3,7,3,8,3,9,3,10,2,11,2,12,1,2)</f>
        <v>1</v>
      </c>
      <c r="P480" s="43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</row>
    <row r="481" spans="1:73" ht="18" x14ac:dyDescent="0.35">
      <c r="A481" s="43"/>
      <c r="C481" s="393"/>
      <c r="E481" s="394"/>
      <c r="F481" s="394"/>
      <c r="G481" s="394"/>
      <c r="H481" s="8" t="s">
        <v>61</v>
      </c>
      <c r="I481" s="364">
        <f t="shared" si="22"/>
        <v>0</v>
      </c>
      <c r="J481" s="365">
        <f t="shared" si="21"/>
        <v>0</v>
      </c>
      <c r="K481" s="366">
        <f t="shared" si="23"/>
        <v>6</v>
      </c>
      <c r="L481" s="366">
        <f>+IF((C481&gt;='Resultats - informe'!$E$16)*(C481&lt;='Resultats - informe'!$G$16),1,0)</f>
        <v>1</v>
      </c>
      <c r="M481" s="366" cm="1">
        <f t="array" ref="M481">+_xlfn.IFS((C481&gt;='Resultats - informe'!$D$26)*(C481&lt;='Resultats - informe'!$E$26),0,(C481&gt;='Resultats - informe'!$D$27)*(C481&lt;='Resultats - informe'!$E$27),0,(C481&gt;='Resultats - informe'!$D$28)*(C481&lt;='Resultats - informe'!$E$28),0,(C481&gt;='Resultats - informe'!$D$29)*(C481&lt;='Resultats - informe'!$E$29),0,1,1)</f>
        <v>0</v>
      </c>
      <c r="N481" s="366">
        <f>+VLOOKUP(D481,'Resultats - informe'!$Y$18:$AG$42,'Introducció dades consum'!K481+1,0)</f>
        <v>0</v>
      </c>
      <c r="O481" s="367" cm="1">
        <f t="array" ref="O481">+_xlfn.SWITCH(MONTH(C481),1,1,2,1,3,1,4,2,5,2,6,3,7,3,8,3,9,3,10,2,11,2,12,1,2)</f>
        <v>1</v>
      </c>
      <c r="P481" s="43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</row>
    <row r="482" spans="1:73" ht="18" x14ac:dyDescent="0.35">
      <c r="A482" s="43"/>
      <c r="C482" s="393"/>
      <c r="E482" s="394"/>
      <c r="F482" s="394"/>
      <c r="G482" s="394"/>
      <c r="H482" s="8" t="s">
        <v>61</v>
      </c>
      <c r="I482" s="364">
        <f t="shared" si="22"/>
        <v>0</v>
      </c>
      <c r="J482" s="365">
        <f t="shared" si="21"/>
        <v>0</v>
      </c>
      <c r="K482" s="366">
        <f t="shared" si="23"/>
        <v>6</v>
      </c>
      <c r="L482" s="366">
        <f>+IF((C482&gt;='Resultats - informe'!$E$16)*(C482&lt;='Resultats - informe'!$G$16),1,0)</f>
        <v>1</v>
      </c>
      <c r="M482" s="366" cm="1">
        <f t="array" ref="M482">+_xlfn.IFS((C482&gt;='Resultats - informe'!$D$26)*(C482&lt;='Resultats - informe'!$E$26),0,(C482&gt;='Resultats - informe'!$D$27)*(C482&lt;='Resultats - informe'!$E$27),0,(C482&gt;='Resultats - informe'!$D$28)*(C482&lt;='Resultats - informe'!$E$28),0,(C482&gt;='Resultats - informe'!$D$29)*(C482&lt;='Resultats - informe'!$E$29),0,1,1)</f>
        <v>0</v>
      </c>
      <c r="N482" s="366">
        <f>+VLOOKUP(D482,'Resultats - informe'!$Y$18:$AG$42,'Introducció dades consum'!K482+1,0)</f>
        <v>0</v>
      </c>
      <c r="O482" s="367" cm="1">
        <f t="array" ref="O482">+_xlfn.SWITCH(MONTH(C482),1,1,2,1,3,1,4,2,5,2,6,3,7,3,8,3,9,3,10,2,11,2,12,1,2)</f>
        <v>1</v>
      </c>
      <c r="P482" s="43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</row>
    <row r="483" spans="1:73" ht="18" x14ac:dyDescent="0.35">
      <c r="A483" s="43"/>
      <c r="C483" s="393"/>
      <c r="E483" s="394"/>
      <c r="F483" s="394"/>
      <c r="G483" s="394"/>
      <c r="H483" s="8" t="s">
        <v>61</v>
      </c>
      <c r="I483" s="364">
        <f t="shared" si="22"/>
        <v>0</v>
      </c>
      <c r="J483" s="365">
        <f t="shared" si="21"/>
        <v>0</v>
      </c>
      <c r="K483" s="366">
        <f t="shared" si="23"/>
        <v>6</v>
      </c>
      <c r="L483" s="366">
        <f>+IF((C483&gt;='Resultats - informe'!$E$16)*(C483&lt;='Resultats - informe'!$G$16),1,0)</f>
        <v>1</v>
      </c>
      <c r="M483" s="366" cm="1">
        <f t="array" ref="M483">+_xlfn.IFS((C483&gt;='Resultats - informe'!$D$26)*(C483&lt;='Resultats - informe'!$E$26),0,(C483&gt;='Resultats - informe'!$D$27)*(C483&lt;='Resultats - informe'!$E$27),0,(C483&gt;='Resultats - informe'!$D$28)*(C483&lt;='Resultats - informe'!$E$28),0,(C483&gt;='Resultats - informe'!$D$29)*(C483&lt;='Resultats - informe'!$E$29),0,1,1)</f>
        <v>0</v>
      </c>
      <c r="N483" s="366">
        <f>+VLOOKUP(D483,'Resultats - informe'!$Y$18:$AG$42,'Introducció dades consum'!K483+1,0)</f>
        <v>0</v>
      </c>
      <c r="O483" s="367" cm="1">
        <f t="array" ref="O483">+_xlfn.SWITCH(MONTH(C483),1,1,2,1,3,1,4,2,5,2,6,3,7,3,8,3,9,3,10,2,11,2,12,1,2)</f>
        <v>1</v>
      </c>
      <c r="P483" s="43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</row>
    <row r="484" spans="1:73" ht="18" x14ac:dyDescent="0.35">
      <c r="A484" s="43"/>
      <c r="C484" s="393"/>
      <c r="E484" s="394"/>
      <c r="F484" s="394"/>
      <c r="G484" s="394"/>
      <c r="H484" s="8" t="s">
        <v>61</v>
      </c>
      <c r="I484" s="364">
        <f t="shared" si="22"/>
        <v>0</v>
      </c>
      <c r="J484" s="365">
        <f t="shared" si="21"/>
        <v>0</v>
      </c>
      <c r="K484" s="366">
        <f t="shared" si="23"/>
        <v>6</v>
      </c>
      <c r="L484" s="366">
        <f>+IF((C484&gt;='Resultats - informe'!$E$16)*(C484&lt;='Resultats - informe'!$G$16),1,0)</f>
        <v>1</v>
      </c>
      <c r="M484" s="366" cm="1">
        <f t="array" ref="M484">+_xlfn.IFS((C484&gt;='Resultats - informe'!$D$26)*(C484&lt;='Resultats - informe'!$E$26),0,(C484&gt;='Resultats - informe'!$D$27)*(C484&lt;='Resultats - informe'!$E$27),0,(C484&gt;='Resultats - informe'!$D$28)*(C484&lt;='Resultats - informe'!$E$28),0,(C484&gt;='Resultats - informe'!$D$29)*(C484&lt;='Resultats - informe'!$E$29),0,1,1)</f>
        <v>0</v>
      </c>
      <c r="N484" s="366">
        <f>+VLOOKUP(D484,'Resultats - informe'!$Y$18:$AG$42,'Introducció dades consum'!K484+1,0)</f>
        <v>0</v>
      </c>
      <c r="O484" s="367" cm="1">
        <f t="array" ref="O484">+_xlfn.SWITCH(MONTH(C484),1,1,2,1,3,1,4,2,5,2,6,3,7,3,8,3,9,3,10,2,11,2,12,1,2)</f>
        <v>1</v>
      </c>
      <c r="P484" s="43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</row>
    <row r="485" spans="1:73" ht="18" x14ac:dyDescent="0.35">
      <c r="A485" s="43"/>
      <c r="C485" s="393"/>
      <c r="E485" s="394"/>
      <c r="F485" s="394"/>
      <c r="G485" s="394"/>
      <c r="H485" s="8" t="s">
        <v>61</v>
      </c>
      <c r="I485" s="364">
        <f t="shared" si="22"/>
        <v>0</v>
      </c>
      <c r="J485" s="365">
        <f t="shared" si="21"/>
        <v>0</v>
      </c>
      <c r="K485" s="366">
        <f t="shared" si="23"/>
        <v>6</v>
      </c>
      <c r="L485" s="366">
        <f>+IF((C485&gt;='Resultats - informe'!$E$16)*(C485&lt;='Resultats - informe'!$G$16),1,0)</f>
        <v>1</v>
      </c>
      <c r="M485" s="366" cm="1">
        <f t="array" ref="M485">+_xlfn.IFS((C485&gt;='Resultats - informe'!$D$26)*(C485&lt;='Resultats - informe'!$E$26),0,(C485&gt;='Resultats - informe'!$D$27)*(C485&lt;='Resultats - informe'!$E$27),0,(C485&gt;='Resultats - informe'!$D$28)*(C485&lt;='Resultats - informe'!$E$28),0,(C485&gt;='Resultats - informe'!$D$29)*(C485&lt;='Resultats - informe'!$E$29),0,1,1)</f>
        <v>0</v>
      </c>
      <c r="N485" s="366">
        <f>+VLOOKUP(D485,'Resultats - informe'!$Y$18:$AG$42,'Introducció dades consum'!K485+1,0)</f>
        <v>0</v>
      </c>
      <c r="O485" s="367" cm="1">
        <f t="array" ref="O485">+_xlfn.SWITCH(MONTH(C485),1,1,2,1,3,1,4,2,5,2,6,3,7,3,8,3,9,3,10,2,11,2,12,1,2)</f>
        <v>1</v>
      </c>
      <c r="P485" s="43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</row>
    <row r="486" spans="1:73" ht="18" x14ac:dyDescent="0.35">
      <c r="A486" s="43"/>
      <c r="C486" s="393"/>
      <c r="E486" s="394"/>
      <c r="F486" s="394"/>
      <c r="G486" s="394"/>
      <c r="H486" s="8" t="s">
        <v>61</v>
      </c>
      <c r="I486" s="364">
        <f t="shared" si="22"/>
        <v>0</v>
      </c>
      <c r="J486" s="365">
        <f t="shared" si="21"/>
        <v>0</v>
      </c>
      <c r="K486" s="366">
        <f t="shared" si="23"/>
        <v>6</v>
      </c>
      <c r="L486" s="366">
        <f>+IF((C486&gt;='Resultats - informe'!$E$16)*(C486&lt;='Resultats - informe'!$G$16),1,0)</f>
        <v>1</v>
      </c>
      <c r="M486" s="366" cm="1">
        <f t="array" ref="M486">+_xlfn.IFS((C486&gt;='Resultats - informe'!$D$26)*(C486&lt;='Resultats - informe'!$E$26),0,(C486&gt;='Resultats - informe'!$D$27)*(C486&lt;='Resultats - informe'!$E$27),0,(C486&gt;='Resultats - informe'!$D$28)*(C486&lt;='Resultats - informe'!$E$28),0,(C486&gt;='Resultats - informe'!$D$29)*(C486&lt;='Resultats - informe'!$E$29),0,1,1)</f>
        <v>0</v>
      </c>
      <c r="N486" s="366">
        <f>+VLOOKUP(D486,'Resultats - informe'!$Y$18:$AG$42,'Introducció dades consum'!K486+1,0)</f>
        <v>0</v>
      </c>
      <c r="O486" s="367" cm="1">
        <f t="array" ref="O486">+_xlfn.SWITCH(MONTH(C486),1,1,2,1,3,1,4,2,5,2,6,3,7,3,8,3,9,3,10,2,11,2,12,1,2)</f>
        <v>1</v>
      </c>
      <c r="P486" s="43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</row>
    <row r="487" spans="1:73" ht="18" x14ac:dyDescent="0.35">
      <c r="A487" s="43"/>
      <c r="C487" s="393"/>
      <c r="E487" s="394"/>
      <c r="F487" s="394"/>
      <c r="G487" s="394"/>
      <c r="H487" s="8" t="s">
        <v>61</v>
      </c>
      <c r="I487" s="364">
        <f t="shared" si="22"/>
        <v>0</v>
      </c>
      <c r="J487" s="365">
        <f t="shared" si="21"/>
        <v>0</v>
      </c>
      <c r="K487" s="366">
        <f t="shared" si="23"/>
        <v>6</v>
      </c>
      <c r="L487" s="366">
        <f>+IF((C487&gt;='Resultats - informe'!$E$16)*(C487&lt;='Resultats - informe'!$G$16),1,0)</f>
        <v>1</v>
      </c>
      <c r="M487" s="366" cm="1">
        <f t="array" ref="M487">+_xlfn.IFS((C487&gt;='Resultats - informe'!$D$26)*(C487&lt;='Resultats - informe'!$E$26),0,(C487&gt;='Resultats - informe'!$D$27)*(C487&lt;='Resultats - informe'!$E$27),0,(C487&gt;='Resultats - informe'!$D$28)*(C487&lt;='Resultats - informe'!$E$28),0,(C487&gt;='Resultats - informe'!$D$29)*(C487&lt;='Resultats - informe'!$E$29),0,1,1)</f>
        <v>0</v>
      </c>
      <c r="N487" s="366">
        <f>+VLOOKUP(D487,'Resultats - informe'!$Y$18:$AG$42,'Introducció dades consum'!K487+1,0)</f>
        <v>0</v>
      </c>
      <c r="O487" s="367" cm="1">
        <f t="array" ref="O487">+_xlfn.SWITCH(MONTH(C487),1,1,2,1,3,1,4,2,5,2,6,3,7,3,8,3,9,3,10,2,11,2,12,1,2)</f>
        <v>1</v>
      </c>
      <c r="P487" s="43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</row>
    <row r="488" spans="1:73" ht="18" x14ac:dyDescent="0.35">
      <c r="A488" s="43"/>
      <c r="C488" s="393"/>
      <c r="E488" s="394"/>
      <c r="F488" s="394"/>
      <c r="G488" s="394"/>
      <c r="H488" s="8" t="s">
        <v>61</v>
      </c>
      <c r="I488" s="364">
        <f t="shared" si="22"/>
        <v>0</v>
      </c>
      <c r="J488" s="365">
        <f t="shared" si="21"/>
        <v>0</v>
      </c>
      <c r="K488" s="366">
        <f t="shared" si="23"/>
        <v>6</v>
      </c>
      <c r="L488" s="366">
        <f>+IF((C488&gt;='Resultats - informe'!$E$16)*(C488&lt;='Resultats - informe'!$G$16),1,0)</f>
        <v>1</v>
      </c>
      <c r="M488" s="366" cm="1">
        <f t="array" ref="M488">+_xlfn.IFS((C488&gt;='Resultats - informe'!$D$26)*(C488&lt;='Resultats - informe'!$E$26),0,(C488&gt;='Resultats - informe'!$D$27)*(C488&lt;='Resultats - informe'!$E$27),0,(C488&gt;='Resultats - informe'!$D$28)*(C488&lt;='Resultats - informe'!$E$28),0,(C488&gt;='Resultats - informe'!$D$29)*(C488&lt;='Resultats - informe'!$E$29),0,1,1)</f>
        <v>0</v>
      </c>
      <c r="N488" s="366">
        <f>+VLOOKUP(D488,'Resultats - informe'!$Y$18:$AG$42,'Introducció dades consum'!K488+1,0)</f>
        <v>0</v>
      </c>
      <c r="O488" s="367" cm="1">
        <f t="array" ref="O488">+_xlfn.SWITCH(MONTH(C488),1,1,2,1,3,1,4,2,5,2,6,3,7,3,8,3,9,3,10,2,11,2,12,1,2)</f>
        <v>1</v>
      </c>
      <c r="P488" s="43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</row>
    <row r="489" spans="1:73" ht="18" x14ac:dyDescent="0.35">
      <c r="A489" s="43"/>
      <c r="C489" s="393"/>
      <c r="E489" s="394"/>
      <c r="F489" s="394"/>
      <c r="G489" s="394"/>
      <c r="H489" s="8" t="s">
        <v>61</v>
      </c>
      <c r="I489" s="364">
        <f t="shared" si="22"/>
        <v>0</v>
      </c>
      <c r="J489" s="365">
        <f t="shared" si="21"/>
        <v>0</v>
      </c>
      <c r="K489" s="366">
        <f t="shared" si="23"/>
        <v>6</v>
      </c>
      <c r="L489" s="366">
        <f>+IF((C489&gt;='Resultats - informe'!$E$16)*(C489&lt;='Resultats - informe'!$G$16),1,0)</f>
        <v>1</v>
      </c>
      <c r="M489" s="366" cm="1">
        <f t="array" ref="M489">+_xlfn.IFS((C489&gt;='Resultats - informe'!$D$26)*(C489&lt;='Resultats - informe'!$E$26),0,(C489&gt;='Resultats - informe'!$D$27)*(C489&lt;='Resultats - informe'!$E$27),0,(C489&gt;='Resultats - informe'!$D$28)*(C489&lt;='Resultats - informe'!$E$28),0,(C489&gt;='Resultats - informe'!$D$29)*(C489&lt;='Resultats - informe'!$E$29),0,1,1)</f>
        <v>0</v>
      </c>
      <c r="N489" s="366">
        <f>+VLOOKUP(D489,'Resultats - informe'!$Y$18:$AG$42,'Introducció dades consum'!K489+1,0)</f>
        <v>0</v>
      </c>
      <c r="O489" s="367" cm="1">
        <f t="array" ref="O489">+_xlfn.SWITCH(MONTH(C489),1,1,2,1,3,1,4,2,5,2,6,3,7,3,8,3,9,3,10,2,11,2,12,1,2)</f>
        <v>1</v>
      </c>
      <c r="P489" s="43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</row>
    <row r="490" spans="1:73" ht="18" x14ac:dyDescent="0.35">
      <c r="A490" s="43"/>
      <c r="C490" s="393"/>
      <c r="E490" s="394"/>
      <c r="F490" s="394"/>
      <c r="G490" s="394"/>
      <c r="H490" s="8" t="s">
        <v>61</v>
      </c>
      <c r="I490" s="364">
        <f t="shared" si="22"/>
        <v>0</v>
      </c>
      <c r="J490" s="365">
        <f t="shared" si="21"/>
        <v>0</v>
      </c>
      <c r="K490" s="366">
        <f t="shared" si="23"/>
        <v>6</v>
      </c>
      <c r="L490" s="366">
        <f>+IF((C490&gt;='Resultats - informe'!$E$16)*(C490&lt;='Resultats - informe'!$G$16),1,0)</f>
        <v>1</v>
      </c>
      <c r="M490" s="366" cm="1">
        <f t="array" ref="M490">+_xlfn.IFS((C490&gt;='Resultats - informe'!$D$26)*(C490&lt;='Resultats - informe'!$E$26),0,(C490&gt;='Resultats - informe'!$D$27)*(C490&lt;='Resultats - informe'!$E$27),0,(C490&gt;='Resultats - informe'!$D$28)*(C490&lt;='Resultats - informe'!$E$28),0,(C490&gt;='Resultats - informe'!$D$29)*(C490&lt;='Resultats - informe'!$E$29),0,1,1)</f>
        <v>0</v>
      </c>
      <c r="N490" s="366">
        <f>+VLOOKUP(D490,'Resultats - informe'!$Y$18:$AG$42,'Introducció dades consum'!K490+1,0)</f>
        <v>0</v>
      </c>
      <c r="O490" s="367" cm="1">
        <f t="array" ref="O490">+_xlfn.SWITCH(MONTH(C490),1,1,2,1,3,1,4,2,5,2,6,3,7,3,8,3,9,3,10,2,11,2,12,1,2)</f>
        <v>1</v>
      </c>
      <c r="P490" s="43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</row>
    <row r="491" spans="1:73" ht="18" x14ac:dyDescent="0.35">
      <c r="A491" s="43"/>
      <c r="C491" s="393"/>
      <c r="E491" s="394"/>
      <c r="F491" s="394"/>
      <c r="G491" s="394"/>
      <c r="H491" s="8" t="s">
        <v>61</v>
      </c>
      <c r="I491" s="364">
        <f t="shared" si="22"/>
        <v>0</v>
      </c>
      <c r="J491" s="365">
        <f t="shared" si="21"/>
        <v>0</v>
      </c>
      <c r="K491" s="366">
        <f t="shared" si="23"/>
        <v>6</v>
      </c>
      <c r="L491" s="366">
        <f>+IF((C491&gt;='Resultats - informe'!$E$16)*(C491&lt;='Resultats - informe'!$G$16),1,0)</f>
        <v>1</v>
      </c>
      <c r="M491" s="366" cm="1">
        <f t="array" ref="M491">+_xlfn.IFS((C491&gt;='Resultats - informe'!$D$26)*(C491&lt;='Resultats - informe'!$E$26),0,(C491&gt;='Resultats - informe'!$D$27)*(C491&lt;='Resultats - informe'!$E$27),0,(C491&gt;='Resultats - informe'!$D$28)*(C491&lt;='Resultats - informe'!$E$28),0,(C491&gt;='Resultats - informe'!$D$29)*(C491&lt;='Resultats - informe'!$E$29),0,1,1)</f>
        <v>0</v>
      </c>
      <c r="N491" s="366">
        <f>+VLOOKUP(D491,'Resultats - informe'!$Y$18:$AG$42,'Introducció dades consum'!K491+1,0)</f>
        <v>0</v>
      </c>
      <c r="O491" s="367" cm="1">
        <f t="array" ref="O491">+_xlfn.SWITCH(MONTH(C491),1,1,2,1,3,1,4,2,5,2,6,3,7,3,8,3,9,3,10,2,11,2,12,1,2)</f>
        <v>1</v>
      </c>
      <c r="P491" s="43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</row>
    <row r="492" spans="1:73" ht="18" x14ac:dyDescent="0.35">
      <c r="A492" s="43"/>
      <c r="C492" s="393"/>
      <c r="E492" s="394"/>
      <c r="F492" s="394"/>
      <c r="G492" s="394"/>
      <c r="H492" s="8" t="s">
        <v>61</v>
      </c>
      <c r="I492" s="364">
        <f t="shared" si="22"/>
        <v>0</v>
      </c>
      <c r="J492" s="365">
        <f t="shared" si="21"/>
        <v>0</v>
      </c>
      <c r="K492" s="366">
        <f t="shared" si="23"/>
        <v>6</v>
      </c>
      <c r="L492" s="366">
        <f>+IF((C492&gt;='Resultats - informe'!$E$16)*(C492&lt;='Resultats - informe'!$G$16),1,0)</f>
        <v>1</v>
      </c>
      <c r="M492" s="366" cm="1">
        <f t="array" ref="M492">+_xlfn.IFS((C492&gt;='Resultats - informe'!$D$26)*(C492&lt;='Resultats - informe'!$E$26),0,(C492&gt;='Resultats - informe'!$D$27)*(C492&lt;='Resultats - informe'!$E$27),0,(C492&gt;='Resultats - informe'!$D$28)*(C492&lt;='Resultats - informe'!$E$28),0,(C492&gt;='Resultats - informe'!$D$29)*(C492&lt;='Resultats - informe'!$E$29),0,1,1)</f>
        <v>0</v>
      </c>
      <c r="N492" s="366">
        <f>+VLOOKUP(D492,'Resultats - informe'!$Y$18:$AG$42,'Introducció dades consum'!K492+1,0)</f>
        <v>0</v>
      </c>
      <c r="O492" s="367" cm="1">
        <f t="array" ref="O492">+_xlfn.SWITCH(MONTH(C492),1,1,2,1,3,1,4,2,5,2,6,3,7,3,8,3,9,3,10,2,11,2,12,1,2)</f>
        <v>1</v>
      </c>
      <c r="P492" s="43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</row>
    <row r="493" spans="1:73" ht="18" x14ac:dyDescent="0.35">
      <c r="A493" s="43"/>
      <c r="C493" s="393"/>
      <c r="E493" s="394"/>
      <c r="F493" s="394"/>
      <c r="G493" s="394"/>
      <c r="H493" s="8" t="s">
        <v>61</v>
      </c>
      <c r="I493" s="364">
        <f t="shared" si="22"/>
        <v>0</v>
      </c>
      <c r="J493" s="365">
        <f t="shared" si="21"/>
        <v>0</v>
      </c>
      <c r="K493" s="366">
        <f t="shared" si="23"/>
        <v>6</v>
      </c>
      <c r="L493" s="366">
        <f>+IF((C493&gt;='Resultats - informe'!$E$16)*(C493&lt;='Resultats - informe'!$G$16),1,0)</f>
        <v>1</v>
      </c>
      <c r="M493" s="366" cm="1">
        <f t="array" ref="M493">+_xlfn.IFS((C493&gt;='Resultats - informe'!$D$26)*(C493&lt;='Resultats - informe'!$E$26),0,(C493&gt;='Resultats - informe'!$D$27)*(C493&lt;='Resultats - informe'!$E$27),0,(C493&gt;='Resultats - informe'!$D$28)*(C493&lt;='Resultats - informe'!$E$28),0,(C493&gt;='Resultats - informe'!$D$29)*(C493&lt;='Resultats - informe'!$E$29),0,1,1)</f>
        <v>0</v>
      </c>
      <c r="N493" s="366">
        <f>+VLOOKUP(D493,'Resultats - informe'!$Y$18:$AG$42,'Introducció dades consum'!K493+1,0)</f>
        <v>0</v>
      </c>
      <c r="O493" s="367" cm="1">
        <f t="array" ref="O493">+_xlfn.SWITCH(MONTH(C493),1,1,2,1,3,1,4,2,5,2,6,3,7,3,8,3,9,3,10,2,11,2,12,1,2)</f>
        <v>1</v>
      </c>
      <c r="P493" s="43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</row>
    <row r="494" spans="1:73" ht="18" x14ac:dyDescent="0.35">
      <c r="A494" s="43"/>
      <c r="C494" s="393"/>
      <c r="E494" s="394"/>
      <c r="F494" s="394"/>
      <c r="G494" s="394"/>
      <c r="H494" s="8" t="s">
        <v>61</v>
      </c>
      <c r="I494" s="364">
        <f t="shared" si="22"/>
        <v>0</v>
      </c>
      <c r="J494" s="365">
        <f t="shared" si="21"/>
        <v>0</v>
      </c>
      <c r="K494" s="366">
        <f t="shared" si="23"/>
        <v>6</v>
      </c>
      <c r="L494" s="366">
        <f>+IF((C494&gt;='Resultats - informe'!$E$16)*(C494&lt;='Resultats - informe'!$G$16),1,0)</f>
        <v>1</v>
      </c>
      <c r="M494" s="366" cm="1">
        <f t="array" ref="M494">+_xlfn.IFS((C494&gt;='Resultats - informe'!$D$26)*(C494&lt;='Resultats - informe'!$E$26),0,(C494&gt;='Resultats - informe'!$D$27)*(C494&lt;='Resultats - informe'!$E$27),0,(C494&gt;='Resultats - informe'!$D$28)*(C494&lt;='Resultats - informe'!$E$28),0,(C494&gt;='Resultats - informe'!$D$29)*(C494&lt;='Resultats - informe'!$E$29),0,1,1)</f>
        <v>0</v>
      </c>
      <c r="N494" s="366">
        <f>+VLOOKUP(D494,'Resultats - informe'!$Y$18:$AG$42,'Introducció dades consum'!K494+1,0)</f>
        <v>0</v>
      </c>
      <c r="O494" s="367" cm="1">
        <f t="array" ref="O494">+_xlfn.SWITCH(MONTH(C494),1,1,2,1,3,1,4,2,5,2,6,3,7,3,8,3,9,3,10,2,11,2,12,1,2)</f>
        <v>1</v>
      </c>
      <c r="P494" s="43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</row>
    <row r="495" spans="1:73" ht="18" x14ac:dyDescent="0.35">
      <c r="A495" s="43"/>
      <c r="C495" s="393"/>
      <c r="E495" s="394"/>
      <c r="F495" s="394"/>
      <c r="G495" s="394"/>
      <c r="H495" s="8" t="s">
        <v>61</v>
      </c>
      <c r="I495" s="364">
        <f t="shared" si="22"/>
        <v>0</v>
      </c>
      <c r="J495" s="365">
        <f t="shared" si="21"/>
        <v>0</v>
      </c>
      <c r="K495" s="366">
        <f t="shared" si="23"/>
        <v>6</v>
      </c>
      <c r="L495" s="366">
        <f>+IF((C495&gt;='Resultats - informe'!$E$16)*(C495&lt;='Resultats - informe'!$G$16),1,0)</f>
        <v>1</v>
      </c>
      <c r="M495" s="366" cm="1">
        <f t="array" ref="M495">+_xlfn.IFS((C495&gt;='Resultats - informe'!$D$26)*(C495&lt;='Resultats - informe'!$E$26),0,(C495&gt;='Resultats - informe'!$D$27)*(C495&lt;='Resultats - informe'!$E$27),0,(C495&gt;='Resultats - informe'!$D$28)*(C495&lt;='Resultats - informe'!$E$28),0,(C495&gt;='Resultats - informe'!$D$29)*(C495&lt;='Resultats - informe'!$E$29),0,1,1)</f>
        <v>0</v>
      </c>
      <c r="N495" s="366">
        <f>+VLOOKUP(D495,'Resultats - informe'!$Y$18:$AG$42,'Introducció dades consum'!K495+1,0)</f>
        <v>0</v>
      </c>
      <c r="O495" s="367" cm="1">
        <f t="array" ref="O495">+_xlfn.SWITCH(MONTH(C495),1,1,2,1,3,1,4,2,5,2,6,3,7,3,8,3,9,3,10,2,11,2,12,1,2)</f>
        <v>1</v>
      </c>
      <c r="P495" s="43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</row>
    <row r="496" spans="1:73" ht="18" x14ac:dyDescent="0.35">
      <c r="A496" s="43"/>
      <c r="C496" s="393"/>
      <c r="E496" s="394"/>
      <c r="F496" s="394"/>
      <c r="G496" s="394"/>
      <c r="H496" s="8" t="s">
        <v>61</v>
      </c>
      <c r="I496" s="364">
        <f t="shared" si="22"/>
        <v>0</v>
      </c>
      <c r="J496" s="365">
        <f t="shared" si="21"/>
        <v>0</v>
      </c>
      <c r="K496" s="366">
        <f t="shared" si="23"/>
        <v>6</v>
      </c>
      <c r="L496" s="366">
        <f>+IF((C496&gt;='Resultats - informe'!$E$16)*(C496&lt;='Resultats - informe'!$G$16),1,0)</f>
        <v>1</v>
      </c>
      <c r="M496" s="366" cm="1">
        <f t="array" ref="M496">+_xlfn.IFS((C496&gt;='Resultats - informe'!$D$26)*(C496&lt;='Resultats - informe'!$E$26),0,(C496&gt;='Resultats - informe'!$D$27)*(C496&lt;='Resultats - informe'!$E$27),0,(C496&gt;='Resultats - informe'!$D$28)*(C496&lt;='Resultats - informe'!$E$28),0,(C496&gt;='Resultats - informe'!$D$29)*(C496&lt;='Resultats - informe'!$E$29),0,1,1)</f>
        <v>0</v>
      </c>
      <c r="N496" s="366">
        <f>+VLOOKUP(D496,'Resultats - informe'!$Y$18:$AG$42,'Introducció dades consum'!K496+1,0)</f>
        <v>0</v>
      </c>
      <c r="O496" s="367" cm="1">
        <f t="array" ref="O496">+_xlfn.SWITCH(MONTH(C496),1,1,2,1,3,1,4,2,5,2,6,3,7,3,8,3,9,3,10,2,11,2,12,1,2)</f>
        <v>1</v>
      </c>
      <c r="P496" s="43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</row>
    <row r="497" spans="1:73" ht="18" x14ac:dyDescent="0.35">
      <c r="A497" s="43"/>
      <c r="C497" s="393"/>
      <c r="E497" s="394"/>
      <c r="F497" s="394"/>
      <c r="G497" s="394"/>
      <c r="H497" s="8" t="s">
        <v>61</v>
      </c>
      <c r="I497" s="364">
        <f t="shared" si="22"/>
        <v>0</v>
      </c>
      <c r="J497" s="365">
        <f t="shared" si="21"/>
        <v>0</v>
      </c>
      <c r="K497" s="366">
        <f t="shared" si="23"/>
        <v>6</v>
      </c>
      <c r="L497" s="366">
        <f>+IF((C497&gt;='Resultats - informe'!$E$16)*(C497&lt;='Resultats - informe'!$G$16),1,0)</f>
        <v>1</v>
      </c>
      <c r="M497" s="366" cm="1">
        <f t="array" ref="M497">+_xlfn.IFS((C497&gt;='Resultats - informe'!$D$26)*(C497&lt;='Resultats - informe'!$E$26),0,(C497&gt;='Resultats - informe'!$D$27)*(C497&lt;='Resultats - informe'!$E$27),0,(C497&gt;='Resultats - informe'!$D$28)*(C497&lt;='Resultats - informe'!$E$28),0,(C497&gt;='Resultats - informe'!$D$29)*(C497&lt;='Resultats - informe'!$E$29),0,1,1)</f>
        <v>0</v>
      </c>
      <c r="N497" s="366">
        <f>+VLOOKUP(D497,'Resultats - informe'!$Y$18:$AG$42,'Introducció dades consum'!K497+1,0)</f>
        <v>0</v>
      </c>
      <c r="O497" s="367" cm="1">
        <f t="array" ref="O497">+_xlfn.SWITCH(MONTH(C497),1,1,2,1,3,1,4,2,5,2,6,3,7,3,8,3,9,3,10,2,11,2,12,1,2)</f>
        <v>1</v>
      </c>
      <c r="P497" s="43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</row>
    <row r="498" spans="1:73" ht="18" x14ac:dyDescent="0.35">
      <c r="A498" s="43"/>
      <c r="C498" s="393"/>
      <c r="E498" s="394"/>
      <c r="F498" s="394"/>
      <c r="G498" s="394"/>
      <c r="H498" s="8" t="s">
        <v>61</v>
      </c>
      <c r="I498" s="364">
        <f t="shared" si="22"/>
        <v>0</v>
      </c>
      <c r="J498" s="365">
        <f t="shared" si="21"/>
        <v>0</v>
      </c>
      <c r="K498" s="366">
        <f t="shared" si="23"/>
        <v>6</v>
      </c>
      <c r="L498" s="366">
        <f>+IF((C498&gt;='Resultats - informe'!$E$16)*(C498&lt;='Resultats - informe'!$G$16),1,0)</f>
        <v>1</v>
      </c>
      <c r="M498" s="366" cm="1">
        <f t="array" ref="M498">+_xlfn.IFS((C498&gt;='Resultats - informe'!$D$26)*(C498&lt;='Resultats - informe'!$E$26),0,(C498&gt;='Resultats - informe'!$D$27)*(C498&lt;='Resultats - informe'!$E$27),0,(C498&gt;='Resultats - informe'!$D$28)*(C498&lt;='Resultats - informe'!$E$28),0,(C498&gt;='Resultats - informe'!$D$29)*(C498&lt;='Resultats - informe'!$E$29),0,1,1)</f>
        <v>0</v>
      </c>
      <c r="N498" s="366">
        <f>+VLOOKUP(D498,'Resultats - informe'!$Y$18:$AG$42,'Introducció dades consum'!K498+1,0)</f>
        <v>0</v>
      </c>
      <c r="O498" s="367" cm="1">
        <f t="array" ref="O498">+_xlfn.SWITCH(MONTH(C498),1,1,2,1,3,1,4,2,5,2,6,3,7,3,8,3,9,3,10,2,11,2,12,1,2)</f>
        <v>1</v>
      </c>
      <c r="P498" s="43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</row>
    <row r="499" spans="1:73" ht="18" x14ac:dyDescent="0.35">
      <c r="A499" s="43"/>
      <c r="C499" s="393"/>
      <c r="E499" s="394"/>
      <c r="F499" s="394"/>
      <c r="G499" s="394"/>
      <c r="H499" s="8" t="s">
        <v>61</v>
      </c>
      <c r="I499" s="364">
        <f t="shared" si="22"/>
        <v>0</v>
      </c>
      <c r="J499" s="365">
        <f t="shared" si="21"/>
        <v>0</v>
      </c>
      <c r="K499" s="366">
        <f t="shared" si="23"/>
        <v>6</v>
      </c>
      <c r="L499" s="366">
        <f>+IF((C499&gt;='Resultats - informe'!$E$16)*(C499&lt;='Resultats - informe'!$G$16),1,0)</f>
        <v>1</v>
      </c>
      <c r="M499" s="366" cm="1">
        <f t="array" ref="M499">+_xlfn.IFS((C499&gt;='Resultats - informe'!$D$26)*(C499&lt;='Resultats - informe'!$E$26),0,(C499&gt;='Resultats - informe'!$D$27)*(C499&lt;='Resultats - informe'!$E$27),0,(C499&gt;='Resultats - informe'!$D$28)*(C499&lt;='Resultats - informe'!$E$28),0,(C499&gt;='Resultats - informe'!$D$29)*(C499&lt;='Resultats - informe'!$E$29),0,1,1)</f>
        <v>0</v>
      </c>
      <c r="N499" s="366">
        <f>+VLOOKUP(D499,'Resultats - informe'!$Y$18:$AG$42,'Introducció dades consum'!K499+1,0)</f>
        <v>0</v>
      </c>
      <c r="O499" s="367" cm="1">
        <f t="array" ref="O499">+_xlfn.SWITCH(MONTH(C499),1,1,2,1,3,1,4,2,5,2,6,3,7,3,8,3,9,3,10,2,11,2,12,1,2)</f>
        <v>1</v>
      </c>
      <c r="P499" s="43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</row>
    <row r="500" spans="1:73" ht="18" x14ac:dyDescent="0.35">
      <c r="A500" s="43"/>
      <c r="C500" s="393"/>
      <c r="E500" s="394"/>
      <c r="F500" s="394"/>
      <c r="G500" s="394"/>
      <c r="H500" s="8" t="s">
        <v>61</v>
      </c>
      <c r="I500" s="364">
        <f t="shared" si="22"/>
        <v>0</v>
      </c>
      <c r="J500" s="365">
        <f t="shared" si="21"/>
        <v>0</v>
      </c>
      <c r="K500" s="366">
        <f t="shared" si="23"/>
        <v>6</v>
      </c>
      <c r="L500" s="366">
        <f>+IF((C500&gt;='Resultats - informe'!$E$16)*(C500&lt;='Resultats - informe'!$G$16),1,0)</f>
        <v>1</v>
      </c>
      <c r="M500" s="366" cm="1">
        <f t="array" ref="M500">+_xlfn.IFS((C500&gt;='Resultats - informe'!$D$26)*(C500&lt;='Resultats - informe'!$E$26),0,(C500&gt;='Resultats - informe'!$D$27)*(C500&lt;='Resultats - informe'!$E$27),0,(C500&gt;='Resultats - informe'!$D$28)*(C500&lt;='Resultats - informe'!$E$28),0,(C500&gt;='Resultats - informe'!$D$29)*(C500&lt;='Resultats - informe'!$E$29),0,1,1)</f>
        <v>0</v>
      </c>
      <c r="N500" s="366">
        <f>+VLOOKUP(D500,'Resultats - informe'!$Y$18:$AG$42,'Introducció dades consum'!K500+1,0)</f>
        <v>0</v>
      </c>
      <c r="O500" s="367" cm="1">
        <f t="array" ref="O500">+_xlfn.SWITCH(MONTH(C500),1,1,2,1,3,1,4,2,5,2,6,3,7,3,8,3,9,3,10,2,11,2,12,1,2)</f>
        <v>1</v>
      </c>
      <c r="P500" s="43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  <c r="BU500" s="10"/>
    </row>
    <row r="501" spans="1:73" ht="18" x14ac:dyDescent="0.35">
      <c r="A501" s="43"/>
      <c r="C501" s="393"/>
      <c r="E501" s="394"/>
      <c r="F501" s="394"/>
      <c r="G501" s="394"/>
      <c r="H501" s="8" t="s">
        <v>61</v>
      </c>
      <c r="I501" s="364">
        <f t="shared" si="22"/>
        <v>0</v>
      </c>
      <c r="J501" s="365">
        <f t="shared" si="21"/>
        <v>0</v>
      </c>
      <c r="K501" s="366">
        <f t="shared" si="23"/>
        <v>6</v>
      </c>
      <c r="L501" s="366">
        <f>+IF((C501&gt;='Resultats - informe'!$E$16)*(C501&lt;='Resultats - informe'!$G$16),1,0)</f>
        <v>1</v>
      </c>
      <c r="M501" s="366" cm="1">
        <f t="array" ref="M501">+_xlfn.IFS((C501&gt;='Resultats - informe'!$D$26)*(C501&lt;='Resultats - informe'!$E$26),0,(C501&gt;='Resultats - informe'!$D$27)*(C501&lt;='Resultats - informe'!$E$27),0,(C501&gt;='Resultats - informe'!$D$28)*(C501&lt;='Resultats - informe'!$E$28),0,(C501&gt;='Resultats - informe'!$D$29)*(C501&lt;='Resultats - informe'!$E$29),0,1,1)</f>
        <v>0</v>
      </c>
      <c r="N501" s="366">
        <f>+VLOOKUP(D501,'Resultats - informe'!$Y$18:$AG$42,'Introducció dades consum'!K501+1,0)</f>
        <v>0</v>
      </c>
      <c r="O501" s="367" cm="1">
        <f t="array" ref="O501">+_xlfn.SWITCH(MONTH(C501),1,1,2,1,3,1,4,2,5,2,6,3,7,3,8,3,9,3,10,2,11,2,12,1,2)</f>
        <v>1</v>
      </c>
      <c r="P501" s="43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</row>
    <row r="502" spans="1:73" ht="18" x14ac:dyDescent="0.35">
      <c r="A502" s="43"/>
      <c r="C502" s="393"/>
      <c r="E502" s="394"/>
      <c r="F502" s="394"/>
      <c r="G502" s="394"/>
      <c r="H502" s="8" t="s">
        <v>61</v>
      </c>
      <c r="I502" s="364">
        <f t="shared" si="22"/>
        <v>0</v>
      </c>
      <c r="J502" s="365">
        <f t="shared" si="21"/>
        <v>0</v>
      </c>
      <c r="K502" s="366">
        <f t="shared" si="23"/>
        <v>6</v>
      </c>
      <c r="L502" s="366">
        <f>+IF((C502&gt;='Resultats - informe'!$E$16)*(C502&lt;='Resultats - informe'!$G$16),1,0)</f>
        <v>1</v>
      </c>
      <c r="M502" s="366" cm="1">
        <f t="array" ref="M502">+_xlfn.IFS((C502&gt;='Resultats - informe'!$D$26)*(C502&lt;='Resultats - informe'!$E$26),0,(C502&gt;='Resultats - informe'!$D$27)*(C502&lt;='Resultats - informe'!$E$27),0,(C502&gt;='Resultats - informe'!$D$28)*(C502&lt;='Resultats - informe'!$E$28),0,(C502&gt;='Resultats - informe'!$D$29)*(C502&lt;='Resultats - informe'!$E$29),0,1,1)</f>
        <v>0</v>
      </c>
      <c r="N502" s="366">
        <f>+VLOOKUP(D502,'Resultats - informe'!$Y$18:$AG$42,'Introducció dades consum'!K502+1,0)</f>
        <v>0</v>
      </c>
      <c r="O502" s="367" cm="1">
        <f t="array" ref="O502">+_xlfn.SWITCH(MONTH(C502),1,1,2,1,3,1,4,2,5,2,6,3,7,3,8,3,9,3,10,2,11,2,12,1,2)</f>
        <v>1</v>
      </c>
      <c r="P502" s="43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</row>
    <row r="503" spans="1:73" ht="18" x14ac:dyDescent="0.35">
      <c r="A503" s="43"/>
      <c r="C503" s="393"/>
      <c r="E503" s="394"/>
      <c r="F503" s="394"/>
      <c r="G503" s="394"/>
      <c r="H503" s="8" t="s">
        <v>61</v>
      </c>
      <c r="I503" s="364">
        <f t="shared" si="22"/>
        <v>0</v>
      </c>
      <c r="J503" s="365">
        <f t="shared" si="21"/>
        <v>0</v>
      </c>
      <c r="K503" s="366">
        <f t="shared" si="23"/>
        <v>6</v>
      </c>
      <c r="L503" s="366">
        <f>+IF((C503&gt;='Resultats - informe'!$E$16)*(C503&lt;='Resultats - informe'!$G$16),1,0)</f>
        <v>1</v>
      </c>
      <c r="M503" s="366" cm="1">
        <f t="array" ref="M503">+_xlfn.IFS((C503&gt;='Resultats - informe'!$D$26)*(C503&lt;='Resultats - informe'!$E$26),0,(C503&gt;='Resultats - informe'!$D$27)*(C503&lt;='Resultats - informe'!$E$27),0,(C503&gt;='Resultats - informe'!$D$28)*(C503&lt;='Resultats - informe'!$E$28),0,(C503&gt;='Resultats - informe'!$D$29)*(C503&lt;='Resultats - informe'!$E$29),0,1,1)</f>
        <v>0</v>
      </c>
      <c r="N503" s="366">
        <f>+VLOOKUP(D503,'Resultats - informe'!$Y$18:$AG$42,'Introducció dades consum'!K503+1,0)</f>
        <v>0</v>
      </c>
      <c r="O503" s="367" cm="1">
        <f t="array" ref="O503">+_xlfn.SWITCH(MONTH(C503),1,1,2,1,3,1,4,2,5,2,6,3,7,3,8,3,9,3,10,2,11,2,12,1,2)</f>
        <v>1</v>
      </c>
      <c r="P503" s="43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</row>
    <row r="504" spans="1:73" ht="18" x14ac:dyDescent="0.35">
      <c r="A504" s="43"/>
      <c r="C504" s="393"/>
      <c r="E504" s="394"/>
      <c r="F504" s="394"/>
      <c r="G504" s="394"/>
      <c r="H504" s="8" t="s">
        <v>61</v>
      </c>
      <c r="I504" s="364">
        <f t="shared" si="22"/>
        <v>0</v>
      </c>
      <c r="J504" s="365">
        <f t="shared" si="21"/>
        <v>0</v>
      </c>
      <c r="K504" s="366">
        <f t="shared" si="23"/>
        <v>6</v>
      </c>
      <c r="L504" s="366">
        <f>+IF((C504&gt;='Resultats - informe'!$E$16)*(C504&lt;='Resultats - informe'!$G$16),1,0)</f>
        <v>1</v>
      </c>
      <c r="M504" s="366" cm="1">
        <f t="array" ref="M504">+_xlfn.IFS((C504&gt;='Resultats - informe'!$D$26)*(C504&lt;='Resultats - informe'!$E$26),0,(C504&gt;='Resultats - informe'!$D$27)*(C504&lt;='Resultats - informe'!$E$27),0,(C504&gt;='Resultats - informe'!$D$28)*(C504&lt;='Resultats - informe'!$E$28),0,(C504&gt;='Resultats - informe'!$D$29)*(C504&lt;='Resultats - informe'!$E$29),0,1,1)</f>
        <v>0</v>
      </c>
      <c r="N504" s="366">
        <f>+VLOOKUP(D504,'Resultats - informe'!$Y$18:$AG$42,'Introducció dades consum'!K504+1,0)</f>
        <v>0</v>
      </c>
      <c r="O504" s="367" cm="1">
        <f t="array" ref="O504">+_xlfn.SWITCH(MONTH(C504),1,1,2,1,3,1,4,2,5,2,6,3,7,3,8,3,9,3,10,2,11,2,12,1,2)</f>
        <v>1</v>
      </c>
      <c r="P504" s="43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</row>
    <row r="505" spans="1:73" ht="18" x14ac:dyDescent="0.35">
      <c r="A505" s="43"/>
      <c r="C505" s="393"/>
      <c r="E505" s="394"/>
      <c r="F505" s="394"/>
      <c r="G505" s="394"/>
      <c r="H505" s="8" t="s">
        <v>61</v>
      </c>
      <c r="I505" s="364">
        <f t="shared" si="22"/>
        <v>0</v>
      </c>
      <c r="J505" s="365">
        <f t="shared" si="21"/>
        <v>0</v>
      </c>
      <c r="K505" s="366">
        <f t="shared" si="23"/>
        <v>6</v>
      </c>
      <c r="L505" s="366">
        <f>+IF((C505&gt;='Resultats - informe'!$E$16)*(C505&lt;='Resultats - informe'!$G$16),1,0)</f>
        <v>1</v>
      </c>
      <c r="M505" s="366" cm="1">
        <f t="array" ref="M505">+_xlfn.IFS((C505&gt;='Resultats - informe'!$D$26)*(C505&lt;='Resultats - informe'!$E$26),0,(C505&gt;='Resultats - informe'!$D$27)*(C505&lt;='Resultats - informe'!$E$27),0,(C505&gt;='Resultats - informe'!$D$28)*(C505&lt;='Resultats - informe'!$E$28),0,(C505&gt;='Resultats - informe'!$D$29)*(C505&lt;='Resultats - informe'!$E$29),0,1,1)</f>
        <v>0</v>
      </c>
      <c r="N505" s="366">
        <f>+VLOOKUP(D505,'Resultats - informe'!$Y$18:$AG$42,'Introducció dades consum'!K505+1,0)</f>
        <v>0</v>
      </c>
      <c r="O505" s="367" cm="1">
        <f t="array" ref="O505">+_xlfn.SWITCH(MONTH(C505),1,1,2,1,3,1,4,2,5,2,6,3,7,3,8,3,9,3,10,2,11,2,12,1,2)</f>
        <v>1</v>
      </c>
      <c r="P505" s="43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</row>
    <row r="506" spans="1:73" ht="18" x14ac:dyDescent="0.35">
      <c r="A506" s="43"/>
      <c r="C506" s="393"/>
      <c r="E506" s="394"/>
      <c r="F506" s="394"/>
      <c r="G506" s="394"/>
      <c r="H506" s="8" t="s">
        <v>61</v>
      </c>
      <c r="I506" s="364">
        <f t="shared" si="22"/>
        <v>0</v>
      </c>
      <c r="J506" s="365">
        <f t="shared" si="21"/>
        <v>0</v>
      </c>
      <c r="K506" s="366">
        <f t="shared" si="23"/>
        <v>6</v>
      </c>
      <c r="L506" s="366">
        <f>+IF((C506&gt;='Resultats - informe'!$E$16)*(C506&lt;='Resultats - informe'!$G$16),1,0)</f>
        <v>1</v>
      </c>
      <c r="M506" s="366" cm="1">
        <f t="array" ref="M506">+_xlfn.IFS((C506&gt;='Resultats - informe'!$D$26)*(C506&lt;='Resultats - informe'!$E$26),0,(C506&gt;='Resultats - informe'!$D$27)*(C506&lt;='Resultats - informe'!$E$27),0,(C506&gt;='Resultats - informe'!$D$28)*(C506&lt;='Resultats - informe'!$E$28),0,(C506&gt;='Resultats - informe'!$D$29)*(C506&lt;='Resultats - informe'!$E$29),0,1,1)</f>
        <v>0</v>
      </c>
      <c r="N506" s="366">
        <f>+VLOOKUP(D506,'Resultats - informe'!$Y$18:$AG$42,'Introducció dades consum'!K506+1,0)</f>
        <v>0</v>
      </c>
      <c r="O506" s="367" cm="1">
        <f t="array" ref="O506">+_xlfn.SWITCH(MONTH(C506),1,1,2,1,3,1,4,2,5,2,6,3,7,3,8,3,9,3,10,2,11,2,12,1,2)</f>
        <v>1</v>
      </c>
      <c r="P506" s="43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</row>
    <row r="507" spans="1:73" ht="18" x14ac:dyDescent="0.35">
      <c r="A507" s="43"/>
      <c r="C507" s="393"/>
      <c r="E507" s="394"/>
      <c r="F507" s="394"/>
      <c r="G507" s="394"/>
      <c r="H507" s="8" t="s">
        <v>61</v>
      </c>
      <c r="I507" s="364">
        <f t="shared" si="22"/>
        <v>0</v>
      </c>
      <c r="J507" s="365">
        <f t="shared" si="21"/>
        <v>0</v>
      </c>
      <c r="K507" s="366">
        <f t="shared" si="23"/>
        <v>6</v>
      </c>
      <c r="L507" s="366">
        <f>+IF((C507&gt;='Resultats - informe'!$E$16)*(C507&lt;='Resultats - informe'!$G$16),1,0)</f>
        <v>1</v>
      </c>
      <c r="M507" s="366" cm="1">
        <f t="array" ref="M507">+_xlfn.IFS((C507&gt;='Resultats - informe'!$D$26)*(C507&lt;='Resultats - informe'!$E$26),0,(C507&gt;='Resultats - informe'!$D$27)*(C507&lt;='Resultats - informe'!$E$27),0,(C507&gt;='Resultats - informe'!$D$28)*(C507&lt;='Resultats - informe'!$E$28),0,(C507&gt;='Resultats - informe'!$D$29)*(C507&lt;='Resultats - informe'!$E$29),0,1,1)</f>
        <v>0</v>
      </c>
      <c r="N507" s="366">
        <f>+VLOOKUP(D507,'Resultats - informe'!$Y$18:$AG$42,'Introducció dades consum'!K507+1,0)</f>
        <v>0</v>
      </c>
      <c r="O507" s="367" cm="1">
        <f t="array" ref="O507">+_xlfn.SWITCH(MONTH(C507),1,1,2,1,3,1,4,2,5,2,6,3,7,3,8,3,9,3,10,2,11,2,12,1,2)</f>
        <v>1</v>
      </c>
      <c r="P507" s="43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</row>
    <row r="508" spans="1:73" ht="18" x14ac:dyDescent="0.35">
      <c r="A508" s="43"/>
      <c r="C508" s="393"/>
      <c r="E508" s="394"/>
      <c r="F508" s="394"/>
      <c r="G508" s="394"/>
      <c r="H508" s="8" t="s">
        <v>61</v>
      </c>
      <c r="I508" s="364">
        <f t="shared" si="22"/>
        <v>0</v>
      </c>
      <c r="J508" s="365">
        <f t="shared" si="21"/>
        <v>0</v>
      </c>
      <c r="K508" s="366">
        <f t="shared" si="23"/>
        <v>6</v>
      </c>
      <c r="L508" s="366">
        <f>+IF((C508&gt;='Resultats - informe'!$E$16)*(C508&lt;='Resultats - informe'!$G$16),1,0)</f>
        <v>1</v>
      </c>
      <c r="M508" s="366" cm="1">
        <f t="array" ref="M508">+_xlfn.IFS((C508&gt;='Resultats - informe'!$D$26)*(C508&lt;='Resultats - informe'!$E$26),0,(C508&gt;='Resultats - informe'!$D$27)*(C508&lt;='Resultats - informe'!$E$27),0,(C508&gt;='Resultats - informe'!$D$28)*(C508&lt;='Resultats - informe'!$E$28),0,(C508&gt;='Resultats - informe'!$D$29)*(C508&lt;='Resultats - informe'!$E$29),0,1,1)</f>
        <v>0</v>
      </c>
      <c r="N508" s="366">
        <f>+VLOOKUP(D508,'Resultats - informe'!$Y$18:$AG$42,'Introducció dades consum'!K508+1,0)</f>
        <v>0</v>
      </c>
      <c r="O508" s="367" cm="1">
        <f t="array" ref="O508">+_xlfn.SWITCH(MONTH(C508),1,1,2,1,3,1,4,2,5,2,6,3,7,3,8,3,9,3,10,2,11,2,12,1,2)</f>
        <v>1</v>
      </c>
      <c r="P508" s="43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</row>
    <row r="509" spans="1:73" ht="18" x14ac:dyDescent="0.35">
      <c r="A509" s="43"/>
      <c r="C509" s="393"/>
      <c r="E509" s="394"/>
      <c r="F509" s="394"/>
      <c r="G509" s="394"/>
      <c r="H509" s="8" t="s">
        <v>61</v>
      </c>
      <c r="I509" s="364">
        <f t="shared" si="22"/>
        <v>0</v>
      </c>
      <c r="J509" s="365">
        <f t="shared" si="21"/>
        <v>0</v>
      </c>
      <c r="K509" s="366">
        <f t="shared" si="23"/>
        <v>6</v>
      </c>
      <c r="L509" s="366">
        <f>+IF((C509&gt;='Resultats - informe'!$E$16)*(C509&lt;='Resultats - informe'!$G$16),1,0)</f>
        <v>1</v>
      </c>
      <c r="M509" s="366" cm="1">
        <f t="array" ref="M509">+_xlfn.IFS((C509&gt;='Resultats - informe'!$D$26)*(C509&lt;='Resultats - informe'!$E$26),0,(C509&gt;='Resultats - informe'!$D$27)*(C509&lt;='Resultats - informe'!$E$27),0,(C509&gt;='Resultats - informe'!$D$28)*(C509&lt;='Resultats - informe'!$E$28),0,(C509&gt;='Resultats - informe'!$D$29)*(C509&lt;='Resultats - informe'!$E$29),0,1,1)</f>
        <v>0</v>
      </c>
      <c r="N509" s="366">
        <f>+VLOOKUP(D509,'Resultats - informe'!$Y$18:$AG$42,'Introducció dades consum'!K509+1,0)</f>
        <v>0</v>
      </c>
      <c r="O509" s="367" cm="1">
        <f t="array" ref="O509">+_xlfn.SWITCH(MONTH(C509),1,1,2,1,3,1,4,2,5,2,6,3,7,3,8,3,9,3,10,2,11,2,12,1,2)</f>
        <v>1</v>
      </c>
      <c r="P509" s="43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10"/>
    </row>
    <row r="510" spans="1:73" ht="18" x14ac:dyDescent="0.35">
      <c r="A510" s="43"/>
      <c r="C510" s="393"/>
      <c r="E510" s="394"/>
      <c r="F510" s="394"/>
      <c r="G510" s="394"/>
      <c r="H510" s="8" t="s">
        <v>61</v>
      </c>
      <c r="I510" s="364">
        <f t="shared" si="22"/>
        <v>0</v>
      </c>
      <c r="J510" s="365">
        <f t="shared" si="21"/>
        <v>0</v>
      </c>
      <c r="K510" s="366">
        <f t="shared" si="23"/>
        <v>6</v>
      </c>
      <c r="L510" s="366">
        <f>+IF((C510&gt;='Resultats - informe'!$E$16)*(C510&lt;='Resultats - informe'!$G$16),1,0)</f>
        <v>1</v>
      </c>
      <c r="M510" s="366" cm="1">
        <f t="array" ref="M510">+_xlfn.IFS((C510&gt;='Resultats - informe'!$D$26)*(C510&lt;='Resultats - informe'!$E$26),0,(C510&gt;='Resultats - informe'!$D$27)*(C510&lt;='Resultats - informe'!$E$27),0,(C510&gt;='Resultats - informe'!$D$28)*(C510&lt;='Resultats - informe'!$E$28),0,(C510&gt;='Resultats - informe'!$D$29)*(C510&lt;='Resultats - informe'!$E$29),0,1,1)</f>
        <v>0</v>
      </c>
      <c r="N510" s="366">
        <f>+VLOOKUP(D510,'Resultats - informe'!$Y$18:$AG$42,'Introducció dades consum'!K510+1,0)</f>
        <v>0</v>
      </c>
      <c r="O510" s="367" cm="1">
        <f t="array" ref="O510">+_xlfn.SWITCH(MONTH(C510),1,1,2,1,3,1,4,2,5,2,6,3,7,3,8,3,9,3,10,2,11,2,12,1,2)</f>
        <v>1</v>
      </c>
      <c r="P510" s="43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  <c r="BU510" s="10"/>
    </row>
    <row r="511" spans="1:73" ht="18" x14ac:dyDescent="0.35">
      <c r="A511" s="43"/>
      <c r="C511" s="393"/>
      <c r="E511" s="394"/>
      <c r="F511" s="394"/>
      <c r="G511" s="394"/>
      <c r="H511" s="8" t="s">
        <v>61</v>
      </c>
      <c r="I511" s="364">
        <f t="shared" si="22"/>
        <v>0</v>
      </c>
      <c r="J511" s="365">
        <f t="shared" si="21"/>
        <v>0</v>
      </c>
      <c r="K511" s="366">
        <f t="shared" si="23"/>
        <v>6</v>
      </c>
      <c r="L511" s="366">
        <f>+IF((C511&gt;='Resultats - informe'!$E$16)*(C511&lt;='Resultats - informe'!$G$16),1,0)</f>
        <v>1</v>
      </c>
      <c r="M511" s="366" cm="1">
        <f t="array" ref="M511">+_xlfn.IFS((C511&gt;='Resultats - informe'!$D$26)*(C511&lt;='Resultats - informe'!$E$26),0,(C511&gt;='Resultats - informe'!$D$27)*(C511&lt;='Resultats - informe'!$E$27),0,(C511&gt;='Resultats - informe'!$D$28)*(C511&lt;='Resultats - informe'!$E$28),0,(C511&gt;='Resultats - informe'!$D$29)*(C511&lt;='Resultats - informe'!$E$29),0,1,1)</f>
        <v>0</v>
      </c>
      <c r="N511" s="366">
        <f>+VLOOKUP(D511,'Resultats - informe'!$Y$18:$AG$42,'Introducció dades consum'!K511+1,0)</f>
        <v>0</v>
      </c>
      <c r="O511" s="367" cm="1">
        <f t="array" ref="O511">+_xlfn.SWITCH(MONTH(C511),1,1,2,1,3,1,4,2,5,2,6,3,7,3,8,3,9,3,10,2,11,2,12,1,2)</f>
        <v>1</v>
      </c>
      <c r="P511" s="43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  <c r="BT511" s="10"/>
      <c r="BU511" s="10"/>
    </row>
    <row r="512" spans="1:73" ht="18" x14ac:dyDescent="0.35">
      <c r="A512" s="43"/>
      <c r="C512" s="393"/>
      <c r="E512" s="394"/>
      <c r="F512" s="394"/>
      <c r="G512" s="394"/>
      <c r="H512" s="8" t="s">
        <v>61</v>
      </c>
      <c r="I512" s="364">
        <f t="shared" si="22"/>
        <v>0</v>
      </c>
      <c r="J512" s="365">
        <f t="shared" si="21"/>
        <v>0</v>
      </c>
      <c r="K512" s="366">
        <f t="shared" si="23"/>
        <v>6</v>
      </c>
      <c r="L512" s="366">
        <f>+IF((C512&gt;='Resultats - informe'!$E$16)*(C512&lt;='Resultats - informe'!$G$16),1,0)</f>
        <v>1</v>
      </c>
      <c r="M512" s="366" cm="1">
        <f t="array" ref="M512">+_xlfn.IFS((C512&gt;='Resultats - informe'!$D$26)*(C512&lt;='Resultats - informe'!$E$26),0,(C512&gt;='Resultats - informe'!$D$27)*(C512&lt;='Resultats - informe'!$E$27),0,(C512&gt;='Resultats - informe'!$D$28)*(C512&lt;='Resultats - informe'!$E$28),0,(C512&gt;='Resultats - informe'!$D$29)*(C512&lt;='Resultats - informe'!$E$29),0,1,1)</f>
        <v>0</v>
      </c>
      <c r="N512" s="366">
        <f>+VLOOKUP(D512,'Resultats - informe'!$Y$18:$AG$42,'Introducció dades consum'!K512+1,0)</f>
        <v>0</v>
      </c>
      <c r="O512" s="367" cm="1">
        <f t="array" ref="O512">+_xlfn.SWITCH(MONTH(C512),1,1,2,1,3,1,4,2,5,2,6,3,7,3,8,3,9,3,10,2,11,2,12,1,2)</f>
        <v>1</v>
      </c>
      <c r="P512" s="43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  <c r="BT512" s="10"/>
      <c r="BU512" s="10"/>
    </row>
    <row r="513" spans="1:73" ht="18" x14ac:dyDescent="0.35">
      <c r="A513" s="43"/>
      <c r="C513" s="393"/>
      <c r="E513" s="394"/>
      <c r="F513" s="394"/>
      <c r="G513" s="394"/>
      <c r="H513" s="8" t="s">
        <v>61</v>
      </c>
      <c r="I513" s="364">
        <f t="shared" si="22"/>
        <v>0</v>
      </c>
      <c r="J513" s="365">
        <f t="shared" si="21"/>
        <v>0</v>
      </c>
      <c r="K513" s="366">
        <f t="shared" si="23"/>
        <v>6</v>
      </c>
      <c r="L513" s="366">
        <f>+IF((C513&gt;='Resultats - informe'!$E$16)*(C513&lt;='Resultats - informe'!$G$16),1,0)</f>
        <v>1</v>
      </c>
      <c r="M513" s="366" cm="1">
        <f t="array" ref="M513">+_xlfn.IFS((C513&gt;='Resultats - informe'!$D$26)*(C513&lt;='Resultats - informe'!$E$26),0,(C513&gt;='Resultats - informe'!$D$27)*(C513&lt;='Resultats - informe'!$E$27),0,(C513&gt;='Resultats - informe'!$D$28)*(C513&lt;='Resultats - informe'!$E$28),0,(C513&gt;='Resultats - informe'!$D$29)*(C513&lt;='Resultats - informe'!$E$29),0,1,1)</f>
        <v>0</v>
      </c>
      <c r="N513" s="366">
        <f>+VLOOKUP(D513,'Resultats - informe'!$Y$18:$AG$42,'Introducció dades consum'!K513+1,0)</f>
        <v>0</v>
      </c>
      <c r="O513" s="367" cm="1">
        <f t="array" ref="O513">+_xlfn.SWITCH(MONTH(C513),1,1,2,1,3,1,4,2,5,2,6,3,7,3,8,3,9,3,10,2,11,2,12,1,2)</f>
        <v>1</v>
      </c>
      <c r="P513" s="43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10"/>
    </row>
    <row r="514" spans="1:73" ht="18" x14ac:dyDescent="0.35">
      <c r="A514" s="43"/>
      <c r="C514" s="393"/>
      <c r="E514" s="394"/>
      <c r="F514" s="394"/>
      <c r="G514" s="394"/>
      <c r="H514" s="8" t="s">
        <v>61</v>
      </c>
      <c r="I514" s="364">
        <f t="shared" si="22"/>
        <v>0</v>
      </c>
      <c r="J514" s="365">
        <f t="shared" si="21"/>
        <v>0</v>
      </c>
      <c r="K514" s="366">
        <f t="shared" si="23"/>
        <v>6</v>
      </c>
      <c r="L514" s="366">
        <f>+IF((C514&gt;='Resultats - informe'!$E$16)*(C514&lt;='Resultats - informe'!$G$16),1,0)</f>
        <v>1</v>
      </c>
      <c r="M514" s="366" cm="1">
        <f t="array" ref="M514">+_xlfn.IFS((C514&gt;='Resultats - informe'!$D$26)*(C514&lt;='Resultats - informe'!$E$26),0,(C514&gt;='Resultats - informe'!$D$27)*(C514&lt;='Resultats - informe'!$E$27),0,(C514&gt;='Resultats - informe'!$D$28)*(C514&lt;='Resultats - informe'!$E$28),0,(C514&gt;='Resultats - informe'!$D$29)*(C514&lt;='Resultats - informe'!$E$29),0,1,1)</f>
        <v>0</v>
      </c>
      <c r="N514" s="366">
        <f>+VLOOKUP(D514,'Resultats - informe'!$Y$18:$AG$42,'Introducció dades consum'!K514+1,0)</f>
        <v>0</v>
      </c>
      <c r="O514" s="367" cm="1">
        <f t="array" ref="O514">+_xlfn.SWITCH(MONTH(C514),1,1,2,1,3,1,4,2,5,2,6,3,7,3,8,3,9,3,10,2,11,2,12,1,2)</f>
        <v>1</v>
      </c>
      <c r="P514" s="43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</row>
    <row r="515" spans="1:73" ht="18" x14ac:dyDescent="0.35">
      <c r="A515" s="43"/>
      <c r="C515" s="393"/>
      <c r="E515" s="394"/>
      <c r="F515" s="394"/>
      <c r="G515" s="394"/>
      <c r="H515" s="8" t="s">
        <v>61</v>
      </c>
      <c r="I515" s="364">
        <f t="shared" si="22"/>
        <v>0</v>
      </c>
      <c r="J515" s="365">
        <f t="shared" si="21"/>
        <v>0</v>
      </c>
      <c r="K515" s="366">
        <f t="shared" si="23"/>
        <v>6</v>
      </c>
      <c r="L515" s="366">
        <f>+IF((C515&gt;='Resultats - informe'!$E$16)*(C515&lt;='Resultats - informe'!$G$16),1,0)</f>
        <v>1</v>
      </c>
      <c r="M515" s="366" cm="1">
        <f t="array" ref="M515">+_xlfn.IFS((C515&gt;='Resultats - informe'!$D$26)*(C515&lt;='Resultats - informe'!$E$26),0,(C515&gt;='Resultats - informe'!$D$27)*(C515&lt;='Resultats - informe'!$E$27),0,(C515&gt;='Resultats - informe'!$D$28)*(C515&lt;='Resultats - informe'!$E$28),0,(C515&gt;='Resultats - informe'!$D$29)*(C515&lt;='Resultats - informe'!$E$29),0,1,1)</f>
        <v>0</v>
      </c>
      <c r="N515" s="366">
        <f>+VLOOKUP(D515,'Resultats - informe'!$Y$18:$AG$42,'Introducció dades consum'!K515+1,0)</f>
        <v>0</v>
      </c>
      <c r="O515" s="367" cm="1">
        <f t="array" ref="O515">+_xlfn.SWITCH(MONTH(C515),1,1,2,1,3,1,4,2,5,2,6,3,7,3,8,3,9,3,10,2,11,2,12,1,2)</f>
        <v>1</v>
      </c>
      <c r="P515" s="43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</row>
    <row r="516" spans="1:73" ht="18" x14ac:dyDescent="0.35">
      <c r="A516" s="43"/>
      <c r="C516" s="393"/>
      <c r="E516" s="394"/>
      <c r="F516" s="394"/>
      <c r="G516" s="394"/>
      <c r="H516" s="8" t="s">
        <v>61</v>
      </c>
      <c r="I516" s="364">
        <f t="shared" si="22"/>
        <v>0</v>
      </c>
      <c r="J516" s="365">
        <f t="shared" si="21"/>
        <v>0</v>
      </c>
      <c r="K516" s="366">
        <f t="shared" si="23"/>
        <v>6</v>
      </c>
      <c r="L516" s="366">
        <f>+IF((C516&gt;='Resultats - informe'!$E$16)*(C516&lt;='Resultats - informe'!$G$16),1,0)</f>
        <v>1</v>
      </c>
      <c r="M516" s="366" cm="1">
        <f t="array" ref="M516">+_xlfn.IFS((C516&gt;='Resultats - informe'!$D$26)*(C516&lt;='Resultats - informe'!$E$26),0,(C516&gt;='Resultats - informe'!$D$27)*(C516&lt;='Resultats - informe'!$E$27),0,(C516&gt;='Resultats - informe'!$D$28)*(C516&lt;='Resultats - informe'!$E$28),0,(C516&gt;='Resultats - informe'!$D$29)*(C516&lt;='Resultats - informe'!$E$29),0,1,1)</f>
        <v>0</v>
      </c>
      <c r="N516" s="366">
        <f>+VLOOKUP(D516,'Resultats - informe'!$Y$18:$AG$42,'Introducció dades consum'!K516+1,0)</f>
        <v>0</v>
      </c>
      <c r="O516" s="367" cm="1">
        <f t="array" ref="O516">+_xlfn.SWITCH(MONTH(C516),1,1,2,1,3,1,4,2,5,2,6,3,7,3,8,3,9,3,10,2,11,2,12,1,2)</f>
        <v>1</v>
      </c>
      <c r="P516" s="43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</row>
    <row r="517" spans="1:73" ht="18" x14ac:dyDescent="0.35">
      <c r="A517" s="43"/>
      <c r="C517" s="393"/>
      <c r="E517" s="394"/>
      <c r="F517" s="394"/>
      <c r="G517" s="394"/>
      <c r="H517" s="8" t="s">
        <v>61</v>
      </c>
      <c r="I517" s="364">
        <f t="shared" si="22"/>
        <v>0</v>
      </c>
      <c r="J517" s="365">
        <f t="shared" ref="J517:J580" si="24">+C517</f>
        <v>0</v>
      </c>
      <c r="K517" s="366">
        <f t="shared" si="23"/>
        <v>6</v>
      </c>
      <c r="L517" s="366">
        <f>+IF((C517&gt;='Resultats - informe'!$E$16)*(C517&lt;='Resultats - informe'!$G$16),1,0)</f>
        <v>1</v>
      </c>
      <c r="M517" s="366" cm="1">
        <f t="array" ref="M517">+_xlfn.IFS((C517&gt;='Resultats - informe'!$D$26)*(C517&lt;='Resultats - informe'!$E$26),0,(C517&gt;='Resultats - informe'!$D$27)*(C517&lt;='Resultats - informe'!$E$27),0,(C517&gt;='Resultats - informe'!$D$28)*(C517&lt;='Resultats - informe'!$E$28),0,(C517&gt;='Resultats - informe'!$D$29)*(C517&lt;='Resultats - informe'!$E$29),0,1,1)</f>
        <v>0</v>
      </c>
      <c r="N517" s="366">
        <f>+VLOOKUP(D517,'Resultats - informe'!$Y$18:$AG$42,'Introducció dades consum'!K517+1,0)</f>
        <v>0</v>
      </c>
      <c r="O517" s="367" cm="1">
        <f t="array" ref="O517">+_xlfn.SWITCH(MONTH(C517),1,1,2,1,3,1,4,2,5,2,6,3,7,3,8,3,9,3,10,2,11,2,12,1,2)</f>
        <v>1</v>
      </c>
      <c r="P517" s="43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</row>
    <row r="518" spans="1:73" ht="18" x14ac:dyDescent="0.35">
      <c r="A518" s="43"/>
      <c r="C518" s="393"/>
      <c r="E518" s="394"/>
      <c r="F518" s="394"/>
      <c r="G518" s="394"/>
      <c r="H518" s="8" t="s">
        <v>61</v>
      </c>
      <c r="I518" s="364">
        <f t="shared" ref="I518:I581" si="25">+E518+G518</f>
        <v>0</v>
      </c>
      <c r="J518" s="365">
        <f t="shared" si="24"/>
        <v>0</v>
      </c>
      <c r="K518" s="366">
        <f t="shared" ref="K518:K581" si="26">+WEEKDAY(C518,2)</f>
        <v>6</v>
      </c>
      <c r="L518" s="366">
        <f>+IF((C518&gt;='Resultats - informe'!$E$16)*(C518&lt;='Resultats - informe'!$G$16),1,0)</f>
        <v>1</v>
      </c>
      <c r="M518" s="366" cm="1">
        <f t="array" ref="M518">+_xlfn.IFS((C518&gt;='Resultats - informe'!$D$26)*(C518&lt;='Resultats - informe'!$E$26),0,(C518&gt;='Resultats - informe'!$D$27)*(C518&lt;='Resultats - informe'!$E$27),0,(C518&gt;='Resultats - informe'!$D$28)*(C518&lt;='Resultats - informe'!$E$28),0,(C518&gt;='Resultats - informe'!$D$29)*(C518&lt;='Resultats - informe'!$E$29),0,1,1)</f>
        <v>0</v>
      </c>
      <c r="N518" s="366">
        <f>+VLOOKUP(D518,'Resultats - informe'!$Y$18:$AG$42,'Introducció dades consum'!K518+1,0)</f>
        <v>0</v>
      </c>
      <c r="O518" s="367" cm="1">
        <f t="array" ref="O518">+_xlfn.SWITCH(MONTH(C518),1,1,2,1,3,1,4,2,5,2,6,3,7,3,8,3,9,3,10,2,11,2,12,1,2)</f>
        <v>1</v>
      </c>
      <c r="P518" s="43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  <c r="BT518" s="10"/>
      <c r="BU518" s="10"/>
    </row>
    <row r="519" spans="1:73" ht="18" x14ac:dyDescent="0.35">
      <c r="A519" s="43"/>
      <c r="C519" s="393"/>
      <c r="E519" s="394"/>
      <c r="F519" s="394"/>
      <c r="G519" s="394"/>
      <c r="H519" s="8" t="s">
        <v>61</v>
      </c>
      <c r="I519" s="364">
        <f t="shared" si="25"/>
        <v>0</v>
      </c>
      <c r="J519" s="365">
        <f t="shared" si="24"/>
        <v>0</v>
      </c>
      <c r="K519" s="366">
        <f t="shared" si="26"/>
        <v>6</v>
      </c>
      <c r="L519" s="366">
        <f>+IF((C519&gt;='Resultats - informe'!$E$16)*(C519&lt;='Resultats - informe'!$G$16),1,0)</f>
        <v>1</v>
      </c>
      <c r="M519" s="366" cm="1">
        <f t="array" ref="M519">+_xlfn.IFS((C519&gt;='Resultats - informe'!$D$26)*(C519&lt;='Resultats - informe'!$E$26),0,(C519&gt;='Resultats - informe'!$D$27)*(C519&lt;='Resultats - informe'!$E$27),0,(C519&gt;='Resultats - informe'!$D$28)*(C519&lt;='Resultats - informe'!$E$28),0,(C519&gt;='Resultats - informe'!$D$29)*(C519&lt;='Resultats - informe'!$E$29),0,1,1)</f>
        <v>0</v>
      </c>
      <c r="N519" s="366">
        <f>+VLOOKUP(D519,'Resultats - informe'!$Y$18:$AG$42,'Introducció dades consum'!K519+1,0)</f>
        <v>0</v>
      </c>
      <c r="O519" s="367" cm="1">
        <f t="array" ref="O519">+_xlfn.SWITCH(MONTH(C519),1,1,2,1,3,1,4,2,5,2,6,3,7,3,8,3,9,3,10,2,11,2,12,1,2)</f>
        <v>1</v>
      </c>
      <c r="P519" s="43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10"/>
    </row>
    <row r="520" spans="1:73" ht="18" x14ac:dyDescent="0.35">
      <c r="A520" s="43"/>
      <c r="C520" s="393"/>
      <c r="E520" s="394"/>
      <c r="F520" s="394"/>
      <c r="G520" s="394"/>
      <c r="H520" s="8" t="s">
        <v>61</v>
      </c>
      <c r="I520" s="364">
        <f t="shared" si="25"/>
        <v>0</v>
      </c>
      <c r="J520" s="365">
        <f t="shared" si="24"/>
        <v>0</v>
      </c>
      <c r="K520" s="366">
        <f t="shared" si="26"/>
        <v>6</v>
      </c>
      <c r="L520" s="366">
        <f>+IF((C520&gt;='Resultats - informe'!$E$16)*(C520&lt;='Resultats - informe'!$G$16),1,0)</f>
        <v>1</v>
      </c>
      <c r="M520" s="366" cm="1">
        <f t="array" ref="M520">+_xlfn.IFS((C520&gt;='Resultats - informe'!$D$26)*(C520&lt;='Resultats - informe'!$E$26),0,(C520&gt;='Resultats - informe'!$D$27)*(C520&lt;='Resultats - informe'!$E$27),0,(C520&gt;='Resultats - informe'!$D$28)*(C520&lt;='Resultats - informe'!$E$28),0,(C520&gt;='Resultats - informe'!$D$29)*(C520&lt;='Resultats - informe'!$E$29),0,1,1)</f>
        <v>0</v>
      </c>
      <c r="N520" s="366">
        <f>+VLOOKUP(D520,'Resultats - informe'!$Y$18:$AG$42,'Introducció dades consum'!K520+1,0)</f>
        <v>0</v>
      </c>
      <c r="O520" s="367" cm="1">
        <f t="array" ref="O520">+_xlfn.SWITCH(MONTH(C520),1,1,2,1,3,1,4,2,5,2,6,3,7,3,8,3,9,3,10,2,11,2,12,1,2)</f>
        <v>1</v>
      </c>
      <c r="P520" s="43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10"/>
    </row>
    <row r="521" spans="1:73" ht="18" x14ac:dyDescent="0.35">
      <c r="A521" s="43"/>
      <c r="C521" s="393"/>
      <c r="E521" s="394"/>
      <c r="F521" s="394"/>
      <c r="G521" s="394"/>
      <c r="H521" s="8" t="s">
        <v>61</v>
      </c>
      <c r="I521" s="364">
        <f t="shared" si="25"/>
        <v>0</v>
      </c>
      <c r="J521" s="365">
        <f t="shared" si="24"/>
        <v>0</v>
      </c>
      <c r="K521" s="366">
        <f t="shared" si="26"/>
        <v>6</v>
      </c>
      <c r="L521" s="366">
        <f>+IF((C521&gt;='Resultats - informe'!$E$16)*(C521&lt;='Resultats - informe'!$G$16),1,0)</f>
        <v>1</v>
      </c>
      <c r="M521" s="366" cm="1">
        <f t="array" ref="M521">+_xlfn.IFS((C521&gt;='Resultats - informe'!$D$26)*(C521&lt;='Resultats - informe'!$E$26),0,(C521&gt;='Resultats - informe'!$D$27)*(C521&lt;='Resultats - informe'!$E$27),0,(C521&gt;='Resultats - informe'!$D$28)*(C521&lt;='Resultats - informe'!$E$28),0,(C521&gt;='Resultats - informe'!$D$29)*(C521&lt;='Resultats - informe'!$E$29),0,1,1)</f>
        <v>0</v>
      </c>
      <c r="N521" s="366">
        <f>+VLOOKUP(D521,'Resultats - informe'!$Y$18:$AG$42,'Introducció dades consum'!K521+1,0)</f>
        <v>0</v>
      </c>
      <c r="O521" s="367" cm="1">
        <f t="array" ref="O521">+_xlfn.SWITCH(MONTH(C521),1,1,2,1,3,1,4,2,5,2,6,3,7,3,8,3,9,3,10,2,11,2,12,1,2)</f>
        <v>1</v>
      </c>
      <c r="P521" s="43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10"/>
    </row>
    <row r="522" spans="1:73" ht="18" x14ac:dyDescent="0.35">
      <c r="A522" s="43"/>
      <c r="C522" s="393"/>
      <c r="E522" s="394"/>
      <c r="F522" s="394"/>
      <c r="G522" s="394"/>
      <c r="H522" s="8" t="s">
        <v>61</v>
      </c>
      <c r="I522" s="364">
        <f t="shared" si="25"/>
        <v>0</v>
      </c>
      <c r="J522" s="365">
        <f t="shared" si="24"/>
        <v>0</v>
      </c>
      <c r="K522" s="366">
        <f t="shared" si="26"/>
        <v>6</v>
      </c>
      <c r="L522" s="366">
        <f>+IF((C522&gt;='Resultats - informe'!$E$16)*(C522&lt;='Resultats - informe'!$G$16),1,0)</f>
        <v>1</v>
      </c>
      <c r="M522" s="366" cm="1">
        <f t="array" ref="M522">+_xlfn.IFS((C522&gt;='Resultats - informe'!$D$26)*(C522&lt;='Resultats - informe'!$E$26),0,(C522&gt;='Resultats - informe'!$D$27)*(C522&lt;='Resultats - informe'!$E$27),0,(C522&gt;='Resultats - informe'!$D$28)*(C522&lt;='Resultats - informe'!$E$28),0,(C522&gt;='Resultats - informe'!$D$29)*(C522&lt;='Resultats - informe'!$E$29),0,1,1)</f>
        <v>0</v>
      </c>
      <c r="N522" s="366">
        <f>+VLOOKUP(D522,'Resultats - informe'!$Y$18:$AG$42,'Introducció dades consum'!K522+1,0)</f>
        <v>0</v>
      </c>
      <c r="O522" s="367" cm="1">
        <f t="array" ref="O522">+_xlfn.SWITCH(MONTH(C522),1,1,2,1,3,1,4,2,5,2,6,3,7,3,8,3,9,3,10,2,11,2,12,1,2)</f>
        <v>1</v>
      </c>
      <c r="P522" s="43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  <c r="BU522" s="10"/>
    </row>
    <row r="523" spans="1:73" ht="18" x14ac:dyDescent="0.35">
      <c r="A523" s="43"/>
      <c r="C523" s="393"/>
      <c r="E523" s="394"/>
      <c r="F523" s="394"/>
      <c r="G523" s="394"/>
      <c r="H523" s="8" t="s">
        <v>61</v>
      </c>
      <c r="I523" s="364">
        <f t="shared" si="25"/>
        <v>0</v>
      </c>
      <c r="J523" s="365">
        <f t="shared" si="24"/>
        <v>0</v>
      </c>
      <c r="K523" s="366">
        <f t="shared" si="26"/>
        <v>6</v>
      </c>
      <c r="L523" s="366">
        <f>+IF((C523&gt;='Resultats - informe'!$E$16)*(C523&lt;='Resultats - informe'!$G$16),1,0)</f>
        <v>1</v>
      </c>
      <c r="M523" s="366" cm="1">
        <f t="array" ref="M523">+_xlfn.IFS((C523&gt;='Resultats - informe'!$D$26)*(C523&lt;='Resultats - informe'!$E$26),0,(C523&gt;='Resultats - informe'!$D$27)*(C523&lt;='Resultats - informe'!$E$27),0,(C523&gt;='Resultats - informe'!$D$28)*(C523&lt;='Resultats - informe'!$E$28),0,(C523&gt;='Resultats - informe'!$D$29)*(C523&lt;='Resultats - informe'!$E$29),0,1,1)</f>
        <v>0</v>
      </c>
      <c r="N523" s="366">
        <f>+VLOOKUP(D523,'Resultats - informe'!$Y$18:$AG$42,'Introducció dades consum'!K523+1,0)</f>
        <v>0</v>
      </c>
      <c r="O523" s="367" cm="1">
        <f t="array" ref="O523">+_xlfn.SWITCH(MONTH(C523),1,1,2,1,3,1,4,2,5,2,6,3,7,3,8,3,9,3,10,2,11,2,12,1,2)</f>
        <v>1</v>
      </c>
      <c r="P523" s="43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10"/>
    </row>
    <row r="524" spans="1:73" ht="18" x14ac:dyDescent="0.35">
      <c r="A524" s="43"/>
      <c r="C524" s="393"/>
      <c r="E524" s="394"/>
      <c r="F524" s="394"/>
      <c r="G524" s="394"/>
      <c r="H524" s="8" t="s">
        <v>61</v>
      </c>
      <c r="I524" s="364">
        <f t="shared" si="25"/>
        <v>0</v>
      </c>
      <c r="J524" s="365">
        <f t="shared" si="24"/>
        <v>0</v>
      </c>
      <c r="K524" s="366">
        <f t="shared" si="26"/>
        <v>6</v>
      </c>
      <c r="L524" s="366">
        <f>+IF((C524&gt;='Resultats - informe'!$E$16)*(C524&lt;='Resultats - informe'!$G$16),1,0)</f>
        <v>1</v>
      </c>
      <c r="M524" s="366" cm="1">
        <f t="array" ref="M524">+_xlfn.IFS((C524&gt;='Resultats - informe'!$D$26)*(C524&lt;='Resultats - informe'!$E$26),0,(C524&gt;='Resultats - informe'!$D$27)*(C524&lt;='Resultats - informe'!$E$27),0,(C524&gt;='Resultats - informe'!$D$28)*(C524&lt;='Resultats - informe'!$E$28),0,(C524&gt;='Resultats - informe'!$D$29)*(C524&lt;='Resultats - informe'!$E$29),0,1,1)</f>
        <v>0</v>
      </c>
      <c r="N524" s="366">
        <f>+VLOOKUP(D524,'Resultats - informe'!$Y$18:$AG$42,'Introducció dades consum'!K524+1,0)</f>
        <v>0</v>
      </c>
      <c r="O524" s="367" cm="1">
        <f t="array" ref="O524">+_xlfn.SWITCH(MONTH(C524),1,1,2,1,3,1,4,2,5,2,6,3,7,3,8,3,9,3,10,2,11,2,12,1,2)</f>
        <v>1</v>
      </c>
      <c r="P524" s="43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10"/>
    </row>
    <row r="525" spans="1:73" ht="18" x14ac:dyDescent="0.35">
      <c r="A525" s="43"/>
      <c r="C525" s="393"/>
      <c r="E525" s="394"/>
      <c r="F525" s="394"/>
      <c r="G525" s="394"/>
      <c r="H525" s="8" t="s">
        <v>61</v>
      </c>
      <c r="I525" s="364">
        <f t="shared" si="25"/>
        <v>0</v>
      </c>
      <c r="J525" s="365">
        <f t="shared" si="24"/>
        <v>0</v>
      </c>
      <c r="K525" s="366">
        <f t="shared" si="26"/>
        <v>6</v>
      </c>
      <c r="L525" s="366">
        <f>+IF((C525&gt;='Resultats - informe'!$E$16)*(C525&lt;='Resultats - informe'!$G$16),1,0)</f>
        <v>1</v>
      </c>
      <c r="M525" s="366" cm="1">
        <f t="array" ref="M525">+_xlfn.IFS((C525&gt;='Resultats - informe'!$D$26)*(C525&lt;='Resultats - informe'!$E$26),0,(C525&gt;='Resultats - informe'!$D$27)*(C525&lt;='Resultats - informe'!$E$27),0,(C525&gt;='Resultats - informe'!$D$28)*(C525&lt;='Resultats - informe'!$E$28),0,(C525&gt;='Resultats - informe'!$D$29)*(C525&lt;='Resultats - informe'!$E$29),0,1,1)</f>
        <v>0</v>
      </c>
      <c r="N525" s="366">
        <f>+VLOOKUP(D525,'Resultats - informe'!$Y$18:$AG$42,'Introducció dades consum'!K525+1,0)</f>
        <v>0</v>
      </c>
      <c r="O525" s="367" cm="1">
        <f t="array" ref="O525">+_xlfn.SWITCH(MONTH(C525),1,1,2,1,3,1,4,2,5,2,6,3,7,3,8,3,9,3,10,2,11,2,12,1,2)</f>
        <v>1</v>
      </c>
      <c r="P525" s="43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</row>
    <row r="526" spans="1:73" ht="18" x14ac:dyDescent="0.35">
      <c r="A526" s="43"/>
      <c r="C526" s="393"/>
      <c r="E526" s="394"/>
      <c r="F526" s="394"/>
      <c r="G526" s="394"/>
      <c r="H526" s="8" t="s">
        <v>61</v>
      </c>
      <c r="I526" s="364">
        <f t="shared" si="25"/>
        <v>0</v>
      </c>
      <c r="J526" s="365">
        <f t="shared" si="24"/>
        <v>0</v>
      </c>
      <c r="K526" s="366">
        <f t="shared" si="26"/>
        <v>6</v>
      </c>
      <c r="L526" s="366">
        <f>+IF((C526&gt;='Resultats - informe'!$E$16)*(C526&lt;='Resultats - informe'!$G$16),1,0)</f>
        <v>1</v>
      </c>
      <c r="M526" s="366" cm="1">
        <f t="array" ref="M526">+_xlfn.IFS((C526&gt;='Resultats - informe'!$D$26)*(C526&lt;='Resultats - informe'!$E$26),0,(C526&gt;='Resultats - informe'!$D$27)*(C526&lt;='Resultats - informe'!$E$27),0,(C526&gt;='Resultats - informe'!$D$28)*(C526&lt;='Resultats - informe'!$E$28),0,(C526&gt;='Resultats - informe'!$D$29)*(C526&lt;='Resultats - informe'!$E$29),0,1,1)</f>
        <v>0</v>
      </c>
      <c r="N526" s="366">
        <f>+VLOOKUP(D526,'Resultats - informe'!$Y$18:$AG$42,'Introducció dades consum'!K526+1,0)</f>
        <v>0</v>
      </c>
      <c r="O526" s="367" cm="1">
        <f t="array" ref="O526">+_xlfn.SWITCH(MONTH(C526),1,1,2,1,3,1,4,2,5,2,6,3,7,3,8,3,9,3,10,2,11,2,12,1,2)</f>
        <v>1</v>
      </c>
      <c r="P526" s="43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10"/>
    </row>
    <row r="527" spans="1:73" ht="18" x14ac:dyDescent="0.35">
      <c r="A527" s="43"/>
      <c r="C527" s="393"/>
      <c r="E527" s="394"/>
      <c r="F527" s="394"/>
      <c r="G527" s="394"/>
      <c r="H527" s="8" t="s">
        <v>61</v>
      </c>
      <c r="I527" s="364">
        <f t="shared" si="25"/>
        <v>0</v>
      </c>
      <c r="J527" s="365">
        <f t="shared" si="24"/>
        <v>0</v>
      </c>
      <c r="K527" s="366">
        <f t="shared" si="26"/>
        <v>6</v>
      </c>
      <c r="L527" s="366">
        <f>+IF((C527&gt;='Resultats - informe'!$E$16)*(C527&lt;='Resultats - informe'!$G$16),1,0)</f>
        <v>1</v>
      </c>
      <c r="M527" s="366" cm="1">
        <f t="array" ref="M527">+_xlfn.IFS((C527&gt;='Resultats - informe'!$D$26)*(C527&lt;='Resultats - informe'!$E$26),0,(C527&gt;='Resultats - informe'!$D$27)*(C527&lt;='Resultats - informe'!$E$27),0,(C527&gt;='Resultats - informe'!$D$28)*(C527&lt;='Resultats - informe'!$E$28),0,(C527&gt;='Resultats - informe'!$D$29)*(C527&lt;='Resultats - informe'!$E$29),0,1,1)</f>
        <v>0</v>
      </c>
      <c r="N527" s="366">
        <f>+VLOOKUP(D527,'Resultats - informe'!$Y$18:$AG$42,'Introducció dades consum'!K527+1,0)</f>
        <v>0</v>
      </c>
      <c r="O527" s="367" cm="1">
        <f t="array" ref="O527">+_xlfn.SWITCH(MONTH(C527),1,1,2,1,3,1,4,2,5,2,6,3,7,3,8,3,9,3,10,2,11,2,12,1,2)</f>
        <v>1</v>
      </c>
      <c r="P527" s="43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</row>
    <row r="528" spans="1:73" ht="18" x14ac:dyDescent="0.35">
      <c r="A528" s="43"/>
      <c r="C528" s="393"/>
      <c r="E528" s="394"/>
      <c r="F528" s="394"/>
      <c r="G528" s="394"/>
      <c r="H528" s="8" t="s">
        <v>61</v>
      </c>
      <c r="I528" s="364">
        <f t="shared" si="25"/>
        <v>0</v>
      </c>
      <c r="J528" s="365">
        <f t="shared" si="24"/>
        <v>0</v>
      </c>
      <c r="K528" s="366">
        <f t="shared" si="26"/>
        <v>6</v>
      </c>
      <c r="L528" s="366">
        <f>+IF((C528&gt;='Resultats - informe'!$E$16)*(C528&lt;='Resultats - informe'!$G$16),1,0)</f>
        <v>1</v>
      </c>
      <c r="M528" s="366" cm="1">
        <f t="array" ref="M528">+_xlfn.IFS((C528&gt;='Resultats - informe'!$D$26)*(C528&lt;='Resultats - informe'!$E$26),0,(C528&gt;='Resultats - informe'!$D$27)*(C528&lt;='Resultats - informe'!$E$27),0,(C528&gt;='Resultats - informe'!$D$28)*(C528&lt;='Resultats - informe'!$E$28),0,(C528&gt;='Resultats - informe'!$D$29)*(C528&lt;='Resultats - informe'!$E$29),0,1,1)</f>
        <v>0</v>
      </c>
      <c r="N528" s="366">
        <f>+VLOOKUP(D528,'Resultats - informe'!$Y$18:$AG$42,'Introducció dades consum'!K528+1,0)</f>
        <v>0</v>
      </c>
      <c r="O528" s="367" cm="1">
        <f t="array" ref="O528">+_xlfn.SWITCH(MONTH(C528),1,1,2,1,3,1,4,2,5,2,6,3,7,3,8,3,9,3,10,2,11,2,12,1,2)</f>
        <v>1</v>
      </c>
      <c r="P528" s="43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</row>
    <row r="529" spans="1:73" ht="18" x14ac:dyDescent="0.35">
      <c r="A529" s="43"/>
      <c r="C529" s="393"/>
      <c r="E529" s="394"/>
      <c r="F529" s="394"/>
      <c r="G529" s="394"/>
      <c r="H529" s="8" t="s">
        <v>61</v>
      </c>
      <c r="I529" s="364">
        <f t="shared" si="25"/>
        <v>0</v>
      </c>
      <c r="J529" s="365">
        <f t="shared" si="24"/>
        <v>0</v>
      </c>
      <c r="K529" s="366">
        <f t="shared" si="26"/>
        <v>6</v>
      </c>
      <c r="L529" s="366">
        <f>+IF((C529&gt;='Resultats - informe'!$E$16)*(C529&lt;='Resultats - informe'!$G$16),1,0)</f>
        <v>1</v>
      </c>
      <c r="M529" s="366" cm="1">
        <f t="array" ref="M529">+_xlfn.IFS((C529&gt;='Resultats - informe'!$D$26)*(C529&lt;='Resultats - informe'!$E$26),0,(C529&gt;='Resultats - informe'!$D$27)*(C529&lt;='Resultats - informe'!$E$27),0,(C529&gt;='Resultats - informe'!$D$28)*(C529&lt;='Resultats - informe'!$E$28),0,(C529&gt;='Resultats - informe'!$D$29)*(C529&lt;='Resultats - informe'!$E$29),0,1,1)</f>
        <v>0</v>
      </c>
      <c r="N529" s="366">
        <f>+VLOOKUP(D529,'Resultats - informe'!$Y$18:$AG$42,'Introducció dades consum'!K529+1,0)</f>
        <v>0</v>
      </c>
      <c r="O529" s="367" cm="1">
        <f t="array" ref="O529">+_xlfn.SWITCH(MONTH(C529),1,1,2,1,3,1,4,2,5,2,6,3,7,3,8,3,9,3,10,2,11,2,12,1,2)</f>
        <v>1</v>
      </c>
      <c r="P529" s="43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</row>
    <row r="530" spans="1:73" ht="18" x14ac:dyDescent="0.35">
      <c r="A530" s="43"/>
      <c r="C530" s="393"/>
      <c r="E530" s="394"/>
      <c r="F530" s="394"/>
      <c r="G530" s="394"/>
      <c r="H530" s="8" t="s">
        <v>61</v>
      </c>
      <c r="I530" s="364">
        <f t="shared" si="25"/>
        <v>0</v>
      </c>
      <c r="J530" s="365">
        <f t="shared" si="24"/>
        <v>0</v>
      </c>
      <c r="K530" s="366">
        <f t="shared" si="26"/>
        <v>6</v>
      </c>
      <c r="L530" s="366">
        <f>+IF((C530&gt;='Resultats - informe'!$E$16)*(C530&lt;='Resultats - informe'!$G$16),1,0)</f>
        <v>1</v>
      </c>
      <c r="M530" s="366" cm="1">
        <f t="array" ref="M530">+_xlfn.IFS((C530&gt;='Resultats - informe'!$D$26)*(C530&lt;='Resultats - informe'!$E$26),0,(C530&gt;='Resultats - informe'!$D$27)*(C530&lt;='Resultats - informe'!$E$27),0,(C530&gt;='Resultats - informe'!$D$28)*(C530&lt;='Resultats - informe'!$E$28),0,(C530&gt;='Resultats - informe'!$D$29)*(C530&lt;='Resultats - informe'!$E$29),0,1,1)</f>
        <v>0</v>
      </c>
      <c r="N530" s="366">
        <f>+VLOOKUP(D530,'Resultats - informe'!$Y$18:$AG$42,'Introducció dades consum'!K530+1,0)</f>
        <v>0</v>
      </c>
      <c r="O530" s="367" cm="1">
        <f t="array" ref="O530">+_xlfn.SWITCH(MONTH(C530),1,1,2,1,3,1,4,2,5,2,6,3,7,3,8,3,9,3,10,2,11,2,12,1,2)</f>
        <v>1</v>
      </c>
      <c r="P530" s="43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</row>
    <row r="531" spans="1:73" ht="18" x14ac:dyDescent="0.35">
      <c r="A531" s="43"/>
      <c r="C531" s="393"/>
      <c r="E531" s="394"/>
      <c r="F531" s="394"/>
      <c r="G531" s="394"/>
      <c r="H531" s="8" t="s">
        <v>61</v>
      </c>
      <c r="I531" s="364">
        <f t="shared" si="25"/>
        <v>0</v>
      </c>
      <c r="J531" s="365">
        <f t="shared" si="24"/>
        <v>0</v>
      </c>
      <c r="K531" s="366">
        <f t="shared" si="26"/>
        <v>6</v>
      </c>
      <c r="L531" s="366">
        <f>+IF((C531&gt;='Resultats - informe'!$E$16)*(C531&lt;='Resultats - informe'!$G$16),1,0)</f>
        <v>1</v>
      </c>
      <c r="M531" s="366" cm="1">
        <f t="array" ref="M531">+_xlfn.IFS((C531&gt;='Resultats - informe'!$D$26)*(C531&lt;='Resultats - informe'!$E$26),0,(C531&gt;='Resultats - informe'!$D$27)*(C531&lt;='Resultats - informe'!$E$27),0,(C531&gt;='Resultats - informe'!$D$28)*(C531&lt;='Resultats - informe'!$E$28),0,(C531&gt;='Resultats - informe'!$D$29)*(C531&lt;='Resultats - informe'!$E$29),0,1,1)</f>
        <v>0</v>
      </c>
      <c r="N531" s="366">
        <f>+VLOOKUP(D531,'Resultats - informe'!$Y$18:$AG$42,'Introducció dades consum'!K531+1,0)</f>
        <v>0</v>
      </c>
      <c r="O531" s="367" cm="1">
        <f t="array" ref="O531">+_xlfn.SWITCH(MONTH(C531),1,1,2,1,3,1,4,2,5,2,6,3,7,3,8,3,9,3,10,2,11,2,12,1,2)</f>
        <v>1</v>
      </c>
      <c r="P531" s="43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</row>
    <row r="532" spans="1:73" ht="18" x14ac:dyDescent="0.35">
      <c r="A532" s="43"/>
      <c r="C532" s="393"/>
      <c r="E532" s="394"/>
      <c r="F532" s="394"/>
      <c r="G532" s="394"/>
      <c r="H532" s="8" t="s">
        <v>61</v>
      </c>
      <c r="I532" s="364">
        <f t="shared" si="25"/>
        <v>0</v>
      </c>
      <c r="J532" s="365">
        <f t="shared" si="24"/>
        <v>0</v>
      </c>
      <c r="K532" s="366">
        <f t="shared" si="26"/>
        <v>6</v>
      </c>
      <c r="L532" s="366">
        <f>+IF((C532&gt;='Resultats - informe'!$E$16)*(C532&lt;='Resultats - informe'!$G$16),1,0)</f>
        <v>1</v>
      </c>
      <c r="M532" s="366" cm="1">
        <f t="array" ref="M532">+_xlfn.IFS((C532&gt;='Resultats - informe'!$D$26)*(C532&lt;='Resultats - informe'!$E$26),0,(C532&gt;='Resultats - informe'!$D$27)*(C532&lt;='Resultats - informe'!$E$27),0,(C532&gt;='Resultats - informe'!$D$28)*(C532&lt;='Resultats - informe'!$E$28),0,(C532&gt;='Resultats - informe'!$D$29)*(C532&lt;='Resultats - informe'!$E$29),0,1,1)</f>
        <v>0</v>
      </c>
      <c r="N532" s="366">
        <f>+VLOOKUP(D532,'Resultats - informe'!$Y$18:$AG$42,'Introducció dades consum'!K532+1,0)</f>
        <v>0</v>
      </c>
      <c r="O532" s="367" cm="1">
        <f t="array" ref="O532">+_xlfn.SWITCH(MONTH(C532),1,1,2,1,3,1,4,2,5,2,6,3,7,3,8,3,9,3,10,2,11,2,12,1,2)</f>
        <v>1</v>
      </c>
      <c r="P532" s="43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</row>
    <row r="533" spans="1:73" ht="18" x14ac:dyDescent="0.35">
      <c r="A533" s="43"/>
      <c r="C533" s="393"/>
      <c r="E533" s="394"/>
      <c r="F533" s="394"/>
      <c r="G533" s="394"/>
      <c r="H533" s="8" t="s">
        <v>61</v>
      </c>
      <c r="I533" s="364">
        <f t="shared" si="25"/>
        <v>0</v>
      </c>
      <c r="J533" s="365">
        <f t="shared" si="24"/>
        <v>0</v>
      </c>
      <c r="K533" s="366">
        <f t="shared" si="26"/>
        <v>6</v>
      </c>
      <c r="L533" s="366">
        <f>+IF((C533&gt;='Resultats - informe'!$E$16)*(C533&lt;='Resultats - informe'!$G$16),1,0)</f>
        <v>1</v>
      </c>
      <c r="M533" s="366" cm="1">
        <f t="array" ref="M533">+_xlfn.IFS((C533&gt;='Resultats - informe'!$D$26)*(C533&lt;='Resultats - informe'!$E$26),0,(C533&gt;='Resultats - informe'!$D$27)*(C533&lt;='Resultats - informe'!$E$27),0,(C533&gt;='Resultats - informe'!$D$28)*(C533&lt;='Resultats - informe'!$E$28),0,(C533&gt;='Resultats - informe'!$D$29)*(C533&lt;='Resultats - informe'!$E$29),0,1,1)</f>
        <v>0</v>
      </c>
      <c r="N533" s="366">
        <f>+VLOOKUP(D533,'Resultats - informe'!$Y$18:$AG$42,'Introducció dades consum'!K533+1,0)</f>
        <v>0</v>
      </c>
      <c r="O533" s="367" cm="1">
        <f t="array" ref="O533">+_xlfn.SWITCH(MONTH(C533),1,1,2,1,3,1,4,2,5,2,6,3,7,3,8,3,9,3,10,2,11,2,12,1,2)</f>
        <v>1</v>
      </c>
      <c r="P533" s="43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</row>
    <row r="534" spans="1:73" ht="18" x14ac:dyDescent="0.35">
      <c r="A534" s="43"/>
      <c r="C534" s="393"/>
      <c r="E534" s="394"/>
      <c r="F534" s="394"/>
      <c r="G534" s="394"/>
      <c r="H534" s="8" t="s">
        <v>61</v>
      </c>
      <c r="I534" s="364">
        <f t="shared" si="25"/>
        <v>0</v>
      </c>
      <c r="J534" s="365">
        <f t="shared" si="24"/>
        <v>0</v>
      </c>
      <c r="K534" s="366">
        <f t="shared" si="26"/>
        <v>6</v>
      </c>
      <c r="L534" s="366">
        <f>+IF((C534&gt;='Resultats - informe'!$E$16)*(C534&lt;='Resultats - informe'!$G$16),1,0)</f>
        <v>1</v>
      </c>
      <c r="M534" s="366" cm="1">
        <f t="array" ref="M534">+_xlfn.IFS((C534&gt;='Resultats - informe'!$D$26)*(C534&lt;='Resultats - informe'!$E$26),0,(C534&gt;='Resultats - informe'!$D$27)*(C534&lt;='Resultats - informe'!$E$27),0,(C534&gt;='Resultats - informe'!$D$28)*(C534&lt;='Resultats - informe'!$E$28),0,(C534&gt;='Resultats - informe'!$D$29)*(C534&lt;='Resultats - informe'!$E$29),0,1,1)</f>
        <v>0</v>
      </c>
      <c r="N534" s="366">
        <f>+VLOOKUP(D534,'Resultats - informe'!$Y$18:$AG$42,'Introducció dades consum'!K534+1,0)</f>
        <v>0</v>
      </c>
      <c r="O534" s="367" cm="1">
        <f t="array" ref="O534">+_xlfn.SWITCH(MONTH(C534),1,1,2,1,3,1,4,2,5,2,6,3,7,3,8,3,9,3,10,2,11,2,12,1,2)</f>
        <v>1</v>
      </c>
      <c r="P534" s="43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</row>
    <row r="535" spans="1:73" ht="18" x14ac:dyDescent="0.35">
      <c r="A535" s="43"/>
      <c r="C535" s="393"/>
      <c r="E535" s="394"/>
      <c r="F535" s="394"/>
      <c r="G535" s="394"/>
      <c r="H535" s="8" t="s">
        <v>61</v>
      </c>
      <c r="I535" s="364">
        <f t="shared" si="25"/>
        <v>0</v>
      </c>
      <c r="J535" s="365">
        <f t="shared" si="24"/>
        <v>0</v>
      </c>
      <c r="K535" s="366">
        <f t="shared" si="26"/>
        <v>6</v>
      </c>
      <c r="L535" s="366">
        <f>+IF((C535&gt;='Resultats - informe'!$E$16)*(C535&lt;='Resultats - informe'!$G$16),1,0)</f>
        <v>1</v>
      </c>
      <c r="M535" s="366" cm="1">
        <f t="array" ref="M535">+_xlfn.IFS((C535&gt;='Resultats - informe'!$D$26)*(C535&lt;='Resultats - informe'!$E$26),0,(C535&gt;='Resultats - informe'!$D$27)*(C535&lt;='Resultats - informe'!$E$27),0,(C535&gt;='Resultats - informe'!$D$28)*(C535&lt;='Resultats - informe'!$E$28),0,(C535&gt;='Resultats - informe'!$D$29)*(C535&lt;='Resultats - informe'!$E$29),0,1,1)</f>
        <v>0</v>
      </c>
      <c r="N535" s="366">
        <f>+VLOOKUP(D535,'Resultats - informe'!$Y$18:$AG$42,'Introducció dades consum'!K535+1,0)</f>
        <v>0</v>
      </c>
      <c r="O535" s="367" cm="1">
        <f t="array" ref="O535">+_xlfn.SWITCH(MONTH(C535),1,1,2,1,3,1,4,2,5,2,6,3,7,3,8,3,9,3,10,2,11,2,12,1,2)</f>
        <v>1</v>
      </c>
      <c r="P535" s="43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</row>
    <row r="536" spans="1:73" ht="18" x14ac:dyDescent="0.35">
      <c r="A536" s="43"/>
      <c r="C536" s="393"/>
      <c r="E536" s="394"/>
      <c r="F536" s="394"/>
      <c r="G536" s="394"/>
      <c r="H536" s="8" t="s">
        <v>61</v>
      </c>
      <c r="I536" s="364">
        <f t="shared" si="25"/>
        <v>0</v>
      </c>
      <c r="J536" s="365">
        <f t="shared" si="24"/>
        <v>0</v>
      </c>
      <c r="K536" s="366">
        <f t="shared" si="26"/>
        <v>6</v>
      </c>
      <c r="L536" s="366">
        <f>+IF((C536&gt;='Resultats - informe'!$E$16)*(C536&lt;='Resultats - informe'!$G$16),1,0)</f>
        <v>1</v>
      </c>
      <c r="M536" s="366" cm="1">
        <f t="array" ref="M536">+_xlfn.IFS((C536&gt;='Resultats - informe'!$D$26)*(C536&lt;='Resultats - informe'!$E$26),0,(C536&gt;='Resultats - informe'!$D$27)*(C536&lt;='Resultats - informe'!$E$27),0,(C536&gt;='Resultats - informe'!$D$28)*(C536&lt;='Resultats - informe'!$E$28),0,(C536&gt;='Resultats - informe'!$D$29)*(C536&lt;='Resultats - informe'!$E$29),0,1,1)</f>
        <v>0</v>
      </c>
      <c r="N536" s="366">
        <f>+VLOOKUP(D536,'Resultats - informe'!$Y$18:$AG$42,'Introducció dades consum'!K536+1,0)</f>
        <v>0</v>
      </c>
      <c r="O536" s="367" cm="1">
        <f t="array" ref="O536">+_xlfn.SWITCH(MONTH(C536),1,1,2,1,3,1,4,2,5,2,6,3,7,3,8,3,9,3,10,2,11,2,12,1,2)</f>
        <v>1</v>
      </c>
      <c r="P536" s="43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</row>
    <row r="537" spans="1:73" ht="18" x14ac:dyDescent="0.35">
      <c r="A537" s="43"/>
      <c r="C537" s="393"/>
      <c r="E537" s="394"/>
      <c r="F537" s="394"/>
      <c r="G537" s="394"/>
      <c r="H537" s="8" t="s">
        <v>61</v>
      </c>
      <c r="I537" s="364">
        <f t="shared" si="25"/>
        <v>0</v>
      </c>
      <c r="J537" s="365">
        <f t="shared" si="24"/>
        <v>0</v>
      </c>
      <c r="K537" s="366">
        <f t="shared" si="26"/>
        <v>6</v>
      </c>
      <c r="L537" s="366">
        <f>+IF((C537&gt;='Resultats - informe'!$E$16)*(C537&lt;='Resultats - informe'!$G$16),1,0)</f>
        <v>1</v>
      </c>
      <c r="M537" s="366" cm="1">
        <f t="array" ref="M537">+_xlfn.IFS((C537&gt;='Resultats - informe'!$D$26)*(C537&lt;='Resultats - informe'!$E$26),0,(C537&gt;='Resultats - informe'!$D$27)*(C537&lt;='Resultats - informe'!$E$27),0,(C537&gt;='Resultats - informe'!$D$28)*(C537&lt;='Resultats - informe'!$E$28),0,(C537&gt;='Resultats - informe'!$D$29)*(C537&lt;='Resultats - informe'!$E$29),0,1,1)</f>
        <v>0</v>
      </c>
      <c r="N537" s="366">
        <f>+VLOOKUP(D537,'Resultats - informe'!$Y$18:$AG$42,'Introducció dades consum'!K537+1,0)</f>
        <v>0</v>
      </c>
      <c r="O537" s="367" cm="1">
        <f t="array" ref="O537">+_xlfn.SWITCH(MONTH(C537),1,1,2,1,3,1,4,2,5,2,6,3,7,3,8,3,9,3,10,2,11,2,12,1,2)</f>
        <v>1</v>
      </c>
      <c r="P537" s="43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  <c r="BT537" s="10"/>
      <c r="BU537" s="10"/>
    </row>
    <row r="538" spans="1:73" ht="18" x14ac:dyDescent="0.35">
      <c r="A538" s="43"/>
      <c r="C538" s="393"/>
      <c r="E538" s="394"/>
      <c r="F538" s="394"/>
      <c r="G538" s="394"/>
      <c r="H538" s="8" t="s">
        <v>61</v>
      </c>
      <c r="I538" s="364">
        <f t="shared" si="25"/>
        <v>0</v>
      </c>
      <c r="J538" s="365">
        <f t="shared" si="24"/>
        <v>0</v>
      </c>
      <c r="K538" s="366">
        <f t="shared" si="26"/>
        <v>6</v>
      </c>
      <c r="L538" s="366">
        <f>+IF((C538&gt;='Resultats - informe'!$E$16)*(C538&lt;='Resultats - informe'!$G$16),1,0)</f>
        <v>1</v>
      </c>
      <c r="M538" s="366" cm="1">
        <f t="array" ref="M538">+_xlfn.IFS((C538&gt;='Resultats - informe'!$D$26)*(C538&lt;='Resultats - informe'!$E$26),0,(C538&gt;='Resultats - informe'!$D$27)*(C538&lt;='Resultats - informe'!$E$27),0,(C538&gt;='Resultats - informe'!$D$28)*(C538&lt;='Resultats - informe'!$E$28),0,(C538&gt;='Resultats - informe'!$D$29)*(C538&lt;='Resultats - informe'!$E$29),0,1,1)</f>
        <v>0</v>
      </c>
      <c r="N538" s="366">
        <f>+VLOOKUP(D538,'Resultats - informe'!$Y$18:$AG$42,'Introducció dades consum'!K538+1,0)</f>
        <v>0</v>
      </c>
      <c r="O538" s="367" cm="1">
        <f t="array" ref="O538">+_xlfn.SWITCH(MONTH(C538),1,1,2,1,3,1,4,2,5,2,6,3,7,3,8,3,9,3,10,2,11,2,12,1,2)</f>
        <v>1</v>
      </c>
      <c r="P538" s="43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  <c r="BU538" s="10"/>
    </row>
    <row r="539" spans="1:73" ht="18" x14ac:dyDescent="0.35">
      <c r="A539" s="43"/>
      <c r="C539" s="393"/>
      <c r="E539" s="394"/>
      <c r="F539" s="394"/>
      <c r="G539" s="394"/>
      <c r="H539" s="8" t="s">
        <v>61</v>
      </c>
      <c r="I539" s="364">
        <f t="shared" si="25"/>
        <v>0</v>
      </c>
      <c r="J539" s="365">
        <f t="shared" si="24"/>
        <v>0</v>
      </c>
      <c r="K539" s="366">
        <f t="shared" si="26"/>
        <v>6</v>
      </c>
      <c r="L539" s="366">
        <f>+IF((C539&gt;='Resultats - informe'!$E$16)*(C539&lt;='Resultats - informe'!$G$16),1,0)</f>
        <v>1</v>
      </c>
      <c r="M539" s="366" cm="1">
        <f t="array" ref="M539">+_xlfn.IFS((C539&gt;='Resultats - informe'!$D$26)*(C539&lt;='Resultats - informe'!$E$26),0,(C539&gt;='Resultats - informe'!$D$27)*(C539&lt;='Resultats - informe'!$E$27),0,(C539&gt;='Resultats - informe'!$D$28)*(C539&lt;='Resultats - informe'!$E$28),0,(C539&gt;='Resultats - informe'!$D$29)*(C539&lt;='Resultats - informe'!$E$29),0,1,1)</f>
        <v>0</v>
      </c>
      <c r="N539" s="366">
        <f>+VLOOKUP(D539,'Resultats - informe'!$Y$18:$AG$42,'Introducció dades consum'!K539+1,0)</f>
        <v>0</v>
      </c>
      <c r="O539" s="367" cm="1">
        <f t="array" ref="O539">+_xlfn.SWITCH(MONTH(C539),1,1,2,1,3,1,4,2,5,2,6,3,7,3,8,3,9,3,10,2,11,2,12,1,2)</f>
        <v>1</v>
      </c>
      <c r="P539" s="43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</row>
    <row r="540" spans="1:73" ht="18" x14ac:dyDescent="0.35">
      <c r="A540" s="43"/>
      <c r="C540" s="393"/>
      <c r="E540" s="394"/>
      <c r="F540" s="394"/>
      <c r="G540" s="394"/>
      <c r="H540" s="8" t="s">
        <v>61</v>
      </c>
      <c r="I540" s="364">
        <f t="shared" si="25"/>
        <v>0</v>
      </c>
      <c r="J540" s="365">
        <f t="shared" si="24"/>
        <v>0</v>
      </c>
      <c r="K540" s="366">
        <f t="shared" si="26"/>
        <v>6</v>
      </c>
      <c r="L540" s="366">
        <f>+IF((C540&gt;='Resultats - informe'!$E$16)*(C540&lt;='Resultats - informe'!$G$16),1,0)</f>
        <v>1</v>
      </c>
      <c r="M540" s="366" cm="1">
        <f t="array" ref="M540">+_xlfn.IFS((C540&gt;='Resultats - informe'!$D$26)*(C540&lt;='Resultats - informe'!$E$26),0,(C540&gt;='Resultats - informe'!$D$27)*(C540&lt;='Resultats - informe'!$E$27),0,(C540&gt;='Resultats - informe'!$D$28)*(C540&lt;='Resultats - informe'!$E$28),0,(C540&gt;='Resultats - informe'!$D$29)*(C540&lt;='Resultats - informe'!$E$29),0,1,1)</f>
        <v>0</v>
      </c>
      <c r="N540" s="366">
        <f>+VLOOKUP(D540,'Resultats - informe'!$Y$18:$AG$42,'Introducció dades consum'!K540+1,0)</f>
        <v>0</v>
      </c>
      <c r="O540" s="367" cm="1">
        <f t="array" ref="O540">+_xlfn.SWITCH(MONTH(C540),1,1,2,1,3,1,4,2,5,2,6,3,7,3,8,3,9,3,10,2,11,2,12,1,2)</f>
        <v>1</v>
      </c>
      <c r="P540" s="43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</row>
    <row r="541" spans="1:73" ht="18" x14ac:dyDescent="0.35">
      <c r="A541" s="43"/>
      <c r="C541" s="393"/>
      <c r="E541" s="394"/>
      <c r="F541" s="394"/>
      <c r="G541" s="394"/>
      <c r="H541" s="8" t="s">
        <v>61</v>
      </c>
      <c r="I541" s="364">
        <f t="shared" si="25"/>
        <v>0</v>
      </c>
      <c r="J541" s="365">
        <f t="shared" si="24"/>
        <v>0</v>
      </c>
      <c r="K541" s="366">
        <f t="shared" si="26"/>
        <v>6</v>
      </c>
      <c r="L541" s="366">
        <f>+IF((C541&gt;='Resultats - informe'!$E$16)*(C541&lt;='Resultats - informe'!$G$16),1,0)</f>
        <v>1</v>
      </c>
      <c r="M541" s="366" cm="1">
        <f t="array" ref="M541">+_xlfn.IFS((C541&gt;='Resultats - informe'!$D$26)*(C541&lt;='Resultats - informe'!$E$26),0,(C541&gt;='Resultats - informe'!$D$27)*(C541&lt;='Resultats - informe'!$E$27),0,(C541&gt;='Resultats - informe'!$D$28)*(C541&lt;='Resultats - informe'!$E$28),0,(C541&gt;='Resultats - informe'!$D$29)*(C541&lt;='Resultats - informe'!$E$29),0,1,1)</f>
        <v>0</v>
      </c>
      <c r="N541" s="366">
        <f>+VLOOKUP(D541,'Resultats - informe'!$Y$18:$AG$42,'Introducció dades consum'!K541+1,0)</f>
        <v>0</v>
      </c>
      <c r="O541" s="367" cm="1">
        <f t="array" ref="O541">+_xlfn.SWITCH(MONTH(C541),1,1,2,1,3,1,4,2,5,2,6,3,7,3,8,3,9,3,10,2,11,2,12,1,2)</f>
        <v>1</v>
      </c>
      <c r="P541" s="43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</row>
    <row r="542" spans="1:73" ht="18" x14ac:dyDescent="0.35">
      <c r="A542" s="43"/>
      <c r="C542" s="393"/>
      <c r="E542" s="394"/>
      <c r="F542" s="394"/>
      <c r="G542" s="394"/>
      <c r="H542" s="8" t="s">
        <v>61</v>
      </c>
      <c r="I542" s="364">
        <f t="shared" si="25"/>
        <v>0</v>
      </c>
      <c r="J542" s="365">
        <f t="shared" si="24"/>
        <v>0</v>
      </c>
      <c r="K542" s="366">
        <f t="shared" si="26"/>
        <v>6</v>
      </c>
      <c r="L542" s="366">
        <f>+IF((C542&gt;='Resultats - informe'!$E$16)*(C542&lt;='Resultats - informe'!$G$16),1,0)</f>
        <v>1</v>
      </c>
      <c r="M542" s="366" cm="1">
        <f t="array" ref="M542">+_xlfn.IFS((C542&gt;='Resultats - informe'!$D$26)*(C542&lt;='Resultats - informe'!$E$26),0,(C542&gt;='Resultats - informe'!$D$27)*(C542&lt;='Resultats - informe'!$E$27),0,(C542&gt;='Resultats - informe'!$D$28)*(C542&lt;='Resultats - informe'!$E$28),0,(C542&gt;='Resultats - informe'!$D$29)*(C542&lt;='Resultats - informe'!$E$29),0,1,1)</f>
        <v>0</v>
      </c>
      <c r="N542" s="366">
        <f>+VLOOKUP(D542,'Resultats - informe'!$Y$18:$AG$42,'Introducció dades consum'!K542+1,0)</f>
        <v>0</v>
      </c>
      <c r="O542" s="367" cm="1">
        <f t="array" ref="O542">+_xlfn.SWITCH(MONTH(C542),1,1,2,1,3,1,4,2,5,2,6,3,7,3,8,3,9,3,10,2,11,2,12,1,2)</f>
        <v>1</v>
      </c>
      <c r="P542" s="43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</row>
    <row r="543" spans="1:73" ht="18" x14ac:dyDescent="0.35">
      <c r="A543" s="43"/>
      <c r="C543" s="393"/>
      <c r="E543" s="394"/>
      <c r="F543" s="394"/>
      <c r="G543" s="394"/>
      <c r="H543" s="8" t="s">
        <v>61</v>
      </c>
      <c r="I543" s="364">
        <f t="shared" si="25"/>
        <v>0</v>
      </c>
      <c r="J543" s="365">
        <f t="shared" si="24"/>
        <v>0</v>
      </c>
      <c r="K543" s="366">
        <f t="shared" si="26"/>
        <v>6</v>
      </c>
      <c r="L543" s="366">
        <f>+IF((C543&gt;='Resultats - informe'!$E$16)*(C543&lt;='Resultats - informe'!$G$16),1,0)</f>
        <v>1</v>
      </c>
      <c r="M543" s="366" cm="1">
        <f t="array" ref="M543">+_xlfn.IFS((C543&gt;='Resultats - informe'!$D$26)*(C543&lt;='Resultats - informe'!$E$26),0,(C543&gt;='Resultats - informe'!$D$27)*(C543&lt;='Resultats - informe'!$E$27),0,(C543&gt;='Resultats - informe'!$D$28)*(C543&lt;='Resultats - informe'!$E$28),0,(C543&gt;='Resultats - informe'!$D$29)*(C543&lt;='Resultats - informe'!$E$29),0,1,1)</f>
        <v>0</v>
      </c>
      <c r="N543" s="366">
        <f>+VLOOKUP(D543,'Resultats - informe'!$Y$18:$AG$42,'Introducció dades consum'!K543+1,0)</f>
        <v>0</v>
      </c>
      <c r="O543" s="367" cm="1">
        <f t="array" ref="O543">+_xlfn.SWITCH(MONTH(C543),1,1,2,1,3,1,4,2,5,2,6,3,7,3,8,3,9,3,10,2,11,2,12,1,2)</f>
        <v>1</v>
      </c>
      <c r="P543" s="43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</row>
    <row r="544" spans="1:73" ht="18" x14ac:dyDescent="0.35">
      <c r="A544" s="43"/>
      <c r="C544" s="393"/>
      <c r="E544" s="394"/>
      <c r="F544" s="394"/>
      <c r="G544" s="394"/>
      <c r="H544" s="8" t="s">
        <v>61</v>
      </c>
      <c r="I544" s="364">
        <f t="shared" si="25"/>
        <v>0</v>
      </c>
      <c r="J544" s="365">
        <f t="shared" si="24"/>
        <v>0</v>
      </c>
      <c r="K544" s="366">
        <f t="shared" si="26"/>
        <v>6</v>
      </c>
      <c r="L544" s="366">
        <f>+IF((C544&gt;='Resultats - informe'!$E$16)*(C544&lt;='Resultats - informe'!$G$16),1,0)</f>
        <v>1</v>
      </c>
      <c r="M544" s="366" cm="1">
        <f t="array" ref="M544">+_xlfn.IFS((C544&gt;='Resultats - informe'!$D$26)*(C544&lt;='Resultats - informe'!$E$26),0,(C544&gt;='Resultats - informe'!$D$27)*(C544&lt;='Resultats - informe'!$E$27),0,(C544&gt;='Resultats - informe'!$D$28)*(C544&lt;='Resultats - informe'!$E$28),0,(C544&gt;='Resultats - informe'!$D$29)*(C544&lt;='Resultats - informe'!$E$29),0,1,1)</f>
        <v>0</v>
      </c>
      <c r="N544" s="366">
        <f>+VLOOKUP(D544,'Resultats - informe'!$Y$18:$AG$42,'Introducció dades consum'!K544+1,0)</f>
        <v>0</v>
      </c>
      <c r="O544" s="367" cm="1">
        <f t="array" ref="O544">+_xlfn.SWITCH(MONTH(C544),1,1,2,1,3,1,4,2,5,2,6,3,7,3,8,3,9,3,10,2,11,2,12,1,2)</f>
        <v>1</v>
      </c>
      <c r="P544" s="43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</row>
    <row r="545" spans="1:73" ht="18" x14ac:dyDescent="0.35">
      <c r="A545" s="43"/>
      <c r="C545" s="393"/>
      <c r="E545" s="394"/>
      <c r="F545" s="394"/>
      <c r="G545" s="394"/>
      <c r="H545" s="8" t="s">
        <v>61</v>
      </c>
      <c r="I545" s="364">
        <f t="shared" si="25"/>
        <v>0</v>
      </c>
      <c r="J545" s="365">
        <f t="shared" si="24"/>
        <v>0</v>
      </c>
      <c r="K545" s="366">
        <f t="shared" si="26"/>
        <v>6</v>
      </c>
      <c r="L545" s="366">
        <f>+IF((C545&gt;='Resultats - informe'!$E$16)*(C545&lt;='Resultats - informe'!$G$16),1,0)</f>
        <v>1</v>
      </c>
      <c r="M545" s="366" cm="1">
        <f t="array" ref="M545">+_xlfn.IFS((C545&gt;='Resultats - informe'!$D$26)*(C545&lt;='Resultats - informe'!$E$26),0,(C545&gt;='Resultats - informe'!$D$27)*(C545&lt;='Resultats - informe'!$E$27),0,(C545&gt;='Resultats - informe'!$D$28)*(C545&lt;='Resultats - informe'!$E$28),0,(C545&gt;='Resultats - informe'!$D$29)*(C545&lt;='Resultats - informe'!$E$29),0,1,1)</f>
        <v>0</v>
      </c>
      <c r="N545" s="366">
        <f>+VLOOKUP(D545,'Resultats - informe'!$Y$18:$AG$42,'Introducció dades consum'!K545+1,0)</f>
        <v>0</v>
      </c>
      <c r="O545" s="367" cm="1">
        <f t="array" ref="O545">+_xlfn.SWITCH(MONTH(C545),1,1,2,1,3,1,4,2,5,2,6,3,7,3,8,3,9,3,10,2,11,2,12,1,2)</f>
        <v>1</v>
      </c>
      <c r="P545" s="43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</row>
    <row r="546" spans="1:73" ht="18" x14ac:dyDescent="0.35">
      <c r="A546" s="43"/>
      <c r="C546" s="393"/>
      <c r="E546" s="394"/>
      <c r="F546" s="394"/>
      <c r="G546" s="394"/>
      <c r="H546" s="8" t="s">
        <v>61</v>
      </c>
      <c r="I546" s="364">
        <f t="shared" si="25"/>
        <v>0</v>
      </c>
      <c r="J546" s="365">
        <f t="shared" si="24"/>
        <v>0</v>
      </c>
      <c r="K546" s="366">
        <f t="shared" si="26"/>
        <v>6</v>
      </c>
      <c r="L546" s="366">
        <f>+IF((C546&gt;='Resultats - informe'!$E$16)*(C546&lt;='Resultats - informe'!$G$16),1,0)</f>
        <v>1</v>
      </c>
      <c r="M546" s="366" cm="1">
        <f t="array" ref="M546">+_xlfn.IFS((C546&gt;='Resultats - informe'!$D$26)*(C546&lt;='Resultats - informe'!$E$26),0,(C546&gt;='Resultats - informe'!$D$27)*(C546&lt;='Resultats - informe'!$E$27),0,(C546&gt;='Resultats - informe'!$D$28)*(C546&lt;='Resultats - informe'!$E$28),0,(C546&gt;='Resultats - informe'!$D$29)*(C546&lt;='Resultats - informe'!$E$29),0,1,1)</f>
        <v>0</v>
      </c>
      <c r="N546" s="366">
        <f>+VLOOKUP(D546,'Resultats - informe'!$Y$18:$AG$42,'Introducció dades consum'!K546+1,0)</f>
        <v>0</v>
      </c>
      <c r="O546" s="367" cm="1">
        <f t="array" ref="O546">+_xlfn.SWITCH(MONTH(C546),1,1,2,1,3,1,4,2,5,2,6,3,7,3,8,3,9,3,10,2,11,2,12,1,2)</f>
        <v>1</v>
      </c>
      <c r="P546" s="43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</row>
    <row r="547" spans="1:73" ht="18" x14ac:dyDescent="0.35">
      <c r="A547" s="43"/>
      <c r="C547" s="393"/>
      <c r="E547" s="394"/>
      <c r="F547" s="394"/>
      <c r="G547" s="394"/>
      <c r="H547" s="8" t="s">
        <v>61</v>
      </c>
      <c r="I547" s="364">
        <f t="shared" si="25"/>
        <v>0</v>
      </c>
      <c r="J547" s="365">
        <f t="shared" si="24"/>
        <v>0</v>
      </c>
      <c r="K547" s="366">
        <f t="shared" si="26"/>
        <v>6</v>
      </c>
      <c r="L547" s="366">
        <f>+IF((C547&gt;='Resultats - informe'!$E$16)*(C547&lt;='Resultats - informe'!$G$16),1,0)</f>
        <v>1</v>
      </c>
      <c r="M547" s="366" cm="1">
        <f t="array" ref="M547">+_xlfn.IFS((C547&gt;='Resultats - informe'!$D$26)*(C547&lt;='Resultats - informe'!$E$26),0,(C547&gt;='Resultats - informe'!$D$27)*(C547&lt;='Resultats - informe'!$E$27),0,(C547&gt;='Resultats - informe'!$D$28)*(C547&lt;='Resultats - informe'!$E$28),0,(C547&gt;='Resultats - informe'!$D$29)*(C547&lt;='Resultats - informe'!$E$29),0,1,1)</f>
        <v>0</v>
      </c>
      <c r="N547" s="366">
        <f>+VLOOKUP(D547,'Resultats - informe'!$Y$18:$AG$42,'Introducció dades consum'!K547+1,0)</f>
        <v>0</v>
      </c>
      <c r="O547" s="367" cm="1">
        <f t="array" ref="O547">+_xlfn.SWITCH(MONTH(C547),1,1,2,1,3,1,4,2,5,2,6,3,7,3,8,3,9,3,10,2,11,2,12,1,2)</f>
        <v>1</v>
      </c>
      <c r="P547" s="43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</row>
    <row r="548" spans="1:73" ht="18" x14ac:dyDescent="0.35">
      <c r="A548" s="43"/>
      <c r="C548" s="393"/>
      <c r="E548" s="394"/>
      <c r="F548" s="394"/>
      <c r="G548" s="394"/>
      <c r="H548" s="8" t="s">
        <v>61</v>
      </c>
      <c r="I548" s="364">
        <f t="shared" si="25"/>
        <v>0</v>
      </c>
      <c r="J548" s="365">
        <f t="shared" si="24"/>
        <v>0</v>
      </c>
      <c r="K548" s="366">
        <f t="shared" si="26"/>
        <v>6</v>
      </c>
      <c r="L548" s="366">
        <f>+IF((C548&gt;='Resultats - informe'!$E$16)*(C548&lt;='Resultats - informe'!$G$16),1,0)</f>
        <v>1</v>
      </c>
      <c r="M548" s="366" cm="1">
        <f t="array" ref="M548">+_xlfn.IFS((C548&gt;='Resultats - informe'!$D$26)*(C548&lt;='Resultats - informe'!$E$26),0,(C548&gt;='Resultats - informe'!$D$27)*(C548&lt;='Resultats - informe'!$E$27),0,(C548&gt;='Resultats - informe'!$D$28)*(C548&lt;='Resultats - informe'!$E$28),0,(C548&gt;='Resultats - informe'!$D$29)*(C548&lt;='Resultats - informe'!$E$29),0,1,1)</f>
        <v>0</v>
      </c>
      <c r="N548" s="366">
        <f>+VLOOKUP(D548,'Resultats - informe'!$Y$18:$AG$42,'Introducció dades consum'!K548+1,0)</f>
        <v>0</v>
      </c>
      <c r="O548" s="367" cm="1">
        <f t="array" ref="O548">+_xlfn.SWITCH(MONTH(C548),1,1,2,1,3,1,4,2,5,2,6,3,7,3,8,3,9,3,10,2,11,2,12,1,2)</f>
        <v>1</v>
      </c>
      <c r="P548" s="43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</row>
    <row r="549" spans="1:73" ht="18" x14ac:dyDescent="0.35">
      <c r="A549" s="43"/>
      <c r="C549" s="393"/>
      <c r="E549" s="394"/>
      <c r="F549" s="394"/>
      <c r="G549" s="394"/>
      <c r="H549" s="8" t="s">
        <v>61</v>
      </c>
      <c r="I549" s="364">
        <f t="shared" si="25"/>
        <v>0</v>
      </c>
      <c r="J549" s="365">
        <f t="shared" si="24"/>
        <v>0</v>
      </c>
      <c r="K549" s="366">
        <f t="shared" si="26"/>
        <v>6</v>
      </c>
      <c r="L549" s="366">
        <f>+IF((C549&gt;='Resultats - informe'!$E$16)*(C549&lt;='Resultats - informe'!$G$16),1,0)</f>
        <v>1</v>
      </c>
      <c r="M549" s="366" cm="1">
        <f t="array" ref="M549">+_xlfn.IFS((C549&gt;='Resultats - informe'!$D$26)*(C549&lt;='Resultats - informe'!$E$26),0,(C549&gt;='Resultats - informe'!$D$27)*(C549&lt;='Resultats - informe'!$E$27),0,(C549&gt;='Resultats - informe'!$D$28)*(C549&lt;='Resultats - informe'!$E$28),0,(C549&gt;='Resultats - informe'!$D$29)*(C549&lt;='Resultats - informe'!$E$29),0,1,1)</f>
        <v>0</v>
      </c>
      <c r="N549" s="366">
        <f>+VLOOKUP(D549,'Resultats - informe'!$Y$18:$AG$42,'Introducció dades consum'!K549+1,0)</f>
        <v>0</v>
      </c>
      <c r="O549" s="367" cm="1">
        <f t="array" ref="O549">+_xlfn.SWITCH(MONTH(C549),1,1,2,1,3,1,4,2,5,2,6,3,7,3,8,3,9,3,10,2,11,2,12,1,2)</f>
        <v>1</v>
      </c>
      <c r="P549" s="43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10"/>
    </row>
    <row r="550" spans="1:73" ht="18" x14ac:dyDescent="0.35">
      <c r="A550" s="43"/>
      <c r="C550" s="393"/>
      <c r="E550" s="394"/>
      <c r="F550" s="394"/>
      <c r="G550" s="394"/>
      <c r="H550" s="8" t="s">
        <v>61</v>
      </c>
      <c r="I550" s="364">
        <f t="shared" si="25"/>
        <v>0</v>
      </c>
      <c r="J550" s="365">
        <f t="shared" si="24"/>
        <v>0</v>
      </c>
      <c r="K550" s="366">
        <f t="shared" si="26"/>
        <v>6</v>
      </c>
      <c r="L550" s="366">
        <f>+IF((C550&gt;='Resultats - informe'!$E$16)*(C550&lt;='Resultats - informe'!$G$16),1,0)</f>
        <v>1</v>
      </c>
      <c r="M550" s="366" cm="1">
        <f t="array" ref="M550">+_xlfn.IFS((C550&gt;='Resultats - informe'!$D$26)*(C550&lt;='Resultats - informe'!$E$26),0,(C550&gt;='Resultats - informe'!$D$27)*(C550&lt;='Resultats - informe'!$E$27),0,(C550&gt;='Resultats - informe'!$D$28)*(C550&lt;='Resultats - informe'!$E$28),0,(C550&gt;='Resultats - informe'!$D$29)*(C550&lt;='Resultats - informe'!$E$29),0,1,1)</f>
        <v>0</v>
      </c>
      <c r="N550" s="366">
        <f>+VLOOKUP(D550,'Resultats - informe'!$Y$18:$AG$42,'Introducció dades consum'!K550+1,0)</f>
        <v>0</v>
      </c>
      <c r="O550" s="367" cm="1">
        <f t="array" ref="O550">+_xlfn.SWITCH(MONTH(C550),1,1,2,1,3,1,4,2,5,2,6,3,7,3,8,3,9,3,10,2,11,2,12,1,2)</f>
        <v>1</v>
      </c>
      <c r="P550" s="43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</row>
    <row r="551" spans="1:73" ht="18" x14ac:dyDescent="0.35">
      <c r="A551" s="43"/>
      <c r="C551" s="393"/>
      <c r="E551" s="394"/>
      <c r="F551" s="394"/>
      <c r="G551" s="394"/>
      <c r="H551" s="8" t="s">
        <v>61</v>
      </c>
      <c r="I551" s="364">
        <f t="shared" si="25"/>
        <v>0</v>
      </c>
      <c r="J551" s="365">
        <f t="shared" si="24"/>
        <v>0</v>
      </c>
      <c r="K551" s="366">
        <f t="shared" si="26"/>
        <v>6</v>
      </c>
      <c r="L551" s="366">
        <f>+IF((C551&gt;='Resultats - informe'!$E$16)*(C551&lt;='Resultats - informe'!$G$16),1,0)</f>
        <v>1</v>
      </c>
      <c r="M551" s="366" cm="1">
        <f t="array" ref="M551">+_xlfn.IFS((C551&gt;='Resultats - informe'!$D$26)*(C551&lt;='Resultats - informe'!$E$26),0,(C551&gt;='Resultats - informe'!$D$27)*(C551&lt;='Resultats - informe'!$E$27),0,(C551&gt;='Resultats - informe'!$D$28)*(C551&lt;='Resultats - informe'!$E$28),0,(C551&gt;='Resultats - informe'!$D$29)*(C551&lt;='Resultats - informe'!$E$29),0,1,1)</f>
        <v>0</v>
      </c>
      <c r="N551" s="366">
        <f>+VLOOKUP(D551,'Resultats - informe'!$Y$18:$AG$42,'Introducció dades consum'!K551+1,0)</f>
        <v>0</v>
      </c>
      <c r="O551" s="367" cm="1">
        <f t="array" ref="O551">+_xlfn.SWITCH(MONTH(C551),1,1,2,1,3,1,4,2,5,2,6,3,7,3,8,3,9,3,10,2,11,2,12,1,2)</f>
        <v>1</v>
      </c>
      <c r="P551" s="43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</row>
    <row r="552" spans="1:73" ht="18" x14ac:dyDescent="0.35">
      <c r="A552" s="43"/>
      <c r="C552" s="393"/>
      <c r="E552" s="394"/>
      <c r="F552" s="394"/>
      <c r="G552" s="394"/>
      <c r="H552" s="8" t="s">
        <v>61</v>
      </c>
      <c r="I552" s="364">
        <f t="shared" si="25"/>
        <v>0</v>
      </c>
      <c r="J552" s="365">
        <f t="shared" si="24"/>
        <v>0</v>
      </c>
      <c r="K552" s="366">
        <f t="shared" si="26"/>
        <v>6</v>
      </c>
      <c r="L552" s="366">
        <f>+IF((C552&gt;='Resultats - informe'!$E$16)*(C552&lt;='Resultats - informe'!$G$16),1,0)</f>
        <v>1</v>
      </c>
      <c r="M552" s="366" cm="1">
        <f t="array" ref="M552">+_xlfn.IFS((C552&gt;='Resultats - informe'!$D$26)*(C552&lt;='Resultats - informe'!$E$26),0,(C552&gt;='Resultats - informe'!$D$27)*(C552&lt;='Resultats - informe'!$E$27),0,(C552&gt;='Resultats - informe'!$D$28)*(C552&lt;='Resultats - informe'!$E$28),0,(C552&gt;='Resultats - informe'!$D$29)*(C552&lt;='Resultats - informe'!$E$29),0,1,1)</f>
        <v>0</v>
      </c>
      <c r="N552" s="366">
        <f>+VLOOKUP(D552,'Resultats - informe'!$Y$18:$AG$42,'Introducció dades consum'!K552+1,0)</f>
        <v>0</v>
      </c>
      <c r="O552" s="367" cm="1">
        <f t="array" ref="O552">+_xlfn.SWITCH(MONTH(C552),1,1,2,1,3,1,4,2,5,2,6,3,7,3,8,3,9,3,10,2,11,2,12,1,2)</f>
        <v>1</v>
      </c>
      <c r="P552" s="43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</row>
    <row r="553" spans="1:73" ht="18" x14ac:dyDescent="0.35">
      <c r="A553" s="43"/>
      <c r="C553" s="393"/>
      <c r="E553" s="394"/>
      <c r="F553" s="394"/>
      <c r="G553" s="394"/>
      <c r="H553" s="8" t="s">
        <v>61</v>
      </c>
      <c r="I553" s="364">
        <f t="shared" si="25"/>
        <v>0</v>
      </c>
      <c r="J553" s="365">
        <f t="shared" si="24"/>
        <v>0</v>
      </c>
      <c r="K553" s="366">
        <f t="shared" si="26"/>
        <v>6</v>
      </c>
      <c r="L553" s="366">
        <f>+IF((C553&gt;='Resultats - informe'!$E$16)*(C553&lt;='Resultats - informe'!$G$16),1,0)</f>
        <v>1</v>
      </c>
      <c r="M553" s="366" cm="1">
        <f t="array" ref="M553">+_xlfn.IFS((C553&gt;='Resultats - informe'!$D$26)*(C553&lt;='Resultats - informe'!$E$26),0,(C553&gt;='Resultats - informe'!$D$27)*(C553&lt;='Resultats - informe'!$E$27),0,(C553&gt;='Resultats - informe'!$D$28)*(C553&lt;='Resultats - informe'!$E$28),0,(C553&gt;='Resultats - informe'!$D$29)*(C553&lt;='Resultats - informe'!$E$29),0,1,1)</f>
        <v>0</v>
      </c>
      <c r="N553" s="366">
        <f>+VLOOKUP(D553,'Resultats - informe'!$Y$18:$AG$42,'Introducció dades consum'!K553+1,0)</f>
        <v>0</v>
      </c>
      <c r="O553" s="367" cm="1">
        <f t="array" ref="O553">+_xlfn.SWITCH(MONTH(C553),1,1,2,1,3,1,4,2,5,2,6,3,7,3,8,3,9,3,10,2,11,2,12,1,2)</f>
        <v>1</v>
      </c>
      <c r="P553" s="43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</row>
    <row r="554" spans="1:73" ht="18" x14ac:dyDescent="0.35">
      <c r="A554" s="43"/>
      <c r="C554" s="393"/>
      <c r="E554" s="394"/>
      <c r="F554" s="394"/>
      <c r="G554" s="394"/>
      <c r="H554" s="8" t="s">
        <v>61</v>
      </c>
      <c r="I554" s="364">
        <f t="shared" si="25"/>
        <v>0</v>
      </c>
      <c r="J554" s="365">
        <f t="shared" si="24"/>
        <v>0</v>
      </c>
      <c r="K554" s="366">
        <f t="shared" si="26"/>
        <v>6</v>
      </c>
      <c r="L554" s="366">
        <f>+IF((C554&gt;='Resultats - informe'!$E$16)*(C554&lt;='Resultats - informe'!$G$16),1,0)</f>
        <v>1</v>
      </c>
      <c r="M554" s="366" cm="1">
        <f t="array" ref="M554">+_xlfn.IFS((C554&gt;='Resultats - informe'!$D$26)*(C554&lt;='Resultats - informe'!$E$26),0,(C554&gt;='Resultats - informe'!$D$27)*(C554&lt;='Resultats - informe'!$E$27),0,(C554&gt;='Resultats - informe'!$D$28)*(C554&lt;='Resultats - informe'!$E$28),0,(C554&gt;='Resultats - informe'!$D$29)*(C554&lt;='Resultats - informe'!$E$29),0,1,1)</f>
        <v>0</v>
      </c>
      <c r="N554" s="366">
        <f>+VLOOKUP(D554,'Resultats - informe'!$Y$18:$AG$42,'Introducció dades consum'!K554+1,0)</f>
        <v>0</v>
      </c>
      <c r="O554" s="367" cm="1">
        <f t="array" ref="O554">+_xlfn.SWITCH(MONTH(C554),1,1,2,1,3,1,4,2,5,2,6,3,7,3,8,3,9,3,10,2,11,2,12,1,2)</f>
        <v>1</v>
      </c>
      <c r="P554" s="43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</row>
    <row r="555" spans="1:73" ht="18" x14ac:dyDescent="0.35">
      <c r="A555" s="43"/>
      <c r="C555" s="393"/>
      <c r="E555" s="394"/>
      <c r="F555" s="394"/>
      <c r="G555" s="394"/>
      <c r="H555" s="8" t="s">
        <v>61</v>
      </c>
      <c r="I555" s="364">
        <f t="shared" si="25"/>
        <v>0</v>
      </c>
      <c r="J555" s="365">
        <f t="shared" si="24"/>
        <v>0</v>
      </c>
      <c r="K555" s="366">
        <f t="shared" si="26"/>
        <v>6</v>
      </c>
      <c r="L555" s="366">
        <f>+IF((C555&gt;='Resultats - informe'!$E$16)*(C555&lt;='Resultats - informe'!$G$16),1,0)</f>
        <v>1</v>
      </c>
      <c r="M555" s="366" cm="1">
        <f t="array" ref="M555">+_xlfn.IFS((C555&gt;='Resultats - informe'!$D$26)*(C555&lt;='Resultats - informe'!$E$26),0,(C555&gt;='Resultats - informe'!$D$27)*(C555&lt;='Resultats - informe'!$E$27),0,(C555&gt;='Resultats - informe'!$D$28)*(C555&lt;='Resultats - informe'!$E$28),0,(C555&gt;='Resultats - informe'!$D$29)*(C555&lt;='Resultats - informe'!$E$29),0,1,1)</f>
        <v>0</v>
      </c>
      <c r="N555" s="366">
        <f>+VLOOKUP(D555,'Resultats - informe'!$Y$18:$AG$42,'Introducció dades consum'!K555+1,0)</f>
        <v>0</v>
      </c>
      <c r="O555" s="367" cm="1">
        <f t="array" ref="O555">+_xlfn.SWITCH(MONTH(C555),1,1,2,1,3,1,4,2,5,2,6,3,7,3,8,3,9,3,10,2,11,2,12,1,2)</f>
        <v>1</v>
      </c>
      <c r="P555" s="43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</row>
    <row r="556" spans="1:73" ht="18" x14ac:dyDescent="0.35">
      <c r="A556" s="43"/>
      <c r="C556" s="393"/>
      <c r="E556" s="394"/>
      <c r="F556" s="394"/>
      <c r="G556" s="394"/>
      <c r="H556" s="8" t="s">
        <v>61</v>
      </c>
      <c r="I556" s="364">
        <f t="shared" si="25"/>
        <v>0</v>
      </c>
      <c r="J556" s="365">
        <f t="shared" si="24"/>
        <v>0</v>
      </c>
      <c r="K556" s="366">
        <f t="shared" si="26"/>
        <v>6</v>
      </c>
      <c r="L556" s="366">
        <f>+IF((C556&gt;='Resultats - informe'!$E$16)*(C556&lt;='Resultats - informe'!$G$16),1,0)</f>
        <v>1</v>
      </c>
      <c r="M556" s="366" cm="1">
        <f t="array" ref="M556">+_xlfn.IFS((C556&gt;='Resultats - informe'!$D$26)*(C556&lt;='Resultats - informe'!$E$26),0,(C556&gt;='Resultats - informe'!$D$27)*(C556&lt;='Resultats - informe'!$E$27),0,(C556&gt;='Resultats - informe'!$D$28)*(C556&lt;='Resultats - informe'!$E$28),0,(C556&gt;='Resultats - informe'!$D$29)*(C556&lt;='Resultats - informe'!$E$29),0,1,1)</f>
        <v>0</v>
      </c>
      <c r="N556" s="366">
        <f>+VLOOKUP(D556,'Resultats - informe'!$Y$18:$AG$42,'Introducció dades consum'!K556+1,0)</f>
        <v>0</v>
      </c>
      <c r="O556" s="367" cm="1">
        <f t="array" ref="O556">+_xlfn.SWITCH(MONTH(C556),1,1,2,1,3,1,4,2,5,2,6,3,7,3,8,3,9,3,10,2,11,2,12,1,2)</f>
        <v>1</v>
      </c>
      <c r="P556" s="43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</row>
    <row r="557" spans="1:73" ht="18" x14ac:dyDescent="0.35">
      <c r="A557" s="43"/>
      <c r="C557" s="393"/>
      <c r="E557" s="394"/>
      <c r="F557" s="394"/>
      <c r="G557" s="394"/>
      <c r="H557" s="8" t="s">
        <v>61</v>
      </c>
      <c r="I557" s="364">
        <f t="shared" si="25"/>
        <v>0</v>
      </c>
      <c r="J557" s="365">
        <f t="shared" si="24"/>
        <v>0</v>
      </c>
      <c r="K557" s="366">
        <f t="shared" si="26"/>
        <v>6</v>
      </c>
      <c r="L557" s="366">
        <f>+IF((C557&gt;='Resultats - informe'!$E$16)*(C557&lt;='Resultats - informe'!$G$16),1,0)</f>
        <v>1</v>
      </c>
      <c r="M557" s="366" cm="1">
        <f t="array" ref="M557">+_xlfn.IFS((C557&gt;='Resultats - informe'!$D$26)*(C557&lt;='Resultats - informe'!$E$26),0,(C557&gt;='Resultats - informe'!$D$27)*(C557&lt;='Resultats - informe'!$E$27),0,(C557&gt;='Resultats - informe'!$D$28)*(C557&lt;='Resultats - informe'!$E$28),0,(C557&gt;='Resultats - informe'!$D$29)*(C557&lt;='Resultats - informe'!$E$29),0,1,1)</f>
        <v>0</v>
      </c>
      <c r="N557" s="366">
        <f>+VLOOKUP(D557,'Resultats - informe'!$Y$18:$AG$42,'Introducció dades consum'!K557+1,0)</f>
        <v>0</v>
      </c>
      <c r="O557" s="367" cm="1">
        <f t="array" ref="O557">+_xlfn.SWITCH(MONTH(C557),1,1,2,1,3,1,4,2,5,2,6,3,7,3,8,3,9,3,10,2,11,2,12,1,2)</f>
        <v>1</v>
      </c>
      <c r="P557" s="43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</row>
    <row r="558" spans="1:73" ht="18" x14ac:dyDescent="0.35">
      <c r="A558" s="43"/>
      <c r="C558" s="393"/>
      <c r="E558" s="394"/>
      <c r="F558" s="394"/>
      <c r="G558" s="394"/>
      <c r="H558" s="8" t="s">
        <v>61</v>
      </c>
      <c r="I558" s="364">
        <f t="shared" si="25"/>
        <v>0</v>
      </c>
      <c r="J558" s="365">
        <f t="shared" si="24"/>
        <v>0</v>
      </c>
      <c r="K558" s="366">
        <f t="shared" si="26"/>
        <v>6</v>
      </c>
      <c r="L558" s="366">
        <f>+IF((C558&gt;='Resultats - informe'!$E$16)*(C558&lt;='Resultats - informe'!$G$16),1,0)</f>
        <v>1</v>
      </c>
      <c r="M558" s="366" cm="1">
        <f t="array" ref="M558">+_xlfn.IFS((C558&gt;='Resultats - informe'!$D$26)*(C558&lt;='Resultats - informe'!$E$26),0,(C558&gt;='Resultats - informe'!$D$27)*(C558&lt;='Resultats - informe'!$E$27),0,(C558&gt;='Resultats - informe'!$D$28)*(C558&lt;='Resultats - informe'!$E$28),0,(C558&gt;='Resultats - informe'!$D$29)*(C558&lt;='Resultats - informe'!$E$29),0,1,1)</f>
        <v>0</v>
      </c>
      <c r="N558" s="366">
        <f>+VLOOKUP(D558,'Resultats - informe'!$Y$18:$AG$42,'Introducció dades consum'!K558+1,0)</f>
        <v>0</v>
      </c>
      <c r="O558" s="367" cm="1">
        <f t="array" ref="O558">+_xlfn.SWITCH(MONTH(C558),1,1,2,1,3,1,4,2,5,2,6,3,7,3,8,3,9,3,10,2,11,2,12,1,2)</f>
        <v>1</v>
      </c>
      <c r="P558" s="43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</row>
    <row r="559" spans="1:73" ht="18" x14ac:dyDescent="0.35">
      <c r="A559" s="43"/>
      <c r="C559" s="393"/>
      <c r="E559" s="394"/>
      <c r="F559" s="394"/>
      <c r="G559" s="394"/>
      <c r="H559" s="8" t="s">
        <v>61</v>
      </c>
      <c r="I559" s="364">
        <f t="shared" si="25"/>
        <v>0</v>
      </c>
      <c r="J559" s="365">
        <f t="shared" si="24"/>
        <v>0</v>
      </c>
      <c r="K559" s="366">
        <f t="shared" si="26"/>
        <v>6</v>
      </c>
      <c r="L559" s="366">
        <f>+IF((C559&gt;='Resultats - informe'!$E$16)*(C559&lt;='Resultats - informe'!$G$16),1,0)</f>
        <v>1</v>
      </c>
      <c r="M559" s="366" cm="1">
        <f t="array" ref="M559">+_xlfn.IFS((C559&gt;='Resultats - informe'!$D$26)*(C559&lt;='Resultats - informe'!$E$26),0,(C559&gt;='Resultats - informe'!$D$27)*(C559&lt;='Resultats - informe'!$E$27),0,(C559&gt;='Resultats - informe'!$D$28)*(C559&lt;='Resultats - informe'!$E$28),0,(C559&gt;='Resultats - informe'!$D$29)*(C559&lt;='Resultats - informe'!$E$29),0,1,1)</f>
        <v>0</v>
      </c>
      <c r="N559" s="366">
        <f>+VLOOKUP(D559,'Resultats - informe'!$Y$18:$AG$42,'Introducció dades consum'!K559+1,0)</f>
        <v>0</v>
      </c>
      <c r="O559" s="367" cm="1">
        <f t="array" ref="O559">+_xlfn.SWITCH(MONTH(C559),1,1,2,1,3,1,4,2,5,2,6,3,7,3,8,3,9,3,10,2,11,2,12,1,2)</f>
        <v>1</v>
      </c>
      <c r="P559" s="43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10"/>
    </row>
    <row r="560" spans="1:73" ht="18" x14ac:dyDescent="0.35">
      <c r="A560" s="43"/>
      <c r="C560" s="393"/>
      <c r="E560" s="394"/>
      <c r="F560" s="394"/>
      <c r="G560" s="394"/>
      <c r="H560" s="8" t="s">
        <v>61</v>
      </c>
      <c r="I560" s="364">
        <f t="shared" si="25"/>
        <v>0</v>
      </c>
      <c r="J560" s="365">
        <f t="shared" si="24"/>
        <v>0</v>
      </c>
      <c r="K560" s="366">
        <f t="shared" si="26"/>
        <v>6</v>
      </c>
      <c r="L560" s="366">
        <f>+IF((C560&gt;='Resultats - informe'!$E$16)*(C560&lt;='Resultats - informe'!$G$16),1,0)</f>
        <v>1</v>
      </c>
      <c r="M560" s="366" cm="1">
        <f t="array" ref="M560">+_xlfn.IFS((C560&gt;='Resultats - informe'!$D$26)*(C560&lt;='Resultats - informe'!$E$26),0,(C560&gt;='Resultats - informe'!$D$27)*(C560&lt;='Resultats - informe'!$E$27),0,(C560&gt;='Resultats - informe'!$D$28)*(C560&lt;='Resultats - informe'!$E$28),0,(C560&gt;='Resultats - informe'!$D$29)*(C560&lt;='Resultats - informe'!$E$29),0,1,1)</f>
        <v>0</v>
      </c>
      <c r="N560" s="366">
        <f>+VLOOKUP(D560,'Resultats - informe'!$Y$18:$AG$42,'Introducció dades consum'!K560+1,0)</f>
        <v>0</v>
      </c>
      <c r="O560" s="367" cm="1">
        <f t="array" ref="O560">+_xlfn.SWITCH(MONTH(C560),1,1,2,1,3,1,4,2,5,2,6,3,7,3,8,3,9,3,10,2,11,2,12,1,2)</f>
        <v>1</v>
      </c>
      <c r="P560" s="43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</row>
    <row r="561" spans="1:73" ht="18" x14ac:dyDescent="0.35">
      <c r="A561" s="43"/>
      <c r="C561" s="393"/>
      <c r="E561" s="394"/>
      <c r="F561" s="394"/>
      <c r="G561" s="394"/>
      <c r="H561" s="8" t="s">
        <v>61</v>
      </c>
      <c r="I561" s="364">
        <f t="shared" si="25"/>
        <v>0</v>
      </c>
      <c r="J561" s="365">
        <f t="shared" si="24"/>
        <v>0</v>
      </c>
      <c r="K561" s="366">
        <f t="shared" si="26"/>
        <v>6</v>
      </c>
      <c r="L561" s="366">
        <f>+IF((C561&gt;='Resultats - informe'!$E$16)*(C561&lt;='Resultats - informe'!$G$16),1,0)</f>
        <v>1</v>
      </c>
      <c r="M561" s="366" cm="1">
        <f t="array" ref="M561">+_xlfn.IFS((C561&gt;='Resultats - informe'!$D$26)*(C561&lt;='Resultats - informe'!$E$26),0,(C561&gt;='Resultats - informe'!$D$27)*(C561&lt;='Resultats - informe'!$E$27),0,(C561&gt;='Resultats - informe'!$D$28)*(C561&lt;='Resultats - informe'!$E$28),0,(C561&gt;='Resultats - informe'!$D$29)*(C561&lt;='Resultats - informe'!$E$29),0,1,1)</f>
        <v>0</v>
      </c>
      <c r="N561" s="366">
        <f>+VLOOKUP(D561,'Resultats - informe'!$Y$18:$AG$42,'Introducció dades consum'!K561+1,0)</f>
        <v>0</v>
      </c>
      <c r="O561" s="367" cm="1">
        <f t="array" ref="O561">+_xlfn.SWITCH(MONTH(C561),1,1,2,1,3,1,4,2,5,2,6,3,7,3,8,3,9,3,10,2,11,2,12,1,2)</f>
        <v>1</v>
      </c>
      <c r="P561" s="43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</row>
    <row r="562" spans="1:73" ht="18" x14ac:dyDescent="0.35">
      <c r="A562" s="43"/>
      <c r="C562" s="393"/>
      <c r="E562" s="394"/>
      <c r="F562" s="394"/>
      <c r="G562" s="394"/>
      <c r="H562" s="8" t="s">
        <v>61</v>
      </c>
      <c r="I562" s="364">
        <f t="shared" si="25"/>
        <v>0</v>
      </c>
      <c r="J562" s="365">
        <f t="shared" si="24"/>
        <v>0</v>
      </c>
      <c r="K562" s="366">
        <f t="shared" si="26"/>
        <v>6</v>
      </c>
      <c r="L562" s="366">
        <f>+IF((C562&gt;='Resultats - informe'!$E$16)*(C562&lt;='Resultats - informe'!$G$16),1,0)</f>
        <v>1</v>
      </c>
      <c r="M562" s="366" cm="1">
        <f t="array" ref="M562">+_xlfn.IFS((C562&gt;='Resultats - informe'!$D$26)*(C562&lt;='Resultats - informe'!$E$26),0,(C562&gt;='Resultats - informe'!$D$27)*(C562&lt;='Resultats - informe'!$E$27),0,(C562&gt;='Resultats - informe'!$D$28)*(C562&lt;='Resultats - informe'!$E$28),0,(C562&gt;='Resultats - informe'!$D$29)*(C562&lt;='Resultats - informe'!$E$29),0,1,1)</f>
        <v>0</v>
      </c>
      <c r="N562" s="366">
        <f>+VLOOKUP(D562,'Resultats - informe'!$Y$18:$AG$42,'Introducció dades consum'!K562+1,0)</f>
        <v>0</v>
      </c>
      <c r="O562" s="367" cm="1">
        <f t="array" ref="O562">+_xlfn.SWITCH(MONTH(C562),1,1,2,1,3,1,4,2,5,2,6,3,7,3,8,3,9,3,10,2,11,2,12,1,2)</f>
        <v>1</v>
      </c>
      <c r="P562" s="43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</row>
    <row r="563" spans="1:73" ht="18" x14ac:dyDescent="0.35">
      <c r="A563" s="43"/>
      <c r="C563" s="393"/>
      <c r="E563" s="394"/>
      <c r="F563" s="394"/>
      <c r="G563" s="394"/>
      <c r="H563" s="8" t="s">
        <v>61</v>
      </c>
      <c r="I563" s="364">
        <f t="shared" si="25"/>
        <v>0</v>
      </c>
      <c r="J563" s="365">
        <f t="shared" si="24"/>
        <v>0</v>
      </c>
      <c r="K563" s="366">
        <f t="shared" si="26"/>
        <v>6</v>
      </c>
      <c r="L563" s="366">
        <f>+IF((C563&gt;='Resultats - informe'!$E$16)*(C563&lt;='Resultats - informe'!$G$16),1,0)</f>
        <v>1</v>
      </c>
      <c r="M563" s="366" cm="1">
        <f t="array" ref="M563">+_xlfn.IFS((C563&gt;='Resultats - informe'!$D$26)*(C563&lt;='Resultats - informe'!$E$26),0,(C563&gt;='Resultats - informe'!$D$27)*(C563&lt;='Resultats - informe'!$E$27),0,(C563&gt;='Resultats - informe'!$D$28)*(C563&lt;='Resultats - informe'!$E$28),0,(C563&gt;='Resultats - informe'!$D$29)*(C563&lt;='Resultats - informe'!$E$29),0,1,1)</f>
        <v>0</v>
      </c>
      <c r="N563" s="366">
        <f>+VLOOKUP(D563,'Resultats - informe'!$Y$18:$AG$42,'Introducció dades consum'!K563+1,0)</f>
        <v>0</v>
      </c>
      <c r="O563" s="367" cm="1">
        <f t="array" ref="O563">+_xlfn.SWITCH(MONTH(C563),1,1,2,1,3,1,4,2,5,2,6,3,7,3,8,3,9,3,10,2,11,2,12,1,2)</f>
        <v>1</v>
      </c>
      <c r="P563" s="43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</row>
    <row r="564" spans="1:73" ht="18" x14ac:dyDescent="0.35">
      <c r="A564" s="43"/>
      <c r="C564" s="393"/>
      <c r="E564" s="394"/>
      <c r="F564" s="394"/>
      <c r="G564" s="394"/>
      <c r="H564" s="8" t="s">
        <v>61</v>
      </c>
      <c r="I564" s="364">
        <f t="shared" si="25"/>
        <v>0</v>
      </c>
      <c r="J564" s="365">
        <f t="shared" si="24"/>
        <v>0</v>
      </c>
      <c r="K564" s="366">
        <f t="shared" si="26"/>
        <v>6</v>
      </c>
      <c r="L564" s="366">
        <f>+IF((C564&gt;='Resultats - informe'!$E$16)*(C564&lt;='Resultats - informe'!$G$16),1,0)</f>
        <v>1</v>
      </c>
      <c r="M564" s="366" cm="1">
        <f t="array" ref="M564">+_xlfn.IFS((C564&gt;='Resultats - informe'!$D$26)*(C564&lt;='Resultats - informe'!$E$26),0,(C564&gt;='Resultats - informe'!$D$27)*(C564&lt;='Resultats - informe'!$E$27),0,(C564&gt;='Resultats - informe'!$D$28)*(C564&lt;='Resultats - informe'!$E$28),0,(C564&gt;='Resultats - informe'!$D$29)*(C564&lt;='Resultats - informe'!$E$29),0,1,1)</f>
        <v>0</v>
      </c>
      <c r="N564" s="366">
        <f>+VLOOKUP(D564,'Resultats - informe'!$Y$18:$AG$42,'Introducció dades consum'!K564+1,0)</f>
        <v>0</v>
      </c>
      <c r="O564" s="367" cm="1">
        <f t="array" ref="O564">+_xlfn.SWITCH(MONTH(C564),1,1,2,1,3,1,4,2,5,2,6,3,7,3,8,3,9,3,10,2,11,2,12,1,2)</f>
        <v>1</v>
      </c>
      <c r="P564" s="43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10"/>
    </row>
    <row r="565" spans="1:73" ht="18" x14ac:dyDescent="0.35">
      <c r="A565" s="43"/>
      <c r="C565" s="393"/>
      <c r="E565" s="394"/>
      <c r="F565" s="394"/>
      <c r="G565" s="394"/>
      <c r="H565" s="8" t="s">
        <v>61</v>
      </c>
      <c r="I565" s="364">
        <f t="shared" si="25"/>
        <v>0</v>
      </c>
      <c r="J565" s="365">
        <f t="shared" si="24"/>
        <v>0</v>
      </c>
      <c r="K565" s="366">
        <f t="shared" si="26"/>
        <v>6</v>
      </c>
      <c r="L565" s="366">
        <f>+IF((C565&gt;='Resultats - informe'!$E$16)*(C565&lt;='Resultats - informe'!$G$16),1,0)</f>
        <v>1</v>
      </c>
      <c r="M565" s="366" cm="1">
        <f t="array" ref="M565">+_xlfn.IFS((C565&gt;='Resultats - informe'!$D$26)*(C565&lt;='Resultats - informe'!$E$26),0,(C565&gt;='Resultats - informe'!$D$27)*(C565&lt;='Resultats - informe'!$E$27),0,(C565&gt;='Resultats - informe'!$D$28)*(C565&lt;='Resultats - informe'!$E$28),0,(C565&gt;='Resultats - informe'!$D$29)*(C565&lt;='Resultats - informe'!$E$29),0,1,1)</f>
        <v>0</v>
      </c>
      <c r="N565" s="366">
        <f>+VLOOKUP(D565,'Resultats - informe'!$Y$18:$AG$42,'Introducció dades consum'!K565+1,0)</f>
        <v>0</v>
      </c>
      <c r="O565" s="367" cm="1">
        <f t="array" ref="O565">+_xlfn.SWITCH(MONTH(C565),1,1,2,1,3,1,4,2,5,2,6,3,7,3,8,3,9,3,10,2,11,2,12,1,2)</f>
        <v>1</v>
      </c>
      <c r="P565" s="43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10"/>
    </row>
    <row r="566" spans="1:73" ht="18" x14ac:dyDescent="0.35">
      <c r="A566" s="43"/>
      <c r="C566" s="393"/>
      <c r="E566" s="394"/>
      <c r="F566" s="394"/>
      <c r="G566" s="394"/>
      <c r="H566" s="8" t="s">
        <v>61</v>
      </c>
      <c r="I566" s="364">
        <f t="shared" si="25"/>
        <v>0</v>
      </c>
      <c r="J566" s="365">
        <f t="shared" si="24"/>
        <v>0</v>
      </c>
      <c r="K566" s="366">
        <f t="shared" si="26"/>
        <v>6</v>
      </c>
      <c r="L566" s="366">
        <f>+IF((C566&gt;='Resultats - informe'!$E$16)*(C566&lt;='Resultats - informe'!$G$16),1,0)</f>
        <v>1</v>
      </c>
      <c r="M566" s="366" cm="1">
        <f t="array" ref="M566">+_xlfn.IFS((C566&gt;='Resultats - informe'!$D$26)*(C566&lt;='Resultats - informe'!$E$26),0,(C566&gt;='Resultats - informe'!$D$27)*(C566&lt;='Resultats - informe'!$E$27),0,(C566&gt;='Resultats - informe'!$D$28)*(C566&lt;='Resultats - informe'!$E$28),0,(C566&gt;='Resultats - informe'!$D$29)*(C566&lt;='Resultats - informe'!$E$29),0,1,1)</f>
        <v>0</v>
      </c>
      <c r="N566" s="366">
        <f>+VLOOKUP(D566,'Resultats - informe'!$Y$18:$AG$42,'Introducció dades consum'!K566+1,0)</f>
        <v>0</v>
      </c>
      <c r="O566" s="367" cm="1">
        <f t="array" ref="O566">+_xlfn.SWITCH(MONTH(C566),1,1,2,1,3,1,4,2,5,2,6,3,7,3,8,3,9,3,10,2,11,2,12,1,2)</f>
        <v>1</v>
      </c>
      <c r="P566" s="43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10"/>
    </row>
    <row r="567" spans="1:73" ht="18" x14ac:dyDescent="0.35">
      <c r="A567" s="43"/>
      <c r="C567" s="393"/>
      <c r="E567" s="394"/>
      <c r="F567" s="394"/>
      <c r="G567" s="394"/>
      <c r="H567" s="8" t="s">
        <v>61</v>
      </c>
      <c r="I567" s="364">
        <f t="shared" si="25"/>
        <v>0</v>
      </c>
      <c r="J567" s="365">
        <f t="shared" si="24"/>
        <v>0</v>
      </c>
      <c r="K567" s="366">
        <f t="shared" si="26"/>
        <v>6</v>
      </c>
      <c r="L567" s="366">
        <f>+IF((C567&gt;='Resultats - informe'!$E$16)*(C567&lt;='Resultats - informe'!$G$16),1,0)</f>
        <v>1</v>
      </c>
      <c r="M567" s="366" cm="1">
        <f t="array" ref="M567">+_xlfn.IFS((C567&gt;='Resultats - informe'!$D$26)*(C567&lt;='Resultats - informe'!$E$26),0,(C567&gt;='Resultats - informe'!$D$27)*(C567&lt;='Resultats - informe'!$E$27),0,(C567&gt;='Resultats - informe'!$D$28)*(C567&lt;='Resultats - informe'!$E$28),0,(C567&gt;='Resultats - informe'!$D$29)*(C567&lt;='Resultats - informe'!$E$29),0,1,1)</f>
        <v>0</v>
      </c>
      <c r="N567" s="366">
        <f>+VLOOKUP(D567,'Resultats - informe'!$Y$18:$AG$42,'Introducció dades consum'!K567+1,0)</f>
        <v>0</v>
      </c>
      <c r="O567" s="367" cm="1">
        <f t="array" ref="O567">+_xlfn.SWITCH(MONTH(C567),1,1,2,1,3,1,4,2,5,2,6,3,7,3,8,3,9,3,10,2,11,2,12,1,2)</f>
        <v>1</v>
      </c>
      <c r="P567" s="43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</row>
    <row r="568" spans="1:73" ht="18" x14ac:dyDescent="0.35">
      <c r="A568" s="43"/>
      <c r="C568" s="393"/>
      <c r="E568" s="394"/>
      <c r="F568" s="394"/>
      <c r="G568" s="394"/>
      <c r="H568" s="8" t="s">
        <v>61</v>
      </c>
      <c r="I568" s="364">
        <f t="shared" si="25"/>
        <v>0</v>
      </c>
      <c r="J568" s="365">
        <f t="shared" si="24"/>
        <v>0</v>
      </c>
      <c r="K568" s="366">
        <f t="shared" si="26"/>
        <v>6</v>
      </c>
      <c r="L568" s="366">
        <f>+IF((C568&gt;='Resultats - informe'!$E$16)*(C568&lt;='Resultats - informe'!$G$16),1,0)</f>
        <v>1</v>
      </c>
      <c r="M568" s="366" cm="1">
        <f t="array" ref="M568">+_xlfn.IFS((C568&gt;='Resultats - informe'!$D$26)*(C568&lt;='Resultats - informe'!$E$26),0,(C568&gt;='Resultats - informe'!$D$27)*(C568&lt;='Resultats - informe'!$E$27),0,(C568&gt;='Resultats - informe'!$D$28)*(C568&lt;='Resultats - informe'!$E$28),0,(C568&gt;='Resultats - informe'!$D$29)*(C568&lt;='Resultats - informe'!$E$29),0,1,1)</f>
        <v>0</v>
      </c>
      <c r="N568" s="366">
        <f>+VLOOKUP(D568,'Resultats - informe'!$Y$18:$AG$42,'Introducció dades consum'!K568+1,0)</f>
        <v>0</v>
      </c>
      <c r="O568" s="367" cm="1">
        <f t="array" ref="O568">+_xlfn.SWITCH(MONTH(C568),1,1,2,1,3,1,4,2,5,2,6,3,7,3,8,3,9,3,10,2,11,2,12,1,2)</f>
        <v>1</v>
      </c>
      <c r="P568" s="43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</row>
    <row r="569" spans="1:73" ht="18" x14ac:dyDescent="0.35">
      <c r="A569" s="43"/>
      <c r="C569" s="393"/>
      <c r="E569" s="394"/>
      <c r="F569" s="394"/>
      <c r="G569" s="394"/>
      <c r="H569" s="8" t="s">
        <v>61</v>
      </c>
      <c r="I569" s="364">
        <f t="shared" si="25"/>
        <v>0</v>
      </c>
      <c r="J569" s="365">
        <f t="shared" si="24"/>
        <v>0</v>
      </c>
      <c r="K569" s="366">
        <f t="shared" si="26"/>
        <v>6</v>
      </c>
      <c r="L569" s="366">
        <f>+IF((C569&gt;='Resultats - informe'!$E$16)*(C569&lt;='Resultats - informe'!$G$16),1,0)</f>
        <v>1</v>
      </c>
      <c r="M569" s="366" cm="1">
        <f t="array" ref="M569">+_xlfn.IFS((C569&gt;='Resultats - informe'!$D$26)*(C569&lt;='Resultats - informe'!$E$26),0,(C569&gt;='Resultats - informe'!$D$27)*(C569&lt;='Resultats - informe'!$E$27),0,(C569&gt;='Resultats - informe'!$D$28)*(C569&lt;='Resultats - informe'!$E$28),0,(C569&gt;='Resultats - informe'!$D$29)*(C569&lt;='Resultats - informe'!$E$29),0,1,1)</f>
        <v>0</v>
      </c>
      <c r="N569" s="366">
        <f>+VLOOKUP(D569,'Resultats - informe'!$Y$18:$AG$42,'Introducció dades consum'!K569+1,0)</f>
        <v>0</v>
      </c>
      <c r="O569" s="367" cm="1">
        <f t="array" ref="O569">+_xlfn.SWITCH(MONTH(C569),1,1,2,1,3,1,4,2,5,2,6,3,7,3,8,3,9,3,10,2,11,2,12,1,2)</f>
        <v>1</v>
      </c>
      <c r="P569" s="43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</row>
    <row r="570" spans="1:73" ht="18" x14ac:dyDescent="0.35">
      <c r="A570" s="43"/>
      <c r="C570" s="393"/>
      <c r="E570" s="394"/>
      <c r="F570" s="394"/>
      <c r="G570" s="394"/>
      <c r="H570" s="8" t="s">
        <v>61</v>
      </c>
      <c r="I570" s="364">
        <f t="shared" si="25"/>
        <v>0</v>
      </c>
      <c r="J570" s="365">
        <f t="shared" si="24"/>
        <v>0</v>
      </c>
      <c r="K570" s="366">
        <f t="shared" si="26"/>
        <v>6</v>
      </c>
      <c r="L570" s="366">
        <f>+IF((C570&gt;='Resultats - informe'!$E$16)*(C570&lt;='Resultats - informe'!$G$16),1,0)</f>
        <v>1</v>
      </c>
      <c r="M570" s="366" cm="1">
        <f t="array" ref="M570">+_xlfn.IFS((C570&gt;='Resultats - informe'!$D$26)*(C570&lt;='Resultats - informe'!$E$26),0,(C570&gt;='Resultats - informe'!$D$27)*(C570&lt;='Resultats - informe'!$E$27),0,(C570&gt;='Resultats - informe'!$D$28)*(C570&lt;='Resultats - informe'!$E$28),0,(C570&gt;='Resultats - informe'!$D$29)*(C570&lt;='Resultats - informe'!$E$29),0,1,1)</f>
        <v>0</v>
      </c>
      <c r="N570" s="366">
        <f>+VLOOKUP(D570,'Resultats - informe'!$Y$18:$AG$42,'Introducció dades consum'!K570+1,0)</f>
        <v>0</v>
      </c>
      <c r="O570" s="367" cm="1">
        <f t="array" ref="O570">+_xlfn.SWITCH(MONTH(C570),1,1,2,1,3,1,4,2,5,2,6,3,7,3,8,3,9,3,10,2,11,2,12,1,2)</f>
        <v>1</v>
      </c>
      <c r="P570" s="43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10"/>
    </row>
    <row r="571" spans="1:73" ht="18" x14ac:dyDescent="0.35">
      <c r="A571" s="43"/>
      <c r="C571" s="393"/>
      <c r="E571" s="394"/>
      <c r="F571" s="394"/>
      <c r="G571" s="394"/>
      <c r="H571" s="8" t="s">
        <v>61</v>
      </c>
      <c r="I571" s="364">
        <f t="shared" si="25"/>
        <v>0</v>
      </c>
      <c r="J571" s="365">
        <f t="shared" si="24"/>
        <v>0</v>
      </c>
      <c r="K571" s="366">
        <f t="shared" si="26"/>
        <v>6</v>
      </c>
      <c r="L571" s="366">
        <f>+IF((C571&gt;='Resultats - informe'!$E$16)*(C571&lt;='Resultats - informe'!$G$16),1,0)</f>
        <v>1</v>
      </c>
      <c r="M571" s="366" cm="1">
        <f t="array" ref="M571">+_xlfn.IFS((C571&gt;='Resultats - informe'!$D$26)*(C571&lt;='Resultats - informe'!$E$26),0,(C571&gt;='Resultats - informe'!$D$27)*(C571&lt;='Resultats - informe'!$E$27),0,(C571&gt;='Resultats - informe'!$D$28)*(C571&lt;='Resultats - informe'!$E$28),0,(C571&gt;='Resultats - informe'!$D$29)*(C571&lt;='Resultats - informe'!$E$29),0,1,1)</f>
        <v>0</v>
      </c>
      <c r="N571" s="366">
        <f>+VLOOKUP(D571,'Resultats - informe'!$Y$18:$AG$42,'Introducció dades consum'!K571+1,0)</f>
        <v>0</v>
      </c>
      <c r="O571" s="367" cm="1">
        <f t="array" ref="O571">+_xlfn.SWITCH(MONTH(C571),1,1,2,1,3,1,4,2,5,2,6,3,7,3,8,3,9,3,10,2,11,2,12,1,2)</f>
        <v>1</v>
      </c>
      <c r="P571" s="43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10"/>
    </row>
    <row r="572" spans="1:73" ht="18" x14ac:dyDescent="0.35">
      <c r="A572" s="43"/>
      <c r="C572" s="393"/>
      <c r="E572" s="394"/>
      <c r="F572" s="394"/>
      <c r="G572" s="394"/>
      <c r="H572" s="8" t="s">
        <v>61</v>
      </c>
      <c r="I572" s="364">
        <f t="shared" si="25"/>
        <v>0</v>
      </c>
      <c r="J572" s="365">
        <f t="shared" si="24"/>
        <v>0</v>
      </c>
      <c r="K572" s="366">
        <f t="shared" si="26"/>
        <v>6</v>
      </c>
      <c r="L572" s="366">
        <f>+IF((C572&gt;='Resultats - informe'!$E$16)*(C572&lt;='Resultats - informe'!$G$16),1,0)</f>
        <v>1</v>
      </c>
      <c r="M572" s="366" cm="1">
        <f t="array" ref="M572">+_xlfn.IFS((C572&gt;='Resultats - informe'!$D$26)*(C572&lt;='Resultats - informe'!$E$26),0,(C572&gt;='Resultats - informe'!$D$27)*(C572&lt;='Resultats - informe'!$E$27),0,(C572&gt;='Resultats - informe'!$D$28)*(C572&lt;='Resultats - informe'!$E$28),0,(C572&gt;='Resultats - informe'!$D$29)*(C572&lt;='Resultats - informe'!$E$29),0,1,1)</f>
        <v>0</v>
      </c>
      <c r="N572" s="366">
        <f>+VLOOKUP(D572,'Resultats - informe'!$Y$18:$AG$42,'Introducció dades consum'!K572+1,0)</f>
        <v>0</v>
      </c>
      <c r="O572" s="367" cm="1">
        <f t="array" ref="O572">+_xlfn.SWITCH(MONTH(C572),1,1,2,1,3,1,4,2,5,2,6,3,7,3,8,3,9,3,10,2,11,2,12,1,2)</f>
        <v>1</v>
      </c>
      <c r="P572" s="43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10"/>
    </row>
    <row r="573" spans="1:73" ht="18" x14ac:dyDescent="0.35">
      <c r="A573" s="43"/>
      <c r="C573" s="393"/>
      <c r="E573" s="394"/>
      <c r="F573" s="394"/>
      <c r="G573" s="394"/>
      <c r="H573" s="8" t="s">
        <v>61</v>
      </c>
      <c r="I573" s="364">
        <f t="shared" si="25"/>
        <v>0</v>
      </c>
      <c r="J573" s="365">
        <f t="shared" si="24"/>
        <v>0</v>
      </c>
      <c r="K573" s="366">
        <f t="shared" si="26"/>
        <v>6</v>
      </c>
      <c r="L573" s="366">
        <f>+IF((C573&gt;='Resultats - informe'!$E$16)*(C573&lt;='Resultats - informe'!$G$16),1,0)</f>
        <v>1</v>
      </c>
      <c r="M573" s="366" cm="1">
        <f t="array" ref="M573">+_xlfn.IFS((C573&gt;='Resultats - informe'!$D$26)*(C573&lt;='Resultats - informe'!$E$26),0,(C573&gt;='Resultats - informe'!$D$27)*(C573&lt;='Resultats - informe'!$E$27),0,(C573&gt;='Resultats - informe'!$D$28)*(C573&lt;='Resultats - informe'!$E$28),0,(C573&gt;='Resultats - informe'!$D$29)*(C573&lt;='Resultats - informe'!$E$29),0,1,1)</f>
        <v>0</v>
      </c>
      <c r="N573" s="366">
        <f>+VLOOKUP(D573,'Resultats - informe'!$Y$18:$AG$42,'Introducció dades consum'!K573+1,0)</f>
        <v>0</v>
      </c>
      <c r="O573" s="367" cm="1">
        <f t="array" ref="O573">+_xlfn.SWITCH(MONTH(C573),1,1,2,1,3,1,4,2,5,2,6,3,7,3,8,3,9,3,10,2,11,2,12,1,2)</f>
        <v>1</v>
      </c>
      <c r="P573" s="43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10"/>
    </row>
    <row r="574" spans="1:73" ht="18" x14ac:dyDescent="0.35">
      <c r="A574" s="43"/>
      <c r="C574" s="393"/>
      <c r="E574" s="394"/>
      <c r="F574" s="394"/>
      <c r="G574" s="394"/>
      <c r="H574" s="8" t="s">
        <v>61</v>
      </c>
      <c r="I574" s="364">
        <f t="shared" si="25"/>
        <v>0</v>
      </c>
      <c r="J574" s="365">
        <f t="shared" si="24"/>
        <v>0</v>
      </c>
      <c r="K574" s="366">
        <f t="shared" si="26"/>
        <v>6</v>
      </c>
      <c r="L574" s="366">
        <f>+IF((C574&gt;='Resultats - informe'!$E$16)*(C574&lt;='Resultats - informe'!$G$16),1,0)</f>
        <v>1</v>
      </c>
      <c r="M574" s="366" cm="1">
        <f t="array" ref="M574">+_xlfn.IFS((C574&gt;='Resultats - informe'!$D$26)*(C574&lt;='Resultats - informe'!$E$26),0,(C574&gt;='Resultats - informe'!$D$27)*(C574&lt;='Resultats - informe'!$E$27),0,(C574&gt;='Resultats - informe'!$D$28)*(C574&lt;='Resultats - informe'!$E$28),0,(C574&gt;='Resultats - informe'!$D$29)*(C574&lt;='Resultats - informe'!$E$29),0,1,1)</f>
        <v>0</v>
      </c>
      <c r="N574" s="366">
        <f>+VLOOKUP(D574,'Resultats - informe'!$Y$18:$AG$42,'Introducció dades consum'!K574+1,0)</f>
        <v>0</v>
      </c>
      <c r="O574" s="367" cm="1">
        <f t="array" ref="O574">+_xlfn.SWITCH(MONTH(C574),1,1,2,1,3,1,4,2,5,2,6,3,7,3,8,3,9,3,10,2,11,2,12,1,2)</f>
        <v>1</v>
      </c>
      <c r="P574" s="43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10"/>
    </row>
    <row r="575" spans="1:73" ht="18" x14ac:dyDescent="0.35">
      <c r="A575" s="43"/>
      <c r="C575" s="393"/>
      <c r="E575" s="394"/>
      <c r="F575" s="394"/>
      <c r="G575" s="394"/>
      <c r="H575" s="8" t="s">
        <v>61</v>
      </c>
      <c r="I575" s="364">
        <f t="shared" si="25"/>
        <v>0</v>
      </c>
      <c r="J575" s="365">
        <f t="shared" si="24"/>
        <v>0</v>
      </c>
      <c r="K575" s="366">
        <f t="shared" si="26"/>
        <v>6</v>
      </c>
      <c r="L575" s="366">
        <f>+IF((C575&gt;='Resultats - informe'!$E$16)*(C575&lt;='Resultats - informe'!$G$16),1,0)</f>
        <v>1</v>
      </c>
      <c r="M575" s="366" cm="1">
        <f t="array" ref="M575">+_xlfn.IFS((C575&gt;='Resultats - informe'!$D$26)*(C575&lt;='Resultats - informe'!$E$26),0,(C575&gt;='Resultats - informe'!$D$27)*(C575&lt;='Resultats - informe'!$E$27),0,(C575&gt;='Resultats - informe'!$D$28)*(C575&lt;='Resultats - informe'!$E$28),0,(C575&gt;='Resultats - informe'!$D$29)*(C575&lt;='Resultats - informe'!$E$29),0,1,1)</f>
        <v>0</v>
      </c>
      <c r="N575" s="366">
        <f>+VLOOKUP(D575,'Resultats - informe'!$Y$18:$AG$42,'Introducció dades consum'!K575+1,0)</f>
        <v>0</v>
      </c>
      <c r="O575" s="367" cm="1">
        <f t="array" ref="O575">+_xlfn.SWITCH(MONTH(C575),1,1,2,1,3,1,4,2,5,2,6,3,7,3,8,3,9,3,10,2,11,2,12,1,2)</f>
        <v>1</v>
      </c>
      <c r="P575" s="43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10"/>
    </row>
    <row r="576" spans="1:73" ht="18" x14ac:dyDescent="0.35">
      <c r="A576" s="43"/>
      <c r="C576" s="393"/>
      <c r="E576" s="394"/>
      <c r="F576" s="394"/>
      <c r="G576" s="394"/>
      <c r="H576" s="8" t="s">
        <v>61</v>
      </c>
      <c r="I576" s="364">
        <f t="shared" si="25"/>
        <v>0</v>
      </c>
      <c r="J576" s="365">
        <f t="shared" si="24"/>
        <v>0</v>
      </c>
      <c r="K576" s="366">
        <f t="shared" si="26"/>
        <v>6</v>
      </c>
      <c r="L576" s="366">
        <f>+IF((C576&gt;='Resultats - informe'!$E$16)*(C576&lt;='Resultats - informe'!$G$16),1,0)</f>
        <v>1</v>
      </c>
      <c r="M576" s="366" cm="1">
        <f t="array" ref="M576">+_xlfn.IFS((C576&gt;='Resultats - informe'!$D$26)*(C576&lt;='Resultats - informe'!$E$26),0,(C576&gt;='Resultats - informe'!$D$27)*(C576&lt;='Resultats - informe'!$E$27),0,(C576&gt;='Resultats - informe'!$D$28)*(C576&lt;='Resultats - informe'!$E$28),0,(C576&gt;='Resultats - informe'!$D$29)*(C576&lt;='Resultats - informe'!$E$29),0,1,1)</f>
        <v>0</v>
      </c>
      <c r="N576" s="366">
        <f>+VLOOKUP(D576,'Resultats - informe'!$Y$18:$AG$42,'Introducció dades consum'!K576+1,0)</f>
        <v>0</v>
      </c>
      <c r="O576" s="367" cm="1">
        <f t="array" ref="O576">+_xlfn.SWITCH(MONTH(C576),1,1,2,1,3,1,4,2,5,2,6,3,7,3,8,3,9,3,10,2,11,2,12,1,2)</f>
        <v>1</v>
      </c>
      <c r="P576" s="43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10"/>
    </row>
    <row r="577" spans="1:73" ht="18" x14ac:dyDescent="0.35">
      <c r="A577" s="43"/>
      <c r="C577" s="393"/>
      <c r="E577" s="394"/>
      <c r="F577" s="394"/>
      <c r="G577" s="394"/>
      <c r="H577" s="8" t="s">
        <v>61</v>
      </c>
      <c r="I577" s="364">
        <f t="shared" si="25"/>
        <v>0</v>
      </c>
      <c r="J577" s="365">
        <f t="shared" si="24"/>
        <v>0</v>
      </c>
      <c r="K577" s="366">
        <f t="shared" si="26"/>
        <v>6</v>
      </c>
      <c r="L577" s="366">
        <f>+IF((C577&gt;='Resultats - informe'!$E$16)*(C577&lt;='Resultats - informe'!$G$16),1,0)</f>
        <v>1</v>
      </c>
      <c r="M577" s="366" cm="1">
        <f t="array" ref="M577">+_xlfn.IFS((C577&gt;='Resultats - informe'!$D$26)*(C577&lt;='Resultats - informe'!$E$26),0,(C577&gt;='Resultats - informe'!$D$27)*(C577&lt;='Resultats - informe'!$E$27),0,(C577&gt;='Resultats - informe'!$D$28)*(C577&lt;='Resultats - informe'!$E$28),0,(C577&gt;='Resultats - informe'!$D$29)*(C577&lt;='Resultats - informe'!$E$29),0,1,1)</f>
        <v>0</v>
      </c>
      <c r="N577" s="366">
        <f>+VLOOKUP(D577,'Resultats - informe'!$Y$18:$AG$42,'Introducció dades consum'!K577+1,0)</f>
        <v>0</v>
      </c>
      <c r="O577" s="367" cm="1">
        <f t="array" ref="O577">+_xlfn.SWITCH(MONTH(C577),1,1,2,1,3,1,4,2,5,2,6,3,7,3,8,3,9,3,10,2,11,2,12,1,2)</f>
        <v>1</v>
      </c>
      <c r="P577" s="43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  <c r="BU577" s="10"/>
    </row>
    <row r="578" spans="1:73" ht="18" x14ac:dyDescent="0.35">
      <c r="A578" s="43"/>
      <c r="C578" s="393"/>
      <c r="E578" s="394"/>
      <c r="F578" s="394"/>
      <c r="G578" s="394"/>
      <c r="H578" s="8" t="s">
        <v>61</v>
      </c>
      <c r="I578" s="364">
        <f t="shared" si="25"/>
        <v>0</v>
      </c>
      <c r="J578" s="365">
        <f t="shared" si="24"/>
        <v>0</v>
      </c>
      <c r="K578" s="366">
        <f t="shared" si="26"/>
        <v>6</v>
      </c>
      <c r="L578" s="366">
        <f>+IF((C578&gt;='Resultats - informe'!$E$16)*(C578&lt;='Resultats - informe'!$G$16),1,0)</f>
        <v>1</v>
      </c>
      <c r="M578" s="366" cm="1">
        <f t="array" ref="M578">+_xlfn.IFS((C578&gt;='Resultats - informe'!$D$26)*(C578&lt;='Resultats - informe'!$E$26),0,(C578&gt;='Resultats - informe'!$D$27)*(C578&lt;='Resultats - informe'!$E$27),0,(C578&gt;='Resultats - informe'!$D$28)*(C578&lt;='Resultats - informe'!$E$28),0,(C578&gt;='Resultats - informe'!$D$29)*(C578&lt;='Resultats - informe'!$E$29),0,1,1)</f>
        <v>0</v>
      </c>
      <c r="N578" s="366">
        <f>+VLOOKUP(D578,'Resultats - informe'!$Y$18:$AG$42,'Introducció dades consum'!K578+1,0)</f>
        <v>0</v>
      </c>
      <c r="O578" s="367" cm="1">
        <f t="array" ref="O578">+_xlfn.SWITCH(MONTH(C578),1,1,2,1,3,1,4,2,5,2,6,3,7,3,8,3,9,3,10,2,11,2,12,1,2)</f>
        <v>1</v>
      </c>
      <c r="P578" s="43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10"/>
    </row>
    <row r="579" spans="1:73" ht="18" x14ac:dyDescent="0.35">
      <c r="A579" s="43"/>
      <c r="C579" s="393"/>
      <c r="E579" s="394"/>
      <c r="F579" s="394"/>
      <c r="G579" s="394"/>
      <c r="H579" s="8" t="s">
        <v>61</v>
      </c>
      <c r="I579" s="364">
        <f t="shared" si="25"/>
        <v>0</v>
      </c>
      <c r="J579" s="365">
        <f t="shared" si="24"/>
        <v>0</v>
      </c>
      <c r="K579" s="366">
        <f t="shared" si="26"/>
        <v>6</v>
      </c>
      <c r="L579" s="366">
        <f>+IF((C579&gt;='Resultats - informe'!$E$16)*(C579&lt;='Resultats - informe'!$G$16),1,0)</f>
        <v>1</v>
      </c>
      <c r="M579" s="366" cm="1">
        <f t="array" ref="M579">+_xlfn.IFS((C579&gt;='Resultats - informe'!$D$26)*(C579&lt;='Resultats - informe'!$E$26),0,(C579&gt;='Resultats - informe'!$D$27)*(C579&lt;='Resultats - informe'!$E$27),0,(C579&gt;='Resultats - informe'!$D$28)*(C579&lt;='Resultats - informe'!$E$28),0,(C579&gt;='Resultats - informe'!$D$29)*(C579&lt;='Resultats - informe'!$E$29),0,1,1)</f>
        <v>0</v>
      </c>
      <c r="N579" s="366">
        <f>+VLOOKUP(D579,'Resultats - informe'!$Y$18:$AG$42,'Introducció dades consum'!K579+1,0)</f>
        <v>0</v>
      </c>
      <c r="O579" s="367" cm="1">
        <f t="array" ref="O579">+_xlfn.SWITCH(MONTH(C579),1,1,2,1,3,1,4,2,5,2,6,3,7,3,8,3,9,3,10,2,11,2,12,1,2)</f>
        <v>1</v>
      </c>
      <c r="P579" s="43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10"/>
    </row>
    <row r="580" spans="1:73" ht="18" x14ac:dyDescent="0.35">
      <c r="A580" s="43"/>
      <c r="C580" s="393"/>
      <c r="E580" s="394"/>
      <c r="F580" s="394"/>
      <c r="G580" s="394"/>
      <c r="H580" s="8" t="s">
        <v>61</v>
      </c>
      <c r="I580" s="364">
        <f t="shared" si="25"/>
        <v>0</v>
      </c>
      <c r="J580" s="365">
        <f t="shared" si="24"/>
        <v>0</v>
      </c>
      <c r="K580" s="366">
        <f t="shared" si="26"/>
        <v>6</v>
      </c>
      <c r="L580" s="366">
        <f>+IF((C580&gt;='Resultats - informe'!$E$16)*(C580&lt;='Resultats - informe'!$G$16),1,0)</f>
        <v>1</v>
      </c>
      <c r="M580" s="366" cm="1">
        <f t="array" ref="M580">+_xlfn.IFS((C580&gt;='Resultats - informe'!$D$26)*(C580&lt;='Resultats - informe'!$E$26),0,(C580&gt;='Resultats - informe'!$D$27)*(C580&lt;='Resultats - informe'!$E$27),0,(C580&gt;='Resultats - informe'!$D$28)*(C580&lt;='Resultats - informe'!$E$28),0,(C580&gt;='Resultats - informe'!$D$29)*(C580&lt;='Resultats - informe'!$E$29),0,1,1)</f>
        <v>0</v>
      </c>
      <c r="N580" s="366">
        <f>+VLOOKUP(D580,'Resultats - informe'!$Y$18:$AG$42,'Introducció dades consum'!K580+1,0)</f>
        <v>0</v>
      </c>
      <c r="O580" s="367" cm="1">
        <f t="array" ref="O580">+_xlfn.SWITCH(MONTH(C580),1,1,2,1,3,1,4,2,5,2,6,3,7,3,8,3,9,3,10,2,11,2,12,1,2)</f>
        <v>1</v>
      </c>
      <c r="P580" s="43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</row>
    <row r="581" spans="1:73" ht="18" x14ac:dyDescent="0.35">
      <c r="A581" s="43"/>
      <c r="C581" s="393"/>
      <c r="E581" s="394"/>
      <c r="F581" s="394"/>
      <c r="G581" s="394"/>
      <c r="H581" s="8" t="s">
        <v>61</v>
      </c>
      <c r="I581" s="364">
        <f t="shared" si="25"/>
        <v>0</v>
      </c>
      <c r="J581" s="365">
        <f t="shared" ref="J581:J644" si="27">+C581</f>
        <v>0</v>
      </c>
      <c r="K581" s="366">
        <f t="shared" si="26"/>
        <v>6</v>
      </c>
      <c r="L581" s="366">
        <f>+IF((C581&gt;='Resultats - informe'!$E$16)*(C581&lt;='Resultats - informe'!$G$16),1,0)</f>
        <v>1</v>
      </c>
      <c r="M581" s="366" cm="1">
        <f t="array" ref="M581">+_xlfn.IFS((C581&gt;='Resultats - informe'!$D$26)*(C581&lt;='Resultats - informe'!$E$26),0,(C581&gt;='Resultats - informe'!$D$27)*(C581&lt;='Resultats - informe'!$E$27),0,(C581&gt;='Resultats - informe'!$D$28)*(C581&lt;='Resultats - informe'!$E$28),0,(C581&gt;='Resultats - informe'!$D$29)*(C581&lt;='Resultats - informe'!$E$29),0,1,1)</f>
        <v>0</v>
      </c>
      <c r="N581" s="366">
        <f>+VLOOKUP(D581,'Resultats - informe'!$Y$18:$AG$42,'Introducció dades consum'!K581+1,0)</f>
        <v>0</v>
      </c>
      <c r="O581" s="367" cm="1">
        <f t="array" ref="O581">+_xlfn.SWITCH(MONTH(C581),1,1,2,1,3,1,4,2,5,2,6,3,7,3,8,3,9,3,10,2,11,2,12,1,2)</f>
        <v>1</v>
      </c>
      <c r="P581" s="43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</row>
    <row r="582" spans="1:73" ht="18" x14ac:dyDescent="0.35">
      <c r="A582" s="43"/>
      <c r="C582" s="393"/>
      <c r="E582" s="394"/>
      <c r="F582" s="394"/>
      <c r="G582" s="394"/>
      <c r="H582" s="8" t="s">
        <v>61</v>
      </c>
      <c r="I582" s="364">
        <f t="shared" ref="I582:I645" si="28">+E582+G582</f>
        <v>0</v>
      </c>
      <c r="J582" s="365">
        <f t="shared" si="27"/>
        <v>0</v>
      </c>
      <c r="K582" s="366">
        <f t="shared" ref="K582:K645" si="29">+WEEKDAY(C582,2)</f>
        <v>6</v>
      </c>
      <c r="L582" s="366">
        <f>+IF((C582&gt;='Resultats - informe'!$E$16)*(C582&lt;='Resultats - informe'!$G$16),1,0)</f>
        <v>1</v>
      </c>
      <c r="M582" s="366" cm="1">
        <f t="array" ref="M582">+_xlfn.IFS((C582&gt;='Resultats - informe'!$D$26)*(C582&lt;='Resultats - informe'!$E$26),0,(C582&gt;='Resultats - informe'!$D$27)*(C582&lt;='Resultats - informe'!$E$27),0,(C582&gt;='Resultats - informe'!$D$28)*(C582&lt;='Resultats - informe'!$E$28),0,(C582&gt;='Resultats - informe'!$D$29)*(C582&lt;='Resultats - informe'!$E$29),0,1,1)</f>
        <v>0</v>
      </c>
      <c r="N582" s="366">
        <f>+VLOOKUP(D582,'Resultats - informe'!$Y$18:$AG$42,'Introducció dades consum'!K582+1,0)</f>
        <v>0</v>
      </c>
      <c r="O582" s="367" cm="1">
        <f t="array" ref="O582">+_xlfn.SWITCH(MONTH(C582),1,1,2,1,3,1,4,2,5,2,6,3,7,3,8,3,9,3,10,2,11,2,12,1,2)</f>
        <v>1</v>
      </c>
      <c r="P582" s="43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</row>
    <row r="583" spans="1:73" ht="18" x14ac:dyDescent="0.35">
      <c r="A583" s="43"/>
      <c r="C583" s="393"/>
      <c r="E583" s="394"/>
      <c r="F583" s="394"/>
      <c r="G583" s="394"/>
      <c r="H583" s="8" t="s">
        <v>61</v>
      </c>
      <c r="I583" s="364">
        <f t="shared" si="28"/>
        <v>0</v>
      </c>
      <c r="J583" s="365">
        <f t="shared" si="27"/>
        <v>0</v>
      </c>
      <c r="K583" s="366">
        <f t="shared" si="29"/>
        <v>6</v>
      </c>
      <c r="L583" s="366">
        <f>+IF((C583&gt;='Resultats - informe'!$E$16)*(C583&lt;='Resultats - informe'!$G$16),1,0)</f>
        <v>1</v>
      </c>
      <c r="M583" s="366" cm="1">
        <f t="array" ref="M583">+_xlfn.IFS((C583&gt;='Resultats - informe'!$D$26)*(C583&lt;='Resultats - informe'!$E$26),0,(C583&gt;='Resultats - informe'!$D$27)*(C583&lt;='Resultats - informe'!$E$27),0,(C583&gt;='Resultats - informe'!$D$28)*(C583&lt;='Resultats - informe'!$E$28),0,(C583&gt;='Resultats - informe'!$D$29)*(C583&lt;='Resultats - informe'!$E$29),0,1,1)</f>
        <v>0</v>
      </c>
      <c r="N583" s="366">
        <f>+VLOOKUP(D583,'Resultats - informe'!$Y$18:$AG$42,'Introducció dades consum'!K583+1,0)</f>
        <v>0</v>
      </c>
      <c r="O583" s="367" cm="1">
        <f t="array" ref="O583">+_xlfn.SWITCH(MONTH(C583),1,1,2,1,3,1,4,2,5,2,6,3,7,3,8,3,9,3,10,2,11,2,12,1,2)</f>
        <v>1</v>
      </c>
      <c r="P583" s="43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</row>
    <row r="584" spans="1:73" ht="18" x14ac:dyDescent="0.35">
      <c r="A584" s="43"/>
      <c r="C584" s="393"/>
      <c r="E584" s="394"/>
      <c r="F584" s="394"/>
      <c r="G584" s="394"/>
      <c r="H584" s="8" t="s">
        <v>61</v>
      </c>
      <c r="I584" s="364">
        <f t="shared" si="28"/>
        <v>0</v>
      </c>
      <c r="J584" s="365">
        <f t="shared" si="27"/>
        <v>0</v>
      </c>
      <c r="K584" s="366">
        <f t="shared" si="29"/>
        <v>6</v>
      </c>
      <c r="L584" s="366">
        <f>+IF((C584&gt;='Resultats - informe'!$E$16)*(C584&lt;='Resultats - informe'!$G$16),1,0)</f>
        <v>1</v>
      </c>
      <c r="M584" s="366" cm="1">
        <f t="array" ref="M584">+_xlfn.IFS((C584&gt;='Resultats - informe'!$D$26)*(C584&lt;='Resultats - informe'!$E$26),0,(C584&gt;='Resultats - informe'!$D$27)*(C584&lt;='Resultats - informe'!$E$27),0,(C584&gt;='Resultats - informe'!$D$28)*(C584&lt;='Resultats - informe'!$E$28),0,(C584&gt;='Resultats - informe'!$D$29)*(C584&lt;='Resultats - informe'!$E$29),0,1,1)</f>
        <v>0</v>
      </c>
      <c r="N584" s="366">
        <f>+VLOOKUP(D584,'Resultats - informe'!$Y$18:$AG$42,'Introducció dades consum'!K584+1,0)</f>
        <v>0</v>
      </c>
      <c r="O584" s="367" cm="1">
        <f t="array" ref="O584">+_xlfn.SWITCH(MONTH(C584),1,1,2,1,3,1,4,2,5,2,6,3,7,3,8,3,9,3,10,2,11,2,12,1,2)</f>
        <v>1</v>
      </c>
      <c r="P584" s="43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10"/>
    </row>
    <row r="585" spans="1:73" ht="18" x14ac:dyDescent="0.35">
      <c r="A585" s="43"/>
      <c r="C585" s="393"/>
      <c r="E585" s="394"/>
      <c r="F585" s="394"/>
      <c r="G585" s="394"/>
      <c r="H585" s="8" t="s">
        <v>61</v>
      </c>
      <c r="I585" s="364">
        <f t="shared" si="28"/>
        <v>0</v>
      </c>
      <c r="J585" s="365">
        <f t="shared" si="27"/>
        <v>0</v>
      </c>
      <c r="K585" s="366">
        <f t="shared" si="29"/>
        <v>6</v>
      </c>
      <c r="L585" s="366">
        <f>+IF((C585&gt;='Resultats - informe'!$E$16)*(C585&lt;='Resultats - informe'!$G$16),1,0)</f>
        <v>1</v>
      </c>
      <c r="M585" s="366" cm="1">
        <f t="array" ref="M585">+_xlfn.IFS((C585&gt;='Resultats - informe'!$D$26)*(C585&lt;='Resultats - informe'!$E$26),0,(C585&gt;='Resultats - informe'!$D$27)*(C585&lt;='Resultats - informe'!$E$27),0,(C585&gt;='Resultats - informe'!$D$28)*(C585&lt;='Resultats - informe'!$E$28),0,(C585&gt;='Resultats - informe'!$D$29)*(C585&lt;='Resultats - informe'!$E$29),0,1,1)</f>
        <v>0</v>
      </c>
      <c r="N585" s="366">
        <f>+VLOOKUP(D585,'Resultats - informe'!$Y$18:$AG$42,'Introducció dades consum'!K585+1,0)</f>
        <v>0</v>
      </c>
      <c r="O585" s="367" cm="1">
        <f t="array" ref="O585">+_xlfn.SWITCH(MONTH(C585),1,1,2,1,3,1,4,2,5,2,6,3,7,3,8,3,9,3,10,2,11,2,12,1,2)</f>
        <v>1</v>
      </c>
      <c r="P585" s="43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  <c r="BU585" s="10"/>
    </row>
    <row r="586" spans="1:73" ht="18" x14ac:dyDescent="0.35">
      <c r="A586" s="43"/>
      <c r="C586" s="393"/>
      <c r="E586" s="394"/>
      <c r="F586" s="394"/>
      <c r="G586" s="394"/>
      <c r="H586" s="8" t="s">
        <v>61</v>
      </c>
      <c r="I586" s="364">
        <f t="shared" si="28"/>
        <v>0</v>
      </c>
      <c r="J586" s="365">
        <f t="shared" si="27"/>
        <v>0</v>
      </c>
      <c r="K586" s="366">
        <f t="shared" si="29"/>
        <v>6</v>
      </c>
      <c r="L586" s="366">
        <f>+IF((C586&gt;='Resultats - informe'!$E$16)*(C586&lt;='Resultats - informe'!$G$16),1,0)</f>
        <v>1</v>
      </c>
      <c r="M586" s="366" cm="1">
        <f t="array" ref="M586">+_xlfn.IFS((C586&gt;='Resultats - informe'!$D$26)*(C586&lt;='Resultats - informe'!$E$26),0,(C586&gt;='Resultats - informe'!$D$27)*(C586&lt;='Resultats - informe'!$E$27),0,(C586&gt;='Resultats - informe'!$D$28)*(C586&lt;='Resultats - informe'!$E$28),0,(C586&gt;='Resultats - informe'!$D$29)*(C586&lt;='Resultats - informe'!$E$29),0,1,1)</f>
        <v>0</v>
      </c>
      <c r="N586" s="366">
        <f>+VLOOKUP(D586,'Resultats - informe'!$Y$18:$AG$42,'Introducció dades consum'!K586+1,0)</f>
        <v>0</v>
      </c>
      <c r="O586" s="367" cm="1">
        <f t="array" ref="O586">+_xlfn.SWITCH(MONTH(C586),1,1,2,1,3,1,4,2,5,2,6,3,7,3,8,3,9,3,10,2,11,2,12,1,2)</f>
        <v>1</v>
      </c>
      <c r="P586" s="43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  <c r="BU586" s="10"/>
    </row>
    <row r="587" spans="1:73" ht="18" x14ac:dyDescent="0.35">
      <c r="A587" s="43"/>
      <c r="C587" s="393"/>
      <c r="E587" s="394"/>
      <c r="F587" s="394"/>
      <c r="G587" s="394"/>
      <c r="H587" s="8" t="s">
        <v>61</v>
      </c>
      <c r="I587" s="364">
        <f t="shared" si="28"/>
        <v>0</v>
      </c>
      <c r="J587" s="365">
        <f t="shared" si="27"/>
        <v>0</v>
      </c>
      <c r="K587" s="366">
        <f t="shared" si="29"/>
        <v>6</v>
      </c>
      <c r="L587" s="366">
        <f>+IF((C587&gt;='Resultats - informe'!$E$16)*(C587&lt;='Resultats - informe'!$G$16),1,0)</f>
        <v>1</v>
      </c>
      <c r="M587" s="366" cm="1">
        <f t="array" ref="M587">+_xlfn.IFS((C587&gt;='Resultats - informe'!$D$26)*(C587&lt;='Resultats - informe'!$E$26),0,(C587&gt;='Resultats - informe'!$D$27)*(C587&lt;='Resultats - informe'!$E$27),0,(C587&gt;='Resultats - informe'!$D$28)*(C587&lt;='Resultats - informe'!$E$28),0,(C587&gt;='Resultats - informe'!$D$29)*(C587&lt;='Resultats - informe'!$E$29),0,1,1)</f>
        <v>0</v>
      </c>
      <c r="N587" s="366">
        <f>+VLOOKUP(D587,'Resultats - informe'!$Y$18:$AG$42,'Introducció dades consum'!K587+1,0)</f>
        <v>0</v>
      </c>
      <c r="O587" s="367" cm="1">
        <f t="array" ref="O587">+_xlfn.SWITCH(MONTH(C587),1,1,2,1,3,1,4,2,5,2,6,3,7,3,8,3,9,3,10,2,11,2,12,1,2)</f>
        <v>1</v>
      </c>
      <c r="P587" s="43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  <c r="BU587" s="10"/>
    </row>
    <row r="588" spans="1:73" ht="18" x14ac:dyDescent="0.35">
      <c r="A588" s="43"/>
      <c r="C588" s="393"/>
      <c r="E588" s="394"/>
      <c r="F588" s="394"/>
      <c r="G588" s="394"/>
      <c r="H588" s="8" t="s">
        <v>61</v>
      </c>
      <c r="I588" s="364">
        <f t="shared" si="28"/>
        <v>0</v>
      </c>
      <c r="J588" s="365">
        <f t="shared" si="27"/>
        <v>0</v>
      </c>
      <c r="K588" s="366">
        <f t="shared" si="29"/>
        <v>6</v>
      </c>
      <c r="L588" s="366">
        <f>+IF((C588&gt;='Resultats - informe'!$E$16)*(C588&lt;='Resultats - informe'!$G$16),1,0)</f>
        <v>1</v>
      </c>
      <c r="M588" s="366" cm="1">
        <f t="array" ref="M588">+_xlfn.IFS((C588&gt;='Resultats - informe'!$D$26)*(C588&lt;='Resultats - informe'!$E$26),0,(C588&gt;='Resultats - informe'!$D$27)*(C588&lt;='Resultats - informe'!$E$27),0,(C588&gt;='Resultats - informe'!$D$28)*(C588&lt;='Resultats - informe'!$E$28),0,(C588&gt;='Resultats - informe'!$D$29)*(C588&lt;='Resultats - informe'!$E$29),0,1,1)</f>
        <v>0</v>
      </c>
      <c r="N588" s="366">
        <f>+VLOOKUP(D588,'Resultats - informe'!$Y$18:$AG$42,'Introducció dades consum'!K588+1,0)</f>
        <v>0</v>
      </c>
      <c r="O588" s="367" cm="1">
        <f t="array" ref="O588">+_xlfn.SWITCH(MONTH(C588),1,1,2,1,3,1,4,2,5,2,6,3,7,3,8,3,9,3,10,2,11,2,12,1,2)</f>
        <v>1</v>
      </c>
      <c r="P588" s="43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  <c r="BU588" s="10"/>
    </row>
    <row r="589" spans="1:73" ht="18" x14ac:dyDescent="0.35">
      <c r="A589" s="43"/>
      <c r="C589" s="393"/>
      <c r="E589" s="394"/>
      <c r="F589" s="394"/>
      <c r="G589" s="394"/>
      <c r="H589" s="8" t="s">
        <v>61</v>
      </c>
      <c r="I589" s="364">
        <f t="shared" si="28"/>
        <v>0</v>
      </c>
      <c r="J589" s="365">
        <f t="shared" si="27"/>
        <v>0</v>
      </c>
      <c r="K589" s="366">
        <f t="shared" si="29"/>
        <v>6</v>
      </c>
      <c r="L589" s="366">
        <f>+IF((C589&gt;='Resultats - informe'!$E$16)*(C589&lt;='Resultats - informe'!$G$16),1,0)</f>
        <v>1</v>
      </c>
      <c r="M589" s="366" cm="1">
        <f t="array" ref="M589">+_xlfn.IFS((C589&gt;='Resultats - informe'!$D$26)*(C589&lt;='Resultats - informe'!$E$26),0,(C589&gt;='Resultats - informe'!$D$27)*(C589&lt;='Resultats - informe'!$E$27),0,(C589&gt;='Resultats - informe'!$D$28)*(C589&lt;='Resultats - informe'!$E$28),0,(C589&gt;='Resultats - informe'!$D$29)*(C589&lt;='Resultats - informe'!$E$29),0,1,1)</f>
        <v>0</v>
      </c>
      <c r="N589" s="366">
        <f>+VLOOKUP(D589,'Resultats - informe'!$Y$18:$AG$42,'Introducció dades consum'!K589+1,0)</f>
        <v>0</v>
      </c>
      <c r="O589" s="367" cm="1">
        <f t="array" ref="O589">+_xlfn.SWITCH(MONTH(C589),1,1,2,1,3,1,4,2,5,2,6,3,7,3,8,3,9,3,10,2,11,2,12,1,2)</f>
        <v>1</v>
      </c>
      <c r="P589" s="43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  <c r="BT589" s="10"/>
      <c r="BU589" s="10"/>
    </row>
    <row r="590" spans="1:73" ht="18" x14ac:dyDescent="0.35">
      <c r="A590" s="43"/>
      <c r="C590" s="393"/>
      <c r="E590" s="394"/>
      <c r="F590" s="394"/>
      <c r="G590" s="394"/>
      <c r="H590" s="8" t="s">
        <v>61</v>
      </c>
      <c r="I590" s="364">
        <f t="shared" si="28"/>
        <v>0</v>
      </c>
      <c r="J590" s="365">
        <f t="shared" si="27"/>
        <v>0</v>
      </c>
      <c r="K590" s="366">
        <f t="shared" si="29"/>
        <v>6</v>
      </c>
      <c r="L590" s="366">
        <f>+IF((C590&gt;='Resultats - informe'!$E$16)*(C590&lt;='Resultats - informe'!$G$16),1,0)</f>
        <v>1</v>
      </c>
      <c r="M590" s="366" cm="1">
        <f t="array" ref="M590">+_xlfn.IFS((C590&gt;='Resultats - informe'!$D$26)*(C590&lt;='Resultats - informe'!$E$26),0,(C590&gt;='Resultats - informe'!$D$27)*(C590&lt;='Resultats - informe'!$E$27),0,(C590&gt;='Resultats - informe'!$D$28)*(C590&lt;='Resultats - informe'!$E$28),0,(C590&gt;='Resultats - informe'!$D$29)*(C590&lt;='Resultats - informe'!$E$29),0,1,1)</f>
        <v>0</v>
      </c>
      <c r="N590" s="366">
        <f>+VLOOKUP(D590,'Resultats - informe'!$Y$18:$AG$42,'Introducció dades consum'!K590+1,0)</f>
        <v>0</v>
      </c>
      <c r="O590" s="367" cm="1">
        <f t="array" ref="O590">+_xlfn.SWITCH(MONTH(C590),1,1,2,1,3,1,4,2,5,2,6,3,7,3,8,3,9,3,10,2,11,2,12,1,2)</f>
        <v>1</v>
      </c>
      <c r="P590" s="43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  <c r="BT590" s="10"/>
      <c r="BU590" s="10"/>
    </row>
    <row r="591" spans="1:73" ht="18" x14ac:dyDescent="0.35">
      <c r="A591" s="43"/>
      <c r="C591" s="393"/>
      <c r="E591" s="394"/>
      <c r="F591" s="394"/>
      <c r="G591" s="394"/>
      <c r="H591" s="8" t="s">
        <v>61</v>
      </c>
      <c r="I591" s="364">
        <f t="shared" si="28"/>
        <v>0</v>
      </c>
      <c r="J591" s="365">
        <f t="shared" si="27"/>
        <v>0</v>
      </c>
      <c r="K591" s="366">
        <f t="shared" si="29"/>
        <v>6</v>
      </c>
      <c r="L591" s="366">
        <f>+IF((C591&gt;='Resultats - informe'!$E$16)*(C591&lt;='Resultats - informe'!$G$16),1,0)</f>
        <v>1</v>
      </c>
      <c r="M591" s="366" cm="1">
        <f t="array" ref="M591">+_xlfn.IFS((C591&gt;='Resultats - informe'!$D$26)*(C591&lt;='Resultats - informe'!$E$26),0,(C591&gt;='Resultats - informe'!$D$27)*(C591&lt;='Resultats - informe'!$E$27),0,(C591&gt;='Resultats - informe'!$D$28)*(C591&lt;='Resultats - informe'!$E$28),0,(C591&gt;='Resultats - informe'!$D$29)*(C591&lt;='Resultats - informe'!$E$29),0,1,1)</f>
        <v>0</v>
      </c>
      <c r="N591" s="366">
        <f>+VLOOKUP(D591,'Resultats - informe'!$Y$18:$AG$42,'Introducció dades consum'!K591+1,0)</f>
        <v>0</v>
      </c>
      <c r="O591" s="367" cm="1">
        <f t="array" ref="O591">+_xlfn.SWITCH(MONTH(C591),1,1,2,1,3,1,4,2,5,2,6,3,7,3,8,3,9,3,10,2,11,2,12,1,2)</f>
        <v>1</v>
      </c>
      <c r="P591" s="43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  <c r="BT591" s="10"/>
      <c r="BU591" s="10"/>
    </row>
    <row r="592" spans="1:73" ht="18" x14ac:dyDescent="0.35">
      <c r="A592" s="43"/>
      <c r="C592" s="393"/>
      <c r="E592" s="394"/>
      <c r="F592" s="394"/>
      <c r="G592" s="394"/>
      <c r="H592" s="8" t="s">
        <v>61</v>
      </c>
      <c r="I592" s="364">
        <f t="shared" si="28"/>
        <v>0</v>
      </c>
      <c r="J592" s="365">
        <f t="shared" si="27"/>
        <v>0</v>
      </c>
      <c r="K592" s="366">
        <f t="shared" si="29"/>
        <v>6</v>
      </c>
      <c r="L592" s="366">
        <f>+IF((C592&gt;='Resultats - informe'!$E$16)*(C592&lt;='Resultats - informe'!$G$16),1,0)</f>
        <v>1</v>
      </c>
      <c r="M592" s="366" cm="1">
        <f t="array" ref="M592">+_xlfn.IFS((C592&gt;='Resultats - informe'!$D$26)*(C592&lt;='Resultats - informe'!$E$26),0,(C592&gt;='Resultats - informe'!$D$27)*(C592&lt;='Resultats - informe'!$E$27),0,(C592&gt;='Resultats - informe'!$D$28)*(C592&lt;='Resultats - informe'!$E$28),0,(C592&gt;='Resultats - informe'!$D$29)*(C592&lt;='Resultats - informe'!$E$29),0,1,1)</f>
        <v>0</v>
      </c>
      <c r="N592" s="366">
        <f>+VLOOKUP(D592,'Resultats - informe'!$Y$18:$AG$42,'Introducció dades consum'!K592+1,0)</f>
        <v>0</v>
      </c>
      <c r="O592" s="367" cm="1">
        <f t="array" ref="O592">+_xlfn.SWITCH(MONTH(C592),1,1,2,1,3,1,4,2,5,2,6,3,7,3,8,3,9,3,10,2,11,2,12,1,2)</f>
        <v>1</v>
      </c>
      <c r="P592" s="43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  <c r="BT592" s="10"/>
      <c r="BU592" s="10"/>
    </row>
    <row r="593" spans="1:73" ht="18" x14ac:dyDescent="0.35">
      <c r="A593" s="43"/>
      <c r="C593" s="393"/>
      <c r="E593" s="394"/>
      <c r="F593" s="394"/>
      <c r="G593" s="394"/>
      <c r="H593" s="8" t="s">
        <v>61</v>
      </c>
      <c r="I593" s="364">
        <f t="shared" si="28"/>
        <v>0</v>
      </c>
      <c r="J593" s="365">
        <f t="shared" si="27"/>
        <v>0</v>
      </c>
      <c r="K593" s="366">
        <f t="shared" si="29"/>
        <v>6</v>
      </c>
      <c r="L593" s="366">
        <f>+IF((C593&gt;='Resultats - informe'!$E$16)*(C593&lt;='Resultats - informe'!$G$16),1,0)</f>
        <v>1</v>
      </c>
      <c r="M593" s="366" cm="1">
        <f t="array" ref="M593">+_xlfn.IFS((C593&gt;='Resultats - informe'!$D$26)*(C593&lt;='Resultats - informe'!$E$26),0,(C593&gt;='Resultats - informe'!$D$27)*(C593&lt;='Resultats - informe'!$E$27),0,(C593&gt;='Resultats - informe'!$D$28)*(C593&lt;='Resultats - informe'!$E$28),0,(C593&gt;='Resultats - informe'!$D$29)*(C593&lt;='Resultats - informe'!$E$29),0,1,1)</f>
        <v>0</v>
      </c>
      <c r="N593" s="366">
        <f>+VLOOKUP(D593,'Resultats - informe'!$Y$18:$AG$42,'Introducció dades consum'!K593+1,0)</f>
        <v>0</v>
      </c>
      <c r="O593" s="367" cm="1">
        <f t="array" ref="O593">+_xlfn.SWITCH(MONTH(C593),1,1,2,1,3,1,4,2,5,2,6,3,7,3,8,3,9,3,10,2,11,2,12,1,2)</f>
        <v>1</v>
      </c>
      <c r="P593" s="43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  <c r="BT593" s="10"/>
      <c r="BU593" s="10"/>
    </row>
    <row r="594" spans="1:73" ht="18" x14ac:dyDescent="0.35">
      <c r="A594" s="43"/>
      <c r="C594" s="393"/>
      <c r="E594" s="394"/>
      <c r="F594" s="394"/>
      <c r="G594" s="394"/>
      <c r="H594" s="8" t="s">
        <v>61</v>
      </c>
      <c r="I594" s="364">
        <f t="shared" si="28"/>
        <v>0</v>
      </c>
      <c r="J594" s="365">
        <f t="shared" si="27"/>
        <v>0</v>
      </c>
      <c r="K594" s="366">
        <f t="shared" si="29"/>
        <v>6</v>
      </c>
      <c r="L594" s="366">
        <f>+IF((C594&gt;='Resultats - informe'!$E$16)*(C594&lt;='Resultats - informe'!$G$16),1,0)</f>
        <v>1</v>
      </c>
      <c r="M594" s="366" cm="1">
        <f t="array" ref="M594">+_xlfn.IFS((C594&gt;='Resultats - informe'!$D$26)*(C594&lt;='Resultats - informe'!$E$26),0,(C594&gt;='Resultats - informe'!$D$27)*(C594&lt;='Resultats - informe'!$E$27),0,(C594&gt;='Resultats - informe'!$D$28)*(C594&lt;='Resultats - informe'!$E$28),0,(C594&gt;='Resultats - informe'!$D$29)*(C594&lt;='Resultats - informe'!$E$29),0,1,1)</f>
        <v>0</v>
      </c>
      <c r="N594" s="366">
        <f>+VLOOKUP(D594,'Resultats - informe'!$Y$18:$AG$42,'Introducció dades consum'!K594+1,0)</f>
        <v>0</v>
      </c>
      <c r="O594" s="367" cm="1">
        <f t="array" ref="O594">+_xlfn.SWITCH(MONTH(C594),1,1,2,1,3,1,4,2,5,2,6,3,7,3,8,3,9,3,10,2,11,2,12,1,2)</f>
        <v>1</v>
      </c>
      <c r="P594" s="43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  <c r="BT594" s="10"/>
      <c r="BU594" s="10"/>
    </row>
    <row r="595" spans="1:73" ht="18" x14ac:dyDescent="0.35">
      <c r="A595" s="43"/>
      <c r="C595" s="393"/>
      <c r="E595" s="394"/>
      <c r="F595" s="394"/>
      <c r="G595" s="394"/>
      <c r="H595" s="8" t="s">
        <v>61</v>
      </c>
      <c r="I595" s="364">
        <f t="shared" si="28"/>
        <v>0</v>
      </c>
      <c r="J595" s="365">
        <f t="shared" si="27"/>
        <v>0</v>
      </c>
      <c r="K595" s="366">
        <f t="shared" si="29"/>
        <v>6</v>
      </c>
      <c r="L595" s="366">
        <f>+IF((C595&gt;='Resultats - informe'!$E$16)*(C595&lt;='Resultats - informe'!$G$16),1,0)</f>
        <v>1</v>
      </c>
      <c r="M595" s="366" cm="1">
        <f t="array" ref="M595">+_xlfn.IFS((C595&gt;='Resultats - informe'!$D$26)*(C595&lt;='Resultats - informe'!$E$26),0,(C595&gt;='Resultats - informe'!$D$27)*(C595&lt;='Resultats - informe'!$E$27),0,(C595&gt;='Resultats - informe'!$D$28)*(C595&lt;='Resultats - informe'!$E$28),0,(C595&gt;='Resultats - informe'!$D$29)*(C595&lt;='Resultats - informe'!$E$29),0,1,1)</f>
        <v>0</v>
      </c>
      <c r="N595" s="366">
        <f>+VLOOKUP(D595,'Resultats - informe'!$Y$18:$AG$42,'Introducció dades consum'!K595+1,0)</f>
        <v>0</v>
      </c>
      <c r="O595" s="367" cm="1">
        <f t="array" ref="O595">+_xlfn.SWITCH(MONTH(C595),1,1,2,1,3,1,4,2,5,2,6,3,7,3,8,3,9,3,10,2,11,2,12,1,2)</f>
        <v>1</v>
      </c>
      <c r="P595" s="43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  <c r="BT595" s="10"/>
      <c r="BU595" s="10"/>
    </row>
    <row r="596" spans="1:73" ht="18" x14ac:dyDescent="0.35">
      <c r="A596" s="43"/>
      <c r="C596" s="393"/>
      <c r="E596" s="394"/>
      <c r="F596" s="394"/>
      <c r="G596" s="394"/>
      <c r="H596" s="8" t="s">
        <v>61</v>
      </c>
      <c r="I596" s="364">
        <f t="shared" si="28"/>
        <v>0</v>
      </c>
      <c r="J596" s="365">
        <f t="shared" si="27"/>
        <v>0</v>
      </c>
      <c r="K596" s="366">
        <f t="shared" si="29"/>
        <v>6</v>
      </c>
      <c r="L596" s="366">
        <f>+IF((C596&gt;='Resultats - informe'!$E$16)*(C596&lt;='Resultats - informe'!$G$16),1,0)</f>
        <v>1</v>
      </c>
      <c r="M596" s="366" cm="1">
        <f t="array" ref="M596">+_xlfn.IFS((C596&gt;='Resultats - informe'!$D$26)*(C596&lt;='Resultats - informe'!$E$26),0,(C596&gt;='Resultats - informe'!$D$27)*(C596&lt;='Resultats - informe'!$E$27),0,(C596&gt;='Resultats - informe'!$D$28)*(C596&lt;='Resultats - informe'!$E$28),0,(C596&gt;='Resultats - informe'!$D$29)*(C596&lt;='Resultats - informe'!$E$29),0,1,1)</f>
        <v>0</v>
      </c>
      <c r="N596" s="366">
        <f>+VLOOKUP(D596,'Resultats - informe'!$Y$18:$AG$42,'Introducció dades consum'!K596+1,0)</f>
        <v>0</v>
      </c>
      <c r="O596" s="367" cm="1">
        <f t="array" ref="O596">+_xlfn.SWITCH(MONTH(C596),1,1,2,1,3,1,4,2,5,2,6,3,7,3,8,3,9,3,10,2,11,2,12,1,2)</f>
        <v>1</v>
      </c>
      <c r="P596" s="43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  <c r="BT596" s="10"/>
      <c r="BU596" s="10"/>
    </row>
    <row r="597" spans="1:73" ht="18" x14ac:dyDescent="0.35">
      <c r="A597" s="43"/>
      <c r="C597" s="393"/>
      <c r="E597" s="394"/>
      <c r="F597" s="394"/>
      <c r="G597" s="394"/>
      <c r="H597" s="8" t="s">
        <v>61</v>
      </c>
      <c r="I597" s="364">
        <f t="shared" si="28"/>
        <v>0</v>
      </c>
      <c r="J597" s="365">
        <f t="shared" si="27"/>
        <v>0</v>
      </c>
      <c r="K597" s="366">
        <f t="shared" si="29"/>
        <v>6</v>
      </c>
      <c r="L597" s="366">
        <f>+IF((C597&gt;='Resultats - informe'!$E$16)*(C597&lt;='Resultats - informe'!$G$16),1,0)</f>
        <v>1</v>
      </c>
      <c r="M597" s="366" cm="1">
        <f t="array" ref="M597">+_xlfn.IFS((C597&gt;='Resultats - informe'!$D$26)*(C597&lt;='Resultats - informe'!$E$26),0,(C597&gt;='Resultats - informe'!$D$27)*(C597&lt;='Resultats - informe'!$E$27),0,(C597&gt;='Resultats - informe'!$D$28)*(C597&lt;='Resultats - informe'!$E$28),0,(C597&gt;='Resultats - informe'!$D$29)*(C597&lt;='Resultats - informe'!$E$29),0,1,1)</f>
        <v>0</v>
      </c>
      <c r="N597" s="366">
        <f>+VLOOKUP(D597,'Resultats - informe'!$Y$18:$AG$42,'Introducció dades consum'!K597+1,0)</f>
        <v>0</v>
      </c>
      <c r="O597" s="367" cm="1">
        <f t="array" ref="O597">+_xlfn.SWITCH(MONTH(C597),1,1,2,1,3,1,4,2,5,2,6,3,7,3,8,3,9,3,10,2,11,2,12,1,2)</f>
        <v>1</v>
      </c>
      <c r="P597" s="43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  <c r="BT597" s="10"/>
      <c r="BU597" s="10"/>
    </row>
    <row r="598" spans="1:73" ht="18" x14ac:dyDescent="0.35">
      <c r="A598" s="43"/>
      <c r="C598" s="393"/>
      <c r="E598" s="394"/>
      <c r="F598" s="394"/>
      <c r="G598" s="394"/>
      <c r="H598" s="8" t="s">
        <v>61</v>
      </c>
      <c r="I598" s="364">
        <f t="shared" si="28"/>
        <v>0</v>
      </c>
      <c r="J598" s="365">
        <f t="shared" si="27"/>
        <v>0</v>
      </c>
      <c r="K598" s="366">
        <f t="shared" si="29"/>
        <v>6</v>
      </c>
      <c r="L598" s="366">
        <f>+IF((C598&gt;='Resultats - informe'!$E$16)*(C598&lt;='Resultats - informe'!$G$16),1,0)</f>
        <v>1</v>
      </c>
      <c r="M598" s="366" cm="1">
        <f t="array" ref="M598">+_xlfn.IFS((C598&gt;='Resultats - informe'!$D$26)*(C598&lt;='Resultats - informe'!$E$26),0,(C598&gt;='Resultats - informe'!$D$27)*(C598&lt;='Resultats - informe'!$E$27),0,(C598&gt;='Resultats - informe'!$D$28)*(C598&lt;='Resultats - informe'!$E$28),0,(C598&gt;='Resultats - informe'!$D$29)*(C598&lt;='Resultats - informe'!$E$29),0,1,1)</f>
        <v>0</v>
      </c>
      <c r="N598" s="366">
        <f>+VLOOKUP(D598,'Resultats - informe'!$Y$18:$AG$42,'Introducció dades consum'!K598+1,0)</f>
        <v>0</v>
      </c>
      <c r="O598" s="367" cm="1">
        <f t="array" ref="O598">+_xlfn.SWITCH(MONTH(C598),1,1,2,1,3,1,4,2,5,2,6,3,7,3,8,3,9,3,10,2,11,2,12,1,2)</f>
        <v>1</v>
      </c>
      <c r="P598" s="43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  <c r="BT598" s="10"/>
      <c r="BU598" s="10"/>
    </row>
    <row r="599" spans="1:73" ht="18" x14ac:dyDescent="0.35">
      <c r="A599" s="43"/>
      <c r="C599" s="393"/>
      <c r="E599" s="394"/>
      <c r="F599" s="394"/>
      <c r="G599" s="394"/>
      <c r="H599" s="8" t="s">
        <v>61</v>
      </c>
      <c r="I599" s="364">
        <f t="shared" si="28"/>
        <v>0</v>
      </c>
      <c r="J599" s="365">
        <f t="shared" si="27"/>
        <v>0</v>
      </c>
      <c r="K599" s="366">
        <f t="shared" si="29"/>
        <v>6</v>
      </c>
      <c r="L599" s="366">
        <f>+IF((C599&gt;='Resultats - informe'!$E$16)*(C599&lt;='Resultats - informe'!$G$16),1,0)</f>
        <v>1</v>
      </c>
      <c r="M599" s="366" cm="1">
        <f t="array" ref="M599">+_xlfn.IFS((C599&gt;='Resultats - informe'!$D$26)*(C599&lt;='Resultats - informe'!$E$26),0,(C599&gt;='Resultats - informe'!$D$27)*(C599&lt;='Resultats - informe'!$E$27),0,(C599&gt;='Resultats - informe'!$D$28)*(C599&lt;='Resultats - informe'!$E$28),0,(C599&gt;='Resultats - informe'!$D$29)*(C599&lt;='Resultats - informe'!$E$29),0,1,1)</f>
        <v>0</v>
      </c>
      <c r="N599" s="366">
        <f>+VLOOKUP(D599,'Resultats - informe'!$Y$18:$AG$42,'Introducció dades consum'!K599+1,0)</f>
        <v>0</v>
      </c>
      <c r="O599" s="367" cm="1">
        <f t="array" ref="O599">+_xlfn.SWITCH(MONTH(C599),1,1,2,1,3,1,4,2,5,2,6,3,7,3,8,3,9,3,10,2,11,2,12,1,2)</f>
        <v>1</v>
      </c>
      <c r="P599" s="43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  <c r="BT599" s="10"/>
      <c r="BU599" s="10"/>
    </row>
    <row r="600" spans="1:73" ht="18" x14ac:dyDescent="0.35">
      <c r="A600" s="43"/>
      <c r="C600" s="393"/>
      <c r="E600" s="394"/>
      <c r="F600" s="394"/>
      <c r="G600" s="394"/>
      <c r="H600" s="8" t="s">
        <v>61</v>
      </c>
      <c r="I600" s="364">
        <f t="shared" si="28"/>
        <v>0</v>
      </c>
      <c r="J600" s="365">
        <f t="shared" si="27"/>
        <v>0</v>
      </c>
      <c r="K600" s="366">
        <f t="shared" si="29"/>
        <v>6</v>
      </c>
      <c r="L600" s="366">
        <f>+IF((C600&gt;='Resultats - informe'!$E$16)*(C600&lt;='Resultats - informe'!$G$16),1,0)</f>
        <v>1</v>
      </c>
      <c r="M600" s="366" cm="1">
        <f t="array" ref="M600">+_xlfn.IFS((C600&gt;='Resultats - informe'!$D$26)*(C600&lt;='Resultats - informe'!$E$26),0,(C600&gt;='Resultats - informe'!$D$27)*(C600&lt;='Resultats - informe'!$E$27),0,(C600&gt;='Resultats - informe'!$D$28)*(C600&lt;='Resultats - informe'!$E$28),0,(C600&gt;='Resultats - informe'!$D$29)*(C600&lt;='Resultats - informe'!$E$29),0,1,1)</f>
        <v>0</v>
      </c>
      <c r="N600" s="366">
        <f>+VLOOKUP(D600,'Resultats - informe'!$Y$18:$AG$42,'Introducció dades consum'!K600+1,0)</f>
        <v>0</v>
      </c>
      <c r="O600" s="367" cm="1">
        <f t="array" ref="O600">+_xlfn.SWITCH(MONTH(C600),1,1,2,1,3,1,4,2,5,2,6,3,7,3,8,3,9,3,10,2,11,2,12,1,2)</f>
        <v>1</v>
      </c>
      <c r="P600" s="43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  <c r="BT600" s="10"/>
      <c r="BU600" s="10"/>
    </row>
    <row r="601" spans="1:73" ht="18" x14ac:dyDescent="0.35">
      <c r="A601" s="43"/>
      <c r="C601" s="393"/>
      <c r="E601" s="394"/>
      <c r="F601" s="394"/>
      <c r="G601" s="394"/>
      <c r="H601" s="8" t="s">
        <v>61</v>
      </c>
      <c r="I601" s="364">
        <f t="shared" si="28"/>
        <v>0</v>
      </c>
      <c r="J601" s="365">
        <f t="shared" si="27"/>
        <v>0</v>
      </c>
      <c r="K601" s="366">
        <f t="shared" si="29"/>
        <v>6</v>
      </c>
      <c r="L601" s="366">
        <f>+IF((C601&gt;='Resultats - informe'!$E$16)*(C601&lt;='Resultats - informe'!$G$16),1,0)</f>
        <v>1</v>
      </c>
      <c r="M601" s="366" cm="1">
        <f t="array" ref="M601">+_xlfn.IFS((C601&gt;='Resultats - informe'!$D$26)*(C601&lt;='Resultats - informe'!$E$26),0,(C601&gt;='Resultats - informe'!$D$27)*(C601&lt;='Resultats - informe'!$E$27),0,(C601&gt;='Resultats - informe'!$D$28)*(C601&lt;='Resultats - informe'!$E$28),0,(C601&gt;='Resultats - informe'!$D$29)*(C601&lt;='Resultats - informe'!$E$29),0,1,1)</f>
        <v>0</v>
      </c>
      <c r="N601" s="366">
        <f>+VLOOKUP(D601,'Resultats - informe'!$Y$18:$AG$42,'Introducció dades consum'!K601+1,0)</f>
        <v>0</v>
      </c>
      <c r="O601" s="367" cm="1">
        <f t="array" ref="O601">+_xlfn.SWITCH(MONTH(C601),1,1,2,1,3,1,4,2,5,2,6,3,7,3,8,3,9,3,10,2,11,2,12,1,2)</f>
        <v>1</v>
      </c>
      <c r="P601" s="43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  <c r="BT601" s="10"/>
      <c r="BU601" s="10"/>
    </row>
    <row r="602" spans="1:73" ht="18" x14ac:dyDescent="0.35">
      <c r="A602" s="43"/>
      <c r="C602" s="393"/>
      <c r="E602" s="394"/>
      <c r="F602" s="394"/>
      <c r="G602" s="394"/>
      <c r="H602" s="8" t="s">
        <v>61</v>
      </c>
      <c r="I602" s="364">
        <f t="shared" si="28"/>
        <v>0</v>
      </c>
      <c r="J602" s="365">
        <f t="shared" si="27"/>
        <v>0</v>
      </c>
      <c r="K602" s="366">
        <f t="shared" si="29"/>
        <v>6</v>
      </c>
      <c r="L602" s="366">
        <f>+IF((C602&gt;='Resultats - informe'!$E$16)*(C602&lt;='Resultats - informe'!$G$16),1,0)</f>
        <v>1</v>
      </c>
      <c r="M602" s="366" cm="1">
        <f t="array" ref="M602">+_xlfn.IFS((C602&gt;='Resultats - informe'!$D$26)*(C602&lt;='Resultats - informe'!$E$26),0,(C602&gt;='Resultats - informe'!$D$27)*(C602&lt;='Resultats - informe'!$E$27),0,(C602&gt;='Resultats - informe'!$D$28)*(C602&lt;='Resultats - informe'!$E$28),0,(C602&gt;='Resultats - informe'!$D$29)*(C602&lt;='Resultats - informe'!$E$29),0,1,1)</f>
        <v>0</v>
      </c>
      <c r="N602" s="366">
        <f>+VLOOKUP(D602,'Resultats - informe'!$Y$18:$AG$42,'Introducció dades consum'!K602+1,0)</f>
        <v>0</v>
      </c>
      <c r="O602" s="367" cm="1">
        <f t="array" ref="O602">+_xlfn.SWITCH(MONTH(C602),1,1,2,1,3,1,4,2,5,2,6,3,7,3,8,3,9,3,10,2,11,2,12,1,2)</f>
        <v>1</v>
      </c>
      <c r="P602" s="43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  <c r="BT602" s="10"/>
      <c r="BU602" s="10"/>
    </row>
    <row r="603" spans="1:73" ht="18" x14ac:dyDescent="0.35">
      <c r="A603" s="43"/>
      <c r="C603" s="393"/>
      <c r="E603" s="394"/>
      <c r="F603" s="394"/>
      <c r="G603" s="394"/>
      <c r="H603" s="8" t="s">
        <v>61</v>
      </c>
      <c r="I603" s="364">
        <f t="shared" si="28"/>
        <v>0</v>
      </c>
      <c r="J603" s="365">
        <f t="shared" si="27"/>
        <v>0</v>
      </c>
      <c r="K603" s="366">
        <f t="shared" si="29"/>
        <v>6</v>
      </c>
      <c r="L603" s="366">
        <f>+IF((C603&gt;='Resultats - informe'!$E$16)*(C603&lt;='Resultats - informe'!$G$16),1,0)</f>
        <v>1</v>
      </c>
      <c r="M603" s="366" cm="1">
        <f t="array" ref="M603">+_xlfn.IFS((C603&gt;='Resultats - informe'!$D$26)*(C603&lt;='Resultats - informe'!$E$26),0,(C603&gt;='Resultats - informe'!$D$27)*(C603&lt;='Resultats - informe'!$E$27),0,(C603&gt;='Resultats - informe'!$D$28)*(C603&lt;='Resultats - informe'!$E$28),0,(C603&gt;='Resultats - informe'!$D$29)*(C603&lt;='Resultats - informe'!$E$29),0,1,1)</f>
        <v>0</v>
      </c>
      <c r="N603" s="366">
        <f>+VLOOKUP(D603,'Resultats - informe'!$Y$18:$AG$42,'Introducció dades consum'!K603+1,0)</f>
        <v>0</v>
      </c>
      <c r="O603" s="367" cm="1">
        <f t="array" ref="O603">+_xlfn.SWITCH(MONTH(C603),1,1,2,1,3,1,4,2,5,2,6,3,7,3,8,3,9,3,10,2,11,2,12,1,2)</f>
        <v>1</v>
      </c>
      <c r="P603" s="43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  <c r="BT603" s="10"/>
      <c r="BU603" s="10"/>
    </row>
    <row r="604" spans="1:73" ht="18" x14ac:dyDescent="0.35">
      <c r="A604" s="43"/>
      <c r="C604" s="393"/>
      <c r="E604" s="394"/>
      <c r="F604" s="394"/>
      <c r="G604" s="394"/>
      <c r="H604" s="8" t="s">
        <v>61</v>
      </c>
      <c r="I604" s="364">
        <f t="shared" si="28"/>
        <v>0</v>
      </c>
      <c r="J604" s="365">
        <f t="shared" si="27"/>
        <v>0</v>
      </c>
      <c r="K604" s="366">
        <f t="shared" si="29"/>
        <v>6</v>
      </c>
      <c r="L604" s="366">
        <f>+IF((C604&gt;='Resultats - informe'!$E$16)*(C604&lt;='Resultats - informe'!$G$16),1,0)</f>
        <v>1</v>
      </c>
      <c r="M604" s="366" cm="1">
        <f t="array" ref="M604">+_xlfn.IFS((C604&gt;='Resultats - informe'!$D$26)*(C604&lt;='Resultats - informe'!$E$26),0,(C604&gt;='Resultats - informe'!$D$27)*(C604&lt;='Resultats - informe'!$E$27),0,(C604&gt;='Resultats - informe'!$D$28)*(C604&lt;='Resultats - informe'!$E$28),0,(C604&gt;='Resultats - informe'!$D$29)*(C604&lt;='Resultats - informe'!$E$29),0,1,1)</f>
        <v>0</v>
      </c>
      <c r="N604" s="366">
        <f>+VLOOKUP(D604,'Resultats - informe'!$Y$18:$AG$42,'Introducció dades consum'!K604+1,0)</f>
        <v>0</v>
      </c>
      <c r="O604" s="367" cm="1">
        <f t="array" ref="O604">+_xlfn.SWITCH(MONTH(C604),1,1,2,1,3,1,4,2,5,2,6,3,7,3,8,3,9,3,10,2,11,2,12,1,2)</f>
        <v>1</v>
      </c>
      <c r="P604" s="43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  <c r="BT604" s="10"/>
      <c r="BU604" s="10"/>
    </row>
    <row r="605" spans="1:73" ht="18" x14ac:dyDescent="0.35">
      <c r="A605" s="43"/>
      <c r="C605" s="393"/>
      <c r="E605" s="394"/>
      <c r="F605" s="394"/>
      <c r="G605" s="394"/>
      <c r="H605" s="8" t="s">
        <v>61</v>
      </c>
      <c r="I605" s="364">
        <f t="shared" si="28"/>
        <v>0</v>
      </c>
      <c r="J605" s="365">
        <f t="shared" si="27"/>
        <v>0</v>
      </c>
      <c r="K605" s="366">
        <f t="shared" si="29"/>
        <v>6</v>
      </c>
      <c r="L605" s="366">
        <f>+IF((C605&gt;='Resultats - informe'!$E$16)*(C605&lt;='Resultats - informe'!$G$16),1,0)</f>
        <v>1</v>
      </c>
      <c r="M605" s="366" cm="1">
        <f t="array" ref="M605">+_xlfn.IFS((C605&gt;='Resultats - informe'!$D$26)*(C605&lt;='Resultats - informe'!$E$26),0,(C605&gt;='Resultats - informe'!$D$27)*(C605&lt;='Resultats - informe'!$E$27),0,(C605&gt;='Resultats - informe'!$D$28)*(C605&lt;='Resultats - informe'!$E$28),0,(C605&gt;='Resultats - informe'!$D$29)*(C605&lt;='Resultats - informe'!$E$29),0,1,1)</f>
        <v>0</v>
      </c>
      <c r="N605" s="366">
        <f>+VLOOKUP(D605,'Resultats - informe'!$Y$18:$AG$42,'Introducció dades consum'!K605+1,0)</f>
        <v>0</v>
      </c>
      <c r="O605" s="367" cm="1">
        <f t="array" ref="O605">+_xlfn.SWITCH(MONTH(C605),1,1,2,1,3,1,4,2,5,2,6,3,7,3,8,3,9,3,10,2,11,2,12,1,2)</f>
        <v>1</v>
      </c>
      <c r="P605" s="43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  <c r="BT605" s="10"/>
      <c r="BU605" s="10"/>
    </row>
    <row r="606" spans="1:73" ht="18" x14ac:dyDescent="0.35">
      <c r="A606" s="43"/>
      <c r="C606" s="393"/>
      <c r="E606" s="394"/>
      <c r="F606" s="394"/>
      <c r="G606" s="394"/>
      <c r="H606" s="8" t="s">
        <v>61</v>
      </c>
      <c r="I606" s="364">
        <f t="shared" si="28"/>
        <v>0</v>
      </c>
      <c r="J606" s="365">
        <f t="shared" si="27"/>
        <v>0</v>
      </c>
      <c r="K606" s="366">
        <f t="shared" si="29"/>
        <v>6</v>
      </c>
      <c r="L606" s="366">
        <f>+IF((C606&gt;='Resultats - informe'!$E$16)*(C606&lt;='Resultats - informe'!$G$16),1,0)</f>
        <v>1</v>
      </c>
      <c r="M606" s="366" cm="1">
        <f t="array" ref="M606">+_xlfn.IFS((C606&gt;='Resultats - informe'!$D$26)*(C606&lt;='Resultats - informe'!$E$26),0,(C606&gt;='Resultats - informe'!$D$27)*(C606&lt;='Resultats - informe'!$E$27),0,(C606&gt;='Resultats - informe'!$D$28)*(C606&lt;='Resultats - informe'!$E$28),0,(C606&gt;='Resultats - informe'!$D$29)*(C606&lt;='Resultats - informe'!$E$29),0,1,1)</f>
        <v>0</v>
      </c>
      <c r="N606" s="366">
        <f>+VLOOKUP(D606,'Resultats - informe'!$Y$18:$AG$42,'Introducció dades consum'!K606+1,0)</f>
        <v>0</v>
      </c>
      <c r="O606" s="367" cm="1">
        <f t="array" ref="O606">+_xlfn.SWITCH(MONTH(C606),1,1,2,1,3,1,4,2,5,2,6,3,7,3,8,3,9,3,10,2,11,2,12,1,2)</f>
        <v>1</v>
      </c>
      <c r="P606" s="43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  <c r="BT606" s="10"/>
      <c r="BU606" s="10"/>
    </row>
    <row r="607" spans="1:73" ht="18" x14ac:dyDescent="0.35">
      <c r="A607" s="43"/>
      <c r="C607" s="393"/>
      <c r="E607" s="394"/>
      <c r="F607" s="394"/>
      <c r="G607" s="394"/>
      <c r="H607" s="8" t="s">
        <v>61</v>
      </c>
      <c r="I607" s="364">
        <f t="shared" si="28"/>
        <v>0</v>
      </c>
      <c r="J607" s="365">
        <f t="shared" si="27"/>
        <v>0</v>
      </c>
      <c r="K607" s="366">
        <f t="shared" si="29"/>
        <v>6</v>
      </c>
      <c r="L607" s="366">
        <f>+IF((C607&gt;='Resultats - informe'!$E$16)*(C607&lt;='Resultats - informe'!$G$16),1,0)</f>
        <v>1</v>
      </c>
      <c r="M607" s="366" cm="1">
        <f t="array" ref="M607">+_xlfn.IFS((C607&gt;='Resultats - informe'!$D$26)*(C607&lt;='Resultats - informe'!$E$26),0,(C607&gt;='Resultats - informe'!$D$27)*(C607&lt;='Resultats - informe'!$E$27),0,(C607&gt;='Resultats - informe'!$D$28)*(C607&lt;='Resultats - informe'!$E$28),0,(C607&gt;='Resultats - informe'!$D$29)*(C607&lt;='Resultats - informe'!$E$29),0,1,1)</f>
        <v>0</v>
      </c>
      <c r="N607" s="366">
        <f>+VLOOKUP(D607,'Resultats - informe'!$Y$18:$AG$42,'Introducció dades consum'!K607+1,0)</f>
        <v>0</v>
      </c>
      <c r="O607" s="367" cm="1">
        <f t="array" ref="O607">+_xlfn.SWITCH(MONTH(C607),1,1,2,1,3,1,4,2,5,2,6,3,7,3,8,3,9,3,10,2,11,2,12,1,2)</f>
        <v>1</v>
      </c>
      <c r="P607" s="43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  <c r="BT607" s="10"/>
      <c r="BU607" s="10"/>
    </row>
    <row r="608" spans="1:73" ht="18" x14ac:dyDescent="0.35">
      <c r="A608" s="43"/>
      <c r="C608" s="393"/>
      <c r="E608" s="394"/>
      <c r="F608" s="394"/>
      <c r="G608" s="394"/>
      <c r="H608" s="8" t="s">
        <v>61</v>
      </c>
      <c r="I608" s="364">
        <f t="shared" si="28"/>
        <v>0</v>
      </c>
      <c r="J608" s="365">
        <f t="shared" si="27"/>
        <v>0</v>
      </c>
      <c r="K608" s="366">
        <f t="shared" si="29"/>
        <v>6</v>
      </c>
      <c r="L608" s="366">
        <f>+IF((C608&gt;='Resultats - informe'!$E$16)*(C608&lt;='Resultats - informe'!$G$16),1,0)</f>
        <v>1</v>
      </c>
      <c r="M608" s="366" cm="1">
        <f t="array" ref="M608">+_xlfn.IFS((C608&gt;='Resultats - informe'!$D$26)*(C608&lt;='Resultats - informe'!$E$26),0,(C608&gt;='Resultats - informe'!$D$27)*(C608&lt;='Resultats - informe'!$E$27),0,(C608&gt;='Resultats - informe'!$D$28)*(C608&lt;='Resultats - informe'!$E$28),0,(C608&gt;='Resultats - informe'!$D$29)*(C608&lt;='Resultats - informe'!$E$29),0,1,1)</f>
        <v>0</v>
      </c>
      <c r="N608" s="366">
        <f>+VLOOKUP(D608,'Resultats - informe'!$Y$18:$AG$42,'Introducció dades consum'!K608+1,0)</f>
        <v>0</v>
      </c>
      <c r="O608" s="367" cm="1">
        <f t="array" ref="O608">+_xlfn.SWITCH(MONTH(C608),1,1,2,1,3,1,4,2,5,2,6,3,7,3,8,3,9,3,10,2,11,2,12,1,2)</f>
        <v>1</v>
      </c>
      <c r="P608" s="43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  <c r="BT608" s="10"/>
      <c r="BU608" s="10"/>
    </row>
    <row r="609" spans="1:73" ht="18" x14ac:dyDescent="0.35">
      <c r="A609" s="43"/>
      <c r="C609" s="393"/>
      <c r="E609" s="394"/>
      <c r="F609" s="394"/>
      <c r="G609" s="394"/>
      <c r="H609" s="8" t="s">
        <v>61</v>
      </c>
      <c r="I609" s="364">
        <f t="shared" si="28"/>
        <v>0</v>
      </c>
      <c r="J609" s="365">
        <f t="shared" si="27"/>
        <v>0</v>
      </c>
      <c r="K609" s="366">
        <f t="shared" si="29"/>
        <v>6</v>
      </c>
      <c r="L609" s="366">
        <f>+IF((C609&gt;='Resultats - informe'!$E$16)*(C609&lt;='Resultats - informe'!$G$16),1,0)</f>
        <v>1</v>
      </c>
      <c r="M609" s="366" cm="1">
        <f t="array" ref="M609">+_xlfn.IFS((C609&gt;='Resultats - informe'!$D$26)*(C609&lt;='Resultats - informe'!$E$26),0,(C609&gt;='Resultats - informe'!$D$27)*(C609&lt;='Resultats - informe'!$E$27),0,(C609&gt;='Resultats - informe'!$D$28)*(C609&lt;='Resultats - informe'!$E$28),0,(C609&gt;='Resultats - informe'!$D$29)*(C609&lt;='Resultats - informe'!$E$29),0,1,1)</f>
        <v>0</v>
      </c>
      <c r="N609" s="366">
        <f>+VLOOKUP(D609,'Resultats - informe'!$Y$18:$AG$42,'Introducció dades consum'!K609+1,0)</f>
        <v>0</v>
      </c>
      <c r="O609" s="367" cm="1">
        <f t="array" ref="O609">+_xlfn.SWITCH(MONTH(C609),1,1,2,1,3,1,4,2,5,2,6,3,7,3,8,3,9,3,10,2,11,2,12,1,2)</f>
        <v>1</v>
      </c>
      <c r="P609" s="43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10"/>
    </row>
    <row r="610" spans="1:73" ht="18" x14ac:dyDescent="0.35">
      <c r="A610" s="43"/>
      <c r="C610" s="393"/>
      <c r="E610" s="394"/>
      <c r="F610" s="394"/>
      <c r="G610" s="394"/>
      <c r="H610" s="8" t="s">
        <v>61</v>
      </c>
      <c r="I610" s="364">
        <f t="shared" si="28"/>
        <v>0</v>
      </c>
      <c r="J610" s="365">
        <f t="shared" si="27"/>
        <v>0</v>
      </c>
      <c r="K610" s="366">
        <f t="shared" si="29"/>
        <v>6</v>
      </c>
      <c r="L610" s="366">
        <f>+IF((C610&gt;='Resultats - informe'!$E$16)*(C610&lt;='Resultats - informe'!$G$16),1,0)</f>
        <v>1</v>
      </c>
      <c r="M610" s="366" cm="1">
        <f t="array" ref="M610">+_xlfn.IFS((C610&gt;='Resultats - informe'!$D$26)*(C610&lt;='Resultats - informe'!$E$26),0,(C610&gt;='Resultats - informe'!$D$27)*(C610&lt;='Resultats - informe'!$E$27),0,(C610&gt;='Resultats - informe'!$D$28)*(C610&lt;='Resultats - informe'!$E$28),0,(C610&gt;='Resultats - informe'!$D$29)*(C610&lt;='Resultats - informe'!$E$29),0,1,1)</f>
        <v>0</v>
      </c>
      <c r="N610" s="366">
        <f>+VLOOKUP(D610,'Resultats - informe'!$Y$18:$AG$42,'Introducció dades consum'!K610+1,0)</f>
        <v>0</v>
      </c>
      <c r="O610" s="367" cm="1">
        <f t="array" ref="O610">+_xlfn.SWITCH(MONTH(C610),1,1,2,1,3,1,4,2,5,2,6,3,7,3,8,3,9,3,10,2,11,2,12,1,2)</f>
        <v>1</v>
      </c>
      <c r="P610" s="43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  <c r="BT610" s="10"/>
      <c r="BU610" s="10"/>
    </row>
    <row r="611" spans="1:73" ht="18" x14ac:dyDescent="0.35">
      <c r="A611" s="43"/>
      <c r="C611" s="393"/>
      <c r="E611" s="394"/>
      <c r="F611" s="394"/>
      <c r="G611" s="394"/>
      <c r="H611" s="8" t="s">
        <v>61</v>
      </c>
      <c r="I611" s="364">
        <f t="shared" si="28"/>
        <v>0</v>
      </c>
      <c r="J611" s="365">
        <f t="shared" si="27"/>
        <v>0</v>
      </c>
      <c r="K611" s="366">
        <f t="shared" si="29"/>
        <v>6</v>
      </c>
      <c r="L611" s="366">
        <f>+IF((C611&gt;='Resultats - informe'!$E$16)*(C611&lt;='Resultats - informe'!$G$16),1,0)</f>
        <v>1</v>
      </c>
      <c r="M611" s="366" cm="1">
        <f t="array" ref="M611">+_xlfn.IFS((C611&gt;='Resultats - informe'!$D$26)*(C611&lt;='Resultats - informe'!$E$26),0,(C611&gt;='Resultats - informe'!$D$27)*(C611&lt;='Resultats - informe'!$E$27),0,(C611&gt;='Resultats - informe'!$D$28)*(C611&lt;='Resultats - informe'!$E$28),0,(C611&gt;='Resultats - informe'!$D$29)*(C611&lt;='Resultats - informe'!$E$29),0,1,1)</f>
        <v>0</v>
      </c>
      <c r="N611" s="366">
        <f>+VLOOKUP(D611,'Resultats - informe'!$Y$18:$AG$42,'Introducció dades consum'!K611+1,0)</f>
        <v>0</v>
      </c>
      <c r="O611" s="367" cm="1">
        <f t="array" ref="O611">+_xlfn.SWITCH(MONTH(C611),1,1,2,1,3,1,4,2,5,2,6,3,7,3,8,3,9,3,10,2,11,2,12,1,2)</f>
        <v>1</v>
      </c>
      <c r="P611" s="43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10"/>
    </row>
    <row r="612" spans="1:73" ht="18" x14ac:dyDescent="0.35">
      <c r="A612" s="43"/>
      <c r="C612" s="393"/>
      <c r="E612" s="394"/>
      <c r="F612" s="394"/>
      <c r="G612" s="394"/>
      <c r="H612" s="8" t="s">
        <v>61</v>
      </c>
      <c r="I612" s="364">
        <f t="shared" si="28"/>
        <v>0</v>
      </c>
      <c r="J612" s="365">
        <f t="shared" si="27"/>
        <v>0</v>
      </c>
      <c r="K612" s="366">
        <f t="shared" si="29"/>
        <v>6</v>
      </c>
      <c r="L612" s="366">
        <f>+IF((C612&gt;='Resultats - informe'!$E$16)*(C612&lt;='Resultats - informe'!$G$16),1,0)</f>
        <v>1</v>
      </c>
      <c r="M612" s="366" cm="1">
        <f t="array" ref="M612">+_xlfn.IFS((C612&gt;='Resultats - informe'!$D$26)*(C612&lt;='Resultats - informe'!$E$26),0,(C612&gt;='Resultats - informe'!$D$27)*(C612&lt;='Resultats - informe'!$E$27),0,(C612&gt;='Resultats - informe'!$D$28)*(C612&lt;='Resultats - informe'!$E$28),0,(C612&gt;='Resultats - informe'!$D$29)*(C612&lt;='Resultats - informe'!$E$29),0,1,1)</f>
        <v>0</v>
      </c>
      <c r="N612" s="366">
        <f>+VLOOKUP(D612,'Resultats - informe'!$Y$18:$AG$42,'Introducció dades consum'!K612+1,0)</f>
        <v>0</v>
      </c>
      <c r="O612" s="367" cm="1">
        <f t="array" ref="O612">+_xlfn.SWITCH(MONTH(C612),1,1,2,1,3,1,4,2,5,2,6,3,7,3,8,3,9,3,10,2,11,2,12,1,2)</f>
        <v>1</v>
      </c>
      <c r="P612" s="43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10"/>
    </row>
    <row r="613" spans="1:73" ht="18" x14ac:dyDescent="0.35">
      <c r="A613" s="43"/>
      <c r="C613" s="393"/>
      <c r="E613" s="394"/>
      <c r="F613" s="394"/>
      <c r="G613" s="394"/>
      <c r="H613" s="8" t="s">
        <v>61</v>
      </c>
      <c r="I613" s="364">
        <f t="shared" si="28"/>
        <v>0</v>
      </c>
      <c r="J613" s="365">
        <f t="shared" si="27"/>
        <v>0</v>
      </c>
      <c r="K613" s="366">
        <f t="shared" si="29"/>
        <v>6</v>
      </c>
      <c r="L613" s="366">
        <f>+IF((C613&gt;='Resultats - informe'!$E$16)*(C613&lt;='Resultats - informe'!$G$16),1,0)</f>
        <v>1</v>
      </c>
      <c r="M613" s="366" cm="1">
        <f t="array" ref="M613">+_xlfn.IFS((C613&gt;='Resultats - informe'!$D$26)*(C613&lt;='Resultats - informe'!$E$26),0,(C613&gt;='Resultats - informe'!$D$27)*(C613&lt;='Resultats - informe'!$E$27),0,(C613&gt;='Resultats - informe'!$D$28)*(C613&lt;='Resultats - informe'!$E$28),0,(C613&gt;='Resultats - informe'!$D$29)*(C613&lt;='Resultats - informe'!$E$29),0,1,1)</f>
        <v>0</v>
      </c>
      <c r="N613" s="366">
        <f>+VLOOKUP(D613,'Resultats - informe'!$Y$18:$AG$42,'Introducció dades consum'!K613+1,0)</f>
        <v>0</v>
      </c>
      <c r="O613" s="367" cm="1">
        <f t="array" ref="O613">+_xlfn.SWITCH(MONTH(C613),1,1,2,1,3,1,4,2,5,2,6,3,7,3,8,3,9,3,10,2,11,2,12,1,2)</f>
        <v>1</v>
      </c>
      <c r="P613" s="43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10"/>
    </row>
    <row r="614" spans="1:73" ht="18" x14ac:dyDescent="0.35">
      <c r="A614" s="43"/>
      <c r="C614" s="393"/>
      <c r="E614" s="394"/>
      <c r="F614" s="394"/>
      <c r="G614" s="394"/>
      <c r="H614" s="8" t="s">
        <v>61</v>
      </c>
      <c r="I614" s="364">
        <f t="shared" si="28"/>
        <v>0</v>
      </c>
      <c r="J614" s="365">
        <f t="shared" si="27"/>
        <v>0</v>
      </c>
      <c r="K614" s="366">
        <f t="shared" si="29"/>
        <v>6</v>
      </c>
      <c r="L614" s="366">
        <f>+IF((C614&gt;='Resultats - informe'!$E$16)*(C614&lt;='Resultats - informe'!$G$16),1,0)</f>
        <v>1</v>
      </c>
      <c r="M614" s="366" cm="1">
        <f t="array" ref="M614">+_xlfn.IFS((C614&gt;='Resultats - informe'!$D$26)*(C614&lt;='Resultats - informe'!$E$26),0,(C614&gt;='Resultats - informe'!$D$27)*(C614&lt;='Resultats - informe'!$E$27),0,(C614&gt;='Resultats - informe'!$D$28)*(C614&lt;='Resultats - informe'!$E$28),0,(C614&gt;='Resultats - informe'!$D$29)*(C614&lt;='Resultats - informe'!$E$29),0,1,1)</f>
        <v>0</v>
      </c>
      <c r="N614" s="366">
        <f>+VLOOKUP(D614,'Resultats - informe'!$Y$18:$AG$42,'Introducció dades consum'!K614+1,0)</f>
        <v>0</v>
      </c>
      <c r="O614" s="367" cm="1">
        <f t="array" ref="O614">+_xlfn.SWITCH(MONTH(C614),1,1,2,1,3,1,4,2,5,2,6,3,7,3,8,3,9,3,10,2,11,2,12,1,2)</f>
        <v>1</v>
      </c>
      <c r="P614" s="43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  <c r="BT614" s="10"/>
      <c r="BU614" s="10"/>
    </row>
    <row r="615" spans="1:73" ht="18" x14ac:dyDescent="0.35">
      <c r="A615" s="43"/>
      <c r="C615" s="393"/>
      <c r="E615" s="394"/>
      <c r="F615" s="394"/>
      <c r="G615" s="394"/>
      <c r="H615" s="8" t="s">
        <v>61</v>
      </c>
      <c r="I615" s="364">
        <f t="shared" si="28"/>
        <v>0</v>
      </c>
      <c r="J615" s="365">
        <f t="shared" si="27"/>
        <v>0</v>
      </c>
      <c r="K615" s="366">
        <f t="shared" si="29"/>
        <v>6</v>
      </c>
      <c r="L615" s="366">
        <f>+IF((C615&gt;='Resultats - informe'!$E$16)*(C615&lt;='Resultats - informe'!$G$16),1,0)</f>
        <v>1</v>
      </c>
      <c r="M615" s="366" cm="1">
        <f t="array" ref="M615">+_xlfn.IFS((C615&gt;='Resultats - informe'!$D$26)*(C615&lt;='Resultats - informe'!$E$26),0,(C615&gt;='Resultats - informe'!$D$27)*(C615&lt;='Resultats - informe'!$E$27),0,(C615&gt;='Resultats - informe'!$D$28)*(C615&lt;='Resultats - informe'!$E$28),0,(C615&gt;='Resultats - informe'!$D$29)*(C615&lt;='Resultats - informe'!$E$29),0,1,1)</f>
        <v>0</v>
      </c>
      <c r="N615" s="366">
        <f>+VLOOKUP(D615,'Resultats - informe'!$Y$18:$AG$42,'Introducció dades consum'!K615+1,0)</f>
        <v>0</v>
      </c>
      <c r="O615" s="367" cm="1">
        <f t="array" ref="O615">+_xlfn.SWITCH(MONTH(C615),1,1,2,1,3,1,4,2,5,2,6,3,7,3,8,3,9,3,10,2,11,2,12,1,2)</f>
        <v>1</v>
      </c>
      <c r="P615" s="43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10"/>
    </row>
    <row r="616" spans="1:73" ht="18" x14ac:dyDescent="0.35">
      <c r="A616" s="43"/>
      <c r="C616" s="393"/>
      <c r="E616" s="394"/>
      <c r="F616" s="394"/>
      <c r="G616" s="394"/>
      <c r="H616" s="8" t="s">
        <v>61</v>
      </c>
      <c r="I616" s="364">
        <f t="shared" si="28"/>
        <v>0</v>
      </c>
      <c r="J616" s="365">
        <f t="shared" si="27"/>
        <v>0</v>
      </c>
      <c r="K616" s="366">
        <f t="shared" si="29"/>
        <v>6</v>
      </c>
      <c r="L616" s="366">
        <f>+IF((C616&gt;='Resultats - informe'!$E$16)*(C616&lt;='Resultats - informe'!$G$16),1,0)</f>
        <v>1</v>
      </c>
      <c r="M616" s="366" cm="1">
        <f t="array" ref="M616">+_xlfn.IFS((C616&gt;='Resultats - informe'!$D$26)*(C616&lt;='Resultats - informe'!$E$26),0,(C616&gt;='Resultats - informe'!$D$27)*(C616&lt;='Resultats - informe'!$E$27),0,(C616&gt;='Resultats - informe'!$D$28)*(C616&lt;='Resultats - informe'!$E$28),0,(C616&gt;='Resultats - informe'!$D$29)*(C616&lt;='Resultats - informe'!$E$29),0,1,1)</f>
        <v>0</v>
      </c>
      <c r="N616" s="366">
        <f>+VLOOKUP(D616,'Resultats - informe'!$Y$18:$AG$42,'Introducció dades consum'!K616+1,0)</f>
        <v>0</v>
      </c>
      <c r="O616" s="367" cm="1">
        <f t="array" ref="O616">+_xlfn.SWITCH(MONTH(C616),1,1,2,1,3,1,4,2,5,2,6,3,7,3,8,3,9,3,10,2,11,2,12,1,2)</f>
        <v>1</v>
      </c>
      <c r="P616" s="43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  <c r="BU616" s="10"/>
    </row>
    <row r="617" spans="1:73" ht="18" x14ac:dyDescent="0.35">
      <c r="A617" s="43"/>
      <c r="C617" s="393"/>
      <c r="E617" s="394"/>
      <c r="F617" s="394"/>
      <c r="G617" s="394"/>
      <c r="H617" s="8" t="s">
        <v>61</v>
      </c>
      <c r="I617" s="364">
        <f t="shared" si="28"/>
        <v>0</v>
      </c>
      <c r="J617" s="365">
        <f t="shared" si="27"/>
        <v>0</v>
      </c>
      <c r="K617" s="366">
        <f t="shared" si="29"/>
        <v>6</v>
      </c>
      <c r="L617" s="366">
        <f>+IF((C617&gt;='Resultats - informe'!$E$16)*(C617&lt;='Resultats - informe'!$G$16),1,0)</f>
        <v>1</v>
      </c>
      <c r="M617" s="366" cm="1">
        <f t="array" ref="M617">+_xlfn.IFS((C617&gt;='Resultats - informe'!$D$26)*(C617&lt;='Resultats - informe'!$E$26),0,(C617&gt;='Resultats - informe'!$D$27)*(C617&lt;='Resultats - informe'!$E$27),0,(C617&gt;='Resultats - informe'!$D$28)*(C617&lt;='Resultats - informe'!$E$28),0,(C617&gt;='Resultats - informe'!$D$29)*(C617&lt;='Resultats - informe'!$E$29),0,1,1)</f>
        <v>0</v>
      </c>
      <c r="N617" s="366">
        <f>+VLOOKUP(D617,'Resultats - informe'!$Y$18:$AG$42,'Introducció dades consum'!K617+1,0)</f>
        <v>0</v>
      </c>
      <c r="O617" s="367" cm="1">
        <f t="array" ref="O617">+_xlfn.SWITCH(MONTH(C617),1,1,2,1,3,1,4,2,5,2,6,3,7,3,8,3,9,3,10,2,11,2,12,1,2)</f>
        <v>1</v>
      </c>
      <c r="P617" s="43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  <c r="BT617" s="10"/>
      <c r="BU617" s="10"/>
    </row>
    <row r="618" spans="1:73" ht="18" x14ac:dyDescent="0.35">
      <c r="A618" s="43"/>
      <c r="C618" s="393"/>
      <c r="E618" s="394"/>
      <c r="F618" s="394"/>
      <c r="G618" s="394"/>
      <c r="H618" s="8" t="s">
        <v>61</v>
      </c>
      <c r="I618" s="364">
        <f t="shared" si="28"/>
        <v>0</v>
      </c>
      <c r="J618" s="365">
        <f t="shared" si="27"/>
        <v>0</v>
      </c>
      <c r="K618" s="366">
        <f t="shared" si="29"/>
        <v>6</v>
      </c>
      <c r="L618" s="366">
        <f>+IF((C618&gt;='Resultats - informe'!$E$16)*(C618&lt;='Resultats - informe'!$G$16),1,0)</f>
        <v>1</v>
      </c>
      <c r="M618" s="366" cm="1">
        <f t="array" ref="M618">+_xlfn.IFS((C618&gt;='Resultats - informe'!$D$26)*(C618&lt;='Resultats - informe'!$E$26),0,(C618&gt;='Resultats - informe'!$D$27)*(C618&lt;='Resultats - informe'!$E$27),0,(C618&gt;='Resultats - informe'!$D$28)*(C618&lt;='Resultats - informe'!$E$28),0,(C618&gt;='Resultats - informe'!$D$29)*(C618&lt;='Resultats - informe'!$E$29),0,1,1)</f>
        <v>0</v>
      </c>
      <c r="N618" s="366">
        <f>+VLOOKUP(D618,'Resultats - informe'!$Y$18:$AG$42,'Introducció dades consum'!K618+1,0)</f>
        <v>0</v>
      </c>
      <c r="O618" s="367" cm="1">
        <f t="array" ref="O618">+_xlfn.SWITCH(MONTH(C618),1,1,2,1,3,1,4,2,5,2,6,3,7,3,8,3,9,3,10,2,11,2,12,1,2)</f>
        <v>1</v>
      </c>
      <c r="P618" s="43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  <c r="BT618" s="10"/>
      <c r="BU618" s="10"/>
    </row>
    <row r="619" spans="1:73" ht="18" x14ac:dyDescent="0.35">
      <c r="A619" s="43"/>
      <c r="C619" s="393"/>
      <c r="E619" s="394"/>
      <c r="F619" s="394"/>
      <c r="G619" s="394"/>
      <c r="H619" s="8" t="s">
        <v>61</v>
      </c>
      <c r="I619" s="364">
        <f t="shared" si="28"/>
        <v>0</v>
      </c>
      <c r="J619" s="365">
        <f t="shared" si="27"/>
        <v>0</v>
      </c>
      <c r="K619" s="366">
        <f t="shared" si="29"/>
        <v>6</v>
      </c>
      <c r="L619" s="366">
        <f>+IF((C619&gt;='Resultats - informe'!$E$16)*(C619&lt;='Resultats - informe'!$G$16),1,0)</f>
        <v>1</v>
      </c>
      <c r="M619" s="366" cm="1">
        <f t="array" ref="M619">+_xlfn.IFS((C619&gt;='Resultats - informe'!$D$26)*(C619&lt;='Resultats - informe'!$E$26),0,(C619&gt;='Resultats - informe'!$D$27)*(C619&lt;='Resultats - informe'!$E$27),0,(C619&gt;='Resultats - informe'!$D$28)*(C619&lt;='Resultats - informe'!$E$28),0,(C619&gt;='Resultats - informe'!$D$29)*(C619&lt;='Resultats - informe'!$E$29),0,1,1)</f>
        <v>0</v>
      </c>
      <c r="N619" s="366">
        <f>+VLOOKUP(D619,'Resultats - informe'!$Y$18:$AG$42,'Introducció dades consum'!K619+1,0)</f>
        <v>0</v>
      </c>
      <c r="O619" s="367" cm="1">
        <f t="array" ref="O619">+_xlfn.SWITCH(MONTH(C619),1,1,2,1,3,1,4,2,5,2,6,3,7,3,8,3,9,3,10,2,11,2,12,1,2)</f>
        <v>1</v>
      </c>
      <c r="P619" s="43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  <c r="BU619" s="10"/>
    </row>
    <row r="620" spans="1:73" ht="18" x14ac:dyDescent="0.35">
      <c r="A620" s="43"/>
      <c r="C620" s="393"/>
      <c r="E620" s="394"/>
      <c r="F620" s="394"/>
      <c r="G620" s="394"/>
      <c r="H620" s="8" t="s">
        <v>61</v>
      </c>
      <c r="I620" s="364">
        <f t="shared" si="28"/>
        <v>0</v>
      </c>
      <c r="J620" s="365">
        <f t="shared" si="27"/>
        <v>0</v>
      </c>
      <c r="K620" s="366">
        <f t="shared" si="29"/>
        <v>6</v>
      </c>
      <c r="L620" s="366">
        <f>+IF((C620&gt;='Resultats - informe'!$E$16)*(C620&lt;='Resultats - informe'!$G$16),1,0)</f>
        <v>1</v>
      </c>
      <c r="M620" s="366" cm="1">
        <f t="array" ref="M620">+_xlfn.IFS((C620&gt;='Resultats - informe'!$D$26)*(C620&lt;='Resultats - informe'!$E$26),0,(C620&gt;='Resultats - informe'!$D$27)*(C620&lt;='Resultats - informe'!$E$27),0,(C620&gt;='Resultats - informe'!$D$28)*(C620&lt;='Resultats - informe'!$E$28),0,(C620&gt;='Resultats - informe'!$D$29)*(C620&lt;='Resultats - informe'!$E$29),0,1,1)</f>
        <v>0</v>
      </c>
      <c r="N620" s="366">
        <f>+VLOOKUP(D620,'Resultats - informe'!$Y$18:$AG$42,'Introducció dades consum'!K620+1,0)</f>
        <v>0</v>
      </c>
      <c r="O620" s="367" cm="1">
        <f t="array" ref="O620">+_xlfn.SWITCH(MONTH(C620),1,1,2,1,3,1,4,2,5,2,6,3,7,3,8,3,9,3,10,2,11,2,12,1,2)</f>
        <v>1</v>
      </c>
      <c r="P620" s="43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  <c r="BT620" s="10"/>
      <c r="BU620" s="10"/>
    </row>
    <row r="621" spans="1:73" ht="18" x14ac:dyDescent="0.35">
      <c r="A621" s="43"/>
      <c r="C621" s="393"/>
      <c r="E621" s="394"/>
      <c r="F621" s="394"/>
      <c r="G621" s="394"/>
      <c r="H621" s="8" t="s">
        <v>61</v>
      </c>
      <c r="I621" s="364">
        <f t="shared" si="28"/>
        <v>0</v>
      </c>
      <c r="J621" s="365">
        <f t="shared" si="27"/>
        <v>0</v>
      </c>
      <c r="K621" s="366">
        <f t="shared" si="29"/>
        <v>6</v>
      </c>
      <c r="L621" s="366">
        <f>+IF((C621&gt;='Resultats - informe'!$E$16)*(C621&lt;='Resultats - informe'!$G$16),1,0)</f>
        <v>1</v>
      </c>
      <c r="M621" s="366" cm="1">
        <f t="array" ref="M621">+_xlfn.IFS((C621&gt;='Resultats - informe'!$D$26)*(C621&lt;='Resultats - informe'!$E$26),0,(C621&gt;='Resultats - informe'!$D$27)*(C621&lt;='Resultats - informe'!$E$27),0,(C621&gt;='Resultats - informe'!$D$28)*(C621&lt;='Resultats - informe'!$E$28),0,(C621&gt;='Resultats - informe'!$D$29)*(C621&lt;='Resultats - informe'!$E$29),0,1,1)</f>
        <v>0</v>
      </c>
      <c r="N621" s="366">
        <f>+VLOOKUP(D621,'Resultats - informe'!$Y$18:$AG$42,'Introducció dades consum'!K621+1,0)</f>
        <v>0</v>
      </c>
      <c r="O621" s="367" cm="1">
        <f t="array" ref="O621">+_xlfn.SWITCH(MONTH(C621),1,1,2,1,3,1,4,2,5,2,6,3,7,3,8,3,9,3,10,2,11,2,12,1,2)</f>
        <v>1</v>
      </c>
      <c r="P621" s="43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10"/>
    </row>
    <row r="622" spans="1:73" ht="18" x14ac:dyDescent="0.35">
      <c r="A622" s="43"/>
      <c r="C622" s="393"/>
      <c r="E622" s="394"/>
      <c r="F622" s="394"/>
      <c r="G622" s="394"/>
      <c r="H622" s="8" t="s">
        <v>61</v>
      </c>
      <c r="I622" s="364">
        <f t="shared" si="28"/>
        <v>0</v>
      </c>
      <c r="J622" s="365">
        <f t="shared" si="27"/>
        <v>0</v>
      </c>
      <c r="K622" s="366">
        <f t="shared" si="29"/>
        <v>6</v>
      </c>
      <c r="L622" s="366">
        <f>+IF((C622&gt;='Resultats - informe'!$E$16)*(C622&lt;='Resultats - informe'!$G$16),1,0)</f>
        <v>1</v>
      </c>
      <c r="M622" s="366" cm="1">
        <f t="array" ref="M622">+_xlfn.IFS((C622&gt;='Resultats - informe'!$D$26)*(C622&lt;='Resultats - informe'!$E$26),0,(C622&gt;='Resultats - informe'!$D$27)*(C622&lt;='Resultats - informe'!$E$27),0,(C622&gt;='Resultats - informe'!$D$28)*(C622&lt;='Resultats - informe'!$E$28),0,(C622&gt;='Resultats - informe'!$D$29)*(C622&lt;='Resultats - informe'!$E$29),0,1,1)</f>
        <v>0</v>
      </c>
      <c r="N622" s="366">
        <f>+VLOOKUP(D622,'Resultats - informe'!$Y$18:$AG$42,'Introducció dades consum'!K622+1,0)</f>
        <v>0</v>
      </c>
      <c r="O622" s="367" cm="1">
        <f t="array" ref="O622">+_xlfn.SWITCH(MONTH(C622),1,1,2,1,3,1,4,2,5,2,6,3,7,3,8,3,9,3,10,2,11,2,12,1,2)</f>
        <v>1</v>
      </c>
      <c r="P622" s="43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  <c r="BT622" s="10"/>
      <c r="BU622" s="10"/>
    </row>
    <row r="623" spans="1:73" ht="18" x14ac:dyDescent="0.35">
      <c r="A623" s="43"/>
      <c r="C623" s="393"/>
      <c r="E623" s="394"/>
      <c r="F623" s="394"/>
      <c r="G623" s="394"/>
      <c r="H623" s="8" t="s">
        <v>61</v>
      </c>
      <c r="I623" s="364">
        <f t="shared" si="28"/>
        <v>0</v>
      </c>
      <c r="J623" s="365">
        <f t="shared" si="27"/>
        <v>0</v>
      </c>
      <c r="K623" s="366">
        <f t="shared" si="29"/>
        <v>6</v>
      </c>
      <c r="L623" s="366">
        <f>+IF((C623&gt;='Resultats - informe'!$E$16)*(C623&lt;='Resultats - informe'!$G$16),1,0)</f>
        <v>1</v>
      </c>
      <c r="M623" s="366" cm="1">
        <f t="array" ref="M623">+_xlfn.IFS((C623&gt;='Resultats - informe'!$D$26)*(C623&lt;='Resultats - informe'!$E$26),0,(C623&gt;='Resultats - informe'!$D$27)*(C623&lt;='Resultats - informe'!$E$27),0,(C623&gt;='Resultats - informe'!$D$28)*(C623&lt;='Resultats - informe'!$E$28),0,(C623&gt;='Resultats - informe'!$D$29)*(C623&lt;='Resultats - informe'!$E$29),0,1,1)</f>
        <v>0</v>
      </c>
      <c r="N623" s="366">
        <f>+VLOOKUP(D623,'Resultats - informe'!$Y$18:$AG$42,'Introducció dades consum'!K623+1,0)</f>
        <v>0</v>
      </c>
      <c r="O623" s="367" cm="1">
        <f t="array" ref="O623">+_xlfn.SWITCH(MONTH(C623),1,1,2,1,3,1,4,2,5,2,6,3,7,3,8,3,9,3,10,2,11,2,12,1,2)</f>
        <v>1</v>
      </c>
      <c r="P623" s="43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10"/>
    </row>
    <row r="624" spans="1:73" ht="18" x14ac:dyDescent="0.35">
      <c r="A624" s="43"/>
      <c r="C624" s="393"/>
      <c r="E624" s="394"/>
      <c r="F624" s="394"/>
      <c r="G624" s="394"/>
      <c r="H624" s="8" t="s">
        <v>61</v>
      </c>
      <c r="I624" s="364">
        <f t="shared" si="28"/>
        <v>0</v>
      </c>
      <c r="J624" s="365">
        <f t="shared" si="27"/>
        <v>0</v>
      </c>
      <c r="K624" s="366">
        <f t="shared" si="29"/>
        <v>6</v>
      </c>
      <c r="L624" s="366">
        <f>+IF((C624&gt;='Resultats - informe'!$E$16)*(C624&lt;='Resultats - informe'!$G$16),1,0)</f>
        <v>1</v>
      </c>
      <c r="M624" s="366" cm="1">
        <f t="array" ref="M624">+_xlfn.IFS((C624&gt;='Resultats - informe'!$D$26)*(C624&lt;='Resultats - informe'!$E$26),0,(C624&gt;='Resultats - informe'!$D$27)*(C624&lt;='Resultats - informe'!$E$27),0,(C624&gt;='Resultats - informe'!$D$28)*(C624&lt;='Resultats - informe'!$E$28),0,(C624&gt;='Resultats - informe'!$D$29)*(C624&lt;='Resultats - informe'!$E$29),0,1,1)</f>
        <v>0</v>
      </c>
      <c r="N624" s="366">
        <f>+VLOOKUP(D624,'Resultats - informe'!$Y$18:$AG$42,'Introducció dades consum'!K624+1,0)</f>
        <v>0</v>
      </c>
      <c r="O624" s="367" cm="1">
        <f t="array" ref="O624">+_xlfn.SWITCH(MONTH(C624),1,1,2,1,3,1,4,2,5,2,6,3,7,3,8,3,9,3,10,2,11,2,12,1,2)</f>
        <v>1</v>
      </c>
      <c r="P624" s="43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10"/>
    </row>
    <row r="625" spans="1:73" ht="18" x14ac:dyDescent="0.35">
      <c r="A625" s="43"/>
      <c r="C625" s="393"/>
      <c r="E625" s="394"/>
      <c r="F625" s="394"/>
      <c r="G625" s="394"/>
      <c r="H625" s="8" t="s">
        <v>61</v>
      </c>
      <c r="I625" s="364">
        <f t="shared" si="28"/>
        <v>0</v>
      </c>
      <c r="J625" s="365">
        <f t="shared" si="27"/>
        <v>0</v>
      </c>
      <c r="K625" s="366">
        <f t="shared" si="29"/>
        <v>6</v>
      </c>
      <c r="L625" s="366">
        <f>+IF((C625&gt;='Resultats - informe'!$E$16)*(C625&lt;='Resultats - informe'!$G$16),1,0)</f>
        <v>1</v>
      </c>
      <c r="M625" s="366" cm="1">
        <f t="array" ref="M625">+_xlfn.IFS((C625&gt;='Resultats - informe'!$D$26)*(C625&lt;='Resultats - informe'!$E$26),0,(C625&gt;='Resultats - informe'!$D$27)*(C625&lt;='Resultats - informe'!$E$27),0,(C625&gt;='Resultats - informe'!$D$28)*(C625&lt;='Resultats - informe'!$E$28),0,(C625&gt;='Resultats - informe'!$D$29)*(C625&lt;='Resultats - informe'!$E$29),0,1,1)</f>
        <v>0</v>
      </c>
      <c r="N625" s="366">
        <f>+VLOOKUP(D625,'Resultats - informe'!$Y$18:$AG$42,'Introducció dades consum'!K625+1,0)</f>
        <v>0</v>
      </c>
      <c r="O625" s="367" cm="1">
        <f t="array" ref="O625">+_xlfn.SWITCH(MONTH(C625),1,1,2,1,3,1,4,2,5,2,6,3,7,3,8,3,9,3,10,2,11,2,12,1,2)</f>
        <v>1</v>
      </c>
      <c r="P625" s="43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10"/>
    </row>
    <row r="626" spans="1:73" ht="18" x14ac:dyDescent="0.35">
      <c r="A626" s="43"/>
      <c r="C626" s="393"/>
      <c r="E626" s="394"/>
      <c r="F626" s="394"/>
      <c r="G626" s="394"/>
      <c r="H626" s="8" t="s">
        <v>61</v>
      </c>
      <c r="I626" s="364">
        <f t="shared" si="28"/>
        <v>0</v>
      </c>
      <c r="J626" s="365">
        <f t="shared" si="27"/>
        <v>0</v>
      </c>
      <c r="K626" s="366">
        <f t="shared" si="29"/>
        <v>6</v>
      </c>
      <c r="L626" s="366">
        <f>+IF((C626&gt;='Resultats - informe'!$E$16)*(C626&lt;='Resultats - informe'!$G$16),1,0)</f>
        <v>1</v>
      </c>
      <c r="M626" s="366" cm="1">
        <f t="array" ref="M626">+_xlfn.IFS((C626&gt;='Resultats - informe'!$D$26)*(C626&lt;='Resultats - informe'!$E$26),0,(C626&gt;='Resultats - informe'!$D$27)*(C626&lt;='Resultats - informe'!$E$27),0,(C626&gt;='Resultats - informe'!$D$28)*(C626&lt;='Resultats - informe'!$E$28),0,(C626&gt;='Resultats - informe'!$D$29)*(C626&lt;='Resultats - informe'!$E$29),0,1,1)</f>
        <v>0</v>
      </c>
      <c r="N626" s="366">
        <f>+VLOOKUP(D626,'Resultats - informe'!$Y$18:$AG$42,'Introducció dades consum'!K626+1,0)</f>
        <v>0</v>
      </c>
      <c r="O626" s="367" cm="1">
        <f t="array" ref="O626">+_xlfn.SWITCH(MONTH(C626),1,1,2,1,3,1,4,2,5,2,6,3,7,3,8,3,9,3,10,2,11,2,12,1,2)</f>
        <v>1</v>
      </c>
      <c r="P626" s="43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  <c r="BT626" s="10"/>
      <c r="BU626" s="10"/>
    </row>
    <row r="627" spans="1:73" ht="18" x14ac:dyDescent="0.35">
      <c r="A627" s="43"/>
      <c r="C627" s="393"/>
      <c r="E627" s="394"/>
      <c r="F627" s="394"/>
      <c r="G627" s="394"/>
      <c r="H627" s="8" t="s">
        <v>61</v>
      </c>
      <c r="I627" s="364">
        <f t="shared" si="28"/>
        <v>0</v>
      </c>
      <c r="J627" s="365">
        <f t="shared" si="27"/>
        <v>0</v>
      </c>
      <c r="K627" s="366">
        <f t="shared" si="29"/>
        <v>6</v>
      </c>
      <c r="L627" s="366">
        <f>+IF((C627&gt;='Resultats - informe'!$E$16)*(C627&lt;='Resultats - informe'!$G$16),1,0)</f>
        <v>1</v>
      </c>
      <c r="M627" s="366" cm="1">
        <f t="array" ref="M627">+_xlfn.IFS((C627&gt;='Resultats - informe'!$D$26)*(C627&lt;='Resultats - informe'!$E$26),0,(C627&gt;='Resultats - informe'!$D$27)*(C627&lt;='Resultats - informe'!$E$27),0,(C627&gt;='Resultats - informe'!$D$28)*(C627&lt;='Resultats - informe'!$E$28),0,(C627&gt;='Resultats - informe'!$D$29)*(C627&lt;='Resultats - informe'!$E$29),0,1,1)</f>
        <v>0</v>
      </c>
      <c r="N627" s="366">
        <f>+VLOOKUP(D627,'Resultats - informe'!$Y$18:$AG$42,'Introducció dades consum'!K627+1,0)</f>
        <v>0</v>
      </c>
      <c r="O627" s="367" cm="1">
        <f t="array" ref="O627">+_xlfn.SWITCH(MONTH(C627),1,1,2,1,3,1,4,2,5,2,6,3,7,3,8,3,9,3,10,2,11,2,12,1,2)</f>
        <v>1</v>
      </c>
      <c r="P627" s="43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10"/>
    </row>
    <row r="628" spans="1:73" ht="18" x14ac:dyDescent="0.35">
      <c r="A628" s="43"/>
      <c r="C628" s="393"/>
      <c r="E628" s="394"/>
      <c r="F628" s="394"/>
      <c r="G628" s="394"/>
      <c r="H628" s="8" t="s">
        <v>61</v>
      </c>
      <c r="I628" s="364">
        <f t="shared" si="28"/>
        <v>0</v>
      </c>
      <c r="J628" s="365">
        <f t="shared" si="27"/>
        <v>0</v>
      </c>
      <c r="K628" s="366">
        <f t="shared" si="29"/>
        <v>6</v>
      </c>
      <c r="L628" s="366">
        <f>+IF((C628&gt;='Resultats - informe'!$E$16)*(C628&lt;='Resultats - informe'!$G$16),1,0)</f>
        <v>1</v>
      </c>
      <c r="M628" s="366" cm="1">
        <f t="array" ref="M628">+_xlfn.IFS((C628&gt;='Resultats - informe'!$D$26)*(C628&lt;='Resultats - informe'!$E$26),0,(C628&gt;='Resultats - informe'!$D$27)*(C628&lt;='Resultats - informe'!$E$27),0,(C628&gt;='Resultats - informe'!$D$28)*(C628&lt;='Resultats - informe'!$E$28),0,(C628&gt;='Resultats - informe'!$D$29)*(C628&lt;='Resultats - informe'!$E$29),0,1,1)</f>
        <v>0</v>
      </c>
      <c r="N628" s="366">
        <f>+VLOOKUP(D628,'Resultats - informe'!$Y$18:$AG$42,'Introducció dades consum'!K628+1,0)</f>
        <v>0</v>
      </c>
      <c r="O628" s="367" cm="1">
        <f t="array" ref="O628">+_xlfn.SWITCH(MONTH(C628),1,1,2,1,3,1,4,2,5,2,6,3,7,3,8,3,9,3,10,2,11,2,12,1,2)</f>
        <v>1</v>
      </c>
      <c r="P628" s="43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  <c r="BT628" s="10"/>
      <c r="BU628" s="10"/>
    </row>
    <row r="629" spans="1:73" ht="18" x14ac:dyDescent="0.35">
      <c r="A629" s="43"/>
      <c r="C629" s="393"/>
      <c r="E629" s="394"/>
      <c r="F629" s="394"/>
      <c r="G629" s="394"/>
      <c r="H629" s="8" t="s">
        <v>61</v>
      </c>
      <c r="I629" s="364">
        <f t="shared" si="28"/>
        <v>0</v>
      </c>
      <c r="J629" s="365">
        <f t="shared" si="27"/>
        <v>0</v>
      </c>
      <c r="K629" s="366">
        <f t="shared" si="29"/>
        <v>6</v>
      </c>
      <c r="L629" s="366">
        <f>+IF((C629&gt;='Resultats - informe'!$E$16)*(C629&lt;='Resultats - informe'!$G$16),1,0)</f>
        <v>1</v>
      </c>
      <c r="M629" s="366" cm="1">
        <f t="array" ref="M629">+_xlfn.IFS((C629&gt;='Resultats - informe'!$D$26)*(C629&lt;='Resultats - informe'!$E$26),0,(C629&gt;='Resultats - informe'!$D$27)*(C629&lt;='Resultats - informe'!$E$27),0,(C629&gt;='Resultats - informe'!$D$28)*(C629&lt;='Resultats - informe'!$E$28),0,(C629&gt;='Resultats - informe'!$D$29)*(C629&lt;='Resultats - informe'!$E$29),0,1,1)</f>
        <v>0</v>
      </c>
      <c r="N629" s="366">
        <f>+VLOOKUP(D629,'Resultats - informe'!$Y$18:$AG$42,'Introducció dades consum'!K629+1,0)</f>
        <v>0</v>
      </c>
      <c r="O629" s="367" cm="1">
        <f t="array" ref="O629">+_xlfn.SWITCH(MONTH(C629),1,1,2,1,3,1,4,2,5,2,6,3,7,3,8,3,9,3,10,2,11,2,12,1,2)</f>
        <v>1</v>
      </c>
      <c r="P629" s="43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10"/>
    </row>
    <row r="630" spans="1:73" ht="18" x14ac:dyDescent="0.35">
      <c r="A630" s="43"/>
      <c r="C630" s="393"/>
      <c r="E630" s="394"/>
      <c r="F630" s="394"/>
      <c r="G630" s="394"/>
      <c r="H630" s="8" t="s">
        <v>61</v>
      </c>
      <c r="I630" s="364">
        <f t="shared" si="28"/>
        <v>0</v>
      </c>
      <c r="J630" s="365">
        <f t="shared" si="27"/>
        <v>0</v>
      </c>
      <c r="K630" s="366">
        <f t="shared" si="29"/>
        <v>6</v>
      </c>
      <c r="L630" s="366">
        <f>+IF((C630&gt;='Resultats - informe'!$E$16)*(C630&lt;='Resultats - informe'!$G$16),1,0)</f>
        <v>1</v>
      </c>
      <c r="M630" s="366" cm="1">
        <f t="array" ref="M630">+_xlfn.IFS((C630&gt;='Resultats - informe'!$D$26)*(C630&lt;='Resultats - informe'!$E$26),0,(C630&gt;='Resultats - informe'!$D$27)*(C630&lt;='Resultats - informe'!$E$27),0,(C630&gt;='Resultats - informe'!$D$28)*(C630&lt;='Resultats - informe'!$E$28),0,(C630&gt;='Resultats - informe'!$D$29)*(C630&lt;='Resultats - informe'!$E$29),0,1,1)</f>
        <v>0</v>
      </c>
      <c r="N630" s="366">
        <f>+VLOOKUP(D630,'Resultats - informe'!$Y$18:$AG$42,'Introducció dades consum'!K630+1,0)</f>
        <v>0</v>
      </c>
      <c r="O630" s="367" cm="1">
        <f t="array" ref="O630">+_xlfn.SWITCH(MONTH(C630),1,1,2,1,3,1,4,2,5,2,6,3,7,3,8,3,9,3,10,2,11,2,12,1,2)</f>
        <v>1</v>
      </c>
      <c r="P630" s="43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  <c r="BT630" s="10"/>
      <c r="BU630" s="10"/>
    </row>
    <row r="631" spans="1:73" ht="18" x14ac:dyDescent="0.35">
      <c r="A631" s="43"/>
      <c r="C631" s="393"/>
      <c r="E631" s="394"/>
      <c r="F631" s="394"/>
      <c r="G631" s="394"/>
      <c r="H631" s="8" t="s">
        <v>61</v>
      </c>
      <c r="I631" s="364">
        <f t="shared" si="28"/>
        <v>0</v>
      </c>
      <c r="J631" s="365">
        <f t="shared" si="27"/>
        <v>0</v>
      </c>
      <c r="K631" s="366">
        <f t="shared" si="29"/>
        <v>6</v>
      </c>
      <c r="L631" s="366">
        <f>+IF((C631&gt;='Resultats - informe'!$E$16)*(C631&lt;='Resultats - informe'!$G$16),1,0)</f>
        <v>1</v>
      </c>
      <c r="M631" s="366" cm="1">
        <f t="array" ref="M631">+_xlfn.IFS((C631&gt;='Resultats - informe'!$D$26)*(C631&lt;='Resultats - informe'!$E$26),0,(C631&gt;='Resultats - informe'!$D$27)*(C631&lt;='Resultats - informe'!$E$27),0,(C631&gt;='Resultats - informe'!$D$28)*(C631&lt;='Resultats - informe'!$E$28),0,(C631&gt;='Resultats - informe'!$D$29)*(C631&lt;='Resultats - informe'!$E$29),0,1,1)</f>
        <v>0</v>
      </c>
      <c r="N631" s="366">
        <f>+VLOOKUP(D631,'Resultats - informe'!$Y$18:$AG$42,'Introducció dades consum'!K631+1,0)</f>
        <v>0</v>
      </c>
      <c r="O631" s="367" cm="1">
        <f t="array" ref="O631">+_xlfn.SWITCH(MONTH(C631),1,1,2,1,3,1,4,2,5,2,6,3,7,3,8,3,9,3,10,2,11,2,12,1,2)</f>
        <v>1</v>
      </c>
      <c r="P631" s="43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10"/>
    </row>
    <row r="632" spans="1:73" ht="18" x14ac:dyDescent="0.35">
      <c r="A632" s="43"/>
      <c r="C632" s="393"/>
      <c r="E632" s="394"/>
      <c r="F632" s="394"/>
      <c r="G632" s="394"/>
      <c r="H632" s="8" t="s">
        <v>61</v>
      </c>
      <c r="I632" s="364">
        <f t="shared" si="28"/>
        <v>0</v>
      </c>
      <c r="J632" s="365">
        <f t="shared" si="27"/>
        <v>0</v>
      </c>
      <c r="K632" s="366">
        <f t="shared" si="29"/>
        <v>6</v>
      </c>
      <c r="L632" s="366">
        <f>+IF((C632&gt;='Resultats - informe'!$E$16)*(C632&lt;='Resultats - informe'!$G$16),1,0)</f>
        <v>1</v>
      </c>
      <c r="M632" s="366" cm="1">
        <f t="array" ref="M632">+_xlfn.IFS((C632&gt;='Resultats - informe'!$D$26)*(C632&lt;='Resultats - informe'!$E$26),0,(C632&gt;='Resultats - informe'!$D$27)*(C632&lt;='Resultats - informe'!$E$27),0,(C632&gt;='Resultats - informe'!$D$28)*(C632&lt;='Resultats - informe'!$E$28),0,(C632&gt;='Resultats - informe'!$D$29)*(C632&lt;='Resultats - informe'!$E$29),0,1,1)</f>
        <v>0</v>
      </c>
      <c r="N632" s="366">
        <f>+VLOOKUP(D632,'Resultats - informe'!$Y$18:$AG$42,'Introducció dades consum'!K632+1,0)</f>
        <v>0</v>
      </c>
      <c r="O632" s="367" cm="1">
        <f t="array" ref="O632">+_xlfn.SWITCH(MONTH(C632),1,1,2,1,3,1,4,2,5,2,6,3,7,3,8,3,9,3,10,2,11,2,12,1,2)</f>
        <v>1</v>
      </c>
      <c r="P632" s="43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10"/>
    </row>
    <row r="633" spans="1:73" ht="18" x14ac:dyDescent="0.35">
      <c r="A633" s="43"/>
      <c r="C633" s="393"/>
      <c r="E633" s="394"/>
      <c r="F633" s="394"/>
      <c r="G633" s="394"/>
      <c r="H633" s="8" t="s">
        <v>61</v>
      </c>
      <c r="I633" s="364">
        <f t="shared" si="28"/>
        <v>0</v>
      </c>
      <c r="J633" s="365">
        <f t="shared" si="27"/>
        <v>0</v>
      </c>
      <c r="K633" s="366">
        <f t="shared" si="29"/>
        <v>6</v>
      </c>
      <c r="L633" s="366">
        <f>+IF((C633&gt;='Resultats - informe'!$E$16)*(C633&lt;='Resultats - informe'!$G$16),1,0)</f>
        <v>1</v>
      </c>
      <c r="M633" s="366" cm="1">
        <f t="array" ref="M633">+_xlfn.IFS((C633&gt;='Resultats - informe'!$D$26)*(C633&lt;='Resultats - informe'!$E$26),0,(C633&gt;='Resultats - informe'!$D$27)*(C633&lt;='Resultats - informe'!$E$27),0,(C633&gt;='Resultats - informe'!$D$28)*(C633&lt;='Resultats - informe'!$E$28),0,(C633&gt;='Resultats - informe'!$D$29)*(C633&lt;='Resultats - informe'!$E$29),0,1,1)</f>
        <v>0</v>
      </c>
      <c r="N633" s="366">
        <f>+VLOOKUP(D633,'Resultats - informe'!$Y$18:$AG$42,'Introducció dades consum'!K633+1,0)</f>
        <v>0</v>
      </c>
      <c r="O633" s="367" cm="1">
        <f t="array" ref="O633">+_xlfn.SWITCH(MONTH(C633),1,1,2,1,3,1,4,2,5,2,6,3,7,3,8,3,9,3,10,2,11,2,12,1,2)</f>
        <v>1</v>
      </c>
      <c r="P633" s="43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10"/>
    </row>
    <row r="634" spans="1:73" ht="18" x14ac:dyDescent="0.35">
      <c r="A634" s="43"/>
      <c r="C634" s="393"/>
      <c r="E634" s="394"/>
      <c r="F634" s="394"/>
      <c r="G634" s="394"/>
      <c r="H634" s="8" t="s">
        <v>61</v>
      </c>
      <c r="I634" s="364">
        <f t="shared" si="28"/>
        <v>0</v>
      </c>
      <c r="J634" s="365">
        <f t="shared" si="27"/>
        <v>0</v>
      </c>
      <c r="K634" s="366">
        <f t="shared" si="29"/>
        <v>6</v>
      </c>
      <c r="L634" s="366">
        <f>+IF((C634&gt;='Resultats - informe'!$E$16)*(C634&lt;='Resultats - informe'!$G$16),1,0)</f>
        <v>1</v>
      </c>
      <c r="M634" s="366" cm="1">
        <f t="array" ref="M634">+_xlfn.IFS((C634&gt;='Resultats - informe'!$D$26)*(C634&lt;='Resultats - informe'!$E$26),0,(C634&gt;='Resultats - informe'!$D$27)*(C634&lt;='Resultats - informe'!$E$27),0,(C634&gt;='Resultats - informe'!$D$28)*(C634&lt;='Resultats - informe'!$E$28),0,(C634&gt;='Resultats - informe'!$D$29)*(C634&lt;='Resultats - informe'!$E$29),0,1,1)</f>
        <v>0</v>
      </c>
      <c r="N634" s="366">
        <f>+VLOOKUP(D634,'Resultats - informe'!$Y$18:$AG$42,'Introducció dades consum'!K634+1,0)</f>
        <v>0</v>
      </c>
      <c r="O634" s="367" cm="1">
        <f t="array" ref="O634">+_xlfn.SWITCH(MONTH(C634),1,1,2,1,3,1,4,2,5,2,6,3,7,3,8,3,9,3,10,2,11,2,12,1,2)</f>
        <v>1</v>
      </c>
      <c r="P634" s="43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  <c r="BT634" s="10"/>
      <c r="BU634" s="10"/>
    </row>
    <row r="635" spans="1:73" ht="18" x14ac:dyDescent="0.35">
      <c r="A635" s="43"/>
      <c r="C635" s="393"/>
      <c r="E635" s="394"/>
      <c r="F635" s="394"/>
      <c r="G635" s="394"/>
      <c r="H635" s="8" t="s">
        <v>61</v>
      </c>
      <c r="I635" s="364">
        <f t="shared" si="28"/>
        <v>0</v>
      </c>
      <c r="J635" s="365">
        <f t="shared" si="27"/>
        <v>0</v>
      </c>
      <c r="K635" s="366">
        <f t="shared" si="29"/>
        <v>6</v>
      </c>
      <c r="L635" s="366">
        <f>+IF((C635&gt;='Resultats - informe'!$E$16)*(C635&lt;='Resultats - informe'!$G$16),1,0)</f>
        <v>1</v>
      </c>
      <c r="M635" s="366" cm="1">
        <f t="array" ref="M635">+_xlfn.IFS((C635&gt;='Resultats - informe'!$D$26)*(C635&lt;='Resultats - informe'!$E$26),0,(C635&gt;='Resultats - informe'!$D$27)*(C635&lt;='Resultats - informe'!$E$27),0,(C635&gt;='Resultats - informe'!$D$28)*(C635&lt;='Resultats - informe'!$E$28),0,(C635&gt;='Resultats - informe'!$D$29)*(C635&lt;='Resultats - informe'!$E$29),0,1,1)</f>
        <v>0</v>
      </c>
      <c r="N635" s="366">
        <f>+VLOOKUP(D635,'Resultats - informe'!$Y$18:$AG$42,'Introducció dades consum'!K635+1,0)</f>
        <v>0</v>
      </c>
      <c r="O635" s="367" cm="1">
        <f t="array" ref="O635">+_xlfn.SWITCH(MONTH(C635),1,1,2,1,3,1,4,2,5,2,6,3,7,3,8,3,9,3,10,2,11,2,12,1,2)</f>
        <v>1</v>
      </c>
      <c r="P635" s="43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10"/>
    </row>
    <row r="636" spans="1:73" ht="18" x14ac:dyDescent="0.35">
      <c r="A636" s="43"/>
      <c r="C636" s="393"/>
      <c r="E636" s="394"/>
      <c r="F636" s="394"/>
      <c r="G636" s="394"/>
      <c r="H636" s="8" t="s">
        <v>61</v>
      </c>
      <c r="I636" s="364">
        <f t="shared" si="28"/>
        <v>0</v>
      </c>
      <c r="J636" s="365">
        <f t="shared" si="27"/>
        <v>0</v>
      </c>
      <c r="K636" s="366">
        <f t="shared" si="29"/>
        <v>6</v>
      </c>
      <c r="L636" s="366">
        <f>+IF((C636&gt;='Resultats - informe'!$E$16)*(C636&lt;='Resultats - informe'!$G$16),1,0)</f>
        <v>1</v>
      </c>
      <c r="M636" s="366" cm="1">
        <f t="array" ref="M636">+_xlfn.IFS((C636&gt;='Resultats - informe'!$D$26)*(C636&lt;='Resultats - informe'!$E$26),0,(C636&gt;='Resultats - informe'!$D$27)*(C636&lt;='Resultats - informe'!$E$27),0,(C636&gt;='Resultats - informe'!$D$28)*(C636&lt;='Resultats - informe'!$E$28),0,(C636&gt;='Resultats - informe'!$D$29)*(C636&lt;='Resultats - informe'!$E$29),0,1,1)</f>
        <v>0</v>
      </c>
      <c r="N636" s="366">
        <f>+VLOOKUP(D636,'Resultats - informe'!$Y$18:$AG$42,'Introducció dades consum'!K636+1,0)</f>
        <v>0</v>
      </c>
      <c r="O636" s="367" cm="1">
        <f t="array" ref="O636">+_xlfn.SWITCH(MONTH(C636),1,1,2,1,3,1,4,2,5,2,6,3,7,3,8,3,9,3,10,2,11,2,12,1,2)</f>
        <v>1</v>
      </c>
      <c r="P636" s="43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  <c r="BT636" s="10"/>
      <c r="BU636" s="10"/>
    </row>
    <row r="637" spans="1:73" ht="18" x14ac:dyDescent="0.35">
      <c r="A637" s="43"/>
      <c r="C637" s="393"/>
      <c r="E637" s="394"/>
      <c r="F637" s="394"/>
      <c r="G637" s="394"/>
      <c r="H637" s="8" t="s">
        <v>61</v>
      </c>
      <c r="I637" s="364">
        <f t="shared" si="28"/>
        <v>0</v>
      </c>
      <c r="J637" s="365">
        <f t="shared" si="27"/>
        <v>0</v>
      </c>
      <c r="K637" s="366">
        <f t="shared" si="29"/>
        <v>6</v>
      </c>
      <c r="L637" s="366">
        <f>+IF((C637&gt;='Resultats - informe'!$E$16)*(C637&lt;='Resultats - informe'!$G$16),1,0)</f>
        <v>1</v>
      </c>
      <c r="M637" s="366" cm="1">
        <f t="array" ref="M637">+_xlfn.IFS((C637&gt;='Resultats - informe'!$D$26)*(C637&lt;='Resultats - informe'!$E$26),0,(C637&gt;='Resultats - informe'!$D$27)*(C637&lt;='Resultats - informe'!$E$27),0,(C637&gt;='Resultats - informe'!$D$28)*(C637&lt;='Resultats - informe'!$E$28),0,(C637&gt;='Resultats - informe'!$D$29)*(C637&lt;='Resultats - informe'!$E$29),0,1,1)</f>
        <v>0</v>
      </c>
      <c r="N637" s="366">
        <f>+VLOOKUP(D637,'Resultats - informe'!$Y$18:$AG$42,'Introducció dades consum'!K637+1,0)</f>
        <v>0</v>
      </c>
      <c r="O637" s="367" cm="1">
        <f t="array" ref="O637">+_xlfn.SWITCH(MONTH(C637),1,1,2,1,3,1,4,2,5,2,6,3,7,3,8,3,9,3,10,2,11,2,12,1,2)</f>
        <v>1</v>
      </c>
      <c r="P637" s="43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10"/>
    </row>
    <row r="638" spans="1:73" ht="18" x14ac:dyDescent="0.35">
      <c r="A638" s="43"/>
      <c r="C638" s="393"/>
      <c r="E638" s="394"/>
      <c r="F638" s="394"/>
      <c r="G638" s="394"/>
      <c r="H638" s="8" t="s">
        <v>61</v>
      </c>
      <c r="I638" s="364">
        <f t="shared" si="28"/>
        <v>0</v>
      </c>
      <c r="J638" s="365">
        <f t="shared" si="27"/>
        <v>0</v>
      </c>
      <c r="K638" s="366">
        <f t="shared" si="29"/>
        <v>6</v>
      </c>
      <c r="L638" s="366">
        <f>+IF((C638&gt;='Resultats - informe'!$E$16)*(C638&lt;='Resultats - informe'!$G$16),1,0)</f>
        <v>1</v>
      </c>
      <c r="M638" s="366" cm="1">
        <f t="array" ref="M638">+_xlfn.IFS((C638&gt;='Resultats - informe'!$D$26)*(C638&lt;='Resultats - informe'!$E$26),0,(C638&gt;='Resultats - informe'!$D$27)*(C638&lt;='Resultats - informe'!$E$27),0,(C638&gt;='Resultats - informe'!$D$28)*(C638&lt;='Resultats - informe'!$E$28),0,(C638&gt;='Resultats - informe'!$D$29)*(C638&lt;='Resultats - informe'!$E$29),0,1,1)</f>
        <v>0</v>
      </c>
      <c r="N638" s="366">
        <f>+VLOOKUP(D638,'Resultats - informe'!$Y$18:$AG$42,'Introducció dades consum'!K638+1,0)</f>
        <v>0</v>
      </c>
      <c r="O638" s="367" cm="1">
        <f t="array" ref="O638">+_xlfn.SWITCH(MONTH(C638),1,1,2,1,3,1,4,2,5,2,6,3,7,3,8,3,9,3,10,2,11,2,12,1,2)</f>
        <v>1</v>
      </c>
      <c r="P638" s="43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  <c r="BT638" s="10"/>
      <c r="BU638" s="10"/>
    </row>
    <row r="639" spans="1:73" ht="18" x14ac:dyDescent="0.35">
      <c r="A639" s="43"/>
      <c r="C639" s="393"/>
      <c r="E639" s="394"/>
      <c r="F639" s="394"/>
      <c r="G639" s="394"/>
      <c r="H639" s="8" t="s">
        <v>61</v>
      </c>
      <c r="I639" s="364">
        <f t="shared" si="28"/>
        <v>0</v>
      </c>
      <c r="J639" s="365">
        <f t="shared" si="27"/>
        <v>0</v>
      </c>
      <c r="K639" s="366">
        <f t="shared" si="29"/>
        <v>6</v>
      </c>
      <c r="L639" s="366">
        <f>+IF((C639&gt;='Resultats - informe'!$E$16)*(C639&lt;='Resultats - informe'!$G$16),1,0)</f>
        <v>1</v>
      </c>
      <c r="M639" s="366" cm="1">
        <f t="array" ref="M639">+_xlfn.IFS((C639&gt;='Resultats - informe'!$D$26)*(C639&lt;='Resultats - informe'!$E$26),0,(C639&gt;='Resultats - informe'!$D$27)*(C639&lt;='Resultats - informe'!$E$27),0,(C639&gt;='Resultats - informe'!$D$28)*(C639&lt;='Resultats - informe'!$E$28),0,(C639&gt;='Resultats - informe'!$D$29)*(C639&lt;='Resultats - informe'!$E$29),0,1,1)</f>
        <v>0</v>
      </c>
      <c r="N639" s="366">
        <f>+VLOOKUP(D639,'Resultats - informe'!$Y$18:$AG$42,'Introducció dades consum'!K639+1,0)</f>
        <v>0</v>
      </c>
      <c r="O639" s="367" cm="1">
        <f t="array" ref="O639">+_xlfn.SWITCH(MONTH(C639),1,1,2,1,3,1,4,2,5,2,6,3,7,3,8,3,9,3,10,2,11,2,12,1,2)</f>
        <v>1</v>
      </c>
      <c r="P639" s="43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10"/>
    </row>
    <row r="640" spans="1:73" ht="18" x14ac:dyDescent="0.35">
      <c r="A640" s="43"/>
      <c r="C640" s="393"/>
      <c r="E640" s="394"/>
      <c r="F640" s="394"/>
      <c r="G640" s="394"/>
      <c r="H640" s="8" t="s">
        <v>61</v>
      </c>
      <c r="I640" s="364">
        <f t="shared" si="28"/>
        <v>0</v>
      </c>
      <c r="J640" s="365">
        <f t="shared" si="27"/>
        <v>0</v>
      </c>
      <c r="K640" s="366">
        <f t="shared" si="29"/>
        <v>6</v>
      </c>
      <c r="L640" s="366">
        <f>+IF((C640&gt;='Resultats - informe'!$E$16)*(C640&lt;='Resultats - informe'!$G$16),1,0)</f>
        <v>1</v>
      </c>
      <c r="M640" s="366" cm="1">
        <f t="array" ref="M640">+_xlfn.IFS((C640&gt;='Resultats - informe'!$D$26)*(C640&lt;='Resultats - informe'!$E$26),0,(C640&gt;='Resultats - informe'!$D$27)*(C640&lt;='Resultats - informe'!$E$27),0,(C640&gt;='Resultats - informe'!$D$28)*(C640&lt;='Resultats - informe'!$E$28),0,(C640&gt;='Resultats - informe'!$D$29)*(C640&lt;='Resultats - informe'!$E$29),0,1,1)</f>
        <v>0</v>
      </c>
      <c r="N640" s="366">
        <f>+VLOOKUP(D640,'Resultats - informe'!$Y$18:$AG$42,'Introducció dades consum'!K640+1,0)</f>
        <v>0</v>
      </c>
      <c r="O640" s="367" cm="1">
        <f t="array" ref="O640">+_xlfn.SWITCH(MONTH(C640),1,1,2,1,3,1,4,2,5,2,6,3,7,3,8,3,9,3,10,2,11,2,12,1,2)</f>
        <v>1</v>
      </c>
      <c r="P640" s="43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</row>
    <row r="641" spans="1:73" ht="18" x14ac:dyDescent="0.35">
      <c r="A641" s="43"/>
      <c r="C641" s="393"/>
      <c r="E641" s="394"/>
      <c r="F641" s="394"/>
      <c r="G641" s="394"/>
      <c r="H641" s="8" t="s">
        <v>61</v>
      </c>
      <c r="I641" s="364">
        <f t="shared" si="28"/>
        <v>0</v>
      </c>
      <c r="J641" s="365">
        <f t="shared" si="27"/>
        <v>0</v>
      </c>
      <c r="K641" s="366">
        <f t="shared" si="29"/>
        <v>6</v>
      </c>
      <c r="L641" s="366">
        <f>+IF((C641&gt;='Resultats - informe'!$E$16)*(C641&lt;='Resultats - informe'!$G$16),1,0)</f>
        <v>1</v>
      </c>
      <c r="M641" s="366" cm="1">
        <f t="array" ref="M641">+_xlfn.IFS((C641&gt;='Resultats - informe'!$D$26)*(C641&lt;='Resultats - informe'!$E$26),0,(C641&gt;='Resultats - informe'!$D$27)*(C641&lt;='Resultats - informe'!$E$27),0,(C641&gt;='Resultats - informe'!$D$28)*(C641&lt;='Resultats - informe'!$E$28),0,(C641&gt;='Resultats - informe'!$D$29)*(C641&lt;='Resultats - informe'!$E$29),0,1,1)</f>
        <v>0</v>
      </c>
      <c r="N641" s="366">
        <f>+VLOOKUP(D641,'Resultats - informe'!$Y$18:$AG$42,'Introducció dades consum'!K641+1,0)</f>
        <v>0</v>
      </c>
      <c r="O641" s="367" cm="1">
        <f t="array" ref="O641">+_xlfn.SWITCH(MONTH(C641),1,1,2,1,3,1,4,2,5,2,6,3,7,3,8,3,9,3,10,2,11,2,12,1,2)</f>
        <v>1</v>
      </c>
      <c r="P641" s="43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  <c r="BT641" s="10"/>
      <c r="BU641" s="10"/>
    </row>
    <row r="642" spans="1:73" ht="18" x14ac:dyDescent="0.35">
      <c r="A642" s="43"/>
      <c r="C642" s="393"/>
      <c r="E642" s="394"/>
      <c r="F642" s="394"/>
      <c r="G642" s="394"/>
      <c r="H642" s="8" t="s">
        <v>61</v>
      </c>
      <c r="I642" s="364">
        <f t="shared" si="28"/>
        <v>0</v>
      </c>
      <c r="J642" s="365">
        <f t="shared" si="27"/>
        <v>0</v>
      </c>
      <c r="K642" s="366">
        <f t="shared" si="29"/>
        <v>6</v>
      </c>
      <c r="L642" s="366">
        <f>+IF((C642&gt;='Resultats - informe'!$E$16)*(C642&lt;='Resultats - informe'!$G$16),1,0)</f>
        <v>1</v>
      </c>
      <c r="M642" s="366" cm="1">
        <f t="array" ref="M642">+_xlfn.IFS((C642&gt;='Resultats - informe'!$D$26)*(C642&lt;='Resultats - informe'!$E$26),0,(C642&gt;='Resultats - informe'!$D$27)*(C642&lt;='Resultats - informe'!$E$27),0,(C642&gt;='Resultats - informe'!$D$28)*(C642&lt;='Resultats - informe'!$E$28),0,(C642&gt;='Resultats - informe'!$D$29)*(C642&lt;='Resultats - informe'!$E$29),0,1,1)</f>
        <v>0</v>
      </c>
      <c r="N642" s="366">
        <f>+VLOOKUP(D642,'Resultats - informe'!$Y$18:$AG$42,'Introducció dades consum'!K642+1,0)</f>
        <v>0</v>
      </c>
      <c r="O642" s="367" cm="1">
        <f t="array" ref="O642">+_xlfn.SWITCH(MONTH(C642),1,1,2,1,3,1,4,2,5,2,6,3,7,3,8,3,9,3,10,2,11,2,12,1,2)</f>
        <v>1</v>
      </c>
      <c r="P642" s="43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  <c r="BT642" s="10"/>
      <c r="BU642" s="10"/>
    </row>
    <row r="643" spans="1:73" ht="18" x14ac:dyDescent="0.35">
      <c r="A643" s="43"/>
      <c r="C643" s="393"/>
      <c r="E643" s="394"/>
      <c r="F643" s="394"/>
      <c r="G643" s="394"/>
      <c r="H643" s="8" t="s">
        <v>61</v>
      </c>
      <c r="I643" s="364">
        <f t="shared" si="28"/>
        <v>0</v>
      </c>
      <c r="J643" s="365">
        <f t="shared" si="27"/>
        <v>0</v>
      </c>
      <c r="K643" s="366">
        <f t="shared" si="29"/>
        <v>6</v>
      </c>
      <c r="L643" s="366">
        <f>+IF((C643&gt;='Resultats - informe'!$E$16)*(C643&lt;='Resultats - informe'!$G$16),1,0)</f>
        <v>1</v>
      </c>
      <c r="M643" s="366" cm="1">
        <f t="array" ref="M643">+_xlfn.IFS((C643&gt;='Resultats - informe'!$D$26)*(C643&lt;='Resultats - informe'!$E$26),0,(C643&gt;='Resultats - informe'!$D$27)*(C643&lt;='Resultats - informe'!$E$27),0,(C643&gt;='Resultats - informe'!$D$28)*(C643&lt;='Resultats - informe'!$E$28),0,(C643&gt;='Resultats - informe'!$D$29)*(C643&lt;='Resultats - informe'!$E$29),0,1,1)</f>
        <v>0</v>
      </c>
      <c r="N643" s="366">
        <f>+VLOOKUP(D643,'Resultats - informe'!$Y$18:$AG$42,'Introducció dades consum'!K643+1,0)</f>
        <v>0</v>
      </c>
      <c r="O643" s="367" cm="1">
        <f t="array" ref="O643">+_xlfn.SWITCH(MONTH(C643),1,1,2,1,3,1,4,2,5,2,6,3,7,3,8,3,9,3,10,2,11,2,12,1,2)</f>
        <v>1</v>
      </c>
      <c r="P643" s="43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  <c r="BT643" s="10"/>
      <c r="BU643" s="10"/>
    </row>
    <row r="644" spans="1:73" ht="18" x14ac:dyDescent="0.35">
      <c r="A644" s="43"/>
      <c r="C644" s="393"/>
      <c r="E644" s="394"/>
      <c r="F644" s="394"/>
      <c r="G644" s="394"/>
      <c r="H644" s="8" t="s">
        <v>61</v>
      </c>
      <c r="I644" s="364">
        <f t="shared" si="28"/>
        <v>0</v>
      </c>
      <c r="J644" s="365">
        <f t="shared" si="27"/>
        <v>0</v>
      </c>
      <c r="K644" s="366">
        <f t="shared" si="29"/>
        <v>6</v>
      </c>
      <c r="L644" s="366">
        <f>+IF((C644&gt;='Resultats - informe'!$E$16)*(C644&lt;='Resultats - informe'!$G$16),1,0)</f>
        <v>1</v>
      </c>
      <c r="M644" s="366" cm="1">
        <f t="array" ref="M644">+_xlfn.IFS((C644&gt;='Resultats - informe'!$D$26)*(C644&lt;='Resultats - informe'!$E$26),0,(C644&gt;='Resultats - informe'!$D$27)*(C644&lt;='Resultats - informe'!$E$27),0,(C644&gt;='Resultats - informe'!$D$28)*(C644&lt;='Resultats - informe'!$E$28),0,(C644&gt;='Resultats - informe'!$D$29)*(C644&lt;='Resultats - informe'!$E$29),0,1,1)</f>
        <v>0</v>
      </c>
      <c r="N644" s="366">
        <f>+VLOOKUP(D644,'Resultats - informe'!$Y$18:$AG$42,'Introducció dades consum'!K644+1,0)</f>
        <v>0</v>
      </c>
      <c r="O644" s="367" cm="1">
        <f t="array" ref="O644">+_xlfn.SWITCH(MONTH(C644),1,1,2,1,3,1,4,2,5,2,6,3,7,3,8,3,9,3,10,2,11,2,12,1,2)</f>
        <v>1</v>
      </c>
      <c r="P644" s="43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  <c r="BT644" s="10"/>
      <c r="BU644" s="10"/>
    </row>
    <row r="645" spans="1:73" ht="18" x14ac:dyDescent="0.35">
      <c r="A645" s="43"/>
      <c r="C645" s="393"/>
      <c r="E645" s="394"/>
      <c r="F645" s="394"/>
      <c r="G645" s="394"/>
      <c r="H645" s="8" t="s">
        <v>61</v>
      </c>
      <c r="I645" s="364">
        <f t="shared" si="28"/>
        <v>0</v>
      </c>
      <c r="J645" s="365">
        <f t="shared" ref="J645:J697" si="30">+C645</f>
        <v>0</v>
      </c>
      <c r="K645" s="366">
        <f t="shared" si="29"/>
        <v>6</v>
      </c>
      <c r="L645" s="366">
        <f>+IF((C645&gt;='Resultats - informe'!$E$16)*(C645&lt;='Resultats - informe'!$G$16),1,0)</f>
        <v>1</v>
      </c>
      <c r="M645" s="366" cm="1">
        <f t="array" ref="M645">+_xlfn.IFS((C645&gt;='Resultats - informe'!$D$26)*(C645&lt;='Resultats - informe'!$E$26),0,(C645&gt;='Resultats - informe'!$D$27)*(C645&lt;='Resultats - informe'!$E$27),0,(C645&gt;='Resultats - informe'!$D$28)*(C645&lt;='Resultats - informe'!$E$28),0,(C645&gt;='Resultats - informe'!$D$29)*(C645&lt;='Resultats - informe'!$E$29),0,1,1)</f>
        <v>0</v>
      </c>
      <c r="N645" s="366">
        <f>+VLOOKUP(D645,'Resultats - informe'!$Y$18:$AG$42,'Introducció dades consum'!K645+1,0)</f>
        <v>0</v>
      </c>
      <c r="O645" s="367" cm="1">
        <f t="array" ref="O645">+_xlfn.SWITCH(MONTH(C645),1,1,2,1,3,1,4,2,5,2,6,3,7,3,8,3,9,3,10,2,11,2,12,1,2)</f>
        <v>1</v>
      </c>
      <c r="P645" s="43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  <c r="BT645" s="10"/>
      <c r="BU645" s="10"/>
    </row>
    <row r="646" spans="1:73" ht="18" x14ac:dyDescent="0.35">
      <c r="A646" s="43"/>
      <c r="C646" s="393"/>
      <c r="E646" s="394"/>
      <c r="F646" s="394"/>
      <c r="G646" s="394"/>
      <c r="H646" s="8" t="s">
        <v>61</v>
      </c>
      <c r="I646" s="364">
        <f t="shared" ref="I646:I709" si="31">+E646+G646</f>
        <v>0</v>
      </c>
      <c r="J646" s="365">
        <f t="shared" si="30"/>
        <v>0</v>
      </c>
      <c r="K646" s="366">
        <f t="shared" ref="K646:K709" si="32">+WEEKDAY(C646,2)</f>
        <v>6</v>
      </c>
      <c r="L646" s="366">
        <f>+IF((C646&gt;='Resultats - informe'!$E$16)*(C646&lt;='Resultats - informe'!$G$16),1,0)</f>
        <v>1</v>
      </c>
      <c r="M646" s="366" cm="1">
        <f t="array" ref="M646">+_xlfn.IFS((C646&gt;='Resultats - informe'!$D$26)*(C646&lt;='Resultats - informe'!$E$26),0,(C646&gt;='Resultats - informe'!$D$27)*(C646&lt;='Resultats - informe'!$E$27),0,(C646&gt;='Resultats - informe'!$D$28)*(C646&lt;='Resultats - informe'!$E$28),0,(C646&gt;='Resultats - informe'!$D$29)*(C646&lt;='Resultats - informe'!$E$29),0,1,1)</f>
        <v>0</v>
      </c>
      <c r="N646" s="366">
        <f>+VLOOKUP(D646,'Resultats - informe'!$Y$18:$AG$42,'Introducció dades consum'!K646+1,0)</f>
        <v>0</v>
      </c>
      <c r="O646" s="367" cm="1">
        <f t="array" ref="O646">+_xlfn.SWITCH(MONTH(C646),1,1,2,1,3,1,4,2,5,2,6,3,7,3,8,3,9,3,10,2,11,2,12,1,2)</f>
        <v>1</v>
      </c>
      <c r="P646" s="43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  <c r="BF646" s="10"/>
      <c r="BG646" s="10"/>
      <c r="BH646" s="10"/>
      <c r="BI646" s="10"/>
      <c r="BJ646" s="10"/>
      <c r="BK646" s="10"/>
      <c r="BL646" s="10"/>
      <c r="BM646" s="10"/>
      <c r="BN646" s="10"/>
      <c r="BO646" s="10"/>
      <c r="BP646" s="10"/>
      <c r="BQ646" s="10"/>
      <c r="BR646" s="10"/>
      <c r="BS646" s="10"/>
      <c r="BT646" s="10"/>
      <c r="BU646" s="10"/>
    </row>
    <row r="647" spans="1:73" ht="18" x14ac:dyDescent="0.35">
      <c r="A647" s="43"/>
      <c r="C647" s="393"/>
      <c r="E647" s="394"/>
      <c r="F647" s="394"/>
      <c r="G647" s="394"/>
      <c r="H647" s="8" t="s">
        <v>61</v>
      </c>
      <c r="I647" s="364">
        <f t="shared" si="31"/>
        <v>0</v>
      </c>
      <c r="J647" s="365">
        <f t="shared" si="30"/>
        <v>0</v>
      </c>
      <c r="K647" s="366">
        <f t="shared" si="32"/>
        <v>6</v>
      </c>
      <c r="L647" s="366">
        <f>+IF((C647&gt;='Resultats - informe'!$E$16)*(C647&lt;='Resultats - informe'!$G$16),1,0)</f>
        <v>1</v>
      </c>
      <c r="M647" s="366" cm="1">
        <f t="array" ref="M647">+_xlfn.IFS((C647&gt;='Resultats - informe'!$D$26)*(C647&lt;='Resultats - informe'!$E$26),0,(C647&gt;='Resultats - informe'!$D$27)*(C647&lt;='Resultats - informe'!$E$27),0,(C647&gt;='Resultats - informe'!$D$28)*(C647&lt;='Resultats - informe'!$E$28),0,(C647&gt;='Resultats - informe'!$D$29)*(C647&lt;='Resultats - informe'!$E$29),0,1,1)</f>
        <v>0</v>
      </c>
      <c r="N647" s="366">
        <f>+VLOOKUP(D647,'Resultats - informe'!$Y$18:$AG$42,'Introducció dades consum'!K647+1,0)</f>
        <v>0</v>
      </c>
      <c r="O647" s="367" cm="1">
        <f t="array" ref="O647">+_xlfn.SWITCH(MONTH(C647),1,1,2,1,3,1,4,2,5,2,6,3,7,3,8,3,9,3,10,2,11,2,12,1,2)</f>
        <v>1</v>
      </c>
      <c r="P647" s="43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  <c r="BT647" s="10"/>
      <c r="BU647" s="10"/>
    </row>
    <row r="648" spans="1:73" ht="18" x14ac:dyDescent="0.35">
      <c r="A648" s="43"/>
      <c r="C648" s="393"/>
      <c r="E648" s="394"/>
      <c r="F648" s="394"/>
      <c r="G648" s="394"/>
      <c r="H648" s="8" t="s">
        <v>61</v>
      </c>
      <c r="I648" s="364">
        <f t="shared" si="31"/>
        <v>0</v>
      </c>
      <c r="J648" s="365">
        <f t="shared" si="30"/>
        <v>0</v>
      </c>
      <c r="K648" s="366">
        <f t="shared" si="32"/>
        <v>6</v>
      </c>
      <c r="L648" s="366">
        <f>+IF((C648&gt;='Resultats - informe'!$E$16)*(C648&lt;='Resultats - informe'!$G$16),1,0)</f>
        <v>1</v>
      </c>
      <c r="M648" s="366" cm="1">
        <f t="array" ref="M648">+_xlfn.IFS((C648&gt;='Resultats - informe'!$D$26)*(C648&lt;='Resultats - informe'!$E$26),0,(C648&gt;='Resultats - informe'!$D$27)*(C648&lt;='Resultats - informe'!$E$27),0,(C648&gt;='Resultats - informe'!$D$28)*(C648&lt;='Resultats - informe'!$E$28),0,(C648&gt;='Resultats - informe'!$D$29)*(C648&lt;='Resultats - informe'!$E$29),0,1,1)</f>
        <v>0</v>
      </c>
      <c r="N648" s="366">
        <f>+VLOOKUP(D648,'Resultats - informe'!$Y$18:$AG$42,'Introducció dades consum'!K648+1,0)</f>
        <v>0</v>
      </c>
      <c r="O648" s="367" cm="1">
        <f t="array" ref="O648">+_xlfn.SWITCH(MONTH(C648),1,1,2,1,3,1,4,2,5,2,6,3,7,3,8,3,9,3,10,2,11,2,12,1,2)</f>
        <v>1</v>
      </c>
      <c r="P648" s="43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  <c r="BT648" s="10"/>
      <c r="BU648" s="10"/>
    </row>
    <row r="649" spans="1:73" ht="18" x14ac:dyDescent="0.35">
      <c r="A649" s="43"/>
      <c r="C649" s="393"/>
      <c r="E649" s="394"/>
      <c r="F649" s="394"/>
      <c r="G649" s="394"/>
      <c r="H649" s="8" t="s">
        <v>61</v>
      </c>
      <c r="I649" s="364">
        <f t="shared" si="31"/>
        <v>0</v>
      </c>
      <c r="J649" s="365">
        <f t="shared" si="30"/>
        <v>0</v>
      </c>
      <c r="K649" s="366">
        <f t="shared" si="32"/>
        <v>6</v>
      </c>
      <c r="L649" s="366">
        <f>+IF((C649&gt;='Resultats - informe'!$E$16)*(C649&lt;='Resultats - informe'!$G$16),1,0)</f>
        <v>1</v>
      </c>
      <c r="M649" s="366" cm="1">
        <f t="array" ref="M649">+_xlfn.IFS((C649&gt;='Resultats - informe'!$D$26)*(C649&lt;='Resultats - informe'!$E$26),0,(C649&gt;='Resultats - informe'!$D$27)*(C649&lt;='Resultats - informe'!$E$27),0,(C649&gt;='Resultats - informe'!$D$28)*(C649&lt;='Resultats - informe'!$E$28),0,(C649&gt;='Resultats - informe'!$D$29)*(C649&lt;='Resultats - informe'!$E$29),0,1,1)</f>
        <v>0</v>
      </c>
      <c r="N649" s="366">
        <f>+VLOOKUP(D649,'Resultats - informe'!$Y$18:$AG$42,'Introducció dades consum'!K649+1,0)</f>
        <v>0</v>
      </c>
      <c r="O649" s="367" cm="1">
        <f t="array" ref="O649">+_xlfn.SWITCH(MONTH(C649),1,1,2,1,3,1,4,2,5,2,6,3,7,3,8,3,9,3,10,2,11,2,12,1,2)</f>
        <v>1</v>
      </c>
      <c r="P649" s="43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  <c r="BT649" s="10"/>
      <c r="BU649" s="10"/>
    </row>
    <row r="650" spans="1:73" ht="18" x14ac:dyDescent="0.35">
      <c r="A650" s="43"/>
      <c r="C650" s="393"/>
      <c r="E650" s="394"/>
      <c r="F650" s="394"/>
      <c r="G650" s="394"/>
      <c r="H650" s="8" t="s">
        <v>61</v>
      </c>
      <c r="I650" s="364">
        <f t="shared" si="31"/>
        <v>0</v>
      </c>
      <c r="J650" s="365">
        <f t="shared" si="30"/>
        <v>0</v>
      </c>
      <c r="K650" s="366">
        <f t="shared" si="32"/>
        <v>6</v>
      </c>
      <c r="L650" s="366">
        <f>+IF((C650&gt;='Resultats - informe'!$E$16)*(C650&lt;='Resultats - informe'!$G$16),1,0)</f>
        <v>1</v>
      </c>
      <c r="M650" s="366" cm="1">
        <f t="array" ref="M650">+_xlfn.IFS((C650&gt;='Resultats - informe'!$D$26)*(C650&lt;='Resultats - informe'!$E$26),0,(C650&gt;='Resultats - informe'!$D$27)*(C650&lt;='Resultats - informe'!$E$27),0,(C650&gt;='Resultats - informe'!$D$28)*(C650&lt;='Resultats - informe'!$E$28),0,(C650&gt;='Resultats - informe'!$D$29)*(C650&lt;='Resultats - informe'!$E$29),0,1,1)</f>
        <v>0</v>
      </c>
      <c r="N650" s="366">
        <f>+VLOOKUP(D650,'Resultats - informe'!$Y$18:$AG$42,'Introducció dades consum'!K650+1,0)</f>
        <v>0</v>
      </c>
      <c r="O650" s="367" cm="1">
        <f t="array" ref="O650">+_xlfn.SWITCH(MONTH(C650),1,1,2,1,3,1,4,2,5,2,6,3,7,3,8,3,9,3,10,2,11,2,12,1,2)</f>
        <v>1</v>
      </c>
      <c r="P650" s="43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  <c r="BF650" s="10"/>
      <c r="BG650" s="10"/>
      <c r="BH650" s="10"/>
      <c r="BI650" s="10"/>
      <c r="BJ650" s="10"/>
      <c r="BK650" s="10"/>
      <c r="BL650" s="10"/>
      <c r="BM650" s="10"/>
      <c r="BN650" s="10"/>
      <c r="BO650" s="10"/>
      <c r="BP650" s="10"/>
      <c r="BQ650" s="10"/>
      <c r="BR650" s="10"/>
      <c r="BS650" s="10"/>
      <c r="BT650" s="10"/>
      <c r="BU650" s="10"/>
    </row>
    <row r="651" spans="1:73" ht="18" x14ac:dyDescent="0.35">
      <c r="A651" s="43"/>
      <c r="C651" s="393"/>
      <c r="E651" s="394"/>
      <c r="F651" s="394"/>
      <c r="G651" s="394"/>
      <c r="H651" s="8" t="s">
        <v>61</v>
      </c>
      <c r="I651" s="364">
        <f t="shared" si="31"/>
        <v>0</v>
      </c>
      <c r="J651" s="365">
        <f t="shared" si="30"/>
        <v>0</v>
      </c>
      <c r="K651" s="366">
        <f t="shared" si="32"/>
        <v>6</v>
      </c>
      <c r="L651" s="366">
        <f>+IF((C651&gt;='Resultats - informe'!$E$16)*(C651&lt;='Resultats - informe'!$G$16),1,0)</f>
        <v>1</v>
      </c>
      <c r="M651" s="366" cm="1">
        <f t="array" ref="M651">+_xlfn.IFS((C651&gt;='Resultats - informe'!$D$26)*(C651&lt;='Resultats - informe'!$E$26),0,(C651&gt;='Resultats - informe'!$D$27)*(C651&lt;='Resultats - informe'!$E$27),0,(C651&gt;='Resultats - informe'!$D$28)*(C651&lt;='Resultats - informe'!$E$28),0,(C651&gt;='Resultats - informe'!$D$29)*(C651&lt;='Resultats - informe'!$E$29),0,1,1)</f>
        <v>0</v>
      </c>
      <c r="N651" s="366">
        <f>+VLOOKUP(D651,'Resultats - informe'!$Y$18:$AG$42,'Introducció dades consum'!K651+1,0)</f>
        <v>0</v>
      </c>
      <c r="O651" s="367" cm="1">
        <f t="array" ref="O651">+_xlfn.SWITCH(MONTH(C651),1,1,2,1,3,1,4,2,5,2,6,3,7,3,8,3,9,3,10,2,11,2,12,1,2)</f>
        <v>1</v>
      </c>
      <c r="P651" s="43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  <c r="BT651" s="10"/>
      <c r="BU651" s="10"/>
    </row>
    <row r="652" spans="1:73" ht="18" x14ac:dyDescent="0.35">
      <c r="A652" s="43"/>
      <c r="C652" s="393"/>
      <c r="E652" s="394"/>
      <c r="F652" s="394"/>
      <c r="G652" s="394"/>
      <c r="H652" s="8" t="s">
        <v>61</v>
      </c>
      <c r="I652" s="364">
        <f t="shared" si="31"/>
        <v>0</v>
      </c>
      <c r="J652" s="365">
        <f t="shared" si="30"/>
        <v>0</v>
      </c>
      <c r="K652" s="366">
        <f t="shared" si="32"/>
        <v>6</v>
      </c>
      <c r="L652" s="366">
        <f>+IF((C652&gt;='Resultats - informe'!$E$16)*(C652&lt;='Resultats - informe'!$G$16),1,0)</f>
        <v>1</v>
      </c>
      <c r="M652" s="366" cm="1">
        <f t="array" ref="M652">+_xlfn.IFS((C652&gt;='Resultats - informe'!$D$26)*(C652&lt;='Resultats - informe'!$E$26),0,(C652&gt;='Resultats - informe'!$D$27)*(C652&lt;='Resultats - informe'!$E$27),0,(C652&gt;='Resultats - informe'!$D$28)*(C652&lt;='Resultats - informe'!$E$28),0,(C652&gt;='Resultats - informe'!$D$29)*(C652&lt;='Resultats - informe'!$E$29),0,1,1)</f>
        <v>0</v>
      </c>
      <c r="N652" s="366">
        <f>+VLOOKUP(D652,'Resultats - informe'!$Y$18:$AG$42,'Introducció dades consum'!K652+1,0)</f>
        <v>0</v>
      </c>
      <c r="O652" s="367" cm="1">
        <f t="array" ref="O652">+_xlfn.SWITCH(MONTH(C652),1,1,2,1,3,1,4,2,5,2,6,3,7,3,8,3,9,3,10,2,11,2,12,1,2)</f>
        <v>1</v>
      </c>
      <c r="P652" s="43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  <c r="BT652" s="10"/>
      <c r="BU652" s="10"/>
    </row>
    <row r="653" spans="1:73" ht="18" x14ac:dyDescent="0.35">
      <c r="A653" s="43"/>
      <c r="C653" s="393"/>
      <c r="E653" s="394"/>
      <c r="F653" s="394"/>
      <c r="G653" s="394"/>
      <c r="H653" s="8" t="s">
        <v>61</v>
      </c>
      <c r="I653" s="364">
        <f t="shared" si="31"/>
        <v>0</v>
      </c>
      <c r="J653" s="365">
        <f t="shared" si="30"/>
        <v>0</v>
      </c>
      <c r="K653" s="366">
        <f t="shared" si="32"/>
        <v>6</v>
      </c>
      <c r="L653" s="366">
        <f>+IF((C653&gt;='Resultats - informe'!$E$16)*(C653&lt;='Resultats - informe'!$G$16),1,0)</f>
        <v>1</v>
      </c>
      <c r="M653" s="366" cm="1">
        <f t="array" ref="M653">+_xlfn.IFS((C653&gt;='Resultats - informe'!$D$26)*(C653&lt;='Resultats - informe'!$E$26),0,(C653&gt;='Resultats - informe'!$D$27)*(C653&lt;='Resultats - informe'!$E$27),0,(C653&gt;='Resultats - informe'!$D$28)*(C653&lt;='Resultats - informe'!$E$28),0,(C653&gt;='Resultats - informe'!$D$29)*(C653&lt;='Resultats - informe'!$E$29),0,1,1)</f>
        <v>0</v>
      </c>
      <c r="N653" s="366">
        <f>+VLOOKUP(D653,'Resultats - informe'!$Y$18:$AG$42,'Introducció dades consum'!K653+1,0)</f>
        <v>0</v>
      </c>
      <c r="O653" s="367" cm="1">
        <f t="array" ref="O653">+_xlfn.SWITCH(MONTH(C653),1,1,2,1,3,1,4,2,5,2,6,3,7,3,8,3,9,3,10,2,11,2,12,1,2)</f>
        <v>1</v>
      </c>
      <c r="P653" s="43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  <c r="BT653" s="10"/>
      <c r="BU653" s="10"/>
    </row>
    <row r="654" spans="1:73" ht="18" x14ac:dyDescent="0.35">
      <c r="A654" s="43"/>
      <c r="C654" s="393"/>
      <c r="E654" s="394"/>
      <c r="F654" s="394"/>
      <c r="G654" s="394"/>
      <c r="H654" s="8" t="s">
        <v>61</v>
      </c>
      <c r="I654" s="364">
        <f t="shared" si="31"/>
        <v>0</v>
      </c>
      <c r="J654" s="365">
        <f t="shared" si="30"/>
        <v>0</v>
      </c>
      <c r="K654" s="366">
        <f t="shared" si="32"/>
        <v>6</v>
      </c>
      <c r="L654" s="366">
        <f>+IF((C654&gt;='Resultats - informe'!$E$16)*(C654&lt;='Resultats - informe'!$G$16),1,0)</f>
        <v>1</v>
      </c>
      <c r="M654" s="366" cm="1">
        <f t="array" ref="M654">+_xlfn.IFS((C654&gt;='Resultats - informe'!$D$26)*(C654&lt;='Resultats - informe'!$E$26),0,(C654&gt;='Resultats - informe'!$D$27)*(C654&lt;='Resultats - informe'!$E$27),0,(C654&gt;='Resultats - informe'!$D$28)*(C654&lt;='Resultats - informe'!$E$28),0,(C654&gt;='Resultats - informe'!$D$29)*(C654&lt;='Resultats - informe'!$E$29),0,1,1)</f>
        <v>0</v>
      </c>
      <c r="N654" s="366">
        <f>+VLOOKUP(D654,'Resultats - informe'!$Y$18:$AG$42,'Introducció dades consum'!K654+1,0)</f>
        <v>0</v>
      </c>
      <c r="O654" s="367" cm="1">
        <f t="array" ref="O654">+_xlfn.SWITCH(MONTH(C654),1,1,2,1,3,1,4,2,5,2,6,3,7,3,8,3,9,3,10,2,11,2,12,1,2)</f>
        <v>1</v>
      </c>
      <c r="P654" s="43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  <c r="BT654" s="10"/>
      <c r="BU654" s="10"/>
    </row>
    <row r="655" spans="1:73" ht="18" x14ac:dyDescent="0.35">
      <c r="A655" s="43"/>
      <c r="C655" s="393"/>
      <c r="E655" s="394"/>
      <c r="F655" s="394"/>
      <c r="G655" s="394"/>
      <c r="H655" s="8" t="s">
        <v>61</v>
      </c>
      <c r="I655" s="364">
        <f t="shared" si="31"/>
        <v>0</v>
      </c>
      <c r="J655" s="365">
        <f t="shared" si="30"/>
        <v>0</v>
      </c>
      <c r="K655" s="366">
        <f t="shared" si="32"/>
        <v>6</v>
      </c>
      <c r="L655" s="366">
        <f>+IF((C655&gt;='Resultats - informe'!$E$16)*(C655&lt;='Resultats - informe'!$G$16),1,0)</f>
        <v>1</v>
      </c>
      <c r="M655" s="366" cm="1">
        <f t="array" ref="M655">+_xlfn.IFS((C655&gt;='Resultats - informe'!$D$26)*(C655&lt;='Resultats - informe'!$E$26),0,(C655&gt;='Resultats - informe'!$D$27)*(C655&lt;='Resultats - informe'!$E$27),0,(C655&gt;='Resultats - informe'!$D$28)*(C655&lt;='Resultats - informe'!$E$28),0,(C655&gt;='Resultats - informe'!$D$29)*(C655&lt;='Resultats - informe'!$E$29),0,1,1)</f>
        <v>0</v>
      </c>
      <c r="N655" s="366">
        <f>+VLOOKUP(D655,'Resultats - informe'!$Y$18:$AG$42,'Introducció dades consum'!K655+1,0)</f>
        <v>0</v>
      </c>
      <c r="O655" s="367" cm="1">
        <f t="array" ref="O655">+_xlfn.SWITCH(MONTH(C655),1,1,2,1,3,1,4,2,5,2,6,3,7,3,8,3,9,3,10,2,11,2,12,1,2)</f>
        <v>1</v>
      </c>
      <c r="P655" s="43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  <c r="BT655" s="10"/>
      <c r="BU655" s="10"/>
    </row>
    <row r="656" spans="1:73" ht="18" x14ac:dyDescent="0.35">
      <c r="A656" s="43"/>
      <c r="C656" s="393"/>
      <c r="E656" s="394"/>
      <c r="F656" s="394"/>
      <c r="G656" s="394"/>
      <c r="H656" s="8" t="s">
        <v>61</v>
      </c>
      <c r="I656" s="364">
        <f t="shared" si="31"/>
        <v>0</v>
      </c>
      <c r="J656" s="365">
        <f t="shared" si="30"/>
        <v>0</v>
      </c>
      <c r="K656" s="366">
        <f t="shared" si="32"/>
        <v>6</v>
      </c>
      <c r="L656" s="366">
        <f>+IF((C656&gt;='Resultats - informe'!$E$16)*(C656&lt;='Resultats - informe'!$G$16),1,0)</f>
        <v>1</v>
      </c>
      <c r="M656" s="366" cm="1">
        <f t="array" ref="M656">+_xlfn.IFS((C656&gt;='Resultats - informe'!$D$26)*(C656&lt;='Resultats - informe'!$E$26),0,(C656&gt;='Resultats - informe'!$D$27)*(C656&lt;='Resultats - informe'!$E$27),0,(C656&gt;='Resultats - informe'!$D$28)*(C656&lt;='Resultats - informe'!$E$28),0,(C656&gt;='Resultats - informe'!$D$29)*(C656&lt;='Resultats - informe'!$E$29),0,1,1)</f>
        <v>0</v>
      </c>
      <c r="N656" s="366">
        <f>+VLOOKUP(D656,'Resultats - informe'!$Y$18:$AG$42,'Introducció dades consum'!K656+1,0)</f>
        <v>0</v>
      </c>
      <c r="O656" s="367" cm="1">
        <f t="array" ref="O656">+_xlfn.SWITCH(MONTH(C656),1,1,2,1,3,1,4,2,5,2,6,3,7,3,8,3,9,3,10,2,11,2,12,1,2)</f>
        <v>1</v>
      </c>
      <c r="P656" s="43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  <c r="BT656" s="10"/>
      <c r="BU656" s="10"/>
    </row>
    <row r="657" spans="1:73" ht="18" x14ac:dyDescent="0.35">
      <c r="A657" s="43"/>
      <c r="C657" s="393"/>
      <c r="E657" s="394"/>
      <c r="F657" s="394"/>
      <c r="G657" s="394"/>
      <c r="H657" s="8" t="s">
        <v>61</v>
      </c>
      <c r="I657" s="364">
        <f t="shared" si="31"/>
        <v>0</v>
      </c>
      <c r="J657" s="365">
        <f t="shared" si="30"/>
        <v>0</v>
      </c>
      <c r="K657" s="366">
        <f t="shared" si="32"/>
        <v>6</v>
      </c>
      <c r="L657" s="366">
        <f>+IF((C657&gt;='Resultats - informe'!$E$16)*(C657&lt;='Resultats - informe'!$G$16),1,0)</f>
        <v>1</v>
      </c>
      <c r="M657" s="366" cm="1">
        <f t="array" ref="M657">+_xlfn.IFS((C657&gt;='Resultats - informe'!$D$26)*(C657&lt;='Resultats - informe'!$E$26),0,(C657&gt;='Resultats - informe'!$D$27)*(C657&lt;='Resultats - informe'!$E$27),0,(C657&gt;='Resultats - informe'!$D$28)*(C657&lt;='Resultats - informe'!$E$28),0,(C657&gt;='Resultats - informe'!$D$29)*(C657&lt;='Resultats - informe'!$E$29),0,1,1)</f>
        <v>0</v>
      </c>
      <c r="N657" s="366">
        <f>+VLOOKUP(D657,'Resultats - informe'!$Y$18:$AG$42,'Introducció dades consum'!K657+1,0)</f>
        <v>0</v>
      </c>
      <c r="O657" s="367" cm="1">
        <f t="array" ref="O657">+_xlfn.SWITCH(MONTH(C657),1,1,2,1,3,1,4,2,5,2,6,3,7,3,8,3,9,3,10,2,11,2,12,1,2)</f>
        <v>1</v>
      </c>
      <c r="P657" s="43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  <c r="BT657" s="10"/>
      <c r="BU657" s="10"/>
    </row>
    <row r="658" spans="1:73" ht="18" x14ac:dyDescent="0.35">
      <c r="A658" s="43"/>
      <c r="C658" s="393"/>
      <c r="E658" s="394"/>
      <c r="F658" s="394"/>
      <c r="G658" s="394"/>
      <c r="H658" s="8" t="s">
        <v>61</v>
      </c>
      <c r="I658" s="364">
        <f t="shared" si="31"/>
        <v>0</v>
      </c>
      <c r="J658" s="365">
        <f t="shared" si="30"/>
        <v>0</v>
      </c>
      <c r="K658" s="366">
        <f t="shared" si="32"/>
        <v>6</v>
      </c>
      <c r="L658" s="366">
        <f>+IF((C658&gt;='Resultats - informe'!$E$16)*(C658&lt;='Resultats - informe'!$G$16),1,0)</f>
        <v>1</v>
      </c>
      <c r="M658" s="366" cm="1">
        <f t="array" ref="M658">+_xlfn.IFS((C658&gt;='Resultats - informe'!$D$26)*(C658&lt;='Resultats - informe'!$E$26),0,(C658&gt;='Resultats - informe'!$D$27)*(C658&lt;='Resultats - informe'!$E$27),0,(C658&gt;='Resultats - informe'!$D$28)*(C658&lt;='Resultats - informe'!$E$28),0,(C658&gt;='Resultats - informe'!$D$29)*(C658&lt;='Resultats - informe'!$E$29),0,1,1)</f>
        <v>0</v>
      </c>
      <c r="N658" s="366">
        <f>+VLOOKUP(D658,'Resultats - informe'!$Y$18:$AG$42,'Introducció dades consum'!K658+1,0)</f>
        <v>0</v>
      </c>
      <c r="O658" s="367" cm="1">
        <f t="array" ref="O658">+_xlfn.SWITCH(MONTH(C658),1,1,2,1,3,1,4,2,5,2,6,3,7,3,8,3,9,3,10,2,11,2,12,1,2)</f>
        <v>1</v>
      </c>
      <c r="P658" s="43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  <c r="BT658" s="10"/>
      <c r="BU658" s="10"/>
    </row>
    <row r="659" spans="1:73" ht="18" x14ac:dyDescent="0.35">
      <c r="A659" s="43"/>
      <c r="C659" s="393"/>
      <c r="E659" s="394"/>
      <c r="F659" s="394"/>
      <c r="G659" s="394"/>
      <c r="H659" s="8" t="s">
        <v>61</v>
      </c>
      <c r="I659" s="364">
        <f t="shared" si="31"/>
        <v>0</v>
      </c>
      <c r="J659" s="365">
        <f t="shared" si="30"/>
        <v>0</v>
      </c>
      <c r="K659" s="366">
        <f t="shared" si="32"/>
        <v>6</v>
      </c>
      <c r="L659" s="366">
        <f>+IF((C659&gt;='Resultats - informe'!$E$16)*(C659&lt;='Resultats - informe'!$G$16),1,0)</f>
        <v>1</v>
      </c>
      <c r="M659" s="366" cm="1">
        <f t="array" ref="M659">+_xlfn.IFS((C659&gt;='Resultats - informe'!$D$26)*(C659&lt;='Resultats - informe'!$E$26),0,(C659&gt;='Resultats - informe'!$D$27)*(C659&lt;='Resultats - informe'!$E$27),0,(C659&gt;='Resultats - informe'!$D$28)*(C659&lt;='Resultats - informe'!$E$28),0,(C659&gt;='Resultats - informe'!$D$29)*(C659&lt;='Resultats - informe'!$E$29),0,1,1)</f>
        <v>0</v>
      </c>
      <c r="N659" s="366">
        <f>+VLOOKUP(D659,'Resultats - informe'!$Y$18:$AG$42,'Introducció dades consum'!K659+1,0)</f>
        <v>0</v>
      </c>
      <c r="O659" s="367" cm="1">
        <f t="array" ref="O659">+_xlfn.SWITCH(MONTH(C659),1,1,2,1,3,1,4,2,5,2,6,3,7,3,8,3,9,3,10,2,11,2,12,1,2)</f>
        <v>1</v>
      </c>
      <c r="P659" s="43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  <c r="BT659" s="10"/>
      <c r="BU659" s="10"/>
    </row>
    <row r="660" spans="1:73" ht="18" x14ac:dyDescent="0.35">
      <c r="A660" s="43"/>
      <c r="C660" s="393"/>
      <c r="E660" s="394"/>
      <c r="F660" s="394"/>
      <c r="G660" s="394"/>
      <c r="H660" s="8" t="s">
        <v>61</v>
      </c>
      <c r="I660" s="364">
        <f t="shared" si="31"/>
        <v>0</v>
      </c>
      <c r="J660" s="365">
        <f t="shared" si="30"/>
        <v>0</v>
      </c>
      <c r="K660" s="366">
        <f t="shared" si="32"/>
        <v>6</v>
      </c>
      <c r="L660" s="366">
        <f>+IF((C660&gt;='Resultats - informe'!$E$16)*(C660&lt;='Resultats - informe'!$G$16),1,0)</f>
        <v>1</v>
      </c>
      <c r="M660" s="366" cm="1">
        <f t="array" ref="M660">+_xlfn.IFS((C660&gt;='Resultats - informe'!$D$26)*(C660&lt;='Resultats - informe'!$E$26),0,(C660&gt;='Resultats - informe'!$D$27)*(C660&lt;='Resultats - informe'!$E$27),0,(C660&gt;='Resultats - informe'!$D$28)*(C660&lt;='Resultats - informe'!$E$28),0,(C660&gt;='Resultats - informe'!$D$29)*(C660&lt;='Resultats - informe'!$E$29),0,1,1)</f>
        <v>0</v>
      </c>
      <c r="N660" s="366">
        <f>+VLOOKUP(D660,'Resultats - informe'!$Y$18:$AG$42,'Introducció dades consum'!K660+1,0)</f>
        <v>0</v>
      </c>
      <c r="O660" s="367" cm="1">
        <f t="array" ref="O660">+_xlfn.SWITCH(MONTH(C660),1,1,2,1,3,1,4,2,5,2,6,3,7,3,8,3,9,3,10,2,11,2,12,1,2)</f>
        <v>1</v>
      </c>
      <c r="P660" s="43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  <c r="BT660" s="10"/>
      <c r="BU660" s="10"/>
    </row>
    <row r="661" spans="1:73" ht="18" x14ac:dyDescent="0.35">
      <c r="A661" s="43"/>
      <c r="C661" s="393"/>
      <c r="E661" s="394"/>
      <c r="F661" s="394"/>
      <c r="G661" s="394"/>
      <c r="H661" s="8" t="s">
        <v>61</v>
      </c>
      <c r="I661" s="364">
        <f t="shared" si="31"/>
        <v>0</v>
      </c>
      <c r="J661" s="365">
        <f t="shared" si="30"/>
        <v>0</v>
      </c>
      <c r="K661" s="366">
        <f t="shared" si="32"/>
        <v>6</v>
      </c>
      <c r="L661" s="366">
        <f>+IF((C661&gt;='Resultats - informe'!$E$16)*(C661&lt;='Resultats - informe'!$G$16),1,0)</f>
        <v>1</v>
      </c>
      <c r="M661" s="366" cm="1">
        <f t="array" ref="M661">+_xlfn.IFS((C661&gt;='Resultats - informe'!$D$26)*(C661&lt;='Resultats - informe'!$E$26),0,(C661&gt;='Resultats - informe'!$D$27)*(C661&lt;='Resultats - informe'!$E$27),0,(C661&gt;='Resultats - informe'!$D$28)*(C661&lt;='Resultats - informe'!$E$28),0,(C661&gt;='Resultats - informe'!$D$29)*(C661&lt;='Resultats - informe'!$E$29),0,1,1)</f>
        <v>0</v>
      </c>
      <c r="N661" s="366">
        <f>+VLOOKUP(D661,'Resultats - informe'!$Y$18:$AG$42,'Introducció dades consum'!K661+1,0)</f>
        <v>0</v>
      </c>
      <c r="O661" s="367" cm="1">
        <f t="array" ref="O661">+_xlfn.SWITCH(MONTH(C661),1,1,2,1,3,1,4,2,5,2,6,3,7,3,8,3,9,3,10,2,11,2,12,1,2)</f>
        <v>1</v>
      </c>
      <c r="P661" s="43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  <c r="BT661" s="10"/>
      <c r="BU661" s="10"/>
    </row>
    <row r="662" spans="1:73" ht="18" x14ac:dyDescent="0.35">
      <c r="A662" s="43"/>
      <c r="C662" s="393"/>
      <c r="E662" s="394"/>
      <c r="F662" s="394"/>
      <c r="G662" s="394"/>
      <c r="H662" s="8" t="s">
        <v>61</v>
      </c>
      <c r="I662" s="364">
        <f t="shared" si="31"/>
        <v>0</v>
      </c>
      <c r="J662" s="365">
        <f t="shared" si="30"/>
        <v>0</v>
      </c>
      <c r="K662" s="366">
        <f t="shared" si="32"/>
        <v>6</v>
      </c>
      <c r="L662" s="366">
        <f>+IF((C662&gt;='Resultats - informe'!$E$16)*(C662&lt;='Resultats - informe'!$G$16),1,0)</f>
        <v>1</v>
      </c>
      <c r="M662" s="366" cm="1">
        <f t="array" ref="M662">+_xlfn.IFS((C662&gt;='Resultats - informe'!$D$26)*(C662&lt;='Resultats - informe'!$E$26),0,(C662&gt;='Resultats - informe'!$D$27)*(C662&lt;='Resultats - informe'!$E$27),0,(C662&gt;='Resultats - informe'!$D$28)*(C662&lt;='Resultats - informe'!$E$28),0,(C662&gt;='Resultats - informe'!$D$29)*(C662&lt;='Resultats - informe'!$E$29),0,1,1)</f>
        <v>0</v>
      </c>
      <c r="N662" s="366">
        <f>+VLOOKUP(D662,'Resultats - informe'!$Y$18:$AG$42,'Introducció dades consum'!K662+1,0)</f>
        <v>0</v>
      </c>
      <c r="O662" s="367" cm="1">
        <f t="array" ref="O662">+_xlfn.SWITCH(MONTH(C662),1,1,2,1,3,1,4,2,5,2,6,3,7,3,8,3,9,3,10,2,11,2,12,1,2)</f>
        <v>1</v>
      </c>
      <c r="P662" s="43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  <c r="BT662" s="10"/>
      <c r="BU662" s="10"/>
    </row>
    <row r="663" spans="1:73" ht="18" x14ac:dyDescent="0.35">
      <c r="A663" s="43"/>
      <c r="C663" s="393"/>
      <c r="E663" s="394"/>
      <c r="F663" s="394"/>
      <c r="G663" s="394"/>
      <c r="H663" s="8" t="s">
        <v>61</v>
      </c>
      <c r="I663" s="364">
        <f t="shared" si="31"/>
        <v>0</v>
      </c>
      <c r="J663" s="365">
        <f t="shared" si="30"/>
        <v>0</v>
      </c>
      <c r="K663" s="366">
        <f t="shared" si="32"/>
        <v>6</v>
      </c>
      <c r="L663" s="366">
        <f>+IF((C663&gt;='Resultats - informe'!$E$16)*(C663&lt;='Resultats - informe'!$G$16),1,0)</f>
        <v>1</v>
      </c>
      <c r="M663" s="366" cm="1">
        <f t="array" ref="M663">+_xlfn.IFS((C663&gt;='Resultats - informe'!$D$26)*(C663&lt;='Resultats - informe'!$E$26),0,(C663&gt;='Resultats - informe'!$D$27)*(C663&lt;='Resultats - informe'!$E$27),0,(C663&gt;='Resultats - informe'!$D$28)*(C663&lt;='Resultats - informe'!$E$28),0,(C663&gt;='Resultats - informe'!$D$29)*(C663&lt;='Resultats - informe'!$E$29),0,1,1)</f>
        <v>0</v>
      </c>
      <c r="N663" s="366">
        <f>+VLOOKUP(D663,'Resultats - informe'!$Y$18:$AG$42,'Introducció dades consum'!K663+1,0)</f>
        <v>0</v>
      </c>
      <c r="O663" s="367" cm="1">
        <f t="array" ref="O663">+_xlfn.SWITCH(MONTH(C663),1,1,2,1,3,1,4,2,5,2,6,3,7,3,8,3,9,3,10,2,11,2,12,1,2)</f>
        <v>1</v>
      </c>
      <c r="P663" s="43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  <c r="BF663" s="10"/>
      <c r="BG663" s="10"/>
      <c r="BH663" s="10"/>
      <c r="BI663" s="10"/>
      <c r="BJ663" s="10"/>
      <c r="BK663" s="10"/>
      <c r="BL663" s="10"/>
      <c r="BM663" s="10"/>
      <c r="BN663" s="10"/>
      <c r="BO663" s="10"/>
      <c r="BP663" s="10"/>
      <c r="BQ663" s="10"/>
      <c r="BR663" s="10"/>
      <c r="BS663" s="10"/>
      <c r="BT663" s="10"/>
      <c r="BU663" s="10"/>
    </row>
    <row r="664" spans="1:73" ht="18" x14ac:dyDescent="0.35">
      <c r="A664" s="43"/>
      <c r="C664" s="393"/>
      <c r="E664" s="394"/>
      <c r="F664" s="394"/>
      <c r="G664" s="394"/>
      <c r="H664" s="8" t="s">
        <v>61</v>
      </c>
      <c r="I664" s="364">
        <f t="shared" si="31"/>
        <v>0</v>
      </c>
      <c r="J664" s="365">
        <f t="shared" si="30"/>
        <v>0</v>
      </c>
      <c r="K664" s="366">
        <f t="shared" si="32"/>
        <v>6</v>
      </c>
      <c r="L664" s="366">
        <f>+IF((C664&gt;='Resultats - informe'!$E$16)*(C664&lt;='Resultats - informe'!$G$16),1,0)</f>
        <v>1</v>
      </c>
      <c r="M664" s="366" cm="1">
        <f t="array" ref="M664">+_xlfn.IFS((C664&gt;='Resultats - informe'!$D$26)*(C664&lt;='Resultats - informe'!$E$26),0,(C664&gt;='Resultats - informe'!$D$27)*(C664&lt;='Resultats - informe'!$E$27),0,(C664&gt;='Resultats - informe'!$D$28)*(C664&lt;='Resultats - informe'!$E$28),0,(C664&gt;='Resultats - informe'!$D$29)*(C664&lt;='Resultats - informe'!$E$29),0,1,1)</f>
        <v>0</v>
      </c>
      <c r="N664" s="366">
        <f>+VLOOKUP(D664,'Resultats - informe'!$Y$18:$AG$42,'Introducció dades consum'!K664+1,0)</f>
        <v>0</v>
      </c>
      <c r="O664" s="367" cm="1">
        <f t="array" ref="O664">+_xlfn.SWITCH(MONTH(C664),1,1,2,1,3,1,4,2,5,2,6,3,7,3,8,3,9,3,10,2,11,2,12,1,2)</f>
        <v>1</v>
      </c>
      <c r="P664" s="43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  <c r="BT664" s="10"/>
      <c r="BU664" s="10"/>
    </row>
    <row r="665" spans="1:73" ht="18" x14ac:dyDescent="0.35">
      <c r="A665" s="43"/>
      <c r="C665" s="393"/>
      <c r="E665" s="394"/>
      <c r="F665" s="394"/>
      <c r="G665" s="394"/>
      <c r="H665" s="8" t="s">
        <v>61</v>
      </c>
      <c r="I665" s="364">
        <f t="shared" si="31"/>
        <v>0</v>
      </c>
      <c r="J665" s="365">
        <f t="shared" si="30"/>
        <v>0</v>
      </c>
      <c r="K665" s="366">
        <f t="shared" si="32"/>
        <v>6</v>
      </c>
      <c r="L665" s="366">
        <f>+IF((C665&gt;='Resultats - informe'!$E$16)*(C665&lt;='Resultats - informe'!$G$16),1,0)</f>
        <v>1</v>
      </c>
      <c r="M665" s="366" cm="1">
        <f t="array" ref="M665">+_xlfn.IFS((C665&gt;='Resultats - informe'!$D$26)*(C665&lt;='Resultats - informe'!$E$26),0,(C665&gt;='Resultats - informe'!$D$27)*(C665&lt;='Resultats - informe'!$E$27),0,(C665&gt;='Resultats - informe'!$D$28)*(C665&lt;='Resultats - informe'!$E$28),0,(C665&gt;='Resultats - informe'!$D$29)*(C665&lt;='Resultats - informe'!$E$29),0,1,1)</f>
        <v>0</v>
      </c>
      <c r="N665" s="366">
        <f>+VLOOKUP(D665,'Resultats - informe'!$Y$18:$AG$42,'Introducció dades consum'!K665+1,0)</f>
        <v>0</v>
      </c>
      <c r="O665" s="367" cm="1">
        <f t="array" ref="O665">+_xlfn.SWITCH(MONTH(C665),1,1,2,1,3,1,4,2,5,2,6,3,7,3,8,3,9,3,10,2,11,2,12,1,2)</f>
        <v>1</v>
      </c>
      <c r="P665" s="43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  <c r="BT665" s="10"/>
      <c r="BU665" s="10"/>
    </row>
    <row r="666" spans="1:73" ht="18" x14ac:dyDescent="0.35">
      <c r="A666" s="43"/>
      <c r="C666" s="393"/>
      <c r="E666" s="394"/>
      <c r="F666" s="394"/>
      <c r="G666" s="394"/>
      <c r="H666" s="8" t="s">
        <v>61</v>
      </c>
      <c r="I666" s="364">
        <f t="shared" si="31"/>
        <v>0</v>
      </c>
      <c r="J666" s="365">
        <f t="shared" si="30"/>
        <v>0</v>
      </c>
      <c r="K666" s="366">
        <f t="shared" si="32"/>
        <v>6</v>
      </c>
      <c r="L666" s="366">
        <f>+IF((C666&gt;='Resultats - informe'!$E$16)*(C666&lt;='Resultats - informe'!$G$16),1,0)</f>
        <v>1</v>
      </c>
      <c r="M666" s="366" cm="1">
        <f t="array" ref="M666">+_xlfn.IFS((C666&gt;='Resultats - informe'!$D$26)*(C666&lt;='Resultats - informe'!$E$26),0,(C666&gt;='Resultats - informe'!$D$27)*(C666&lt;='Resultats - informe'!$E$27),0,(C666&gt;='Resultats - informe'!$D$28)*(C666&lt;='Resultats - informe'!$E$28),0,(C666&gt;='Resultats - informe'!$D$29)*(C666&lt;='Resultats - informe'!$E$29),0,1,1)</f>
        <v>0</v>
      </c>
      <c r="N666" s="366">
        <f>+VLOOKUP(D666,'Resultats - informe'!$Y$18:$AG$42,'Introducció dades consum'!K666+1,0)</f>
        <v>0</v>
      </c>
      <c r="O666" s="367" cm="1">
        <f t="array" ref="O666">+_xlfn.SWITCH(MONTH(C666),1,1,2,1,3,1,4,2,5,2,6,3,7,3,8,3,9,3,10,2,11,2,12,1,2)</f>
        <v>1</v>
      </c>
      <c r="P666" s="43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  <c r="BT666" s="10"/>
      <c r="BU666" s="10"/>
    </row>
    <row r="667" spans="1:73" ht="18" x14ac:dyDescent="0.35">
      <c r="A667" s="43"/>
      <c r="C667" s="393"/>
      <c r="E667" s="394"/>
      <c r="F667" s="394"/>
      <c r="G667" s="394"/>
      <c r="H667" s="8" t="s">
        <v>61</v>
      </c>
      <c r="I667" s="364">
        <f t="shared" si="31"/>
        <v>0</v>
      </c>
      <c r="J667" s="365">
        <f t="shared" si="30"/>
        <v>0</v>
      </c>
      <c r="K667" s="366">
        <f t="shared" si="32"/>
        <v>6</v>
      </c>
      <c r="L667" s="366">
        <f>+IF((C667&gt;='Resultats - informe'!$E$16)*(C667&lt;='Resultats - informe'!$G$16),1,0)</f>
        <v>1</v>
      </c>
      <c r="M667" s="366" cm="1">
        <f t="array" ref="M667">+_xlfn.IFS((C667&gt;='Resultats - informe'!$D$26)*(C667&lt;='Resultats - informe'!$E$26),0,(C667&gt;='Resultats - informe'!$D$27)*(C667&lt;='Resultats - informe'!$E$27),0,(C667&gt;='Resultats - informe'!$D$28)*(C667&lt;='Resultats - informe'!$E$28),0,(C667&gt;='Resultats - informe'!$D$29)*(C667&lt;='Resultats - informe'!$E$29),0,1,1)</f>
        <v>0</v>
      </c>
      <c r="N667" s="366">
        <f>+VLOOKUP(D667,'Resultats - informe'!$Y$18:$AG$42,'Introducció dades consum'!K667+1,0)</f>
        <v>0</v>
      </c>
      <c r="O667" s="367" cm="1">
        <f t="array" ref="O667">+_xlfn.SWITCH(MONTH(C667),1,1,2,1,3,1,4,2,5,2,6,3,7,3,8,3,9,3,10,2,11,2,12,1,2)</f>
        <v>1</v>
      </c>
      <c r="P667" s="43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  <c r="BT667" s="10"/>
      <c r="BU667" s="10"/>
    </row>
    <row r="668" spans="1:73" ht="18" x14ac:dyDescent="0.35">
      <c r="A668" s="43"/>
      <c r="C668" s="393"/>
      <c r="E668" s="394"/>
      <c r="F668" s="394"/>
      <c r="G668" s="394"/>
      <c r="H668" s="8" t="s">
        <v>61</v>
      </c>
      <c r="I668" s="364">
        <f t="shared" si="31"/>
        <v>0</v>
      </c>
      <c r="J668" s="365">
        <f t="shared" si="30"/>
        <v>0</v>
      </c>
      <c r="K668" s="366">
        <f t="shared" si="32"/>
        <v>6</v>
      </c>
      <c r="L668" s="366">
        <f>+IF((C668&gt;='Resultats - informe'!$E$16)*(C668&lt;='Resultats - informe'!$G$16),1,0)</f>
        <v>1</v>
      </c>
      <c r="M668" s="366" cm="1">
        <f t="array" ref="M668">+_xlfn.IFS((C668&gt;='Resultats - informe'!$D$26)*(C668&lt;='Resultats - informe'!$E$26),0,(C668&gt;='Resultats - informe'!$D$27)*(C668&lt;='Resultats - informe'!$E$27),0,(C668&gt;='Resultats - informe'!$D$28)*(C668&lt;='Resultats - informe'!$E$28),0,(C668&gt;='Resultats - informe'!$D$29)*(C668&lt;='Resultats - informe'!$E$29),0,1,1)</f>
        <v>0</v>
      </c>
      <c r="N668" s="366">
        <f>+VLOOKUP(D668,'Resultats - informe'!$Y$18:$AG$42,'Introducció dades consum'!K668+1,0)</f>
        <v>0</v>
      </c>
      <c r="O668" s="367" cm="1">
        <f t="array" ref="O668">+_xlfn.SWITCH(MONTH(C668),1,1,2,1,3,1,4,2,5,2,6,3,7,3,8,3,9,3,10,2,11,2,12,1,2)</f>
        <v>1</v>
      </c>
      <c r="P668" s="43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  <c r="BT668" s="10"/>
      <c r="BU668" s="10"/>
    </row>
    <row r="669" spans="1:73" ht="18" x14ac:dyDescent="0.35">
      <c r="A669" s="43"/>
      <c r="C669" s="393"/>
      <c r="E669" s="394"/>
      <c r="F669" s="394"/>
      <c r="G669" s="394"/>
      <c r="H669" s="8" t="s">
        <v>61</v>
      </c>
      <c r="I669" s="364">
        <f t="shared" si="31"/>
        <v>0</v>
      </c>
      <c r="J669" s="365">
        <f t="shared" si="30"/>
        <v>0</v>
      </c>
      <c r="K669" s="366">
        <f t="shared" si="32"/>
        <v>6</v>
      </c>
      <c r="L669" s="366">
        <f>+IF((C669&gt;='Resultats - informe'!$E$16)*(C669&lt;='Resultats - informe'!$G$16),1,0)</f>
        <v>1</v>
      </c>
      <c r="M669" s="366" cm="1">
        <f t="array" ref="M669">+_xlfn.IFS((C669&gt;='Resultats - informe'!$D$26)*(C669&lt;='Resultats - informe'!$E$26),0,(C669&gt;='Resultats - informe'!$D$27)*(C669&lt;='Resultats - informe'!$E$27),0,(C669&gt;='Resultats - informe'!$D$28)*(C669&lt;='Resultats - informe'!$E$28),0,(C669&gt;='Resultats - informe'!$D$29)*(C669&lt;='Resultats - informe'!$E$29),0,1,1)</f>
        <v>0</v>
      </c>
      <c r="N669" s="366">
        <f>+VLOOKUP(D669,'Resultats - informe'!$Y$18:$AG$42,'Introducció dades consum'!K669+1,0)</f>
        <v>0</v>
      </c>
      <c r="O669" s="367" cm="1">
        <f t="array" ref="O669">+_xlfn.SWITCH(MONTH(C669),1,1,2,1,3,1,4,2,5,2,6,3,7,3,8,3,9,3,10,2,11,2,12,1,2)</f>
        <v>1</v>
      </c>
      <c r="P669" s="43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  <c r="BT669" s="10"/>
      <c r="BU669" s="10"/>
    </row>
    <row r="670" spans="1:73" ht="18" x14ac:dyDescent="0.35">
      <c r="A670" s="43"/>
      <c r="C670" s="393"/>
      <c r="E670" s="394"/>
      <c r="F670" s="394"/>
      <c r="G670" s="394"/>
      <c r="H670" s="8" t="s">
        <v>61</v>
      </c>
      <c r="I670" s="364">
        <f t="shared" si="31"/>
        <v>0</v>
      </c>
      <c r="J670" s="365">
        <f t="shared" si="30"/>
        <v>0</v>
      </c>
      <c r="K670" s="366">
        <f t="shared" si="32"/>
        <v>6</v>
      </c>
      <c r="L670" s="366">
        <f>+IF((C670&gt;='Resultats - informe'!$E$16)*(C670&lt;='Resultats - informe'!$G$16),1,0)</f>
        <v>1</v>
      </c>
      <c r="M670" s="366" cm="1">
        <f t="array" ref="M670">+_xlfn.IFS((C670&gt;='Resultats - informe'!$D$26)*(C670&lt;='Resultats - informe'!$E$26),0,(C670&gt;='Resultats - informe'!$D$27)*(C670&lt;='Resultats - informe'!$E$27),0,(C670&gt;='Resultats - informe'!$D$28)*(C670&lt;='Resultats - informe'!$E$28),0,(C670&gt;='Resultats - informe'!$D$29)*(C670&lt;='Resultats - informe'!$E$29),0,1,1)</f>
        <v>0</v>
      </c>
      <c r="N670" s="366">
        <f>+VLOOKUP(D670,'Resultats - informe'!$Y$18:$AG$42,'Introducció dades consum'!K670+1,0)</f>
        <v>0</v>
      </c>
      <c r="O670" s="367" cm="1">
        <f t="array" ref="O670">+_xlfn.SWITCH(MONTH(C670),1,1,2,1,3,1,4,2,5,2,6,3,7,3,8,3,9,3,10,2,11,2,12,1,2)</f>
        <v>1</v>
      </c>
      <c r="P670" s="43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  <c r="BT670" s="10"/>
      <c r="BU670" s="10"/>
    </row>
    <row r="671" spans="1:73" ht="18" x14ac:dyDescent="0.35">
      <c r="A671" s="43"/>
      <c r="C671" s="393"/>
      <c r="E671" s="394"/>
      <c r="F671" s="394"/>
      <c r="G671" s="394"/>
      <c r="H671" s="8" t="s">
        <v>61</v>
      </c>
      <c r="I671" s="364">
        <f t="shared" si="31"/>
        <v>0</v>
      </c>
      <c r="J671" s="365">
        <f t="shared" si="30"/>
        <v>0</v>
      </c>
      <c r="K671" s="366">
        <f t="shared" si="32"/>
        <v>6</v>
      </c>
      <c r="L671" s="366">
        <f>+IF((C671&gt;='Resultats - informe'!$E$16)*(C671&lt;='Resultats - informe'!$G$16),1,0)</f>
        <v>1</v>
      </c>
      <c r="M671" s="366" cm="1">
        <f t="array" ref="M671">+_xlfn.IFS((C671&gt;='Resultats - informe'!$D$26)*(C671&lt;='Resultats - informe'!$E$26),0,(C671&gt;='Resultats - informe'!$D$27)*(C671&lt;='Resultats - informe'!$E$27),0,(C671&gt;='Resultats - informe'!$D$28)*(C671&lt;='Resultats - informe'!$E$28),0,(C671&gt;='Resultats - informe'!$D$29)*(C671&lt;='Resultats - informe'!$E$29),0,1,1)</f>
        <v>0</v>
      </c>
      <c r="N671" s="366">
        <f>+VLOOKUP(D671,'Resultats - informe'!$Y$18:$AG$42,'Introducció dades consum'!K671+1,0)</f>
        <v>0</v>
      </c>
      <c r="O671" s="367" cm="1">
        <f t="array" ref="O671">+_xlfn.SWITCH(MONTH(C671),1,1,2,1,3,1,4,2,5,2,6,3,7,3,8,3,9,3,10,2,11,2,12,1,2)</f>
        <v>1</v>
      </c>
      <c r="P671" s="43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  <c r="BT671" s="10"/>
      <c r="BU671" s="10"/>
    </row>
    <row r="672" spans="1:73" ht="18" x14ac:dyDescent="0.35">
      <c r="A672" s="43"/>
      <c r="C672" s="393"/>
      <c r="E672" s="394"/>
      <c r="F672" s="394"/>
      <c r="G672" s="394"/>
      <c r="H672" s="8" t="s">
        <v>61</v>
      </c>
      <c r="I672" s="364">
        <f t="shared" si="31"/>
        <v>0</v>
      </c>
      <c r="J672" s="365">
        <f t="shared" si="30"/>
        <v>0</v>
      </c>
      <c r="K672" s="366">
        <f t="shared" si="32"/>
        <v>6</v>
      </c>
      <c r="L672" s="366">
        <f>+IF((C672&gt;='Resultats - informe'!$E$16)*(C672&lt;='Resultats - informe'!$G$16),1,0)</f>
        <v>1</v>
      </c>
      <c r="M672" s="366" cm="1">
        <f t="array" ref="M672">+_xlfn.IFS((C672&gt;='Resultats - informe'!$D$26)*(C672&lt;='Resultats - informe'!$E$26),0,(C672&gt;='Resultats - informe'!$D$27)*(C672&lt;='Resultats - informe'!$E$27),0,(C672&gt;='Resultats - informe'!$D$28)*(C672&lt;='Resultats - informe'!$E$28),0,(C672&gt;='Resultats - informe'!$D$29)*(C672&lt;='Resultats - informe'!$E$29),0,1,1)</f>
        <v>0</v>
      </c>
      <c r="N672" s="366">
        <f>+VLOOKUP(D672,'Resultats - informe'!$Y$18:$AG$42,'Introducció dades consum'!K672+1,0)</f>
        <v>0</v>
      </c>
      <c r="O672" s="367" cm="1">
        <f t="array" ref="O672">+_xlfn.SWITCH(MONTH(C672),1,1,2,1,3,1,4,2,5,2,6,3,7,3,8,3,9,3,10,2,11,2,12,1,2)</f>
        <v>1</v>
      </c>
      <c r="P672" s="43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  <c r="BT672" s="10"/>
      <c r="BU672" s="10"/>
    </row>
    <row r="673" spans="1:73" ht="18" x14ac:dyDescent="0.35">
      <c r="A673" s="43"/>
      <c r="C673" s="393"/>
      <c r="E673" s="394"/>
      <c r="F673" s="394"/>
      <c r="G673" s="394"/>
      <c r="H673" s="8" t="s">
        <v>61</v>
      </c>
      <c r="I673" s="364">
        <f t="shared" si="31"/>
        <v>0</v>
      </c>
      <c r="J673" s="365">
        <f t="shared" si="30"/>
        <v>0</v>
      </c>
      <c r="K673" s="366">
        <f t="shared" si="32"/>
        <v>6</v>
      </c>
      <c r="L673" s="366">
        <f>+IF((C673&gt;='Resultats - informe'!$E$16)*(C673&lt;='Resultats - informe'!$G$16),1,0)</f>
        <v>1</v>
      </c>
      <c r="M673" s="366" cm="1">
        <f t="array" ref="M673">+_xlfn.IFS((C673&gt;='Resultats - informe'!$D$26)*(C673&lt;='Resultats - informe'!$E$26),0,(C673&gt;='Resultats - informe'!$D$27)*(C673&lt;='Resultats - informe'!$E$27),0,(C673&gt;='Resultats - informe'!$D$28)*(C673&lt;='Resultats - informe'!$E$28),0,(C673&gt;='Resultats - informe'!$D$29)*(C673&lt;='Resultats - informe'!$E$29),0,1,1)</f>
        <v>0</v>
      </c>
      <c r="N673" s="366">
        <f>+VLOOKUP(D673,'Resultats - informe'!$Y$18:$AG$42,'Introducció dades consum'!K673+1,0)</f>
        <v>0</v>
      </c>
      <c r="O673" s="367" cm="1">
        <f t="array" ref="O673">+_xlfn.SWITCH(MONTH(C673),1,1,2,1,3,1,4,2,5,2,6,3,7,3,8,3,9,3,10,2,11,2,12,1,2)</f>
        <v>1</v>
      </c>
      <c r="P673" s="43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  <c r="BT673" s="10"/>
      <c r="BU673" s="10"/>
    </row>
    <row r="674" spans="1:73" ht="18" x14ac:dyDescent="0.35">
      <c r="A674" s="43"/>
      <c r="C674" s="393"/>
      <c r="E674" s="394"/>
      <c r="F674" s="394"/>
      <c r="G674" s="394"/>
      <c r="H674" s="8" t="s">
        <v>61</v>
      </c>
      <c r="I674" s="364">
        <f t="shared" si="31"/>
        <v>0</v>
      </c>
      <c r="J674" s="365">
        <f t="shared" si="30"/>
        <v>0</v>
      </c>
      <c r="K674" s="366">
        <f t="shared" si="32"/>
        <v>6</v>
      </c>
      <c r="L674" s="366">
        <f>+IF((C674&gt;='Resultats - informe'!$E$16)*(C674&lt;='Resultats - informe'!$G$16),1,0)</f>
        <v>1</v>
      </c>
      <c r="M674" s="366" cm="1">
        <f t="array" ref="M674">+_xlfn.IFS((C674&gt;='Resultats - informe'!$D$26)*(C674&lt;='Resultats - informe'!$E$26),0,(C674&gt;='Resultats - informe'!$D$27)*(C674&lt;='Resultats - informe'!$E$27),0,(C674&gt;='Resultats - informe'!$D$28)*(C674&lt;='Resultats - informe'!$E$28),0,(C674&gt;='Resultats - informe'!$D$29)*(C674&lt;='Resultats - informe'!$E$29),0,1,1)</f>
        <v>0</v>
      </c>
      <c r="N674" s="366">
        <f>+VLOOKUP(D674,'Resultats - informe'!$Y$18:$AG$42,'Introducció dades consum'!K674+1,0)</f>
        <v>0</v>
      </c>
      <c r="O674" s="367" cm="1">
        <f t="array" ref="O674">+_xlfn.SWITCH(MONTH(C674),1,1,2,1,3,1,4,2,5,2,6,3,7,3,8,3,9,3,10,2,11,2,12,1,2)</f>
        <v>1</v>
      </c>
      <c r="P674" s="43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  <c r="BT674" s="10"/>
      <c r="BU674" s="10"/>
    </row>
    <row r="675" spans="1:73" ht="18" x14ac:dyDescent="0.35">
      <c r="A675" s="43"/>
      <c r="C675" s="393"/>
      <c r="E675" s="394"/>
      <c r="F675" s="394"/>
      <c r="G675" s="394"/>
      <c r="H675" s="8" t="s">
        <v>61</v>
      </c>
      <c r="I675" s="364">
        <f t="shared" si="31"/>
        <v>0</v>
      </c>
      <c r="J675" s="365">
        <f t="shared" si="30"/>
        <v>0</v>
      </c>
      <c r="K675" s="366">
        <f t="shared" si="32"/>
        <v>6</v>
      </c>
      <c r="L675" s="366">
        <f>+IF((C675&gt;='Resultats - informe'!$E$16)*(C675&lt;='Resultats - informe'!$G$16),1,0)</f>
        <v>1</v>
      </c>
      <c r="M675" s="366" cm="1">
        <f t="array" ref="M675">+_xlfn.IFS((C675&gt;='Resultats - informe'!$D$26)*(C675&lt;='Resultats - informe'!$E$26),0,(C675&gt;='Resultats - informe'!$D$27)*(C675&lt;='Resultats - informe'!$E$27),0,(C675&gt;='Resultats - informe'!$D$28)*(C675&lt;='Resultats - informe'!$E$28),0,(C675&gt;='Resultats - informe'!$D$29)*(C675&lt;='Resultats - informe'!$E$29),0,1,1)</f>
        <v>0</v>
      </c>
      <c r="N675" s="366">
        <f>+VLOOKUP(D675,'Resultats - informe'!$Y$18:$AG$42,'Introducció dades consum'!K675+1,0)</f>
        <v>0</v>
      </c>
      <c r="O675" s="367" cm="1">
        <f t="array" ref="O675">+_xlfn.SWITCH(MONTH(C675),1,1,2,1,3,1,4,2,5,2,6,3,7,3,8,3,9,3,10,2,11,2,12,1,2)</f>
        <v>1</v>
      </c>
      <c r="P675" s="43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  <c r="BT675" s="10"/>
      <c r="BU675" s="10"/>
    </row>
    <row r="676" spans="1:73" ht="18" x14ac:dyDescent="0.35">
      <c r="A676" s="43"/>
      <c r="C676" s="393"/>
      <c r="E676" s="394"/>
      <c r="F676" s="394"/>
      <c r="G676" s="394"/>
      <c r="H676" s="8" t="s">
        <v>61</v>
      </c>
      <c r="I676" s="364">
        <f t="shared" si="31"/>
        <v>0</v>
      </c>
      <c r="J676" s="365">
        <f t="shared" si="30"/>
        <v>0</v>
      </c>
      <c r="K676" s="366">
        <f t="shared" si="32"/>
        <v>6</v>
      </c>
      <c r="L676" s="366">
        <f>+IF((C676&gt;='Resultats - informe'!$E$16)*(C676&lt;='Resultats - informe'!$G$16),1,0)</f>
        <v>1</v>
      </c>
      <c r="M676" s="366" cm="1">
        <f t="array" ref="M676">+_xlfn.IFS((C676&gt;='Resultats - informe'!$D$26)*(C676&lt;='Resultats - informe'!$E$26),0,(C676&gt;='Resultats - informe'!$D$27)*(C676&lt;='Resultats - informe'!$E$27),0,(C676&gt;='Resultats - informe'!$D$28)*(C676&lt;='Resultats - informe'!$E$28),0,(C676&gt;='Resultats - informe'!$D$29)*(C676&lt;='Resultats - informe'!$E$29),0,1,1)</f>
        <v>0</v>
      </c>
      <c r="N676" s="366">
        <f>+VLOOKUP(D676,'Resultats - informe'!$Y$18:$AG$42,'Introducció dades consum'!K676+1,0)</f>
        <v>0</v>
      </c>
      <c r="O676" s="367" cm="1">
        <f t="array" ref="O676">+_xlfn.SWITCH(MONTH(C676),1,1,2,1,3,1,4,2,5,2,6,3,7,3,8,3,9,3,10,2,11,2,12,1,2)</f>
        <v>1</v>
      </c>
      <c r="P676" s="43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  <c r="BT676" s="10"/>
      <c r="BU676" s="10"/>
    </row>
    <row r="677" spans="1:73" ht="18" x14ac:dyDescent="0.35">
      <c r="A677" s="43"/>
      <c r="C677" s="393"/>
      <c r="E677" s="394"/>
      <c r="F677" s="394"/>
      <c r="G677" s="394"/>
      <c r="H677" s="8" t="s">
        <v>61</v>
      </c>
      <c r="I677" s="364">
        <f t="shared" si="31"/>
        <v>0</v>
      </c>
      <c r="J677" s="365">
        <f t="shared" si="30"/>
        <v>0</v>
      </c>
      <c r="K677" s="366">
        <f t="shared" si="32"/>
        <v>6</v>
      </c>
      <c r="L677" s="366">
        <f>+IF((C677&gt;='Resultats - informe'!$E$16)*(C677&lt;='Resultats - informe'!$G$16),1,0)</f>
        <v>1</v>
      </c>
      <c r="M677" s="366" cm="1">
        <f t="array" ref="M677">+_xlfn.IFS((C677&gt;='Resultats - informe'!$D$26)*(C677&lt;='Resultats - informe'!$E$26),0,(C677&gt;='Resultats - informe'!$D$27)*(C677&lt;='Resultats - informe'!$E$27),0,(C677&gt;='Resultats - informe'!$D$28)*(C677&lt;='Resultats - informe'!$E$28),0,(C677&gt;='Resultats - informe'!$D$29)*(C677&lt;='Resultats - informe'!$E$29),0,1,1)</f>
        <v>0</v>
      </c>
      <c r="N677" s="366">
        <f>+VLOOKUP(D677,'Resultats - informe'!$Y$18:$AG$42,'Introducció dades consum'!K677+1,0)</f>
        <v>0</v>
      </c>
      <c r="O677" s="367" cm="1">
        <f t="array" ref="O677">+_xlfn.SWITCH(MONTH(C677),1,1,2,1,3,1,4,2,5,2,6,3,7,3,8,3,9,3,10,2,11,2,12,1,2)</f>
        <v>1</v>
      </c>
      <c r="P677" s="43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  <c r="BT677" s="10"/>
      <c r="BU677" s="10"/>
    </row>
    <row r="678" spans="1:73" ht="18" x14ac:dyDescent="0.35">
      <c r="A678" s="43"/>
      <c r="C678" s="393"/>
      <c r="E678" s="394"/>
      <c r="F678" s="394"/>
      <c r="G678" s="394"/>
      <c r="H678" s="8" t="s">
        <v>61</v>
      </c>
      <c r="I678" s="364">
        <f t="shared" si="31"/>
        <v>0</v>
      </c>
      <c r="J678" s="365">
        <f t="shared" si="30"/>
        <v>0</v>
      </c>
      <c r="K678" s="366">
        <f t="shared" si="32"/>
        <v>6</v>
      </c>
      <c r="L678" s="366">
        <f>+IF((C678&gt;='Resultats - informe'!$E$16)*(C678&lt;='Resultats - informe'!$G$16),1,0)</f>
        <v>1</v>
      </c>
      <c r="M678" s="366" cm="1">
        <f t="array" ref="M678">+_xlfn.IFS((C678&gt;='Resultats - informe'!$D$26)*(C678&lt;='Resultats - informe'!$E$26),0,(C678&gt;='Resultats - informe'!$D$27)*(C678&lt;='Resultats - informe'!$E$27),0,(C678&gt;='Resultats - informe'!$D$28)*(C678&lt;='Resultats - informe'!$E$28),0,(C678&gt;='Resultats - informe'!$D$29)*(C678&lt;='Resultats - informe'!$E$29),0,1,1)</f>
        <v>0</v>
      </c>
      <c r="N678" s="366">
        <f>+VLOOKUP(D678,'Resultats - informe'!$Y$18:$AG$42,'Introducció dades consum'!K678+1,0)</f>
        <v>0</v>
      </c>
      <c r="O678" s="367" cm="1">
        <f t="array" ref="O678">+_xlfn.SWITCH(MONTH(C678),1,1,2,1,3,1,4,2,5,2,6,3,7,3,8,3,9,3,10,2,11,2,12,1,2)</f>
        <v>1</v>
      </c>
      <c r="P678" s="43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  <c r="BT678" s="10"/>
      <c r="BU678" s="10"/>
    </row>
    <row r="679" spans="1:73" ht="18" x14ac:dyDescent="0.35">
      <c r="A679" s="43"/>
      <c r="C679" s="393"/>
      <c r="E679" s="394"/>
      <c r="F679" s="394"/>
      <c r="G679" s="394"/>
      <c r="H679" s="8" t="s">
        <v>61</v>
      </c>
      <c r="I679" s="364">
        <f t="shared" si="31"/>
        <v>0</v>
      </c>
      <c r="J679" s="365">
        <f t="shared" si="30"/>
        <v>0</v>
      </c>
      <c r="K679" s="366">
        <f t="shared" si="32"/>
        <v>6</v>
      </c>
      <c r="L679" s="366">
        <f>+IF((C679&gt;='Resultats - informe'!$E$16)*(C679&lt;='Resultats - informe'!$G$16),1,0)</f>
        <v>1</v>
      </c>
      <c r="M679" s="366" cm="1">
        <f t="array" ref="M679">+_xlfn.IFS((C679&gt;='Resultats - informe'!$D$26)*(C679&lt;='Resultats - informe'!$E$26),0,(C679&gt;='Resultats - informe'!$D$27)*(C679&lt;='Resultats - informe'!$E$27),0,(C679&gt;='Resultats - informe'!$D$28)*(C679&lt;='Resultats - informe'!$E$28),0,(C679&gt;='Resultats - informe'!$D$29)*(C679&lt;='Resultats - informe'!$E$29),0,1,1)</f>
        <v>0</v>
      </c>
      <c r="N679" s="366">
        <f>+VLOOKUP(D679,'Resultats - informe'!$Y$18:$AG$42,'Introducció dades consum'!K679+1,0)</f>
        <v>0</v>
      </c>
      <c r="O679" s="367" cm="1">
        <f t="array" ref="O679">+_xlfn.SWITCH(MONTH(C679),1,1,2,1,3,1,4,2,5,2,6,3,7,3,8,3,9,3,10,2,11,2,12,1,2)</f>
        <v>1</v>
      </c>
      <c r="P679" s="43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</row>
    <row r="680" spans="1:73" ht="18" x14ac:dyDescent="0.35">
      <c r="A680" s="43"/>
      <c r="C680" s="393"/>
      <c r="E680" s="394"/>
      <c r="F680" s="394"/>
      <c r="G680" s="394"/>
      <c r="H680" s="8" t="s">
        <v>61</v>
      </c>
      <c r="I680" s="364">
        <f t="shared" si="31"/>
        <v>0</v>
      </c>
      <c r="J680" s="365">
        <f t="shared" si="30"/>
        <v>0</v>
      </c>
      <c r="K680" s="366">
        <f t="shared" si="32"/>
        <v>6</v>
      </c>
      <c r="L680" s="366">
        <f>+IF((C680&gt;='Resultats - informe'!$E$16)*(C680&lt;='Resultats - informe'!$G$16),1,0)</f>
        <v>1</v>
      </c>
      <c r="M680" s="366" cm="1">
        <f t="array" ref="M680">+_xlfn.IFS((C680&gt;='Resultats - informe'!$D$26)*(C680&lt;='Resultats - informe'!$E$26),0,(C680&gt;='Resultats - informe'!$D$27)*(C680&lt;='Resultats - informe'!$E$27),0,(C680&gt;='Resultats - informe'!$D$28)*(C680&lt;='Resultats - informe'!$E$28),0,(C680&gt;='Resultats - informe'!$D$29)*(C680&lt;='Resultats - informe'!$E$29),0,1,1)</f>
        <v>0</v>
      </c>
      <c r="N680" s="366">
        <f>+VLOOKUP(D680,'Resultats - informe'!$Y$18:$AG$42,'Introducció dades consum'!K680+1,0)</f>
        <v>0</v>
      </c>
      <c r="O680" s="367" cm="1">
        <f t="array" ref="O680">+_xlfn.SWITCH(MONTH(C680),1,1,2,1,3,1,4,2,5,2,6,3,7,3,8,3,9,3,10,2,11,2,12,1,2)</f>
        <v>1</v>
      </c>
      <c r="P680" s="43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  <c r="BT680" s="10"/>
      <c r="BU680" s="10"/>
    </row>
    <row r="681" spans="1:73" ht="18" x14ac:dyDescent="0.35">
      <c r="A681" s="43"/>
      <c r="C681" s="393"/>
      <c r="E681" s="394"/>
      <c r="F681" s="394"/>
      <c r="G681" s="394"/>
      <c r="H681" s="8" t="s">
        <v>61</v>
      </c>
      <c r="I681" s="364">
        <f t="shared" si="31"/>
        <v>0</v>
      </c>
      <c r="J681" s="365">
        <f t="shared" si="30"/>
        <v>0</v>
      </c>
      <c r="K681" s="366">
        <f t="shared" si="32"/>
        <v>6</v>
      </c>
      <c r="L681" s="366">
        <f>+IF((C681&gt;='Resultats - informe'!$E$16)*(C681&lt;='Resultats - informe'!$G$16),1,0)</f>
        <v>1</v>
      </c>
      <c r="M681" s="366" cm="1">
        <f t="array" ref="M681">+_xlfn.IFS((C681&gt;='Resultats - informe'!$D$26)*(C681&lt;='Resultats - informe'!$E$26),0,(C681&gt;='Resultats - informe'!$D$27)*(C681&lt;='Resultats - informe'!$E$27),0,(C681&gt;='Resultats - informe'!$D$28)*(C681&lt;='Resultats - informe'!$E$28),0,(C681&gt;='Resultats - informe'!$D$29)*(C681&lt;='Resultats - informe'!$E$29),0,1,1)</f>
        <v>0</v>
      </c>
      <c r="N681" s="366">
        <f>+VLOOKUP(D681,'Resultats - informe'!$Y$18:$AG$42,'Introducció dades consum'!K681+1,0)</f>
        <v>0</v>
      </c>
      <c r="O681" s="367" cm="1">
        <f t="array" ref="O681">+_xlfn.SWITCH(MONTH(C681),1,1,2,1,3,1,4,2,5,2,6,3,7,3,8,3,9,3,10,2,11,2,12,1,2)</f>
        <v>1</v>
      </c>
      <c r="P681" s="43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  <c r="BT681" s="10"/>
      <c r="BU681" s="10"/>
    </row>
    <row r="682" spans="1:73" ht="18" x14ac:dyDescent="0.35">
      <c r="A682" s="43"/>
      <c r="C682" s="393"/>
      <c r="E682" s="394"/>
      <c r="F682" s="394"/>
      <c r="G682" s="394"/>
      <c r="H682" s="8" t="s">
        <v>61</v>
      </c>
      <c r="I682" s="364">
        <f t="shared" si="31"/>
        <v>0</v>
      </c>
      <c r="J682" s="365">
        <f t="shared" si="30"/>
        <v>0</v>
      </c>
      <c r="K682" s="366">
        <f t="shared" si="32"/>
        <v>6</v>
      </c>
      <c r="L682" s="366">
        <f>+IF((C682&gt;='Resultats - informe'!$E$16)*(C682&lt;='Resultats - informe'!$G$16),1,0)</f>
        <v>1</v>
      </c>
      <c r="M682" s="366" cm="1">
        <f t="array" ref="M682">+_xlfn.IFS((C682&gt;='Resultats - informe'!$D$26)*(C682&lt;='Resultats - informe'!$E$26),0,(C682&gt;='Resultats - informe'!$D$27)*(C682&lt;='Resultats - informe'!$E$27),0,(C682&gt;='Resultats - informe'!$D$28)*(C682&lt;='Resultats - informe'!$E$28),0,(C682&gt;='Resultats - informe'!$D$29)*(C682&lt;='Resultats - informe'!$E$29),0,1,1)</f>
        <v>0</v>
      </c>
      <c r="N682" s="366">
        <f>+VLOOKUP(D682,'Resultats - informe'!$Y$18:$AG$42,'Introducció dades consum'!K682+1,0)</f>
        <v>0</v>
      </c>
      <c r="O682" s="367" cm="1">
        <f t="array" ref="O682">+_xlfn.SWITCH(MONTH(C682),1,1,2,1,3,1,4,2,5,2,6,3,7,3,8,3,9,3,10,2,11,2,12,1,2)</f>
        <v>1</v>
      </c>
      <c r="P682" s="43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  <c r="BT682" s="10"/>
      <c r="BU682" s="10"/>
    </row>
    <row r="683" spans="1:73" ht="18" x14ac:dyDescent="0.35">
      <c r="A683" s="43"/>
      <c r="C683" s="393"/>
      <c r="E683" s="394"/>
      <c r="F683" s="394"/>
      <c r="G683" s="394"/>
      <c r="H683" s="8" t="s">
        <v>61</v>
      </c>
      <c r="I683" s="364">
        <f t="shared" si="31"/>
        <v>0</v>
      </c>
      <c r="J683" s="365">
        <f t="shared" si="30"/>
        <v>0</v>
      </c>
      <c r="K683" s="366">
        <f t="shared" si="32"/>
        <v>6</v>
      </c>
      <c r="L683" s="366">
        <f>+IF((C683&gt;='Resultats - informe'!$E$16)*(C683&lt;='Resultats - informe'!$G$16),1,0)</f>
        <v>1</v>
      </c>
      <c r="M683" s="366" cm="1">
        <f t="array" ref="M683">+_xlfn.IFS((C683&gt;='Resultats - informe'!$D$26)*(C683&lt;='Resultats - informe'!$E$26),0,(C683&gt;='Resultats - informe'!$D$27)*(C683&lt;='Resultats - informe'!$E$27),0,(C683&gt;='Resultats - informe'!$D$28)*(C683&lt;='Resultats - informe'!$E$28),0,(C683&gt;='Resultats - informe'!$D$29)*(C683&lt;='Resultats - informe'!$E$29),0,1,1)</f>
        <v>0</v>
      </c>
      <c r="N683" s="366">
        <f>+VLOOKUP(D683,'Resultats - informe'!$Y$18:$AG$42,'Introducció dades consum'!K683+1,0)</f>
        <v>0</v>
      </c>
      <c r="O683" s="367" cm="1">
        <f t="array" ref="O683">+_xlfn.SWITCH(MONTH(C683),1,1,2,1,3,1,4,2,5,2,6,3,7,3,8,3,9,3,10,2,11,2,12,1,2)</f>
        <v>1</v>
      </c>
      <c r="P683" s="43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  <c r="BT683" s="10"/>
      <c r="BU683" s="10"/>
    </row>
    <row r="684" spans="1:73" ht="18" x14ac:dyDescent="0.35">
      <c r="A684" s="43"/>
      <c r="C684" s="393"/>
      <c r="E684" s="394"/>
      <c r="F684" s="394"/>
      <c r="G684" s="394"/>
      <c r="H684" s="8" t="s">
        <v>61</v>
      </c>
      <c r="I684" s="364">
        <f t="shared" si="31"/>
        <v>0</v>
      </c>
      <c r="J684" s="365">
        <f t="shared" si="30"/>
        <v>0</v>
      </c>
      <c r="K684" s="366">
        <f t="shared" si="32"/>
        <v>6</v>
      </c>
      <c r="L684" s="366">
        <f>+IF((C684&gt;='Resultats - informe'!$E$16)*(C684&lt;='Resultats - informe'!$G$16),1,0)</f>
        <v>1</v>
      </c>
      <c r="M684" s="366" cm="1">
        <f t="array" ref="M684">+_xlfn.IFS((C684&gt;='Resultats - informe'!$D$26)*(C684&lt;='Resultats - informe'!$E$26),0,(C684&gt;='Resultats - informe'!$D$27)*(C684&lt;='Resultats - informe'!$E$27),0,(C684&gt;='Resultats - informe'!$D$28)*(C684&lt;='Resultats - informe'!$E$28),0,(C684&gt;='Resultats - informe'!$D$29)*(C684&lt;='Resultats - informe'!$E$29),0,1,1)</f>
        <v>0</v>
      </c>
      <c r="N684" s="366">
        <f>+VLOOKUP(D684,'Resultats - informe'!$Y$18:$AG$42,'Introducció dades consum'!K684+1,0)</f>
        <v>0</v>
      </c>
      <c r="O684" s="367" cm="1">
        <f t="array" ref="O684">+_xlfn.SWITCH(MONTH(C684),1,1,2,1,3,1,4,2,5,2,6,3,7,3,8,3,9,3,10,2,11,2,12,1,2)</f>
        <v>1</v>
      </c>
      <c r="P684" s="43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  <c r="BT684" s="10"/>
      <c r="BU684" s="10"/>
    </row>
    <row r="685" spans="1:73" ht="18" x14ac:dyDescent="0.35">
      <c r="A685" s="43"/>
      <c r="C685" s="393"/>
      <c r="E685" s="394"/>
      <c r="F685" s="394"/>
      <c r="G685" s="394"/>
      <c r="H685" s="8" t="s">
        <v>61</v>
      </c>
      <c r="I685" s="364">
        <f t="shared" si="31"/>
        <v>0</v>
      </c>
      <c r="J685" s="365">
        <f t="shared" si="30"/>
        <v>0</v>
      </c>
      <c r="K685" s="366">
        <f t="shared" si="32"/>
        <v>6</v>
      </c>
      <c r="L685" s="366">
        <f>+IF((C685&gt;='Resultats - informe'!$E$16)*(C685&lt;='Resultats - informe'!$G$16),1,0)</f>
        <v>1</v>
      </c>
      <c r="M685" s="366" cm="1">
        <f t="array" ref="M685">+_xlfn.IFS((C685&gt;='Resultats - informe'!$D$26)*(C685&lt;='Resultats - informe'!$E$26),0,(C685&gt;='Resultats - informe'!$D$27)*(C685&lt;='Resultats - informe'!$E$27),0,(C685&gt;='Resultats - informe'!$D$28)*(C685&lt;='Resultats - informe'!$E$28),0,(C685&gt;='Resultats - informe'!$D$29)*(C685&lt;='Resultats - informe'!$E$29),0,1,1)</f>
        <v>0</v>
      </c>
      <c r="N685" s="366">
        <f>+VLOOKUP(D685,'Resultats - informe'!$Y$18:$AG$42,'Introducció dades consum'!K685+1,0)</f>
        <v>0</v>
      </c>
      <c r="O685" s="367" cm="1">
        <f t="array" ref="O685">+_xlfn.SWITCH(MONTH(C685),1,1,2,1,3,1,4,2,5,2,6,3,7,3,8,3,9,3,10,2,11,2,12,1,2)</f>
        <v>1</v>
      </c>
      <c r="P685" s="43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  <c r="BT685" s="10"/>
      <c r="BU685" s="10"/>
    </row>
    <row r="686" spans="1:73" ht="18" x14ac:dyDescent="0.35">
      <c r="A686" s="43"/>
      <c r="C686" s="393"/>
      <c r="E686" s="394"/>
      <c r="F686" s="394"/>
      <c r="G686" s="394"/>
      <c r="H686" s="8" t="s">
        <v>61</v>
      </c>
      <c r="I686" s="364">
        <f t="shared" si="31"/>
        <v>0</v>
      </c>
      <c r="J686" s="365">
        <f t="shared" si="30"/>
        <v>0</v>
      </c>
      <c r="K686" s="366">
        <f t="shared" si="32"/>
        <v>6</v>
      </c>
      <c r="L686" s="366">
        <f>+IF((C686&gt;='Resultats - informe'!$E$16)*(C686&lt;='Resultats - informe'!$G$16),1,0)</f>
        <v>1</v>
      </c>
      <c r="M686" s="366" cm="1">
        <f t="array" ref="M686">+_xlfn.IFS((C686&gt;='Resultats - informe'!$D$26)*(C686&lt;='Resultats - informe'!$E$26),0,(C686&gt;='Resultats - informe'!$D$27)*(C686&lt;='Resultats - informe'!$E$27),0,(C686&gt;='Resultats - informe'!$D$28)*(C686&lt;='Resultats - informe'!$E$28),0,(C686&gt;='Resultats - informe'!$D$29)*(C686&lt;='Resultats - informe'!$E$29),0,1,1)</f>
        <v>0</v>
      </c>
      <c r="N686" s="366">
        <f>+VLOOKUP(D686,'Resultats - informe'!$Y$18:$AG$42,'Introducció dades consum'!K686+1,0)</f>
        <v>0</v>
      </c>
      <c r="O686" s="367" cm="1">
        <f t="array" ref="O686">+_xlfn.SWITCH(MONTH(C686),1,1,2,1,3,1,4,2,5,2,6,3,7,3,8,3,9,3,10,2,11,2,12,1,2)</f>
        <v>1</v>
      </c>
      <c r="P686" s="43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  <c r="BT686" s="10"/>
      <c r="BU686" s="10"/>
    </row>
    <row r="687" spans="1:73" ht="18" x14ac:dyDescent="0.35">
      <c r="A687" s="43"/>
      <c r="C687" s="393"/>
      <c r="E687" s="394"/>
      <c r="F687" s="394"/>
      <c r="G687" s="394"/>
      <c r="H687" s="8" t="s">
        <v>61</v>
      </c>
      <c r="I687" s="364">
        <f t="shared" si="31"/>
        <v>0</v>
      </c>
      <c r="J687" s="365">
        <f t="shared" si="30"/>
        <v>0</v>
      </c>
      <c r="K687" s="366">
        <f t="shared" si="32"/>
        <v>6</v>
      </c>
      <c r="L687" s="366">
        <f>+IF((C687&gt;='Resultats - informe'!$E$16)*(C687&lt;='Resultats - informe'!$G$16),1,0)</f>
        <v>1</v>
      </c>
      <c r="M687" s="366" cm="1">
        <f t="array" ref="M687">+_xlfn.IFS((C687&gt;='Resultats - informe'!$D$26)*(C687&lt;='Resultats - informe'!$E$26),0,(C687&gt;='Resultats - informe'!$D$27)*(C687&lt;='Resultats - informe'!$E$27),0,(C687&gt;='Resultats - informe'!$D$28)*(C687&lt;='Resultats - informe'!$E$28),0,(C687&gt;='Resultats - informe'!$D$29)*(C687&lt;='Resultats - informe'!$E$29),0,1,1)</f>
        <v>0</v>
      </c>
      <c r="N687" s="366">
        <f>+VLOOKUP(D687,'Resultats - informe'!$Y$18:$AG$42,'Introducció dades consum'!K687+1,0)</f>
        <v>0</v>
      </c>
      <c r="O687" s="367" cm="1">
        <f t="array" ref="O687">+_xlfn.SWITCH(MONTH(C687),1,1,2,1,3,1,4,2,5,2,6,3,7,3,8,3,9,3,10,2,11,2,12,1,2)</f>
        <v>1</v>
      </c>
      <c r="P687" s="43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  <c r="BT687" s="10"/>
      <c r="BU687" s="10"/>
    </row>
    <row r="688" spans="1:73" ht="18" x14ac:dyDescent="0.35">
      <c r="A688" s="43"/>
      <c r="C688" s="393"/>
      <c r="E688" s="394"/>
      <c r="F688" s="394"/>
      <c r="G688" s="394"/>
      <c r="H688" s="8" t="s">
        <v>61</v>
      </c>
      <c r="I688" s="364">
        <f t="shared" si="31"/>
        <v>0</v>
      </c>
      <c r="J688" s="365">
        <f t="shared" si="30"/>
        <v>0</v>
      </c>
      <c r="K688" s="366">
        <f t="shared" si="32"/>
        <v>6</v>
      </c>
      <c r="L688" s="366">
        <f>+IF((C688&gt;='Resultats - informe'!$E$16)*(C688&lt;='Resultats - informe'!$G$16),1,0)</f>
        <v>1</v>
      </c>
      <c r="M688" s="366" cm="1">
        <f t="array" ref="M688">+_xlfn.IFS((C688&gt;='Resultats - informe'!$D$26)*(C688&lt;='Resultats - informe'!$E$26),0,(C688&gt;='Resultats - informe'!$D$27)*(C688&lt;='Resultats - informe'!$E$27),0,(C688&gt;='Resultats - informe'!$D$28)*(C688&lt;='Resultats - informe'!$E$28),0,(C688&gt;='Resultats - informe'!$D$29)*(C688&lt;='Resultats - informe'!$E$29),0,1,1)</f>
        <v>0</v>
      </c>
      <c r="N688" s="366">
        <f>+VLOOKUP(D688,'Resultats - informe'!$Y$18:$AG$42,'Introducció dades consum'!K688+1,0)</f>
        <v>0</v>
      </c>
      <c r="O688" s="367" cm="1">
        <f t="array" ref="O688">+_xlfn.SWITCH(MONTH(C688),1,1,2,1,3,1,4,2,5,2,6,3,7,3,8,3,9,3,10,2,11,2,12,1,2)</f>
        <v>1</v>
      </c>
      <c r="P688" s="43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  <c r="BT688" s="10"/>
      <c r="BU688" s="10"/>
    </row>
    <row r="689" spans="1:73" ht="18" x14ac:dyDescent="0.35">
      <c r="A689" s="43"/>
      <c r="C689" s="393"/>
      <c r="E689" s="394"/>
      <c r="F689" s="394"/>
      <c r="G689" s="394"/>
      <c r="H689" s="8" t="s">
        <v>61</v>
      </c>
      <c r="I689" s="364">
        <f t="shared" si="31"/>
        <v>0</v>
      </c>
      <c r="J689" s="365">
        <f t="shared" si="30"/>
        <v>0</v>
      </c>
      <c r="K689" s="366">
        <f t="shared" si="32"/>
        <v>6</v>
      </c>
      <c r="L689" s="366">
        <f>+IF((C689&gt;='Resultats - informe'!$E$16)*(C689&lt;='Resultats - informe'!$G$16),1,0)</f>
        <v>1</v>
      </c>
      <c r="M689" s="366" cm="1">
        <f t="array" ref="M689">+_xlfn.IFS((C689&gt;='Resultats - informe'!$D$26)*(C689&lt;='Resultats - informe'!$E$26),0,(C689&gt;='Resultats - informe'!$D$27)*(C689&lt;='Resultats - informe'!$E$27),0,(C689&gt;='Resultats - informe'!$D$28)*(C689&lt;='Resultats - informe'!$E$28),0,(C689&gt;='Resultats - informe'!$D$29)*(C689&lt;='Resultats - informe'!$E$29),0,1,1)</f>
        <v>0</v>
      </c>
      <c r="N689" s="366">
        <f>+VLOOKUP(D689,'Resultats - informe'!$Y$18:$AG$42,'Introducció dades consum'!K689+1,0)</f>
        <v>0</v>
      </c>
      <c r="O689" s="367" cm="1">
        <f t="array" ref="O689">+_xlfn.SWITCH(MONTH(C689),1,1,2,1,3,1,4,2,5,2,6,3,7,3,8,3,9,3,10,2,11,2,12,1,2)</f>
        <v>1</v>
      </c>
      <c r="P689" s="43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10"/>
    </row>
    <row r="690" spans="1:73" ht="18" x14ac:dyDescent="0.35">
      <c r="A690" s="43"/>
      <c r="C690" s="393"/>
      <c r="E690" s="394"/>
      <c r="F690" s="394"/>
      <c r="G690" s="394"/>
      <c r="H690" s="8" t="s">
        <v>61</v>
      </c>
      <c r="I690" s="364">
        <f t="shared" si="31"/>
        <v>0</v>
      </c>
      <c r="J690" s="365">
        <f t="shared" si="30"/>
        <v>0</v>
      </c>
      <c r="K690" s="366">
        <f t="shared" si="32"/>
        <v>6</v>
      </c>
      <c r="L690" s="366">
        <f>+IF((C690&gt;='Resultats - informe'!$E$16)*(C690&lt;='Resultats - informe'!$G$16),1,0)</f>
        <v>1</v>
      </c>
      <c r="M690" s="366" cm="1">
        <f t="array" ref="M690">+_xlfn.IFS((C690&gt;='Resultats - informe'!$D$26)*(C690&lt;='Resultats - informe'!$E$26),0,(C690&gt;='Resultats - informe'!$D$27)*(C690&lt;='Resultats - informe'!$E$27),0,(C690&gt;='Resultats - informe'!$D$28)*(C690&lt;='Resultats - informe'!$E$28),0,(C690&gt;='Resultats - informe'!$D$29)*(C690&lt;='Resultats - informe'!$E$29),0,1,1)</f>
        <v>0</v>
      </c>
      <c r="N690" s="366">
        <f>+VLOOKUP(D690,'Resultats - informe'!$Y$18:$AG$42,'Introducció dades consum'!K690+1,0)</f>
        <v>0</v>
      </c>
      <c r="O690" s="367" cm="1">
        <f t="array" ref="O690">+_xlfn.SWITCH(MONTH(C690),1,1,2,1,3,1,4,2,5,2,6,3,7,3,8,3,9,3,10,2,11,2,12,1,2)</f>
        <v>1</v>
      </c>
      <c r="P690" s="43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10"/>
    </row>
    <row r="691" spans="1:73" ht="18" x14ac:dyDescent="0.35">
      <c r="A691" s="43"/>
      <c r="C691" s="393"/>
      <c r="E691" s="394"/>
      <c r="F691" s="394"/>
      <c r="G691" s="394"/>
      <c r="H691" s="8" t="s">
        <v>61</v>
      </c>
      <c r="I691" s="364">
        <f t="shared" si="31"/>
        <v>0</v>
      </c>
      <c r="J691" s="365">
        <f t="shared" si="30"/>
        <v>0</v>
      </c>
      <c r="K691" s="366">
        <f t="shared" si="32"/>
        <v>6</v>
      </c>
      <c r="L691" s="366">
        <f>+IF((C691&gt;='Resultats - informe'!$E$16)*(C691&lt;='Resultats - informe'!$G$16),1,0)</f>
        <v>1</v>
      </c>
      <c r="M691" s="366" cm="1">
        <f t="array" ref="M691">+_xlfn.IFS((C691&gt;='Resultats - informe'!$D$26)*(C691&lt;='Resultats - informe'!$E$26),0,(C691&gt;='Resultats - informe'!$D$27)*(C691&lt;='Resultats - informe'!$E$27),0,(C691&gt;='Resultats - informe'!$D$28)*(C691&lt;='Resultats - informe'!$E$28),0,(C691&gt;='Resultats - informe'!$D$29)*(C691&lt;='Resultats - informe'!$E$29),0,1,1)</f>
        <v>0</v>
      </c>
      <c r="N691" s="366">
        <f>+VLOOKUP(D691,'Resultats - informe'!$Y$18:$AG$42,'Introducció dades consum'!K691+1,0)</f>
        <v>0</v>
      </c>
      <c r="O691" s="367" cm="1">
        <f t="array" ref="O691">+_xlfn.SWITCH(MONTH(C691),1,1,2,1,3,1,4,2,5,2,6,3,7,3,8,3,9,3,10,2,11,2,12,1,2)</f>
        <v>1</v>
      </c>
      <c r="P691" s="43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10"/>
    </row>
    <row r="692" spans="1:73" ht="18" x14ac:dyDescent="0.35">
      <c r="A692" s="43"/>
      <c r="C692" s="393"/>
      <c r="E692" s="394"/>
      <c r="F692" s="394"/>
      <c r="G692" s="394"/>
      <c r="H692" s="8" t="s">
        <v>61</v>
      </c>
      <c r="I692" s="364">
        <f t="shared" si="31"/>
        <v>0</v>
      </c>
      <c r="J692" s="365">
        <f t="shared" si="30"/>
        <v>0</v>
      </c>
      <c r="K692" s="366">
        <f t="shared" si="32"/>
        <v>6</v>
      </c>
      <c r="L692" s="366">
        <f>+IF((C692&gt;='Resultats - informe'!$E$16)*(C692&lt;='Resultats - informe'!$G$16),1,0)</f>
        <v>1</v>
      </c>
      <c r="M692" s="366" cm="1">
        <f t="array" ref="M692">+_xlfn.IFS((C692&gt;='Resultats - informe'!$D$26)*(C692&lt;='Resultats - informe'!$E$26),0,(C692&gt;='Resultats - informe'!$D$27)*(C692&lt;='Resultats - informe'!$E$27),0,(C692&gt;='Resultats - informe'!$D$28)*(C692&lt;='Resultats - informe'!$E$28),0,(C692&gt;='Resultats - informe'!$D$29)*(C692&lt;='Resultats - informe'!$E$29),0,1,1)</f>
        <v>0</v>
      </c>
      <c r="N692" s="366">
        <f>+VLOOKUP(D692,'Resultats - informe'!$Y$18:$AG$42,'Introducció dades consum'!K692+1,0)</f>
        <v>0</v>
      </c>
      <c r="O692" s="367" cm="1">
        <f t="array" ref="O692">+_xlfn.SWITCH(MONTH(C692),1,1,2,1,3,1,4,2,5,2,6,3,7,3,8,3,9,3,10,2,11,2,12,1,2)</f>
        <v>1</v>
      </c>
      <c r="P692" s="43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  <c r="BT692" s="10"/>
      <c r="BU692" s="10"/>
    </row>
    <row r="693" spans="1:73" ht="18" x14ac:dyDescent="0.35">
      <c r="A693" s="43"/>
      <c r="C693" s="393"/>
      <c r="E693" s="394"/>
      <c r="F693" s="394"/>
      <c r="G693" s="394"/>
      <c r="H693" s="8" t="s">
        <v>61</v>
      </c>
      <c r="I693" s="364">
        <f t="shared" si="31"/>
        <v>0</v>
      </c>
      <c r="J693" s="365">
        <f t="shared" si="30"/>
        <v>0</v>
      </c>
      <c r="K693" s="366">
        <f t="shared" si="32"/>
        <v>6</v>
      </c>
      <c r="L693" s="366">
        <f>+IF((C693&gt;='Resultats - informe'!$E$16)*(C693&lt;='Resultats - informe'!$G$16),1,0)</f>
        <v>1</v>
      </c>
      <c r="M693" s="366" cm="1">
        <f t="array" ref="M693">+_xlfn.IFS((C693&gt;='Resultats - informe'!$D$26)*(C693&lt;='Resultats - informe'!$E$26),0,(C693&gt;='Resultats - informe'!$D$27)*(C693&lt;='Resultats - informe'!$E$27),0,(C693&gt;='Resultats - informe'!$D$28)*(C693&lt;='Resultats - informe'!$E$28),0,(C693&gt;='Resultats - informe'!$D$29)*(C693&lt;='Resultats - informe'!$E$29),0,1,1)</f>
        <v>0</v>
      </c>
      <c r="N693" s="366">
        <f>+VLOOKUP(D693,'Resultats - informe'!$Y$18:$AG$42,'Introducció dades consum'!K693+1,0)</f>
        <v>0</v>
      </c>
      <c r="O693" s="367" cm="1">
        <f t="array" ref="O693">+_xlfn.SWITCH(MONTH(C693),1,1,2,1,3,1,4,2,5,2,6,3,7,3,8,3,9,3,10,2,11,2,12,1,2)</f>
        <v>1</v>
      </c>
      <c r="P693" s="43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10"/>
      <c r="BI693" s="10"/>
      <c r="BJ693" s="10"/>
      <c r="BK693" s="10"/>
      <c r="BL693" s="10"/>
      <c r="BM693" s="10"/>
      <c r="BN693" s="10"/>
      <c r="BO693" s="10"/>
      <c r="BP693" s="10"/>
      <c r="BQ693" s="10"/>
      <c r="BR693" s="10"/>
      <c r="BS693" s="10"/>
      <c r="BT693" s="10"/>
      <c r="BU693" s="10"/>
    </row>
    <row r="694" spans="1:73" ht="18" x14ac:dyDescent="0.35">
      <c r="A694" s="43"/>
      <c r="C694" s="393"/>
      <c r="E694" s="394"/>
      <c r="F694" s="394"/>
      <c r="G694" s="394"/>
      <c r="H694" s="8" t="s">
        <v>61</v>
      </c>
      <c r="I694" s="364">
        <f t="shared" si="31"/>
        <v>0</v>
      </c>
      <c r="J694" s="365">
        <f t="shared" si="30"/>
        <v>0</v>
      </c>
      <c r="K694" s="366">
        <f t="shared" si="32"/>
        <v>6</v>
      </c>
      <c r="L694" s="366">
        <f>+IF((C694&gt;='Resultats - informe'!$E$16)*(C694&lt;='Resultats - informe'!$G$16),1,0)</f>
        <v>1</v>
      </c>
      <c r="M694" s="366" cm="1">
        <f t="array" ref="M694">+_xlfn.IFS((C694&gt;='Resultats - informe'!$D$26)*(C694&lt;='Resultats - informe'!$E$26),0,(C694&gt;='Resultats - informe'!$D$27)*(C694&lt;='Resultats - informe'!$E$27),0,(C694&gt;='Resultats - informe'!$D$28)*(C694&lt;='Resultats - informe'!$E$28),0,(C694&gt;='Resultats - informe'!$D$29)*(C694&lt;='Resultats - informe'!$E$29),0,1,1)</f>
        <v>0</v>
      </c>
      <c r="N694" s="366">
        <f>+VLOOKUP(D694,'Resultats - informe'!$Y$18:$AG$42,'Introducció dades consum'!K694+1,0)</f>
        <v>0</v>
      </c>
      <c r="O694" s="367" cm="1">
        <f t="array" ref="O694">+_xlfn.SWITCH(MONTH(C694),1,1,2,1,3,1,4,2,5,2,6,3,7,3,8,3,9,3,10,2,11,2,12,1,2)</f>
        <v>1</v>
      </c>
      <c r="P694" s="43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  <c r="BF694" s="10"/>
      <c r="BG694" s="10"/>
      <c r="BH694" s="10"/>
      <c r="BI694" s="10"/>
      <c r="BJ694" s="10"/>
      <c r="BK694" s="10"/>
      <c r="BL694" s="10"/>
      <c r="BM694" s="10"/>
      <c r="BN694" s="10"/>
      <c r="BO694" s="10"/>
      <c r="BP694" s="10"/>
      <c r="BQ694" s="10"/>
      <c r="BR694" s="10"/>
      <c r="BS694" s="10"/>
      <c r="BT694" s="10"/>
      <c r="BU694" s="10"/>
    </row>
    <row r="695" spans="1:73" ht="18" x14ac:dyDescent="0.35">
      <c r="A695" s="43"/>
      <c r="C695" s="393"/>
      <c r="E695" s="394"/>
      <c r="F695" s="394"/>
      <c r="G695" s="394"/>
      <c r="H695" s="8" t="s">
        <v>61</v>
      </c>
      <c r="I695" s="364">
        <f t="shared" si="31"/>
        <v>0</v>
      </c>
      <c r="J695" s="365">
        <f t="shared" si="30"/>
        <v>0</v>
      </c>
      <c r="K695" s="366">
        <f t="shared" si="32"/>
        <v>6</v>
      </c>
      <c r="L695" s="366">
        <f>+IF((C695&gt;='Resultats - informe'!$E$16)*(C695&lt;='Resultats - informe'!$G$16),1,0)</f>
        <v>1</v>
      </c>
      <c r="M695" s="366" cm="1">
        <f t="array" ref="M695">+_xlfn.IFS((C695&gt;='Resultats - informe'!$D$26)*(C695&lt;='Resultats - informe'!$E$26),0,(C695&gt;='Resultats - informe'!$D$27)*(C695&lt;='Resultats - informe'!$E$27),0,(C695&gt;='Resultats - informe'!$D$28)*(C695&lt;='Resultats - informe'!$E$28),0,(C695&gt;='Resultats - informe'!$D$29)*(C695&lt;='Resultats - informe'!$E$29),0,1,1)</f>
        <v>0</v>
      </c>
      <c r="N695" s="366">
        <f>+VLOOKUP(D695,'Resultats - informe'!$Y$18:$AG$42,'Introducció dades consum'!K695+1,0)</f>
        <v>0</v>
      </c>
      <c r="O695" s="367" cm="1">
        <f t="array" ref="O695">+_xlfn.SWITCH(MONTH(C695),1,1,2,1,3,1,4,2,5,2,6,3,7,3,8,3,9,3,10,2,11,2,12,1,2)</f>
        <v>1</v>
      </c>
      <c r="P695" s="43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  <c r="BF695" s="10"/>
      <c r="BG695" s="10"/>
      <c r="BH695" s="10"/>
      <c r="BI695" s="10"/>
      <c r="BJ695" s="10"/>
      <c r="BK695" s="10"/>
      <c r="BL695" s="10"/>
      <c r="BM695" s="10"/>
      <c r="BN695" s="10"/>
      <c r="BO695" s="10"/>
      <c r="BP695" s="10"/>
      <c r="BQ695" s="10"/>
      <c r="BR695" s="10"/>
      <c r="BS695" s="10"/>
      <c r="BT695" s="10"/>
      <c r="BU695" s="10"/>
    </row>
    <row r="696" spans="1:73" ht="18" x14ac:dyDescent="0.35">
      <c r="A696" s="43"/>
      <c r="C696" s="393"/>
      <c r="E696" s="394"/>
      <c r="F696" s="394"/>
      <c r="G696" s="394"/>
      <c r="H696" s="8" t="s">
        <v>61</v>
      </c>
      <c r="I696" s="368">
        <f t="shared" si="31"/>
        <v>0</v>
      </c>
      <c r="J696" s="365">
        <f t="shared" si="30"/>
        <v>0</v>
      </c>
      <c r="K696" s="369">
        <f t="shared" si="32"/>
        <v>6</v>
      </c>
      <c r="L696" s="369">
        <f>+IF((C696&gt;='Resultats - informe'!$E$16)*(C696&lt;='Resultats - informe'!$G$16),1,0)</f>
        <v>1</v>
      </c>
      <c r="M696" s="369" cm="1">
        <f t="array" ref="M696">+_xlfn.IFS((C696&gt;='Resultats - informe'!$D$26)*(C696&lt;='Resultats - informe'!$E$26),0,(C696&gt;='Resultats - informe'!$D$27)*(C696&lt;='Resultats - informe'!$E$27),0,(C696&gt;='Resultats - informe'!$D$28)*(C696&lt;='Resultats - informe'!$E$28),0,(C696&gt;='Resultats - informe'!$D$29)*(C696&lt;='Resultats - informe'!$E$29),0,1,1)</f>
        <v>0</v>
      </c>
      <c r="N696" s="366">
        <f>+VLOOKUP(D696,'Resultats - informe'!$Y$18:$AG$42,'Introducció dades consum'!K696+1,0)</f>
        <v>0</v>
      </c>
      <c r="O696" s="370" cm="1">
        <f t="array" ref="O696">+_xlfn.SWITCH(MONTH(C696),1,1,2,1,3,1,4,2,5,2,6,3,7,3,8,3,9,3,10,2,11,2,12,1,2)</f>
        <v>1</v>
      </c>
      <c r="P696" s="43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  <c r="BF696" s="10"/>
      <c r="BG696" s="10"/>
      <c r="BH696" s="10"/>
      <c r="BI696" s="10"/>
      <c r="BJ696" s="10"/>
      <c r="BK696" s="10"/>
      <c r="BL696" s="10"/>
      <c r="BM696" s="10"/>
      <c r="BN696" s="10"/>
      <c r="BO696" s="10"/>
      <c r="BP696" s="10"/>
      <c r="BQ696" s="10"/>
      <c r="BR696" s="10"/>
      <c r="BS696" s="10"/>
      <c r="BT696" s="10"/>
      <c r="BU696" s="10"/>
    </row>
    <row r="697" spans="1:73" ht="18" x14ac:dyDescent="0.35">
      <c r="A697" s="43"/>
      <c r="C697" s="393"/>
      <c r="E697" s="394"/>
      <c r="F697" s="394"/>
      <c r="G697" s="394"/>
      <c r="H697" s="8" t="s">
        <v>61</v>
      </c>
      <c r="I697" s="368">
        <f t="shared" si="31"/>
        <v>0</v>
      </c>
      <c r="J697" s="365">
        <f t="shared" si="30"/>
        <v>0</v>
      </c>
      <c r="K697" s="369">
        <f t="shared" si="32"/>
        <v>6</v>
      </c>
      <c r="L697" s="369">
        <f>+IF((C697&gt;='Resultats - informe'!$E$16)*(C697&lt;='Resultats - informe'!$G$16),1,0)</f>
        <v>1</v>
      </c>
      <c r="M697" s="369" cm="1">
        <f t="array" ref="M697">+_xlfn.IFS((C697&gt;='Resultats - informe'!$D$26)*(C697&lt;='Resultats - informe'!$E$26),0,(C697&gt;='Resultats - informe'!$D$27)*(C697&lt;='Resultats - informe'!$E$27),0,(C697&gt;='Resultats - informe'!$D$28)*(C697&lt;='Resultats - informe'!$E$28),0,(C697&gt;='Resultats - informe'!$D$29)*(C697&lt;='Resultats - informe'!$E$29),0,1,1)</f>
        <v>0</v>
      </c>
      <c r="N697" s="366">
        <f>+VLOOKUP(D697,'Resultats - informe'!$Y$18:$AG$42,'Introducció dades consum'!K697+1,0)</f>
        <v>0</v>
      </c>
      <c r="O697" s="370" cm="1">
        <f t="array" ref="O697">+_xlfn.SWITCH(MONTH(C697),1,1,2,1,3,1,4,2,5,2,6,3,7,3,8,3,9,3,10,2,11,2,12,1,2)</f>
        <v>1</v>
      </c>
      <c r="P697" s="43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  <c r="BF697" s="10"/>
      <c r="BG697" s="10"/>
      <c r="BH697" s="10"/>
      <c r="BI697" s="10"/>
      <c r="BJ697" s="10"/>
      <c r="BK697" s="10"/>
      <c r="BL697" s="10"/>
      <c r="BM697" s="10"/>
      <c r="BN697" s="10"/>
      <c r="BO697" s="10"/>
      <c r="BP697" s="10"/>
      <c r="BQ697" s="10"/>
      <c r="BR697" s="10"/>
      <c r="BS697" s="10"/>
      <c r="BT697" s="10"/>
      <c r="BU697" s="10"/>
    </row>
    <row r="698" spans="1:73" ht="18" x14ac:dyDescent="0.35">
      <c r="A698" s="43"/>
      <c r="C698" s="393"/>
      <c r="E698" s="394"/>
      <c r="F698" s="394"/>
      <c r="G698" s="394"/>
      <c r="H698" s="8" t="s">
        <v>61</v>
      </c>
      <c r="I698" s="368">
        <f t="shared" si="31"/>
        <v>0</v>
      </c>
      <c r="J698" s="365">
        <f>+C698</f>
        <v>0</v>
      </c>
      <c r="K698" s="369">
        <f t="shared" si="32"/>
        <v>6</v>
      </c>
      <c r="L698" s="369">
        <f>+IF((C698&gt;='Resultats - informe'!$E$16)*(C698&lt;='Resultats - informe'!$G$16),1,0)</f>
        <v>1</v>
      </c>
      <c r="M698" s="369" cm="1">
        <f t="array" ref="M698">+_xlfn.IFS((C698&gt;='Resultats - informe'!$D$26)*(C698&lt;='Resultats - informe'!$E$26),0,(C698&gt;='Resultats - informe'!$D$27)*(C698&lt;='Resultats - informe'!$E$27),0,(C698&gt;='Resultats - informe'!$D$28)*(C698&lt;='Resultats - informe'!$E$28),0,(C698&gt;='Resultats - informe'!$D$29)*(C698&lt;='Resultats - informe'!$E$29),0,1,1)</f>
        <v>0</v>
      </c>
      <c r="N698" s="366">
        <f>+VLOOKUP(D698,'Resultats - informe'!$Y$18:$AG$42,'Introducció dades consum'!K698+1,0)</f>
        <v>0</v>
      </c>
      <c r="O698" s="370" cm="1">
        <f t="array" ref="O698">+_xlfn.SWITCH(MONTH(C698),1,1,2,1,3,1,4,2,5,2,6,3,7,3,8,3,9,3,10,2,11,2,12,1,2)</f>
        <v>1</v>
      </c>
      <c r="P698" s="43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  <c r="BF698" s="10"/>
      <c r="BG698" s="10"/>
      <c r="BH698" s="10"/>
      <c r="BI698" s="10"/>
      <c r="BJ698" s="10"/>
      <c r="BK698" s="10"/>
      <c r="BL698" s="10"/>
      <c r="BM698" s="10"/>
      <c r="BN698" s="10"/>
      <c r="BO698" s="10"/>
      <c r="BP698" s="10"/>
      <c r="BQ698" s="10"/>
      <c r="BR698" s="10"/>
      <c r="BS698" s="10"/>
      <c r="BT698" s="10"/>
      <c r="BU698" s="10"/>
    </row>
    <row r="699" spans="1:73" ht="18" x14ac:dyDescent="0.35">
      <c r="A699" s="43"/>
      <c r="C699" s="393"/>
      <c r="E699" s="394"/>
      <c r="F699" s="394"/>
      <c r="G699" s="394"/>
      <c r="H699" s="8" t="s">
        <v>61</v>
      </c>
      <c r="I699" s="368">
        <f t="shared" si="31"/>
        <v>0</v>
      </c>
      <c r="J699" s="365">
        <f t="shared" ref="J699:J762" si="33">+C699</f>
        <v>0</v>
      </c>
      <c r="K699" s="369">
        <f t="shared" si="32"/>
        <v>6</v>
      </c>
      <c r="L699" s="369">
        <f>+IF((C699&gt;='Resultats - informe'!$E$16)*(C699&lt;='Resultats - informe'!$G$16),1,0)</f>
        <v>1</v>
      </c>
      <c r="M699" s="369" cm="1">
        <f t="array" ref="M699">+_xlfn.IFS((C699&gt;='Resultats - informe'!$D$26)*(C699&lt;='Resultats - informe'!$E$26),0,(C699&gt;='Resultats - informe'!$D$27)*(C699&lt;='Resultats - informe'!$E$27),0,(C699&gt;='Resultats - informe'!$D$28)*(C699&lt;='Resultats - informe'!$E$28),0,(C699&gt;='Resultats - informe'!$D$29)*(C699&lt;='Resultats - informe'!$E$29),0,1,1)</f>
        <v>0</v>
      </c>
      <c r="N699" s="366">
        <f>+VLOOKUP(D699,'Resultats - informe'!$Y$18:$AG$42,'Introducció dades consum'!K699+1,0)</f>
        <v>0</v>
      </c>
      <c r="O699" s="370" cm="1">
        <f t="array" ref="O699">+_xlfn.SWITCH(MONTH(C699),1,1,2,1,3,1,4,2,5,2,6,3,7,3,8,3,9,3,10,2,11,2,12,1,2)</f>
        <v>1</v>
      </c>
      <c r="P699" s="43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  <c r="BF699" s="10"/>
      <c r="BG699" s="10"/>
      <c r="BH699" s="10"/>
      <c r="BI699" s="10"/>
      <c r="BJ699" s="10"/>
      <c r="BK699" s="10"/>
      <c r="BL699" s="10"/>
      <c r="BM699" s="10"/>
      <c r="BN699" s="10"/>
      <c r="BO699" s="10"/>
      <c r="BP699" s="10"/>
      <c r="BQ699" s="10"/>
      <c r="BR699" s="10"/>
      <c r="BS699" s="10"/>
      <c r="BT699" s="10"/>
      <c r="BU699" s="10"/>
    </row>
    <row r="700" spans="1:73" ht="18" x14ac:dyDescent="0.35">
      <c r="A700" s="43"/>
      <c r="C700" s="393"/>
      <c r="E700" s="394"/>
      <c r="F700" s="394"/>
      <c r="G700" s="394"/>
      <c r="H700" s="8" t="s">
        <v>61</v>
      </c>
      <c r="I700" s="368">
        <f t="shared" si="31"/>
        <v>0</v>
      </c>
      <c r="J700" s="365">
        <f t="shared" si="33"/>
        <v>0</v>
      </c>
      <c r="K700" s="369">
        <f t="shared" si="32"/>
        <v>6</v>
      </c>
      <c r="L700" s="369">
        <f>+IF((C700&gt;='Resultats - informe'!$E$16)*(C700&lt;='Resultats - informe'!$G$16),1,0)</f>
        <v>1</v>
      </c>
      <c r="M700" s="369" cm="1">
        <f t="array" ref="M700">+_xlfn.IFS((C700&gt;='Resultats - informe'!$D$26)*(C700&lt;='Resultats - informe'!$E$26),0,(C700&gt;='Resultats - informe'!$D$27)*(C700&lt;='Resultats - informe'!$E$27),0,(C700&gt;='Resultats - informe'!$D$28)*(C700&lt;='Resultats - informe'!$E$28),0,(C700&gt;='Resultats - informe'!$D$29)*(C700&lt;='Resultats - informe'!$E$29),0,1,1)</f>
        <v>0</v>
      </c>
      <c r="N700" s="366">
        <f>+VLOOKUP(D700,'Resultats - informe'!$Y$18:$AG$42,'Introducció dades consum'!K700+1,0)</f>
        <v>0</v>
      </c>
      <c r="O700" s="370" cm="1">
        <f t="array" ref="O700">+_xlfn.SWITCH(MONTH(C700),1,1,2,1,3,1,4,2,5,2,6,3,7,3,8,3,9,3,10,2,11,2,12,1,2)</f>
        <v>1</v>
      </c>
      <c r="P700" s="43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0"/>
      <c r="BO700" s="10"/>
      <c r="BP700" s="10"/>
      <c r="BQ700" s="10"/>
      <c r="BR700" s="10"/>
      <c r="BS700" s="10"/>
      <c r="BT700" s="10"/>
      <c r="BU700" s="10"/>
    </row>
    <row r="701" spans="1:73" ht="18" x14ac:dyDescent="0.35">
      <c r="A701" s="43"/>
      <c r="C701" s="393"/>
      <c r="E701" s="394"/>
      <c r="F701" s="394"/>
      <c r="G701" s="394"/>
      <c r="H701" s="8" t="s">
        <v>61</v>
      </c>
      <c r="I701" s="368">
        <f t="shared" si="31"/>
        <v>0</v>
      </c>
      <c r="J701" s="365">
        <f t="shared" si="33"/>
        <v>0</v>
      </c>
      <c r="K701" s="369">
        <f t="shared" si="32"/>
        <v>6</v>
      </c>
      <c r="L701" s="369">
        <f>+IF((C701&gt;='Resultats - informe'!$E$16)*(C701&lt;='Resultats - informe'!$G$16),1,0)</f>
        <v>1</v>
      </c>
      <c r="M701" s="369" cm="1">
        <f t="array" ref="M701">+_xlfn.IFS((C701&gt;='Resultats - informe'!$D$26)*(C701&lt;='Resultats - informe'!$E$26),0,(C701&gt;='Resultats - informe'!$D$27)*(C701&lt;='Resultats - informe'!$E$27),0,(C701&gt;='Resultats - informe'!$D$28)*(C701&lt;='Resultats - informe'!$E$28),0,(C701&gt;='Resultats - informe'!$D$29)*(C701&lt;='Resultats - informe'!$E$29),0,1,1)</f>
        <v>0</v>
      </c>
      <c r="N701" s="366">
        <f>+VLOOKUP(D701,'Resultats - informe'!$Y$18:$AG$42,'Introducció dades consum'!K701+1,0)</f>
        <v>0</v>
      </c>
      <c r="O701" s="370" cm="1">
        <f t="array" ref="O701">+_xlfn.SWITCH(MONTH(C701),1,1,2,1,3,1,4,2,5,2,6,3,7,3,8,3,9,3,10,2,11,2,12,1,2)</f>
        <v>1</v>
      </c>
      <c r="P701" s="43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  <c r="BF701" s="10"/>
      <c r="BG701" s="10"/>
      <c r="BH701" s="10"/>
      <c r="BI701" s="10"/>
      <c r="BJ701" s="10"/>
      <c r="BK701" s="10"/>
      <c r="BL701" s="10"/>
      <c r="BM701" s="10"/>
      <c r="BN701" s="10"/>
      <c r="BO701" s="10"/>
      <c r="BP701" s="10"/>
      <c r="BQ701" s="10"/>
      <c r="BR701" s="10"/>
      <c r="BS701" s="10"/>
      <c r="BT701" s="10"/>
      <c r="BU701" s="10"/>
    </row>
    <row r="702" spans="1:73" ht="18" x14ac:dyDescent="0.35">
      <c r="A702" s="43"/>
      <c r="C702" s="393"/>
      <c r="E702" s="394"/>
      <c r="F702" s="394"/>
      <c r="G702" s="394"/>
      <c r="H702" s="8" t="s">
        <v>61</v>
      </c>
      <c r="I702" s="368">
        <f t="shared" si="31"/>
        <v>0</v>
      </c>
      <c r="J702" s="365">
        <f t="shared" si="33"/>
        <v>0</v>
      </c>
      <c r="K702" s="369">
        <f t="shared" si="32"/>
        <v>6</v>
      </c>
      <c r="L702" s="369">
        <f>+IF((C702&gt;='Resultats - informe'!$E$16)*(C702&lt;='Resultats - informe'!$G$16),1,0)</f>
        <v>1</v>
      </c>
      <c r="M702" s="369" cm="1">
        <f t="array" ref="M702">+_xlfn.IFS((C702&gt;='Resultats - informe'!$D$26)*(C702&lt;='Resultats - informe'!$E$26),0,(C702&gt;='Resultats - informe'!$D$27)*(C702&lt;='Resultats - informe'!$E$27),0,(C702&gt;='Resultats - informe'!$D$28)*(C702&lt;='Resultats - informe'!$E$28),0,(C702&gt;='Resultats - informe'!$D$29)*(C702&lt;='Resultats - informe'!$E$29),0,1,1)</f>
        <v>0</v>
      </c>
      <c r="N702" s="366">
        <f>+VLOOKUP(D702,'Resultats - informe'!$Y$18:$AG$42,'Introducció dades consum'!K702+1,0)</f>
        <v>0</v>
      </c>
      <c r="O702" s="370" cm="1">
        <f t="array" ref="O702">+_xlfn.SWITCH(MONTH(C702),1,1,2,1,3,1,4,2,5,2,6,3,7,3,8,3,9,3,10,2,11,2,12,1,2)</f>
        <v>1</v>
      </c>
      <c r="P702" s="43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  <c r="BF702" s="10"/>
      <c r="BG702" s="10"/>
      <c r="BH702" s="10"/>
      <c r="BI702" s="10"/>
      <c r="BJ702" s="10"/>
      <c r="BK702" s="10"/>
      <c r="BL702" s="10"/>
      <c r="BM702" s="10"/>
      <c r="BN702" s="10"/>
      <c r="BO702" s="10"/>
      <c r="BP702" s="10"/>
      <c r="BQ702" s="10"/>
      <c r="BR702" s="10"/>
      <c r="BS702" s="10"/>
      <c r="BT702" s="10"/>
      <c r="BU702" s="10"/>
    </row>
    <row r="703" spans="1:73" ht="18" x14ac:dyDescent="0.35">
      <c r="A703" s="43"/>
      <c r="C703" s="393"/>
      <c r="E703" s="394"/>
      <c r="F703" s="394"/>
      <c r="G703" s="394"/>
      <c r="H703" s="8" t="s">
        <v>61</v>
      </c>
      <c r="I703" s="368">
        <f t="shared" si="31"/>
        <v>0</v>
      </c>
      <c r="J703" s="365">
        <f t="shared" si="33"/>
        <v>0</v>
      </c>
      <c r="K703" s="369">
        <f t="shared" si="32"/>
        <v>6</v>
      </c>
      <c r="L703" s="369">
        <f>+IF((C703&gt;='Resultats - informe'!$E$16)*(C703&lt;='Resultats - informe'!$G$16),1,0)</f>
        <v>1</v>
      </c>
      <c r="M703" s="369" cm="1">
        <f t="array" ref="M703">+_xlfn.IFS((C703&gt;='Resultats - informe'!$D$26)*(C703&lt;='Resultats - informe'!$E$26),0,(C703&gt;='Resultats - informe'!$D$27)*(C703&lt;='Resultats - informe'!$E$27),0,(C703&gt;='Resultats - informe'!$D$28)*(C703&lt;='Resultats - informe'!$E$28),0,(C703&gt;='Resultats - informe'!$D$29)*(C703&lt;='Resultats - informe'!$E$29),0,1,1)</f>
        <v>0</v>
      </c>
      <c r="N703" s="366">
        <f>+VLOOKUP(D703,'Resultats - informe'!$Y$18:$AG$42,'Introducció dades consum'!K703+1,0)</f>
        <v>0</v>
      </c>
      <c r="O703" s="370" cm="1">
        <f t="array" ref="O703">+_xlfn.SWITCH(MONTH(C703),1,1,2,1,3,1,4,2,5,2,6,3,7,3,8,3,9,3,10,2,11,2,12,1,2)</f>
        <v>1</v>
      </c>
      <c r="P703" s="43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0"/>
      <c r="BO703" s="10"/>
      <c r="BP703" s="10"/>
      <c r="BQ703" s="10"/>
      <c r="BR703" s="10"/>
      <c r="BS703" s="10"/>
      <c r="BT703" s="10"/>
      <c r="BU703" s="10"/>
    </row>
    <row r="704" spans="1:73" ht="18" x14ac:dyDescent="0.35">
      <c r="A704" s="43"/>
      <c r="C704" s="393"/>
      <c r="E704" s="394"/>
      <c r="F704" s="394"/>
      <c r="G704" s="394"/>
      <c r="H704" s="8" t="s">
        <v>61</v>
      </c>
      <c r="I704" s="368">
        <f t="shared" si="31"/>
        <v>0</v>
      </c>
      <c r="J704" s="365">
        <f t="shared" si="33"/>
        <v>0</v>
      </c>
      <c r="K704" s="369">
        <f t="shared" si="32"/>
        <v>6</v>
      </c>
      <c r="L704" s="369">
        <f>+IF((C704&gt;='Resultats - informe'!$E$16)*(C704&lt;='Resultats - informe'!$G$16),1,0)</f>
        <v>1</v>
      </c>
      <c r="M704" s="369" cm="1">
        <f t="array" ref="M704">+_xlfn.IFS((C704&gt;='Resultats - informe'!$D$26)*(C704&lt;='Resultats - informe'!$E$26),0,(C704&gt;='Resultats - informe'!$D$27)*(C704&lt;='Resultats - informe'!$E$27),0,(C704&gt;='Resultats - informe'!$D$28)*(C704&lt;='Resultats - informe'!$E$28),0,(C704&gt;='Resultats - informe'!$D$29)*(C704&lt;='Resultats - informe'!$E$29),0,1,1)</f>
        <v>0</v>
      </c>
      <c r="N704" s="366">
        <f>+VLOOKUP(D704,'Resultats - informe'!$Y$18:$AG$42,'Introducció dades consum'!K704+1,0)</f>
        <v>0</v>
      </c>
      <c r="O704" s="370" cm="1">
        <f t="array" ref="O704">+_xlfn.SWITCH(MONTH(C704),1,1,2,1,3,1,4,2,5,2,6,3,7,3,8,3,9,3,10,2,11,2,12,1,2)</f>
        <v>1</v>
      </c>
      <c r="P704" s="43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  <c r="BF704" s="10"/>
      <c r="BG704" s="10"/>
      <c r="BH704" s="10"/>
      <c r="BI704" s="10"/>
      <c r="BJ704" s="10"/>
      <c r="BK704" s="10"/>
      <c r="BL704" s="10"/>
      <c r="BM704" s="10"/>
      <c r="BN704" s="10"/>
      <c r="BO704" s="10"/>
      <c r="BP704" s="10"/>
      <c r="BQ704" s="10"/>
      <c r="BR704" s="10"/>
      <c r="BS704" s="10"/>
      <c r="BT704" s="10"/>
      <c r="BU704" s="10"/>
    </row>
    <row r="705" spans="1:73" ht="18" x14ac:dyDescent="0.35">
      <c r="A705" s="43"/>
      <c r="C705" s="393"/>
      <c r="E705" s="394"/>
      <c r="F705" s="394"/>
      <c r="G705" s="394"/>
      <c r="H705" s="8" t="s">
        <v>61</v>
      </c>
      <c r="I705" s="368">
        <f t="shared" si="31"/>
        <v>0</v>
      </c>
      <c r="J705" s="365">
        <f t="shared" si="33"/>
        <v>0</v>
      </c>
      <c r="K705" s="369">
        <f t="shared" si="32"/>
        <v>6</v>
      </c>
      <c r="L705" s="369">
        <f>+IF((C705&gt;='Resultats - informe'!$E$16)*(C705&lt;='Resultats - informe'!$G$16),1,0)</f>
        <v>1</v>
      </c>
      <c r="M705" s="369" cm="1">
        <f t="array" ref="M705">+_xlfn.IFS((C705&gt;='Resultats - informe'!$D$26)*(C705&lt;='Resultats - informe'!$E$26),0,(C705&gt;='Resultats - informe'!$D$27)*(C705&lt;='Resultats - informe'!$E$27),0,(C705&gt;='Resultats - informe'!$D$28)*(C705&lt;='Resultats - informe'!$E$28),0,(C705&gt;='Resultats - informe'!$D$29)*(C705&lt;='Resultats - informe'!$E$29),0,1,1)</f>
        <v>0</v>
      </c>
      <c r="N705" s="366">
        <f>+VLOOKUP(D705,'Resultats - informe'!$Y$18:$AG$42,'Introducció dades consum'!K705+1,0)</f>
        <v>0</v>
      </c>
      <c r="O705" s="370" cm="1">
        <f t="array" ref="O705">+_xlfn.SWITCH(MONTH(C705),1,1,2,1,3,1,4,2,5,2,6,3,7,3,8,3,9,3,10,2,11,2,12,1,2)</f>
        <v>1</v>
      </c>
      <c r="P705" s="43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  <c r="BF705" s="10"/>
      <c r="BG705" s="10"/>
      <c r="BH705" s="10"/>
      <c r="BI705" s="10"/>
      <c r="BJ705" s="10"/>
      <c r="BK705" s="10"/>
      <c r="BL705" s="10"/>
      <c r="BM705" s="10"/>
      <c r="BN705" s="10"/>
      <c r="BO705" s="10"/>
      <c r="BP705" s="10"/>
      <c r="BQ705" s="10"/>
      <c r="BR705" s="10"/>
      <c r="BS705" s="10"/>
      <c r="BT705" s="10"/>
      <c r="BU705" s="10"/>
    </row>
    <row r="706" spans="1:73" ht="18" x14ac:dyDescent="0.35">
      <c r="A706" s="43"/>
      <c r="C706" s="393"/>
      <c r="E706" s="394"/>
      <c r="F706" s="394"/>
      <c r="G706" s="394"/>
      <c r="H706" s="8" t="s">
        <v>61</v>
      </c>
      <c r="I706" s="368">
        <f t="shared" si="31"/>
        <v>0</v>
      </c>
      <c r="J706" s="365">
        <f t="shared" si="33"/>
        <v>0</v>
      </c>
      <c r="K706" s="369">
        <f t="shared" si="32"/>
        <v>6</v>
      </c>
      <c r="L706" s="369">
        <f>+IF((C706&gt;='Resultats - informe'!$E$16)*(C706&lt;='Resultats - informe'!$G$16),1,0)</f>
        <v>1</v>
      </c>
      <c r="M706" s="369" cm="1">
        <f t="array" ref="M706">+_xlfn.IFS((C706&gt;='Resultats - informe'!$D$26)*(C706&lt;='Resultats - informe'!$E$26),0,(C706&gt;='Resultats - informe'!$D$27)*(C706&lt;='Resultats - informe'!$E$27),0,(C706&gt;='Resultats - informe'!$D$28)*(C706&lt;='Resultats - informe'!$E$28),0,(C706&gt;='Resultats - informe'!$D$29)*(C706&lt;='Resultats - informe'!$E$29),0,1,1)</f>
        <v>0</v>
      </c>
      <c r="N706" s="366">
        <f>+VLOOKUP(D706,'Resultats - informe'!$Y$18:$AG$42,'Introducció dades consum'!K706+1,0)</f>
        <v>0</v>
      </c>
      <c r="O706" s="370" cm="1">
        <f t="array" ref="O706">+_xlfn.SWITCH(MONTH(C706),1,1,2,1,3,1,4,2,5,2,6,3,7,3,8,3,9,3,10,2,11,2,12,1,2)</f>
        <v>1</v>
      </c>
      <c r="P706" s="43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10"/>
      <c r="BQ706" s="10"/>
      <c r="BR706" s="10"/>
      <c r="BS706" s="10"/>
      <c r="BT706" s="10"/>
      <c r="BU706" s="10"/>
    </row>
    <row r="707" spans="1:73" ht="18" x14ac:dyDescent="0.35">
      <c r="A707" s="43"/>
      <c r="C707" s="393"/>
      <c r="E707" s="394"/>
      <c r="F707" s="394"/>
      <c r="G707" s="394"/>
      <c r="H707" s="8" t="s">
        <v>61</v>
      </c>
      <c r="I707" s="368">
        <f t="shared" si="31"/>
        <v>0</v>
      </c>
      <c r="J707" s="365">
        <f t="shared" si="33"/>
        <v>0</v>
      </c>
      <c r="K707" s="369">
        <f t="shared" si="32"/>
        <v>6</v>
      </c>
      <c r="L707" s="369">
        <f>+IF((C707&gt;='Resultats - informe'!$E$16)*(C707&lt;='Resultats - informe'!$G$16),1,0)</f>
        <v>1</v>
      </c>
      <c r="M707" s="369" cm="1">
        <f t="array" ref="M707">+_xlfn.IFS((C707&gt;='Resultats - informe'!$D$26)*(C707&lt;='Resultats - informe'!$E$26),0,(C707&gt;='Resultats - informe'!$D$27)*(C707&lt;='Resultats - informe'!$E$27),0,(C707&gt;='Resultats - informe'!$D$28)*(C707&lt;='Resultats - informe'!$E$28),0,(C707&gt;='Resultats - informe'!$D$29)*(C707&lt;='Resultats - informe'!$E$29),0,1,1)</f>
        <v>0</v>
      </c>
      <c r="N707" s="366">
        <f>+VLOOKUP(D707,'Resultats - informe'!$Y$18:$AG$42,'Introducció dades consum'!K707+1,0)</f>
        <v>0</v>
      </c>
      <c r="O707" s="370" cm="1">
        <f t="array" ref="O707">+_xlfn.SWITCH(MONTH(C707),1,1,2,1,3,1,4,2,5,2,6,3,7,3,8,3,9,3,10,2,11,2,12,1,2)</f>
        <v>1</v>
      </c>
      <c r="P707" s="43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  <c r="BF707" s="10"/>
      <c r="BG707" s="10"/>
      <c r="BH707" s="10"/>
      <c r="BI707" s="10"/>
      <c r="BJ707" s="10"/>
      <c r="BK707" s="10"/>
      <c r="BL707" s="10"/>
      <c r="BM707" s="10"/>
      <c r="BN707" s="10"/>
      <c r="BO707" s="10"/>
      <c r="BP707" s="10"/>
      <c r="BQ707" s="10"/>
      <c r="BR707" s="10"/>
      <c r="BS707" s="10"/>
      <c r="BT707" s="10"/>
      <c r="BU707" s="10"/>
    </row>
    <row r="708" spans="1:73" ht="18" x14ac:dyDescent="0.35">
      <c r="A708" s="43"/>
      <c r="C708" s="393"/>
      <c r="E708" s="394"/>
      <c r="F708" s="394"/>
      <c r="G708" s="394"/>
      <c r="H708" s="8" t="s">
        <v>61</v>
      </c>
      <c r="I708" s="368">
        <f t="shared" si="31"/>
        <v>0</v>
      </c>
      <c r="J708" s="365">
        <f t="shared" si="33"/>
        <v>0</v>
      </c>
      <c r="K708" s="369">
        <f t="shared" si="32"/>
        <v>6</v>
      </c>
      <c r="L708" s="369">
        <f>+IF((C708&gt;='Resultats - informe'!$E$16)*(C708&lt;='Resultats - informe'!$G$16),1,0)</f>
        <v>1</v>
      </c>
      <c r="M708" s="369" cm="1">
        <f t="array" ref="M708">+_xlfn.IFS((C708&gt;='Resultats - informe'!$D$26)*(C708&lt;='Resultats - informe'!$E$26),0,(C708&gt;='Resultats - informe'!$D$27)*(C708&lt;='Resultats - informe'!$E$27),0,(C708&gt;='Resultats - informe'!$D$28)*(C708&lt;='Resultats - informe'!$E$28),0,(C708&gt;='Resultats - informe'!$D$29)*(C708&lt;='Resultats - informe'!$E$29),0,1,1)</f>
        <v>0</v>
      </c>
      <c r="N708" s="366">
        <f>+VLOOKUP(D708,'Resultats - informe'!$Y$18:$AG$42,'Introducció dades consum'!K708+1,0)</f>
        <v>0</v>
      </c>
      <c r="O708" s="370" cm="1">
        <f t="array" ref="O708">+_xlfn.SWITCH(MONTH(C708),1,1,2,1,3,1,4,2,5,2,6,3,7,3,8,3,9,3,10,2,11,2,12,1,2)</f>
        <v>1</v>
      </c>
      <c r="P708" s="43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  <c r="BE708" s="10"/>
      <c r="BF708" s="10"/>
      <c r="BG708" s="10"/>
      <c r="BH708" s="10"/>
      <c r="BI708" s="10"/>
      <c r="BJ708" s="10"/>
      <c r="BK708" s="10"/>
      <c r="BL708" s="10"/>
      <c r="BM708" s="10"/>
      <c r="BN708" s="10"/>
      <c r="BO708" s="10"/>
      <c r="BP708" s="10"/>
      <c r="BQ708" s="10"/>
      <c r="BR708" s="10"/>
      <c r="BS708" s="10"/>
      <c r="BT708" s="10"/>
      <c r="BU708" s="10"/>
    </row>
    <row r="709" spans="1:73" ht="18" x14ac:dyDescent="0.35">
      <c r="A709" s="43"/>
      <c r="C709" s="393"/>
      <c r="E709" s="394"/>
      <c r="F709" s="394"/>
      <c r="G709" s="394"/>
      <c r="H709" s="8" t="s">
        <v>61</v>
      </c>
      <c r="I709" s="368">
        <f t="shared" si="31"/>
        <v>0</v>
      </c>
      <c r="J709" s="365">
        <f t="shared" si="33"/>
        <v>0</v>
      </c>
      <c r="K709" s="369">
        <f t="shared" si="32"/>
        <v>6</v>
      </c>
      <c r="L709" s="369">
        <f>+IF((C709&gt;='Resultats - informe'!$E$16)*(C709&lt;='Resultats - informe'!$G$16),1,0)</f>
        <v>1</v>
      </c>
      <c r="M709" s="369" cm="1">
        <f t="array" ref="M709">+_xlfn.IFS((C709&gt;='Resultats - informe'!$D$26)*(C709&lt;='Resultats - informe'!$E$26),0,(C709&gt;='Resultats - informe'!$D$27)*(C709&lt;='Resultats - informe'!$E$27),0,(C709&gt;='Resultats - informe'!$D$28)*(C709&lt;='Resultats - informe'!$E$28),0,(C709&gt;='Resultats - informe'!$D$29)*(C709&lt;='Resultats - informe'!$E$29),0,1,1)</f>
        <v>0</v>
      </c>
      <c r="N709" s="366">
        <f>+VLOOKUP(D709,'Resultats - informe'!$Y$18:$AG$42,'Introducció dades consum'!K709+1,0)</f>
        <v>0</v>
      </c>
      <c r="O709" s="370" cm="1">
        <f t="array" ref="O709">+_xlfn.SWITCH(MONTH(C709),1,1,2,1,3,1,4,2,5,2,6,3,7,3,8,3,9,3,10,2,11,2,12,1,2)</f>
        <v>1</v>
      </c>
      <c r="P709" s="43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0"/>
      <c r="BO709" s="10"/>
      <c r="BP709" s="10"/>
      <c r="BQ709" s="10"/>
      <c r="BR709" s="10"/>
      <c r="BS709" s="10"/>
      <c r="BT709" s="10"/>
      <c r="BU709" s="10"/>
    </row>
    <row r="710" spans="1:73" ht="18" x14ac:dyDescent="0.35">
      <c r="A710" s="43"/>
      <c r="C710" s="393"/>
      <c r="E710" s="394"/>
      <c r="F710" s="394"/>
      <c r="G710" s="394"/>
      <c r="H710" s="8" t="s">
        <v>61</v>
      </c>
      <c r="I710" s="368">
        <f t="shared" ref="I710:I773" si="34">+E710+G710</f>
        <v>0</v>
      </c>
      <c r="J710" s="365">
        <f t="shared" si="33"/>
        <v>0</v>
      </c>
      <c r="K710" s="369">
        <f t="shared" ref="K710:K773" si="35">+WEEKDAY(C710,2)</f>
        <v>6</v>
      </c>
      <c r="L710" s="369">
        <f>+IF((C710&gt;='Resultats - informe'!$E$16)*(C710&lt;='Resultats - informe'!$G$16),1,0)</f>
        <v>1</v>
      </c>
      <c r="M710" s="369" cm="1">
        <f t="array" ref="M710">+_xlfn.IFS((C710&gt;='Resultats - informe'!$D$26)*(C710&lt;='Resultats - informe'!$E$26),0,(C710&gt;='Resultats - informe'!$D$27)*(C710&lt;='Resultats - informe'!$E$27),0,(C710&gt;='Resultats - informe'!$D$28)*(C710&lt;='Resultats - informe'!$E$28),0,(C710&gt;='Resultats - informe'!$D$29)*(C710&lt;='Resultats - informe'!$E$29),0,1,1)</f>
        <v>0</v>
      </c>
      <c r="N710" s="366">
        <f>+VLOOKUP(D710,'Resultats - informe'!$Y$18:$AG$42,'Introducció dades consum'!K710+1,0)</f>
        <v>0</v>
      </c>
      <c r="O710" s="370" cm="1">
        <f t="array" ref="O710">+_xlfn.SWITCH(MONTH(C710),1,1,2,1,3,1,4,2,5,2,6,3,7,3,8,3,9,3,10,2,11,2,12,1,2)</f>
        <v>1</v>
      </c>
      <c r="P710" s="43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0"/>
      <c r="BO710" s="10"/>
      <c r="BP710" s="10"/>
      <c r="BQ710" s="10"/>
      <c r="BR710" s="10"/>
      <c r="BS710" s="10"/>
      <c r="BT710" s="10"/>
      <c r="BU710" s="10"/>
    </row>
    <row r="711" spans="1:73" ht="18" x14ac:dyDescent="0.35">
      <c r="A711" s="43"/>
      <c r="C711" s="393"/>
      <c r="E711" s="394"/>
      <c r="F711" s="394"/>
      <c r="G711" s="394"/>
      <c r="H711" s="8" t="s">
        <v>61</v>
      </c>
      <c r="I711" s="368">
        <f t="shared" si="34"/>
        <v>0</v>
      </c>
      <c r="J711" s="365">
        <f t="shared" si="33"/>
        <v>0</v>
      </c>
      <c r="K711" s="369">
        <f t="shared" si="35"/>
        <v>6</v>
      </c>
      <c r="L711" s="369">
        <f>+IF((C711&gt;='Resultats - informe'!$E$16)*(C711&lt;='Resultats - informe'!$G$16),1,0)</f>
        <v>1</v>
      </c>
      <c r="M711" s="369" cm="1">
        <f t="array" ref="M711">+_xlfn.IFS((C711&gt;='Resultats - informe'!$D$26)*(C711&lt;='Resultats - informe'!$E$26),0,(C711&gt;='Resultats - informe'!$D$27)*(C711&lt;='Resultats - informe'!$E$27),0,(C711&gt;='Resultats - informe'!$D$28)*(C711&lt;='Resultats - informe'!$E$28),0,(C711&gt;='Resultats - informe'!$D$29)*(C711&lt;='Resultats - informe'!$E$29),0,1,1)</f>
        <v>0</v>
      </c>
      <c r="N711" s="366">
        <f>+VLOOKUP(D711,'Resultats - informe'!$Y$18:$AG$42,'Introducció dades consum'!K711+1,0)</f>
        <v>0</v>
      </c>
      <c r="O711" s="370" cm="1">
        <f t="array" ref="O711">+_xlfn.SWITCH(MONTH(C711),1,1,2,1,3,1,4,2,5,2,6,3,7,3,8,3,9,3,10,2,11,2,12,1,2)</f>
        <v>1</v>
      </c>
      <c r="P711" s="43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  <c r="BT711" s="10"/>
      <c r="BU711" s="10"/>
    </row>
    <row r="712" spans="1:73" ht="18" x14ac:dyDescent="0.35">
      <c r="A712" s="43"/>
      <c r="C712" s="393"/>
      <c r="E712" s="394"/>
      <c r="F712" s="394"/>
      <c r="G712" s="394"/>
      <c r="H712" s="8" t="s">
        <v>61</v>
      </c>
      <c r="I712" s="368">
        <f t="shared" si="34"/>
        <v>0</v>
      </c>
      <c r="J712" s="365">
        <f t="shared" si="33"/>
        <v>0</v>
      </c>
      <c r="K712" s="369">
        <f t="shared" si="35"/>
        <v>6</v>
      </c>
      <c r="L712" s="369">
        <f>+IF((C712&gt;='Resultats - informe'!$E$16)*(C712&lt;='Resultats - informe'!$G$16),1,0)</f>
        <v>1</v>
      </c>
      <c r="M712" s="369" cm="1">
        <f t="array" ref="M712">+_xlfn.IFS((C712&gt;='Resultats - informe'!$D$26)*(C712&lt;='Resultats - informe'!$E$26),0,(C712&gt;='Resultats - informe'!$D$27)*(C712&lt;='Resultats - informe'!$E$27),0,(C712&gt;='Resultats - informe'!$D$28)*(C712&lt;='Resultats - informe'!$E$28),0,(C712&gt;='Resultats - informe'!$D$29)*(C712&lt;='Resultats - informe'!$E$29),0,1,1)</f>
        <v>0</v>
      </c>
      <c r="N712" s="366">
        <f>+VLOOKUP(D712,'Resultats - informe'!$Y$18:$AG$42,'Introducció dades consum'!K712+1,0)</f>
        <v>0</v>
      </c>
      <c r="O712" s="370" cm="1">
        <f t="array" ref="O712">+_xlfn.SWITCH(MONTH(C712),1,1,2,1,3,1,4,2,5,2,6,3,7,3,8,3,9,3,10,2,11,2,12,1,2)</f>
        <v>1</v>
      </c>
      <c r="P712" s="43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  <c r="BT712" s="10"/>
      <c r="BU712" s="10"/>
    </row>
    <row r="713" spans="1:73" ht="18" x14ac:dyDescent="0.35">
      <c r="A713" s="43"/>
      <c r="C713" s="393"/>
      <c r="E713" s="394"/>
      <c r="F713" s="394"/>
      <c r="G713" s="394"/>
      <c r="H713" s="8" t="s">
        <v>61</v>
      </c>
      <c r="I713" s="368">
        <f t="shared" si="34"/>
        <v>0</v>
      </c>
      <c r="J713" s="365">
        <f t="shared" si="33"/>
        <v>0</v>
      </c>
      <c r="K713" s="369">
        <f t="shared" si="35"/>
        <v>6</v>
      </c>
      <c r="L713" s="369">
        <f>+IF((C713&gt;='Resultats - informe'!$E$16)*(C713&lt;='Resultats - informe'!$G$16),1,0)</f>
        <v>1</v>
      </c>
      <c r="M713" s="369" cm="1">
        <f t="array" ref="M713">+_xlfn.IFS((C713&gt;='Resultats - informe'!$D$26)*(C713&lt;='Resultats - informe'!$E$26),0,(C713&gt;='Resultats - informe'!$D$27)*(C713&lt;='Resultats - informe'!$E$27),0,(C713&gt;='Resultats - informe'!$D$28)*(C713&lt;='Resultats - informe'!$E$28),0,(C713&gt;='Resultats - informe'!$D$29)*(C713&lt;='Resultats - informe'!$E$29),0,1,1)</f>
        <v>0</v>
      </c>
      <c r="N713" s="366">
        <f>+VLOOKUP(D713,'Resultats - informe'!$Y$18:$AG$42,'Introducció dades consum'!K713+1,0)</f>
        <v>0</v>
      </c>
      <c r="O713" s="370" cm="1">
        <f t="array" ref="O713">+_xlfn.SWITCH(MONTH(C713),1,1,2,1,3,1,4,2,5,2,6,3,7,3,8,3,9,3,10,2,11,2,12,1,2)</f>
        <v>1</v>
      </c>
      <c r="P713" s="43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0"/>
      <c r="BO713" s="10"/>
      <c r="BP713" s="10"/>
      <c r="BQ713" s="10"/>
      <c r="BR713" s="10"/>
      <c r="BS713" s="10"/>
      <c r="BT713" s="10"/>
      <c r="BU713" s="10"/>
    </row>
    <row r="714" spans="1:73" ht="18" x14ac:dyDescent="0.35">
      <c r="A714" s="43"/>
      <c r="C714" s="393"/>
      <c r="E714" s="394"/>
      <c r="F714" s="394"/>
      <c r="G714" s="394"/>
      <c r="H714" s="8" t="s">
        <v>61</v>
      </c>
      <c r="I714" s="368">
        <f t="shared" si="34"/>
        <v>0</v>
      </c>
      <c r="J714" s="365">
        <f t="shared" si="33"/>
        <v>0</v>
      </c>
      <c r="K714" s="369">
        <f t="shared" si="35"/>
        <v>6</v>
      </c>
      <c r="L714" s="369">
        <f>+IF((C714&gt;='Resultats - informe'!$E$16)*(C714&lt;='Resultats - informe'!$G$16),1,0)</f>
        <v>1</v>
      </c>
      <c r="M714" s="369" cm="1">
        <f t="array" ref="M714">+_xlfn.IFS((C714&gt;='Resultats - informe'!$D$26)*(C714&lt;='Resultats - informe'!$E$26),0,(C714&gt;='Resultats - informe'!$D$27)*(C714&lt;='Resultats - informe'!$E$27),0,(C714&gt;='Resultats - informe'!$D$28)*(C714&lt;='Resultats - informe'!$E$28),0,(C714&gt;='Resultats - informe'!$D$29)*(C714&lt;='Resultats - informe'!$E$29),0,1,1)</f>
        <v>0</v>
      </c>
      <c r="N714" s="366">
        <f>+VLOOKUP(D714,'Resultats - informe'!$Y$18:$AG$42,'Introducció dades consum'!K714+1,0)</f>
        <v>0</v>
      </c>
      <c r="O714" s="370" cm="1">
        <f t="array" ref="O714">+_xlfn.SWITCH(MONTH(C714),1,1,2,1,3,1,4,2,5,2,6,3,7,3,8,3,9,3,10,2,11,2,12,1,2)</f>
        <v>1</v>
      </c>
      <c r="P714" s="43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0"/>
      <c r="BO714" s="10"/>
      <c r="BP714" s="10"/>
      <c r="BQ714" s="10"/>
      <c r="BR714" s="10"/>
      <c r="BS714" s="10"/>
      <c r="BT714" s="10"/>
      <c r="BU714" s="10"/>
    </row>
    <row r="715" spans="1:73" ht="18" x14ac:dyDescent="0.35">
      <c r="A715" s="43"/>
      <c r="C715" s="393"/>
      <c r="E715" s="394"/>
      <c r="F715" s="394"/>
      <c r="G715" s="394"/>
      <c r="H715" s="8" t="s">
        <v>61</v>
      </c>
      <c r="I715" s="368">
        <f t="shared" si="34"/>
        <v>0</v>
      </c>
      <c r="J715" s="365">
        <f t="shared" si="33"/>
        <v>0</v>
      </c>
      <c r="K715" s="369">
        <f t="shared" si="35"/>
        <v>6</v>
      </c>
      <c r="L715" s="369">
        <f>+IF((C715&gt;='Resultats - informe'!$E$16)*(C715&lt;='Resultats - informe'!$G$16),1,0)</f>
        <v>1</v>
      </c>
      <c r="M715" s="369" cm="1">
        <f t="array" ref="M715">+_xlfn.IFS((C715&gt;='Resultats - informe'!$D$26)*(C715&lt;='Resultats - informe'!$E$26),0,(C715&gt;='Resultats - informe'!$D$27)*(C715&lt;='Resultats - informe'!$E$27),0,(C715&gt;='Resultats - informe'!$D$28)*(C715&lt;='Resultats - informe'!$E$28),0,(C715&gt;='Resultats - informe'!$D$29)*(C715&lt;='Resultats - informe'!$E$29),0,1,1)</f>
        <v>0</v>
      </c>
      <c r="N715" s="366">
        <f>+VLOOKUP(D715,'Resultats - informe'!$Y$18:$AG$42,'Introducció dades consum'!K715+1,0)</f>
        <v>0</v>
      </c>
      <c r="O715" s="370" cm="1">
        <f t="array" ref="O715">+_xlfn.SWITCH(MONTH(C715),1,1,2,1,3,1,4,2,5,2,6,3,7,3,8,3,9,3,10,2,11,2,12,1,2)</f>
        <v>1</v>
      </c>
      <c r="P715" s="43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  <c r="BF715" s="10"/>
      <c r="BG715" s="10"/>
      <c r="BH715" s="10"/>
      <c r="BI715" s="10"/>
      <c r="BJ715" s="10"/>
      <c r="BK715" s="10"/>
      <c r="BL715" s="10"/>
      <c r="BM715" s="10"/>
      <c r="BN715" s="10"/>
      <c r="BO715" s="10"/>
      <c r="BP715" s="10"/>
      <c r="BQ715" s="10"/>
      <c r="BR715" s="10"/>
      <c r="BS715" s="10"/>
      <c r="BT715" s="10"/>
      <c r="BU715" s="10"/>
    </row>
    <row r="716" spans="1:73" ht="18" x14ac:dyDescent="0.35">
      <c r="A716" s="43"/>
      <c r="C716" s="393"/>
      <c r="E716" s="394"/>
      <c r="F716" s="394"/>
      <c r="G716" s="394"/>
      <c r="H716" s="8" t="s">
        <v>61</v>
      </c>
      <c r="I716" s="368">
        <f t="shared" si="34"/>
        <v>0</v>
      </c>
      <c r="J716" s="365">
        <f t="shared" si="33"/>
        <v>0</v>
      </c>
      <c r="K716" s="369">
        <f t="shared" si="35"/>
        <v>6</v>
      </c>
      <c r="L716" s="369">
        <f>+IF((C716&gt;='Resultats - informe'!$E$16)*(C716&lt;='Resultats - informe'!$G$16),1,0)</f>
        <v>1</v>
      </c>
      <c r="M716" s="369" cm="1">
        <f t="array" ref="M716">+_xlfn.IFS((C716&gt;='Resultats - informe'!$D$26)*(C716&lt;='Resultats - informe'!$E$26),0,(C716&gt;='Resultats - informe'!$D$27)*(C716&lt;='Resultats - informe'!$E$27),0,(C716&gt;='Resultats - informe'!$D$28)*(C716&lt;='Resultats - informe'!$E$28),0,(C716&gt;='Resultats - informe'!$D$29)*(C716&lt;='Resultats - informe'!$E$29),0,1,1)</f>
        <v>0</v>
      </c>
      <c r="N716" s="366">
        <f>+VLOOKUP(D716,'Resultats - informe'!$Y$18:$AG$42,'Introducció dades consum'!K716+1,0)</f>
        <v>0</v>
      </c>
      <c r="O716" s="370" cm="1">
        <f t="array" ref="O716">+_xlfn.SWITCH(MONTH(C716),1,1,2,1,3,1,4,2,5,2,6,3,7,3,8,3,9,3,10,2,11,2,12,1,2)</f>
        <v>1</v>
      </c>
      <c r="P716" s="43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  <c r="BO716" s="10"/>
      <c r="BP716" s="10"/>
      <c r="BQ716" s="10"/>
      <c r="BR716" s="10"/>
      <c r="BS716" s="10"/>
      <c r="BT716" s="10"/>
      <c r="BU716" s="10"/>
    </row>
    <row r="717" spans="1:73" ht="18" x14ac:dyDescent="0.35">
      <c r="A717" s="43"/>
      <c r="C717" s="393"/>
      <c r="E717" s="394"/>
      <c r="F717" s="394"/>
      <c r="G717" s="394"/>
      <c r="H717" s="8" t="s">
        <v>61</v>
      </c>
      <c r="I717" s="368">
        <f t="shared" si="34"/>
        <v>0</v>
      </c>
      <c r="J717" s="365">
        <f t="shared" si="33"/>
        <v>0</v>
      </c>
      <c r="K717" s="369">
        <f t="shared" si="35"/>
        <v>6</v>
      </c>
      <c r="L717" s="369">
        <f>+IF((C717&gt;='Resultats - informe'!$E$16)*(C717&lt;='Resultats - informe'!$G$16),1,0)</f>
        <v>1</v>
      </c>
      <c r="M717" s="369" cm="1">
        <f t="array" ref="M717">+_xlfn.IFS((C717&gt;='Resultats - informe'!$D$26)*(C717&lt;='Resultats - informe'!$E$26),0,(C717&gt;='Resultats - informe'!$D$27)*(C717&lt;='Resultats - informe'!$E$27),0,(C717&gt;='Resultats - informe'!$D$28)*(C717&lt;='Resultats - informe'!$E$28),0,(C717&gt;='Resultats - informe'!$D$29)*(C717&lt;='Resultats - informe'!$E$29),0,1,1)</f>
        <v>0</v>
      </c>
      <c r="N717" s="366">
        <f>+VLOOKUP(D717,'Resultats - informe'!$Y$18:$AG$42,'Introducció dades consum'!K717+1,0)</f>
        <v>0</v>
      </c>
      <c r="O717" s="370" cm="1">
        <f t="array" ref="O717">+_xlfn.SWITCH(MONTH(C717),1,1,2,1,3,1,4,2,5,2,6,3,7,3,8,3,9,3,10,2,11,2,12,1,2)</f>
        <v>1</v>
      </c>
      <c r="P717" s="43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  <c r="BF717" s="10"/>
      <c r="BG717" s="10"/>
      <c r="BH717" s="10"/>
      <c r="BI717" s="10"/>
      <c r="BJ717" s="10"/>
      <c r="BK717" s="10"/>
      <c r="BL717" s="10"/>
      <c r="BM717" s="10"/>
      <c r="BN717" s="10"/>
      <c r="BO717" s="10"/>
      <c r="BP717" s="10"/>
      <c r="BQ717" s="10"/>
      <c r="BR717" s="10"/>
      <c r="BS717" s="10"/>
      <c r="BT717" s="10"/>
      <c r="BU717" s="10"/>
    </row>
    <row r="718" spans="1:73" ht="18" x14ac:dyDescent="0.35">
      <c r="A718" s="43"/>
      <c r="C718" s="393"/>
      <c r="E718" s="394"/>
      <c r="F718" s="394"/>
      <c r="G718" s="394"/>
      <c r="H718" s="8" t="s">
        <v>61</v>
      </c>
      <c r="I718" s="368">
        <f t="shared" si="34"/>
        <v>0</v>
      </c>
      <c r="J718" s="365">
        <f t="shared" si="33"/>
        <v>0</v>
      </c>
      <c r="K718" s="369">
        <f t="shared" si="35"/>
        <v>6</v>
      </c>
      <c r="L718" s="369">
        <f>+IF((C718&gt;='Resultats - informe'!$E$16)*(C718&lt;='Resultats - informe'!$G$16),1,0)</f>
        <v>1</v>
      </c>
      <c r="M718" s="369" cm="1">
        <f t="array" ref="M718">+_xlfn.IFS((C718&gt;='Resultats - informe'!$D$26)*(C718&lt;='Resultats - informe'!$E$26),0,(C718&gt;='Resultats - informe'!$D$27)*(C718&lt;='Resultats - informe'!$E$27),0,(C718&gt;='Resultats - informe'!$D$28)*(C718&lt;='Resultats - informe'!$E$28),0,(C718&gt;='Resultats - informe'!$D$29)*(C718&lt;='Resultats - informe'!$E$29),0,1,1)</f>
        <v>0</v>
      </c>
      <c r="N718" s="366">
        <f>+VLOOKUP(D718,'Resultats - informe'!$Y$18:$AG$42,'Introducció dades consum'!K718+1,0)</f>
        <v>0</v>
      </c>
      <c r="O718" s="370" cm="1">
        <f t="array" ref="O718">+_xlfn.SWITCH(MONTH(C718),1,1,2,1,3,1,4,2,5,2,6,3,7,3,8,3,9,3,10,2,11,2,12,1,2)</f>
        <v>1</v>
      </c>
      <c r="P718" s="43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  <c r="BT718" s="10"/>
      <c r="BU718" s="10"/>
    </row>
    <row r="719" spans="1:73" ht="18" x14ac:dyDescent="0.35">
      <c r="A719" s="43"/>
      <c r="C719" s="393"/>
      <c r="E719" s="394"/>
      <c r="F719" s="394"/>
      <c r="G719" s="394"/>
      <c r="H719" s="8" t="s">
        <v>61</v>
      </c>
      <c r="I719" s="368">
        <f t="shared" si="34"/>
        <v>0</v>
      </c>
      <c r="J719" s="365">
        <f t="shared" si="33"/>
        <v>0</v>
      </c>
      <c r="K719" s="369">
        <f t="shared" si="35"/>
        <v>6</v>
      </c>
      <c r="L719" s="369">
        <f>+IF((C719&gt;='Resultats - informe'!$E$16)*(C719&lt;='Resultats - informe'!$G$16),1,0)</f>
        <v>1</v>
      </c>
      <c r="M719" s="369" cm="1">
        <f t="array" ref="M719">+_xlfn.IFS((C719&gt;='Resultats - informe'!$D$26)*(C719&lt;='Resultats - informe'!$E$26),0,(C719&gt;='Resultats - informe'!$D$27)*(C719&lt;='Resultats - informe'!$E$27),0,(C719&gt;='Resultats - informe'!$D$28)*(C719&lt;='Resultats - informe'!$E$28),0,(C719&gt;='Resultats - informe'!$D$29)*(C719&lt;='Resultats - informe'!$E$29),0,1,1)</f>
        <v>0</v>
      </c>
      <c r="N719" s="366">
        <f>+VLOOKUP(D719,'Resultats - informe'!$Y$18:$AG$42,'Introducció dades consum'!K719+1,0)</f>
        <v>0</v>
      </c>
      <c r="O719" s="370" cm="1">
        <f t="array" ref="O719">+_xlfn.SWITCH(MONTH(C719),1,1,2,1,3,1,4,2,5,2,6,3,7,3,8,3,9,3,10,2,11,2,12,1,2)</f>
        <v>1</v>
      </c>
      <c r="P719" s="43"/>
      <c r="AS719" s="10"/>
      <c r="AT719" s="10"/>
      <c r="AU719" s="10"/>
      <c r="AV719" s="10"/>
      <c r="AW719" s="10"/>
      <c r="AX719" s="10"/>
      <c r="AY719" s="10"/>
      <c r="AZ719" s="10"/>
      <c r="BA719" s="10"/>
      <c r="BB719" s="10"/>
      <c r="BC719" s="10"/>
      <c r="BD719" s="10"/>
      <c r="BE719" s="10"/>
      <c r="BF719" s="10"/>
      <c r="BG719" s="10"/>
      <c r="BH719" s="10"/>
      <c r="BI719" s="10"/>
      <c r="BJ719" s="10"/>
      <c r="BK719" s="10"/>
      <c r="BL719" s="10"/>
      <c r="BM719" s="10"/>
      <c r="BN719" s="10"/>
      <c r="BO719" s="10"/>
      <c r="BP719" s="10"/>
      <c r="BQ719" s="10"/>
      <c r="BR719" s="10"/>
      <c r="BS719" s="10"/>
      <c r="BT719" s="10"/>
      <c r="BU719" s="10"/>
    </row>
    <row r="720" spans="1:73" ht="18" x14ac:dyDescent="0.35">
      <c r="A720" s="43"/>
      <c r="C720" s="393"/>
      <c r="E720" s="394"/>
      <c r="F720" s="394"/>
      <c r="G720" s="394"/>
      <c r="H720" s="8" t="s">
        <v>61</v>
      </c>
      <c r="I720" s="368">
        <f t="shared" si="34"/>
        <v>0</v>
      </c>
      <c r="J720" s="365">
        <f t="shared" si="33"/>
        <v>0</v>
      </c>
      <c r="K720" s="369">
        <f t="shared" si="35"/>
        <v>6</v>
      </c>
      <c r="L720" s="369">
        <f>+IF((C720&gt;='Resultats - informe'!$E$16)*(C720&lt;='Resultats - informe'!$G$16),1,0)</f>
        <v>1</v>
      </c>
      <c r="M720" s="369" cm="1">
        <f t="array" ref="M720">+_xlfn.IFS((C720&gt;='Resultats - informe'!$D$26)*(C720&lt;='Resultats - informe'!$E$26),0,(C720&gt;='Resultats - informe'!$D$27)*(C720&lt;='Resultats - informe'!$E$27),0,(C720&gt;='Resultats - informe'!$D$28)*(C720&lt;='Resultats - informe'!$E$28),0,(C720&gt;='Resultats - informe'!$D$29)*(C720&lt;='Resultats - informe'!$E$29),0,1,1)</f>
        <v>0</v>
      </c>
      <c r="N720" s="366">
        <f>+VLOOKUP(D720,'Resultats - informe'!$Y$18:$AG$42,'Introducció dades consum'!K720+1,0)</f>
        <v>0</v>
      </c>
      <c r="O720" s="370" cm="1">
        <f t="array" ref="O720">+_xlfn.SWITCH(MONTH(C720),1,1,2,1,3,1,4,2,5,2,6,3,7,3,8,3,9,3,10,2,11,2,12,1,2)</f>
        <v>1</v>
      </c>
      <c r="P720" s="43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"/>
      <c r="BD720" s="10"/>
      <c r="BE720" s="10"/>
      <c r="BF720" s="10"/>
      <c r="BG720" s="10"/>
      <c r="BH720" s="10"/>
      <c r="BI720" s="10"/>
      <c r="BJ720" s="10"/>
      <c r="BK720" s="10"/>
      <c r="BL720" s="10"/>
      <c r="BM720" s="10"/>
      <c r="BN720" s="10"/>
      <c r="BO720" s="10"/>
      <c r="BP720" s="10"/>
      <c r="BQ720" s="10"/>
      <c r="BR720" s="10"/>
      <c r="BS720" s="10"/>
      <c r="BT720" s="10"/>
      <c r="BU720" s="10"/>
    </row>
    <row r="721" spans="1:73" ht="18" x14ac:dyDescent="0.35">
      <c r="A721" s="43"/>
      <c r="C721" s="393"/>
      <c r="E721" s="394"/>
      <c r="F721" s="394"/>
      <c r="G721" s="394"/>
      <c r="H721" s="8" t="s">
        <v>61</v>
      </c>
      <c r="I721" s="368">
        <f t="shared" si="34"/>
        <v>0</v>
      </c>
      <c r="J721" s="365">
        <f t="shared" si="33"/>
        <v>0</v>
      </c>
      <c r="K721" s="369">
        <f t="shared" si="35"/>
        <v>6</v>
      </c>
      <c r="L721" s="369">
        <f>+IF((C721&gt;='Resultats - informe'!$E$16)*(C721&lt;='Resultats - informe'!$G$16),1,0)</f>
        <v>1</v>
      </c>
      <c r="M721" s="369" cm="1">
        <f t="array" ref="M721">+_xlfn.IFS((C721&gt;='Resultats - informe'!$D$26)*(C721&lt;='Resultats - informe'!$E$26),0,(C721&gt;='Resultats - informe'!$D$27)*(C721&lt;='Resultats - informe'!$E$27),0,(C721&gt;='Resultats - informe'!$D$28)*(C721&lt;='Resultats - informe'!$E$28),0,(C721&gt;='Resultats - informe'!$D$29)*(C721&lt;='Resultats - informe'!$E$29),0,1,1)</f>
        <v>0</v>
      </c>
      <c r="N721" s="366">
        <f>+VLOOKUP(D721,'Resultats - informe'!$Y$18:$AG$42,'Introducció dades consum'!K721+1,0)</f>
        <v>0</v>
      </c>
      <c r="O721" s="370" cm="1">
        <f t="array" ref="O721">+_xlfn.SWITCH(MONTH(C721),1,1,2,1,3,1,4,2,5,2,6,3,7,3,8,3,9,3,10,2,11,2,12,1,2)</f>
        <v>1</v>
      </c>
      <c r="P721" s="43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"/>
      <c r="BD721" s="10"/>
      <c r="BE721" s="10"/>
      <c r="BF721" s="10"/>
      <c r="BG721" s="10"/>
      <c r="BH721" s="10"/>
      <c r="BI721" s="10"/>
      <c r="BJ721" s="10"/>
      <c r="BK721" s="10"/>
      <c r="BL721" s="10"/>
      <c r="BM721" s="10"/>
      <c r="BN721" s="10"/>
      <c r="BO721" s="10"/>
      <c r="BP721" s="10"/>
      <c r="BQ721" s="10"/>
      <c r="BR721" s="10"/>
      <c r="BS721" s="10"/>
      <c r="BT721" s="10"/>
      <c r="BU721" s="10"/>
    </row>
    <row r="722" spans="1:73" ht="18" x14ac:dyDescent="0.35">
      <c r="A722" s="43"/>
      <c r="C722" s="393"/>
      <c r="E722" s="394"/>
      <c r="F722" s="394"/>
      <c r="G722" s="394"/>
      <c r="H722" s="8" t="s">
        <v>61</v>
      </c>
      <c r="I722" s="368">
        <f t="shared" si="34"/>
        <v>0</v>
      </c>
      <c r="J722" s="365">
        <f t="shared" si="33"/>
        <v>0</v>
      </c>
      <c r="K722" s="369">
        <f t="shared" si="35"/>
        <v>6</v>
      </c>
      <c r="L722" s="369">
        <f>+IF((C722&gt;='Resultats - informe'!$E$16)*(C722&lt;='Resultats - informe'!$G$16),1,0)</f>
        <v>1</v>
      </c>
      <c r="M722" s="369" cm="1">
        <f t="array" ref="M722">+_xlfn.IFS((C722&gt;='Resultats - informe'!$D$26)*(C722&lt;='Resultats - informe'!$E$26),0,(C722&gt;='Resultats - informe'!$D$27)*(C722&lt;='Resultats - informe'!$E$27),0,(C722&gt;='Resultats - informe'!$D$28)*(C722&lt;='Resultats - informe'!$E$28),0,(C722&gt;='Resultats - informe'!$D$29)*(C722&lt;='Resultats - informe'!$E$29),0,1,1)</f>
        <v>0</v>
      </c>
      <c r="N722" s="366">
        <f>+VLOOKUP(D722,'Resultats - informe'!$Y$18:$AG$42,'Introducció dades consum'!K722+1,0)</f>
        <v>0</v>
      </c>
      <c r="O722" s="370" cm="1">
        <f t="array" ref="O722">+_xlfn.SWITCH(MONTH(C722),1,1,2,1,3,1,4,2,5,2,6,3,7,3,8,3,9,3,10,2,11,2,12,1,2)</f>
        <v>1</v>
      </c>
      <c r="P722" s="43"/>
      <c r="AS722" s="10"/>
      <c r="AT722" s="10"/>
      <c r="AU722" s="10"/>
      <c r="AV722" s="10"/>
      <c r="AW722" s="10"/>
      <c r="AX722" s="10"/>
      <c r="AY722" s="10"/>
      <c r="AZ722" s="10"/>
      <c r="BA722" s="10"/>
      <c r="BB722" s="10"/>
      <c r="BC722" s="10"/>
      <c r="BD722" s="10"/>
      <c r="BE722" s="10"/>
      <c r="BF722" s="10"/>
      <c r="BG722" s="10"/>
      <c r="BH722" s="10"/>
      <c r="BI722" s="10"/>
      <c r="BJ722" s="10"/>
      <c r="BK722" s="10"/>
      <c r="BL722" s="10"/>
      <c r="BM722" s="10"/>
      <c r="BN722" s="10"/>
      <c r="BO722" s="10"/>
      <c r="BP722" s="10"/>
      <c r="BQ722" s="10"/>
      <c r="BR722" s="10"/>
      <c r="BS722" s="10"/>
      <c r="BT722" s="10"/>
      <c r="BU722" s="10"/>
    </row>
    <row r="723" spans="1:73" ht="18" x14ac:dyDescent="0.35">
      <c r="A723" s="43"/>
      <c r="C723" s="393"/>
      <c r="E723" s="394"/>
      <c r="F723" s="394"/>
      <c r="G723" s="394"/>
      <c r="H723" s="8" t="s">
        <v>61</v>
      </c>
      <c r="I723" s="368">
        <f t="shared" si="34"/>
        <v>0</v>
      </c>
      <c r="J723" s="365">
        <f t="shared" si="33"/>
        <v>0</v>
      </c>
      <c r="K723" s="369">
        <f t="shared" si="35"/>
        <v>6</v>
      </c>
      <c r="L723" s="369">
        <f>+IF((C723&gt;='Resultats - informe'!$E$16)*(C723&lt;='Resultats - informe'!$G$16),1,0)</f>
        <v>1</v>
      </c>
      <c r="M723" s="369" cm="1">
        <f t="array" ref="M723">+_xlfn.IFS((C723&gt;='Resultats - informe'!$D$26)*(C723&lt;='Resultats - informe'!$E$26),0,(C723&gt;='Resultats - informe'!$D$27)*(C723&lt;='Resultats - informe'!$E$27),0,(C723&gt;='Resultats - informe'!$D$28)*(C723&lt;='Resultats - informe'!$E$28),0,(C723&gt;='Resultats - informe'!$D$29)*(C723&lt;='Resultats - informe'!$E$29),0,1,1)</f>
        <v>0</v>
      </c>
      <c r="N723" s="366">
        <f>+VLOOKUP(D723,'Resultats - informe'!$Y$18:$AG$42,'Introducció dades consum'!K723+1,0)</f>
        <v>0</v>
      </c>
      <c r="O723" s="370" cm="1">
        <f t="array" ref="O723">+_xlfn.SWITCH(MONTH(C723),1,1,2,1,3,1,4,2,5,2,6,3,7,3,8,3,9,3,10,2,11,2,12,1,2)</f>
        <v>1</v>
      </c>
      <c r="P723" s="43"/>
      <c r="AS723" s="10"/>
      <c r="AT723" s="10"/>
      <c r="AU723" s="10"/>
      <c r="AV723" s="10"/>
      <c r="AW723" s="10"/>
      <c r="AX723" s="10"/>
      <c r="AY723" s="10"/>
      <c r="AZ723" s="10"/>
      <c r="BA723" s="10"/>
      <c r="BB723" s="10"/>
      <c r="BC723" s="10"/>
      <c r="BD723" s="10"/>
      <c r="BE723" s="10"/>
      <c r="BF723" s="10"/>
      <c r="BG723" s="10"/>
      <c r="BH723" s="10"/>
      <c r="BI723" s="10"/>
      <c r="BJ723" s="10"/>
      <c r="BK723" s="10"/>
      <c r="BL723" s="10"/>
      <c r="BM723" s="10"/>
      <c r="BN723" s="10"/>
      <c r="BO723" s="10"/>
      <c r="BP723" s="10"/>
      <c r="BQ723" s="10"/>
      <c r="BR723" s="10"/>
      <c r="BS723" s="10"/>
      <c r="BT723" s="10"/>
      <c r="BU723" s="10"/>
    </row>
    <row r="724" spans="1:73" ht="18" x14ac:dyDescent="0.35">
      <c r="A724" s="43"/>
      <c r="C724" s="393"/>
      <c r="E724" s="394"/>
      <c r="F724" s="394"/>
      <c r="G724" s="394"/>
      <c r="H724" s="8" t="s">
        <v>61</v>
      </c>
      <c r="I724" s="368">
        <f t="shared" si="34"/>
        <v>0</v>
      </c>
      <c r="J724" s="365">
        <f t="shared" si="33"/>
        <v>0</v>
      </c>
      <c r="K724" s="369">
        <f t="shared" si="35"/>
        <v>6</v>
      </c>
      <c r="L724" s="369">
        <f>+IF((C724&gt;='Resultats - informe'!$E$16)*(C724&lt;='Resultats - informe'!$G$16),1,0)</f>
        <v>1</v>
      </c>
      <c r="M724" s="369" cm="1">
        <f t="array" ref="M724">+_xlfn.IFS((C724&gt;='Resultats - informe'!$D$26)*(C724&lt;='Resultats - informe'!$E$26),0,(C724&gt;='Resultats - informe'!$D$27)*(C724&lt;='Resultats - informe'!$E$27),0,(C724&gt;='Resultats - informe'!$D$28)*(C724&lt;='Resultats - informe'!$E$28),0,(C724&gt;='Resultats - informe'!$D$29)*(C724&lt;='Resultats - informe'!$E$29),0,1,1)</f>
        <v>0</v>
      </c>
      <c r="N724" s="366">
        <f>+VLOOKUP(D724,'Resultats - informe'!$Y$18:$AG$42,'Introducció dades consum'!K724+1,0)</f>
        <v>0</v>
      </c>
      <c r="O724" s="370" cm="1">
        <f t="array" ref="O724">+_xlfn.SWITCH(MONTH(C724),1,1,2,1,3,1,4,2,5,2,6,3,7,3,8,3,9,3,10,2,11,2,12,1,2)</f>
        <v>1</v>
      </c>
      <c r="P724" s="43"/>
      <c r="AS724" s="10"/>
      <c r="AT724" s="10"/>
      <c r="AU724" s="10"/>
      <c r="AV724" s="10"/>
      <c r="AW724" s="10"/>
      <c r="AX724" s="10"/>
      <c r="AY724" s="10"/>
      <c r="AZ724" s="10"/>
      <c r="BA724" s="10"/>
      <c r="BB724" s="10"/>
      <c r="BC724" s="10"/>
      <c r="BD724" s="10"/>
      <c r="BE724" s="10"/>
      <c r="BF724" s="10"/>
      <c r="BG724" s="10"/>
      <c r="BH724" s="10"/>
      <c r="BI724" s="10"/>
      <c r="BJ724" s="10"/>
      <c r="BK724" s="10"/>
      <c r="BL724" s="10"/>
      <c r="BM724" s="10"/>
      <c r="BN724" s="10"/>
      <c r="BO724" s="10"/>
      <c r="BP724" s="10"/>
      <c r="BQ724" s="10"/>
      <c r="BR724" s="10"/>
      <c r="BS724" s="10"/>
      <c r="BT724" s="10"/>
      <c r="BU724" s="10"/>
    </row>
    <row r="725" spans="1:73" ht="18" x14ac:dyDescent="0.35">
      <c r="A725" s="43"/>
      <c r="C725" s="393"/>
      <c r="E725" s="394"/>
      <c r="F725" s="394"/>
      <c r="G725" s="394"/>
      <c r="H725" s="8" t="s">
        <v>61</v>
      </c>
      <c r="I725" s="368">
        <f t="shared" si="34"/>
        <v>0</v>
      </c>
      <c r="J725" s="365">
        <f t="shared" si="33"/>
        <v>0</v>
      </c>
      <c r="K725" s="369">
        <f t="shared" si="35"/>
        <v>6</v>
      </c>
      <c r="L725" s="369">
        <f>+IF((C725&gt;='Resultats - informe'!$E$16)*(C725&lt;='Resultats - informe'!$G$16),1,0)</f>
        <v>1</v>
      </c>
      <c r="M725" s="369" cm="1">
        <f t="array" ref="M725">+_xlfn.IFS((C725&gt;='Resultats - informe'!$D$26)*(C725&lt;='Resultats - informe'!$E$26),0,(C725&gt;='Resultats - informe'!$D$27)*(C725&lt;='Resultats - informe'!$E$27),0,(C725&gt;='Resultats - informe'!$D$28)*(C725&lt;='Resultats - informe'!$E$28),0,(C725&gt;='Resultats - informe'!$D$29)*(C725&lt;='Resultats - informe'!$E$29),0,1,1)</f>
        <v>0</v>
      </c>
      <c r="N725" s="366">
        <f>+VLOOKUP(D725,'Resultats - informe'!$Y$18:$AG$42,'Introducció dades consum'!K725+1,0)</f>
        <v>0</v>
      </c>
      <c r="O725" s="370" cm="1">
        <f t="array" ref="O725">+_xlfn.SWITCH(MONTH(C725),1,1,2,1,3,1,4,2,5,2,6,3,7,3,8,3,9,3,10,2,11,2,12,1,2)</f>
        <v>1</v>
      </c>
      <c r="P725" s="43"/>
      <c r="AS725" s="10"/>
      <c r="AT725" s="10"/>
      <c r="AU725" s="10"/>
      <c r="AV725" s="10"/>
      <c r="AW725" s="10"/>
      <c r="AX725" s="10"/>
      <c r="AY725" s="10"/>
      <c r="AZ725" s="10"/>
      <c r="BA725" s="10"/>
      <c r="BB725" s="10"/>
      <c r="BC725" s="10"/>
      <c r="BD725" s="10"/>
      <c r="BE725" s="10"/>
      <c r="BF725" s="10"/>
      <c r="BG725" s="10"/>
      <c r="BH725" s="10"/>
      <c r="BI725" s="10"/>
      <c r="BJ725" s="10"/>
      <c r="BK725" s="10"/>
      <c r="BL725" s="10"/>
      <c r="BM725" s="10"/>
      <c r="BN725" s="10"/>
      <c r="BO725" s="10"/>
      <c r="BP725" s="10"/>
      <c r="BQ725" s="10"/>
      <c r="BR725" s="10"/>
      <c r="BS725" s="10"/>
      <c r="BT725" s="10"/>
      <c r="BU725" s="10"/>
    </row>
    <row r="726" spans="1:73" ht="18" x14ac:dyDescent="0.35">
      <c r="A726" s="43"/>
      <c r="C726" s="393"/>
      <c r="E726" s="394"/>
      <c r="F726" s="394"/>
      <c r="G726" s="394"/>
      <c r="H726" s="8" t="s">
        <v>61</v>
      </c>
      <c r="I726" s="368">
        <f t="shared" si="34"/>
        <v>0</v>
      </c>
      <c r="J726" s="365">
        <f t="shared" si="33"/>
        <v>0</v>
      </c>
      <c r="K726" s="369">
        <f t="shared" si="35"/>
        <v>6</v>
      </c>
      <c r="L726" s="369">
        <f>+IF((C726&gt;='Resultats - informe'!$E$16)*(C726&lt;='Resultats - informe'!$G$16),1,0)</f>
        <v>1</v>
      </c>
      <c r="M726" s="369" cm="1">
        <f t="array" ref="M726">+_xlfn.IFS((C726&gt;='Resultats - informe'!$D$26)*(C726&lt;='Resultats - informe'!$E$26),0,(C726&gt;='Resultats - informe'!$D$27)*(C726&lt;='Resultats - informe'!$E$27),0,(C726&gt;='Resultats - informe'!$D$28)*(C726&lt;='Resultats - informe'!$E$28),0,(C726&gt;='Resultats - informe'!$D$29)*(C726&lt;='Resultats - informe'!$E$29),0,1,1)</f>
        <v>0</v>
      </c>
      <c r="N726" s="366">
        <f>+VLOOKUP(D726,'Resultats - informe'!$Y$18:$AG$42,'Introducció dades consum'!K726+1,0)</f>
        <v>0</v>
      </c>
      <c r="O726" s="370" cm="1">
        <f t="array" ref="O726">+_xlfn.SWITCH(MONTH(C726),1,1,2,1,3,1,4,2,5,2,6,3,7,3,8,3,9,3,10,2,11,2,12,1,2)</f>
        <v>1</v>
      </c>
      <c r="P726" s="43"/>
      <c r="AS726" s="10"/>
      <c r="AT726" s="10"/>
      <c r="AU726" s="10"/>
      <c r="AV726" s="10"/>
      <c r="AW726" s="10"/>
      <c r="AX726" s="10"/>
      <c r="AY726" s="10"/>
      <c r="AZ726" s="10"/>
      <c r="BA726" s="10"/>
      <c r="BB726" s="10"/>
      <c r="BC726" s="10"/>
      <c r="BD726" s="10"/>
      <c r="BE726" s="10"/>
      <c r="BF726" s="10"/>
      <c r="BG726" s="10"/>
      <c r="BH726" s="10"/>
      <c r="BI726" s="10"/>
      <c r="BJ726" s="10"/>
      <c r="BK726" s="10"/>
      <c r="BL726" s="10"/>
      <c r="BM726" s="10"/>
      <c r="BN726" s="10"/>
      <c r="BO726" s="10"/>
      <c r="BP726" s="10"/>
      <c r="BQ726" s="10"/>
      <c r="BR726" s="10"/>
      <c r="BS726" s="10"/>
      <c r="BT726" s="10"/>
      <c r="BU726" s="10"/>
    </row>
    <row r="727" spans="1:73" ht="18" x14ac:dyDescent="0.35">
      <c r="A727" s="43"/>
      <c r="C727" s="393"/>
      <c r="E727" s="394"/>
      <c r="F727" s="394"/>
      <c r="G727" s="394"/>
      <c r="H727" s="8" t="s">
        <v>61</v>
      </c>
      <c r="I727" s="368">
        <f t="shared" si="34"/>
        <v>0</v>
      </c>
      <c r="J727" s="365">
        <f t="shared" si="33"/>
        <v>0</v>
      </c>
      <c r="K727" s="369">
        <f t="shared" si="35"/>
        <v>6</v>
      </c>
      <c r="L727" s="369">
        <f>+IF((C727&gt;='Resultats - informe'!$E$16)*(C727&lt;='Resultats - informe'!$G$16),1,0)</f>
        <v>1</v>
      </c>
      <c r="M727" s="369" cm="1">
        <f t="array" ref="M727">+_xlfn.IFS((C727&gt;='Resultats - informe'!$D$26)*(C727&lt;='Resultats - informe'!$E$26),0,(C727&gt;='Resultats - informe'!$D$27)*(C727&lt;='Resultats - informe'!$E$27),0,(C727&gt;='Resultats - informe'!$D$28)*(C727&lt;='Resultats - informe'!$E$28),0,(C727&gt;='Resultats - informe'!$D$29)*(C727&lt;='Resultats - informe'!$E$29),0,1,1)</f>
        <v>0</v>
      </c>
      <c r="N727" s="366">
        <f>+VLOOKUP(D727,'Resultats - informe'!$Y$18:$AG$42,'Introducció dades consum'!K727+1,0)</f>
        <v>0</v>
      </c>
      <c r="O727" s="370" cm="1">
        <f t="array" ref="O727">+_xlfn.SWITCH(MONTH(C727),1,1,2,1,3,1,4,2,5,2,6,3,7,3,8,3,9,3,10,2,11,2,12,1,2)</f>
        <v>1</v>
      </c>
      <c r="P727" s="43"/>
      <c r="AS727" s="10"/>
      <c r="AT727" s="10"/>
      <c r="AU727" s="10"/>
      <c r="AV727" s="10"/>
      <c r="AW727" s="10"/>
      <c r="AX727" s="10"/>
      <c r="AY727" s="10"/>
      <c r="AZ727" s="10"/>
      <c r="BA727" s="10"/>
      <c r="BB727" s="10"/>
      <c r="BC727" s="10"/>
      <c r="BD727" s="10"/>
      <c r="BE727" s="10"/>
      <c r="BF727" s="10"/>
      <c r="BG727" s="10"/>
      <c r="BH727" s="10"/>
      <c r="BI727" s="10"/>
      <c r="BJ727" s="10"/>
      <c r="BK727" s="10"/>
      <c r="BL727" s="10"/>
      <c r="BM727" s="10"/>
      <c r="BN727" s="10"/>
      <c r="BO727" s="10"/>
      <c r="BP727" s="10"/>
      <c r="BQ727" s="10"/>
      <c r="BR727" s="10"/>
      <c r="BS727" s="10"/>
      <c r="BT727" s="10"/>
      <c r="BU727" s="10"/>
    </row>
    <row r="728" spans="1:73" ht="18" x14ac:dyDescent="0.35">
      <c r="A728" s="43"/>
      <c r="C728" s="393"/>
      <c r="E728" s="394"/>
      <c r="F728" s="394"/>
      <c r="G728" s="394"/>
      <c r="H728" s="8" t="s">
        <v>61</v>
      </c>
      <c r="I728" s="368">
        <f t="shared" si="34"/>
        <v>0</v>
      </c>
      <c r="J728" s="365">
        <f t="shared" si="33"/>
        <v>0</v>
      </c>
      <c r="K728" s="369">
        <f t="shared" si="35"/>
        <v>6</v>
      </c>
      <c r="L728" s="369">
        <f>+IF((C728&gt;='Resultats - informe'!$E$16)*(C728&lt;='Resultats - informe'!$G$16),1,0)</f>
        <v>1</v>
      </c>
      <c r="M728" s="369" cm="1">
        <f t="array" ref="M728">+_xlfn.IFS((C728&gt;='Resultats - informe'!$D$26)*(C728&lt;='Resultats - informe'!$E$26),0,(C728&gt;='Resultats - informe'!$D$27)*(C728&lt;='Resultats - informe'!$E$27),0,(C728&gt;='Resultats - informe'!$D$28)*(C728&lt;='Resultats - informe'!$E$28),0,(C728&gt;='Resultats - informe'!$D$29)*(C728&lt;='Resultats - informe'!$E$29),0,1,1)</f>
        <v>0</v>
      </c>
      <c r="N728" s="366">
        <f>+VLOOKUP(D728,'Resultats - informe'!$Y$18:$AG$42,'Introducció dades consum'!K728+1,0)</f>
        <v>0</v>
      </c>
      <c r="O728" s="370" cm="1">
        <f t="array" ref="O728">+_xlfn.SWITCH(MONTH(C728),1,1,2,1,3,1,4,2,5,2,6,3,7,3,8,3,9,3,10,2,11,2,12,1,2)</f>
        <v>1</v>
      </c>
      <c r="P728" s="43"/>
      <c r="AS728" s="10"/>
      <c r="AT728" s="10"/>
      <c r="AU728" s="10"/>
      <c r="AV728" s="10"/>
      <c r="AW728" s="10"/>
      <c r="AX728" s="10"/>
      <c r="AY728" s="10"/>
      <c r="AZ728" s="10"/>
      <c r="BA728" s="10"/>
      <c r="BB728" s="10"/>
      <c r="BC728" s="10"/>
      <c r="BD728" s="10"/>
      <c r="BE728" s="10"/>
      <c r="BF728" s="10"/>
      <c r="BG728" s="10"/>
      <c r="BH728" s="10"/>
      <c r="BI728" s="10"/>
      <c r="BJ728" s="10"/>
      <c r="BK728" s="10"/>
      <c r="BL728" s="10"/>
      <c r="BM728" s="10"/>
      <c r="BN728" s="10"/>
      <c r="BO728" s="10"/>
      <c r="BP728" s="10"/>
      <c r="BQ728" s="10"/>
      <c r="BR728" s="10"/>
      <c r="BS728" s="10"/>
      <c r="BT728" s="10"/>
      <c r="BU728" s="10"/>
    </row>
    <row r="729" spans="1:73" ht="18" x14ac:dyDescent="0.35">
      <c r="A729" s="43"/>
      <c r="C729" s="393"/>
      <c r="E729" s="394"/>
      <c r="F729" s="394"/>
      <c r="G729" s="394"/>
      <c r="H729" s="8" t="s">
        <v>61</v>
      </c>
      <c r="I729" s="368">
        <f t="shared" si="34"/>
        <v>0</v>
      </c>
      <c r="J729" s="365">
        <f t="shared" si="33"/>
        <v>0</v>
      </c>
      <c r="K729" s="369">
        <f t="shared" si="35"/>
        <v>6</v>
      </c>
      <c r="L729" s="369">
        <f>+IF((C729&gt;='Resultats - informe'!$E$16)*(C729&lt;='Resultats - informe'!$G$16),1,0)</f>
        <v>1</v>
      </c>
      <c r="M729" s="369" cm="1">
        <f t="array" ref="M729">+_xlfn.IFS((C729&gt;='Resultats - informe'!$D$26)*(C729&lt;='Resultats - informe'!$E$26),0,(C729&gt;='Resultats - informe'!$D$27)*(C729&lt;='Resultats - informe'!$E$27),0,(C729&gt;='Resultats - informe'!$D$28)*(C729&lt;='Resultats - informe'!$E$28),0,(C729&gt;='Resultats - informe'!$D$29)*(C729&lt;='Resultats - informe'!$E$29),0,1,1)</f>
        <v>0</v>
      </c>
      <c r="N729" s="366">
        <f>+VLOOKUP(D729,'Resultats - informe'!$Y$18:$AG$42,'Introducció dades consum'!K729+1,0)</f>
        <v>0</v>
      </c>
      <c r="O729" s="370" cm="1">
        <f t="array" ref="O729">+_xlfn.SWITCH(MONTH(C729),1,1,2,1,3,1,4,2,5,2,6,3,7,3,8,3,9,3,10,2,11,2,12,1,2)</f>
        <v>1</v>
      </c>
      <c r="P729" s="43"/>
      <c r="AS729" s="10"/>
      <c r="AT729" s="10"/>
      <c r="AU729" s="10"/>
      <c r="AV729" s="10"/>
      <c r="AW729" s="10"/>
      <c r="AX729" s="10"/>
      <c r="AY729" s="10"/>
      <c r="AZ729" s="10"/>
      <c r="BA729" s="10"/>
      <c r="BB729" s="10"/>
      <c r="BC729" s="10"/>
      <c r="BD729" s="10"/>
      <c r="BE729" s="10"/>
      <c r="BF729" s="10"/>
      <c r="BG729" s="10"/>
      <c r="BH729" s="10"/>
      <c r="BI729" s="10"/>
      <c r="BJ729" s="10"/>
      <c r="BK729" s="10"/>
      <c r="BL729" s="10"/>
      <c r="BM729" s="10"/>
      <c r="BN729" s="10"/>
      <c r="BO729" s="10"/>
      <c r="BP729" s="10"/>
      <c r="BQ729" s="10"/>
      <c r="BR729" s="10"/>
      <c r="BS729" s="10"/>
      <c r="BT729" s="10"/>
      <c r="BU729" s="10"/>
    </row>
    <row r="730" spans="1:73" ht="18" x14ac:dyDescent="0.35">
      <c r="A730" s="43"/>
      <c r="C730" s="393"/>
      <c r="E730" s="394"/>
      <c r="F730" s="394"/>
      <c r="G730" s="394"/>
      <c r="H730" s="8" t="s">
        <v>61</v>
      </c>
      <c r="I730" s="368">
        <f t="shared" si="34"/>
        <v>0</v>
      </c>
      <c r="J730" s="365">
        <f t="shared" si="33"/>
        <v>0</v>
      </c>
      <c r="K730" s="369">
        <f t="shared" si="35"/>
        <v>6</v>
      </c>
      <c r="L730" s="369">
        <f>+IF((C730&gt;='Resultats - informe'!$E$16)*(C730&lt;='Resultats - informe'!$G$16),1,0)</f>
        <v>1</v>
      </c>
      <c r="M730" s="369" cm="1">
        <f t="array" ref="M730">+_xlfn.IFS((C730&gt;='Resultats - informe'!$D$26)*(C730&lt;='Resultats - informe'!$E$26),0,(C730&gt;='Resultats - informe'!$D$27)*(C730&lt;='Resultats - informe'!$E$27),0,(C730&gt;='Resultats - informe'!$D$28)*(C730&lt;='Resultats - informe'!$E$28),0,(C730&gt;='Resultats - informe'!$D$29)*(C730&lt;='Resultats - informe'!$E$29),0,1,1)</f>
        <v>0</v>
      </c>
      <c r="N730" s="366">
        <f>+VLOOKUP(D730,'Resultats - informe'!$Y$18:$AG$42,'Introducció dades consum'!K730+1,0)</f>
        <v>0</v>
      </c>
      <c r="O730" s="370" cm="1">
        <f t="array" ref="O730">+_xlfn.SWITCH(MONTH(C730),1,1,2,1,3,1,4,2,5,2,6,3,7,3,8,3,9,3,10,2,11,2,12,1,2)</f>
        <v>1</v>
      </c>
      <c r="P730" s="43"/>
      <c r="AS730" s="10"/>
      <c r="AT730" s="10"/>
      <c r="AU730" s="10"/>
      <c r="AV730" s="10"/>
      <c r="AW730" s="10"/>
      <c r="AX730" s="10"/>
      <c r="AY730" s="10"/>
      <c r="AZ730" s="10"/>
      <c r="BA730" s="10"/>
      <c r="BB730" s="10"/>
      <c r="BC730" s="10"/>
      <c r="BD730" s="10"/>
      <c r="BE730" s="10"/>
      <c r="BF730" s="10"/>
      <c r="BG730" s="10"/>
      <c r="BH730" s="10"/>
      <c r="BI730" s="10"/>
      <c r="BJ730" s="10"/>
      <c r="BK730" s="10"/>
      <c r="BL730" s="10"/>
      <c r="BM730" s="10"/>
      <c r="BN730" s="10"/>
      <c r="BO730" s="10"/>
      <c r="BP730" s="10"/>
      <c r="BQ730" s="10"/>
      <c r="BR730" s="10"/>
      <c r="BS730" s="10"/>
      <c r="BT730" s="10"/>
      <c r="BU730" s="10"/>
    </row>
    <row r="731" spans="1:73" ht="18" x14ac:dyDescent="0.35">
      <c r="A731" s="43"/>
      <c r="C731" s="393"/>
      <c r="E731" s="394"/>
      <c r="F731" s="394"/>
      <c r="G731" s="394"/>
      <c r="H731" s="8" t="s">
        <v>61</v>
      </c>
      <c r="I731" s="368">
        <f t="shared" si="34"/>
        <v>0</v>
      </c>
      <c r="J731" s="365">
        <f t="shared" si="33"/>
        <v>0</v>
      </c>
      <c r="K731" s="369">
        <f t="shared" si="35"/>
        <v>6</v>
      </c>
      <c r="L731" s="369">
        <f>+IF((C731&gt;='Resultats - informe'!$E$16)*(C731&lt;='Resultats - informe'!$G$16),1,0)</f>
        <v>1</v>
      </c>
      <c r="M731" s="369" cm="1">
        <f t="array" ref="M731">+_xlfn.IFS((C731&gt;='Resultats - informe'!$D$26)*(C731&lt;='Resultats - informe'!$E$26),0,(C731&gt;='Resultats - informe'!$D$27)*(C731&lt;='Resultats - informe'!$E$27),0,(C731&gt;='Resultats - informe'!$D$28)*(C731&lt;='Resultats - informe'!$E$28),0,(C731&gt;='Resultats - informe'!$D$29)*(C731&lt;='Resultats - informe'!$E$29),0,1,1)</f>
        <v>0</v>
      </c>
      <c r="N731" s="366">
        <f>+VLOOKUP(D731,'Resultats - informe'!$Y$18:$AG$42,'Introducció dades consum'!K731+1,0)</f>
        <v>0</v>
      </c>
      <c r="O731" s="370" cm="1">
        <f t="array" ref="O731">+_xlfn.SWITCH(MONTH(C731),1,1,2,1,3,1,4,2,5,2,6,3,7,3,8,3,9,3,10,2,11,2,12,1,2)</f>
        <v>1</v>
      </c>
      <c r="P731" s="43"/>
      <c r="AS731" s="10"/>
      <c r="AT731" s="10"/>
      <c r="AU731" s="10"/>
      <c r="AV731" s="10"/>
      <c r="AW731" s="10"/>
      <c r="AX731" s="10"/>
      <c r="AY731" s="10"/>
      <c r="AZ731" s="10"/>
      <c r="BA731" s="10"/>
      <c r="BB731" s="10"/>
      <c r="BC731" s="10"/>
      <c r="BD731" s="10"/>
      <c r="BE731" s="10"/>
      <c r="BF731" s="10"/>
      <c r="BG731" s="10"/>
      <c r="BH731" s="10"/>
      <c r="BI731" s="10"/>
      <c r="BJ731" s="10"/>
      <c r="BK731" s="10"/>
      <c r="BL731" s="10"/>
      <c r="BM731" s="10"/>
      <c r="BN731" s="10"/>
      <c r="BO731" s="10"/>
      <c r="BP731" s="10"/>
      <c r="BQ731" s="10"/>
      <c r="BR731" s="10"/>
      <c r="BS731" s="10"/>
      <c r="BT731" s="10"/>
      <c r="BU731" s="10"/>
    </row>
    <row r="732" spans="1:73" ht="18" x14ac:dyDescent="0.35">
      <c r="A732" s="43"/>
      <c r="C732" s="393"/>
      <c r="E732" s="394"/>
      <c r="F732" s="394"/>
      <c r="G732" s="394"/>
      <c r="H732" s="8" t="s">
        <v>61</v>
      </c>
      <c r="I732" s="368">
        <f t="shared" si="34"/>
        <v>0</v>
      </c>
      <c r="J732" s="365">
        <f t="shared" si="33"/>
        <v>0</v>
      </c>
      <c r="K732" s="369">
        <f t="shared" si="35"/>
        <v>6</v>
      </c>
      <c r="L732" s="369">
        <f>+IF((C732&gt;='Resultats - informe'!$E$16)*(C732&lt;='Resultats - informe'!$G$16),1,0)</f>
        <v>1</v>
      </c>
      <c r="M732" s="369" cm="1">
        <f t="array" ref="M732">+_xlfn.IFS((C732&gt;='Resultats - informe'!$D$26)*(C732&lt;='Resultats - informe'!$E$26),0,(C732&gt;='Resultats - informe'!$D$27)*(C732&lt;='Resultats - informe'!$E$27),0,(C732&gt;='Resultats - informe'!$D$28)*(C732&lt;='Resultats - informe'!$E$28),0,(C732&gt;='Resultats - informe'!$D$29)*(C732&lt;='Resultats - informe'!$E$29),0,1,1)</f>
        <v>0</v>
      </c>
      <c r="N732" s="366">
        <f>+VLOOKUP(D732,'Resultats - informe'!$Y$18:$AG$42,'Introducció dades consum'!K732+1,0)</f>
        <v>0</v>
      </c>
      <c r="O732" s="370" cm="1">
        <f t="array" ref="O732">+_xlfn.SWITCH(MONTH(C732),1,1,2,1,3,1,4,2,5,2,6,3,7,3,8,3,9,3,10,2,11,2,12,1,2)</f>
        <v>1</v>
      </c>
      <c r="P732" s="43"/>
      <c r="AS732" s="10"/>
      <c r="AT732" s="10"/>
      <c r="AU732" s="10"/>
      <c r="AV732" s="10"/>
      <c r="AW732" s="10"/>
      <c r="AX732" s="10"/>
      <c r="AY732" s="10"/>
      <c r="AZ732" s="10"/>
      <c r="BA732" s="10"/>
      <c r="BB732" s="10"/>
      <c r="BC732" s="10"/>
      <c r="BD732" s="10"/>
      <c r="BE732" s="10"/>
      <c r="BF732" s="10"/>
      <c r="BG732" s="10"/>
      <c r="BH732" s="10"/>
      <c r="BI732" s="10"/>
      <c r="BJ732" s="10"/>
      <c r="BK732" s="10"/>
      <c r="BL732" s="10"/>
      <c r="BM732" s="10"/>
      <c r="BN732" s="10"/>
      <c r="BO732" s="10"/>
      <c r="BP732" s="10"/>
      <c r="BQ732" s="10"/>
      <c r="BR732" s="10"/>
      <c r="BS732" s="10"/>
      <c r="BT732" s="10"/>
      <c r="BU732" s="10"/>
    </row>
    <row r="733" spans="1:73" ht="18" x14ac:dyDescent="0.35">
      <c r="A733" s="43"/>
      <c r="C733" s="393"/>
      <c r="E733" s="394"/>
      <c r="F733" s="394"/>
      <c r="G733" s="394"/>
      <c r="H733" s="8" t="s">
        <v>61</v>
      </c>
      <c r="I733" s="368">
        <f t="shared" si="34"/>
        <v>0</v>
      </c>
      <c r="J733" s="365">
        <f t="shared" si="33"/>
        <v>0</v>
      </c>
      <c r="K733" s="369">
        <f t="shared" si="35"/>
        <v>6</v>
      </c>
      <c r="L733" s="369">
        <f>+IF((C733&gt;='Resultats - informe'!$E$16)*(C733&lt;='Resultats - informe'!$G$16),1,0)</f>
        <v>1</v>
      </c>
      <c r="M733" s="369" cm="1">
        <f t="array" ref="M733">+_xlfn.IFS((C733&gt;='Resultats - informe'!$D$26)*(C733&lt;='Resultats - informe'!$E$26),0,(C733&gt;='Resultats - informe'!$D$27)*(C733&lt;='Resultats - informe'!$E$27),0,(C733&gt;='Resultats - informe'!$D$28)*(C733&lt;='Resultats - informe'!$E$28),0,(C733&gt;='Resultats - informe'!$D$29)*(C733&lt;='Resultats - informe'!$E$29),0,1,1)</f>
        <v>0</v>
      </c>
      <c r="N733" s="366">
        <f>+VLOOKUP(D733,'Resultats - informe'!$Y$18:$AG$42,'Introducció dades consum'!K733+1,0)</f>
        <v>0</v>
      </c>
      <c r="O733" s="370" cm="1">
        <f t="array" ref="O733">+_xlfn.SWITCH(MONTH(C733),1,1,2,1,3,1,4,2,5,2,6,3,7,3,8,3,9,3,10,2,11,2,12,1,2)</f>
        <v>1</v>
      </c>
      <c r="P733" s="43"/>
      <c r="AS733" s="10"/>
      <c r="AT733" s="10"/>
      <c r="AU733" s="10"/>
      <c r="AV733" s="10"/>
      <c r="AW733" s="10"/>
      <c r="AX733" s="10"/>
      <c r="AY733" s="10"/>
      <c r="AZ733" s="10"/>
      <c r="BA733" s="10"/>
      <c r="BB733" s="10"/>
      <c r="BC733" s="10"/>
      <c r="BD733" s="10"/>
      <c r="BE733" s="10"/>
      <c r="BF733" s="10"/>
      <c r="BG733" s="10"/>
      <c r="BH733" s="10"/>
      <c r="BI733" s="10"/>
      <c r="BJ733" s="10"/>
      <c r="BK733" s="10"/>
      <c r="BL733" s="10"/>
      <c r="BM733" s="10"/>
      <c r="BN733" s="10"/>
      <c r="BO733" s="10"/>
      <c r="BP733" s="10"/>
      <c r="BQ733" s="10"/>
      <c r="BR733" s="10"/>
      <c r="BS733" s="10"/>
      <c r="BT733" s="10"/>
      <c r="BU733" s="10"/>
    </row>
    <row r="734" spans="1:73" ht="18" x14ac:dyDescent="0.35">
      <c r="A734" s="43"/>
      <c r="C734" s="393"/>
      <c r="E734" s="394"/>
      <c r="F734" s="394"/>
      <c r="G734" s="394"/>
      <c r="H734" s="8" t="s">
        <v>61</v>
      </c>
      <c r="I734" s="368">
        <f t="shared" si="34"/>
        <v>0</v>
      </c>
      <c r="J734" s="365">
        <f t="shared" si="33"/>
        <v>0</v>
      </c>
      <c r="K734" s="369">
        <f t="shared" si="35"/>
        <v>6</v>
      </c>
      <c r="L734" s="369">
        <f>+IF((C734&gt;='Resultats - informe'!$E$16)*(C734&lt;='Resultats - informe'!$G$16),1,0)</f>
        <v>1</v>
      </c>
      <c r="M734" s="369" cm="1">
        <f t="array" ref="M734">+_xlfn.IFS((C734&gt;='Resultats - informe'!$D$26)*(C734&lt;='Resultats - informe'!$E$26),0,(C734&gt;='Resultats - informe'!$D$27)*(C734&lt;='Resultats - informe'!$E$27),0,(C734&gt;='Resultats - informe'!$D$28)*(C734&lt;='Resultats - informe'!$E$28),0,(C734&gt;='Resultats - informe'!$D$29)*(C734&lt;='Resultats - informe'!$E$29),0,1,1)</f>
        <v>0</v>
      </c>
      <c r="N734" s="366">
        <f>+VLOOKUP(D734,'Resultats - informe'!$Y$18:$AG$42,'Introducció dades consum'!K734+1,0)</f>
        <v>0</v>
      </c>
      <c r="O734" s="370" cm="1">
        <f t="array" ref="O734">+_xlfn.SWITCH(MONTH(C734),1,1,2,1,3,1,4,2,5,2,6,3,7,3,8,3,9,3,10,2,11,2,12,1,2)</f>
        <v>1</v>
      </c>
      <c r="P734" s="43"/>
      <c r="AS734" s="10"/>
      <c r="AT734" s="10"/>
      <c r="AU734" s="10"/>
      <c r="AV734" s="10"/>
      <c r="AW734" s="10"/>
      <c r="AX734" s="10"/>
      <c r="AY734" s="10"/>
      <c r="AZ734" s="10"/>
      <c r="BA734" s="10"/>
      <c r="BB734" s="10"/>
      <c r="BC734" s="10"/>
      <c r="BD734" s="10"/>
      <c r="BE734" s="10"/>
      <c r="BF734" s="10"/>
      <c r="BG734" s="10"/>
      <c r="BH734" s="10"/>
      <c r="BI734" s="10"/>
      <c r="BJ734" s="10"/>
      <c r="BK734" s="10"/>
      <c r="BL734" s="10"/>
      <c r="BM734" s="10"/>
      <c r="BN734" s="10"/>
      <c r="BO734" s="10"/>
      <c r="BP734" s="10"/>
      <c r="BQ734" s="10"/>
      <c r="BR734" s="10"/>
      <c r="BS734" s="10"/>
      <c r="BT734" s="10"/>
      <c r="BU734" s="10"/>
    </row>
    <row r="735" spans="1:73" ht="18" x14ac:dyDescent="0.35">
      <c r="A735" s="43"/>
      <c r="C735" s="393"/>
      <c r="E735" s="394"/>
      <c r="F735" s="394"/>
      <c r="G735" s="394"/>
      <c r="H735" s="8" t="s">
        <v>61</v>
      </c>
      <c r="I735" s="368">
        <f t="shared" si="34"/>
        <v>0</v>
      </c>
      <c r="J735" s="365">
        <f t="shared" si="33"/>
        <v>0</v>
      </c>
      <c r="K735" s="369">
        <f t="shared" si="35"/>
        <v>6</v>
      </c>
      <c r="L735" s="369">
        <f>+IF((C735&gt;='Resultats - informe'!$E$16)*(C735&lt;='Resultats - informe'!$G$16),1,0)</f>
        <v>1</v>
      </c>
      <c r="M735" s="369" cm="1">
        <f t="array" ref="M735">+_xlfn.IFS((C735&gt;='Resultats - informe'!$D$26)*(C735&lt;='Resultats - informe'!$E$26),0,(C735&gt;='Resultats - informe'!$D$27)*(C735&lt;='Resultats - informe'!$E$27),0,(C735&gt;='Resultats - informe'!$D$28)*(C735&lt;='Resultats - informe'!$E$28),0,(C735&gt;='Resultats - informe'!$D$29)*(C735&lt;='Resultats - informe'!$E$29),0,1,1)</f>
        <v>0</v>
      </c>
      <c r="N735" s="366">
        <f>+VLOOKUP(D735,'Resultats - informe'!$Y$18:$AG$42,'Introducció dades consum'!K735+1,0)</f>
        <v>0</v>
      </c>
      <c r="O735" s="370" cm="1">
        <f t="array" ref="O735">+_xlfn.SWITCH(MONTH(C735),1,1,2,1,3,1,4,2,5,2,6,3,7,3,8,3,9,3,10,2,11,2,12,1,2)</f>
        <v>1</v>
      </c>
      <c r="P735" s="43"/>
      <c r="AS735" s="10"/>
      <c r="AT735" s="10"/>
      <c r="AU735" s="10"/>
      <c r="AV735" s="10"/>
      <c r="AW735" s="10"/>
      <c r="AX735" s="10"/>
      <c r="AY735" s="10"/>
      <c r="AZ735" s="10"/>
      <c r="BA735" s="10"/>
      <c r="BB735" s="10"/>
      <c r="BC735" s="10"/>
      <c r="BD735" s="10"/>
      <c r="BE735" s="10"/>
      <c r="BF735" s="10"/>
      <c r="BG735" s="10"/>
      <c r="BH735" s="10"/>
      <c r="BI735" s="10"/>
      <c r="BJ735" s="10"/>
      <c r="BK735" s="10"/>
      <c r="BL735" s="10"/>
      <c r="BM735" s="10"/>
      <c r="BN735" s="10"/>
      <c r="BO735" s="10"/>
      <c r="BP735" s="10"/>
      <c r="BQ735" s="10"/>
      <c r="BR735" s="10"/>
      <c r="BS735" s="10"/>
      <c r="BT735" s="10"/>
      <c r="BU735" s="10"/>
    </row>
    <row r="736" spans="1:73" ht="18" x14ac:dyDescent="0.35">
      <c r="A736" s="43"/>
      <c r="C736" s="393"/>
      <c r="E736" s="394"/>
      <c r="F736" s="394"/>
      <c r="G736" s="394"/>
      <c r="H736" s="8" t="s">
        <v>61</v>
      </c>
      <c r="I736" s="368">
        <f t="shared" si="34"/>
        <v>0</v>
      </c>
      <c r="J736" s="365">
        <f t="shared" si="33"/>
        <v>0</v>
      </c>
      <c r="K736" s="369">
        <f t="shared" si="35"/>
        <v>6</v>
      </c>
      <c r="L736" s="369">
        <f>+IF((C736&gt;='Resultats - informe'!$E$16)*(C736&lt;='Resultats - informe'!$G$16),1,0)</f>
        <v>1</v>
      </c>
      <c r="M736" s="369" cm="1">
        <f t="array" ref="M736">+_xlfn.IFS((C736&gt;='Resultats - informe'!$D$26)*(C736&lt;='Resultats - informe'!$E$26),0,(C736&gt;='Resultats - informe'!$D$27)*(C736&lt;='Resultats - informe'!$E$27),0,(C736&gt;='Resultats - informe'!$D$28)*(C736&lt;='Resultats - informe'!$E$28),0,(C736&gt;='Resultats - informe'!$D$29)*(C736&lt;='Resultats - informe'!$E$29),0,1,1)</f>
        <v>0</v>
      </c>
      <c r="N736" s="366">
        <f>+VLOOKUP(D736,'Resultats - informe'!$Y$18:$AG$42,'Introducció dades consum'!K736+1,0)</f>
        <v>0</v>
      </c>
      <c r="O736" s="370" cm="1">
        <f t="array" ref="O736">+_xlfn.SWITCH(MONTH(C736),1,1,2,1,3,1,4,2,5,2,6,3,7,3,8,3,9,3,10,2,11,2,12,1,2)</f>
        <v>1</v>
      </c>
      <c r="P736" s="43"/>
      <c r="AS736" s="10"/>
      <c r="AT736" s="10"/>
      <c r="AU736" s="10"/>
      <c r="AV736" s="10"/>
      <c r="AW736" s="10"/>
      <c r="AX736" s="10"/>
      <c r="AY736" s="10"/>
      <c r="AZ736" s="10"/>
      <c r="BA736" s="10"/>
      <c r="BB736" s="10"/>
      <c r="BC736" s="10"/>
      <c r="BD736" s="10"/>
      <c r="BE736" s="10"/>
      <c r="BF736" s="10"/>
      <c r="BG736" s="10"/>
      <c r="BH736" s="10"/>
      <c r="BI736" s="10"/>
      <c r="BJ736" s="10"/>
      <c r="BK736" s="10"/>
      <c r="BL736" s="10"/>
      <c r="BM736" s="10"/>
      <c r="BN736" s="10"/>
      <c r="BO736" s="10"/>
      <c r="BP736" s="10"/>
      <c r="BQ736" s="10"/>
      <c r="BR736" s="10"/>
      <c r="BS736" s="10"/>
      <c r="BT736" s="10"/>
      <c r="BU736" s="10"/>
    </row>
    <row r="737" spans="1:73" ht="18" x14ac:dyDescent="0.35">
      <c r="A737" s="43"/>
      <c r="C737" s="393"/>
      <c r="E737" s="394"/>
      <c r="F737" s="394"/>
      <c r="G737" s="394"/>
      <c r="H737" s="8" t="s">
        <v>61</v>
      </c>
      <c r="I737" s="368">
        <f t="shared" si="34"/>
        <v>0</v>
      </c>
      <c r="J737" s="365">
        <f t="shared" si="33"/>
        <v>0</v>
      </c>
      <c r="K737" s="369">
        <f t="shared" si="35"/>
        <v>6</v>
      </c>
      <c r="L737" s="369">
        <f>+IF((C737&gt;='Resultats - informe'!$E$16)*(C737&lt;='Resultats - informe'!$G$16),1,0)</f>
        <v>1</v>
      </c>
      <c r="M737" s="369" cm="1">
        <f t="array" ref="M737">+_xlfn.IFS((C737&gt;='Resultats - informe'!$D$26)*(C737&lt;='Resultats - informe'!$E$26),0,(C737&gt;='Resultats - informe'!$D$27)*(C737&lt;='Resultats - informe'!$E$27),0,(C737&gt;='Resultats - informe'!$D$28)*(C737&lt;='Resultats - informe'!$E$28),0,(C737&gt;='Resultats - informe'!$D$29)*(C737&lt;='Resultats - informe'!$E$29),0,1,1)</f>
        <v>0</v>
      </c>
      <c r="N737" s="366">
        <f>+VLOOKUP(D737,'Resultats - informe'!$Y$18:$AG$42,'Introducció dades consum'!K737+1,0)</f>
        <v>0</v>
      </c>
      <c r="O737" s="370" cm="1">
        <f t="array" ref="O737">+_xlfn.SWITCH(MONTH(C737),1,1,2,1,3,1,4,2,5,2,6,3,7,3,8,3,9,3,10,2,11,2,12,1,2)</f>
        <v>1</v>
      </c>
      <c r="P737" s="43"/>
      <c r="AS737" s="10"/>
      <c r="AT737" s="10"/>
      <c r="AU737" s="10"/>
      <c r="AV737" s="10"/>
      <c r="AW737" s="10"/>
      <c r="AX737" s="10"/>
      <c r="AY737" s="10"/>
      <c r="AZ737" s="10"/>
      <c r="BA737" s="10"/>
      <c r="BB737" s="10"/>
      <c r="BC737" s="10"/>
      <c r="BD737" s="10"/>
      <c r="BE737" s="10"/>
      <c r="BF737" s="10"/>
      <c r="BG737" s="10"/>
      <c r="BH737" s="10"/>
      <c r="BI737" s="10"/>
      <c r="BJ737" s="10"/>
      <c r="BK737" s="10"/>
      <c r="BL737" s="10"/>
      <c r="BM737" s="10"/>
      <c r="BN737" s="10"/>
      <c r="BO737" s="10"/>
      <c r="BP737" s="10"/>
      <c r="BQ737" s="10"/>
      <c r="BR737" s="10"/>
      <c r="BS737" s="10"/>
      <c r="BT737" s="10"/>
      <c r="BU737" s="10"/>
    </row>
    <row r="738" spans="1:73" ht="18" x14ac:dyDescent="0.35">
      <c r="A738" s="43"/>
      <c r="C738" s="393"/>
      <c r="E738" s="394"/>
      <c r="F738" s="394"/>
      <c r="G738" s="394"/>
      <c r="H738" s="8" t="s">
        <v>61</v>
      </c>
      <c r="I738" s="368">
        <f t="shared" si="34"/>
        <v>0</v>
      </c>
      <c r="J738" s="365">
        <f t="shared" si="33"/>
        <v>0</v>
      </c>
      <c r="K738" s="369">
        <f t="shared" si="35"/>
        <v>6</v>
      </c>
      <c r="L738" s="369">
        <f>+IF((C738&gt;='Resultats - informe'!$E$16)*(C738&lt;='Resultats - informe'!$G$16),1,0)</f>
        <v>1</v>
      </c>
      <c r="M738" s="369" cm="1">
        <f t="array" ref="M738">+_xlfn.IFS((C738&gt;='Resultats - informe'!$D$26)*(C738&lt;='Resultats - informe'!$E$26),0,(C738&gt;='Resultats - informe'!$D$27)*(C738&lt;='Resultats - informe'!$E$27),0,(C738&gt;='Resultats - informe'!$D$28)*(C738&lt;='Resultats - informe'!$E$28),0,(C738&gt;='Resultats - informe'!$D$29)*(C738&lt;='Resultats - informe'!$E$29),0,1,1)</f>
        <v>0</v>
      </c>
      <c r="N738" s="366">
        <f>+VLOOKUP(D738,'Resultats - informe'!$Y$18:$AG$42,'Introducció dades consum'!K738+1,0)</f>
        <v>0</v>
      </c>
      <c r="O738" s="370" cm="1">
        <f t="array" ref="O738">+_xlfn.SWITCH(MONTH(C738),1,1,2,1,3,1,4,2,5,2,6,3,7,3,8,3,9,3,10,2,11,2,12,1,2)</f>
        <v>1</v>
      </c>
      <c r="P738" s="43"/>
      <c r="AS738" s="10"/>
      <c r="AT738" s="10"/>
      <c r="AU738" s="10"/>
      <c r="AV738" s="10"/>
      <c r="AW738" s="10"/>
      <c r="AX738" s="10"/>
      <c r="AY738" s="10"/>
      <c r="AZ738" s="10"/>
      <c r="BA738" s="10"/>
      <c r="BB738" s="10"/>
      <c r="BC738" s="10"/>
      <c r="BD738" s="10"/>
      <c r="BE738" s="10"/>
      <c r="BF738" s="10"/>
      <c r="BG738" s="10"/>
      <c r="BH738" s="10"/>
      <c r="BI738" s="10"/>
      <c r="BJ738" s="10"/>
      <c r="BK738" s="10"/>
      <c r="BL738" s="10"/>
      <c r="BM738" s="10"/>
      <c r="BN738" s="10"/>
      <c r="BO738" s="10"/>
      <c r="BP738" s="10"/>
      <c r="BQ738" s="10"/>
      <c r="BR738" s="10"/>
      <c r="BS738" s="10"/>
      <c r="BT738" s="10"/>
      <c r="BU738" s="10"/>
    </row>
    <row r="739" spans="1:73" ht="18" x14ac:dyDescent="0.35">
      <c r="A739" s="43"/>
      <c r="C739" s="393"/>
      <c r="E739" s="394"/>
      <c r="F739" s="394"/>
      <c r="G739" s="394"/>
      <c r="H739" s="8" t="s">
        <v>61</v>
      </c>
      <c r="I739" s="368">
        <f t="shared" si="34"/>
        <v>0</v>
      </c>
      <c r="J739" s="365">
        <f t="shared" si="33"/>
        <v>0</v>
      </c>
      <c r="K739" s="369">
        <f t="shared" si="35"/>
        <v>6</v>
      </c>
      <c r="L739" s="369">
        <f>+IF((C739&gt;='Resultats - informe'!$E$16)*(C739&lt;='Resultats - informe'!$G$16),1,0)</f>
        <v>1</v>
      </c>
      <c r="M739" s="369" cm="1">
        <f t="array" ref="M739">+_xlfn.IFS((C739&gt;='Resultats - informe'!$D$26)*(C739&lt;='Resultats - informe'!$E$26),0,(C739&gt;='Resultats - informe'!$D$27)*(C739&lt;='Resultats - informe'!$E$27),0,(C739&gt;='Resultats - informe'!$D$28)*(C739&lt;='Resultats - informe'!$E$28),0,(C739&gt;='Resultats - informe'!$D$29)*(C739&lt;='Resultats - informe'!$E$29),0,1,1)</f>
        <v>0</v>
      </c>
      <c r="N739" s="366">
        <f>+VLOOKUP(D739,'Resultats - informe'!$Y$18:$AG$42,'Introducció dades consum'!K739+1,0)</f>
        <v>0</v>
      </c>
      <c r="O739" s="370" cm="1">
        <f t="array" ref="O739">+_xlfn.SWITCH(MONTH(C739),1,1,2,1,3,1,4,2,5,2,6,3,7,3,8,3,9,3,10,2,11,2,12,1,2)</f>
        <v>1</v>
      </c>
      <c r="P739" s="43"/>
      <c r="AS739" s="10"/>
      <c r="AT739" s="10"/>
      <c r="AU739" s="10"/>
      <c r="AV739" s="10"/>
      <c r="AW739" s="10"/>
      <c r="AX739" s="10"/>
      <c r="AY739" s="10"/>
      <c r="AZ739" s="10"/>
      <c r="BA739" s="10"/>
      <c r="BB739" s="10"/>
      <c r="BC739" s="10"/>
      <c r="BD739" s="10"/>
      <c r="BE739" s="10"/>
      <c r="BF739" s="10"/>
      <c r="BG739" s="10"/>
      <c r="BH739" s="10"/>
      <c r="BI739" s="10"/>
      <c r="BJ739" s="10"/>
      <c r="BK739" s="10"/>
      <c r="BL739" s="10"/>
      <c r="BM739" s="10"/>
      <c r="BN739" s="10"/>
      <c r="BO739" s="10"/>
      <c r="BP739" s="10"/>
      <c r="BQ739" s="10"/>
      <c r="BR739" s="10"/>
      <c r="BS739" s="10"/>
      <c r="BT739" s="10"/>
      <c r="BU739" s="10"/>
    </row>
    <row r="740" spans="1:73" ht="18" x14ac:dyDescent="0.35">
      <c r="A740" s="43"/>
      <c r="C740" s="393"/>
      <c r="E740" s="394"/>
      <c r="F740" s="394"/>
      <c r="G740" s="394"/>
      <c r="H740" s="8" t="s">
        <v>61</v>
      </c>
      <c r="I740" s="368">
        <f t="shared" si="34"/>
        <v>0</v>
      </c>
      <c r="J740" s="365">
        <f t="shared" si="33"/>
        <v>0</v>
      </c>
      <c r="K740" s="369">
        <f t="shared" si="35"/>
        <v>6</v>
      </c>
      <c r="L740" s="369">
        <f>+IF((C740&gt;='Resultats - informe'!$E$16)*(C740&lt;='Resultats - informe'!$G$16),1,0)</f>
        <v>1</v>
      </c>
      <c r="M740" s="369" cm="1">
        <f t="array" ref="M740">+_xlfn.IFS((C740&gt;='Resultats - informe'!$D$26)*(C740&lt;='Resultats - informe'!$E$26),0,(C740&gt;='Resultats - informe'!$D$27)*(C740&lt;='Resultats - informe'!$E$27),0,(C740&gt;='Resultats - informe'!$D$28)*(C740&lt;='Resultats - informe'!$E$28),0,(C740&gt;='Resultats - informe'!$D$29)*(C740&lt;='Resultats - informe'!$E$29),0,1,1)</f>
        <v>0</v>
      </c>
      <c r="N740" s="366">
        <f>+VLOOKUP(D740,'Resultats - informe'!$Y$18:$AG$42,'Introducció dades consum'!K740+1,0)</f>
        <v>0</v>
      </c>
      <c r="O740" s="370" cm="1">
        <f t="array" ref="O740">+_xlfn.SWITCH(MONTH(C740),1,1,2,1,3,1,4,2,5,2,6,3,7,3,8,3,9,3,10,2,11,2,12,1,2)</f>
        <v>1</v>
      </c>
      <c r="P740" s="43"/>
      <c r="AS740" s="10"/>
      <c r="AT740" s="10"/>
      <c r="AU740" s="10"/>
      <c r="AV740" s="10"/>
      <c r="AW740" s="10"/>
      <c r="AX740" s="10"/>
      <c r="AY740" s="10"/>
      <c r="AZ740" s="10"/>
      <c r="BA740" s="10"/>
      <c r="BB740" s="10"/>
      <c r="BC740" s="10"/>
      <c r="BD740" s="10"/>
      <c r="BE740" s="10"/>
      <c r="BF740" s="10"/>
      <c r="BG740" s="10"/>
      <c r="BH740" s="10"/>
      <c r="BI740" s="10"/>
      <c r="BJ740" s="10"/>
      <c r="BK740" s="10"/>
      <c r="BL740" s="10"/>
      <c r="BM740" s="10"/>
      <c r="BN740" s="10"/>
      <c r="BO740" s="10"/>
      <c r="BP740" s="10"/>
      <c r="BQ740" s="10"/>
      <c r="BR740" s="10"/>
      <c r="BS740" s="10"/>
      <c r="BT740" s="10"/>
      <c r="BU740" s="10"/>
    </row>
    <row r="741" spans="1:73" ht="18" x14ac:dyDescent="0.35">
      <c r="A741" s="43"/>
      <c r="C741" s="393"/>
      <c r="E741" s="394"/>
      <c r="F741" s="394"/>
      <c r="G741" s="394"/>
      <c r="H741" s="8" t="s">
        <v>61</v>
      </c>
      <c r="I741" s="368">
        <f t="shared" si="34"/>
        <v>0</v>
      </c>
      <c r="J741" s="365">
        <f t="shared" si="33"/>
        <v>0</v>
      </c>
      <c r="K741" s="369">
        <f t="shared" si="35"/>
        <v>6</v>
      </c>
      <c r="L741" s="369">
        <f>+IF((C741&gt;='Resultats - informe'!$E$16)*(C741&lt;='Resultats - informe'!$G$16),1,0)</f>
        <v>1</v>
      </c>
      <c r="M741" s="369" cm="1">
        <f t="array" ref="M741">+_xlfn.IFS((C741&gt;='Resultats - informe'!$D$26)*(C741&lt;='Resultats - informe'!$E$26),0,(C741&gt;='Resultats - informe'!$D$27)*(C741&lt;='Resultats - informe'!$E$27),0,(C741&gt;='Resultats - informe'!$D$28)*(C741&lt;='Resultats - informe'!$E$28),0,(C741&gt;='Resultats - informe'!$D$29)*(C741&lt;='Resultats - informe'!$E$29),0,1,1)</f>
        <v>0</v>
      </c>
      <c r="N741" s="366">
        <f>+VLOOKUP(D741,'Resultats - informe'!$Y$18:$AG$42,'Introducció dades consum'!K741+1,0)</f>
        <v>0</v>
      </c>
      <c r="O741" s="370" cm="1">
        <f t="array" ref="O741">+_xlfn.SWITCH(MONTH(C741),1,1,2,1,3,1,4,2,5,2,6,3,7,3,8,3,9,3,10,2,11,2,12,1,2)</f>
        <v>1</v>
      </c>
      <c r="P741" s="43"/>
      <c r="AS741" s="10"/>
      <c r="AT741" s="10"/>
      <c r="AU741" s="10"/>
      <c r="AV741" s="10"/>
      <c r="AW741" s="10"/>
      <c r="AX741" s="10"/>
      <c r="AY741" s="10"/>
      <c r="AZ741" s="10"/>
      <c r="BA741" s="10"/>
      <c r="BB741" s="10"/>
      <c r="BC741" s="10"/>
      <c r="BD741" s="10"/>
      <c r="BE741" s="10"/>
      <c r="BF741" s="10"/>
      <c r="BG741" s="10"/>
      <c r="BH741" s="10"/>
      <c r="BI741" s="10"/>
      <c r="BJ741" s="10"/>
      <c r="BK741" s="10"/>
      <c r="BL741" s="10"/>
      <c r="BM741" s="10"/>
      <c r="BN741" s="10"/>
      <c r="BO741" s="10"/>
      <c r="BP741" s="10"/>
      <c r="BQ741" s="10"/>
      <c r="BR741" s="10"/>
      <c r="BS741" s="10"/>
      <c r="BT741" s="10"/>
      <c r="BU741" s="10"/>
    </row>
    <row r="742" spans="1:73" ht="18" x14ac:dyDescent="0.35">
      <c r="A742" s="43"/>
      <c r="C742" s="393"/>
      <c r="E742" s="394"/>
      <c r="F742" s="394"/>
      <c r="G742" s="394"/>
      <c r="H742" s="8" t="s">
        <v>61</v>
      </c>
      <c r="I742" s="368">
        <f t="shared" si="34"/>
        <v>0</v>
      </c>
      <c r="J742" s="365">
        <f t="shared" si="33"/>
        <v>0</v>
      </c>
      <c r="K742" s="369">
        <f t="shared" si="35"/>
        <v>6</v>
      </c>
      <c r="L742" s="369">
        <f>+IF((C742&gt;='Resultats - informe'!$E$16)*(C742&lt;='Resultats - informe'!$G$16),1,0)</f>
        <v>1</v>
      </c>
      <c r="M742" s="369" cm="1">
        <f t="array" ref="M742">+_xlfn.IFS((C742&gt;='Resultats - informe'!$D$26)*(C742&lt;='Resultats - informe'!$E$26),0,(C742&gt;='Resultats - informe'!$D$27)*(C742&lt;='Resultats - informe'!$E$27),0,(C742&gt;='Resultats - informe'!$D$28)*(C742&lt;='Resultats - informe'!$E$28),0,(C742&gt;='Resultats - informe'!$D$29)*(C742&lt;='Resultats - informe'!$E$29),0,1,1)</f>
        <v>0</v>
      </c>
      <c r="N742" s="366">
        <f>+VLOOKUP(D742,'Resultats - informe'!$Y$18:$AG$42,'Introducció dades consum'!K742+1,0)</f>
        <v>0</v>
      </c>
      <c r="O742" s="370" cm="1">
        <f t="array" ref="O742">+_xlfn.SWITCH(MONTH(C742),1,1,2,1,3,1,4,2,5,2,6,3,7,3,8,3,9,3,10,2,11,2,12,1,2)</f>
        <v>1</v>
      </c>
      <c r="P742" s="43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"/>
      <c r="BD742" s="10"/>
      <c r="BE742" s="10"/>
      <c r="BF742" s="10"/>
      <c r="BG742" s="10"/>
      <c r="BH742" s="10"/>
      <c r="BI742" s="10"/>
      <c r="BJ742" s="10"/>
      <c r="BK742" s="10"/>
      <c r="BL742" s="10"/>
      <c r="BM742" s="10"/>
      <c r="BN742" s="10"/>
      <c r="BO742" s="10"/>
      <c r="BP742" s="10"/>
      <c r="BQ742" s="10"/>
      <c r="BR742" s="10"/>
      <c r="BS742" s="10"/>
      <c r="BT742" s="10"/>
      <c r="BU742" s="10"/>
    </row>
    <row r="743" spans="1:73" ht="18" x14ac:dyDescent="0.35">
      <c r="A743" s="43"/>
      <c r="C743" s="393"/>
      <c r="E743" s="394"/>
      <c r="F743" s="394"/>
      <c r="G743" s="394"/>
      <c r="H743" s="8" t="s">
        <v>61</v>
      </c>
      <c r="I743" s="368">
        <f t="shared" si="34"/>
        <v>0</v>
      </c>
      <c r="J743" s="365">
        <f t="shared" si="33"/>
        <v>0</v>
      </c>
      <c r="K743" s="369">
        <f t="shared" si="35"/>
        <v>6</v>
      </c>
      <c r="L743" s="369">
        <f>+IF((C743&gt;='Resultats - informe'!$E$16)*(C743&lt;='Resultats - informe'!$G$16),1,0)</f>
        <v>1</v>
      </c>
      <c r="M743" s="369" cm="1">
        <f t="array" ref="M743">+_xlfn.IFS((C743&gt;='Resultats - informe'!$D$26)*(C743&lt;='Resultats - informe'!$E$26),0,(C743&gt;='Resultats - informe'!$D$27)*(C743&lt;='Resultats - informe'!$E$27),0,(C743&gt;='Resultats - informe'!$D$28)*(C743&lt;='Resultats - informe'!$E$28),0,(C743&gt;='Resultats - informe'!$D$29)*(C743&lt;='Resultats - informe'!$E$29),0,1,1)</f>
        <v>0</v>
      </c>
      <c r="N743" s="366">
        <f>+VLOOKUP(D743,'Resultats - informe'!$Y$18:$AG$42,'Introducció dades consum'!K743+1,0)</f>
        <v>0</v>
      </c>
      <c r="O743" s="370" cm="1">
        <f t="array" ref="O743">+_xlfn.SWITCH(MONTH(C743),1,1,2,1,3,1,4,2,5,2,6,3,7,3,8,3,9,3,10,2,11,2,12,1,2)</f>
        <v>1</v>
      </c>
      <c r="P743" s="43"/>
      <c r="AS743" s="10"/>
      <c r="AT743" s="10"/>
      <c r="AU743" s="10"/>
      <c r="AV743" s="10"/>
      <c r="AW743" s="10"/>
      <c r="AX743" s="10"/>
      <c r="AY743" s="10"/>
      <c r="AZ743" s="10"/>
      <c r="BA743" s="10"/>
      <c r="BB743" s="10"/>
      <c r="BC743" s="10"/>
      <c r="BD743" s="10"/>
      <c r="BE743" s="10"/>
      <c r="BF743" s="10"/>
      <c r="BG743" s="10"/>
      <c r="BH743" s="10"/>
      <c r="BI743" s="10"/>
      <c r="BJ743" s="10"/>
      <c r="BK743" s="10"/>
      <c r="BL743" s="10"/>
      <c r="BM743" s="10"/>
      <c r="BN743" s="10"/>
      <c r="BO743" s="10"/>
      <c r="BP743" s="10"/>
      <c r="BQ743" s="10"/>
      <c r="BR743" s="10"/>
      <c r="BS743" s="10"/>
      <c r="BT743" s="10"/>
      <c r="BU743" s="10"/>
    </row>
    <row r="744" spans="1:73" ht="18" x14ac:dyDescent="0.35">
      <c r="A744" s="43"/>
      <c r="C744" s="393"/>
      <c r="E744" s="394"/>
      <c r="F744" s="394"/>
      <c r="G744" s="394"/>
      <c r="H744" s="8" t="s">
        <v>61</v>
      </c>
      <c r="I744" s="368">
        <f t="shared" si="34"/>
        <v>0</v>
      </c>
      <c r="J744" s="365">
        <f t="shared" si="33"/>
        <v>0</v>
      </c>
      <c r="K744" s="369">
        <f t="shared" si="35"/>
        <v>6</v>
      </c>
      <c r="L744" s="369">
        <f>+IF((C744&gt;='Resultats - informe'!$E$16)*(C744&lt;='Resultats - informe'!$G$16),1,0)</f>
        <v>1</v>
      </c>
      <c r="M744" s="369" cm="1">
        <f t="array" ref="M744">+_xlfn.IFS((C744&gt;='Resultats - informe'!$D$26)*(C744&lt;='Resultats - informe'!$E$26),0,(C744&gt;='Resultats - informe'!$D$27)*(C744&lt;='Resultats - informe'!$E$27),0,(C744&gt;='Resultats - informe'!$D$28)*(C744&lt;='Resultats - informe'!$E$28),0,(C744&gt;='Resultats - informe'!$D$29)*(C744&lt;='Resultats - informe'!$E$29),0,1,1)</f>
        <v>0</v>
      </c>
      <c r="N744" s="366">
        <f>+VLOOKUP(D744,'Resultats - informe'!$Y$18:$AG$42,'Introducció dades consum'!K744+1,0)</f>
        <v>0</v>
      </c>
      <c r="O744" s="370" cm="1">
        <f t="array" ref="O744">+_xlfn.SWITCH(MONTH(C744),1,1,2,1,3,1,4,2,5,2,6,3,7,3,8,3,9,3,10,2,11,2,12,1,2)</f>
        <v>1</v>
      </c>
      <c r="P744" s="43"/>
      <c r="AS744" s="10"/>
      <c r="AT744" s="10"/>
      <c r="AU744" s="10"/>
      <c r="AV744" s="10"/>
      <c r="AW744" s="10"/>
      <c r="AX744" s="10"/>
      <c r="AY744" s="10"/>
      <c r="AZ744" s="10"/>
      <c r="BA744" s="10"/>
      <c r="BB744" s="10"/>
      <c r="BC744" s="10"/>
      <c r="BD744" s="10"/>
      <c r="BE744" s="10"/>
      <c r="BF744" s="10"/>
      <c r="BG744" s="10"/>
      <c r="BH744" s="10"/>
      <c r="BI744" s="10"/>
      <c r="BJ744" s="10"/>
      <c r="BK744" s="10"/>
      <c r="BL744" s="10"/>
      <c r="BM744" s="10"/>
      <c r="BN744" s="10"/>
      <c r="BO744" s="10"/>
      <c r="BP744" s="10"/>
      <c r="BQ744" s="10"/>
      <c r="BR744" s="10"/>
      <c r="BS744" s="10"/>
      <c r="BT744" s="10"/>
      <c r="BU744" s="10"/>
    </row>
    <row r="745" spans="1:73" ht="18" x14ac:dyDescent="0.35">
      <c r="A745" s="43"/>
      <c r="C745" s="393"/>
      <c r="E745" s="394"/>
      <c r="F745" s="394"/>
      <c r="G745" s="394"/>
      <c r="H745" s="8" t="s">
        <v>61</v>
      </c>
      <c r="I745" s="368">
        <f t="shared" si="34"/>
        <v>0</v>
      </c>
      <c r="J745" s="365">
        <f t="shared" si="33"/>
        <v>0</v>
      </c>
      <c r="K745" s="369">
        <f t="shared" si="35"/>
        <v>6</v>
      </c>
      <c r="L745" s="369">
        <f>+IF((C745&gt;='Resultats - informe'!$E$16)*(C745&lt;='Resultats - informe'!$G$16),1,0)</f>
        <v>1</v>
      </c>
      <c r="M745" s="369" cm="1">
        <f t="array" ref="M745">+_xlfn.IFS((C745&gt;='Resultats - informe'!$D$26)*(C745&lt;='Resultats - informe'!$E$26),0,(C745&gt;='Resultats - informe'!$D$27)*(C745&lt;='Resultats - informe'!$E$27),0,(C745&gt;='Resultats - informe'!$D$28)*(C745&lt;='Resultats - informe'!$E$28),0,(C745&gt;='Resultats - informe'!$D$29)*(C745&lt;='Resultats - informe'!$E$29),0,1,1)</f>
        <v>0</v>
      </c>
      <c r="N745" s="366">
        <f>+VLOOKUP(D745,'Resultats - informe'!$Y$18:$AG$42,'Introducció dades consum'!K745+1,0)</f>
        <v>0</v>
      </c>
      <c r="O745" s="370" cm="1">
        <f t="array" ref="O745">+_xlfn.SWITCH(MONTH(C745),1,1,2,1,3,1,4,2,5,2,6,3,7,3,8,3,9,3,10,2,11,2,12,1,2)</f>
        <v>1</v>
      </c>
      <c r="P745" s="43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"/>
      <c r="BD745" s="10"/>
      <c r="BE745" s="10"/>
      <c r="BF745" s="10"/>
      <c r="BG745" s="10"/>
      <c r="BH745" s="10"/>
      <c r="BI745" s="10"/>
      <c r="BJ745" s="10"/>
      <c r="BK745" s="10"/>
      <c r="BL745" s="10"/>
      <c r="BM745" s="10"/>
      <c r="BN745" s="10"/>
      <c r="BO745" s="10"/>
      <c r="BP745" s="10"/>
      <c r="BQ745" s="10"/>
      <c r="BR745" s="10"/>
      <c r="BS745" s="10"/>
      <c r="BT745" s="10"/>
      <c r="BU745" s="10"/>
    </row>
    <row r="746" spans="1:73" ht="18" x14ac:dyDescent="0.35">
      <c r="A746" s="43"/>
      <c r="C746" s="393"/>
      <c r="E746" s="394"/>
      <c r="F746" s="394"/>
      <c r="G746" s="394"/>
      <c r="H746" s="8" t="s">
        <v>61</v>
      </c>
      <c r="I746" s="368">
        <f t="shared" si="34"/>
        <v>0</v>
      </c>
      <c r="J746" s="365">
        <f t="shared" si="33"/>
        <v>0</v>
      </c>
      <c r="K746" s="369">
        <f t="shared" si="35"/>
        <v>6</v>
      </c>
      <c r="L746" s="369">
        <f>+IF((C746&gt;='Resultats - informe'!$E$16)*(C746&lt;='Resultats - informe'!$G$16),1,0)</f>
        <v>1</v>
      </c>
      <c r="M746" s="369" cm="1">
        <f t="array" ref="M746">+_xlfn.IFS((C746&gt;='Resultats - informe'!$D$26)*(C746&lt;='Resultats - informe'!$E$26),0,(C746&gt;='Resultats - informe'!$D$27)*(C746&lt;='Resultats - informe'!$E$27),0,(C746&gt;='Resultats - informe'!$D$28)*(C746&lt;='Resultats - informe'!$E$28),0,(C746&gt;='Resultats - informe'!$D$29)*(C746&lt;='Resultats - informe'!$E$29),0,1,1)</f>
        <v>0</v>
      </c>
      <c r="N746" s="366">
        <f>+VLOOKUP(D746,'Resultats - informe'!$Y$18:$AG$42,'Introducció dades consum'!K746+1,0)</f>
        <v>0</v>
      </c>
      <c r="O746" s="370" cm="1">
        <f t="array" ref="O746">+_xlfn.SWITCH(MONTH(C746),1,1,2,1,3,1,4,2,5,2,6,3,7,3,8,3,9,3,10,2,11,2,12,1,2)</f>
        <v>1</v>
      </c>
      <c r="P746" s="43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"/>
      <c r="BD746" s="10"/>
      <c r="BE746" s="10"/>
      <c r="BF746" s="10"/>
      <c r="BG746" s="10"/>
      <c r="BH746" s="10"/>
      <c r="BI746" s="10"/>
      <c r="BJ746" s="10"/>
      <c r="BK746" s="10"/>
      <c r="BL746" s="10"/>
      <c r="BM746" s="10"/>
      <c r="BN746" s="10"/>
      <c r="BO746" s="10"/>
      <c r="BP746" s="10"/>
      <c r="BQ746" s="10"/>
      <c r="BR746" s="10"/>
      <c r="BS746" s="10"/>
      <c r="BT746" s="10"/>
      <c r="BU746" s="10"/>
    </row>
    <row r="747" spans="1:73" ht="18" x14ac:dyDescent="0.35">
      <c r="A747" s="43"/>
      <c r="C747" s="393"/>
      <c r="E747" s="394"/>
      <c r="F747" s="394"/>
      <c r="G747" s="394"/>
      <c r="H747" s="8" t="s">
        <v>61</v>
      </c>
      <c r="I747" s="368">
        <f t="shared" si="34"/>
        <v>0</v>
      </c>
      <c r="J747" s="365">
        <f t="shared" si="33"/>
        <v>0</v>
      </c>
      <c r="K747" s="369">
        <f t="shared" si="35"/>
        <v>6</v>
      </c>
      <c r="L747" s="369">
        <f>+IF((C747&gt;='Resultats - informe'!$E$16)*(C747&lt;='Resultats - informe'!$G$16),1,0)</f>
        <v>1</v>
      </c>
      <c r="M747" s="369" cm="1">
        <f t="array" ref="M747">+_xlfn.IFS((C747&gt;='Resultats - informe'!$D$26)*(C747&lt;='Resultats - informe'!$E$26),0,(C747&gt;='Resultats - informe'!$D$27)*(C747&lt;='Resultats - informe'!$E$27),0,(C747&gt;='Resultats - informe'!$D$28)*(C747&lt;='Resultats - informe'!$E$28),0,(C747&gt;='Resultats - informe'!$D$29)*(C747&lt;='Resultats - informe'!$E$29),0,1,1)</f>
        <v>0</v>
      </c>
      <c r="N747" s="366">
        <f>+VLOOKUP(D747,'Resultats - informe'!$Y$18:$AG$42,'Introducció dades consum'!K747+1,0)</f>
        <v>0</v>
      </c>
      <c r="O747" s="370" cm="1">
        <f t="array" ref="O747">+_xlfn.SWITCH(MONTH(C747),1,1,2,1,3,1,4,2,5,2,6,3,7,3,8,3,9,3,10,2,11,2,12,1,2)</f>
        <v>1</v>
      </c>
      <c r="P747" s="43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"/>
      <c r="BD747" s="10"/>
      <c r="BE747" s="10"/>
      <c r="BF747" s="10"/>
      <c r="BG747" s="10"/>
      <c r="BH747" s="10"/>
      <c r="BI747" s="10"/>
      <c r="BJ747" s="10"/>
      <c r="BK747" s="10"/>
      <c r="BL747" s="10"/>
      <c r="BM747" s="10"/>
      <c r="BN747" s="10"/>
      <c r="BO747" s="10"/>
      <c r="BP747" s="10"/>
      <c r="BQ747" s="10"/>
      <c r="BR747" s="10"/>
      <c r="BS747" s="10"/>
      <c r="BT747" s="10"/>
      <c r="BU747" s="10"/>
    </row>
    <row r="748" spans="1:73" ht="18" x14ac:dyDescent="0.35">
      <c r="A748" s="43"/>
      <c r="C748" s="393"/>
      <c r="E748" s="394"/>
      <c r="F748" s="394"/>
      <c r="G748" s="394"/>
      <c r="H748" s="8" t="s">
        <v>61</v>
      </c>
      <c r="I748" s="368">
        <f t="shared" si="34"/>
        <v>0</v>
      </c>
      <c r="J748" s="365">
        <f t="shared" si="33"/>
        <v>0</v>
      </c>
      <c r="K748" s="369">
        <f t="shared" si="35"/>
        <v>6</v>
      </c>
      <c r="L748" s="369">
        <f>+IF((C748&gt;='Resultats - informe'!$E$16)*(C748&lt;='Resultats - informe'!$G$16),1,0)</f>
        <v>1</v>
      </c>
      <c r="M748" s="369" cm="1">
        <f t="array" ref="M748">+_xlfn.IFS((C748&gt;='Resultats - informe'!$D$26)*(C748&lt;='Resultats - informe'!$E$26),0,(C748&gt;='Resultats - informe'!$D$27)*(C748&lt;='Resultats - informe'!$E$27),0,(C748&gt;='Resultats - informe'!$D$28)*(C748&lt;='Resultats - informe'!$E$28),0,(C748&gt;='Resultats - informe'!$D$29)*(C748&lt;='Resultats - informe'!$E$29),0,1,1)</f>
        <v>0</v>
      </c>
      <c r="N748" s="366">
        <f>+VLOOKUP(D748,'Resultats - informe'!$Y$18:$AG$42,'Introducció dades consum'!K748+1,0)</f>
        <v>0</v>
      </c>
      <c r="O748" s="370" cm="1">
        <f t="array" ref="O748">+_xlfn.SWITCH(MONTH(C748),1,1,2,1,3,1,4,2,5,2,6,3,7,3,8,3,9,3,10,2,11,2,12,1,2)</f>
        <v>1</v>
      </c>
      <c r="P748" s="43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"/>
      <c r="BD748" s="10"/>
      <c r="BE748" s="10"/>
      <c r="BF748" s="10"/>
      <c r="BG748" s="10"/>
      <c r="BH748" s="10"/>
      <c r="BI748" s="10"/>
      <c r="BJ748" s="10"/>
      <c r="BK748" s="10"/>
      <c r="BL748" s="10"/>
      <c r="BM748" s="10"/>
      <c r="BN748" s="10"/>
      <c r="BO748" s="10"/>
      <c r="BP748" s="10"/>
      <c r="BQ748" s="10"/>
      <c r="BR748" s="10"/>
      <c r="BS748" s="10"/>
      <c r="BT748" s="10"/>
      <c r="BU748" s="10"/>
    </row>
    <row r="749" spans="1:73" ht="18" x14ac:dyDescent="0.35">
      <c r="A749" s="43"/>
      <c r="C749" s="393"/>
      <c r="E749" s="394"/>
      <c r="F749" s="394">
        <v>0</v>
      </c>
      <c r="G749" s="394"/>
      <c r="H749" s="8" t="s">
        <v>235</v>
      </c>
      <c r="I749" s="368">
        <f t="shared" si="34"/>
        <v>0</v>
      </c>
      <c r="J749" s="365">
        <f t="shared" si="33"/>
        <v>0</v>
      </c>
      <c r="K749" s="369">
        <f t="shared" si="35"/>
        <v>6</v>
      </c>
      <c r="L749" s="369">
        <f>+IF((C749&gt;='Resultats - informe'!$E$16)*(C749&lt;='Resultats - informe'!$G$16),1,0)</f>
        <v>1</v>
      </c>
      <c r="M749" s="369" cm="1">
        <f t="array" ref="M749">+_xlfn.IFS((C749&gt;='Resultats - informe'!$D$26)*(C749&lt;='Resultats - informe'!$E$26),0,(C749&gt;='Resultats - informe'!$D$27)*(C749&lt;='Resultats - informe'!$E$27),0,(C749&gt;='Resultats - informe'!$D$28)*(C749&lt;='Resultats - informe'!$E$28),0,(C749&gt;='Resultats - informe'!$D$29)*(C749&lt;='Resultats - informe'!$E$29),0,1,1)</f>
        <v>0</v>
      </c>
      <c r="N749" s="366">
        <f>+VLOOKUP(D749,'Resultats - informe'!$Y$18:$AG$42,'Introducció dades consum'!K749+1,0)</f>
        <v>0</v>
      </c>
      <c r="O749" s="370" cm="1">
        <f t="array" ref="O749">+_xlfn.SWITCH(MONTH(C749),1,1,2,1,3,1,4,2,5,2,6,3,7,3,8,3,9,3,10,2,11,2,12,1,2)</f>
        <v>1</v>
      </c>
      <c r="P749" s="43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"/>
      <c r="BD749" s="10"/>
      <c r="BE749" s="10"/>
      <c r="BF749" s="10"/>
      <c r="BG749" s="10"/>
      <c r="BH749" s="10"/>
      <c r="BI749" s="10"/>
      <c r="BJ749" s="10"/>
      <c r="BK749" s="10"/>
      <c r="BL749" s="10"/>
      <c r="BM749" s="10"/>
      <c r="BN749" s="10"/>
      <c r="BO749" s="10"/>
      <c r="BP749" s="10"/>
      <c r="BQ749" s="10"/>
      <c r="BR749" s="10"/>
      <c r="BS749" s="10"/>
      <c r="BT749" s="10"/>
      <c r="BU749" s="10"/>
    </row>
    <row r="750" spans="1:73" ht="18" x14ac:dyDescent="0.35">
      <c r="A750" s="43"/>
      <c r="C750" s="393"/>
      <c r="E750" s="394"/>
      <c r="F750" s="394">
        <v>0</v>
      </c>
      <c r="G750" s="394"/>
      <c r="H750" s="8" t="s">
        <v>235</v>
      </c>
      <c r="I750" s="368">
        <f t="shared" si="34"/>
        <v>0</v>
      </c>
      <c r="J750" s="365">
        <f t="shared" si="33"/>
        <v>0</v>
      </c>
      <c r="K750" s="369">
        <f t="shared" si="35"/>
        <v>6</v>
      </c>
      <c r="L750" s="369">
        <f>+IF((C750&gt;='Resultats - informe'!$E$16)*(C750&lt;='Resultats - informe'!$G$16),1,0)</f>
        <v>1</v>
      </c>
      <c r="M750" s="369" cm="1">
        <f t="array" ref="M750">+_xlfn.IFS((C750&gt;='Resultats - informe'!$D$26)*(C750&lt;='Resultats - informe'!$E$26),0,(C750&gt;='Resultats - informe'!$D$27)*(C750&lt;='Resultats - informe'!$E$27),0,(C750&gt;='Resultats - informe'!$D$28)*(C750&lt;='Resultats - informe'!$E$28),0,(C750&gt;='Resultats - informe'!$D$29)*(C750&lt;='Resultats - informe'!$E$29),0,1,1)</f>
        <v>0</v>
      </c>
      <c r="N750" s="366">
        <f>+VLOOKUP(D750,'Resultats - informe'!$Y$18:$AG$42,'Introducció dades consum'!K750+1,0)</f>
        <v>0</v>
      </c>
      <c r="O750" s="370" cm="1">
        <f t="array" ref="O750">+_xlfn.SWITCH(MONTH(C750),1,1,2,1,3,1,4,2,5,2,6,3,7,3,8,3,9,3,10,2,11,2,12,1,2)</f>
        <v>1</v>
      </c>
      <c r="P750" s="43"/>
      <c r="AS750" s="10"/>
      <c r="AT750" s="10"/>
      <c r="AU750" s="10"/>
      <c r="AV750" s="10"/>
      <c r="AW750" s="10"/>
      <c r="AX750" s="10"/>
      <c r="AY750" s="10"/>
      <c r="AZ750" s="10"/>
      <c r="BA750" s="10"/>
      <c r="BB750" s="10"/>
      <c r="BC750" s="10"/>
      <c r="BD750" s="10"/>
      <c r="BE750" s="10"/>
      <c r="BF750" s="10"/>
      <c r="BG750" s="10"/>
      <c r="BH750" s="10"/>
      <c r="BI750" s="10"/>
      <c r="BJ750" s="10"/>
      <c r="BK750" s="10"/>
      <c r="BL750" s="10"/>
      <c r="BM750" s="10"/>
      <c r="BN750" s="10"/>
      <c r="BO750" s="10"/>
      <c r="BP750" s="10"/>
      <c r="BQ750" s="10"/>
      <c r="BR750" s="10"/>
      <c r="BS750" s="10"/>
      <c r="BT750" s="10"/>
      <c r="BU750" s="10"/>
    </row>
    <row r="751" spans="1:73" ht="18" x14ac:dyDescent="0.35">
      <c r="A751" s="43"/>
      <c r="C751" s="393"/>
      <c r="E751" s="394"/>
      <c r="F751" s="394">
        <v>0</v>
      </c>
      <c r="G751" s="394"/>
      <c r="H751" s="8" t="s">
        <v>235</v>
      </c>
      <c r="I751" s="368">
        <f t="shared" si="34"/>
        <v>0</v>
      </c>
      <c r="J751" s="365">
        <f t="shared" si="33"/>
        <v>0</v>
      </c>
      <c r="K751" s="369">
        <f t="shared" si="35"/>
        <v>6</v>
      </c>
      <c r="L751" s="369">
        <f>+IF((C751&gt;='Resultats - informe'!$E$16)*(C751&lt;='Resultats - informe'!$G$16),1,0)</f>
        <v>1</v>
      </c>
      <c r="M751" s="369" cm="1">
        <f t="array" ref="M751">+_xlfn.IFS((C751&gt;='Resultats - informe'!$D$26)*(C751&lt;='Resultats - informe'!$E$26),0,(C751&gt;='Resultats - informe'!$D$27)*(C751&lt;='Resultats - informe'!$E$27),0,(C751&gt;='Resultats - informe'!$D$28)*(C751&lt;='Resultats - informe'!$E$28),0,(C751&gt;='Resultats - informe'!$D$29)*(C751&lt;='Resultats - informe'!$E$29),0,1,1)</f>
        <v>0</v>
      </c>
      <c r="N751" s="366">
        <f>+VLOOKUP(D751,'Resultats - informe'!$Y$18:$AG$42,'Introducció dades consum'!K751+1,0)</f>
        <v>0</v>
      </c>
      <c r="O751" s="370" cm="1">
        <f t="array" ref="O751">+_xlfn.SWITCH(MONTH(C751),1,1,2,1,3,1,4,2,5,2,6,3,7,3,8,3,9,3,10,2,11,2,12,1,2)</f>
        <v>1</v>
      </c>
      <c r="P751" s="43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  <c r="BE751" s="10"/>
      <c r="BF751" s="10"/>
      <c r="BG751" s="10"/>
      <c r="BH751" s="10"/>
      <c r="BI751" s="10"/>
      <c r="BJ751" s="10"/>
      <c r="BK751" s="10"/>
      <c r="BL751" s="10"/>
      <c r="BM751" s="10"/>
      <c r="BN751" s="10"/>
      <c r="BO751" s="10"/>
      <c r="BP751" s="10"/>
      <c r="BQ751" s="10"/>
      <c r="BR751" s="10"/>
      <c r="BS751" s="10"/>
      <c r="BT751" s="10"/>
      <c r="BU751" s="10"/>
    </row>
    <row r="752" spans="1:73" ht="18" x14ac:dyDescent="0.35">
      <c r="A752" s="43"/>
      <c r="C752" s="393"/>
      <c r="E752" s="394"/>
      <c r="F752" s="394">
        <v>0</v>
      </c>
      <c r="G752" s="394"/>
      <c r="H752" s="8" t="s">
        <v>235</v>
      </c>
      <c r="I752" s="368">
        <f t="shared" si="34"/>
        <v>0</v>
      </c>
      <c r="J752" s="365">
        <f t="shared" si="33"/>
        <v>0</v>
      </c>
      <c r="K752" s="369">
        <f t="shared" si="35"/>
        <v>6</v>
      </c>
      <c r="L752" s="369">
        <f>+IF((C752&gt;='Resultats - informe'!$E$16)*(C752&lt;='Resultats - informe'!$G$16),1,0)</f>
        <v>1</v>
      </c>
      <c r="M752" s="369" cm="1">
        <f t="array" ref="M752">+_xlfn.IFS((C752&gt;='Resultats - informe'!$D$26)*(C752&lt;='Resultats - informe'!$E$26),0,(C752&gt;='Resultats - informe'!$D$27)*(C752&lt;='Resultats - informe'!$E$27),0,(C752&gt;='Resultats - informe'!$D$28)*(C752&lt;='Resultats - informe'!$E$28),0,(C752&gt;='Resultats - informe'!$D$29)*(C752&lt;='Resultats - informe'!$E$29),0,1,1)</f>
        <v>0</v>
      </c>
      <c r="N752" s="366">
        <f>+VLOOKUP(D752,'Resultats - informe'!$Y$18:$AG$42,'Introducció dades consum'!K752+1,0)</f>
        <v>0</v>
      </c>
      <c r="O752" s="370" cm="1">
        <f t="array" ref="O752">+_xlfn.SWITCH(MONTH(C752),1,1,2,1,3,1,4,2,5,2,6,3,7,3,8,3,9,3,10,2,11,2,12,1,2)</f>
        <v>1</v>
      </c>
      <c r="P752" s="43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  <c r="BE752" s="10"/>
      <c r="BF752" s="10"/>
      <c r="BG752" s="10"/>
      <c r="BH752" s="10"/>
      <c r="BI752" s="10"/>
      <c r="BJ752" s="10"/>
      <c r="BK752" s="10"/>
      <c r="BL752" s="10"/>
      <c r="BM752" s="10"/>
      <c r="BN752" s="10"/>
      <c r="BO752" s="10"/>
      <c r="BP752" s="10"/>
      <c r="BQ752" s="10"/>
      <c r="BR752" s="10"/>
      <c r="BS752" s="10"/>
      <c r="BT752" s="10"/>
      <c r="BU752" s="10"/>
    </row>
    <row r="753" spans="1:73" ht="18" x14ac:dyDescent="0.35">
      <c r="A753" s="43"/>
      <c r="C753" s="393"/>
      <c r="E753" s="394"/>
      <c r="F753" s="394">
        <v>0</v>
      </c>
      <c r="G753" s="394"/>
      <c r="H753" s="8" t="s">
        <v>235</v>
      </c>
      <c r="I753" s="368">
        <f t="shared" si="34"/>
        <v>0</v>
      </c>
      <c r="J753" s="365">
        <f t="shared" si="33"/>
        <v>0</v>
      </c>
      <c r="K753" s="369">
        <f t="shared" si="35"/>
        <v>6</v>
      </c>
      <c r="L753" s="369">
        <f>+IF((C753&gt;='Resultats - informe'!$E$16)*(C753&lt;='Resultats - informe'!$G$16),1,0)</f>
        <v>1</v>
      </c>
      <c r="M753" s="369" cm="1">
        <f t="array" ref="M753">+_xlfn.IFS((C753&gt;='Resultats - informe'!$D$26)*(C753&lt;='Resultats - informe'!$E$26),0,(C753&gt;='Resultats - informe'!$D$27)*(C753&lt;='Resultats - informe'!$E$27),0,(C753&gt;='Resultats - informe'!$D$28)*(C753&lt;='Resultats - informe'!$E$28),0,(C753&gt;='Resultats - informe'!$D$29)*(C753&lt;='Resultats - informe'!$E$29),0,1,1)</f>
        <v>0</v>
      </c>
      <c r="N753" s="366">
        <f>+VLOOKUP(D753,'Resultats - informe'!$Y$18:$AG$42,'Introducció dades consum'!K753+1,0)</f>
        <v>0</v>
      </c>
      <c r="O753" s="370" cm="1">
        <f t="array" ref="O753">+_xlfn.SWITCH(MONTH(C753),1,1,2,1,3,1,4,2,5,2,6,3,7,3,8,3,9,3,10,2,11,2,12,1,2)</f>
        <v>1</v>
      </c>
      <c r="P753" s="43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"/>
      <c r="BD753" s="10"/>
      <c r="BE753" s="10"/>
      <c r="BF753" s="10"/>
      <c r="BG753" s="10"/>
      <c r="BH753" s="10"/>
      <c r="BI753" s="10"/>
      <c r="BJ753" s="10"/>
      <c r="BK753" s="10"/>
      <c r="BL753" s="10"/>
      <c r="BM753" s="10"/>
      <c r="BN753" s="10"/>
      <c r="BO753" s="10"/>
      <c r="BP753" s="10"/>
      <c r="BQ753" s="10"/>
      <c r="BR753" s="10"/>
      <c r="BS753" s="10"/>
      <c r="BT753" s="10"/>
      <c r="BU753" s="10"/>
    </row>
    <row r="754" spans="1:73" ht="18" x14ac:dyDescent="0.35">
      <c r="A754" s="43"/>
      <c r="C754" s="393"/>
      <c r="E754" s="394"/>
      <c r="F754" s="394">
        <v>0</v>
      </c>
      <c r="G754" s="394"/>
      <c r="H754" s="8" t="s">
        <v>235</v>
      </c>
      <c r="I754" s="368">
        <f t="shared" si="34"/>
        <v>0</v>
      </c>
      <c r="J754" s="365">
        <f t="shared" si="33"/>
        <v>0</v>
      </c>
      <c r="K754" s="369">
        <f t="shared" si="35"/>
        <v>6</v>
      </c>
      <c r="L754" s="369">
        <f>+IF((C754&gt;='Resultats - informe'!$E$16)*(C754&lt;='Resultats - informe'!$G$16),1,0)</f>
        <v>1</v>
      </c>
      <c r="M754" s="369" cm="1">
        <f t="array" ref="M754">+_xlfn.IFS((C754&gt;='Resultats - informe'!$D$26)*(C754&lt;='Resultats - informe'!$E$26),0,(C754&gt;='Resultats - informe'!$D$27)*(C754&lt;='Resultats - informe'!$E$27),0,(C754&gt;='Resultats - informe'!$D$28)*(C754&lt;='Resultats - informe'!$E$28),0,(C754&gt;='Resultats - informe'!$D$29)*(C754&lt;='Resultats - informe'!$E$29),0,1,1)</f>
        <v>0</v>
      </c>
      <c r="N754" s="366">
        <f>+VLOOKUP(D754,'Resultats - informe'!$Y$18:$AG$42,'Introducció dades consum'!K754+1,0)</f>
        <v>0</v>
      </c>
      <c r="O754" s="370" cm="1">
        <f t="array" ref="O754">+_xlfn.SWITCH(MONTH(C754),1,1,2,1,3,1,4,2,5,2,6,3,7,3,8,3,9,3,10,2,11,2,12,1,2)</f>
        <v>1</v>
      </c>
      <c r="P754" s="43"/>
      <c r="AS754" s="10"/>
      <c r="AT754" s="10"/>
      <c r="AU754" s="10"/>
      <c r="AV754" s="10"/>
      <c r="AW754" s="10"/>
      <c r="AX754" s="10"/>
      <c r="AY754" s="10"/>
      <c r="AZ754" s="10"/>
      <c r="BA754" s="10"/>
      <c r="BB754" s="10"/>
      <c r="BC754" s="10"/>
      <c r="BD754" s="10"/>
      <c r="BE754" s="10"/>
      <c r="BF754" s="10"/>
      <c r="BG754" s="10"/>
      <c r="BH754" s="10"/>
      <c r="BI754" s="10"/>
      <c r="BJ754" s="10"/>
      <c r="BK754" s="10"/>
      <c r="BL754" s="10"/>
      <c r="BM754" s="10"/>
      <c r="BN754" s="10"/>
      <c r="BO754" s="10"/>
      <c r="BP754" s="10"/>
      <c r="BQ754" s="10"/>
      <c r="BR754" s="10"/>
      <c r="BS754" s="10"/>
      <c r="BT754" s="10"/>
      <c r="BU754" s="10"/>
    </row>
    <row r="755" spans="1:73" ht="18" x14ac:dyDescent="0.35">
      <c r="A755" s="43"/>
      <c r="C755" s="393"/>
      <c r="E755" s="394"/>
      <c r="F755" s="394">
        <v>0</v>
      </c>
      <c r="G755" s="394"/>
      <c r="H755" s="8" t="s">
        <v>235</v>
      </c>
      <c r="I755" s="368">
        <f t="shared" si="34"/>
        <v>0</v>
      </c>
      <c r="J755" s="365">
        <f t="shared" si="33"/>
        <v>0</v>
      </c>
      <c r="K755" s="369">
        <f t="shared" si="35"/>
        <v>6</v>
      </c>
      <c r="L755" s="369">
        <f>+IF((C755&gt;='Resultats - informe'!$E$16)*(C755&lt;='Resultats - informe'!$G$16),1,0)</f>
        <v>1</v>
      </c>
      <c r="M755" s="369" cm="1">
        <f t="array" ref="M755">+_xlfn.IFS((C755&gt;='Resultats - informe'!$D$26)*(C755&lt;='Resultats - informe'!$E$26),0,(C755&gt;='Resultats - informe'!$D$27)*(C755&lt;='Resultats - informe'!$E$27),0,(C755&gt;='Resultats - informe'!$D$28)*(C755&lt;='Resultats - informe'!$E$28),0,(C755&gt;='Resultats - informe'!$D$29)*(C755&lt;='Resultats - informe'!$E$29),0,1,1)</f>
        <v>0</v>
      </c>
      <c r="N755" s="366">
        <f>+VLOOKUP(D755,'Resultats - informe'!$Y$18:$AG$42,'Introducció dades consum'!K755+1,0)</f>
        <v>0</v>
      </c>
      <c r="O755" s="370" cm="1">
        <f t="array" ref="O755">+_xlfn.SWITCH(MONTH(C755),1,1,2,1,3,1,4,2,5,2,6,3,7,3,8,3,9,3,10,2,11,2,12,1,2)</f>
        <v>1</v>
      </c>
      <c r="P755" s="43"/>
      <c r="AS755" s="10"/>
      <c r="AT755" s="10"/>
      <c r="AU755" s="10"/>
      <c r="AV755" s="10"/>
      <c r="AW755" s="10"/>
      <c r="AX755" s="10"/>
      <c r="AY755" s="10"/>
      <c r="AZ755" s="10"/>
      <c r="BA755" s="10"/>
      <c r="BB755" s="10"/>
      <c r="BC755" s="10"/>
      <c r="BD755" s="10"/>
      <c r="BE755" s="10"/>
      <c r="BF755" s="10"/>
      <c r="BG755" s="10"/>
      <c r="BH755" s="10"/>
      <c r="BI755" s="10"/>
      <c r="BJ755" s="10"/>
      <c r="BK755" s="10"/>
      <c r="BL755" s="10"/>
      <c r="BM755" s="10"/>
      <c r="BN755" s="10"/>
      <c r="BO755" s="10"/>
      <c r="BP755" s="10"/>
      <c r="BQ755" s="10"/>
      <c r="BR755" s="10"/>
      <c r="BS755" s="10"/>
      <c r="BT755" s="10"/>
      <c r="BU755" s="10"/>
    </row>
    <row r="756" spans="1:73" ht="18" x14ac:dyDescent="0.35">
      <c r="A756" s="43"/>
      <c r="C756" s="393"/>
      <c r="E756" s="394"/>
      <c r="F756" s="394">
        <v>0.24299999999999999</v>
      </c>
      <c r="G756" s="394"/>
      <c r="H756" s="8" t="s">
        <v>235</v>
      </c>
      <c r="I756" s="368">
        <f t="shared" si="34"/>
        <v>0</v>
      </c>
      <c r="J756" s="365">
        <f t="shared" si="33"/>
        <v>0</v>
      </c>
      <c r="K756" s="369">
        <f t="shared" si="35"/>
        <v>6</v>
      </c>
      <c r="L756" s="369">
        <f>+IF((C756&gt;='Resultats - informe'!$E$16)*(C756&lt;='Resultats - informe'!$G$16),1,0)</f>
        <v>1</v>
      </c>
      <c r="M756" s="369" cm="1">
        <f t="array" ref="M756">+_xlfn.IFS((C756&gt;='Resultats - informe'!$D$26)*(C756&lt;='Resultats - informe'!$E$26),0,(C756&gt;='Resultats - informe'!$D$27)*(C756&lt;='Resultats - informe'!$E$27),0,(C756&gt;='Resultats - informe'!$D$28)*(C756&lt;='Resultats - informe'!$E$28),0,(C756&gt;='Resultats - informe'!$D$29)*(C756&lt;='Resultats - informe'!$E$29),0,1,1)</f>
        <v>0</v>
      </c>
      <c r="N756" s="366">
        <f>+VLOOKUP(D756,'Resultats - informe'!$Y$18:$AG$42,'Introducció dades consum'!K756+1,0)</f>
        <v>0</v>
      </c>
      <c r="O756" s="370" cm="1">
        <f t="array" ref="O756">+_xlfn.SWITCH(MONTH(C756),1,1,2,1,3,1,4,2,5,2,6,3,7,3,8,3,9,3,10,2,11,2,12,1,2)</f>
        <v>1</v>
      </c>
      <c r="P756" s="43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"/>
      <c r="BD756" s="10"/>
      <c r="BE756" s="10"/>
      <c r="BF756" s="10"/>
      <c r="BG756" s="10"/>
      <c r="BH756" s="10"/>
      <c r="BI756" s="10"/>
      <c r="BJ756" s="10"/>
      <c r="BK756" s="10"/>
      <c r="BL756" s="10"/>
      <c r="BM756" s="10"/>
      <c r="BN756" s="10"/>
      <c r="BO756" s="10"/>
      <c r="BP756" s="10"/>
      <c r="BQ756" s="10"/>
      <c r="BR756" s="10"/>
      <c r="BS756" s="10"/>
      <c r="BT756" s="10"/>
      <c r="BU756" s="10"/>
    </row>
    <row r="757" spans="1:73" ht="18" x14ac:dyDescent="0.35">
      <c r="A757" s="43"/>
      <c r="C757" s="393"/>
      <c r="E757" s="394"/>
      <c r="F757" s="394">
        <v>0.86799999999999999</v>
      </c>
      <c r="G757" s="394"/>
      <c r="H757" s="8" t="s">
        <v>235</v>
      </c>
      <c r="I757" s="368">
        <f t="shared" si="34"/>
        <v>0</v>
      </c>
      <c r="J757" s="365">
        <f t="shared" si="33"/>
        <v>0</v>
      </c>
      <c r="K757" s="369">
        <f t="shared" si="35"/>
        <v>6</v>
      </c>
      <c r="L757" s="369">
        <f>+IF((C757&gt;='Resultats - informe'!$E$16)*(C757&lt;='Resultats - informe'!$G$16),1,0)</f>
        <v>1</v>
      </c>
      <c r="M757" s="369" cm="1">
        <f t="array" ref="M757">+_xlfn.IFS((C757&gt;='Resultats - informe'!$D$26)*(C757&lt;='Resultats - informe'!$E$26),0,(C757&gt;='Resultats - informe'!$D$27)*(C757&lt;='Resultats - informe'!$E$27),0,(C757&gt;='Resultats - informe'!$D$28)*(C757&lt;='Resultats - informe'!$E$28),0,(C757&gt;='Resultats - informe'!$D$29)*(C757&lt;='Resultats - informe'!$E$29),0,1,1)</f>
        <v>0</v>
      </c>
      <c r="N757" s="366">
        <f>+VLOOKUP(D757,'Resultats - informe'!$Y$18:$AG$42,'Introducció dades consum'!K757+1,0)</f>
        <v>0</v>
      </c>
      <c r="O757" s="370" cm="1">
        <f t="array" ref="O757">+_xlfn.SWITCH(MONTH(C757),1,1,2,1,3,1,4,2,5,2,6,3,7,3,8,3,9,3,10,2,11,2,12,1,2)</f>
        <v>1</v>
      </c>
      <c r="P757" s="43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  <c r="BT757" s="10"/>
      <c r="BU757" s="10"/>
    </row>
    <row r="758" spans="1:73" ht="18" x14ac:dyDescent="0.35">
      <c r="A758" s="43"/>
      <c r="C758" s="393"/>
      <c r="E758" s="394"/>
      <c r="F758" s="394">
        <v>1.34</v>
      </c>
      <c r="G758" s="394"/>
      <c r="H758" s="8" t="s">
        <v>235</v>
      </c>
      <c r="I758" s="368">
        <f t="shared" si="34"/>
        <v>0</v>
      </c>
      <c r="J758" s="365">
        <f t="shared" si="33"/>
        <v>0</v>
      </c>
      <c r="K758" s="369">
        <f t="shared" si="35"/>
        <v>6</v>
      </c>
      <c r="L758" s="369">
        <f>+IF((C758&gt;='Resultats - informe'!$E$16)*(C758&lt;='Resultats - informe'!$G$16),1,0)</f>
        <v>1</v>
      </c>
      <c r="M758" s="369" cm="1">
        <f t="array" ref="M758">+_xlfn.IFS((C758&gt;='Resultats - informe'!$D$26)*(C758&lt;='Resultats - informe'!$E$26),0,(C758&gt;='Resultats - informe'!$D$27)*(C758&lt;='Resultats - informe'!$E$27),0,(C758&gt;='Resultats - informe'!$D$28)*(C758&lt;='Resultats - informe'!$E$28),0,(C758&gt;='Resultats - informe'!$D$29)*(C758&lt;='Resultats - informe'!$E$29),0,1,1)</f>
        <v>0</v>
      </c>
      <c r="N758" s="366">
        <f>+VLOOKUP(D758,'Resultats - informe'!$Y$18:$AG$42,'Introducció dades consum'!K758+1,0)</f>
        <v>0</v>
      </c>
      <c r="O758" s="370" cm="1">
        <f t="array" ref="O758">+_xlfn.SWITCH(MONTH(C758),1,1,2,1,3,1,4,2,5,2,6,3,7,3,8,3,9,3,10,2,11,2,12,1,2)</f>
        <v>1</v>
      </c>
      <c r="P758" s="43"/>
      <c r="AS758" s="10"/>
      <c r="AT758" s="10"/>
      <c r="AU758" s="10"/>
      <c r="AV758" s="10"/>
      <c r="AW758" s="10"/>
      <c r="AX758" s="10"/>
      <c r="AY758" s="10"/>
      <c r="AZ758" s="10"/>
      <c r="BA758" s="10"/>
      <c r="BB758" s="10"/>
      <c r="BC758" s="10"/>
      <c r="BD758" s="10"/>
      <c r="BE758" s="10"/>
      <c r="BF758" s="10"/>
      <c r="BG758" s="10"/>
      <c r="BH758" s="10"/>
      <c r="BI758" s="10"/>
      <c r="BJ758" s="10"/>
      <c r="BK758" s="10"/>
      <c r="BL758" s="10"/>
      <c r="BM758" s="10"/>
      <c r="BN758" s="10"/>
      <c r="BO758" s="10"/>
      <c r="BP758" s="10"/>
      <c r="BQ758" s="10"/>
      <c r="BR758" s="10"/>
      <c r="BS758" s="10"/>
      <c r="BT758" s="10"/>
      <c r="BU758" s="10"/>
    </row>
    <row r="759" spans="1:73" ht="18" x14ac:dyDescent="0.35">
      <c r="A759" s="43"/>
      <c r="C759" s="393"/>
      <c r="E759" s="394"/>
      <c r="F759" s="394">
        <v>1.5980000000000001</v>
      </c>
      <c r="G759" s="394"/>
      <c r="H759" s="8" t="s">
        <v>235</v>
      </c>
      <c r="I759" s="368">
        <f t="shared" si="34"/>
        <v>0</v>
      </c>
      <c r="J759" s="365">
        <f t="shared" si="33"/>
        <v>0</v>
      </c>
      <c r="K759" s="369">
        <f t="shared" si="35"/>
        <v>6</v>
      </c>
      <c r="L759" s="369">
        <f>+IF((C759&gt;='Resultats - informe'!$E$16)*(C759&lt;='Resultats - informe'!$G$16),1,0)</f>
        <v>1</v>
      </c>
      <c r="M759" s="369" cm="1">
        <f t="array" ref="M759">+_xlfn.IFS((C759&gt;='Resultats - informe'!$D$26)*(C759&lt;='Resultats - informe'!$E$26),0,(C759&gt;='Resultats - informe'!$D$27)*(C759&lt;='Resultats - informe'!$E$27),0,(C759&gt;='Resultats - informe'!$D$28)*(C759&lt;='Resultats - informe'!$E$28),0,(C759&gt;='Resultats - informe'!$D$29)*(C759&lt;='Resultats - informe'!$E$29),0,1,1)</f>
        <v>0</v>
      </c>
      <c r="N759" s="366">
        <f>+VLOOKUP(D759,'Resultats - informe'!$Y$18:$AG$42,'Introducció dades consum'!K759+1,0)</f>
        <v>0</v>
      </c>
      <c r="O759" s="370" cm="1">
        <f t="array" ref="O759">+_xlfn.SWITCH(MONTH(C759),1,1,2,1,3,1,4,2,5,2,6,3,7,3,8,3,9,3,10,2,11,2,12,1,2)</f>
        <v>1</v>
      </c>
      <c r="P759" s="43"/>
      <c r="AS759" s="10"/>
      <c r="AT759" s="10"/>
      <c r="AU759" s="10"/>
      <c r="AV759" s="10"/>
      <c r="AW759" s="10"/>
      <c r="AX759" s="10"/>
      <c r="AY759" s="10"/>
      <c r="AZ759" s="10"/>
      <c r="BA759" s="10"/>
      <c r="BB759" s="10"/>
      <c r="BC759" s="10"/>
      <c r="BD759" s="10"/>
      <c r="BE759" s="10"/>
      <c r="BF759" s="10"/>
      <c r="BG759" s="10"/>
      <c r="BH759" s="10"/>
      <c r="BI759" s="10"/>
      <c r="BJ759" s="10"/>
      <c r="BK759" s="10"/>
      <c r="BL759" s="10"/>
      <c r="BM759" s="10"/>
      <c r="BN759" s="10"/>
      <c r="BO759" s="10"/>
      <c r="BP759" s="10"/>
      <c r="BQ759" s="10"/>
      <c r="BR759" s="10"/>
      <c r="BS759" s="10"/>
      <c r="BT759" s="10"/>
      <c r="BU759" s="10"/>
    </row>
    <row r="760" spans="1:73" ht="18" x14ac:dyDescent="0.35">
      <c r="A760" s="43"/>
      <c r="C760" s="393"/>
      <c r="E760" s="394"/>
      <c r="F760" s="394">
        <v>1.1399999999999999</v>
      </c>
      <c r="G760" s="394"/>
      <c r="H760" s="8" t="s">
        <v>235</v>
      </c>
      <c r="I760" s="368">
        <f t="shared" si="34"/>
        <v>0</v>
      </c>
      <c r="J760" s="365">
        <f t="shared" si="33"/>
        <v>0</v>
      </c>
      <c r="K760" s="369">
        <f t="shared" si="35"/>
        <v>6</v>
      </c>
      <c r="L760" s="369">
        <f>+IF((C760&gt;='Resultats - informe'!$E$16)*(C760&lt;='Resultats - informe'!$G$16),1,0)</f>
        <v>1</v>
      </c>
      <c r="M760" s="369" cm="1">
        <f t="array" ref="M760">+_xlfn.IFS((C760&gt;='Resultats - informe'!$D$26)*(C760&lt;='Resultats - informe'!$E$26),0,(C760&gt;='Resultats - informe'!$D$27)*(C760&lt;='Resultats - informe'!$E$27),0,(C760&gt;='Resultats - informe'!$D$28)*(C760&lt;='Resultats - informe'!$E$28),0,(C760&gt;='Resultats - informe'!$D$29)*(C760&lt;='Resultats - informe'!$E$29),0,1,1)</f>
        <v>0</v>
      </c>
      <c r="N760" s="366">
        <f>+VLOOKUP(D760,'Resultats - informe'!$Y$18:$AG$42,'Introducció dades consum'!K760+1,0)</f>
        <v>0</v>
      </c>
      <c r="O760" s="370" cm="1">
        <f t="array" ref="O760">+_xlfn.SWITCH(MONTH(C760),1,1,2,1,3,1,4,2,5,2,6,3,7,3,8,3,9,3,10,2,11,2,12,1,2)</f>
        <v>1</v>
      </c>
      <c r="P760" s="43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"/>
      <c r="BD760" s="10"/>
      <c r="BE760" s="10"/>
      <c r="BF760" s="10"/>
      <c r="BG760" s="10"/>
      <c r="BH760" s="10"/>
      <c r="BI760" s="10"/>
      <c r="BJ760" s="10"/>
      <c r="BK760" s="10"/>
      <c r="BL760" s="10"/>
      <c r="BM760" s="10"/>
      <c r="BN760" s="10"/>
      <c r="BO760" s="10"/>
      <c r="BP760" s="10"/>
      <c r="BQ760" s="10"/>
      <c r="BR760" s="10"/>
      <c r="BS760" s="10"/>
      <c r="BT760" s="10"/>
      <c r="BU760" s="10"/>
    </row>
    <row r="761" spans="1:73" ht="18" x14ac:dyDescent="0.35">
      <c r="A761" s="43"/>
      <c r="C761" s="393"/>
      <c r="E761" s="394"/>
      <c r="F761" s="394">
        <v>0.6</v>
      </c>
      <c r="G761" s="394"/>
      <c r="H761" s="8" t="s">
        <v>235</v>
      </c>
      <c r="I761" s="368">
        <f t="shared" si="34"/>
        <v>0</v>
      </c>
      <c r="J761" s="365">
        <f t="shared" si="33"/>
        <v>0</v>
      </c>
      <c r="K761" s="369">
        <f t="shared" si="35"/>
        <v>6</v>
      </c>
      <c r="L761" s="369">
        <f>+IF((C761&gt;='Resultats - informe'!$E$16)*(C761&lt;='Resultats - informe'!$G$16),1,0)</f>
        <v>1</v>
      </c>
      <c r="M761" s="369" cm="1">
        <f t="array" ref="M761">+_xlfn.IFS((C761&gt;='Resultats - informe'!$D$26)*(C761&lt;='Resultats - informe'!$E$26),0,(C761&gt;='Resultats - informe'!$D$27)*(C761&lt;='Resultats - informe'!$E$27),0,(C761&gt;='Resultats - informe'!$D$28)*(C761&lt;='Resultats - informe'!$E$28),0,(C761&gt;='Resultats - informe'!$D$29)*(C761&lt;='Resultats - informe'!$E$29),0,1,1)</f>
        <v>0</v>
      </c>
      <c r="N761" s="366">
        <f>+VLOOKUP(D761,'Resultats - informe'!$Y$18:$AG$42,'Introducció dades consum'!K761+1,0)</f>
        <v>0</v>
      </c>
      <c r="O761" s="370" cm="1">
        <f t="array" ref="O761">+_xlfn.SWITCH(MONTH(C761),1,1,2,1,3,1,4,2,5,2,6,3,7,3,8,3,9,3,10,2,11,2,12,1,2)</f>
        <v>1</v>
      </c>
      <c r="P761" s="43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"/>
      <c r="BD761" s="10"/>
      <c r="BE761" s="10"/>
      <c r="BF761" s="10"/>
      <c r="BG761" s="10"/>
      <c r="BH761" s="10"/>
      <c r="BI761" s="10"/>
      <c r="BJ761" s="10"/>
      <c r="BK761" s="10"/>
      <c r="BL761" s="10"/>
      <c r="BM761" s="10"/>
      <c r="BN761" s="10"/>
      <c r="BO761" s="10"/>
      <c r="BP761" s="10"/>
      <c r="BQ761" s="10"/>
      <c r="BR761" s="10"/>
      <c r="BS761" s="10"/>
      <c r="BT761" s="10"/>
      <c r="BU761" s="10"/>
    </row>
    <row r="762" spans="1:73" ht="18" x14ac:dyDescent="0.35">
      <c r="A762" s="43"/>
      <c r="C762" s="393"/>
      <c r="E762" s="394"/>
      <c r="F762" s="394">
        <v>1.212</v>
      </c>
      <c r="G762" s="394"/>
      <c r="H762" s="8" t="s">
        <v>235</v>
      </c>
      <c r="I762" s="368">
        <f t="shared" si="34"/>
        <v>0</v>
      </c>
      <c r="J762" s="365">
        <f t="shared" si="33"/>
        <v>0</v>
      </c>
      <c r="K762" s="369">
        <f t="shared" si="35"/>
        <v>6</v>
      </c>
      <c r="L762" s="369">
        <f>+IF((C762&gt;='Resultats - informe'!$E$16)*(C762&lt;='Resultats - informe'!$G$16),1,0)</f>
        <v>1</v>
      </c>
      <c r="M762" s="369" cm="1">
        <f t="array" ref="M762">+_xlfn.IFS((C762&gt;='Resultats - informe'!$D$26)*(C762&lt;='Resultats - informe'!$E$26),0,(C762&gt;='Resultats - informe'!$D$27)*(C762&lt;='Resultats - informe'!$E$27),0,(C762&gt;='Resultats - informe'!$D$28)*(C762&lt;='Resultats - informe'!$E$28),0,(C762&gt;='Resultats - informe'!$D$29)*(C762&lt;='Resultats - informe'!$E$29),0,1,1)</f>
        <v>0</v>
      </c>
      <c r="N762" s="366">
        <f>+VLOOKUP(D762,'Resultats - informe'!$Y$18:$AG$42,'Introducció dades consum'!K762+1,0)</f>
        <v>0</v>
      </c>
      <c r="O762" s="370" cm="1">
        <f t="array" ref="O762">+_xlfn.SWITCH(MONTH(C762),1,1,2,1,3,1,4,2,5,2,6,3,7,3,8,3,9,3,10,2,11,2,12,1,2)</f>
        <v>1</v>
      </c>
      <c r="P762" s="43"/>
      <c r="AS762" s="10"/>
      <c r="AT762" s="10"/>
      <c r="AU762" s="10"/>
      <c r="AV762" s="10"/>
      <c r="AW762" s="10"/>
      <c r="AX762" s="10"/>
      <c r="AY762" s="10"/>
      <c r="AZ762" s="10"/>
      <c r="BA762" s="10"/>
      <c r="BB762" s="10"/>
      <c r="BC762" s="10"/>
      <c r="BD762" s="10"/>
      <c r="BE762" s="10"/>
      <c r="BF762" s="10"/>
      <c r="BG762" s="10"/>
      <c r="BH762" s="10"/>
      <c r="BI762" s="10"/>
      <c r="BJ762" s="10"/>
      <c r="BK762" s="10"/>
      <c r="BL762" s="10"/>
      <c r="BM762" s="10"/>
      <c r="BN762" s="10"/>
      <c r="BO762" s="10"/>
      <c r="BP762" s="10"/>
      <c r="BQ762" s="10"/>
      <c r="BR762" s="10"/>
      <c r="BS762" s="10"/>
      <c r="BT762" s="10"/>
      <c r="BU762" s="10"/>
    </row>
    <row r="763" spans="1:73" ht="18" x14ac:dyDescent="0.35">
      <c r="A763" s="43"/>
      <c r="C763" s="393"/>
      <c r="E763" s="394"/>
      <c r="F763" s="394">
        <v>0.89900000000000002</v>
      </c>
      <c r="G763" s="394"/>
      <c r="H763" s="8" t="s">
        <v>235</v>
      </c>
      <c r="I763" s="368">
        <f t="shared" si="34"/>
        <v>0</v>
      </c>
      <c r="J763" s="365">
        <f t="shared" ref="J763:J826" si="36">+C763</f>
        <v>0</v>
      </c>
      <c r="K763" s="369">
        <f t="shared" si="35"/>
        <v>6</v>
      </c>
      <c r="L763" s="369">
        <f>+IF((C763&gt;='Resultats - informe'!$E$16)*(C763&lt;='Resultats - informe'!$G$16),1,0)</f>
        <v>1</v>
      </c>
      <c r="M763" s="369" cm="1">
        <f t="array" ref="M763">+_xlfn.IFS((C763&gt;='Resultats - informe'!$D$26)*(C763&lt;='Resultats - informe'!$E$26),0,(C763&gt;='Resultats - informe'!$D$27)*(C763&lt;='Resultats - informe'!$E$27),0,(C763&gt;='Resultats - informe'!$D$28)*(C763&lt;='Resultats - informe'!$E$28),0,(C763&gt;='Resultats - informe'!$D$29)*(C763&lt;='Resultats - informe'!$E$29),0,1,1)</f>
        <v>0</v>
      </c>
      <c r="N763" s="366">
        <f>+VLOOKUP(D763,'Resultats - informe'!$Y$18:$AG$42,'Introducció dades consum'!K763+1,0)</f>
        <v>0</v>
      </c>
      <c r="O763" s="370" cm="1">
        <f t="array" ref="O763">+_xlfn.SWITCH(MONTH(C763),1,1,2,1,3,1,4,2,5,2,6,3,7,3,8,3,9,3,10,2,11,2,12,1,2)</f>
        <v>1</v>
      </c>
      <c r="P763" s="43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  <c r="BE763" s="10"/>
      <c r="BF763" s="10"/>
      <c r="BG763" s="10"/>
      <c r="BH763" s="10"/>
      <c r="BI763" s="10"/>
      <c r="BJ763" s="10"/>
      <c r="BK763" s="10"/>
      <c r="BL763" s="10"/>
      <c r="BM763" s="10"/>
      <c r="BN763" s="10"/>
      <c r="BO763" s="10"/>
      <c r="BP763" s="10"/>
      <c r="BQ763" s="10"/>
      <c r="BR763" s="10"/>
      <c r="BS763" s="10"/>
      <c r="BT763" s="10"/>
      <c r="BU763" s="10"/>
    </row>
    <row r="764" spans="1:73" ht="18" x14ac:dyDescent="0.35">
      <c r="A764" s="43"/>
      <c r="C764" s="393"/>
      <c r="E764" s="394"/>
      <c r="F764" s="394">
        <v>0.252</v>
      </c>
      <c r="G764" s="394"/>
      <c r="H764" s="8" t="s">
        <v>235</v>
      </c>
      <c r="I764" s="368">
        <f t="shared" si="34"/>
        <v>0</v>
      </c>
      <c r="J764" s="365">
        <f t="shared" si="36"/>
        <v>0</v>
      </c>
      <c r="K764" s="369">
        <f t="shared" si="35"/>
        <v>6</v>
      </c>
      <c r="L764" s="369">
        <f>+IF((C764&gt;='Resultats - informe'!$E$16)*(C764&lt;='Resultats - informe'!$G$16),1,0)</f>
        <v>1</v>
      </c>
      <c r="M764" s="369" cm="1">
        <f t="array" ref="M764">+_xlfn.IFS((C764&gt;='Resultats - informe'!$D$26)*(C764&lt;='Resultats - informe'!$E$26),0,(C764&gt;='Resultats - informe'!$D$27)*(C764&lt;='Resultats - informe'!$E$27),0,(C764&gt;='Resultats - informe'!$D$28)*(C764&lt;='Resultats - informe'!$E$28),0,(C764&gt;='Resultats - informe'!$D$29)*(C764&lt;='Resultats - informe'!$E$29),0,1,1)</f>
        <v>0</v>
      </c>
      <c r="N764" s="366">
        <f>+VLOOKUP(D764,'Resultats - informe'!$Y$18:$AG$42,'Introducció dades consum'!K764+1,0)</f>
        <v>0</v>
      </c>
      <c r="O764" s="370" cm="1">
        <f t="array" ref="O764">+_xlfn.SWITCH(MONTH(C764),1,1,2,1,3,1,4,2,5,2,6,3,7,3,8,3,9,3,10,2,11,2,12,1,2)</f>
        <v>1</v>
      </c>
      <c r="P764" s="43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  <c r="BE764" s="10"/>
      <c r="BF764" s="10"/>
      <c r="BG764" s="10"/>
      <c r="BH764" s="10"/>
      <c r="BI764" s="10"/>
      <c r="BJ764" s="10"/>
      <c r="BK764" s="10"/>
      <c r="BL764" s="10"/>
      <c r="BM764" s="10"/>
      <c r="BN764" s="10"/>
      <c r="BO764" s="10"/>
      <c r="BP764" s="10"/>
      <c r="BQ764" s="10"/>
      <c r="BR764" s="10"/>
      <c r="BS764" s="10"/>
      <c r="BT764" s="10"/>
      <c r="BU764" s="10"/>
    </row>
    <row r="765" spans="1:73" ht="18" x14ac:dyDescent="0.35">
      <c r="A765" s="43"/>
      <c r="C765" s="393"/>
      <c r="E765" s="394"/>
      <c r="F765" s="394">
        <v>0</v>
      </c>
      <c r="G765" s="394"/>
      <c r="H765" s="8" t="s">
        <v>235</v>
      </c>
      <c r="I765" s="368">
        <f t="shared" si="34"/>
        <v>0</v>
      </c>
      <c r="J765" s="365">
        <f t="shared" si="36"/>
        <v>0</v>
      </c>
      <c r="K765" s="369">
        <f t="shared" si="35"/>
        <v>6</v>
      </c>
      <c r="L765" s="369">
        <f>+IF((C765&gt;='Resultats - informe'!$E$16)*(C765&lt;='Resultats - informe'!$G$16),1,0)</f>
        <v>1</v>
      </c>
      <c r="M765" s="369" cm="1">
        <f t="array" ref="M765">+_xlfn.IFS((C765&gt;='Resultats - informe'!$D$26)*(C765&lt;='Resultats - informe'!$E$26),0,(C765&gt;='Resultats - informe'!$D$27)*(C765&lt;='Resultats - informe'!$E$27),0,(C765&gt;='Resultats - informe'!$D$28)*(C765&lt;='Resultats - informe'!$E$28),0,(C765&gt;='Resultats - informe'!$D$29)*(C765&lt;='Resultats - informe'!$E$29),0,1,1)</f>
        <v>0</v>
      </c>
      <c r="N765" s="366">
        <f>+VLOOKUP(D765,'Resultats - informe'!$Y$18:$AG$42,'Introducció dades consum'!K765+1,0)</f>
        <v>0</v>
      </c>
      <c r="O765" s="370" cm="1">
        <f t="array" ref="O765">+_xlfn.SWITCH(MONTH(C765),1,1,2,1,3,1,4,2,5,2,6,3,7,3,8,3,9,3,10,2,11,2,12,1,2)</f>
        <v>1</v>
      </c>
      <c r="P765" s="43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  <c r="BE765" s="10"/>
      <c r="BF765" s="10"/>
      <c r="BG765" s="10"/>
      <c r="BH765" s="10"/>
      <c r="BI765" s="10"/>
      <c r="BJ765" s="10"/>
      <c r="BK765" s="10"/>
      <c r="BL765" s="10"/>
      <c r="BM765" s="10"/>
      <c r="BN765" s="10"/>
      <c r="BO765" s="10"/>
      <c r="BP765" s="10"/>
      <c r="BQ765" s="10"/>
      <c r="BR765" s="10"/>
      <c r="BS765" s="10"/>
      <c r="BT765" s="10"/>
      <c r="BU765" s="10"/>
    </row>
    <row r="766" spans="1:73" ht="18" x14ac:dyDescent="0.35">
      <c r="A766" s="43"/>
      <c r="C766" s="393"/>
      <c r="E766" s="394"/>
      <c r="F766" s="394">
        <v>0</v>
      </c>
      <c r="G766" s="394"/>
      <c r="H766" s="8" t="s">
        <v>235</v>
      </c>
      <c r="I766" s="368">
        <f t="shared" si="34"/>
        <v>0</v>
      </c>
      <c r="J766" s="365">
        <f t="shared" si="36"/>
        <v>0</v>
      </c>
      <c r="K766" s="369">
        <f t="shared" si="35"/>
        <v>6</v>
      </c>
      <c r="L766" s="369">
        <f>+IF((C766&gt;='Resultats - informe'!$E$16)*(C766&lt;='Resultats - informe'!$G$16),1,0)</f>
        <v>1</v>
      </c>
      <c r="M766" s="369" cm="1">
        <f t="array" ref="M766">+_xlfn.IFS((C766&gt;='Resultats - informe'!$D$26)*(C766&lt;='Resultats - informe'!$E$26),0,(C766&gt;='Resultats - informe'!$D$27)*(C766&lt;='Resultats - informe'!$E$27),0,(C766&gt;='Resultats - informe'!$D$28)*(C766&lt;='Resultats - informe'!$E$28),0,(C766&gt;='Resultats - informe'!$D$29)*(C766&lt;='Resultats - informe'!$E$29),0,1,1)</f>
        <v>0</v>
      </c>
      <c r="N766" s="366">
        <f>+VLOOKUP(D766,'Resultats - informe'!$Y$18:$AG$42,'Introducció dades consum'!K766+1,0)</f>
        <v>0</v>
      </c>
      <c r="O766" s="370" cm="1">
        <f t="array" ref="O766">+_xlfn.SWITCH(MONTH(C766),1,1,2,1,3,1,4,2,5,2,6,3,7,3,8,3,9,3,10,2,11,2,12,1,2)</f>
        <v>1</v>
      </c>
      <c r="P766" s="43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  <c r="BE766" s="10"/>
      <c r="BF766" s="10"/>
      <c r="BG766" s="10"/>
      <c r="BH766" s="10"/>
      <c r="BI766" s="10"/>
      <c r="BJ766" s="10"/>
      <c r="BK766" s="10"/>
      <c r="BL766" s="10"/>
      <c r="BM766" s="10"/>
      <c r="BN766" s="10"/>
      <c r="BO766" s="10"/>
      <c r="BP766" s="10"/>
      <c r="BQ766" s="10"/>
      <c r="BR766" s="10"/>
      <c r="BS766" s="10"/>
      <c r="BT766" s="10"/>
      <c r="BU766" s="10"/>
    </row>
    <row r="767" spans="1:73" ht="18" x14ac:dyDescent="0.35">
      <c r="A767" s="43"/>
      <c r="C767" s="393"/>
      <c r="E767" s="394"/>
      <c r="F767" s="394">
        <v>0</v>
      </c>
      <c r="G767" s="394"/>
      <c r="H767" s="8" t="s">
        <v>235</v>
      </c>
      <c r="I767" s="368">
        <f t="shared" si="34"/>
        <v>0</v>
      </c>
      <c r="J767" s="365">
        <f t="shared" si="36"/>
        <v>0</v>
      </c>
      <c r="K767" s="369">
        <f t="shared" si="35"/>
        <v>6</v>
      </c>
      <c r="L767" s="369">
        <f>+IF((C767&gt;='Resultats - informe'!$E$16)*(C767&lt;='Resultats - informe'!$G$16),1,0)</f>
        <v>1</v>
      </c>
      <c r="M767" s="369" cm="1">
        <f t="array" ref="M767">+_xlfn.IFS((C767&gt;='Resultats - informe'!$D$26)*(C767&lt;='Resultats - informe'!$E$26),0,(C767&gt;='Resultats - informe'!$D$27)*(C767&lt;='Resultats - informe'!$E$27),0,(C767&gt;='Resultats - informe'!$D$28)*(C767&lt;='Resultats - informe'!$E$28),0,(C767&gt;='Resultats - informe'!$D$29)*(C767&lt;='Resultats - informe'!$E$29),0,1,1)</f>
        <v>0</v>
      </c>
      <c r="N767" s="366">
        <f>+VLOOKUP(D767,'Resultats - informe'!$Y$18:$AG$42,'Introducció dades consum'!K767+1,0)</f>
        <v>0</v>
      </c>
      <c r="O767" s="370" cm="1">
        <f t="array" ref="O767">+_xlfn.SWITCH(MONTH(C767),1,1,2,1,3,1,4,2,5,2,6,3,7,3,8,3,9,3,10,2,11,2,12,1,2)</f>
        <v>1</v>
      </c>
      <c r="P767" s="43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  <c r="BE767" s="10"/>
      <c r="BF767" s="10"/>
      <c r="BG767" s="10"/>
      <c r="BH767" s="10"/>
      <c r="BI767" s="10"/>
      <c r="BJ767" s="10"/>
      <c r="BK767" s="10"/>
      <c r="BL767" s="10"/>
      <c r="BM767" s="10"/>
      <c r="BN767" s="10"/>
      <c r="BO767" s="10"/>
      <c r="BP767" s="10"/>
      <c r="BQ767" s="10"/>
      <c r="BR767" s="10"/>
      <c r="BS767" s="10"/>
      <c r="BT767" s="10"/>
      <c r="BU767" s="10"/>
    </row>
    <row r="768" spans="1:73" ht="18" x14ac:dyDescent="0.35">
      <c r="A768" s="43"/>
      <c r="C768" s="393"/>
      <c r="E768" s="394"/>
      <c r="F768" s="394">
        <v>0</v>
      </c>
      <c r="G768" s="394"/>
      <c r="H768" s="8" t="s">
        <v>235</v>
      </c>
      <c r="I768" s="368">
        <f t="shared" si="34"/>
        <v>0</v>
      </c>
      <c r="J768" s="365">
        <f t="shared" si="36"/>
        <v>0</v>
      </c>
      <c r="K768" s="369">
        <f t="shared" si="35"/>
        <v>6</v>
      </c>
      <c r="L768" s="369">
        <f>+IF((C768&gt;='Resultats - informe'!$E$16)*(C768&lt;='Resultats - informe'!$G$16),1,0)</f>
        <v>1</v>
      </c>
      <c r="M768" s="369" cm="1">
        <f t="array" ref="M768">+_xlfn.IFS((C768&gt;='Resultats - informe'!$D$26)*(C768&lt;='Resultats - informe'!$E$26),0,(C768&gt;='Resultats - informe'!$D$27)*(C768&lt;='Resultats - informe'!$E$27),0,(C768&gt;='Resultats - informe'!$D$28)*(C768&lt;='Resultats - informe'!$E$28),0,(C768&gt;='Resultats - informe'!$D$29)*(C768&lt;='Resultats - informe'!$E$29),0,1,1)</f>
        <v>0</v>
      </c>
      <c r="N768" s="366">
        <f>+VLOOKUP(D768,'Resultats - informe'!$Y$18:$AG$42,'Introducció dades consum'!K768+1,0)</f>
        <v>0</v>
      </c>
      <c r="O768" s="370" cm="1">
        <f t="array" ref="O768">+_xlfn.SWITCH(MONTH(C768),1,1,2,1,3,1,4,2,5,2,6,3,7,3,8,3,9,3,10,2,11,2,12,1,2)</f>
        <v>1</v>
      </c>
      <c r="P768" s="43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  <c r="BE768" s="10"/>
      <c r="BF768" s="10"/>
      <c r="BG768" s="10"/>
      <c r="BH768" s="10"/>
      <c r="BI768" s="10"/>
      <c r="BJ768" s="10"/>
      <c r="BK768" s="10"/>
      <c r="BL768" s="10"/>
      <c r="BM768" s="10"/>
      <c r="BN768" s="10"/>
      <c r="BO768" s="10"/>
      <c r="BP768" s="10"/>
      <c r="BQ768" s="10"/>
      <c r="BR768" s="10"/>
      <c r="BS768" s="10"/>
      <c r="BT768" s="10"/>
      <c r="BU768" s="10"/>
    </row>
    <row r="769" spans="1:73" ht="18" x14ac:dyDescent="0.35">
      <c r="A769" s="43"/>
      <c r="C769" s="393"/>
      <c r="E769" s="394"/>
      <c r="F769" s="394">
        <v>0</v>
      </c>
      <c r="G769" s="394"/>
      <c r="H769" s="8" t="s">
        <v>235</v>
      </c>
      <c r="I769" s="368">
        <f t="shared" si="34"/>
        <v>0</v>
      </c>
      <c r="J769" s="365">
        <f t="shared" si="36"/>
        <v>0</v>
      </c>
      <c r="K769" s="369">
        <f t="shared" si="35"/>
        <v>6</v>
      </c>
      <c r="L769" s="369">
        <f>+IF((C769&gt;='Resultats - informe'!$E$16)*(C769&lt;='Resultats - informe'!$G$16),1,0)</f>
        <v>1</v>
      </c>
      <c r="M769" s="369" cm="1">
        <f t="array" ref="M769">+_xlfn.IFS((C769&gt;='Resultats - informe'!$D$26)*(C769&lt;='Resultats - informe'!$E$26),0,(C769&gt;='Resultats - informe'!$D$27)*(C769&lt;='Resultats - informe'!$E$27),0,(C769&gt;='Resultats - informe'!$D$28)*(C769&lt;='Resultats - informe'!$E$28),0,(C769&gt;='Resultats - informe'!$D$29)*(C769&lt;='Resultats - informe'!$E$29),0,1,1)</f>
        <v>0</v>
      </c>
      <c r="N769" s="366">
        <f>+VLOOKUP(D769,'Resultats - informe'!$Y$18:$AG$42,'Introducció dades consum'!K769+1,0)</f>
        <v>0</v>
      </c>
      <c r="O769" s="370" cm="1">
        <f t="array" ref="O769">+_xlfn.SWITCH(MONTH(C769),1,1,2,1,3,1,4,2,5,2,6,3,7,3,8,3,9,3,10,2,11,2,12,1,2)</f>
        <v>1</v>
      </c>
      <c r="P769" s="43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  <c r="BE769" s="10"/>
      <c r="BF769" s="10"/>
      <c r="BG769" s="10"/>
      <c r="BH769" s="10"/>
      <c r="BI769" s="10"/>
      <c r="BJ769" s="10"/>
      <c r="BK769" s="10"/>
      <c r="BL769" s="10"/>
      <c r="BM769" s="10"/>
      <c r="BN769" s="10"/>
      <c r="BO769" s="10"/>
      <c r="BP769" s="10"/>
      <c r="BQ769" s="10"/>
      <c r="BR769" s="10"/>
      <c r="BS769" s="10"/>
      <c r="BT769" s="10"/>
      <c r="BU769" s="10"/>
    </row>
    <row r="770" spans="1:73" ht="18" x14ac:dyDescent="0.35">
      <c r="A770" s="43"/>
      <c r="C770" s="393"/>
      <c r="E770" s="394"/>
      <c r="F770" s="394">
        <v>0</v>
      </c>
      <c r="G770" s="394"/>
      <c r="H770" s="8" t="s">
        <v>235</v>
      </c>
      <c r="I770" s="368">
        <f t="shared" si="34"/>
        <v>0</v>
      </c>
      <c r="J770" s="365">
        <f t="shared" si="36"/>
        <v>0</v>
      </c>
      <c r="K770" s="369">
        <f t="shared" si="35"/>
        <v>6</v>
      </c>
      <c r="L770" s="369">
        <f>+IF((C770&gt;='Resultats - informe'!$E$16)*(C770&lt;='Resultats - informe'!$G$16),1,0)</f>
        <v>1</v>
      </c>
      <c r="M770" s="369" cm="1">
        <f t="array" ref="M770">+_xlfn.IFS((C770&gt;='Resultats - informe'!$D$26)*(C770&lt;='Resultats - informe'!$E$26),0,(C770&gt;='Resultats - informe'!$D$27)*(C770&lt;='Resultats - informe'!$E$27),0,(C770&gt;='Resultats - informe'!$D$28)*(C770&lt;='Resultats - informe'!$E$28),0,(C770&gt;='Resultats - informe'!$D$29)*(C770&lt;='Resultats - informe'!$E$29),0,1,1)</f>
        <v>0</v>
      </c>
      <c r="N770" s="366">
        <f>+VLOOKUP(D770,'Resultats - informe'!$Y$18:$AG$42,'Introducció dades consum'!K770+1,0)</f>
        <v>0</v>
      </c>
      <c r="O770" s="370" cm="1">
        <f t="array" ref="O770">+_xlfn.SWITCH(MONTH(C770),1,1,2,1,3,1,4,2,5,2,6,3,7,3,8,3,9,3,10,2,11,2,12,1,2)</f>
        <v>1</v>
      </c>
      <c r="P770" s="43"/>
      <c r="AS770" s="10"/>
      <c r="AT770" s="10"/>
      <c r="AU770" s="10"/>
      <c r="AV770" s="10"/>
      <c r="AW770" s="10"/>
      <c r="AX770" s="10"/>
      <c r="AY770" s="10"/>
      <c r="AZ770" s="10"/>
      <c r="BA770" s="10"/>
      <c r="BB770" s="10"/>
      <c r="BC770" s="10"/>
      <c r="BD770" s="10"/>
      <c r="BE770" s="10"/>
      <c r="BF770" s="10"/>
      <c r="BG770" s="10"/>
      <c r="BH770" s="10"/>
      <c r="BI770" s="10"/>
      <c r="BJ770" s="10"/>
      <c r="BK770" s="10"/>
      <c r="BL770" s="10"/>
      <c r="BM770" s="10"/>
      <c r="BN770" s="10"/>
      <c r="BO770" s="10"/>
      <c r="BP770" s="10"/>
      <c r="BQ770" s="10"/>
      <c r="BR770" s="10"/>
      <c r="BS770" s="10"/>
      <c r="BT770" s="10"/>
      <c r="BU770" s="10"/>
    </row>
    <row r="771" spans="1:73" ht="18" x14ac:dyDescent="0.35">
      <c r="A771" s="43"/>
      <c r="C771" s="393"/>
      <c r="E771" s="394"/>
      <c r="F771" s="394">
        <v>0</v>
      </c>
      <c r="G771" s="394"/>
      <c r="H771" s="8" t="s">
        <v>235</v>
      </c>
      <c r="I771" s="368">
        <f t="shared" si="34"/>
        <v>0</v>
      </c>
      <c r="J771" s="365">
        <f t="shared" si="36"/>
        <v>0</v>
      </c>
      <c r="K771" s="369">
        <f t="shared" si="35"/>
        <v>6</v>
      </c>
      <c r="L771" s="369">
        <f>+IF((C771&gt;='Resultats - informe'!$E$16)*(C771&lt;='Resultats - informe'!$G$16),1,0)</f>
        <v>1</v>
      </c>
      <c r="M771" s="369" cm="1">
        <f t="array" ref="M771">+_xlfn.IFS((C771&gt;='Resultats - informe'!$D$26)*(C771&lt;='Resultats - informe'!$E$26),0,(C771&gt;='Resultats - informe'!$D$27)*(C771&lt;='Resultats - informe'!$E$27),0,(C771&gt;='Resultats - informe'!$D$28)*(C771&lt;='Resultats - informe'!$E$28),0,(C771&gt;='Resultats - informe'!$D$29)*(C771&lt;='Resultats - informe'!$E$29),0,1,1)</f>
        <v>0</v>
      </c>
      <c r="N771" s="366">
        <f>+VLOOKUP(D771,'Resultats - informe'!$Y$18:$AG$42,'Introducció dades consum'!K771+1,0)</f>
        <v>0</v>
      </c>
      <c r="O771" s="370" cm="1">
        <f t="array" ref="O771">+_xlfn.SWITCH(MONTH(C771),1,1,2,1,3,1,4,2,5,2,6,3,7,3,8,3,9,3,10,2,11,2,12,1,2)</f>
        <v>1</v>
      </c>
      <c r="P771" s="43"/>
      <c r="AS771" s="10"/>
      <c r="AT771" s="10"/>
      <c r="AU771" s="10"/>
      <c r="AV771" s="10"/>
      <c r="AW771" s="10"/>
      <c r="AX771" s="10"/>
      <c r="AY771" s="10"/>
      <c r="AZ771" s="10"/>
      <c r="BA771" s="10"/>
      <c r="BB771" s="10"/>
      <c r="BC771" s="10"/>
      <c r="BD771" s="10"/>
      <c r="BE771" s="10"/>
      <c r="BF771" s="10"/>
      <c r="BG771" s="10"/>
      <c r="BH771" s="10"/>
      <c r="BI771" s="10"/>
      <c r="BJ771" s="10"/>
      <c r="BK771" s="10"/>
      <c r="BL771" s="10"/>
      <c r="BM771" s="10"/>
      <c r="BN771" s="10"/>
      <c r="BO771" s="10"/>
      <c r="BP771" s="10"/>
      <c r="BQ771" s="10"/>
      <c r="BR771" s="10"/>
      <c r="BS771" s="10"/>
      <c r="BT771" s="10"/>
      <c r="BU771" s="10"/>
    </row>
    <row r="772" spans="1:73" ht="18" x14ac:dyDescent="0.35">
      <c r="A772" s="43"/>
      <c r="C772" s="393"/>
      <c r="E772" s="394"/>
      <c r="F772" s="394">
        <v>0</v>
      </c>
      <c r="G772" s="394"/>
      <c r="H772" s="8" t="s">
        <v>235</v>
      </c>
      <c r="I772" s="368">
        <f t="shared" si="34"/>
        <v>0</v>
      </c>
      <c r="J772" s="365">
        <f t="shared" si="36"/>
        <v>0</v>
      </c>
      <c r="K772" s="369">
        <f t="shared" si="35"/>
        <v>6</v>
      </c>
      <c r="L772" s="369">
        <f>+IF((C772&gt;='Resultats - informe'!$E$16)*(C772&lt;='Resultats - informe'!$G$16),1,0)</f>
        <v>1</v>
      </c>
      <c r="M772" s="369" cm="1">
        <f t="array" ref="M772">+_xlfn.IFS((C772&gt;='Resultats - informe'!$D$26)*(C772&lt;='Resultats - informe'!$E$26),0,(C772&gt;='Resultats - informe'!$D$27)*(C772&lt;='Resultats - informe'!$E$27),0,(C772&gt;='Resultats - informe'!$D$28)*(C772&lt;='Resultats - informe'!$E$28),0,(C772&gt;='Resultats - informe'!$D$29)*(C772&lt;='Resultats - informe'!$E$29),0,1,1)</f>
        <v>0</v>
      </c>
      <c r="N772" s="366">
        <f>+VLOOKUP(D772,'Resultats - informe'!$Y$18:$AG$42,'Introducció dades consum'!K772+1,0)</f>
        <v>0</v>
      </c>
      <c r="O772" s="370" cm="1">
        <f t="array" ref="O772">+_xlfn.SWITCH(MONTH(C772),1,1,2,1,3,1,4,2,5,2,6,3,7,3,8,3,9,3,10,2,11,2,12,1,2)</f>
        <v>1</v>
      </c>
      <c r="P772" s="43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10"/>
      <c r="BI772" s="10"/>
      <c r="BJ772" s="10"/>
      <c r="BK772" s="10"/>
      <c r="BL772" s="10"/>
      <c r="BM772" s="10"/>
      <c r="BN772" s="10"/>
      <c r="BO772" s="10"/>
      <c r="BP772" s="10"/>
      <c r="BQ772" s="10"/>
      <c r="BR772" s="10"/>
      <c r="BS772" s="10"/>
      <c r="BT772" s="10"/>
      <c r="BU772" s="10"/>
    </row>
    <row r="773" spans="1:73" ht="18" x14ac:dyDescent="0.35">
      <c r="A773" s="43"/>
      <c r="C773" s="393"/>
      <c r="E773" s="394"/>
      <c r="F773" s="394">
        <v>0</v>
      </c>
      <c r="G773" s="394"/>
      <c r="H773" s="8" t="s">
        <v>235</v>
      </c>
      <c r="I773" s="368">
        <f t="shared" si="34"/>
        <v>0</v>
      </c>
      <c r="J773" s="365">
        <f t="shared" si="36"/>
        <v>0</v>
      </c>
      <c r="K773" s="369">
        <f t="shared" si="35"/>
        <v>6</v>
      </c>
      <c r="L773" s="369">
        <f>+IF((C773&gt;='Resultats - informe'!$E$16)*(C773&lt;='Resultats - informe'!$G$16),1,0)</f>
        <v>1</v>
      </c>
      <c r="M773" s="369" cm="1">
        <f t="array" ref="M773">+_xlfn.IFS((C773&gt;='Resultats - informe'!$D$26)*(C773&lt;='Resultats - informe'!$E$26),0,(C773&gt;='Resultats - informe'!$D$27)*(C773&lt;='Resultats - informe'!$E$27),0,(C773&gt;='Resultats - informe'!$D$28)*(C773&lt;='Resultats - informe'!$E$28),0,(C773&gt;='Resultats - informe'!$D$29)*(C773&lt;='Resultats - informe'!$E$29),0,1,1)</f>
        <v>0</v>
      </c>
      <c r="N773" s="366">
        <f>+VLOOKUP(D773,'Resultats - informe'!$Y$18:$AG$42,'Introducció dades consum'!K773+1,0)</f>
        <v>0</v>
      </c>
      <c r="O773" s="370" cm="1">
        <f t="array" ref="O773">+_xlfn.SWITCH(MONTH(C773),1,1,2,1,3,1,4,2,5,2,6,3,7,3,8,3,9,3,10,2,11,2,12,1,2)</f>
        <v>1</v>
      </c>
      <c r="P773" s="43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  <c r="BE773" s="10"/>
      <c r="BF773" s="10"/>
      <c r="BG773" s="10"/>
      <c r="BH773" s="10"/>
      <c r="BI773" s="10"/>
      <c r="BJ773" s="10"/>
      <c r="BK773" s="10"/>
      <c r="BL773" s="10"/>
      <c r="BM773" s="10"/>
      <c r="BN773" s="10"/>
      <c r="BO773" s="10"/>
      <c r="BP773" s="10"/>
      <c r="BQ773" s="10"/>
      <c r="BR773" s="10"/>
      <c r="BS773" s="10"/>
      <c r="BT773" s="10"/>
      <c r="BU773" s="10"/>
    </row>
    <row r="774" spans="1:73" ht="18" x14ac:dyDescent="0.35">
      <c r="A774" s="43"/>
      <c r="C774" s="393"/>
      <c r="E774" s="394"/>
      <c r="F774" s="394">
        <v>0</v>
      </c>
      <c r="G774" s="394"/>
      <c r="H774" s="8" t="s">
        <v>235</v>
      </c>
      <c r="I774" s="368">
        <f t="shared" ref="I774:I837" si="37">+E774+G774</f>
        <v>0</v>
      </c>
      <c r="J774" s="365">
        <f t="shared" si="36"/>
        <v>0</v>
      </c>
      <c r="K774" s="369">
        <f t="shared" ref="K774:K837" si="38">+WEEKDAY(C774,2)</f>
        <v>6</v>
      </c>
      <c r="L774" s="369">
        <f>+IF((C774&gt;='Resultats - informe'!$E$16)*(C774&lt;='Resultats - informe'!$G$16),1,0)</f>
        <v>1</v>
      </c>
      <c r="M774" s="369" cm="1">
        <f t="array" ref="M774">+_xlfn.IFS((C774&gt;='Resultats - informe'!$D$26)*(C774&lt;='Resultats - informe'!$E$26),0,(C774&gt;='Resultats - informe'!$D$27)*(C774&lt;='Resultats - informe'!$E$27),0,(C774&gt;='Resultats - informe'!$D$28)*(C774&lt;='Resultats - informe'!$E$28),0,(C774&gt;='Resultats - informe'!$D$29)*(C774&lt;='Resultats - informe'!$E$29),0,1,1)</f>
        <v>0</v>
      </c>
      <c r="N774" s="366">
        <f>+VLOOKUP(D774,'Resultats - informe'!$Y$18:$AG$42,'Introducció dades consum'!K774+1,0)</f>
        <v>0</v>
      </c>
      <c r="O774" s="370" cm="1">
        <f t="array" ref="O774">+_xlfn.SWITCH(MONTH(C774),1,1,2,1,3,1,4,2,5,2,6,3,7,3,8,3,9,3,10,2,11,2,12,1,2)</f>
        <v>1</v>
      </c>
      <c r="P774" s="43"/>
      <c r="AS774" s="10"/>
      <c r="AT774" s="10"/>
      <c r="AU774" s="10"/>
      <c r="AV774" s="10"/>
      <c r="AW774" s="10"/>
      <c r="AX774" s="10"/>
      <c r="AY774" s="10"/>
      <c r="AZ774" s="10"/>
      <c r="BA774" s="10"/>
      <c r="BB774" s="10"/>
      <c r="BC774" s="10"/>
      <c r="BD774" s="10"/>
      <c r="BE774" s="10"/>
      <c r="BF774" s="10"/>
      <c r="BG774" s="10"/>
      <c r="BH774" s="10"/>
      <c r="BI774" s="10"/>
      <c r="BJ774" s="10"/>
      <c r="BK774" s="10"/>
      <c r="BL774" s="10"/>
      <c r="BM774" s="10"/>
      <c r="BN774" s="10"/>
      <c r="BO774" s="10"/>
      <c r="BP774" s="10"/>
      <c r="BQ774" s="10"/>
      <c r="BR774" s="10"/>
      <c r="BS774" s="10"/>
      <c r="BT774" s="10"/>
      <c r="BU774" s="10"/>
    </row>
    <row r="775" spans="1:73" ht="18" x14ac:dyDescent="0.35">
      <c r="A775" s="43"/>
      <c r="C775" s="393"/>
      <c r="E775" s="394"/>
      <c r="F775" s="394">
        <v>0</v>
      </c>
      <c r="G775" s="394"/>
      <c r="H775" s="8" t="s">
        <v>235</v>
      </c>
      <c r="I775" s="368">
        <f t="shared" si="37"/>
        <v>0</v>
      </c>
      <c r="J775" s="365">
        <f t="shared" si="36"/>
        <v>0</v>
      </c>
      <c r="K775" s="369">
        <f t="shared" si="38"/>
        <v>6</v>
      </c>
      <c r="L775" s="369">
        <f>+IF((C775&gt;='Resultats - informe'!$E$16)*(C775&lt;='Resultats - informe'!$G$16),1,0)</f>
        <v>1</v>
      </c>
      <c r="M775" s="369" cm="1">
        <f t="array" ref="M775">+_xlfn.IFS((C775&gt;='Resultats - informe'!$D$26)*(C775&lt;='Resultats - informe'!$E$26),0,(C775&gt;='Resultats - informe'!$D$27)*(C775&lt;='Resultats - informe'!$E$27),0,(C775&gt;='Resultats - informe'!$D$28)*(C775&lt;='Resultats - informe'!$E$28),0,(C775&gt;='Resultats - informe'!$D$29)*(C775&lt;='Resultats - informe'!$E$29),0,1,1)</f>
        <v>0</v>
      </c>
      <c r="N775" s="366">
        <f>+VLOOKUP(D775,'Resultats - informe'!$Y$18:$AG$42,'Introducció dades consum'!K775+1,0)</f>
        <v>0</v>
      </c>
      <c r="O775" s="370" cm="1">
        <f t="array" ref="O775">+_xlfn.SWITCH(MONTH(C775),1,1,2,1,3,1,4,2,5,2,6,3,7,3,8,3,9,3,10,2,11,2,12,1,2)</f>
        <v>1</v>
      </c>
      <c r="P775" s="43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"/>
      <c r="BD775" s="10"/>
      <c r="BE775" s="10"/>
      <c r="BF775" s="10"/>
      <c r="BG775" s="10"/>
      <c r="BH775" s="10"/>
      <c r="BI775" s="10"/>
      <c r="BJ775" s="10"/>
      <c r="BK775" s="10"/>
      <c r="BL775" s="10"/>
      <c r="BM775" s="10"/>
      <c r="BN775" s="10"/>
      <c r="BO775" s="10"/>
      <c r="BP775" s="10"/>
      <c r="BQ775" s="10"/>
      <c r="BR775" s="10"/>
      <c r="BS775" s="10"/>
      <c r="BT775" s="10"/>
      <c r="BU775" s="10"/>
    </row>
    <row r="776" spans="1:73" ht="18" x14ac:dyDescent="0.35">
      <c r="A776" s="43"/>
      <c r="C776" s="393"/>
      <c r="E776" s="394"/>
      <c r="F776" s="394">
        <v>0</v>
      </c>
      <c r="G776" s="394"/>
      <c r="H776" s="8" t="s">
        <v>235</v>
      </c>
      <c r="I776" s="368">
        <f t="shared" si="37"/>
        <v>0</v>
      </c>
      <c r="J776" s="365">
        <f t="shared" si="36"/>
        <v>0</v>
      </c>
      <c r="K776" s="369">
        <f t="shared" si="38"/>
        <v>6</v>
      </c>
      <c r="L776" s="369">
        <f>+IF((C776&gt;='Resultats - informe'!$E$16)*(C776&lt;='Resultats - informe'!$G$16),1,0)</f>
        <v>1</v>
      </c>
      <c r="M776" s="369" cm="1">
        <f t="array" ref="M776">+_xlfn.IFS((C776&gt;='Resultats - informe'!$D$26)*(C776&lt;='Resultats - informe'!$E$26),0,(C776&gt;='Resultats - informe'!$D$27)*(C776&lt;='Resultats - informe'!$E$27),0,(C776&gt;='Resultats - informe'!$D$28)*(C776&lt;='Resultats - informe'!$E$28),0,(C776&gt;='Resultats - informe'!$D$29)*(C776&lt;='Resultats - informe'!$E$29),0,1,1)</f>
        <v>0</v>
      </c>
      <c r="N776" s="366">
        <f>+VLOOKUP(D776,'Resultats - informe'!$Y$18:$AG$42,'Introducció dades consum'!K776+1,0)</f>
        <v>0</v>
      </c>
      <c r="O776" s="370" cm="1">
        <f t="array" ref="O776">+_xlfn.SWITCH(MONTH(C776),1,1,2,1,3,1,4,2,5,2,6,3,7,3,8,3,9,3,10,2,11,2,12,1,2)</f>
        <v>1</v>
      </c>
      <c r="P776" s="43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10"/>
      <c r="BJ776" s="10"/>
      <c r="BK776" s="10"/>
      <c r="BL776" s="10"/>
      <c r="BM776" s="10"/>
      <c r="BN776" s="10"/>
      <c r="BO776" s="10"/>
      <c r="BP776" s="10"/>
      <c r="BQ776" s="10"/>
      <c r="BR776" s="10"/>
      <c r="BS776" s="10"/>
      <c r="BT776" s="10"/>
      <c r="BU776" s="10"/>
    </row>
    <row r="777" spans="1:73" ht="18" x14ac:dyDescent="0.35">
      <c r="A777" s="43"/>
      <c r="C777" s="393"/>
      <c r="E777" s="394"/>
      <c r="F777" s="394">
        <v>0</v>
      </c>
      <c r="G777" s="394"/>
      <c r="H777" s="8" t="s">
        <v>235</v>
      </c>
      <c r="I777" s="368">
        <f t="shared" si="37"/>
        <v>0</v>
      </c>
      <c r="J777" s="365">
        <f t="shared" si="36"/>
        <v>0</v>
      </c>
      <c r="K777" s="369">
        <f t="shared" si="38"/>
        <v>6</v>
      </c>
      <c r="L777" s="369">
        <f>+IF((C777&gt;='Resultats - informe'!$E$16)*(C777&lt;='Resultats - informe'!$G$16),1,0)</f>
        <v>1</v>
      </c>
      <c r="M777" s="369" cm="1">
        <f t="array" ref="M777">+_xlfn.IFS((C777&gt;='Resultats - informe'!$D$26)*(C777&lt;='Resultats - informe'!$E$26),0,(C777&gt;='Resultats - informe'!$D$27)*(C777&lt;='Resultats - informe'!$E$27),0,(C777&gt;='Resultats - informe'!$D$28)*(C777&lt;='Resultats - informe'!$E$28),0,(C777&gt;='Resultats - informe'!$D$29)*(C777&lt;='Resultats - informe'!$E$29),0,1,1)</f>
        <v>0</v>
      </c>
      <c r="N777" s="366">
        <f>+VLOOKUP(D777,'Resultats - informe'!$Y$18:$AG$42,'Introducció dades consum'!K777+1,0)</f>
        <v>0</v>
      </c>
      <c r="O777" s="370" cm="1">
        <f t="array" ref="O777">+_xlfn.SWITCH(MONTH(C777),1,1,2,1,3,1,4,2,5,2,6,3,7,3,8,3,9,3,10,2,11,2,12,1,2)</f>
        <v>1</v>
      </c>
      <c r="P777" s="43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  <c r="BI777" s="10"/>
      <c r="BJ777" s="10"/>
      <c r="BK777" s="10"/>
      <c r="BL777" s="10"/>
      <c r="BM777" s="10"/>
      <c r="BN777" s="10"/>
      <c r="BO777" s="10"/>
      <c r="BP777" s="10"/>
      <c r="BQ777" s="10"/>
      <c r="BR777" s="10"/>
      <c r="BS777" s="10"/>
      <c r="BT777" s="10"/>
      <c r="BU777" s="10"/>
    </row>
    <row r="778" spans="1:73" ht="18" x14ac:dyDescent="0.35">
      <c r="A778" s="43"/>
      <c r="C778" s="393"/>
      <c r="E778" s="394"/>
      <c r="F778" s="394">
        <v>0</v>
      </c>
      <c r="G778" s="394"/>
      <c r="H778" s="8" t="s">
        <v>235</v>
      </c>
      <c r="I778" s="368">
        <f t="shared" si="37"/>
        <v>0</v>
      </c>
      <c r="J778" s="365">
        <f t="shared" si="36"/>
        <v>0</v>
      </c>
      <c r="K778" s="369">
        <f t="shared" si="38"/>
        <v>6</v>
      </c>
      <c r="L778" s="369">
        <f>+IF((C778&gt;='Resultats - informe'!$E$16)*(C778&lt;='Resultats - informe'!$G$16),1,0)</f>
        <v>1</v>
      </c>
      <c r="M778" s="369" cm="1">
        <f t="array" ref="M778">+_xlfn.IFS((C778&gt;='Resultats - informe'!$D$26)*(C778&lt;='Resultats - informe'!$E$26),0,(C778&gt;='Resultats - informe'!$D$27)*(C778&lt;='Resultats - informe'!$E$27),0,(C778&gt;='Resultats - informe'!$D$28)*(C778&lt;='Resultats - informe'!$E$28),0,(C778&gt;='Resultats - informe'!$D$29)*(C778&lt;='Resultats - informe'!$E$29),0,1,1)</f>
        <v>0</v>
      </c>
      <c r="N778" s="366">
        <f>+VLOOKUP(D778,'Resultats - informe'!$Y$18:$AG$42,'Introducció dades consum'!K778+1,0)</f>
        <v>0</v>
      </c>
      <c r="O778" s="370" cm="1">
        <f t="array" ref="O778">+_xlfn.SWITCH(MONTH(C778),1,1,2,1,3,1,4,2,5,2,6,3,7,3,8,3,9,3,10,2,11,2,12,1,2)</f>
        <v>1</v>
      </c>
      <c r="P778" s="43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10"/>
      <c r="BJ778" s="10"/>
      <c r="BK778" s="10"/>
      <c r="BL778" s="10"/>
      <c r="BM778" s="10"/>
      <c r="BN778" s="10"/>
      <c r="BO778" s="10"/>
      <c r="BP778" s="10"/>
      <c r="BQ778" s="10"/>
      <c r="BR778" s="10"/>
      <c r="BS778" s="10"/>
      <c r="BT778" s="10"/>
      <c r="BU778" s="10"/>
    </row>
    <row r="779" spans="1:73" ht="18" x14ac:dyDescent="0.35">
      <c r="A779" s="43"/>
      <c r="C779" s="393"/>
      <c r="E779" s="394"/>
      <c r="F779" s="394">
        <v>0</v>
      </c>
      <c r="G779" s="394"/>
      <c r="H779" s="8" t="s">
        <v>235</v>
      </c>
      <c r="I779" s="368">
        <f t="shared" si="37"/>
        <v>0</v>
      </c>
      <c r="J779" s="365">
        <f t="shared" si="36"/>
        <v>0</v>
      </c>
      <c r="K779" s="369">
        <f t="shared" si="38"/>
        <v>6</v>
      </c>
      <c r="L779" s="369">
        <f>+IF((C779&gt;='Resultats - informe'!$E$16)*(C779&lt;='Resultats - informe'!$G$16),1,0)</f>
        <v>1</v>
      </c>
      <c r="M779" s="369" cm="1">
        <f t="array" ref="M779">+_xlfn.IFS((C779&gt;='Resultats - informe'!$D$26)*(C779&lt;='Resultats - informe'!$E$26),0,(C779&gt;='Resultats - informe'!$D$27)*(C779&lt;='Resultats - informe'!$E$27),0,(C779&gt;='Resultats - informe'!$D$28)*(C779&lt;='Resultats - informe'!$E$28),0,(C779&gt;='Resultats - informe'!$D$29)*(C779&lt;='Resultats - informe'!$E$29),0,1,1)</f>
        <v>0</v>
      </c>
      <c r="N779" s="366">
        <f>+VLOOKUP(D779,'Resultats - informe'!$Y$18:$AG$42,'Introducció dades consum'!K779+1,0)</f>
        <v>0</v>
      </c>
      <c r="O779" s="370" cm="1">
        <f t="array" ref="O779">+_xlfn.SWITCH(MONTH(C779),1,1,2,1,3,1,4,2,5,2,6,3,7,3,8,3,9,3,10,2,11,2,12,1,2)</f>
        <v>1</v>
      </c>
      <c r="P779" s="43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  <c r="BI779" s="10"/>
      <c r="BJ779" s="10"/>
      <c r="BK779" s="10"/>
      <c r="BL779" s="10"/>
      <c r="BM779" s="10"/>
      <c r="BN779" s="10"/>
      <c r="BO779" s="10"/>
      <c r="BP779" s="10"/>
      <c r="BQ779" s="10"/>
      <c r="BR779" s="10"/>
      <c r="BS779" s="10"/>
      <c r="BT779" s="10"/>
      <c r="BU779" s="10"/>
    </row>
    <row r="780" spans="1:73" ht="18" x14ac:dyDescent="0.35">
      <c r="A780" s="43"/>
      <c r="C780" s="393"/>
      <c r="E780" s="394"/>
      <c r="F780" s="394">
        <v>0.224</v>
      </c>
      <c r="G780" s="394"/>
      <c r="H780" s="8" t="s">
        <v>235</v>
      </c>
      <c r="I780" s="368">
        <f t="shared" si="37"/>
        <v>0</v>
      </c>
      <c r="J780" s="365">
        <f t="shared" si="36"/>
        <v>0</v>
      </c>
      <c r="K780" s="369">
        <f t="shared" si="38"/>
        <v>6</v>
      </c>
      <c r="L780" s="369">
        <f>+IF((C780&gt;='Resultats - informe'!$E$16)*(C780&lt;='Resultats - informe'!$G$16),1,0)</f>
        <v>1</v>
      </c>
      <c r="M780" s="369" cm="1">
        <f t="array" ref="M780">+_xlfn.IFS((C780&gt;='Resultats - informe'!$D$26)*(C780&lt;='Resultats - informe'!$E$26),0,(C780&gt;='Resultats - informe'!$D$27)*(C780&lt;='Resultats - informe'!$E$27),0,(C780&gt;='Resultats - informe'!$D$28)*(C780&lt;='Resultats - informe'!$E$28),0,(C780&gt;='Resultats - informe'!$D$29)*(C780&lt;='Resultats - informe'!$E$29),0,1,1)</f>
        <v>0</v>
      </c>
      <c r="N780" s="366">
        <f>+VLOOKUP(D780,'Resultats - informe'!$Y$18:$AG$42,'Introducció dades consum'!K780+1,0)</f>
        <v>0</v>
      </c>
      <c r="O780" s="370" cm="1">
        <f t="array" ref="O780">+_xlfn.SWITCH(MONTH(C780),1,1,2,1,3,1,4,2,5,2,6,3,7,3,8,3,9,3,10,2,11,2,12,1,2)</f>
        <v>1</v>
      </c>
      <c r="P780" s="43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10"/>
      <c r="BJ780" s="10"/>
      <c r="BK780" s="10"/>
      <c r="BL780" s="10"/>
      <c r="BM780" s="10"/>
      <c r="BN780" s="10"/>
      <c r="BO780" s="10"/>
      <c r="BP780" s="10"/>
      <c r="BQ780" s="10"/>
      <c r="BR780" s="10"/>
      <c r="BS780" s="10"/>
      <c r="BT780" s="10"/>
      <c r="BU780" s="10"/>
    </row>
    <row r="781" spans="1:73" ht="18" x14ac:dyDescent="0.35">
      <c r="A781" s="43"/>
      <c r="C781" s="393"/>
      <c r="E781" s="394"/>
      <c r="F781" s="394">
        <v>0.879</v>
      </c>
      <c r="G781" s="394"/>
      <c r="H781" s="8" t="s">
        <v>235</v>
      </c>
      <c r="I781" s="368">
        <f t="shared" si="37"/>
        <v>0</v>
      </c>
      <c r="J781" s="365">
        <f t="shared" si="36"/>
        <v>0</v>
      </c>
      <c r="K781" s="369">
        <f t="shared" si="38"/>
        <v>6</v>
      </c>
      <c r="L781" s="369">
        <f>+IF((C781&gt;='Resultats - informe'!$E$16)*(C781&lt;='Resultats - informe'!$G$16),1,0)</f>
        <v>1</v>
      </c>
      <c r="M781" s="369" cm="1">
        <f t="array" ref="M781">+_xlfn.IFS((C781&gt;='Resultats - informe'!$D$26)*(C781&lt;='Resultats - informe'!$E$26),0,(C781&gt;='Resultats - informe'!$D$27)*(C781&lt;='Resultats - informe'!$E$27),0,(C781&gt;='Resultats - informe'!$D$28)*(C781&lt;='Resultats - informe'!$E$28),0,(C781&gt;='Resultats - informe'!$D$29)*(C781&lt;='Resultats - informe'!$E$29),0,1,1)</f>
        <v>0</v>
      </c>
      <c r="N781" s="366">
        <f>+VLOOKUP(D781,'Resultats - informe'!$Y$18:$AG$42,'Introducció dades consum'!K781+1,0)</f>
        <v>0</v>
      </c>
      <c r="O781" s="370" cm="1">
        <f t="array" ref="O781">+_xlfn.SWITCH(MONTH(C781),1,1,2,1,3,1,4,2,5,2,6,3,7,3,8,3,9,3,10,2,11,2,12,1,2)</f>
        <v>1</v>
      </c>
      <c r="P781" s="43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10"/>
      <c r="BJ781" s="10"/>
      <c r="BK781" s="10"/>
      <c r="BL781" s="10"/>
      <c r="BM781" s="10"/>
      <c r="BN781" s="10"/>
      <c r="BO781" s="10"/>
      <c r="BP781" s="10"/>
      <c r="BQ781" s="10"/>
      <c r="BR781" s="10"/>
      <c r="BS781" s="10"/>
      <c r="BT781" s="10"/>
      <c r="BU781" s="10"/>
    </row>
    <row r="782" spans="1:73" ht="18" x14ac:dyDescent="0.35">
      <c r="A782" s="43"/>
      <c r="C782" s="393"/>
      <c r="E782" s="394"/>
      <c r="F782" s="394">
        <v>1.446</v>
      </c>
      <c r="G782" s="394"/>
      <c r="H782" s="8" t="s">
        <v>235</v>
      </c>
      <c r="I782" s="368">
        <f t="shared" si="37"/>
        <v>0</v>
      </c>
      <c r="J782" s="365">
        <f t="shared" si="36"/>
        <v>0</v>
      </c>
      <c r="K782" s="369">
        <f t="shared" si="38"/>
        <v>6</v>
      </c>
      <c r="L782" s="369">
        <f>+IF((C782&gt;='Resultats - informe'!$E$16)*(C782&lt;='Resultats - informe'!$G$16),1,0)</f>
        <v>1</v>
      </c>
      <c r="M782" s="369" cm="1">
        <f t="array" ref="M782">+_xlfn.IFS((C782&gt;='Resultats - informe'!$D$26)*(C782&lt;='Resultats - informe'!$E$26),0,(C782&gt;='Resultats - informe'!$D$27)*(C782&lt;='Resultats - informe'!$E$27),0,(C782&gt;='Resultats - informe'!$D$28)*(C782&lt;='Resultats - informe'!$E$28),0,(C782&gt;='Resultats - informe'!$D$29)*(C782&lt;='Resultats - informe'!$E$29),0,1,1)</f>
        <v>0</v>
      </c>
      <c r="N782" s="366">
        <f>+VLOOKUP(D782,'Resultats - informe'!$Y$18:$AG$42,'Introducció dades consum'!K782+1,0)</f>
        <v>0</v>
      </c>
      <c r="O782" s="370" cm="1">
        <f t="array" ref="O782">+_xlfn.SWITCH(MONTH(C782),1,1,2,1,3,1,4,2,5,2,6,3,7,3,8,3,9,3,10,2,11,2,12,1,2)</f>
        <v>1</v>
      </c>
      <c r="P782" s="43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10"/>
      <c r="BJ782" s="10"/>
      <c r="BK782" s="10"/>
      <c r="BL782" s="10"/>
      <c r="BM782" s="10"/>
      <c r="BN782" s="10"/>
      <c r="BO782" s="10"/>
      <c r="BP782" s="10"/>
      <c r="BQ782" s="10"/>
      <c r="BR782" s="10"/>
      <c r="BS782" s="10"/>
      <c r="BT782" s="10"/>
      <c r="BU782" s="10"/>
    </row>
    <row r="783" spans="1:73" ht="18" x14ac:dyDescent="0.35">
      <c r="A783" s="43"/>
      <c r="C783" s="393"/>
      <c r="E783" s="394"/>
      <c r="F783" s="394">
        <v>1.8260000000000001</v>
      </c>
      <c r="G783" s="394"/>
      <c r="H783" s="8" t="s">
        <v>235</v>
      </c>
      <c r="I783" s="368">
        <f t="shared" si="37"/>
        <v>0</v>
      </c>
      <c r="J783" s="365">
        <f t="shared" si="36"/>
        <v>0</v>
      </c>
      <c r="K783" s="369">
        <f t="shared" si="38"/>
        <v>6</v>
      </c>
      <c r="L783" s="369">
        <f>+IF((C783&gt;='Resultats - informe'!$E$16)*(C783&lt;='Resultats - informe'!$G$16),1,0)</f>
        <v>1</v>
      </c>
      <c r="M783" s="369" cm="1">
        <f t="array" ref="M783">+_xlfn.IFS((C783&gt;='Resultats - informe'!$D$26)*(C783&lt;='Resultats - informe'!$E$26),0,(C783&gt;='Resultats - informe'!$D$27)*(C783&lt;='Resultats - informe'!$E$27),0,(C783&gt;='Resultats - informe'!$D$28)*(C783&lt;='Resultats - informe'!$E$28),0,(C783&gt;='Resultats - informe'!$D$29)*(C783&lt;='Resultats - informe'!$E$29),0,1,1)</f>
        <v>0</v>
      </c>
      <c r="N783" s="366">
        <f>+VLOOKUP(D783,'Resultats - informe'!$Y$18:$AG$42,'Introducció dades consum'!K783+1,0)</f>
        <v>0</v>
      </c>
      <c r="O783" s="370" cm="1">
        <f t="array" ref="O783">+_xlfn.SWITCH(MONTH(C783),1,1,2,1,3,1,4,2,5,2,6,3,7,3,8,3,9,3,10,2,11,2,12,1,2)</f>
        <v>1</v>
      </c>
      <c r="P783" s="43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  <c r="BK783" s="10"/>
      <c r="BL783" s="10"/>
      <c r="BM783" s="10"/>
      <c r="BN783" s="10"/>
      <c r="BO783" s="10"/>
      <c r="BP783" s="10"/>
      <c r="BQ783" s="10"/>
      <c r="BR783" s="10"/>
      <c r="BS783" s="10"/>
      <c r="BT783" s="10"/>
      <c r="BU783" s="10"/>
    </row>
    <row r="784" spans="1:73" ht="18" x14ac:dyDescent="0.35">
      <c r="A784" s="43"/>
      <c r="C784" s="393"/>
      <c r="E784" s="394"/>
      <c r="F784" s="394">
        <v>2.0179999999999998</v>
      </c>
      <c r="G784" s="394"/>
      <c r="H784" s="8" t="s">
        <v>235</v>
      </c>
      <c r="I784" s="368">
        <f t="shared" si="37"/>
        <v>0</v>
      </c>
      <c r="J784" s="365">
        <f t="shared" si="36"/>
        <v>0</v>
      </c>
      <c r="K784" s="369">
        <f t="shared" si="38"/>
        <v>6</v>
      </c>
      <c r="L784" s="369">
        <f>+IF((C784&gt;='Resultats - informe'!$E$16)*(C784&lt;='Resultats - informe'!$G$16),1,0)</f>
        <v>1</v>
      </c>
      <c r="M784" s="369" cm="1">
        <f t="array" ref="M784">+_xlfn.IFS((C784&gt;='Resultats - informe'!$D$26)*(C784&lt;='Resultats - informe'!$E$26),0,(C784&gt;='Resultats - informe'!$D$27)*(C784&lt;='Resultats - informe'!$E$27),0,(C784&gt;='Resultats - informe'!$D$28)*(C784&lt;='Resultats - informe'!$E$28),0,(C784&gt;='Resultats - informe'!$D$29)*(C784&lt;='Resultats - informe'!$E$29),0,1,1)</f>
        <v>0</v>
      </c>
      <c r="N784" s="366">
        <f>+VLOOKUP(D784,'Resultats - informe'!$Y$18:$AG$42,'Introducció dades consum'!K784+1,0)</f>
        <v>0</v>
      </c>
      <c r="O784" s="370" cm="1">
        <f t="array" ref="O784">+_xlfn.SWITCH(MONTH(C784),1,1,2,1,3,1,4,2,5,2,6,3,7,3,8,3,9,3,10,2,11,2,12,1,2)</f>
        <v>1</v>
      </c>
      <c r="P784" s="43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10"/>
      <c r="BJ784" s="10"/>
      <c r="BK784" s="10"/>
      <c r="BL784" s="10"/>
      <c r="BM784" s="10"/>
      <c r="BN784" s="10"/>
      <c r="BO784" s="10"/>
      <c r="BP784" s="10"/>
      <c r="BQ784" s="10"/>
      <c r="BR784" s="10"/>
      <c r="BS784" s="10"/>
      <c r="BT784" s="10"/>
      <c r="BU784" s="10"/>
    </row>
    <row r="785" spans="1:73" ht="18" x14ac:dyDescent="0.35">
      <c r="A785" s="43"/>
      <c r="C785" s="393"/>
      <c r="E785" s="394"/>
      <c r="F785" s="394">
        <v>1.8220000000000001</v>
      </c>
      <c r="G785" s="394"/>
      <c r="H785" s="8" t="s">
        <v>235</v>
      </c>
      <c r="I785" s="368">
        <f t="shared" si="37"/>
        <v>0</v>
      </c>
      <c r="J785" s="365">
        <f t="shared" si="36"/>
        <v>0</v>
      </c>
      <c r="K785" s="369">
        <f t="shared" si="38"/>
        <v>6</v>
      </c>
      <c r="L785" s="369">
        <f>+IF((C785&gt;='Resultats - informe'!$E$16)*(C785&lt;='Resultats - informe'!$G$16),1,0)</f>
        <v>1</v>
      </c>
      <c r="M785" s="369" cm="1">
        <f t="array" ref="M785">+_xlfn.IFS((C785&gt;='Resultats - informe'!$D$26)*(C785&lt;='Resultats - informe'!$E$26),0,(C785&gt;='Resultats - informe'!$D$27)*(C785&lt;='Resultats - informe'!$E$27),0,(C785&gt;='Resultats - informe'!$D$28)*(C785&lt;='Resultats - informe'!$E$28),0,(C785&gt;='Resultats - informe'!$D$29)*(C785&lt;='Resultats - informe'!$E$29),0,1,1)</f>
        <v>0</v>
      </c>
      <c r="N785" s="366">
        <f>+VLOOKUP(D785,'Resultats - informe'!$Y$18:$AG$42,'Introducció dades consum'!K785+1,0)</f>
        <v>0</v>
      </c>
      <c r="O785" s="370" cm="1">
        <f t="array" ref="O785">+_xlfn.SWITCH(MONTH(C785),1,1,2,1,3,1,4,2,5,2,6,3,7,3,8,3,9,3,10,2,11,2,12,1,2)</f>
        <v>1</v>
      </c>
      <c r="P785" s="43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  <c r="BT785" s="10"/>
      <c r="BU785" s="10"/>
    </row>
    <row r="786" spans="1:73" ht="18" x14ac:dyDescent="0.35">
      <c r="A786" s="43"/>
      <c r="C786" s="393"/>
      <c r="E786" s="394"/>
      <c r="F786" s="394">
        <v>1.478</v>
      </c>
      <c r="G786" s="394"/>
      <c r="H786" s="8" t="s">
        <v>235</v>
      </c>
      <c r="I786" s="368">
        <f t="shared" si="37"/>
        <v>0</v>
      </c>
      <c r="J786" s="365">
        <f t="shared" si="36"/>
        <v>0</v>
      </c>
      <c r="K786" s="369">
        <f t="shared" si="38"/>
        <v>6</v>
      </c>
      <c r="L786" s="369">
        <f>+IF((C786&gt;='Resultats - informe'!$E$16)*(C786&lt;='Resultats - informe'!$G$16),1,0)</f>
        <v>1</v>
      </c>
      <c r="M786" s="369" cm="1">
        <f t="array" ref="M786">+_xlfn.IFS((C786&gt;='Resultats - informe'!$D$26)*(C786&lt;='Resultats - informe'!$E$26),0,(C786&gt;='Resultats - informe'!$D$27)*(C786&lt;='Resultats - informe'!$E$27),0,(C786&gt;='Resultats - informe'!$D$28)*(C786&lt;='Resultats - informe'!$E$28),0,(C786&gt;='Resultats - informe'!$D$29)*(C786&lt;='Resultats - informe'!$E$29),0,1,1)</f>
        <v>0</v>
      </c>
      <c r="N786" s="366">
        <f>+VLOOKUP(D786,'Resultats - informe'!$Y$18:$AG$42,'Introducció dades consum'!K786+1,0)</f>
        <v>0</v>
      </c>
      <c r="O786" s="370" cm="1">
        <f t="array" ref="O786">+_xlfn.SWITCH(MONTH(C786),1,1,2,1,3,1,4,2,5,2,6,3,7,3,8,3,9,3,10,2,11,2,12,1,2)</f>
        <v>1</v>
      </c>
      <c r="P786" s="43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10"/>
      <c r="BQ786" s="10"/>
      <c r="BR786" s="10"/>
      <c r="BS786" s="10"/>
      <c r="BT786" s="10"/>
      <c r="BU786" s="10"/>
    </row>
    <row r="787" spans="1:73" ht="18" x14ac:dyDescent="0.35">
      <c r="A787" s="43"/>
      <c r="C787" s="393"/>
      <c r="E787" s="394"/>
      <c r="F787" s="394">
        <v>0.90800000000000003</v>
      </c>
      <c r="G787" s="394"/>
      <c r="H787" s="8" t="s">
        <v>235</v>
      </c>
      <c r="I787" s="368">
        <f t="shared" si="37"/>
        <v>0</v>
      </c>
      <c r="J787" s="365">
        <f t="shared" si="36"/>
        <v>0</v>
      </c>
      <c r="K787" s="369">
        <f t="shared" si="38"/>
        <v>6</v>
      </c>
      <c r="L787" s="369">
        <f>+IF((C787&gt;='Resultats - informe'!$E$16)*(C787&lt;='Resultats - informe'!$G$16),1,0)</f>
        <v>1</v>
      </c>
      <c r="M787" s="369" cm="1">
        <f t="array" ref="M787">+_xlfn.IFS((C787&gt;='Resultats - informe'!$D$26)*(C787&lt;='Resultats - informe'!$E$26),0,(C787&gt;='Resultats - informe'!$D$27)*(C787&lt;='Resultats - informe'!$E$27),0,(C787&gt;='Resultats - informe'!$D$28)*(C787&lt;='Resultats - informe'!$E$28),0,(C787&gt;='Resultats - informe'!$D$29)*(C787&lt;='Resultats - informe'!$E$29),0,1,1)</f>
        <v>0</v>
      </c>
      <c r="N787" s="366">
        <f>+VLOOKUP(D787,'Resultats - informe'!$Y$18:$AG$42,'Introducció dades consum'!K787+1,0)</f>
        <v>0</v>
      </c>
      <c r="O787" s="370" cm="1">
        <f t="array" ref="O787">+_xlfn.SWITCH(MONTH(C787),1,1,2,1,3,1,4,2,5,2,6,3,7,3,8,3,9,3,10,2,11,2,12,1,2)</f>
        <v>1</v>
      </c>
      <c r="P787" s="43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10"/>
      <c r="BJ787" s="10"/>
      <c r="BK787" s="10"/>
      <c r="BL787" s="10"/>
      <c r="BM787" s="10"/>
      <c r="BN787" s="10"/>
      <c r="BO787" s="10"/>
      <c r="BP787" s="10"/>
      <c r="BQ787" s="10"/>
      <c r="BR787" s="10"/>
      <c r="BS787" s="10"/>
      <c r="BT787" s="10"/>
      <c r="BU787" s="10"/>
    </row>
    <row r="788" spans="1:73" ht="18" x14ac:dyDescent="0.35">
      <c r="A788" s="43"/>
      <c r="C788" s="393"/>
      <c r="E788" s="394"/>
      <c r="F788" s="394">
        <v>0.246</v>
      </c>
      <c r="G788" s="394"/>
      <c r="H788" s="8" t="s">
        <v>235</v>
      </c>
      <c r="I788" s="368">
        <f t="shared" si="37"/>
        <v>0</v>
      </c>
      <c r="J788" s="365">
        <f t="shared" si="36"/>
        <v>0</v>
      </c>
      <c r="K788" s="369">
        <f t="shared" si="38"/>
        <v>6</v>
      </c>
      <c r="L788" s="369">
        <f>+IF((C788&gt;='Resultats - informe'!$E$16)*(C788&lt;='Resultats - informe'!$G$16),1,0)</f>
        <v>1</v>
      </c>
      <c r="M788" s="369" cm="1">
        <f t="array" ref="M788">+_xlfn.IFS((C788&gt;='Resultats - informe'!$D$26)*(C788&lt;='Resultats - informe'!$E$26),0,(C788&gt;='Resultats - informe'!$D$27)*(C788&lt;='Resultats - informe'!$E$27),0,(C788&gt;='Resultats - informe'!$D$28)*(C788&lt;='Resultats - informe'!$E$28),0,(C788&gt;='Resultats - informe'!$D$29)*(C788&lt;='Resultats - informe'!$E$29),0,1,1)</f>
        <v>0</v>
      </c>
      <c r="N788" s="366">
        <f>+VLOOKUP(D788,'Resultats - informe'!$Y$18:$AG$42,'Introducció dades consum'!K788+1,0)</f>
        <v>0</v>
      </c>
      <c r="O788" s="370" cm="1">
        <f t="array" ref="O788">+_xlfn.SWITCH(MONTH(C788),1,1,2,1,3,1,4,2,5,2,6,3,7,3,8,3,9,3,10,2,11,2,12,1,2)</f>
        <v>1</v>
      </c>
      <c r="P788" s="43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10"/>
      <c r="BJ788" s="10"/>
      <c r="BK788" s="10"/>
      <c r="BL788" s="10"/>
      <c r="BM788" s="10"/>
      <c r="BN788" s="10"/>
      <c r="BO788" s="10"/>
      <c r="BP788" s="10"/>
      <c r="BQ788" s="10"/>
      <c r="BR788" s="10"/>
      <c r="BS788" s="10"/>
      <c r="BT788" s="10"/>
      <c r="BU788" s="10"/>
    </row>
    <row r="789" spans="1:73" ht="18" x14ac:dyDescent="0.35">
      <c r="A789" s="43"/>
      <c r="C789" s="393"/>
      <c r="E789" s="394"/>
      <c r="F789" s="394">
        <v>0</v>
      </c>
      <c r="G789" s="394"/>
      <c r="H789" s="8" t="s">
        <v>235</v>
      </c>
      <c r="I789" s="368">
        <f t="shared" si="37"/>
        <v>0</v>
      </c>
      <c r="J789" s="365">
        <f t="shared" si="36"/>
        <v>0</v>
      </c>
      <c r="K789" s="369">
        <f t="shared" si="38"/>
        <v>6</v>
      </c>
      <c r="L789" s="369">
        <f>+IF((C789&gt;='Resultats - informe'!$E$16)*(C789&lt;='Resultats - informe'!$G$16),1,0)</f>
        <v>1</v>
      </c>
      <c r="M789" s="369" cm="1">
        <f t="array" ref="M789">+_xlfn.IFS((C789&gt;='Resultats - informe'!$D$26)*(C789&lt;='Resultats - informe'!$E$26),0,(C789&gt;='Resultats - informe'!$D$27)*(C789&lt;='Resultats - informe'!$E$27),0,(C789&gt;='Resultats - informe'!$D$28)*(C789&lt;='Resultats - informe'!$E$28),0,(C789&gt;='Resultats - informe'!$D$29)*(C789&lt;='Resultats - informe'!$E$29),0,1,1)</f>
        <v>0</v>
      </c>
      <c r="N789" s="366">
        <f>+VLOOKUP(D789,'Resultats - informe'!$Y$18:$AG$42,'Introducció dades consum'!K789+1,0)</f>
        <v>0</v>
      </c>
      <c r="O789" s="370" cm="1">
        <f t="array" ref="O789">+_xlfn.SWITCH(MONTH(C789),1,1,2,1,3,1,4,2,5,2,6,3,7,3,8,3,9,3,10,2,11,2,12,1,2)</f>
        <v>1</v>
      </c>
      <c r="P789" s="43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10"/>
      <c r="BJ789" s="10"/>
      <c r="BK789" s="10"/>
      <c r="BL789" s="10"/>
      <c r="BM789" s="10"/>
      <c r="BN789" s="10"/>
      <c r="BO789" s="10"/>
      <c r="BP789" s="10"/>
      <c r="BQ789" s="10"/>
      <c r="BR789" s="10"/>
      <c r="BS789" s="10"/>
      <c r="BT789" s="10"/>
      <c r="BU789" s="10"/>
    </row>
    <row r="790" spans="1:73" ht="18" x14ac:dyDescent="0.35">
      <c r="A790" s="43"/>
      <c r="C790" s="393"/>
      <c r="E790" s="394"/>
      <c r="F790" s="394">
        <v>0</v>
      </c>
      <c r="G790" s="394"/>
      <c r="H790" s="8" t="s">
        <v>235</v>
      </c>
      <c r="I790" s="368">
        <f t="shared" si="37"/>
        <v>0</v>
      </c>
      <c r="J790" s="365">
        <f t="shared" si="36"/>
        <v>0</v>
      </c>
      <c r="K790" s="369">
        <f t="shared" si="38"/>
        <v>6</v>
      </c>
      <c r="L790" s="369">
        <f>+IF((C790&gt;='Resultats - informe'!$E$16)*(C790&lt;='Resultats - informe'!$G$16),1,0)</f>
        <v>1</v>
      </c>
      <c r="M790" s="369" cm="1">
        <f t="array" ref="M790">+_xlfn.IFS((C790&gt;='Resultats - informe'!$D$26)*(C790&lt;='Resultats - informe'!$E$26),0,(C790&gt;='Resultats - informe'!$D$27)*(C790&lt;='Resultats - informe'!$E$27),0,(C790&gt;='Resultats - informe'!$D$28)*(C790&lt;='Resultats - informe'!$E$28),0,(C790&gt;='Resultats - informe'!$D$29)*(C790&lt;='Resultats - informe'!$E$29),0,1,1)</f>
        <v>0</v>
      </c>
      <c r="N790" s="366">
        <f>+VLOOKUP(D790,'Resultats - informe'!$Y$18:$AG$42,'Introducció dades consum'!K790+1,0)</f>
        <v>0</v>
      </c>
      <c r="O790" s="370" cm="1">
        <f t="array" ref="O790">+_xlfn.SWITCH(MONTH(C790),1,1,2,1,3,1,4,2,5,2,6,3,7,3,8,3,9,3,10,2,11,2,12,1,2)</f>
        <v>1</v>
      </c>
      <c r="P790" s="43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10"/>
      <c r="BJ790" s="10"/>
      <c r="BK790" s="10"/>
      <c r="BL790" s="10"/>
      <c r="BM790" s="10"/>
      <c r="BN790" s="10"/>
      <c r="BO790" s="10"/>
      <c r="BP790" s="10"/>
      <c r="BQ790" s="10"/>
      <c r="BR790" s="10"/>
      <c r="BS790" s="10"/>
      <c r="BT790" s="10"/>
      <c r="BU790" s="10"/>
    </row>
    <row r="791" spans="1:73" ht="18" x14ac:dyDescent="0.35">
      <c r="A791" s="43"/>
      <c r="C791" s="393"/>
      <c r="E791" s="394"/>
      <c r="F791" s="394">
        <v>0</v>
      </c>
      <c r="G791" s="394"/>
      <c r="H791" s="8" t="s">
        <v>235</v>
      </c>
      <c r="I791" s="368">
        <f t="shared" si="37"/>
        <v>0</v>
      </c>
      <c r="J791" s="365">
        <f t="shared" si="36"/>
        <v>0</v>
      </c>
      <c r="K791" s="369">
        <f t="shared" si="38"/>
        <v>6</v>
      </c>
      <c r="L791" s="369">
        <f>+IF((C791&gt;='Resultats - informe'!$E$16)*(C791&lt;='Resultats - informe'!$G$16),1,0)</f>
        <v>1</v>
      </c>
      <c r="M791" s="369" cm="1">
        <f t="array" ref="M791">+_xlfn.IFS((C791&gt;='Resultats - informe'!$D$26)*(C791&lt;='Resultats - informe'!$E$26),0,(C791&gt;='Resultats - informe'!$D$27)*(C791&lt;='Resultats - informe'!$E$27),0,(C791&gt;='Resultats - informe'!$D$28)*(C791&lt;='Resultats - informe'!$E$28),0,(C791&gt;='Resultats - informe'!$D$29)*(C791&lt;='Resultats - informe'!$E$29),0,1,1)</f>
        <v>0</v>
      </c>
      <c r="N791" s="366">
        <f>+VLOOKUP(D791,'Resultats - informe'!$Y$18:$AG$42,'Introducció dades consum'!K791+1,0)</f>
        <v>0</v>
      </c>
      <c r="O791" s="370" cm="1">
        <f t="array" ref="O791">+_xlfn.SWITCH(MONTH(C791),1,1,2,1,3,1,4,2,5,2,6,3,7,3,8,3,9,3,10,2,11,2,12,1,2)</f>
        <v>1</v>
      </c>
      <c r="P791" s="43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10"/>
      <c r="BJ791" s="10"/>
      <c r="BK791" s="10"/>
      <c r="BL791" s="10"/>
      <c r="BM791" s="10"/>
      <c r="BN791" s="10"/>
      <c r="BO791" s="10"/>
      <c r="BP791" s="10"/>
      <c r="BQ791" s="10"/>
      <c r="BR791" s="10"/>
      <c r="BS791" s="10"/>
      <c r="BT791" s="10"/>
      <c r="BU791" s="10"/>
    </row>
    <row r="792" spans="1:73" ht="18" x14ac:dyDescent="0.35">
      <c r="A792" s="43"/>
      <c r="C792" s="393"/>
      <c r="E792" s="394"/>
      <c r="F792" s="394">
        <v>0</v>
      </c>
      <c r="G792" s="394"/>
      <c r="H792" s="8" t="s">
        <v>235</v>
      </c>
      <c r="I792" s="368">
        <f t="shared" si="37"/>
        <v>0</v>
      </c>
      <c r="J792" s="365">
        <f t="shared" si="36"/>
        <v>0</v>
      </c>
      <c r="K792" s="369">
        <f t="shared" si="38"/>
        <v>6</v>
      </c>
      <c r="L792" s="369">
        <f>+IF((C792&gt;='Resultats - informe'!$E$16)*(C792&lt;='Resultats - informe'!$G$16),1,0)</f>
        <v>1</v>
      </c>
      <c r="M792" s="369" cm="1">
        <f t="array" ref="M792">+_xlfn.IFS((C792&gt;='Resultats - informe'!$D$26)*(C792&lt;='Resultats - informe'!$E$26),0,(C792&gt;='Resultats - informe'!$D$27)*(C792&lt;='Resultats - informe'!$E$27),0,(C792&gt;='Resultats - informe'!$D$28)*(C792&lt;='Resultats - informe'!$E$28),0,(C792&gt;='Resultats - informe'!$D$29)*(C792&lt;='Resultats - informe'!$E$29),0,1,1)</f>
        <v>0</v>
      </c>
      <c r="N792" s="366">
        <f>+VLOOKUP(D792,'Resultats - informe'!$Y$18:$AG$42,'Introducció dades consum'!K792+1,0)</f>
        <v>0</v>
      </c>
      <c r="O792" s="370" cm="1">
        <f t="array" ref="O792">+_xlfn.SWITCH(MONTH(C792),1,1,2,1,3,1,4,2,5,2,6,3,7,3,8,3,9,3,10,2,11,2,12,1,2)</f>
        <v>1</v>
      </c>
      <c r="P792" s="43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10"/>
      <c r="BJ792" s="10"/>
      <c r="BK792" s="10"/>
      <c r="BL792" s="10"/>
      <c r="BM792" s="10"/>
      <c r="BN792" s="10"/>
      <c r="BO792" s="10"/>
      <c r="BP792" s="10"/>
      <c r="BQ792" s="10"/>
      <c r="BR792" s="10"/>
      <c r="BS792" s="10"/>
      <c r="BT792" s="10"/>
      <c r="BU792" s="10"/>
    </row>
    <row r="793" spans="1:73" ht="18" x14ac:dyDescent="0.35">
      <c r="A793" s="43"/>
      <c r="C793" s="393"/>
      <c r="E793" s="394"/>
      <c r="F793" s="394">
        <v>0</v>
      </c>
      <c r="G793" s="394"/>
      <c r="H793" s="8" t="s">
        <v>235</v>
      </c>
      <c r="I793" s="368">
        <f t="shared" si="37"/>
        <v>0</v>
      </c>
      <c r="J793" s="365">
        <f t="shared" si="36"/>
        <v>0</v>
      </c>
      <c r="K793" s="369">
        <f t="shared" si="38"/>
        <v>6</v>
      </c>
      <c r="L793" s="369">
        <f>+IF((C793&gt;='Resultats - informe'!$E$16)*(C793&lt;='Resultats - informe'!$G$16),1,0)</f>
        <v>1</v>
      </c>
      <c r="M793" s="369" cm="1">
        <f t="array" ref="M793">+_xlfn.IFS((C793&gt;='Resultats - informe'!$D$26)*(C793&lt;='Resultats - informe'!$E$26),0,(C793&gt;='Resultats - informe'!$D$27)*(C793&lt;='Resultats - informe'!$E$27),0,(C793&gt;='Resultats - informe'!$D$28)*(C793&lt;='Resultats - informe'!$E$28),0,(C793&gt;='Resultats - informe'!$D$29)*(C793&lt;='Resultats - informe'!$E$29),0,1,1)</f>
        <v>0</v>
      </c>
      <c r="N793" s="366">
        <f>+VLOOKUP(D793,'Resultats - informe'!$Y$18:$AG$42,'Introducció dades consum'!K793+1,0)</f>
        <v>0</v>
      </c>
      <c r="O793" s="370" cm="1">
        <f t="array" ref="O793">+_xlfn.SWITCH(MONTH(C793),1,1,2,1,3,1,4,2,5,2,6,3,7,3,8,3,9,3,10,2,11,2,12,1,2)</f>
        <v>1</v>
      </c>
      <c r="P793" s="43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  <c r="BI793" s="10"/>
      <c r="BJ793" s="10"/>
      <c r="BK793" s="10"/>
      <c r="BL793" s="10"/>
      <c r="BM793" s="10"/>
      <c r="BN793" s="10"/>
      <c r="BO793" s="10"/>
      <c r="BP793" s="10"/>
      <c r="BQ793" s="10"/>
      <c r="BR793" s="10"/>
      <c r="BS793" s="10"/>
      <c r="BT793" s="10"/>
      <c r="BU793" s="10"/>
    </row>
    <row r="794" spans="1:73" ht="18" x14ac:dyDescent="0.35">
      <c r="A794" s="43"/>
      <c r="C794" s="393"/>
      <c r="E794" s="394"/>
      <c r="F794" s="394">
        <v>0</v>
      </c>
      <c r="G794" s="394"/>
      <c r="H794" s="8" t="s">
        <v>235</v>
      </c>
      <c r="I794" s="368">
        <f t="shared" si="37"/>
        <v>0</v>
      </c>
      <c r="J794" s="365">
        <f t="shared" si="36"/>
        <v>0</v>
      </c>
      <c r="K794" s="369">
        <f t="shared" si="38"/>
        <v>6</v>
      </c>
      <c r="L794" s="369">
        <f>+IF((C794&gt;='Resultats - informe'!$E$16)*(C794&lt;='Resultats - informe'!$G$16),1,0)</f>
        <v>1</v>
      </c>
      <c r="M794" s="369" cm="1">
        <f t="array" ref="M794">+_xlfn.IFS((C794&gt;='Resultats - informe'!$D$26)*(C794&lt;='Resultats - informe'!$E$26),0,(C794&gt;='Resultats - informe'!$D$27)*(C794&lt;='Resultats - informe'!$E$27),0,(C794&gt;='Resultats - informe'!$D$28)*(C794&lt;='Resultats - informe'!$E$28),0,(C794&gt;='Resultats - informe'!$D$29)*(C794&lt;='Resultats - informe'!$E$29),0,1,1)</f>
        <v>0</v>
      </c>
      <c r="N794" s="366">
        <f>+VLOOKUP(D794,'Resultats - informe'!$Y$18:$AG$42,'Introducció dades consum'!K794+1,0)</f>
        <v>0</v>
      </c>
      <c r="O794" s="370" cm="1">
        <f t="array" ref="O794">+_xlfn.SWITCH(MONTH(C794),1,1,2,1,3,1,4,2,5,2,6,3,7,3,8,3,9,3,10,2,11,2,12,1,2)</f>
        <v>1</v>
      </c>
      <c r="P794" s="43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  <c r="BE794" s="10"/>
      <c r="BF794" s="10"/>
      <c r="BG794" s="10"/>
      <c r="BH794" s="10"/>
      <c r="BI794" s="10"/>
      <c r="BJ794" s="10"/>
      <c r="BK794" s="10"/>
      <c r="BL794" s="10"/>
      <c r="BM794" s="10"/>
      <c r="BN794" s="10"/>
      <c r="BO794" s="10"/>
      <c r="BP794" s="10"/>
      <c r="BQ794" s="10"/>
      <c r="BR794" s="10"/>
      <c r="BS794" s="10"/>
      <c r="BT794" s="10"/>
      <c r="BU794" s="10"/>
    </row>
    <row r="795" spans="1:73" ht="18" x14ac:dyDescent="0.35">
      <c r="A795" s="43"/>
      <c r="C795" s="393"/>
      <c r="E795" s="394"/>
      <c r="F795" s="394">
        <v>0</v>
      </c>
      <c r="G795" s="394"/>
      <c r="H795" s="8" t="s">
        <v>235</v>
      </c>
      <c r="I795" s="368">
        <f t="shared" si="37"/>
        <v>0</v>
      </c>
      <c r="J795" s="365">
        <f t="shared" si="36"/>
        <v>0</v>
      </c>
      <c r="K795" s="369">
        <f t="shared" si="38"/>
        <v>6</v>
      </c>
      <c r="L795" s="369">
        <f>+IF((C795&gt;='Resultats - informe'!$E$16)*(C795&lt;='Resultats - informe'!$G$16),1,0)</f>
        <v>1</v>
      </c>
      <c r="M795" s="369" cm="1">
        <f t="array" ref="M795">+_xlfn.IFS((C795&gt;='Resultats - informe'!$D$26)*(C795&lt;='Resultats - informe'!$E$26),0,(C795&gt;='Resultats - informe'!$D$27)*(C795&lt;='Resultats - informe'!$E$27),0,(C795&gt;='Resultats - informe'!$D$28)*(C795&lt;='Resultats - informe'!$E$28),0,(C795&gt;='Resultats - informe'!$D$29)*(C795&lt;='Resultats - informe'!$E$29),0,1,1)</f>
        <v>0</v>
      </c>
      <c r="N795" s="366">
        <f>+VLOOKUP(D795,'Resultats - informe'!$Y$18:$AG$42,'Introducció dades consum'!K795+1,0)</f>
        <v>0</v>
      </c>
      <c r="O795" s="370" cm="1">
        <f t="array" ref="O795">+_xlfn.SWITCH(MONTH(C795),1,1,2,1,3,1,4,2,5,2,6,3,7,3,8,3,9,3,10,2,11,2,12,1,2)</f>
        <v>1</v>
      </c>
      <c r="P795" s="43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"/>
      <c r="BD795" s="10"/>
      <c r="BE795" s="10"/>
      <c r="BF795" s="10"/>
      <c r="BG795" s="10"/>
      <c r="BH795" s="10"/>
      <c r="BI795" s="10"/>
      <c r="BJ795" s="10"/>
      <c r="BK795" s="10"/>
      <c r="BL795" s="10"/>
      <c r="BM795" s="10"/>
      <c r="BN795" s="10"/>
      <c r="BO795" s="10"/>
      <c r="BP795" s="10"/>
      <c r="BQ795" s="10"/>
      <c r="BR795" s="10"/>
      <c r="BS795" s="10"/>
      <c r="BT795" s="10"/>
      <c r="BU795" s="10"/>
    </row>
    <row r="796" spans="1:73" ht="18" x14ac:dyDescent="0.35">
      <c r="A796" s="43"/>
      <c r="C796" s="393"/>
      <c r="E796" s="394"/>
      <c r="F796" s="394">
        <v>0</v>
      </c>
      <c r="G796" s="394"/>
      <c r="H796" s="8" t="s">
        <v>235</v>
      </c>
      <c r="I796" s="368">
        <f t="shared" si="37"/>
        <v>0</v>
      </c>
      <c r="J796" s="365">
        <f t="shared" si="36"/>
        <v>0</v>
      </c>
      <c r="K796" s="369">
        <f t="shared" si="38"/>
        <v>6</v>
      </c>
      <c r="L796" s="369">
        <f>+IF((C796&gt;='Resultats - informe'!$E$16)*(C796&lt;='Resultats - informe'!$G$16),1,0)</f>
        <v>1</v>
      </c>
      <c r="M796" s="369" cm="1">
        <f t="array" ref="M796">+_xlfn.IFS((C796&gt;='Resultats - informe'!$D$26)*(C796&lt;='Resultats - informe'!$E$26),0,(C796&gt;='Resultats - informe'!$D$27)*(C796&lt;='Resultats - informe'!$E$27),0,(C796&gt;='Resultats - informe'!$D$28)*(C796&lt;='Resultats - informe'!$E$28),0,(C796&gt;='Resultats - informe'!$D$29)*(C796&lt;='Resultats - informe'!$E$29),0,1,1)</f>
        <v>0</v>
      </c>
      <c r="N796" s="366">
        <f>+VLOOKUP(D796,'Resultats - informe'!$Y$18:$AG$42,'Introducció dades consum'!K796+1,0)</f>
        <v>0</v>
      </c>
      <c r="O796" s="370" cm="1">
        <f t="array" ref="O796">+_xlfn.SWITCH(MONTH(C796),1,1,2,1,3,1,4,2,5,2,6,3,7,3,8,3,9,3,10,2,11,2,12,1,2)</f>
        <v>1</v>
      </c>
      <c r="P796" s="43"/>
      <c r="AS796" s="10"/>
      <c r="AT796" s="10"/>
      <c r="AU796" s="10"/>
      <c r="AV796" s="10"/>
      <c r="AW796" s="10"/>
      <c r="AX796" s="10"/>
      <c r="AY796" s="10"/>
      <c r="AZ796" s="10"/>
      <c r="BA796" s="10"/>
      <c r="BB796" s="10"/>
      <c r="BC796" s="10"/>
      <c r="BD796" s="10"/>
      <c r="BE796" s="10"/>
      <c r="BF796" s="10"/>
      <c r="BG796" s="10"/>
      <c r="BH796" s="10"/>
      <c r="BI796" s="10"/>
      <c r="BJ796" s="10"/>
      <c r="BK796" s="10"/>
      <c r="BL796" s="10"/>
      <c r="BM796" s="10"/>
      <c r="BN796" s="10"/>
      <c r="BO796" s="10"/>
      <c r="BP796" s="10"/>
      <c r="BQ796" s="10"/>
      <c r="BR796" s="10"/>
      <c r="BS796" s="10"/>
      <c r="BT796" s="10"/>
      <c r="BU796" s="10"/>
    </row>
    <row r="797" spans="1:73" ht="18" x14ac:dyDescent="0.35">
      <c r="A797" s="43"/>
      <c r="C797" s="393"/>
      <c r="E797" s="394"/>
      <c r="F797" s="394">
        <v>0</v>
      </c>
      <c r="G797" s="394"/>
      <c r="H797" s="8" t="s">
        <v>235</v>
      </c>
      <c r="I797" s="368">
        <f t="shared" si="37"/>
        <v>0</v>
      </c>
      <c r="J797" s="365">
        <f t="shared" si="36"/>
        <v>0</v>
      </c>
      <c r="K797" s="369">
        <f t="shared" si="38"/>
        <v>6</v>
      </c>
      <c r="L797" s="369">
        <f>+IF((C797&gt;='Resultats - informe'!$E$16)*(C797&lt;='Resultats - informe'!$G$16),1,0)</f>
        <v>1</v>
      </c>
      <c r="M797" s="369" cm="1">
        <f t="array" ref="M797">+_xlfn.IFS((C797&gt;='Resultats - informe'!$D$26)*(C797&lt;='Resultats - informe'!$E$26),0,(C797&gt;='Resultats - informe'!$D$27)*(C797&lt;='Resultats - informe'!$E$27),0,(C797&gt;='Resultats - informe'!$D$28)*(C797&lt;='Resultats - informe'!$E$28),0,(C797&gt;='Resultats - informe'!$D$29)*(C797&lt;='Resultats - informe'!$E$29),0,1,1)</f>
        <v>0</v>
      </c>
      <c r="N797" s="366">
        <f>+VLOOKUP(D797,'Resultats - informe'!$Y$18:$AG$42,'Introducció dades consum'!K797+1,0)</f>
        <v>0</v>
      </c>
      <c r="O797" s="370" cm="1">
        <f t="array" ref="O797">+_xlfn.SWITCH(MONTH(C797),1,1,2,1,3,1,4,2,5,2,6,3,7,3,8,3,9,3,10,2,11,2,12,1,2)</f>
        <v>1</v>
      </c>
      <c r="P797" s="43"/>
      <c r="AS797" s="10"/>
      <c r="AT797" s="10"/>
      <c r="AU797" s="10"/>
      <c r="AV797" s="10"/>
      <c r="AW797" s="10"/>
      <c r="AX797" s="10"/>
      <c r="AY797" s="10"/>
      <c r="AZ797" s="10"/>
      <c r="BA797" s="10"/>
      <c r="BB797" s="10"/>
      <c r="BC797" s="10"/>
      <c r="BD797" s="10"/>
      <c r="BE797" s="10"/>
      <c r="BF797" s="10"/>
      <c r="BG797" s="10"/>
      <c r="BH797" s="10"/>
      <c r="BI797" s="10"/>
      <c r="BJ797" s="10"/>
      <c r="BK797" s="10"/>
      <c r="BL797" s="10"/>
      <c r="BM797" s="10"/>
      <c r="BN797" s="10"/>
      <c r="BO797" s="10"/>
      <c r="BP797" s="10"/>
      <c r="BQ797" s="10"/>
      <c r="BR797" s="10"/>
      <c r="BS797" s="10"/>
      <c r="BT797" s="10"/>
      <c r="BU797" s="10"/>
    </row>
    <row r="798" spans="1:73" ht="18" x14ac:dyDescent="0.35">
      <c r="A798" s="43"/>
      <c r="C798" s="393"/>
      <c r="E798" s="394"/>
      <c r="F798" s="394">
        <v>0</v>
      </c>
      <c r="G798" s="394"/>
      <c r="H798" s="8" t="s">
        <v>235</v>
      </c>
      <c r="I798" s="368">
        <f t="shared" si="37"/>
        <v>0</v>
      </c>
      <c r="J798" s="365">
        <f t="shared" si="36"/>
        <v>0</v>
      </c>
      <c r="K798" s="369">
        <f t="shared" si="38"/>
        <v>6</v>
      </c>
      <c r="L798" s="369">
        <f>+IF((C798&gt;='Resultats - informe'!$E$16)*(C798&lt;='Resultats - informe'!$G$16),1,0)</f>
        <v>1</v>
      </c>
      <c r="M798" s="369" cm="1">
        <f t="array" ref="M798">+_xlfn.IFS((C798&gt;='Resultats - informe'!$D$26)*(C798&lt;='Resultats - informe'!$E$26),0,(C798&gt;='Resultats - informe'!$D$27)*(C798&lt;='Resultats - informe'!$E$27),0,(C798&gt;='Resultats - informe'!$D$28)*(C798&lt;='Resultats - informe'!$E$28),0,(C798&gt;='Resultats - informe'!$D$29)*(C798&lt;='Resultats - informe'!$E$29),0,1,1)</f>
        <v>0</v>
      </c>
      <c r="N798" s="366">
        <f>+VLOOKUP(D798,'Resultats - informe'!$Y$18:$AG$42,'Introducció dades consum'!K798+1,0)</f>
        <v>0</v>
      </c>
      <c r="O798" s="370" cm="1">
        <f t="array" ref="O798">+_xlfn.SWITCH(MONTH(C798),1,1,2,1,3,1,4,2,5,2,6,3,7,3,8,3,9,3,10,2,11,2,12,1,2)</f>
        <v>1</v>
      </c>
      <c r="P798" s="43"/>
      <c r="AS798" s="10"/>
      <c r="AT798" s="10"/>
      <c r="AU798" s="10"/>
      <c r="AV798" s="10"/>
      <c r="AW798" s="10"/>
      <c r="AX798" s="10"/>
      <c r="AY798" s="10"/>
      <c r="AZ798" s="10"/>
      <c r="BA798" s="10"/>
      <c r="BB798" s="10"/>
      <c r="BC798" s="10"/>
      <c r="BD798" s="10"/>
      <c r="BE798" s="10"/>
      <c r="BF798" s="10"/>
      <c r="BG798" s="10"/>
      <c r="BH798" s="10"/>
      <c r="BI798" s="10"/>
      <c r="BJ798" s="10"/>
      <c r="BK798" s="10"/>
      <c r="BL798" s="10"/>
      <c r="BM798" s="10"/>
      <c r="BN798" s="10"/>
      <c r="BO798" s="10"/>
      <c r="BP798" s="10"/>
      <c r="BQ798" s="10"/>
      <c r="BR798" s="10"/>
      <c r="BS798" s="10"/>
      <c r="BT798" s="10"/>
      <c r="BU798" s="10"/>
    </row>
    <row r="799" spans="1:73" ht="18" x14ac:dyDescent="0.35">
      <c r="A799" s="43"/>
      <c r="C799" s="393"/>
      <c r="E799" s="394"/>
      <c r="F799" s="394">
        <v>0</v>
      </c>
      <c r="G799" s="394"/>
      <c r="H799" s="8" t="s">
        <v>235</v>
      </c>
      <c r="I799" s="368">
        <f t="shared" si="37"/>
        <v>0</v>
      </c>
      <c r="J799" s="365">
        <f t="shared" si="36"/>
        <v>0</v>
      </c>
      <c r="K799" s="369">
        <f t="shared" si="38"/>
        <v>6</v>
      </c>
      <c r="L799" s="369">
        <f>+IF((C799&gt;='Resultats - informe'!$E$16)*(C799&lt;='Resultats - informe'!$G$16),1,0)</f>
        <v>1</v>
      </c>
      <c r="M799" s="369" cm="1">
        <f t="array" ref="M799">+_xlfn.IFS((C799&gt;='Resultats - informe'!$D$26)*(C799&lt;='Resultats - informe'!$E$26),0,(C799&gt;='Resultats - informe'!$D$27)*(C799&lt;='Resultats - informe'!$E$27),0,(C799&gt;='Resultats - informe'!$D$28)*(C799&lt;='Resultats - informe'!$E$28),0,(C799&gt;='Resultats - informe'!$D$29)*(C799&lt;='Resultats - informe'!$E$29),0,1,1)</f>
        <v>0</v>
      </c>
      <c r="N799" s="366">
        <f>+VLOOKUP(D799,'Resultats - informe'!$Y$18:$AG$42,'Introducció dades consum'!K799+1,0)</f>
        <v>0</v>
      </c>
      <c r="O799" s="370" cm="1">
        <f t="array" ref="O799">+_xlfn.SWITCH(MONTH(C799),1,1,2,1,3,1,4,2,5,2,6,3,7,3,8,3,9,3,10,2,11,2,12,1,2)</f>
        <v>1</v>
      </c>
      <c r="P799" s="43"/>
      <c r="AS799" s="10"/>
      <c r="AT799" s="10"/>
      <c r="AU799" s="10"/>
      <c r="AV799" s="10"/>
      <c r="AW799" s="10"/>
      <c r="AX799" s="10"/>
      <c r="AY799" s="10"/>
      <c r="AZ799" s="10"/>
      <c r="BA799" s="10"/>
      <c r="BB799" s="10"/>
      <c r="BC799" s="10"/>
      <c r="BD799" s="10"/>
      <c r="BE799" s="10"/>
      <c r="BF799" s="10"/>
      <c r="BG799" s="10"/>
      <c r="BH799" s="10"/>
      <c r="BI799" s="10"/>
      <c r="BJ799" s="10"/>
      <c r="BK799" s="10"/>
      <c r="BL799" s="10"/>
      <c r="BM799" s="10"/>
      <c r="BN799" s="10"/>
      <c r="BO799" s="10"/>
      <c r="BP799" s="10"/>
      <c r="BQ799" s="10"/>
      <c r="BR799" s="10"/>
      <c r="BS799" s="10"/>
      <c r="BT799" s="10"/>
      <c r="BU799" s="10"/>
    </row>
    <row r="800" spans="1:73" ht="18" x14ac:dyDescent="0.35">
      <c r="A800" s="43"/>
      <c r="C800" s="393"/>
      <c r="E800" s="394"/>
      <c r="F800" s="394">
        <v>0</v>
      </c>
      <c r="G800" s="394"/>
      <c r="H800" s="8" t="s">
        <v>235</v>
      </c>
      <c r="I800" s="368">
        <f t="shared" si="37"/>
        <v>0</v>
      </c>
      <c r="J800" s="365">
        <f t="shared" si="36"/>
        <v>0</v>
      </c>
      <c r="K800" s="369">
        <f t="shared" si="38"/>
        <v>6</v>
      </c>
      <c r="L800" s="369">
        <f>+IF((C800&gt;='Resultats - informe'!$E$16)*(C800&lt;='Resultats - informe'!$G$16),1,0)</f>
        <v>1</v>
      </c>
      <c r="M800" s="369" cm="1">
        <f t="array" ref="M800">+_xlfn.IFS((C800&gt;='Resultats - informe'!$D$26)*(C800&lt;='Resultats - informe'!$E$26),0,(C800&gt;='Resultats - informe'!$D$27)*(C800&lt;='Resultats - informe'!$E$27),0,(C800&gt;='Resultats - informe'!$D$28)*(C800&lt;='Resultats - informe'!$E$28),0,(C800&gt;='Resultats - informe'!$D$29)*(C800&lt;='Resultats - informe'!$E$29),0,1,1)</f>
        <v>0</v>
      </c>
      <c r="N800" s="366">
        <f>+VLOOKUP(D800,'Resultats - informe'!$Y$18:$AG$42,'Introducció dades consum'!K800+1,0)</f>
        <v>0</v>
      </c>
      <c r="O800" s="370" cm="1">
        <f t="array" ref="O800">+_xlfn.SWITCH(MONTH(C800),1,1,2,1,3,1,4,2,5,2,6,3,7,3,8,3,9,3,10,2,11,2,12,1,2)</f>
        <v>1</v>
      </c>
      <c r="P800" s="43"/>
      <c r="AS800" s="10"/>
      <c r="AT800" s="10"/>
      <c r="AU800" s="10"/>
      <c r="AV800" s="10"/>
      <c r="AW800" s="10"/>
      <c r="AX800" s="10"/>
      <c r="AY800" s="10"/>
      <c r="AZ800" s="10"/>
      <c r="BA800" s="10"/>
      <c r="BB800" s="10"/>
      <c r="BC800" s="10"/>
      <c r="BD800" s="10"/>
      <c r="BE800" s="10"/>
      <c r="BF800" s="10"/>
      <c r="BG800" s="10"/>
      <c r="BH800" s="10"/>
      <c r="BI800" s="10"/>
      <c r="BJ800" s="10"/>
      <c r="BK800" s="10"/>
      <c r="BL800" s="10"/>
      <c r="BM800" s="10"/>
      <c r="BN800" s="10"/>
      <c r="BO800" s="10"/>
      <c r="BP800" s="10"/>
      <c r="BQ800" s="10"/>
      <c r="BR800" s="10"/>
      <c r="BS800" s="10"/>
      <c r="BT800" s="10"/>
      <c r="BU800" s="10"/>
    </row>
    <row r="801" spans="1:73" ht="18" x14ac:dyDescent="0.35">
      <c r="A801" s="43"/>
      <c r="C801" s="393"/>
      <c r="E801" s="394"/>
      <c r="F801" s="394">
        <v>0</v>
      </c>
      <c r="G801" s="394"/>
      <c r="H801" s="8" t="s">
        <v>235</v>
      </c>
      <c r="I801" s="368">
        <f t="shared" si="37"/>
        <v>0</v>
      </c>
      <c r="J801" s="365">
        <f t="shared" si="36"/>
        <v>0</v>
      </c>
      <c r="K801" s="369">
        <f t="shared" si="38"/>
        <v>6</v>
      </c>
      <c r="L801" s="369">
        <f>+IF((C801&gt;='Resultats - informe'!$E$16)*(C801&lt;='Resultats - informe'!$G$16),1,0)</f>
        <v>1</v>
      </c>
      <c r="M801" s="369" cm="1">
        <f t="array" ref="M801">+_xlfn.IFS((C801&gt;='Resultats - informe'!$D$26)*(C801&lt;='Resultats - informe'!$E$26),0,(C801&gt;='Resultats - informe'!$D$27)*(C801&lt;='Resultats - informe'!$E$27),0,(C801&gt;='Resultats - informe'!$D$28)*(C801&lt;='Resultats - informe'!$E$28),0,(C801&gt;='Resultats - informe'!$D$29)*(C801&lt;='Resultats - informe'!$E$29),0,1,1)</f>
        <v>0</v>
      </c>
      <c r="N801" s="366">
        <f>+VLOOKUP(D801,'Resultats - informe'!$Y$18:$AG$42,'Introducció dades consum'!K801+1,0)</f>
        <v>0</v>
      </c>
      <c r="O801" s="370" cm="1">
        <f t="array" ref="O801">+_xlfn.SWITCH(MONTH(C801),1,1,2,1,3,1,4,2,5,2,6,3,7,3,8,3,9,3,10,2,11,2,12,1,2)</f>
        <v>1</v>
      </c>
      <c r="P801" s="43"/>
      <c r="AS801" s="10"/>
      <c r="AT801" s="10"/>
      <c r="AU801" s="10"/>
      <c r="AV801" s="10"/>
      <c r="AW801" s="10"/>
      <c r="AX801" s="10"/>
      <c r="AY801" s="10"/>
      <c r="AZ801" s="10"/>
      <c r="BA801" s="10"/>
      <c r="BB801" s="10"/>
      <c r="BC801" s="10"/>
      <c r="BD801" s="10"/>
      <c r="BE801" s="10"/>
      <c r="BF801" s="10"/>
      <c r="BG801" s="10"/>
      <c r="BH801" s="10"/>
      <c r="BI801" s="10"/>
      <c r="BJ801" s="10"/>
      <c r="BK801" s="10"/>
      <c r="BL801" s="10"/>
      <c r="BM801" s="10"/>
      <c r="BN801" s="10"/>
      <c r="BO801" s="10"/>
      <c r="BP801" s="10"/>
      <c r="BQ801" s="10"/>
      <c r="BR801" s="10"/>
      <c r="BS801" s="10"/>
      <c r="BT801" s="10"/>
      <c r="BU801" s="10"/>
    </row>
    <row r="802" spans="1:73" ht="18" x14ac:dyDescent="0.35">
      <c r="A802" s="43"/>
      <c r="C802" s="393"/>
      <c r="E802" s="394"/>
      <c r="F802" s="394">
        <v>0</v>
      </c>
      <c r="G802" s="394"/>
      <c r="H802" s="8" t="s">
        <v>235</v>
      </c>
      <c r="I802" s="368">
        <f t="shared" si="37"/>
        <v>0</v>
      </c>
      <c r="J802" s="365">
        <f t="shared" si="36"/>
        <v>0</v>
      </c>
      <c r="K802" s="369">
        <f t="shared" si="38"/>
        <v>6</v>
      </c>
      <c r="L802" s="369">
        <f>+IF((C802&gt;='Resultats - informe'!$E$16)*(C802&lt;='Resultats - informe'!$G$16),1,0)</f>
        <v>1</v>
      </c>
      <c r="M802" s="369" cm="1">
        <f t="array" ref="M802">+_xlfn.IFS((C802&gt;='Resultats - informe'!$D$26)*(C802&lt;='Resultats - informe'!$E$26),0,(C802&gt;='Resultats - informe'!$D$27)*(C802&lt;='Resultats - informe'!$E$27),0,(C802&gt;='Resultats - informe'!$D$28)*(C802&lt;='Resultats - informe'!$E$28),0,(C802&gt;='Resultats - informe'!$D$29)*(C802&lt;='Resultats - informe'!$E$29),0,1,1)</f>
        <v>0</v>
      </c>
      <c r="N802" s="366">
        <f>+VLOOKUP(D802,'Resultats - informe'!$Y$18:$AG$42,'Introducció dades consum'!K802+1,0)</f>
        <v>0</v>
      </c>
      <c r="O802" s="370" cm="1">
        <f t="array" ref="O802">+_xlfn.SWITCH(MONTH(C802),1,1,2,1,3,1,4,2,5,2,6,3,7,3,8,3,9,3,10,2,11,2,12,1,2)</f>
        <v>1</v>
      </c>
      <c r="P802" s="43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"/>
      <c r="BD802" s="10"/>
      <c r="BE802" s="10"/>
      <c r="BF802" s="10"/>
      <c r="BG802" s="10"/>
      <c r="BH802" s="10"/>
      <c r="BI802" s="10"/>
      <c r="BJ802" s="10"/>
      <c r="BK802" s="10"/>
      <c r="BL802" s="10"/>
      <c r="BM802" s="10"/>
      <c r="BN802" s="10"/>
      <c r="BO802" s="10"/>
      <c r="BP802" s="10"/>
      <c r="BQ802" s="10"/>
      <c r="BR802" s="10"/>
      <c r="BS802" s="10"/>
      <c r="BT802" s="10"/>
      <c r="BU802" s="10"/>
    </row>
    <row r="803" spans="1:73" ht="18" x14ac:dyDescent="0.35">
      <c r="A803" s="43"/>
      <c r="C803" s="393"/>
      <c r="E803" s="394"/>
      <c r="F803" s="394">
        <v>0</v>
      </c>
      <c r="G803" s="394"/>
      <c r="H803" s="8" t="s">
        <v>235</v>
      </c>
      <c r="I803" s="368">
        <f t="shared" si="37"/>
        <v>0</v>
      </c>
      <c r="J803" s="365">
        <f t="shared" si="36"/>
        <v>0</v>
      </c>
      <c r="K803" s="369">
        <f t="shared" si="38"/>
        <v>6</v>
      </c>
      <c r="L803" s="369">
        <f>+IF((C803&gt;='Resultats - informe'!$E$16)*(C803&lt;='Resultats - informe'!$G$16),1,0)</f>
        <v>1</v>
      </c>
      <c r="M803" s="369" cm="1">
        <f t="array" ref="M803">+_xlfn.IFS((C803&gt;='Resultats - informe'!$D$26)*(C803&lt;='Resultats - informe'!$E$26),0,(C803&gt;='Resultats - informe'!$D$27)*(C803&lt;='Resultats - informe'!$E$27),0,(C803&gt;='Resultats - informe'!$D$28)*(C803&lt;='Resultats - informe'!$E$28),0,(C803&gt;='Resultats - informe'!$D$29)*(C803&lt;='Resultats - informe'!$E$29),0,1,1)</f>
        <v>0</v>
      </c>
      <c r="N803" s="366">
        <f>+VLOOKUP(D803,'Resultats - informe'!$Y$18:$AG$42,'Introducció dades consum'!K803+1,0)</f>
        <v>0</v>
      </c>
      <c r="O803" s="370" cm="1">
        <f t="array" ref="O803">+_xlfn.SWITCH(MONTH(C803),1,1,2,1,3,1,4,2,5,2,6,3,7,3,8,3,9,3,10,2,11,2,12,1,2)</f>
        <v>1</v>
      </c>
      <c r="P803" s="43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  <c r="BE803" s="10"/>
      <c r="BF803" s="10"/>
      <c r="BG803" s="10"/>
      <c r="BH803" s="10"/>
      <c r="BI803" s="10"/>
      <c r="BJ803" s="10"/>
      <c r="BK803" s="10"/>
      <c r="BL803" s="10"/>
      <c r="BM803" s="10"/>
      <c r="BN803" s="10"/>
      <c r="BO803" s="10"/>
      <c r="BP803" s="10"/>
      <c r="BQ803" s="10"/>
      <c r="BR803" s="10"/>
      <c r="BS803" s="10"/>
      <c r="BT803" s="10"/>
      <c r="BU803" s="10"/>
    </row>
    <row r="804" spans="1:73" ht="18" x14ac:dyDescent="0.35">
      <c r="A804" s="43"/>
      <c r="C804" s="393"/>
      <c r="E804" s="394"/>
      <c r="F804" s="394">
        <v>0.12</v>
      </c>
      <c r="G804" s="394"/>
      <c r="H804" s="8" t="s">
        <v>235</v>
      </c>
      <c r="I804" s="368">
        <f t="shared" si="37"/>
        <v>0</v>
      </c>
      <c r="J804" s="365">
        <f t="shared" si="36"/>
        <v>0</v>
      </c>
      <c r="K804" s="369">
        <f t="shared" si="38"/>
        <v>6</v>
      </c>
      <c r="L804" s="369">
        <f>+IF((C804&gt;='Resultats - informe'!$E$16)*(C804&lt;='Resultats - informe'!$G$16),1,0)</f>
        <v>1</v>
      </c>
      <c r="M804" s="369" cm="1">
        <f t="array" ref="M804">+_xlfn.IFS((C804&gt;='Resultats - informe'!$D$26)*(C804&lt;='Resultats - informe'!$E$26),0,(C804&gt;='Resultats - informe'!$D$27)*(C804&lt;='Resultats - informe'!$E$27),0,(C804&gt;='Resultats - informe'!$D$28)*(C804&lt;='Resultats - informe'!$E$28),0,(C804&gt;='Resultats - informe'!$D$29)*(C804&lt;='Resultats - informe'!$E$29),0,1,1)</f>
        <v>0</v>
      </c>
      <c r="N804" s="366">
        <f>+VLOOKUP(D804,'Resultats - informe'!$Y$18:$AG$42,'Introducció dades consum'!K804+1,0)</f>
        <v>0</v>
      </c>
      <c r="O804" s="370" cm="1">
        <f t="array" ref="O804">+_xlfn.SWITCH(MONTH(C804),1,1,2,1,3,1,4,2,5,2,6,3,7,3,8,3,9,3,10,2,11,2,12,1,2)</f>
        <v>1</v>
      </c>
      <c r="P804" s="43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  <c r="BE804" s="10"/>
      <c r="BF804" s="10"/>
      <c r="BG804" s="10"/>
      <c r="BH804" s="10"/>
      <c r="BI804" s="10"/>
      <c r="BJ804" s="10"/>
      <c r="BK804" s="10"/>
      <c r="BL804" s="10"/>
      <c r="BM804" s="10"/>
      <c r="BN804" s="10"/>
      <c r="BO804" s="10"/>
      <c r="BP804" s="10"/>
      <c r="BQ804" s="10"/>
      <c r="BR804" s="10"/>
      <c r="BS804" s="10"/>
      <c r="BT804" s="10"/>
      <c r="BU804" s="10"/>
    </row>
    <row r="805" spans="1:73" ht="18" x14ac:dyDescent="0.35">
      <c r="A805" s="43"/>
      <c r="C805" s="393"/>
      <c r="E805" s="394"/>
      <c r="F805" s="394">
        <v>0</v>
      </c>
      <c r="G805" s="394"/>
      <c r="H805" s="8" t="s">
        <v>235</v>
      </c>
      <c r="I805" s="368">
        <f t="shared" si="37"/>
        <v>0</v>
      </c>
      <c r="J805" s="365">
        <f t="shared" si="36"/>
        <v>0</v>
      </c>
      <c r="K805" s="369">
        <f t="shared" si="38"/>
        <v>6</v>
      </c>
      <c r="L805" s="369">
        <f>+IF((C805&gt;='Resultats - informe'!$E$16)*(C805&lt;='Resultats - informe'!$G$16),1,0)</f>
        <v>1</v>
      </c>
      <c r="M805" s="369" cm="1">
        <f t="array" ref="M805">+_xlfn.IFS((C805&gt;='Resultats - informe'!$D$26)*(C805&lt;='Resultats - informe'!$E$26),0,(C805&gt;='Resultats - informe'!$D$27)*(C805&lt;='Resultats - informe'!$E$27),0,(C805&gt;='Resultats - informe'!$D$28)*(C805&lt;='Resultats - informe'!$E$28),0,(C805&gt;='Resultats - informe'!$D$29)*(C805&lt;='Resultats - informe'!$E$29),0,1,1)</f>
        <v>0</v>
      </c>
      <c r="N805" s="366">
        <f>+VLOOKUP(D805,'Resultats - informe'!$Y$18:$AG$42,'Introducció dades consum'!K805+1,0)</f>
        <v>0</v>
      </c>
      <c r="O805" s="370" cm="1">
        <f t="array" ref="O805">+_xlfn.SWITCH(MONTH(C805),1,1,2,1,3,1,4,2,5,2,6,3,7,3,8,3,9,3,10,2,11,2,12,1,2)</f>
        <v>1</v>
      </c>
      <c r="P805" s="43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  <c r="BE805" s="10"/>
      <c r="BF805" s="10"/>
      <c r="BG805" s="10"/>
      <c r="BH805" s="10"/>
      <c r="BI805" s="10"/>
      <c r="BJ805" s="10"/>
      <c r="BK805" s="10"/>
      <c r="BL805" s="10"/>
      <c r="BM805" s="10"/>
      <c r="BN805" s="10"/>
      <c r="BO805" s="10"/>
      <c r="BP805" s="10"/>
      <c r="BQ805" s="10"/>
      <c r="BR805" s="10"/>
      <c r="BS805" s="10"/>
      <c r="BT805" s="10"/>
      <c r="BU805" s="10"/>
    </row>
    <row r="806" spans="1:73" ht="18" x14ac:dyDescent="0.35">
      <c r="A806" s="43"/>
      <c r="C806" s="393"/>
      <c r="E806" s="394"/>
      <c r="F806" s="394">
        <v>0.19800000000000001</v>
      </c>
      <c r="G806" s="394"/>
      <c r="H806" s="8" t="s">
        <v>235</v>
      </c>
      <c r="I806" s="368">
        <f t="shared" si="37"/>
        <v>0</v>
      </c>
      <c r="J806" s="365">
        <f t="shared" si="36"/>
        <v>0</v>
      </c>
      <c r="K806" s="369">
        <f t="shared" si="38"/>
        <v>6</v>
      </c>
      <c r="L806" s="369">
        <f>+IF((C806&gt;='Resultats - informe'!$E$16)*(C806&lt;='Resultats - informe'!$G$16),1,0)</f>
        <v>1</v>
      </c>
      <c r="M806" s="369" cm="1">
        <f t="array" ref="M806">+_xlfn.IFS((C806&gt;='Resultats - informe'!$D$26)*(C806&lt;='Resultats - informe'!$E$26),0,(C806&gt;='Resultats - informe'!$D$27)*(C806&lt;='Resultats - informe'!$E$27),0,(C806&gt;='Resultats - informe'!$D$28)*(C806&lt;='Resultats - informe'!$E$28),0,(C806&gt;='Resultats - informe'!$D$29)*(C806&lt;='Resultats - informe'!$E$29),0,1,1)</f>
        <v>0</v>
      </c>
      <c r="N806" s="366">
        <f>+VLOOKUP(D806,'Resultats - informe'!$Y$18:$AG$42,'Introducció dades consum'!K806+1,0)</f>
        <v>0</v>
      </c>
      <c r="O806" s="370" cm="1">
        <f t="array" ref="O806">+_xlfn.SWITCH(MONTH(C806),1,1,2,1,3,1,4,2,5,2,6,3,7,3,8,3,9,3,10,2,11,2,12,1,2)</f>
        <v>1</v>
      </c>
      <c r="P806" s="43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  <c r="BE806" s="10"/>
      <c r="BF806" s="10"/>
      <c r="BG806" s="10"/>
      <c r="BH806" s="10"/>
      <c r="BI806" s="10"/>
      <c r="BJ806" s="10"/>
      <c r="BK806" s="10"/>
      <c r="BL806" s="10"/>
      <c r="BM806" s="10"/>
      <c r="BN806" s="10"/>
      <c r="BO806" s="10"/>
      <c r="BP806" s="10"/>
      <c r="BQ806" s="10"/>
      <c r="BR806" s="10"/>
      <c r="BS806" s="10"/>
      <c r="BT806" s="10"/>
      <c r="BU806" s="10"/>
    </row>
    <row r="807" spans="1:73" ht="18" x14ac:dyDescent="0.35">
      <c r="A807" s="43"/>
      <c r="C807" s="393"/>
      <c r="E807" s="394"/>
      <c r="F807" s="394">
        <v>0</v>
      </c>
      <c r="G807" s="394"/>
      <c r="H807" s="8" t="s">
        <v>235</v>
      </c>
      <c r="I807" s="368">
        <f t="shared" si="37"/>
        <v>0</v>
      </c>
      <c r="J807" s="365">
        <f t="shared" si="36"/>
        <v>0</v>
      </c>
      <c r="K807" s="369">
        <f t="shared" si="38"/>
        <v>6</v>
      </c>
      <c r="L807" s="369">
        <f>+IF((C807&gt;='Resultats - informe'!$E$16)*(C807&lt;='Resultats - informe'!$G$16),1,0)</f>
        <v>1</v>
      </c>
      <c r="M807" s="369" cm="1">
        <f t="array" ref="M807">+_xlfn.IFS((C807&gt;='Resultats - informe'!$D$26)*(C807&lt;='Resultats - informe'!$E$26),0,(C807&gt;='Resultats - informe'!$D$27)*(C807&lt;='Resultats - informe'!$E$27),0,(C807&gt;='Resultats - informe'!$D$28)*(C807&lt;='Resultats - informe'!$E$28),0,(C807&gt;='Resultats - informe'!$D$29)*(C807&lt;='Resultats - informe'!$E$29),0,1,1)</f>
        <v>0</v>
      </c>
      <c r="N807" s="366">
        <f>+VLOOKUP(D807,'Resultats - informe'!$Y$18:$AG$42,'Introducció dades consum'!K807+1,0)</f>
        <v>0</v>
      </c>
      <c r="O807" s="370" cm="1">
        <f t="array" ref="O807">+_xlfn.SWITCH(MONTH(C807),1,1,2,1,3,1,4,2,5,2,6,3,7,3,8,3,9,3,10,2,11,2,12,1,2)</f>
        <v>1</v>
      </c>
      <c r="P807" s="43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  <c r="BE807" s="10"/>
      <c r="BF807" s="10"/>
      <c r="BG807" s="10"/>
      <c r="BH807" s="10"/>
      <c r="BI807" s="10"/>
      <c r="BJ807" s="10"/>
      <c r="BK807" s="10"/>
      <c r="BL807" s="10"/>
      <c r="BM807" s="10"/>
      <c r="BN807" s="10"/>
      <c r="BO807" s="10"/>
      <c r="BP807" s="10"/>
      <c r="BQ807" s="10"/>
      <c r="BR807" s="10"/>
      <c r="BS807" s="10"/>
      <c r="BT807" s="10"/>
      <c r="BU807" s="10"/>
    </row>
    <row r="808" spans="1:73" ht="18" x14ac:dyDescent="0.35">
      <c r="A808" s="43"/>
      <c r="C808" s="393"/>
      <c r="E808" s="394"/>
      <c r="F808" s="394">
        <v>0</v>
      </c>
      <c r="G808" s="394"/>
      <c r="H808" s="8" t="s">
        <v>235</v>
      </c>
      <c r="I808" s="368">
        <f t="shared" si="37"/>
        <v>0</v>
      </c>
      <c r="J808" s="365">
        <f t="shared" si="36"/>
        <v>0</v>
      </c>
      <c r="K808" s="369">
        <f t="shared" si="38"/>
        <v>6</v>
      </c>
      <c r="L808" s="369">
        <f>+IF((C808&gt;='Resultats - informe'!$E$16)*(C808&lt;='Resultats - informe'!$G$16),1,0)</f>
        <v>1</v>
      </c>
      <c r="M808" s="369" cm="1">
        <f t="array" ref="M808">+_xlfn.IFS((C808&gt;='Resultats - informe'!$D$26)*(C808&lt;='Resultats - informe'!$E$26),0,(C808&gt;='Resultats - informe'!$D$27)*(C808&lt;='Resultats - informe'!$E$27),0,(C808&gt;='Resultats - informe'!$D$28)*(C808&lt;='Resultats - informe'!$E$28),0,(C808&gt;='Resultats - informe'!$D$29)*(C808&lt;='Resultats - informe'!$E$29),0,1,1)</f>
        <v>0</v>
      </c>
      <c r="N808" s="366">
        <f>+VLOOKUP(D808,'Resultats - informe'!$Y$18:$AG$42,'Introducció dades consum'!K808+1,0)</f>
        <v>0</v>
      </c>
      <c r="O808" s="370" cm="1">
        <f t="array" ref="O808">+_xlfn.SWITCH(MONTH(C808),1,1,2,1,3,1,4,2,5,2,6,3,7,3,8,3,9,3,10,2,11,2,12,1,2)</f>
        <v>1</v>
      </c>
      <c r="P808" s="43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  <c r="BE808" s="10"/>
      <c r="BF808" s="10"/>
      <c r="BG808" s="10"/>
      <c r="BH808" s="10"/>
      <c r="BI808" s="10"/>
      <c r="BJ808" s="10"/>
      <c r="BK808" s="10"/>
      <c r="BL808" s="10"/>
      <c r="BM808" s="10"/>
      <c r="BN808" s="10"/>
      <c r="BO808" s="10"/>
      <c r="BP808" s="10"/>
      <c r="BQ808" s="10"/>
      <c r="BR808" s="10"/>
      <c r="BS808" s="10"/>
      <c r="BT808" s="10"/>
      <c r="BU808" s="10"/>
    </row>
    <row r="809" spans="1:73" ht="18" x14ac:dyDescent="0.35">
      <c r="A809" s="43"/>
      <c r="C809" s="393"/>
      <c r="E809" s="394"/>
      <c r="F809" s="394">
        <v>0.23899999999999999</v>
      </c>
      <c r="G809" s="394"/>
      <c r="H809" s="8" t="s">
        <v>235</v>
      </c>
      <c r="I809" s="368">
        <f t="shared" si="37"/>
        <v>0</v>
      </c>
      <c r="J809" s="365">
        <f t="shared" si="36"/>
        <v>0</v>
      </c>
      <c r="K809" s="369">
        <f t="shared" si="38"/>
        <v>6</v>
      </c>
      <c r="L809" s="369">
        <f>+IF((C809&gt;='Resultats - informe'!$E$16)*(C809&lt;='Resultats - informe'!$G$16),1,0)</f>
        <v>1</v>
      </c>
      <c r="M809" s="369" cm="1">
        <f t="array" ref="M809">+_xlfn.IFS((C809&gt;='Resultats - informe'!$D$26)*(C809&lt;='Resultats - informe'!$E$26),0,(C809&gt;='Resultats - informe'!$D$27)*(C809&lt;='Resultats - informe'!$E$27),0,(C809&gt;='Resultats - informe'!$D$28)*(C809&lt;='Resultats - informe'!$E$28),0,(C809&gt;='Resultats - informe'!$D$29)*(C809&lt;='Resultats - informe'!$E$29),0,1,1)</f>
        <v>0</v>
      </c>
      <c r="N809" s="366">
        <f>+VLOOKUP(D809,'Resultats - informe'!$Y$18:$AG$42,'Introducció dades consum'!K809+1,0)</f>
        <v>0</v>
      </c>
      <c r="O809" s="370" cm="1">
        <f t="array" ref="O809">+_xlfn.SWITCH(MONTH(C809),1,1,2,1,3,1,4,2,5,2,6,3,7,3,8,3,9,3,10,2,11,2,12,1,2)</f>
        <v>1</v>
      </c>
      <c r="P809" s="43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  <c r="BE809" s="10"/>
      <c r="BF809" s="10"/>
      <c r="BG809" s="10"/>
      <c r="BH809" s="10"/>
      <c r="BI809" s="10"/>
      <c r="BJ809" s="10"/>
      <c r="BK809" s="10"/>
      <c r="BL809" s="10"/>
      <c r="BM809" s="10"/>
      <c r="BN809" s="10"/>
      <c r="BO809" s="10"/>
      <c r="BP809" s="10"/>
      <c r="BQ809" s="10"/>
      <c r="BR809" s="10"/>
      <c r="BS809" s="10"/>
      <c r="BT809" s="10"/>
      <c r="BU809" s="10"/>
    </row>
    <row r="810" spans="1:73" ht="18" x14ac:dyDescent="0.35">
      <c r="A810" s="43"/>
      <c r="C810" s="393"/>
      <c r="E810" s="394"/>
      <c r="F810" s="394">
        <v>0.77300000000000002</v>
      </c>
      <c r="G810" s="394"/>
      <c r="H810" s="8" t="s">
        <v>235</v>
      </c>
      <c r="I810" s="368">
        <f t="shared" si="37"/>
        <v>0</v>
      </c>
      <c r="J810" s="365">
        <f t="shared" si="36"/>
        <v>0</v>
      </c>
      <c r="K810" s="369">
        <f t="shared" si="38"/>
        <v>6</v>
      </c>
      <c r="L810" s="369">
        <f>+IF((C810&gt;='Resultats - informe'!$E$16)*(C810&lt;='Resultats - informe'!$G$16),1,0)</f>
        <v>1</v>
      </c>
      <c r="M810" s="369" cm="1">
        <f t="array" ref="M810">+_xlfn.IFS((C810&gt;='Resultats - informe'!$D$26)*(C810&lt;='Resultats - informe'!$E$26),0,(C810&gt;='Resultats - informe'!$D$27)*(C810&lt;='Resultats - informe'!$E$27),0,(C810&gt;='Resultats - informe'!$D$28)*(C810&lt;='Resultats - informe'!$E$28),0,(C810&gt;='Resultats - informe'!$D$29)*(C810&lt;='Resultats - informe'!$E$29),0,1,1)</f>
        <v>0</v>
      </c>
      <c r="N810" s="366">
        <f>+VLOOKUP(D810,'Resultats - informe'!$Y$18:$AG$42,'Introducció dades consum'!K810+1,0)</f>
        <v>0</v>
      </c>
      <c r="O810" s="370" cm="1">
        <f t="array" ref="O810">+_xlfn.SWITCH(MONTH(C810),1,1,2,1,3,1,4,2,5,2,6,3,7,3,8,3,9,3,10,2,11,2,12,1,2)</f>
        <v>1</v>
      </c>
      <c r="P810" s="43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  <c r="BT810" s="10"/>
      <c r="BU810" s="10"/>
    </row>
    <row r="811" spans="1:73" ht="18" x14ac:dyDescent="0.35">
      <c r="A811" s="43"/>
      <c r="C811" s="393"/>
      <c r="E811" s="394"/>
      <c r="F811" s="394">
        <v>4.2000000000000003E-2</v>
      </c>
      <c r="G811" s="394"/>
      <c r="H811" s="8" t="s">
        <v>235</v>
      </c>
      <c r="I811" s="368">
        <f t="shared" si="37"/>
        <v>0</v>
      </c>
      <c r="J811" s="365">
        <f t="shared" si="36"/>
        <v>0</v>
      </c>
      <c r="K811" s="369">
        <f t="shared" si="38"/>
        <v>6</v>
      </c>
      <c r="L811" s="369">
        <f>+IF((C811&gt;='Resultats - informe'!$E$16)*(C811&lt;='Resultats - informe'!$G$16),1,0)</f>
        <v>1</v>
      </c>
      <c r="M811" s="369" cm="1">
        <f t="array" ref="M811">+_xlfn.IFS((C811&gt;='Resultats - informe'!$D$26)*(C811&lt;='Resultats - informe'!$E$26),0,(C811&gt;='Resultats - informe'!$D$27)*(C811&lt;='Resultats - informe'!$E$27),0,(C811&gt;='Resultats - informe'!$D$28)*(C811&lt;='Resultats - informe'!$E$28),0,(C811&gt;='Resultats - informe'!$D$29)*(C811&lt;='Resultats - informe'!$E$29),0,1,1)</f>
        <v>0</v>
      </c>
      <c r="N811" s="366">
        <f>+VLOOKUP(D811,'Resultats - informe'!$Y$18:$AG$42,'Introducció dades consum'!K811+1,0)</f>
        <v>0</v>
      </c>
      <c r="O811" s="370" cm="1">
        <f t="array" ref="O811">+_xlfn.SWITCH(MONTH(C811),1,1,2,1,3,1,4,2,5,2,6,3,7,3,8,3,9,3,10,2,11,2,12,1,2)</f>
        <v>1</v>
      </c>
      <c r="P811" s="43"/>
      <c r="AS811" s="10"/>
      <c r="AT811" s="10"/>
      <c r="AU811" s="10"/>
      <c r="AV811" s="10"/>
      <c r="AW811" s="10"/>
      <c r="AX811" s="10"/>
      <c r="AY811" s="10"/>
      <c r="AZ811" s="10"/>
      <c r="BA811" s="10"/>
      <c r="BB811" s="10"/>
      <c r="BC811" s="10"/>
      <c r="BD811" s="10"/>
      <c r="BE811" s="10"/>
      <c r="BF811" s="10"/>
      <c r="BG811" s="10"/>
      <c r="BH811" s="10"/>
      <c r="BI811" s="10"/>
      <c r="BJ811" s="10"/>
      <c r="BK811" s="10"/>
      <c r="BL811" s="10"/>
      <c r="BM811" s="10"/>
      <c r="BN811" s="10"/>
      <c r="BO811" s="10"/>
      <c r="BP811" s="10"/>
      <c r="BQ811" s="10"/>
      <c r="BR811" s="10"/>
      <c r="BS811" s="10"/>
      <c r="BT811" s="10"/>
      <c r="BU811" s="10"/>
    </row>
    <row r="812" spans="1:73" ht="18" x14ac:dyDescent="0.35">
      <c r="A812" s="43"/>
      <c r="C812" s="393"/>
      <c r="E812" s="394"/>
      <c r="F812" s="394">
        <v>0.44400000000000001</v>
      </c>
      <c r="G812" s="394"/>
      <c r="H812" s="8" t="s">
        <v>235</v>
      </c>
      <c r="I812" s="368">
        <f t="shared" si="37"/>
        <v>0</v>
      </c>
      <c r="J812" s="365">
        <f t="shared" si="36"/>
        <v>0</v>
      </c>
      <c r="K812" s="369">
        <f t="shared" si="38"/>
        <v>6</v>
      </c>
      <c r="L812" s="369">
        <f>+IF((C812&gt;='Resultats - informe'!$E$16)*(C812&lt;='Resultats - informe'!$G$16),1,0)</f>
        <v>1</v>
      </c>
      <c r="M812" s="369" cm="1">
        <f t="array" ref="M812">+_xlfn.IFS((C812&gt;='Resultats - informe'!$D$26)*(C812&lt;='Resultats - informe'!$E$26),0,(C812&gt;='Resultats - informe'!$D$27)*(C812&lt;='Resultats - informe'!$E$27),0,(C812&gt;='Resultats - informe'!$D$28)*(C812&lt;='Resultats - informe'!$E$28),0,(C812&gt;='Resultats - informe'!$D$29)*(C812&lt;='Resultats - informe'!$E$29),0,1,1)</f>
        <v>0</v>
      </c>
      <c r="N812" s="366">
        <f>+VLOOKUP(D812,'Resultats - informe'!$Y$18:$AG$42,'Introducció dades consum'!K812+1,0)</f>
        <v>0</v>
      </c>
      <c r="O812" s="370" cm="1">
        <f t="array" ref="O812">+_xlfn.SWITCH(MONTH(C812),1,1,2,1,3,1,4,2,5,2,6,3,7,3,8,3,9,3,10,2,11,2,12,1,2)</f>
        <v>1</v>
      </c>
      <c r="P812" s="43"/>
      <c r="AS812" s="10"/>
      <c r="AT812" s="10"/>
      <c r="AU812" s="10"/>
      <c r="AV812" s="10"/>
      <c r="AW812" s="10"/>
      <c r="AX812" s="10"/>
      <c r="AY812" s="10"/>
      <c r="AZ812" s="10"/>
      <c r="BA812" s="10"/>
      <c r="BB812" s="10"/>
      <c r="BC812" s="10"/>
      <c r="BD812" s="10"/>
      <c r="BE812" s="10"/>
      <c r="BF812" s="10"/>
      <c r="BG812" s="10"/>
      <c r="BH812" s="10"/>
      <c r="BI812" s="10"/>
      <c r="BJ812" s="10"/>
      <c r="BK812" s="10"/>
      <c r="BL812" s="10"/>
      <c r="BM812" s="10"/>
      <c r="BN812" s="10"/>
      <c r="BO812" s="10"/>
      <c r="BP812" s="10"/>
      <c r="BQ812" s="10"/>
      <c r="BR812" s="10"/>
      <c r="BS812" s="10"/>
      <c r="BT812" s="10"/>
      <c r="BU812" s="10"/>
    </row>
    <row r="813" spans="1:73" ht="18" x14ac:dyDescent="0.35">
      <c r="A813" s="43"/>
      <c r="C813" s="393"/>
      <c r="E813" s="394"/>
      <c r="F813" s="394">
        <v>0</v>
      </c>
      <c r="G813" s="394"/>
      <c r="H813" s="8" t="s">
        <v>235</v>
      </c>
      <c r="I813" s="368">
        <f t="shared" si="37"/>
        <v>0</v>
      </c>
      <c r="J813" s="365">
        <f t="shared" si="36"/>
        <v>0</v>
      </c>
      <c r="K813" s="369">
        <f t="shared" si="38"/>
        <v>6</v>
      </c>
      <c r="L813" s="369">
        <f>+IF((C813&gt;='Resultats - informe'!$E$16)*(C813&lt;='Resultats - informe'!$G$16),1,0)</f>
        <v>1</v>
      </c>
      <c r="M813" s="369" cm="1">
        <f t="array" ref="M813">+_xlfn.IFS((C813&gt;='Resultats - informe'!$D$26)*(C813&lt;='Resultats - informe'!$E$26),0,(C813&gt;='Resultats - informe'!$D$27)*(C813&lt;='Resultats - informe'!$E$27),0,(C813&gt;='Resultats - informe'!$D$28)*(C813&lt;='Resultats - informe'!$E$28),0,(C813&gt;='Resultats - informe'!$D$29)*(C813&lt;='Resultats - informe'!$E$29),0,1,1)</f>
        <v>0</v>
      </c>
      <c r="N813" s="366">
        <f>+VLOOKUP(D813,'Resultats - informe'!$Y$18:$AG$42,'Introducció dades consum'!K813+1,0)</f>
        <v>0</v>
      </c>
      <c r="O813" s="370" cm="1">
        <f t="array" ref="O813">+_xlfn.SWITCH(MONTH(C813),1,1,2,1,3,1,4,2,5,2,6,3,7,3,8,3,9,3,10,2,11,2,12,1,2)</f>
        <v>1</v>
      </c>
      <c r="P813" s="43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  <c r="BI813" s="10"/>
      <c r="BJ813" s="10"/>
      <c r="BK813" s="10"/>
      <c r="BL813" s="10"/>
      <c r="BM813" s="10"/>
      <c r="BN813" s="10"/>
      <c r="BO813" s="10"/>
      <c r="BP813" s="10"/>
      <c r="BQ813" s="10"/>
      <c r="BR813" s="10"/>
      <c r="BS813" s="10"/>
      <c r="BT813" s="10"/>
      <c r="BU813" s="10"/>
    </row>
    <row r="814" spans="1:73" ht="18" x14ac:dyDescent="0.35">
      <c r="A814" s="43"/>
      <c r="C814" s="393"/>
      <c r="E814" s="394"/>
      <c r="F814" s="394">
        <v>0</v>
      </c>
      <c r="G814" s="394"/>
      <c r="H814" s="8" t="s">
        <v>235</v>
      </c>
      <c r="I814" s="368">
        <f t="shared" si="37"/>
        <v>0</v>
      </c>
      <c r="J814" s="365">
        <f t="shared" si="36"/>
        <v>0</v>
      </c>
      <c r="K814" s="369">
        <f t="shared" si="38"/>
        <v>6</v>
      </c>
      <c r="L814" s="369">
        <f>+IF((C814&gt;='Resultats - informe'!$E$16)*(C814&lt;='Resultats - informe'!$G$16),1,0)</f>
        <v>1</v>
      </c>
      <c r="M814" s="369" cm="1">
        <f t="array" ref="M814">+_xlfn.IFS((C814&gt;='Resultats - informe'!$D$26)*(C814&lt;='Resultats - informe'!$E$26),0,(C814&gt;='Resultats - informe'!$D$27)*(C814&lt;='Resultats - informe'!$E$27),0,(C814&gt;='Resultats - informe'!$D$28)*(C814&lt;='Resultats - informe'!$E$28),0,(C814&gt;='Resultats - informe'!$D$29)*(C814&lt;='Resultats - informe'!$E$29),0,1,1)</f>
        <v>0</v>
      </c>
      <c r="N814" s="366">
        <f>+VLOOKUP(D814,'Resultats - informe'!$Y$18:$AG$42,'Introducció dades consum'!K814+1,0)</f>
        <v>0</v>
      </c>
      <c r="O814" s="370" cm="1">
        <f t="array" ref="O814">+_xlfn.SWITCH(MONTH(C814),1,1,2,1,3,1,4,2,5,2,6,3,7,3,8,3,9,3,10,2,11,2,12,1,2)</f>
        <v>1</v>
      </c>
      <c r="P814" s="43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  <c r="BT814" s="10"/>
      <c r="BU814" s="10"/>
    </row>
    <row r="815" spans="1:73" ht="18" x14ac:dyDescent="0.35">
      <c r="A815" s="43"/>
      <c r="C815" s="393"/>
      <c r="E815" s="394"/>
      <c r="F815" s="394">
        <v>0</v>
      </c>
      <c r="G815" s="394"/>
      <c r="H815" s="8" t="s">
        <v>235</v>
      </c>
      <c r="I815" s="368">
        <f t="shared" si="37"/>
        <v>0</v>
      </c>
      <c r="J815" s="365">
        <f t="shared" si="36"/>
        <v>0</v>
      </c>
      <c r="K815" s="369">
        <f t="shared" si="38"/>
        <v>6</v>
      </c>
      <c r="L815" s="369">
        <f>+IF((C815&gt;='Resultats - informe'!$E$16)*(C815&lt;='Resultats - informe'!$G$16),1,0)</f>
        <v>1</v>
      </c>
      <c r="M815" s="369" cm="1">
        <f t="array" ref="M815">+_xlfn.IFS((C815&gt;='Resultats - informe'!$D$26)*(C815&lt;='Resultats - informe'!$E$26),0,(C815&gt;='Resultats - informe'!$D$27)*(C815&lt;='Resultats - informe'!$E$27),0,(C815&gt;='Resultats - informe'!$D$28)*(C815&lt;='Resultats - informe'!$E$28),0,(C815&gt;='Resultats - informe'!$D$29)*(C815&lt;='Resultats - informe'!$E$29),0,1,1)</f>
        <v>0</v>
      </c>
      <c r="N815" s="366">
        <f>+VLOOKUP(D815,'Resultats - informe'!$Y$18:$AG$42,'Introducció dades consum'!K815+1,0)</f>
        <v>0</v>
      </c>
      <c r="O815" s="370" cm="1">
        <f t="array" ref="O815">+_xlfn.SWITCH(MONTH(C815),1,1,2,1,3,1,4,2,5,2,6,3,7,3,8,3,9,3,10,2,11,2,12,1,2)</f>
        <v>1</v>
      </c>
      <c r="P815" s="43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  <c r="BI815" s="10"/>
      <c r="BJ815" s="10"/>
      <c r="BK815" s="10"/>
      <c r="BL815" s="10"/>
      <c r="BM815" s="10"/>
      <c r="BN815" s="10"/>
      <c r="BO815" s="10"/>
      <c r="BP815" s="10"/>
      <c r="BQ815" s="10"/>
      <c r="BR815" s="10"/>
      <c r="BS815" s="10"/>
      <c r="BT815" s="10"/>
      <c r="BU815" s="10"/>
    </row>
    <row r="816" spans="1:73" ht="18" x14ac:dyDescent="0.35">
      <c r="A816" s="43"/>
      <c r="C816" s="393"/>
      <c r="E816" s="394"/>
      <c r="F816" s="394">
        <v>0</v>
      </c>
      <c r="G816" s="394"/>
      <c r="H816" s="8" t="s">
        <v>235</v>
      </c>
      <c r="I816" s="368">
        <f t="shared" si="37"/>
        <v>0</v>
      </c>
      <c r="J816" s="365">
        <f t="shared" si="36"/>
        <v>0</v>
      </c>
      <c r="K816" s="369">
        <f t="shared" si="38"/>
        <v>6</v>
      </c>
      <c r="L816" s="369">
        <f>+IF((C816&gt;='Resultats - informe'!$E$16)*(C816&lt;='Resultats - informe'!$G$16),1,0)</f>
        <v>1</v>
      </c>
      <c r="M816" s="369" cm="1">
        <f t="array" ref="M816">+_xlfn.IFS((C816&gt;='Resultats - informe'!$D$26)*(C816&lt;='Resultats - informe'!$E$26),0,(C816&gt;='Resultats - informe'!$D$27)*(C816&lt;='Resultats - informe'!$E$27),0,(C816&gt;='Resultats - informe'!$D$28)*(C816&lt;='Resultats - informe'!$E$28),0,(C816&gt;='Resultats - informe'!$D$29)*(C816&lt;='Resultats - informe'!$E$29),0,1,1)</f>
        <v>0</v>
      </c>
      <c r="N816" s="366">
        <f>+VLOOKUP(D816,'Resultats - informe'!$Y$18:$AG$42,'Introducció dades consum'!K816+1,0)</f>
        <v>0</v>
      </c>
      <c r="O816" s="370" cm="1">
        <f t="array" ref="O816">+_xlfn.SWITCH(MONTH(C816),1,1,2,1,3,1,4,2,5,2,6,3,7,3,8,3,9,3,10,2,11,2,12,1,2)</f>
        <v>1</v>
      </c>
      <c r="P816" s="43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  <c r="BI816" s="10"/>
      <c r="BJ816" s="10"/>
      <c r="BK816" s="10"/>
      <c r="BL816" s="10"/>
      <c r="BM816" s="10"/>
      <c r="BN816" s="10"/>
      <c r="BO816" s="10"/>
      <c r="BP816" s="10"/>
      <c r="BQ816" s="10"/>
      <c r="BR816" s="10"/>
      <c r="BS816" s="10"/>
      <c r="BT816" s="10"/>
      <c r="BU816" s="10"/>
    </row>
    <row r="817" spans="1:73" ht="18" x14ac:dyDescent="0.35">
      <c r="A817" s="43"/>
      <c r="C817" s="393"/>
      <c r="E817" s="394"/>
      <c r="F817" s="394">
        <v>0</v>
      </c>
      <c r="G817" s="394"/>
      <c r="H817" s="8" t="s">
        <v>235</v>
      </c>
      <c r="I817" s="368">
        <f t="shared" si="37"/>
        <v>0</v>
      </c>
      <c r="J817" s="365">
        <f t="shared" si="36"/>
        <v>0</v>
      </c>
      <c r="K817" s="369">
        <f t="shared" si="38"/>
        <v>6</v>
      </c>
      <c r="L817" s="369">
        <f>+IF((C817&gt;='Resultats - informe'!$E$16)*(C817&lt;='Resultats - informe'!$G$16),1,0)</f>
        <v>1</v>
      </c>
      <c r="M817" s="369" cm="1">
        <f t="array" ref="M817">+_xlfn.IFS((C817&gt;='Resultats - informe'!$D$26)*(C817&lt;='Resultats - informe'!$E$26),0,(C817&gt;='Resultats - informe'!$D$27)*(C817&lt;='Resultats - informe'!$E$27),0,(C817&gt;='Resultats - informe'!$D$28)*(C817&lt;='Resultats - informe'!$E$28),0,(C817&gt;='Resultats - informe'!$D$29)*(C817&lt;='Resultats - informe'!$E$29),0,1,1)</f>
        <v>0</v>
      </c>
      <c r="N817" s="366">
        <f>+VLOOKUP(D817,'Resultats - informe'!$Y$18:$AG$42,'Introducció dades consum'!K817+1,0)</f>
        <v>0</v>
      </c>
      <c r="O817" s="370" cm="1">
        <f t="array" ref="O817">+_xlfn.SWITCH(MONTH(C817),1,1,2,1,3,1,4,2,5,2,6,3,7,3,8,3,9,3,10,2,11,2,12,1,2)</f>
        <v>1</v>
      </c>
      <c r="P817" s="43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  <c r="BI817" s="10"/>
      <c r="BJ817" s="10"/>
      <c r="BK817" s="10"/>
      <c r="BL817" s="10"/>
      <c r="BM817" s="10"/>
      <c r="BN817" s="10"/>
      <c r="BO817" s="10"/>
      <c r="BP817" s="10"/>
      <c r="BQ817" s="10"/>
      <c r="BR817" s="10"/>
      <c r="BS817" s="10"/>
      <c r="BT817" s="10"/>
      <c r="BU817" s="10"/>
    </row>
    <row r="818" spans="1:73" ht="18" x14ac:dyDescent="0.35">
      <c r="A818" s="43"/>
      <c r="C818" s="393"/>
      <c r="E818" s="394"/>
      <c r="F818" s="394">
        <v>0</v>
      </c>
      <c r="G818" s="394"/>
      <c r="H818" s="8" t="s">
        <v>235</v>
      </c>
      <c r="I818" s="368">
        <f t="shared" si="37"/>
        <v>0</v>
      </c>
      <c r="J818" s="365">
        <f t="shared" si="36"/>
        <v>0</v>
      </c>
      <c r="K818" s="369">
        <f t="shared" si="38"/>
        <v>6</v>
      </c>
      <c r="L818" s="369">
        <f>+IF((C818&gt;='Resultats - informe'!$E$16)*(C818&lt;='Resultats - informe'!$G$16),1,0)</f>
        <v>1</v>
      </c>
      <c r="M818" s="369" cm="1">
        <f t="array" ref="M818">+_xlfn.IFS((C818&gt;='Resultats - informe'!$D$26)*(C818&lt;='Resultats - informe'!$E$26),0,(C818&gt;='Resultats - informe'!$D$27)*(C818&lt;='Resultats - informe'!$E$27),0,(C818&gt;='Resultats - informe'!$D$28)*(C818&lt;='Resultats - informe'!$E$28),0,(C818&gt;='Resultats - informe'!$D$29)*(C818&lt;='Resultats - informe'!$E$29),0,1,1)</f>
        <v>0</v>
      </c>
      <c r="N818" s="366">
        <f>+VLOOKUP(D818,'Resultats - informe'!$Y$18:$AG$42,'Introducció dades consum'!K818+1,0)</f>
        <v>0</v>
      </c>
      <c r="O818" s="370" cm="1">
        <f t="array" ref="O818">+_xlfn.SWITCH(MONTH(C818),1,1,2,1,3,1,4,2,5,2,6,3,7,3,8,3,9,3,10,2,11,2,12,1,2)</f>
        <v>1</v>
      </c>
      <c r="P818" s="43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  <c r="BE818" s="10"/>
      <c r="BF818" s="10"/>
      <c r="BG818" s="10"/>
      <c r="BH818" s="10"/>
      <c r="BI818" s="10"/>
      <c r="BJ818" s="10"/>
      <c r="BK818" s="10"/>
      <c r="BL818" s="10"/>
      <c r="BM818" s="10"/>
      <c r="BN818" s="10"/>
      <c r="BO818" s="10"/>
      <c r="BP818" s="10"/>
      <c r="BQ818" s="10"/>
      <c r="BR818" s="10"/>
      <c r="BS818" s="10"/>
      <c r="BT818" s="10"/>
      <c r="BU818" s="10"/>
    </row>
    <row r="819" spans="1:73" ht="18" x14ac:dyDescent="0.35">
      <c r="A819" s="43"/>
      <c r="C819" s="393"/>
      <c r="E819" s="394"/>
      <c r="F819" s="394">
        <v>0</v>
      </c>
      <c r="G819" s="394"/>
      <c r="H819" s="8" t="s">
        <v>235</v>
      </c>
      <c r="I819" s="368">
        <f t="shared" si="37"/>
        <v>0</v>
      </c>
      <c r="J819" s="365">
        <f t="shared" si="36"/>
        <v>0</v>
      </c>
      <c r="K819" s="369">
        <f t="shared" si="38"/>
        <v>6</v>
      </c>
      <c r="L819" s="369">
        <f>+IF((C819&gt;='Resultats - informe'!$E$16)*(C819&lt;='Resultats - informe'!$G$16),1,0)</f>
        <v>1</v>
      </c>
      <c r="M819" s="369" cm="1">
        <f t="array" ref="M819">+_xlfn.IFS((C819&gt;='Resultats - informe'!$D$26)*(C819&lt;='Resultats - informe'!$E$26),0,(C819&gt;='Resultats - informe'!$D$27)*(C819&lt;='Resultats - informe'!$E$27),0,(C819&gt;='Resultats - informe'!$D$28)*(C819&lt;='Resultats - informe'!$E$28),0,(C819&gt;='Resultats - informe'!$D$29)*(C819&lt;='Resultats - informe'!$E$29),0,1,1)</f>
        <v>0</v>
      </c>
      <c r="N819" s="366">
        <f>+VLOOKUP(D819,'Resultats - informe'!$Y$18:$AG$42,'Introducció dades consum'!K819+1,0)</f>
        <v>0</v>
      </c>
      <c r="O819" s="370" cm="1">
        <f t="array" ref="O819">+_xlfn.SWITCH(MONTH(C819),1,1,2,1,3,1,4,2,5,2,6,3,7,3,8,3,9,3,10,2,11,2,12,1,2)</f>
        <v>1</v>
      </c>
      <c r="P819" s="43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  <c r="BI819" s="10"/>
      <c r="BJ819" s="10"/>
      <c r="BK819" s="10"/>
      <c r="BL819" s="10"/>
      <c r="BM819" s="10"/>
      <c r="BN819" s="10"/>
      <c r="BO819" s="10"/>
      <c r="BP819" s="10"/>
      <c r="BQ819" s="10"/>
      <c r="BR819" s="10"/>
      <c r="BS819" s="10"/>
      <c r="BT819" s="10"/>
      <c r="BU819" s="10"/>
    </row>
    <row r="820" spans="1:73" ht="18" x14ac:dyDescent="0.35">
      <c r="A820" s="43"/>
      <c r="C820" s="393"/>
      <c r="E820" s="394"/>
      <c r="F820" s="394">
        <v>0</v>
      </c>
      <c r="G820" s="394"/>
      <c r="H820" s="8" t="s">
        <v>235</v>
      </c>
      <c r="I820" s="368">
        <f t="shared" si="37"/>
        <v>0</v>
      </c>
      <c r="J820" s="365">
        <f t="shared" si="36"/>
        <v>0</v>
      </c>
      <c r="K820" s="369">
        <f t="shared" si="38"/>
        <v>6</v>
      </c>
      <c r="L820" s="369">
        <f>+IF((C820&gt;='Resultats - informe'!$E$16)*(C820&lt;='Resultats - informe'!$G$16),1,0)</f>
        <v>1</v>
      </c>
      <c r="M820" s="369" cm="1">
        <f t="array" ref="M820">+_xlfn.IFS((C820&gt;='Resultats - informe'!$D$26)*(C820&lt;='Resultats - informe'!$E$26),0,(C820&gt;='Resultats - informe'!$D$27)*(C820&lt;='Resultats - informe'!$E$27),0,(C820&gt;='Resultats - informe'!$D$28)*(C820&lt;='Resultats - informe'!$E$28),0,(C820&gt;='Resultats - informe'!$D$29)*(C820&lt;='Resultats - informe'!$E$29),0,1,1)</f>
        <v>0</v>
      </c>
      <c r="N820" s="366">
        <f>+VLOOKUP(D820,'Resultats - informe'!$Y$18:$AG$42,'Introducció dades consum'!K820+1,0)</f>
        <v>0</v>
      </c>
      <c r="O820" s="370" cm="1">
        <f t="array" ref="O820">+_xlfn.SWITCH(MONTH(C820),1,1,2,1,3,1,4,2,5,2,6,3,7,3,8,3,9,3,10,2,11,2,12,1,2)</f>
        <v>1</v>
      </c>
      <c r="P820" s="43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  <c r="BI820" s="10"/>
      <c r="BJ820" s="10"/>
      <c r="BK820" s="10"/>
      <c r="BL820" s="10"/>
      <c r="BM820" s="10"/>
      <c r="BN820" s="10"/>
      <c r="BO820" s="10"/>
      <c r="BP820" s="10"/>
      <c r="BQ820" s="10"/>
      <c r="BR820" s="10"/>
      <c r="BS820" s="10"/>
      <c r="BT820" s="10"/>
      <c r="BU820" s="10"/>
    </row>
    <row r="821" spans="1:73" ht="18" x14ac:dyDescent="0.35">
      <c r="A821" s="43"/>
      <c r="C821" s="393"/>
      <c r="E821" s="394"/>
      <c r="F821" s="394">
        <v>0</v>
      </c>
      <c r="G821" s="394"/>
      <c r="H821" s="8" t="s">
        <v>235</v>
      </c>
      <c r="I821" s="368">
        <f t="shared" si="37"/>
        <v>0</v>
      </c>
      <c r="J821" s="365">
        <f t="shared" si="36"/>
        <v>0</v>
      </c>
      <c r="K821" s="369">
        <f t="shared" si="38"/>
        <v>6</v>
      </c>
      <c r="L821" s="369">
        <f>+IF((C821&gt;='Resultats - informe'!$E$16)*(C821&lt;='Resultats - informe'!$G$16),1,0)</f>
        <v>1</v>
      </c>
      <c r="M821" s="369" cm="1">
        <f t="array" ref="M821">+_xlfn.IFS((C821&gt;='Resultats - informe'!$D$26)*(C821&lt;='Resultats - informe'!$E$26),0,(C821&gt;='Resultats - informe'!$D$27)*(C821&lt;='Resultats - informe'!$E$27),0,(C821&gt;='Resultats - informe'!$D$28)*(C821&lt;='Resultats - informe'!$E$28),0,(C821&gt;='Resultats - informe'!$D$29)*(C821&lt;='Resultats - informe'!$E$29),0,1,1)</f>
        <v>0</v>
      </c>
      <c r="N821" s="366">
        <f>+VLOOKUP(D821,'Resultats - informe'!$Y$18:$AG$42,'Introducció dades consum'!K821+1,0)</f>
        <v>0</v>
      </c>
      <c r="O821" s="370" cm="1">
        <f t="array" ref="O821">+_xlfn.SWITCH(MONTH(C821),1,1,2,1,3,1,4,2,5,2,6,3,7,3,8,3,9,3,10,2,11,2,12,1,2)</f>
        <v>1</v>
      </c>
      <c r="P821" s="43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  <c r="BI821" s="10"/>
      <c r="BJ821" s="10"/>
      <c r="BK821" s="10"/>
      <c r="BL821" s="10"/>
      <c r="BM821" s="10"/>
      <c r="BN821" s="10"/>
      <c r="BO821" s="10"/>
      <c r="BP821" s="10"/>
      <c r="BQ821" s="10"/>
      <c r="BR821" s="10"/>
      <c r="BS821" s="10"/>
      <c r="BT821" s="10"/>
      <c r="BU821" s="10"/>
    </row>
    <row r="822" spans="1:73" ht="18" x14ac:dyDescent="0.35">
      <c r="A822" s="43"/>
      <c r="C822" s="393"/>
      <c r="E822" s="394"/>
      <c r="F822" s="394">
        <v>0</v>
      </c>
      <c r="G822" s="394"/>
      <c r="H822" s="8" t="s">
        <v>235</v>
      </c>
      <c r="I822" s="368">
        <f t="shared" si="37"/>
        <v>0</v>
      </c>
      <c r="J822" s="365">
        <f t="shared" si="36"/>
        <v>0</v>
      </c>
      <c r="K822" s="369">
        <f t="shared" si="38"/>
        <v>6</v>
      </c>
      <c r="L822" s="369">
        <f>+IF((C822&gt;='Resultats - informe'!$E$16)*(C822&lt;='Resultats - informe'!$G$16),1,0)</f>
        <v>1</v>
      </c>
      <c r="M822" s="369" cm="1">
        <f t="array" ref="M822">+_xlfn.IFS((C822&gt;='Resultats - informe'!$D$26)*(C822&lt;='Resultats - informe'!$E$26),0,(C822&gt;='Resultats - informe'!$D$27)*(C822&lt;='Resultats - informe'!$E$27),0,(C822&gt;='Resultats - informe'!$D$28)*(C822&lt;='Resultats - informe'!$E$28),0,(C822&gt;='Resultats - informe'!$D$29)*(C822&lt;='Resultats - informe'!$E$29),0,1,1)</f>
        <v>0</v>
      </c>
      <c r="N822" s="366">
        <f>+VLOOKUP(D822,'Resultats - informe'!$Y$18:$AG$42,'Introducció dades consum'!K822+1,0)</f>
        <v>0</v>
      </c>
      <c r="O822" s="370" cm="1">
        <f t="array" ref="O822">+_xlfn.SWITCH(MONTH(C822),1,1,2,1,3,1,4,2,5,2,6,3,7,3,8,3,9,3,10,2,11,2,12,1,2)</f>
        <v>1</v>
      </c>
      <c r="P822" s="43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  <c r="BE822" s="10"/>
      <c r="BF822" s="10"/>
      <c r="BG822" s="10"/>
      <c r="BH822" s="10"/>
      <c r="BI822" s="10"/>
      <c r="BJ822" s="10"/>
      <c r="BK822" s="10"/>
      <c r="BL822" s="10"/>
      <c r="BM822" s="10"/>
      <c r="BN822" s="10"/>
      <c r="BO822" s="10"/>
      <c r="BP822" s="10"/>
      <c r="BQ822" s="10"/>
      <c r="BR822" s="10"/>
      <c r="BS822" s="10"/>
      <c r="BT822" s="10"/>
      <c r="BU822" s="10"/>
    </row>
    <row r="823" spans="1:73" ht="18" x14ac:dyDescent="0.35">
      <c r="A823" s="43"/>
      <c r="C823" s="393"/>
      <c r="E823" s="394"/>
      <c r="F823" s="394">
        <v>0</v>
      </c>
      <c r="G823" s="394"/>
      <c r="H823" s="8" t="s">
        <v>235</v>
      </c>
      <c r="I823" s="368">
        <f t="shared" si="37"/>
        <v>0</v>
      </c>
      <c r="J823" s="365">
        <f t="shared" si="36"/>
        <v>0</v>
      </c>
      <c r="K823" s="369">
        <f t="shared" si="38"/>
        <v>6</v>
      </c>
      <c r="L823" s="369">
        <f>+IF((C823&gt;='Resultats - informe'!$E$16)*(C823&lt;='Resultats - informe'!$G$16),1,0)</f>
        <v>1</v>
      </c>
      <c r="M823" s="369" cm="1">
        <f t="array" ref="M823">+_xlfn.IFS((C823&gt;='Resultats - informe'!$D$26)*(C823&lt;='Resultats - informe'!$E$26),0,(C823&gt;='Resultats - informe'!$D$27)*(C823&lt;='Resultats - informe'!$E$27),0,(C823&gt;='Resultats - informe'!$D$28)*(C823&lt;='Resultats - informe'!$E$28),0,(C823&gt;='Resultats - informe'!$D$29)*(C823&lt;='Resultats - informe'!$E$29),0,1,1)</f>
        <v>0</v>
      </c>
      <c r="N823" s="366">
        <f>+VLOOKUP(D823,'Resultats - informe'!$Y$18:$AG$42,'Introducció dades consum'!K823+1,0)</f>
        <v>0</v>
      </c>
      <c r="O823" s="370" cm="1">
        <f t="array" ref="O823">+_xlfn.SWITCH(MONTH(C823),1,1,2,1,3,1,4,2,5,2,6,3,7,3,8,3,9,3,10,2,11,2,12,1,2)</f>
        <v>1</v>
      </c>
      <c r="P823" s="43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  <c r="BI823" s="10"/>
      <c r="BJ823" s="10"/>
      <c r="BK823" s="10"/>
      <c r="BL823" s="10"/>
      <c r="BM823" s="10"/>
      <c r="BN823" s="10"/>
      <c r="BO823" s="10"/>
      <c r="BP823" s="10"/>
      <c r="BQ823" s="10"/>
      <c r="BR823" s="10"/>
      <c r="BS823" s="10"/>
      <c r="BT823" s="10"/>
      <c r="BU823" s="10"/>
    </row>
    <row r="824" spans="1:73" ht="18" x14ac:dyDescent="0.35">
      <c r="A824" s="43"/>
      <c r="C824" s="393"/>
      <c r="E824" s="394"/>
      <c r="F824" s="394">
        <v>0</v>
      </c>
      <c r="G824" s="394"/>
      <c r="H824" s="8" t="s">
        <v>235</v>
      </c>
      <c r="I824" s="368">
        <f t="shared" si="37"/>
        <v>0</v>
      </c>
      <c r="J824" s="365">
        <f t="shared" si="36"/>
        <v>0</v>
      </c>
      <c r="K824" s="369">
        <f t="shared" si="38"/>
        <v>6</v>
      </c>
      <c r="L824" s="369">
        <f>+IF((C824&gt;='Resultats - informe'!$E$16)*(C824&lt;='Resultats - informe'!$G$16),1,0)</f>
        <v>1</v>
      </c>
      <c r="M824" s="369" cm="1">
        <f t="array" ref="M824">+_xlfn.IFS((C824&gt;='Resultats - informe'!$D$26)*(C824&lt;='Resultats - informe'!$E$26),0,(C824&gt;='Resultats - informe'!$D$27)*(C824&lt;='Resultats - informe'!$E$27),0,(C824&gt;='Resultats - informe'!$D$28)*(C824&lt;='Resultats - informe'!$E$28),0,(C824&gt;='Resultats - informe'!$D$29)*(C824&lt;='Resultats - informe'!$E$29),0,1,1)</f>
        <v>0</v>
      </c>
      <c r="N824" s="366">
        <f>+VLOOKUP(D824,'Resultats - informe'!$Y$18:$AG$42,'Introducció dades consum'!K824+1,0)</f>
        <v>0</v>
      </c>
      <c r="O824" s="370" cm="1">
        <f t="array" ref="O824">+_xlfn.SWITCH(MONTH(C824),1,1,2,1,3,1,4,2,5,2,6,3,7,3,8,3,9,3,10,2,11,2,12,1,2)</f>
        <v>1</v>
      </c>
      <c r="P824" s="43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  <c r="BT824" s="10"/>
      <c r="BU824" s="10"/>
    </row>
    <row r="825" spans="1:73" ht="18" x14ac:dyDescent="0.35">
      <c r="A825" s="43"/>
      <c r="C825" s="393"/>
      <c r="E825" s="394"/>
      <c r="F825" s="394">
        <v>0</v>
      </c>
      <c r="G825" s="394"/>
      <c r="H825" s="8" t="s">
        <v>235</v>
      </c>
      <c r="I825" s="368">
        <f t="shared" si="37"/>
        <v>0</v>
      </c>
      <c r="J825" s="365">
        <f t="shared" si="36"/>
        <v>0</v>
      </c>
      <c r="K825" s="369">
        <f t="shared" si="38"/>
        <v>6</v>
      </c>
      <c r="L825" s="369">
        <f>+IF((C825&gt;='Resultats - informe'!$E$16)*(C825&lt;='Resultats - informe'!$G$16),1,0)</f>
        <v>1</v>
      </c>
      <c r="M825" s="369" cm="1">
        <f t="array" ref="M825">+_xlfn.IFS((C825&gt;='Resultats - informe'!$D$26)*(C825&lt;='Resultats - informe'!$E$26),0,(C825&gt;='Resultats - informe'!$D$27)*(C825&lt;='Resultats - informe'!$E$27),0,(C825&gt;='Resultats - informe'!$D$28)*(C825&lt;='Resultats - informe'!$E$28),0,(C825&gt;='Resultats - informe'!$D$29)*(C825&lt;='Resultats - informe'!$E$29),0,1,1)</f>
        <v>0</v>
      </c>
      <c r="N825" s="366">
        <f>+VLOOKUP(D825,'Resultats - informe'!$Y$18:$AG$42,'Introducció dades consum'!K825+1,0)</f>
        <v>0</v>
      </c>
      <c r="O825" s="370" cm="1">
        <f t="array" ref="O825">+_xlfn.SWITCH(MONTH(C825),1,1,2,1,3,1,4,2,5,2,6,3,7,3,8,3,9,3,10,2,11,2,12,1,2)</f>
        <v>1</v>
      </c>
      <c r="P825" s="43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  <c r="BT825" s="10"/>
      <c r="BU825" s="10"/>
    </row>
    <row r="826" spans="1:73" ht="18" x14ac:dyDescent="0.35">
      <c r="A826" s="43"/>
      <c r="C826" s="393"/>
      <c r="E826" s="394"/>
      <c r="F826" s="394">
        <v>0</v>
      </c>
      <c r="G826" s="394"/>
      <c r="H826" s="8" t="s">
        <v>235</v>
      </c>
      <c r="I826" s="368">
        <f t="shared" si="37"/>
        <v>0</v>
      </c>
      <c r="J826" s="365">
        <f t="shared" si="36"/>
        <v>0</v>
      </c>
      <c r="K826" s="369">
        <f t="shared" si="38"/>
        <v>6</v>
      </c>
      <c r="L826" s="369">
        <f>+IF((C826&gt;='Resultats - informe'!$E$16)*(C826&lt;='Resultats - informe'!$G$16),1,0)</f>
        <v>1</v>
      </c>
      <c r="M826" s="369" cm="1">
        <f t="array" ref="M826">+_xlfn.IFS((C826&gt;='Resultats - informe'!$D$26)*(C826&lt;='Resultats - informe'!$E$26),0,(C826&gt;='Resultats - informe'!$D$27)*(C826&lt;='Resultats - informe'!$E$27),0,(C826&gt;='Resultats - informe'!$D$28)*(C826&lt;='Resultats - informe'!$E$28),0,(C826&gt;='Resultats - informe'!$D$29)*(C826&lt;='Resultats - informe'!$E$29),0,1,1)</f>
        <v>0</v>
      </c>
      <c r="N826" s="366">
        <f>+VLOOKUP(D826,'Resultats - informe'!$Y$18:$AG$42,'Introducció dades consum'!K826+1,0)</f>
        <v>0</v>
      </c>
      <c r="O826" s="370" cm="1">
        <f t="array" ref="O826">+_xlfn.SWITCH(MONTH(C826),1,1,2,1,3,1,4,2,5,2,6,3,7,3,8,3,9,3,10,2,11,2,12,1,2)</f>
        <v>1</v>
      </c>
      <c r="P826" s="43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  <c r="BE826" s="10"/>
      <c r="BF826" s="10"/>
      <c r="BG826" s="10"/>
      <c r="BH826" s="10"/>
      <c r="BI826" s="10"/>
      <c r="BJ826" s="10"/>
      <c r="BK826" s="10"/>
      <c r="BL826" s="10"/>
      <c r="BM826" s="10"/>
      <c r="BN826" s="10"/>
      <c r="BO826" s="10"/>
      <c r="BP826" s="10"/>
      <c r="BQ826" s="10"/>
      <c r="BR826" s="10"/>
      <c r="BS826" s="10"/>
      <c r="BT826" s="10"/>
      <c r="BU826" s="10"/>
    </row>
    <row r="827" spans="1:73" ht="18" x14ac:dyDescent="0.35">
      <c r="A827" s="43"/>
      <c r="C827" s="393"/>
      <c r="E827" s="394"/>
      <c r="F827" s="394">
        <v>0</v>
      </c>
      <c r="G827" s="394"/>
      <c r="H827" s="8" t="s">
        <v>235</v>
      </c>
      <c r="I827" s="368">
        <f t="shared" si="37"/>
        <v>0</v>
      </c>
      <c r="J827" s="365">
        <f t="shared" ref="J827:J890" si="39">+C827</f>
        <v>0</v>
      </c>
      <c r="K827" s="369">
        <f t="shared" si="38"/>
        <v>6</v>
      </c>
      <c r="L827" s="369">
        <f>+IF((C827&gt;='Resultats - informe'!$E$16)*(C827&lt;='Resultats - informe'!$G$16),1,0)</f>
        <v>1</v>
      </c>
      <c r="M827" s="369" cm="1">
        <f t="array" ref="M827">+_xlfn.IFS((C827&gt;='Resultats - informe'!$D$26)*(C827&lt;='Resultats - informe'!$E$26),0,(C827&gt;='Resultats - informe'!$D$27)*(C827&lt;='Resultats - informe'!$E$27),0,(C827&gt;='Resultats - informe'!$D$28)*(C827&lt;='Resultats - informe'!$E$28),0,(C827&gt;='Resultats - informe'!$D$29)*(C827&lt;='Resultats - informe'!$E$29),0,1,1)</f>
        <v>0</v>
      </c>
      <c r="N827" s="366">
        <f>+VLOOKUP(D827,'Resultats - informe'!$Y$18:$AG$42,'Introducció dades consum'!K827+1,0)</f>
        <v>0</v>
      </c>
      <c r="O827" s="370" cm="1">
        <f t="array" ref="O827">+_xlfn.SWITCH(MONTH(C827),1,1,2,1,3,1,4,2,5,2,6,3,7,3,8,3,9,3,10,2,11,2,12,1,2)</f>
        <v>1</v>
      </c>
      <c r="P827" s="43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  <c r="BI827" s="10"/>
      <c r="BJ827" s="10"/>
      <c r="BK827" s="10"/>
      <c r="BL827" s="10"/>
      <c r="BM827" s="10"/>
      <c r="BN827" s="10"/>
      <c r="BO827" s="10"/>
      <c r="BP827" s="10"/>
      <c r="BQ827" s="10"/>
      <c r="BR827" s="10"/>
      <c r="BS827" s="10"/>
      <c r="BT827" s="10"/>
      <c r="BU827" s="10"/>
    </row>
    <row r="828" spans="1:73" ht="18" x14ac:dyDescent="0.35">
      <c r="A828" s="43"/>
      <c r="C828" s="393"/>
      <c r="E828" s="394"/>
      <c r="F828" s="394">
        <v>6.8000000000000005E-2</v>
      </c>
      <c r="G828" s="394"/>
      <c r="H828" s="8" t="s">
        <v>235</v>
      </c>
      <c r="I828" s="368">
        <f t="shared" si="37"/>
        <v>0</v>
      </c>
      <c r="J828" s="365">
        <f t="shared" si="39"/>
        <v>0</v>
      </c>
      <c r="K828" s="369">
        <f t="shared" si="38"/>
        <v>6</v>
      </c>
      <c r="L828" s="369">
        <f>+IF((C828&gt;='Resultats - informe'!$E$16)*(C828&lt;='Resultats - informe'!$G$16),1,0)</f>
        <v>1</v>
      </c>
      <c r="M828" s="369" cm="1">
        <f t="array" ref="M828">+_xlfn.IFS((C828&gt;='Resultats - informe'!$D$26)*(C828&lt;='Resultats - informe'!$E$26),0,(C828&gt;='Resultats - informe'!$D$27)*(C828&lt;='Resultats - informe'!$E$27),0,(C828&gt;='Resultats - informe'!$D$28)*(C828&lt;='Resultats - informe'!$E$28),0,(C828&gt;='Resultats - informe'!$D$29)*(C828&lt;='Resultats - informe'!$E$29),0,1,1)</f>
        <v>0</v>
      </c>
      <c r="N828" s="366">
        <f>+VLOOKUP(D828,'Resultats - informe'!$Y$18:$AG$42,'Introducció dades consum'!K828+1,0)</f>
        <v>0</v>
      </c>
      <c r="O828" s="370" cm="1">
        <f t="array" ref="O828">+_xlfn.SWITCH(MONTH(C828),1,1,2,1,3,1,4,2,5,2,6,3,7,3,8,3,9,3,10,2,11,2,12,1,2)</f>
        <v>1</v>
      </c>
      <c r="P828" s="43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  <c r="BE828" s="10"/>
      <c r="BF828" s="10"/>
      <c r="BG828" s="10"/>
      <c r="BH828" s="10"/>
      <c r="BI828" s="10"/>
      <c r="BJ828" s="10"/>
      <c r="BK828" s="10"/>
      <c r="BL828" s="10"/>
      <c r="BM828" s="10"/>
      <c r="BN828" s="10"/>
      <c r="BO828" s="10"/>
      <c r="BP828" s="10"/>
      <c r="BQ828" s="10"/>
      <c r="BR828" s="10"/>
      <c r="BS828" s="10"/>
      <c r="BT828" s="10"/>
      <c r="BU828" s="10"/>
    </row>
    <row r="829" spans="1:73" ht="18" x14ac:dyDescent="0.35">
      <c r="A829" s="43"/>
      <c r="C829" s="393"/>
      <c r="E829" s="394"/>
      <c r="F829" s="394">
        <v>0</v>
      </c>
      <c r="G829" s="394"/>
      <c r="H829" s="8" t="s">
        <v>235</v>
      </c>
      <c r="I829" s="368">
        <f t="shared" si="37"/>
        <v>0</v>
      </c>
      <c r="J829" s="365">
        <f t="shared" si="39"/>
        <v>0</v>
      </c>
      <c r="K829" s="369">
        <f t="shared" si="38"/>
        <v>6</v>
      </c>
      <c r="L829" s="369">
        <f>+IF((C829&gt;='Resultats - informe'!$E$16)*(C829&lt;='Resultats - informe'!$G$16),1,0)</f>
        <v>1</v>
      </c>
      <c r="M829" s="369" cm="1">
        <f t="array" ref="M829">+_xlfn.IFS((C829&gt;='Resultats - informe'!$D$26)*(C829&lt;='Resultats - informe'!$E$26),0,(C829&gt;='Resultats - informe'!$D$27)*(C829&lt;='Resultats - informe'!$E$27),0,(C829&gt;='Resultats - informe'!$D$28)*(C829&lt;='Resultats - informe'!$E$28),0,(C829&gt;='Resultats - informe'!$D$29)*(C829&lt;='Resultats - informe'!$E$29),0,1,1)</f>
        <v>0</v>
      </c>
      <c r="N829" s="366">
        <f>+VLOOKUP(D829,'Resultats - informe'!$Y$18:$AG$42,'Introducció dades consum'!K829+1,0)</f>
        <v>0</v>
      </c>
      <c r="O829" s="370" cm="1">
        <f t="array" ref="O829">+_xlfn.SWITCH(MONTH(C829),1,1,2,1,3,1,4,2,5,2,6,3,7,3,8,3,9,3,10,2,11,2,12,1,2)</f>
        <v>1</v>
      </c>
      <c r="P829" s="43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  <c r="BT829" s="10"/>
      <c r="BU829" s="10"/>
    </row>
    <row r="830" spans="1:73" ht="18" x14ac:dyDescent="0.35">
      <c r="A830" s="43"/>
      <c r="C830" s="393"/>
      <c r="E830" s="394"/>
      <c r="F830" s="394">
        <v>5.8000000000000003E-2</v>
      </c>
      <c r="G830" s="394"/>
      <c r="H830" s="8" t="s">
        <v>235</v>
      </c>
      <c r="I830" s="368">
        <f t="shared" si="37"/>
        <v>0</v>
      </c>
      <c r="J830" s="365">
        <f t="shared" si="39"/>
        <v>0</v>
      </c>
      <c r="K830" s="369">
        <f t="shared" si="38"/>
        <v>6</v>
      </c>
      <c r="L830" s="369">
        <f>+IF((C830&gt;='Resultats - informe'!$E$16)*(C830&lt;='Resultats - informe'!$G$16),1,0)</f>
        <v>1</v>
      </c>
      <c r="M830" s="369" cm="1">
        <f t="array" ref="M830">+_xlfn.IFS((C830&gt;='Resultats - informe'!$D$26)*(C830&lt;='Resultats - informe'!$E$26),0,(C830&gt;='Resultats - informe'!$D$27)*(C830&lt;='Resultats - informe'!$E$27),0,(C830&gt;='Resultats - informe'!$D$28)*(C830&lt;='Resultats - informe'!$E$28),0,(C830&gt;='Resultats - informe'!$D$29)*(C830&lt;='Resultats - informe'!$E$29),0,1,1)</f>
        <v>0</v>
      </c>
      <c r="N830" s="366">
        <f>+VLOOKUP(D830,'Resultats - informe'!$Y$18:$AG$42,'Introducció dades consum'!K830+1,0)</f>
        <v>0</v>
      </c>
      <c r="O830" s="370" cm="1">
        <f t="array" ref="O830">+_xlfn.SWITCH(MONTH(C830),1,1,2,1,3,1,4,2,5,2,6,3,7,3,8,3,9,3,10,2,11,2,12,1,2)</f>
        <v>1</v>
      </c>
      <c r="P830" s="43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10"/>
      <c r="BO830" s="10"/>
      <c r="BP830" s="10"/>
      <c r="BQ830" s="10"/>
      <c r="BR830" s="10"/>
      <c r="BS830" s="10"/>
      <c r="BT830" s="10"/>
      <c r="BU830" s="10"/>
    </row>
    <row r="831" spans="1:73" ht="18" x14ac:dyDescent="0.35">
      <c r="A831" s="43"/>
      <c r="C831" s="393"/>
      <c r="E831" s="394"/>
      <c r="F831" s="394">
        <v>0</v>
      </c>
      <c r="G831" s="394"/>
      <c r="H831" s="8" t="s">
        <v>235</v>
      </c>
      <c r="I831" s="368">
        <f t="shared" si="37"/>
        <v>0</v>
      </c>
      <c r="J831" s="365">
        <f t="shared" si="39"/>
        <v>0</v>
      </c>
      <c r="K831" s="369">
        <f t="shared" si="38"/>
        <v>6</v>
      </c>
      <c r="L831" s="369">
        <f>+IF((C831&gt;='Resultats - informe'!$E$16)*(C831&lt;='Resultats - informe'!$G$16),1,0)</f>
        <v>1</v>
      </c>
      <c r="M831" s="369" cm="1">
        <f t="array" ref="M831">+_xlfn.IFS((C831&gt;='Resultats - informe'!$D$26)*(C831&lt;='Resultats - informe'!$E$26),0,(C831&gt;='Resultats - informe'!$D$27)*(C831&lt;='Resultats - informe'!$E$27),0,(C831&gt;='Resultats - informe'!$D$28)*(C831&lt;='Resultats - informe'!$E$28),0,(C831&gt;='Resultats - informe'!$D$29)*(C831&lt;='Resultats - informe'!$E$29),0,1,1)</f>
        <v>0</v>
      </c>
      <c r="N831" s="366">
        <f>+VLOOKUP(D831,'Resultats - informe'!$Y$18:$AG$42,'Introducció dades consum'!K831+1,0)</f>
        <v>0</v>
      </c>
      <c r="O831" s="370" cm="1">
        <f t="array" ref="O831">+_xlfn.SWITCH(MONTH(C831),1,1,2,1,3,1,4,2,5,2,6,3,7,3,8,3,9,3,10,2,11,2,12,1,2)</f>
        <v>1</v>
      </c>
      <c r="P831" s="43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  <c r="BI831" s="10"/>
      <c r="BJ831" s="10"/>
      <c r="BK831" s="10"/>
      <c r="BL831" s="10"/>
      <c r="BM831" s="10"/>
      <c r="BN831" s="10"/>
      <c r="BO831" s="10"/>
      <c r="BP831" s="10"/>
      <c r="BQ831" s="10"/>
      <c r="BR831" s="10"/>
      <c r="BS831" s="10"/>
      <c r="BT831" s="10"/>
      <c r="BU831" s="10"/>
    </row>
    <row r="832" spans="1:73" ht="18" x14ac:dyDescent="0.35">
      <c r="A832" s="43"/>
      <c r="C832" s="393"/>
      <c r="E832" s="394"/>
      <c r="F832" s="394">
        <v>0</v>
      </c>
      <c r="G832" s="394"/>
      <c r="H832" s="8" t="s">
        <v>235</v>
      </c>
      <c r="I832" s="368">
        <f t="shared" si="37"/>
        <v>0</v>
      </c>
      <c r="J832" s="365">
        <f t="shared" si="39"/>
        <v>0</v>
      </c>
      <c r="K832" s="369">
        <f t="shared" si="38"/>
        <v>6</v>
      </c>
      <c r="L832" s="369">
        <f>+IF((C832&gt;='Resultats - informe'!$E$16)*(C832&lt;='Resultats - informe'!$G$16),1,0)</f>
        <v>1</v>
      </c>
      <c r="M832" s="369" cm="1">
        <f t="array" ref="M832">+_xlfn.IFS((C832&gt;='Resultats - informe'!$D$26)*(C832&lt;='Resultats - informe'!$E$26),0,(C832&gt;='Resultats - informe'!$D$27)*(C832&lt;='Resultats - informe'!$E$27),0,(C832&gt;='Resultats - informe'!$D$28)*(C832&lt;='Resultats - informe'!$E$28),0,(C832&gt;='Resultats - informe'!$D$29)*(C832&lt;='Resultats - informe'!$E$29),0,1,1)</f>
        <v>0</v>
      </c>
      <c r="N832" s="366">
        <f>+VLOOKUP(D832,'Resultats - informe'!$Y$18:$AG$42,'Introducció dades consum'!K832+1,0)</f>
        <v>0</v>
      </c>
      <c r="O832" s="370" cm="1">
        <f t="array" ref="O832">+_xlfn.SWITCH(MONTH(C832),1,1,2,1,3,1,4,2,5,2,6,3,7,3,8,3,9,3,10,2,11,2,12,1,2)</f>
        <v>1</v>
      </c>
      <c r="P832" s="43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  <c r="BT832" s="10"/>
      <c r="BU832" s="10"/>
    </row>
    <row r="833" spans="1:73" ht="18" x14ac:dyDescent="0.35">
      <c r="A833" s="43"/>
      <c r="C833" s="393"/>
      <c r="E833" s="394"/>
      <c r="F833" s="394">
        <v>0.161</v>
      </c>
      <c r="G833" s="394"/>
      <c r="H833" s="8" t="s">
        <v>235</v>
      </c>
      <c r="I833" s="368">
        <f t="shared" si="37"/>
        <v>0</v>
      </c>
      <c r="J833" s="365">
        <f t="shared" si="39"/>
        <v>0</v>
      </c>
      <c r="K833" s="369">
        <f t="shared" si="38"/>
        <v>6</v>
      </c>
      <c r="L833" s="369">
        <f>+IF((C833&gt;='Resultats - informe'!$E$16)*(C833&lt;='Resultats - informe'!$G$16),1,0)</f>
        <v>1</v>
      </c>
      <c r="M833" s="369" cm="1">
        <f t="array" ref="M833">+_xlfn.IFS((C833&gt;='Resultats - informe'!$D$26)*(C833&lt;='Resultats - informe'!$E$26),0,(C833&gt;='Resultats - informe'!$D$27)*(C833&lt;='Resultats - informe'!$E$27),0,(C833&gt;='Resultats - informe'!$D$28)*(C833&lt;='Resultats - informe'!$E$28),0,(C833&gt;='Resultats - informe'!$D$29)*(C833&lt;='Resultats - informe'!$E$29),0,1,1)</f>
        <v>0</v>
      </c>
      <c r="N833" s="366">
        <f>+VLOOKUP(D833,'Resultats - informe'!$Y$18:$AG$42,'Introducció dades consum'!K833+1,0)</f>
        <v>0</v>
      </c>
      <c r="O833" s="370" cm="1">
        <f t="array" ref="O833">+_xlfn.SWITCH(MONTH(C833),1,1,2,1,3,1,4,2,5,2,6,3,7,3,8,3,9,3,10,2,11,2,12,1,2)</f>
        <v>1</v>
      </c>
      <c r="P833" s="43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  <c r="BE833" s="10"/>
      <c r="BF833" s="10"/>
      <c r="BG833" s="10"/>
      <c r="BH833" s="10"/>
      <c r="BI833" s="10"/>
      <c r="BJ833" s="10"/>
      <c r="BK833" s="10"/>
      <c r="BL833" s="10"/>
      <c r="BM833" s="10"/>
      <c r="BN833" s="10"/>
      <c r="BO833" s="10"/>
      <c r="BP833" s="10"/>
      <c r="BQ833" s="10"/>
      <c r="BR833" s="10"/>
      <c r="BS833" s="10"/>
      <c r="BT833" s="10"/>
      <c r="BU833" s="10"/>
    </row>
    <row r="834" spans="1:73" ht="18" x14ac:dyDescent="0.35">
      <c r="A834" s="43"/>
      <c r="C834" s="393"/>
      <c r="E834" s="394"/>
      <c r="F834" s="394">
        <v>0</v>
      </c>
      <c r="G834" s="394"/>
      <c r="H834" s="8" t="s">
        <v>235</v>
      </c>
      <c r="I834" s="368">
        <f t="shared" si="37"/>
        <v>0</v>
      </c>
      <c r="J834" s="365">
        <f t="shared" si="39"/>
        <v>0</v>
      </c>
      <c r="K834" s="369">
        <f t="shared" si="38"/>
        <v>6</v>
      </c>
      <c r="L834" s="369">
        <f>+IF((C834&gt;='Resultats - informe'!$E$16)*(C834&lt;='Resultats - informe'!$G$16),1,0)</f>
        <v>1</v>
      </c>
      <c r="M834" s="369" cm="1">
        <f t="array" ref="M834">+_xlfn.IFS((C834&gt;='Resultats - informe'!$D$26)*(C834&lt;='Resultats - informe'!$E$26),0,(C834&gt;='Resultats - informe'!$D$27)*(C834&lt;='Resultats - informe'!$E$27),0,(C834&gt;='Resultats - informe'!$D$28)*(C834&lt;='Resultats - informe'!$E$28),0,(C834&gt;='Resultats - informe'!$D$29)*(C834&lt;='Resultats - informe'!$E$29),0,1,1)</f>
        <v>0</v>
      </c>
      <c r="N834" s="366">
        <f>+VLOOKUP(D834,'Resultats - informe'!$Y$18:$AG$42,'Introducció dades consum'!K834+1,0)</f>
        <v>0</v>
      </c>
      <c r="O834" s="370" cm="1">
        <f t="array" ref="O834">+_xlfn.SWITCH(MONTH(C834),1,1,2,1,3,1,4,2,5,2,6,3,7,3,8,3,9,3,10,2,11,2,12,1,2)</f>
        <v>1</v>
      </c>
      <c r="P834" s="43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"/>
      <c r="BD834" s="10"/>
      <c r="BE834" s="10"/>
      <c r="BF834" s="10"/>
      <c r="BG834" s="10"/>
      <c r="BH834" s="10"/>
      <c r="BI834" s="10"/>
      <c r="BJ834" s="10"/>
      <c r="BK834" s="10"/>
      <c r="BL834" s="10"/>
      <c r="BM834" s="10"/>
      <c r="BN834" s="10"/>
      <c r="BO834" s="10"/>
      <c r="BP834" s="10"/>
      <c r="BQ834" s="10"/>
      <c r="BR834" s="10"/>
      <c r="BS834" s="10"/>
      <c r="BT834" s="10"/>
      <c r="BU834" s="10"/>
    </row>
    <row r="835" spans="1:73" ht="18" x14ac:dyDescent="0.35">
      <c r="A835" s="43"/>
      <c r="C835" s="393"/>
      <c r="E835" s="394"/>
      <c r="F835" s="394">
        <v>2E-3</v>
      </c>
      <c r="G835" s="394"/>
      <c r="H835" s="8" t="s">
        <v>235</v>
      </c>
      <c r="I835" s="368">
        <f t="shared" si="37"/>
        <v>0</v>
      </c>
      <c r="J835" s="365">
        <f t="shared" si="39"/>
        <v>0</v>
      </c>
      <c r="K835" s="369">
        <f t="shared" si="38"/>
        <v>6</v>
      </c>
      <c r="L835" s="369">
        <f>+IF((C835&gt;='Resultats - informe'!$E$16)*(C835&lt;='Resultats - informe'!$G$16),1,0)</f>
        <v>1</v>
      </c>
      <c r="M835" s="369" cm="1">
        <f t="array" ref="M835">+_xlfn.IFS((C835&gt;='Resultats - informe'!$D$26)*(C835&lt;='Resultats - informe'!$E$26),0,(C835&gt;='Resultats - informe'!$D$27)*(C835&lt;='Resultats - informe'!$E$27),0,(C835&gt;='Resultats - informe'!$D$28)*(C835&lt;='Resultats - informe'!$E$28),0,(C835&gt;='Resultats - informe'!$D$29)*(C835&lt;='Resultats - informe'!$E$29),0,1,1)</f>
        <v>0</v>
      </c>
      <c r="N835" s="366">
        <f>+VLOOKUP(D835,'Resultats - informe'!$Y$18:$AG$42,'Introducció dades consum'!K835+1,0)</f>
        <v>0</v>
      </c>
      <c r="O835" s="370" cm="1">
        <f t="array" ref="O835">+_xlfn.SWITCH(MONTH(C835),1,1,2,1,3,1,4,2,5,2,6,3,7,3,8,3,9,3,10,2,11,2,12,1,2)</f>
        <v>1</v>
      </c>
      <c r="P835" s="43"/>
      <c r="AS835" s="10"/>
      <c r="AT835" s="10"/>
      <c r="AU835" s="10"/>
      <c r="AV835" s="10"/>
      <c r="AW835" s="10"/>
      <c r="AX835" s="10"/>
      <c r="AY835" s="10"/>
      <c r="AZ835" s="10"/>
      <c r="BA835" s="10"/>
      <c r="BB835" s="10"/>
      <c r="BC835" s="10"/>
      <c r="BD835" s="10"/>
      <c r="BE835" s="10"/>
      <c r="BF835" s="10"/>
      <c r="BG835" s="10"/>
      <c r="BH835" s="10"/>
      <c r="BI835" s="10"/>
      <c r="BJ835" s="10"/>
      <c r="BK835" s="10"/>
      <c r="BL835" s="10"/>
      <c r="BM835" s="10"/>
      <c r="BN835" s="10"/>
      <c r="BO835" s="10"/>
      <c r="BP835" s="10"/>
      <c r="BQ835" s="10"/>
      <c r="BR835" s="10"/>
      <c r="BS835" s="10"/>
      <c r="BT835" s="10"/>
      <c r="BU835" s="10"/>
    </row>
    <row r="836" spans="1:73" ht="18" x14ac:dyDescent="0.35">
      <c r="A836" s="43"/>
      <c r="C836" s="393"/>
      <c r="E836" s="394"/>
      <c r="F836" s="394">
        <v>0</v>
      </c>
      <c r="G836" s="394"/>
      <c r="H836" s="8" t="s">
        <v>235</v>
      </c>
      <c r="I836" s="368">
        <f t="shared" si="37"/>
        <v>0</v>
      </c>
      <c r="J836" s="365">
        <f t="shared" si="39"/>
        <v>0</v>
      </c>
      <c r="K836" s="369">
        <f t="shared" si="38"/>
        <v>6</v>
      </c>
      <c r="L836" s="369">
        <f>+IF((C836&gt;='Resultats - informe'!$E$16)*(C836&lt;='Resultats - informe'!$G$16),1,0)</f>
        <v>1</v>
      </c>
      <c r="M836" s="369" cm="1">
        <f t="array" ref="M836">+_xlfn.IFS((C836&gt;='Resultats - informe'!$D$26)*(C836&lt;='Resultats - informe'!$E$26),0,(C836&gt;='Resultats - informe'!$D$27)*(C836&lt;='Resultats - informe'!$E$27),0,(C836&gt;='Resultats - informe'!$D$28)*(C836&lt;='Resultats - informe'!$E$28),0,(C836&gt;='Resultats - informe'!$D$29)*(C836&lt;='Resultats - informe'!$E$29),0,1,1)</f>
        <v>0</v>
      </c>
      <c r="N836" s="366">
        <f>+VLOOKUP(D836,'Resultats - informe'!$Y$18:$AG$42,'Introducció dades consum'!K836+1,0)</f>
        <v>0</v>
      </c>
      <c r="O836" s="370" cm="1">
        <f t="array" ref="O836">+_xlfn.SWITCH(MONTH(C836),1,1,2,1,3,1,4,2,5,2,6,3,7,3,8,3,9,3,10,2,11,2,12,1,2)</f>
        <v>1</v>
      </c>
      <c r="P836" s="43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"/>
      <c r="BD836" s="10"/>
      <c r="BE836" s="10"/>
      <c r="BF836" s="10"/>
      <c r="BG836" s="10"/>
      <c r="BH836" s="10"/>
      <c r="BI836" s="10"/>
      <c r="BJ836" s="10"/>
      <c r="BK836" s="10"/>
      <c r="BL836" s="10"/>
      <c r="BM836" s="10"/>
      <c r="BN836" s="10"/>
      <c r="BO836" s="10"/>
      <c r="BP836" s="10"/>
      <c r="BQ836" s="10"/>
      <c r="BR836" s="10"/>
      <c r="BS836" s="10"/>
      <c r="BT836" s="10"/>
      <c r="BU836" s="10"/>
    </row>
    <row r="837" spans="1:73" ht="18" x14ac:dyDescent="0.35">
      <c r="A837" s="43"/>
      <c r="C837" s="393"/>
      <c r="E837" s="394"/>
      <c r="F837" s="394">
        <v>0</v>
      </c>
      <c r="G837" s="394"/>
      <c r="H837" s="8" t="s">
        <v>235</v>
      </c>
      <c r="I837" s="368">
        <f t="shared" si="37"/>
        <v>0</v>
      </c>
      <c r="J837" s="365">
        <f t="shared" si="39"/>
        <v>0</v>
      </c>
      <c r="K837" s="369">
        <f t="shared" si="38"/>
        <v>6</v>
      </c>
      <c r="L837" s="369">
        <f>+IF((C837&gt;='Resultats - informe'!$E$16)*(C837&lt;='Resultats - informe'!$G$16),1,0)</f>
        <v>1</v>
      </c>
      <c r="M837" s="369" cm="1">
        <f t="array" ref="M837">+_xlfn.IFS((C837&gt;='Resultats - informe'!$D$26)*(C837&lt;='Resultats - informe'!$E$26),0,(C837&gt;='Resultats - informe'!$D$27)*(C837&lt;='Resultats - informe'!$E$27),0,(C837&gt;='Resultats - informe'!$D$28)*(C837&lt;='Resultats - informe'!$E$28),0,(C837&gt;='Resultats - informe'!$D$29)*(C837&lt;='Resultats - informe'!$E$29),0,1,1)</f>
        <v>0</v>
      </c>
      <c r="N837" s="366">
        <f>+VLOOKUP(D837,'Resultats - informe'!$Y$18:$AG$42,'Introducció dades consum'!K837+1,0)</f>
        <v>0</v>
      </c>
      <c r="O837" s="370" cm="1">
        <f t="array" ref="O837">+_xlfn.SWITCH(MONTH(C837),1,1,2,1,3,1,4,2,5,2,6,3,7,3,8,3,9,3,10,2,11,2,12,1,2)</f>
        <v>1</v>
      </c>
      <c r="P837" s="43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  <c r="BC837" s="10"/>
      <c r="BD837" s="10"/>
      <c r="BE837" s="10"/>
      <c r="BF837" s="10"/>
      <c r="BG837" s="10"/>
      <c r="BH837" s="10"/>
      <c r="BI837" s="10"/>
      <c r="BJ837" s="10"/>
      <c r="BK837" s="10"/>
      <c r="BL837" s="10"/>
      <c r="BM837" s="10"/>
      <c r="BN837" s="10"/>
      <c r="BO837" s="10"/>
      <c r="BP837" s="10"/>
      <c r="BQ837" s="10"/>
      <c r="BR837" s="10"/>
      <c r="BS837" s="10"/>
      <c r="BT837" s="10"/>
      <c r="BU837" s="10"/>
    </row>
    <row r="838" spans="1:73" ht="18" x14ac:dyDescent="0.35">
      <c r="A838" s="43"/>
      <c r="C838" s="393"/>
      <c r="E838" s="394"/>
      <c r="F838" s="394">
        <v>0</v>
      </c>
      <c r="G838" s="394"/>
      <c r="H838" s="8" t="s">
        <v>235</v>
      </c>
      <c r="I838" s="368">
        <f t="shared" ref="I838:I901" si="40">+E838+G838</f>
        <v>0</v>
      </c>
      <c r="J838" s="365">
        <f t="shared" si="39"/>
        <v>0</v>
      </c>
      <c r="K838" s="369">
        <f t="shared" ref="K838:K901" si="41">+WEEKDAY(C838,2)</f>
        <v>6</v>
      </c>
      <c r="L838" s="369">
        <f>+IF((C838&gt;='Resultats - informe'!$E$16)*(C838&lt;='Resultats - informe'!$G$16),1,0)</f>
        <v>1</v>
      </c>
      <c r="M838" s="369" cm="1">
        <f t="array" ref="M838">+_xlfn.IFS((C838&gt;='Resultats - informe'!$D$26)*(C838&lt;='Resultats - informe'!$E$26),0,(C838&gt;='Resultats - informe'!$D$27)*(C838&lt;='Resultats - informe'!$E$27),0,(C838&gt;='Resultats - informe'!$D$28)*(C838&lt;='Resultats - informe'!$E$28),0,(C838&gt;='Resultats - informe'!$D$29)*(C838&lt;='Resultats - informe'!$E$29),0,1,1)</f>
        <v>0</v>
      </c>
      <c r="N838" s="366">
        <f>+VLOOKUP(D838,'Resultats - informe'!$Y$18:$AG$42,'Introducció dades consum'!K838+1,0)</f>
        <v>0</v>
      </c>
      <c r="O838" s="370" cm="1">
        <f t="array" ref="O838">+_xlfn.SWITCH(MONTH(C838),1,1,2,1,3,1,4,2,5,2,6,3,7,3,8,3,9,3,10,2,11,2,12,1,2)</f>
        <v>1</v>
      </c>
      <c r="P838" s="43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  <c r="BC838" s="10"/>
      <c r="BD838" s="10"/>
      <c r="BE838" s="10"/>
      <c r="BF838" s="10"/>
      <c r="BG838" s="10"/>
      <c r="BH838" s="10"/>
      <c r="BI838" s="10"/>
      <c r="BJ838" s="10"/>
      <c r="BK838" s="10"/>
      <c r="BL838" s="10"/>
      <c r="BM838" s="10"/>
      <c r="BN838" s="10"/>
      <c r="BO838" s="10"/>
      <c r="BP838" s="10"/>
      <c r="BQ838" s="10"/>
      <c r="BR838" s="10"/>
      <c r="BS838" s="10"/>
      <c r="BT838" s="10"/>
      <c r="BU838" s="10"/>
    </row>
    <row r="839" spans="1:73" ht="18" x14ac:dyDescent="0.35">
      <c r="A839" s="43"/>
      <c r="C839" s="393"/>
      <c r="E839" s="394"/>
      <c r="F839" s="394">
        <v>0</v>
      </c>
      <c r="G839" s="394"/>
      <c r="H839" s="8" t="s">
        <v>235</v>
      </c>
      <c r="I839" s="368">
        <f t="shared" si="40"/>
        <v>0</v>
      </c>
      <c r="J839" s="365">
        <f t="shared" si="39"/>
        <v>0</v>
      </c>
      <c r="K839" s="369">
        <f t="shared" si="41"/>
        <v>6</v>
      </c>
      <c r="L839" s="369">
        <f>+IF((C839&gt;='Resultats - informe'!$E$16)*(C839&lt;='Resultats - informe'!$G$16),1,0)</f>
        <v>1</v>
      </c>
      <c r="M839" s="369" cm="1">
        <f t="array" ref="M839">+_xlfn.IFS((C839&gt;='Resultats - informe'!$D$26)*(C839&lt;='Resultats - informe'!$E$26),0,(C839&gt;='Resultats - informe'!$D$27)*(C839&lt;='Resultats - informe'!$E$27),0,(C839&gt;='Resultats - informe'!$D$28)*(C839&lt;='Resultats - informe'!$E$28),0,(C839&gt;='Resultats - informe'!$D$29)*(C839&lt;='Resultats - informe'!$E$29),0,1,1)</f>
        <v>0</v>
      </c>
      <c r="N839" s="366">
        <f>+VLOOKUP(D839,'Resultats - informe'!$Y$18:$AG$42,'Introducció dades consum'!K839+1,0)</f>
        <v>0</v>
      </c>
      <c r="O839" s="370" cm="1">
        <f t="array" ref="O839">+_xlfn.SWITCH(MONTH(C839),1,1,2,1,3,1,4,2,5,2,6,3,7,3,8,3,9,3,10,2,11,2,12,1,2)</f>
        <v>1</v>
      </c>
      <c r="P839" s="43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  <c r="BC839" s="10"/>
      <c r="BD839" s="10"/>
      <c r="BE839" s="10"/>
      <c r="BF839" s="10"/>
      <c r="BG839" s="10"/>
      <c r="BH839" s="10"/>
      <c r="BI839" s="10"/>
      <c r="BJ839" s="10"/>
      <c r="BK839" s="10"/>
      <c r="BL839" s="10"/>
      <c r="BM839" s="10"/>
      <c r="BN839" s="10"/>
      <c r="BO839" s="10"/>
      <c r="BP839" s="10"/>
      <c r="BQ839" s="10"/>
      <c r="BR839" s="10"/>
      <c r="BS839" s="10"/>
      <c r="BT839" s="10"/>
      <c r="BU839" s="10"/>
    </row>
    <row r="840" spans="1:73" ht="18" x14ac:dyDescent="0.35">
      <c r="A840" s="43"/>
      <c r="C840" s="393"/>
      <c r="E840" s="394"/>
      <c r="F840" s="394">
        <v>0</v>
      </c>
      <c r="G840" s="394"/>
      <c r="H840" s="8" t="s">
        <v>235</v>
      </c>
      <c r="I840" s="368">
        <f t="shared" si="40"/>
        <v>0</v>
      </c>
      <c r="J840" s="365">
        <f t="shared" si="39"/>
        <v>0</v>
      </c>
      <c r="K840" s="369">
        <f t="shared" si="41"/>
        <v>6</v>
      </c>
      <c r="L840" s="369">
        <f>+IF((C840&gt;='Resultats - informe'!$E$16)*(C840&lt;='Resultats - informe'!$G$16),1,0)</f>
        <v>1</v>
      </c>
      <c r="M840" s="369" cm="1">
        <f t="array" ref="M840">+_xlfn.IFS((C840&gt;='Resultats - informe'!$D$26)*(C840&lt;='Resultats - informe'!$E$26),0,(C840&gt;='Resultats - informe'!$D$27)*(C840&lt;='Resultats - informe'!$E$27),0,(C840&gt;='Resultats - informe'!$D$28)*(C840&lt;='Resultats - informe'!$E$28),0,(C840&gt;='Resultats - informe'!$D$29)*(C840&lt;='Resultats - informe'!$E$29),0,1,1)</f>
        <v>0</v>
      </c>
      <c r="N840" s="366">
        <f>+VLOOKUP(D840,'Resultats - informe'!$Y$18:$AG$42,'Introducció dades consum'!K840+1,0)</f>
        <v>0</v>
      </c>
      <c r="O840" s="370" cm="1">
        <f t="array" ref="O840">+_xlfn.SWITCH(MONTH(C840),1,1,2,1,3,1,4,2,5,2,6,3,7,3,8,3,9,3,10,2,11,2,12,1,2)</f>
        <v>1</v>
      </c>
      <c r="P840" s="43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  <c r="BC840" s="10"/>
      <c r="BD840" s="10"/>
      <c r="BE840" s="10"/>
      <c r="BF840" s="10"/>
      <c r="BG840" s="10"/>
      <c r="BH840" s="10"/>
      <c r="BI840" s="10"/>
      <c r="BJ840" s="10"/>
      <c r="BK840" s="10"/>
      <c r="BL840" s="10"/>
      <c r="BM840" s="10"/>
      <c r="BN840" s="10"/>
      <c r="BO840" s="10"/>
      <c r="BP840" s="10"/>
      <c r="BQ840" s="10"/>
      <c r="BR840" s="10"/>
      <c r="BS840" s="10"/>
      <c r="BT840" s="10"/>
      <c r="BU840" s="10"/>
    </row>
    <row r="841" spans="1:73" ht="18" x14ac:dyDescent="0.35">
      <c r="A841" s="43"/>
      <c r="C841" s="393"/>
      <c r="E841" s="394"/>
      <c r="F841" s="394">
        <v>0</v>
      </c>
      <c r="G841" s="394"/>
      <c r="H841" s="8" t="s">
        <v>235</v>
      </c>
      <c r="I841" s="368">
        <f t="shared" si="40"/>
        <v>0</v>
      </c>
      <c r="J841" s="365">
        <f t="shared" si="39"/>
        <v>0</v>
      </c>
      <c r="K841" s="369">
        <f t="shared" si="41"/>
        <v>6</v>
      </c>
      <c r="L841" s="369">
        <f>+IF((C841&gt;='Resultats - informe'!$E$16)*(C841&lt;='Resultats - informe'!$G$16),1,0)</f>
        <v>1</v>
      </c>
      <c r="M841" s="369" cm="1">
        <f t="array" ref="M841">+_xlfn.IFS((C841&gt;='Resultats - informe'!$D$26)*(C841&lt;='Resultats - informe'!$E$26),0,(C841&gt;='Resultats - informe'!$D$27)*(C841&lt;='Resultats - informe'!$E$27),0,(C841&gt;='Resultats - informe'!$D$28)*(C841&lt;='Resultats - informe'!$E$28),0,(C841&gt;='Resultats - informe'!$D$29)*(C841&lt;='Resultats - informe'!$E$29),0,1,1)</f>
        <v>0</v>
      </c>
      <c r="N841" s="366">
        <f>+VLOOKUP(D841,'Resultats - informe'!$Y$18:$AG$42,'Introducció dades consum'!K841+1,0)</f>
        <v>0</v>
      </c>
      <c r="O841" s="370" cm="1">
        <f t="array" ref="O841">+_xlfn.SWITCH(MONTH(C841),1,1,2,1,3,1,4,2,5,2,6,3,7,3,8,3,9,3,10,2,11,2,12,1,2)</f>
        <v>1</v>
      </c>
      <c r="P841" s="43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  <c r="BC841" s="10"/>
      <c r="BD841" s="10"/>
      <c r="BE841" s="10"/>
      <c r="BF841" s="10"/>
      <c r="BG841" s="10"/>
      <c r="BH841" s="10"/>
      <c r="BI841" s="10"/>
      <c r="BJ841" s="10"/>
      <c r="BK841" s="10"/>
      <c r="BL841" s="10"/>
      <c r="BM841" s="10"/>
      <c r="BN841" s="10"/>
      <c r="BO841" s="10"/>
      <c r="BP841" s="10"/>
      <c r="BQ841" s="10"/>
      <c r="BR841" s="10"/>
      <c r="BS841" s="10"/>
      <c r="BT841" s="10"/>
      <c r="BU841" s="10"/>
    </row>
    <row r="842" spans="1:73" ht="18" x14ac:dyDescent="0.35">
      <c r="A842" s="43"/>
      <c r="C842" s="393"/>
      <c r="E842" s="394"/>
      <c r="F842" s="394">
        <v>0</v>
      </c>
      <c r="G842" s="394"/>
      <c r="H842" s="8" t="s">
        <v>235</v>
      </c>
      <c r="I842" s="368">
        <f t="shared" si="40"/>
        <v>0</v>
      </c>
      <c r="J842" s="365">
        <f t="shared" si="39"/>
        <v>0</v>
      </c>
      <c r="K842" s="369">
        <f t="shared" si="41"/>
        <v>6</v>
      </c>
      <c r="L842" s="369">
        <f>+IF((C842&gt;='Resultats - informe'!$E$16)*(C842&lt;='Resultats - informe'!$G$16),1,0)</f>
        <v>1</v>
      </c>
      <c r="M842" s="369" cm="1">
        <f t="array" ref="M842">+_xlfn.IFS((C842&gt;='Resultats - informe'!$D$26)*(C842&lt;='Resultats - informe'!$E$26),0,(C842&gt;='Resultats - informe'!$D$27)*(C842&lt;='Resultats - informe'!$E$27),0,(C842&gt;='Resultats - informe'!$D$28)*(C842&lt;='Resultats - informe'!$E$28),0,(C842&gt;='Resultats - informe'!$D$29)*(C842&lt;='Resultats - informe'!$E$29),0,1,1)</f>
        <v>0</v>
      </c>
      <c r="N842" s="366">
        <f>+VLOOKUP(D842,'Resultats - informe'!$Y$18:$AG$42,'Introducció dades consum'!K842+1,0)</f>
        <v>0</v>
      </c>
      <c r="O842" s="370" cm="1">
        <f t="array" ref="O842">+_xlfn.SWITCH(MONTH(C842),1,1,2,1,3,1,4,2,5,2,6,3,7,3,8,3,9,3,10,2,11,2,12,1,2)</f>
        <v>1</v>
      </c>
      <c r="P842" s="43"/>
      <c r="AS842" s="10"/>
      <c r="AT842" s="10"/>
      <c r="AU842" s="10"/>
      <c r="AV842" s="10"/>
      <c r="AW842" s="10"/>
      <c r="AX842" s="10"/>
      <c r="AY842" s="10"/>
      <c r="AZ842" s="10"/>
      <c r="BA842" s="10"/>
      <c r="BB842" s="10"/>
      <c r="BC842" s="10"/>
      <c r="BD842" s="10"/>
      <c r="BE842" s="10"/>
      <c r="BF842" s="10"/>
      <c r="BG842" s="10"/>
      <c r="BH842" s="10"/>
      <c r="BI842" s="10"/>
      <c r="BJ842" s="10"/>
      <c r="BK842" s="10"/>
      <c r="BL842" s="10"/>
      <c r="BM842" s="10"/>
      <c r="BN842" s="10"/>
      <c r="BO842" s="10"/>
      <c r="BP842" s="10"/>
      <c r="BQ842" s="10"/>
      <c r="BR842" s="10"/>
      <c r="BS842" s="10"/>
      <c r="BT842" s="10"/>
      <c r="BU842" s="10"/>
    </row>
    <row r="843" spans="1:73" ht="18" x14ac:dyDescent="0.35">
      <c r="A843" s="43"/>
      <c r="C843" s="393"/>
      <c r="E843" s="394"/>
      <c r="F843" s="394">
        <v>0</v>
      </c>
      <c r="G843" s="394"/>
      <c r="H843" s="8" t="s">
        <v>235</v>
      </c>
      <c r="I843" s="368">
        <f t="shared" si="40"/>
        <v>0</v>
      </c>
      <c r="J843" s="365">
        <f t="shared" si="39"/>
        <v>0</v>
      </c>
      <c r="K843" s="369">
        <f t="shared" si="41"/>
        <v>6</v>
      </c>
      <c r="L843" s="369">
        <f>+IF((C843&gt;='Resultats - informe'!$E$16)*(C843&lt;='Resultats - informe'!$G$16),1,0)</f>
        <v>1</v>
      </c>
      <c r="M843" s="369" cm="1">
        <f t="array" ref="M843">+_xlfn.IFS((C843&gt;='Resultats - informe'!$D$26)*(C843&lt;='Resultats - informe'!$E$26),0,(C843&gt;='Resultats - informe'!$D$27)*(C843&lt;='Resultats - informe'!$E$27),0,(C843&gt;='Resultats - informe'!$D$28)*(C843&lt;='Resultats - informe'!$E$28),0,(C843&gt;='Resultats - informe'!$D$29)*(C843&lt;='Resultats - informe'!$E$29),0,1,1)</f>
        <v>0</v>
      </c>
      <c r="N843" s="366">
        <f>+VLOOKUP(D843,'Resultats - informe'!$Y$18:$AG$42,'Introducció dades consum'!K843+1,0)</f>
        <v>0</v>
      </c>
      <c r="O843" s="370" cm="1">
        <f t="array" ref="O843">+_xlfn.SWITCH(MONTH(C843),1,1,2,1,3,1,4,2,5,2,6,3,7,3,8,3,9,3,10,2,11,2,12,1,2)</f>
        <v>1</v>
      </c>
      <c r="P843" s="43"/>
      <c r="AS843" s="10"/>
      <c r="AT843" s="10"/>
      <c r="AU843" s="10"/>
      <c r="AV843" s="10"/>
      <c r="AW843" s="10"/>
      <c r="AX843" s="10"/>
      <c r="AY843" s="10"/>
      <c r="AZ843" s="10"/>
      <c r="BA843" s="10"/>
      <c r="BB843" s="10"/>
      <c r="BC843" s="10"/>
      <c r="BD843" s="10"/>
      <c r="BE843" s="10"/>
      <c r="BF843" s="10"/>
      <c r="BG843" s="10"/>
      <c r="BH843" s="10"/>
      <c r="BI843" s="10"/>
      <c r="BJ843" s="10"/>
      <c r="BK843" s="10"/>
      <c r="BL843" s="10"/>
      <c r="BM843" s="10"/>
      <c r="BN843" s="10"/>
      <c r="BO843" s="10"/>
      <c r="BP843" s="10"/>
      <c r="BQ843" s="10"/>
      <c r="BR843" s="10"/>
      <c r="BS843" s="10"/>
      <c r="BT843" s="10"/>
      <c r="BU843" s="10"/>
    </row>
    <row r="844" spans="1:73" ht="18" x14ac:dyDescent="0.35">
      <c r="A844" s="43"/>
      <c r="C844" s="393"/>
      <c r="E844" s="394"/>
      <c r="F844" s="394">
        <v>0</v>
      </c>
      <c r="G844" s="394"/>
      <c r="H844" s="8" t="s">
        <v>235</v>
      </c>
      <c r="I844" s="368">
        <f t="shared" si="40"/>
        <v>0</v>
      </c>
      <c r="J844" s="365">
        <f t="shared" si="39"/>
        <v>0</v>
      </c>
      <c r="K844" s="369">
        <f t="shared" si="41"/>
        <v>6</v>
      </c>
      <c r="L844" s="369">
        <f>+IF((C844&gt;='Resultats - informe'!$E$16)*(C844&lt;='Resultats - informe'!$G$16),1,0)</f>
        <v>1</v>
      </c>
      <c r="M844" s="369" cm="1">
        <f t="array" ref="M844">+_xlfn.IFS((C844&gt;='Resultats - informe'!$D$26)*(C844&lt;='Resultats - informe'!$E$26),0,(C844&gt;='Resultats - informe'!$D$27)*(C844&lt;='Resultats - informe'!$E$27),0,(C844&gt;='Resultats - informe'!$D$28)*(C844&lt;='Resultats - informe'!$E$28),0,(C844&gt;='Resultats - informe'!$D$29)*(C844&lt;='Resultats - informe'!$E$29),0,1,1)</f>
        <v>0</v>
      </c>
      <c r="N844" s="366">
        <f>+VLOOKUP(D844,'Resultats - informe'!$Y$18:$AG$42,'Introducció dades consum'!K844+1,0)</f>
        <v>0</v>
      </c>
      <c r="O844" s="370" cm="1">
        <f t="array" ref="O844">+_xlfn.SWITCH(MONTH(C844),1,1,2,1,3,1,4,2,5,2,6,3,7,3,8,3,9,3,10,2,11,2,12,1,2)</f>
        <v>1</v>
      </c>
      <c r="P844" s="43"/>
      <c r="AS844" s="10"/>
      <c r="AT844" s="10"/>
      <c r="AU844" s="10"/>
      <c r="AV844" s="10"/>
      <c r="AW844" s="10"/>
      <c r="AX844" s="10"/>
      <c r="AY844" s="10"/>
      <c r="AZ844" s="10"/>
      <c r="BA844" s="10"/>
      <c r="BB844" s="10"/>
      <c r="BC844" s="10"/>
      <c r="BD844" s="10"/>
      <c r="BE844" s="10"/>
      <c r="BF844" s="10"/>
      <c r="BG844" s="10"/>
      <c r="BH844" s="10"/>
      <c r="BI844" s="10"/>
      <c r="BJ844" s="10"/>
      <c r="BK844" s="10"/>
      <c r="BL844" s="10"/>
      <c r="BM844" s="10"/>
      <c r="BN844" s="10"/>
      <c r="BO844" s="10"/>
      <c r="BP844" s="10"/>
      <c r="BQ844" s="10"/>
      <c r="BR844" s="10"/>
      <c r="BS844" s="10"/>
      <c r="BT844" s="10"/>
      <c r="BU844" s="10"/>
    </row>
    <row r="845" spans="1:73" ht="18" x14ac:dyDescent="0.35">
      <c r="A845" s="43"/>
      <c r="C845" s="393"/>
      <c r="E845" s="394"/>
      <c r="F845" s="394">
        <v>0</v>
      </c>
      <c r="G845" s="394"/>
      <c r="H845" s="8" t="s">
        <v>235</v>
      </c>
      <c r="I845" s="368">
        <f t="shared" si="40"/>
        <v>0</v>
      </c>
      <c r="J845" s="365">
        <f t="shared" si="39"/>
        <v>0</v>
      </c>
      <c r="K845" s="369">
        <f t="shared" si="41"/>
        <v>6</v>
      </c>
      <c r="L845" s="369">
        <f>+IF((C845&gt;='Resultats - informe'!$E$16)*(C845&lt;='Resultats - informe'!$G$16),1,0)</f>
        <v>1</v>
      </c>
      <c r="M845" s="369" cm="1">
        <f t="array" ref="M845">+_xlfn.IFS((C845&gt;='Resultats - informe'!$D$26)*(C845&lt;='Resultats - informe'!$E$26),0,(C845&gt;='Resultats - informe'!$D$27)*(C845&lt;='Resultats - informe'!$E$27),0,(C845&gt;='Resultats - informe'!$D$28)*(C845&lt;='Resultats - informe'!$E$28),0,(C845&gt;='Resultats - informe'!$D$29)*(C845&lt;='Resultats - informe'!$E$29),0,1,1)</f>
        <v>0</v>
      </c>
      <c r="N845" s="366">
        <f>+VLOOKUP(D845,'Resultats - informe'!$Y$18:$AG$42,'Introducció dades consum'!K845+1,0)</f>
        <v>0</v>
      </c>
      <c r="O845" s="370" cm="1">
        <f t="array" ref="O845">+_xlfn.SWITCH(MONTH(C845),1,1,2,1,3,1,4,2,5,2,6,3,7,3,8,3,9,3,10,2,11,2,12,1,2)</f>
        <v>1</v>
      </c>
      <c r="P845" s="43"/>
      <c r="AS845" s="10"/>
      <c r="AT845" s="10"/>
      <c r="AU845" s="10"/>
      <c r="AV845" s="10"/>
      <c r="AW845" s="10"/>
      <c r="AX845" s="10"/>
      <c r="AY845" s="10"/>
      <c r="AZ845" s="10"/>
      <c r="BA845" s="10"/>
      <c r="BB845" s="10"/>
      <c r="BC845" s="10"/>
      <c r="BD845" s="10"/>
      <c r="BE845" s="10"/>
      <c r="BF845" s="10"/>
      <c r="BG845" s="10"/>
      <c r="BH845" s="10"/>
      <c r="BI845" s="10"/>
      <c r="BJ845" s="10"/>
      <c r="BK845" s="10"/>
      <c r="BL845" s="10"/>
      <c r="BM845" s="10"/>
      <c r="BN845" s="10"/>
      <c r="BO845" s="10"/>
      <c r="BP845" s="10"/>
      <c r="BQ845" s="10"/>
      <c r="BR845" s="10"/>
      <c r="BS845" s="10"/>
      <c r="BT845" s="10"/>
      <c r="BU845" s="10"/>
    </row>
    <row r="846" spans="1:73" ht="18" x14ac:dyDescent="0.35">
      <c r="A846" s="43"/>
      <c r="C846" s="393"/>
      <c r="E846" s="394"/>
      <c r="F846" s="394">
        <v>0</v>
      </c>
      <c r="G846" s="394"/>
      <c r="H846" s="8" t="s">
        <v>235</v>
      </c>
      <c r="I846" s="368">
        <f t="shared" si="40"/>
        <v>0</v>
      </c>
      <c r="J846" s="365">
        <f t="shared" si="39"/>
        <v>0</v>
      </c>
      <c r="K846" s="369">
        <f t="shared" si="41"/>
        <v>6</v>
      </c>
      <c r="L846" s="369">
        <f>+IF((C846&gt;='Resultats - informe'!$E$16)*(C846&lt;='Resultats - informe'!$G$16),1,0)</f>
        <v>1</v>
      </c>
      <c r="M846" s="369" cm="1">
        <f t="array" ref="M846">+_xlfn.IFS((C846&gt;='Resultats - informe'!$D$26)*(C846&lt;='Resultats - informe'!$E$26),0,(C846&gt;='Resultats - informe'!$D$27)*(C846&lt;='Resultats - informe'!$E$27),0,(C846&gt;='Resultats - informe'!$D$28)*(C846&lt;='Resultats - informe'!$E$28),0,(C846&gt;='Resultats - informe'!$D$29)*(C846&lt;='Resultats - informe'!$E$29),0,1,1)</f>
        <v>0</v>
      </c>
      <c r="N846" s="366">
        <f>+VLOOKUP(D846,'Resultats - informe'!$Y$18:$AG$42,'Introducció dades consum'!K846+1,0)</f>
        <v>0</v>
      </c>
      <c r="O846" s="370" cm="1">
        <f t="array" ref="O846">+_xlfn.SWITCH(MONTH(C846),1,1,2,1,3,1,4,2,5,2,6,3,7,3,8,3,9,3,10,2,11,2,12,1,2)</f>
        <v>1</v>
      </c>
      <c r="P846" s="43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  <c r="BC846" s="10"/>
      <c r="BD846" s="10"/>
      <c r="BE846" s="10"/>
      <c r="BF846" s="10"/>
      <c r="BG846" s="10"/>
      <c r="BH846" s="10"/>
      <c r="BI846" s="10"/>
      <c r="BJ846" s="10"/>
      <c r="BK846" s="10"/>
      <c r="BL846" s="10"/>
      <c r="BM846" s="10"/>
      <c r="BN846" s="10"/>
      <c r="BO846" s="10"/>
      <c r="BP846" s="10"/>
      <c r="BQ846" s="10"/>
      <c r="BR846" s="10"/>
      <c r="BS846" s="10"/>
      <c r="BT846" s="10"/>
      <c r="BU846" s="10"/>
    </row>
    <row r="847" spans="1:73" ht="18" x14ac:dyDescent="0.35">
      <c r="A847" s="43"/>
      <c r="C847" s="393"/>
      <c r="E847" s="394"/>
      <c r="F847" s="394">
        <v>0</v>
      </c>
      <c r="G847" s="394"/>
      <c r="H847" s="8" t="s">
        <v>235</v>
      </c>
      <c r="I847" s="368">
        <f t="shared" si="40"/>
        <v>0</v>
      </c>
      <c r="J847" s="365">
        <f t="shared" si="39"/>
        <v>0</v>
      </c>
      <c r="K847" s="369">
        <f t="shared" si="41"/>
        <v>6</v>
      </c>
      <c r="L847" s="369">
        <f>+IF((C847&gt;='Resultats - informe'!$E$16)*(C847&lt;='Resultats - informe'!$G$16),1,0)</f>
        <v>1</v>
      </c>
      <c r="M847" s="369" cm="1">
        <f t="array" ref="M847">+_xlfn.IFS((C847&gt;='Resultats - informe'!$D$26)*(C847&lt;='Resultats - informe'!$E$26),0,(C847&gt;='Resultats - informe'!$D$27)*(C847&lt;='Resultats - informe'!$E$27),0,(C847&gt;='Resultats - informe'!$D$28)*(C847&lt;='Resultats - informe'!$E$28),0,(C847&gt;='Resultats - informe'!$D$29)*(C847&lt;='Resultats - informe'!$E$29),0,1,1)</f>
        <v>0</v>
      </c>
      <c r="N847" s="366">
        <f>+VLOOKUP(D847,'Resultats - informe'!$Y$18:$AG$42,'Introducció dades consum'!K847+1,0)</f>
        <v>0</v>
      </c>
      <c r="O847" s="370" cm="1">
        <f t="array" ref="O847">+_xlfn.SWITCH(MONTH(C847),1,1,2,1,3,1,4,2,5,2,6,3,7,3,8,3,9,3,10,2,11,2,12,1,2)</f>
        <v>1</v>
      </c>
      <c r="P847" s="43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  <c r="BC847" s="10"/>
      <c r="BD847" s="10"/>
      <c r="BE847" s="10"/>
      <c r="BF847" s="10"/>
      <c r="BG847" s="10"/>
      <c r="BH847" s="10"/>
      <c r="BI847" s="10"/>
      <c r="BJ847" s="10"/>
      <c r="BK847" s="10"/>
      <c r="BL847" s="10"/>
      <c r="BM847" s="10"/>
      <c r="BN847" s="10"/>
      <c r="BO847" s="10"/>
      <c r="BP847" s="10"/>
      <c r="BQ847" s="10"/>
      <c r="BR847" s="10"/>
      <c r="BS847" s="10"/>
      <c r="BT847" s="10"/>
      <c r="BU847" s="10"/>
    </row>
    <row r="848" spans="1:73" ht="18" x14ac:dyDescent="0.35">
      <c r="A848" s="43"/>
      <c r="C848" s="393"/>
      <c r="E848" s="394"/>
      <c r="F848" s="394">
        <v>0</v>
      </c>
      <c r="G848" s="394"/>
      <c r="H848" s="8" t="s">
        <v>235</v>
      </c>
      <c r="I848" s="368">
        <f t="shared" si="40"/>
        <v>0</v>
      </c>
      <c r="J848" s="365">
        <f t="shared" si="39"/>
        <v>0</v>
      </c>
      <c r="K848" s="369">
        <f t="shared" si="41"/>
        <v>6</v>
      </c>
      <c r="L848" s="369">
        <f>+IF((C848&gt;='Resultats - informe'!$E$16)*(C848&lt;='Resultats - informe'!$G$16),1,0)</f>
        <v>1</v>
      </c>
      <c r="M848" s="369" cm="1">
        <f t="array" ref="M848">+_xlfn.IFS((C848&gt;='Resultats - informe'!$D$26)*(C848&lt;='Resultats - informe'!$E$26),0,(C848&gt;='Resultats - informe'!$D$27)*(C848&lt;='Resultats - informe'!$E$27),0,(C848&gt;='Resultats - informe'!$D$28)*(C848&lt;='Resultats - informe'!$E$28),0,(C848&gt;='Resultats - informe'!$D$29)*(C848&lt;='Resultats - informe'!$E$29),0,1,1)</f>
        <v>0</v>
      </c>
      <c r="N848" s="366">
        <f>+VLOOKUP(D848,'Resultats - informe'!$Y$18:$AG$42,'Introducció dades consum'!K848+1,0)</f>
        <v>0</v>
      </c>
      <c r="O848" s="370" cm="1">
        <f t="array" ref="O848">+_xlfn.SWITCH(MONTH(C848),1,1,2,1,3,1,4,2,5,2,6,3,7,3,8,3,9,3,10,2,11,2,12,1,2)</f>
        <v>1</v>
      </c>
      <c r="P848" s="43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  <c r="BC848" s="10"/>
      <c r="BD848" s="10"/>
      <c r="BE848" s="10"/>
      <c r="BF848" s="10"/>
      <c r="BG848" s="10"/>
      <c r="BH848" s="10"/>
      <c r="BI848" s="10"/>
      <c r="BJ848" s="10"/>
      <c r="BK848" s="10"/>
      <c r="BL848" s="10"/>
      <c r="BM848" s="10"/>
      <c r="BN848" s="10"/>
      <c r="BO848" s="10"/>
      <c r="BP848" s="10"/>
      <c r="BQ848" s="10"/>
      <c r="BR848" s="10"/>
      <c r="BS848" s="10"/>
      <c r="BT848" s="10"/>
      <c r="BU848" s="10"/>
    </row>
    <row r="849" spans="1:73" ht="18" x14ac:dyDescent="0.35">
      <c r="A849" s="43"/>
      <c r="C849" s="393"/>
      <c r="E849" s="394"/>
      <c r="F849" s="394">
        <v>0</v>
      </c>
      <c r="G849" s="394"/>
      <c r="H849" s="8" t="s">
        <v>235</v>
      </c>
      <c r="I849" s="368">
        <f t="shared" si="40"/>
        <v>0</v>
      </c>
      <c r="J849" s="365">
        <f t="shared" si="39"/>
        <v>0</v>
      </c>
      <c r="K849" s="369">
        <f t="shared" si="41"/>
        <v>6</v>
      </c>
      <c r="L849" s="369">
        <f>+IF((C849&gt;='Resultats - informe'!$E$16)*(C849&lt;='Resultats - informe'!$G$16),1,0)</f>
        <v>1</v>
      </c>
      <c r="M849" s="369" cm="1">
        <f t="array" ref="M849">+_xlfn.IFS((C849&gt;='Resultats - informe'!$D$26)*(C849&lt;='Resultats - informe'!$E$26),0,(C849&gt;='Resultats - informe'!$D$27)*(C849&lt;='Resultats - informe'!$E$27),0,(C849&gt;='Resultats - informe'!$D$28)*(C849&lt;='Resultats - informe'!$E$28),0,(C849&gt;='Resultats - informe'!$D$29)*(C849&lt;='Resultats - informe'!$E$29),0,1,1)</f>
        <v>0</v>
      </c>
      <c r="N849" s="366">
        <f>+VLOOKUP(D849,'Resultats - informe'!$Y$18:$AG$42,'Introducció dades consum'!K849+1,0)</f>
        <v>0</v>
      </c>
      <c r="O849" s="370" cm="1">
        <f t="array" ref="O849">+_xlfn.SWITCH(MONTH(C849),1,1,2,1,3,1,4,2,5,2,6,3,7,3,8,3,9,3,10,2,11,2,12,1,2)</f>
        <v>1</v>
      </c>
      <c r="P849" s="43"/>
      <c r="AS849" s="10"/>
      <c r="AT849" s="10"/>
      <c r="AU849" s="10"/>
      <c r="AV849" s="10"/>
      <c r="AW849" s="10"/>
      <c r="AX849" s="10"/>
      <c r="AY849" s="10"/>
      <c r="AZ849" s="10"/>
      <c r="BA849" s="10"/>
      <c r="BB849" s="10"/>
      <c r="BC849" s="10"/>
      <c r="BD849" s="10"/>
      <c r="BE849" s="10"/>
      <c r="BF849" s="10"/>
      <c r="BG849" s="10"/>
      <c r="BH849" s="10"/>
      <c r="BI849" s="10"/>
      <c r="BJ849" s="10"/>
      <c r="BK849" s="10"/>
      <c r="BL849" s="10"/>
      <c r="BM849" s="10"/>
      <c r="BN849" s="10"/>
      <c r="BO849" s="10"/>
      <c r="BP849" s="10"/>
      <c r="BQ849" s="10"/>
      <c r="BR849" s="10"/>
      <c r="BS849" s="10"/>
      <c r="BT849" s="10"/>
      <c r="BU849" s="10"/>
    </row>
    <row r="850" spans="1:73" ht="18" x14ac:dyDescent="0.35">
      <c r="A850" s="43"/>
      <c r="C850" s="393"/>
      <c r="E850" s="394"/>
      <c r="F850" s="394">
        <v>0</v>
      </c>
      <c r="G850" s="394"/>
      <c r="H850" s="8" t="s">
        <v>235</v>
      </c>
      <c r="I850" s="368">
        <f t="shared" si="40"/>
        <v>0</v>
      </c>
      <c r="J850" s="365">
        <f t="shared" si="39"/>
        <v>0</v>
      </c>
      <c r="K850" s="369">
        <f t="shared" si="41"/>
        <v>6</v>
      </c>
      <c r="L850" s="369">
        <f>+IF((C850&gt;='Resultats - informe'!$E$16)*(C850&lt;='Resultats - informe'!$G$16),1,0)</f>
        <v>1</v>
      </c>
      <c r="M850" s="369" cm="1">
        <f t="array" ref="M850">+_xlfn.IFS((C850&gt;='Resultats - informe'!$D$26)*(C850&lt;='Resultats - informe'!$E$26),0,(C850&gt;='Resultats - informe'!$D$27)*(C850&lt;='Resultats - informe'!$E$27),0,(C850&gt;='Resultats - informe'!$D$28)*(C850&lt;='Resultats - informe'!$E$28),0,(C850&gt;='Resultats - informe'!$D$29)*(C850&lt;='Resultats - informe'!$E$29),0,1,1)</f>
        <v>0</v>
      </c>
      <c r="N850" s="366">
        <f>+VLOOKUP(D850,'Resultats - informe'!$Y$18:$AG$42,'Introducció dades consum'!K850+1,0)</f>
        <v>0</v>
      </c>
      <c r="O850" s="370" cm="1">
        <f t="array" ref="O850">+_xlfn.SWITCH(MONTH(C850),1,1,2,1,3,1,4,2,5,2,6,3,7,3,8,3,9,3,10,2,11,2,12,1,2)</f>
        <v>1</v>
      </c>
      <c r="P850" s="43"/>
      <c r="AS850" s="10"/>
      <c r="AT850" s="10"/>
      <c r="AU850" s="10"/>
      <c r="AV850" s="10"/>
      <c r="AW850" s="10"/>
      <c r="AX850" s="10"/>
      <c r="AY850" s="10"/>
      <c r="AZ850" s="10"/>
      <c r="BA850" s="10"/>
      <c r="BB850" s="10"/>
      <c r="BC850" s="10"/>
      <c r="BD850" s="10"/>
      <c r="BE850" s="10"/>
      <c r="BF850" s="10"/>
      <c r="BG850" s="10"/>
      <c r="BH850" s="10"/>
      <c r="BI850" s="10"/>
      <c r="BJ850" s="10"/>
      <c r="BK850" s="10"/>
      <c r="BL850" s="10"/>
      <c r="BM850" s="10"/>
      <c r="BN850" s="10"/>
      <c r="BO850" s="10"/>
      <c r="BP850" s="10"/>
      <c r="BQ850" s="10"/>
      <c r="BR850" s="10"/>
      <c r="BS850" s="10"/>
      <c r="BT850" s="10"/>
      <c r="BU850" s="10"/>
    </row>
    <row r="851" spans="1:73" ht="18" x14ac:dyDescent="0.35">
      <c r="A851" s="43"/>
      <c r="C851" s="393"/>
      <c r="E851" s="394"/>
      <c r="F851" s="394">
        <v>0</v>
      </c>
      <c r="G851" s="394"/>
      <c r="H851" s="8" t="s">
        <v>235</v>
      </c>
      <c r="I851" s="368">
        <f t="shared" si="40"/>
        <v>0</v>
      </c>
      <c r="J851" s="365">
        <f t="shared" si="39"/>
        <v>0</v>
      </c>
      <c r="K851" s="369">
        <f t="shared" si="41"/>
        <v>6</v>
      </c>
      <c r="L851" s="369">
        <f>+IF((C851&gt;='Resultats - informe'!$E$16)*(C851&lt;='Resultats - informe'!$G$16),1,0)</f>
        <v>1</v>
      </c>
      <c r="M851" s="369" cm="1">
        <f t="array" ref="M851">+_xlfn.IFS((C851&gt;='Resultats - informe'!$D$26)*(C851&lt;='Resultats - informe'!$E$26),0,(C851&gt;='Resultats - informe'!$D$27)*(C851&lt;='Resultats - informe'!$E$27),0,(C851&gt;='Resultats - informe'!$D$28)*(C851&lt;='Resultats - informe'!$E$28),0,(C851&gt;='Resultats - informe'!$D$29)*(C851&lt;='Resultats - informe'!$E$29),0,1,1)</f>
        <v>0</v>
      </c>
      <c r="N851" s="366">
        <f>+VLOOKUP(D851,'Resultats - informe'!$Y$18:$AG$42,'Introducció dades consum'!K851+1,0)</f>
        <v>0</v>
      </c>
      <c r="O851" s="370" cm="1">
        <f t="array" ref="O851">+_xlfn.SWITCH(MONTH(C851),1,1,2,1,3,1,4,2,5,2,6,3,7,3,8,3,9,3,10,2,11,2,12,1,2)</f>
        <v>1</v>
      </c>
      <c r="P851" s="43"/>
      <c r="AS851" s="10"/>
      <c r="AT851" s="10"/>
      <c r="AU851" s="10"/>
      <c r="AV851" s="10"/>
      <c r="AW851" s="10"/>
      <c r="AX851" s="10"/>
      <c r="AY851" s="10"/>
      <c r="AZ851" s="10"/>
      <c r="BA851" s="10"/>
      <c r="BB851" s="10"/>
      <c r="BC851" s="10"/>
      <c r="BD851" s="10"/>
      <c r="BE851" s="10"/>
      <c r="BF851" s="10"/>
      <c r="BG851" s="10"/>
      <c r="BH851" s="10"/>
      <c r="BI851" s="10"/>
      <c r="BJ851" s="10"/>
      <c r="BK851" s="10"/>
      <c r="BL851" s="10"/>
      <c r="BM851" s="10"/>
      <c r="BN851" s="10"/>
      <c r="BO851" s="10"/>
      <c r="BP851" s="10"/>
      <c r="BQ851" s="10"/>
      <c r="BR851" s="10"/>
      <c r="BS851" s="10"/>
      <c r="BT851" s="10"/>
      <c r="BU851" s="10"/>
    </row>
    <row r="852" spans="1:73" ht="18" x14ac:dyDescent="0.35">
      <c r="A852" s="43"/>
      <c r="C852" s="393"/>
      <c r="E852" s="394"/>
      <c r="F852" s="394">
        <v>0.20899999999999999</v>
      </c>
      <c r="G852" s="394"/>
      <c r="H852" s="8" t="s">
        <v>235</v>
      </c>
      <c r="I852" s="368">
        <f t="shared" si="40"/>
        <v>0</v>
      </c>
      <c r="J852" s="365">
        <f t="shared" si="39"/>
        <v>0</v>
      </c>
      <c r="K852" s="369">
        <f t="shared" si="41"/>
        <v>6</v>
      </c>
      <c r="L852" s="369">
        <f>+IF((C852&gt;='Resultats - informe'!$E$16)*(C852&lt;='Resultats - informe'!$G$16),1,0)</f>
        <v>1</v>
      </c>
      <c r="M852" s="369" cm="1">
        <f t="array" ref="M852">+_xlfn.IFS((C852&gt;='Resultats - informe'!$D$26)*(C852&lt;='Resultats - informe'!$E$26),0,(C852&gt;='Resultats - informe'!$D$27)*(C852&lt;='Resultats - informe'!$E$27),0,(C852&gt;='Resultats - informe'!$D$28)*(C852&lt;='Resultats - informe'!$E$28),0,(C852&gt;='Resultats - informe'!$D$29)*(C852&lt;='Resultats - informe'!$E$29),0,1,1)</f>
        <v>0</v>
      </c>
      <c r="N852" s="366">
        <f>+VLOOKUP(D852,'Resultats - informe'!$Y$18:$AG$42,'Introducció dades consum'!K852+1,0)</f>
        <v>0</v>
      </c>
      <c r="O852" s="370" cm="1">
        <f t="array" ref="O852">+_xlfn.SWITCH(MONTH(C852),1,1,2,1,3,1,4,2,5,2,6,3,7,3,8,3,9,3,10,2,11,2,12,1,2)</f>
        <v>1</v>
      </c>
      <c r="P852" s="43"/>
      <c r="AS852" s="10"/>
      <c r="AT852" s="10"/>
      <c r="AU852" s="10"/>
      <c r="AV852" s="10"/>
      <c r="AW852" s="10"/>
      <c r="AX852" s="10"/>
      <c r="AY852" s="10"/>
      <c r="AZ852" s="10"/>
      <c r="BA852" s="10"/>
      <c r="BB852" s="10"/>
      <c r="BC852" s="10"/>
      <c r="BD852" s="10"/>
      <c r="BE852" s="10"/>
      <c r="BF852" s="10"/>
      <c r="BG852" s="10"/>
      <c r="BH852" s="10"/>
      <c r="BI852" s="10"/>
      <c r="BJ852" s="10"/>
      <c r="BK852" s="10"/>
      <c r="BL852" s="10"/>
      <c r="BM852" s="10"/>
      <c r="BN852" s="10"/>
      <c r="BO852" s="10"/>
      <c r="BP852" s="10"/>
      <c r="BQ852" s="10"/>
      <c r="BR852" s="10"/>
      <c r="BS852" s="10"/>
      <c r="BT852" s="10"/>
      <c r="BU852" s="10"/>
    </row>
    <row r="853" spans="1:73" ht="18" x14ac:dyDescent="0.35">
      <c r="A853" s="43"/>
      <c r="C853" s="393"/>
      <c r="E853" s="394"/>
      <c r="F853" s="394">
        <v>0</v>
      </c>
      <c r="G853" s="394"/>
      <c r="H853" s="8" t="s">
        <v>235</v>
      </c>
      <c r="I853" s="368">
        <f t="shared" si="40"/>
        <v>0</v>
      </c>
      <c r="J853" s="365">
        <f t="shared" si="39"/>
        <v>0</v>
      </c>
      <c r="K853" s="369">
        <f t="shared" si="41"/>
        <v>6</v>
      </c>
      <c r="L853" s="369">
        <f>+IF((C853&gt;='Resultats - informe'!$E$16)*(C853&lt;='Resultats - informe'!$G$16),1,0)</f>
        <v>1</v>
      </c>
      <c r="M853" s="369" cm="1">
        <f t="array" ref="M853">+_xlfn.IFS((C853&gt;='Resultats - informe'!$D$26)*(C853&lt;='Resultats - informe'!$E$26),0,(C853&gt;='Resultats - informe'!$D$27)*(C853&lt;='Resultats - informe'!$E$27),0,(C853&gt;='Resultats - informe'!$D$28)*(C853&lt;='Resultats - informe'!$E$28),0,(C853&gt;='Resultats - informe'!$D$29)*(C853&lt;='Resultats - informe'!$E$29),0,1,1)</f>
        <v>0</v>
      </c>
      <c r="N853" s="366">
        <f>+VLOOKUP(D853,'Resultats - informe'!$Y$18:$AG$42,'Introducció dades consum'!K853+1,0)</f>
        <v>0</v>
      </c>
      <c r="O853" s="370" cm="1">
        <f t="array" ref="O853">+_xlfn.SWITCH(MONTH(C853),1,1,2,1,3,1,4,2,5,2,6,3,7,3,8,3,9,3,10,2,11,2,12,1,2)</f>
        <v>1</v>
      </c>
      <c r="P853" s="43"/>
      <c r="AS853" s="10"/>
      <c r="AT853" s="10"/>
      <c r="AU853" s="10"/>
      <c r="AV853" s="10"/>
      <c r="AW853" s="10"/>
      <c r="AX853" s="10"/>
      <c r="AY853" s="10"/>
      <c r="AZ853" s="10"/>
      <c r="BA853" s="10"/>
      <c r="BB853" s="10"/>
      <c r="BC853" s="10"/>
      <c r="BD853" s="10"/>
      <c r="BE853" s="10"/>
      <c r="BF853" s="10"/>
      <c r="BG853" s="10"/>
      <c r="BH853" s="10"/>
      <c r="BI853" s="10"/>
      <c r="BJ853" s="10"/>
      <c r="BK853" s="10"/>
      <c r="BL853" s="10"/>
      <c r="BM853" s="10"/>
      <c r="BN853" s="10"/>
      <c r="BO853" s="10"/>
      <c r="BP853" s="10"/>
      <c r="BQ853" s="10"/>
      <c r="BR853" s="10"/>
      <c r="BS853" s="10"/>
      <c r="BT853" s="10"/>
      <c r="BU853" s="10"/>
    </row>
    <row r="854" spans="1:73" ht="18" x14ac:dyDescent="0.35">
      <c r="A854" s="43"/>
      <c r="C854" s="393"/>
      <c r="E854" s="394"/>
      <c r="F854" s="394">
        <v>0</v>
      </c>
      <c r="G854" s="394"/>
      <c r="H854" s="8" t="s">
        <v>235</v>
      </c>
      <c r="I854" s="368">
        <f t="shared" si="40"/>
        <v>0</v>
      </c>
      <c r="J854" s="365">
        <f t="shared" si="39"/>
        <v>0</v>
      </c>
      <c r="K854" s="369">
        <f t="shared" si="41"/>
        <v>6</v>
      </c>
      <c r="L854" s="369">
        <f>+IF((C854&gt;='Resultats - informe'!$E$16)*(C854&lt;='Resultats - informe'!$G$16),1,0)</f>
        <v>1</v>
      </c>
      <c r="M854" s="369" cm="1">
        <f t="array" ref="M854">+_xlfn.IFS((C854&gt;='Resultats - informe'!$D$26)*(C854&lt;='Resultats - informe'!$E$26),0,(C854&gt;='Resultats - informe'!$D$27)*(C854&lt;='Resultats - informe'!$E$27),0,(C854&gt;='Resultats - informe'!$D$28)*(C854&lt;='Resultats - informe'!$E$28),0,(C854&gt;='Resultats - informe'!$D$29)*(C854&lt;='Resultats - informe'!$E$29),0,1,1)</f>
        <v>0</v>
      </c>
      <c r="N854" s="366">
        <f>+VLOOKUP(D854,'Resultats - informe'!$Y$18:$AG$42,'Introducció dades consum'!K854+1,0)</f>
        <v>0</v>
      </c>
      <c r="O854" s="370" cm="1">
        <f t="array" ref="O854">+_xlfn.SWITCH(MONTH(C854),1,1,2,1,3,1,4,2,5,2,6,3,7,3,8,3,9,3,10,2,11,2,12,1,2)</f>
        <v>1</v>
      </c>
      <c r="P854" s="43"/>
      <c r="AS854" s="10"/>
      <c r="AT854" s="10"/>
      <c r="AU854" s="10"/>
      <c r="AV854" s="10"/>
      <c r="AW854" s="10"/>
      <c r="AX854" s="10"/>
      <c r="AY854" s="10"/>
      <c r="AZ854" s="10"/>
      <c r="BA854" s="10"/>
      <c r="BB854" s="10"/>
      <c r="BC854" s="10"/>
      <c r="BD854" s="10"/>
      <c r="BE854" s="10"/>
      <c r="BF854" s="10"/>
      <c r="BG854" s="10"/>
      <c r="BH854" s="10"/>
      <c r="BI854" s="10"/>
      <c r="BJ854" s="10"/>
      <c r="BK854" s="10"/>
      <c r="BL854" s="10"/>
      <c r="BM854" s="10"/>
      <c r="BN854" s="10"/>
      <c r="BO854" s="10"/>
      <c r="BP854" s="10"/>
      <c r="BQ854" s="10"/>
      <c r="BR854" s="10"/>
      <c r="BS854" s="10"/>
      <c r="BT854" s="10"/>
      <c r="BU854" s="10"/>
    </row>
    <row r="855" spans="1:73" ht="18" x14ac:dyDescent="0.35">
      <c r="A855" s="43"/>
      <c r="C855" s="393"/>
      <c r="E855" s="394"/>
      <c r="F855" s="394">
        <v>0</v>
      </c>
      <c r="G855" s="394"/>
      <c r="H855" s="8" t="s">
        <v>235</v>
      </c>
      <c r="I855" s="368">
        <f t="shared" si="40"/>
        <v>0</v>
      </c>
      <c r="J855" s="365">
        <f t="shared" si="39"/>
        <v>0</v>
      </c>
      <c r="K855" s="369">
        <f t="shared" si="41"/>
        <v>6</v>
      </c>
      <c r="L855" s="369">
        <f>+IF((C855&gt;='Resultats - informe'!$E$16)*(C855&lt;='Resultats - informe'!$G$16),1,0)</f>
        <v>1</v>
      </c>
      <c r="M855" s="369" cm="1">
        <f t="array" ref="M855">+_xlfn.IFS((C855&gt;='Resultats - informe'!$D$26)*(C855&lt;='Resultats - informe'!$E$26),0,(C855&gt;='Resultats - informe'!$D$27)*(C855&lt;='Resultats - informe'!$E$27),0,(C855&gt;='Resultats - informe'!$D$28)*(C855&lt;='Resultats - informe'!$E$28),0,(C855&gt;='Resultats - informe'!$D$29)*(C855&lt;='Resultats - informe'!$E$29),0,1,1)</f>
        <v>0</v>
      </c>
      <c r="N855" s="366">
        <f>+VLOOKUP(D855,'Resultats - informe'!$Y$18:$AG$42,'Introducció dades consum'!K855+1,0)</f>
        <v>0</v>
      </c>
      <c r="O855" s="370" cm="1">
        <f t="array" ref="O855">+_xlfn.SWITCH(MONTH(C855),1,1,2,1,3,1,4,2,5,2,6,3,7,3,8,3,9,3,10,2,11,2,12,1,2)</f>
        <v>1</v>
      </c>
      <c r="P855" s="43"/>
      <c r="AS855" s="10"/>
      <c r="AT855" s="10"/>
      <c r="AU855" s="10"/>
      <c r="AV855" s="10"/>
      <c r="AW855" s="10"/>
      <c r="AX855" s="10"/>
      <c r="AY855" s="10"/>
      <c r="AZ855" s="10"/>
      <c r="BA855" s="10"/>
      <c r="BB855" s="10"/>
      <c r="BC855" s="10"/>
      <c r="BD855" s="10"/>
      <c r="BE855" s="10"/>
      <c r="BF855" s="10"/>
      <c r="BG855" s="10"/>
      <c r="BH855" s="10"/>
      <c r="BI855" s="10"/>
      <c r="BJ855" s="10"/>
      <c r="BK855" s="10"/>
      <c r="BL855" s="10"/>
      <c r="BM855" s="10"/>
      <c r="BN855" s="10"/>
      <c r="BO855" s="10"/>
      <c r="BP855" s="10"/>
      <c r="BQ855" s="10"/>
      <c r="BR855" s="10"/>
      <c r="BS855" s="10"/>
      <c r="BT855" s="10"/>
      <c r="BU855" s="10"/>
    </row>
    <row r="856" spans="1:73" ht="18" x14ac:dyDescent="0.35">
      <c r="A856" s="43"/>
      <c r="C856" s="393"/>
      <c r="E856" s="394"/>
      <c r="F856" s="394">
        <v>0</v>
      </c>
      <c r="G856" s="394"/>
      <c r="H856" s="8" t="s">
        <v>235</v>
      </c>
      <c r="I856" s="368">
        <f t="shared" si="40"/>
        <v>0</v>
      </c>
      <c r="J856" s="365">
        <f t="shared" si="39"/>
        <v>0</v>
      </c>
      <c r="K856" s="369">
        <f t="shared" si="41"/>
        <v>6</v>
      </c>
      <c r="L856" s="369">
        <f>+IF((C856&gt;='Resultats - informe'!$E$16)*(C856&lt;='Resultats - informe'!$G$16),1,0)</f>
        <v>1</v>
      </c>
      <c r="M856" s="369" cm="1">
        <f t="array" ref="M856">+_xlfn.IFS((C856&gt;='Resultats - informe'!$D$26)*(C856&lt;='Resultats - informe'!$E$26),0,(C856&gt;='Resultats - informe'!$D$27)*(C856&lt;='Resultats - informe'!$E$27),0,(C856&gt;='Resultats - informe'!$D$28)*(C856&lt;='Resultats - informe'!$E$28),0,(C856&gt;='Resultats - informe'!$D$29)*(C856&lt;='Resultats - informe'!$E$29),0,1,1)</f>
        <v>0</v>
      </c>
      <c r="N856" s="366">
        <f>+VLOOKUP(D856,'Resultats - informe'!$Y$18:$AG$42,'Introducció dades consum'!K856+1,0)</f>
        <v>0</v>
      </c>
      <c r="O856" s="370" cm="1">
        <f t="array" ref="O856">+_xlfn.SWITCH(MONTH(C856),1,1,2,1,3,1,4,2,5,2,6,3,7,3,8,3,9,3,10,2,11,2,12,1,2)</f>
        <v>1</v>
      </c>
      <c r="P856" s="43"/>
      <c r="AS856" s="10"/>
      <c r="AT856" s="10"/>
      <c r="AU856" s="10"/>
      <c r="AV856" s="10"/>
      <c r="AW856" s="10"/>
      <c r="AX856" s="10"/>
      <c r="AY856" s="10"/>
      <c r="AZ856" s="10"/>
      <c r="BA856" s="10"/>
      <c r="BB856" s="10"/>
      <c r="BC856" s="10"/>
      <c r="BD856" s="10"/>
      <c r="BE856" s="10"/>
      <c r="BF856" s="10"/>
      <c r="BG856" s="10"/>
      <c r="BH856" s="10"/>
      <c r="BI856" s="10"/>
      <c r="BJ856" s="10"/>
      <c r="BK856" s="10"/>
      <c r="BL856" s="10"/>
      <c r="BM856" s="10"/>
      <c r="BN856" s="10"/>
      <c r="BO856" s="10"/>
      <c r="BP856" s="10"/>
      <c r="BQ856" s="10"/>
      <c r="BR856" s="10"/>
      <c r="BS856" s="10"/>
      <c r="BT856" s="10"/>
      <c r="BU856" s="10"/>
    </row>
    <row r="857" spans="1:73" ht="18" x14ac:dyDescent="0.35">
      <c r="A857" s="43"/>
      <c r="C857" s="393"/>
      <c r="E857" s="394"/>
      <c r="F857" s="394">
        <v>0</v>
      </c>
      <c r="G857" s="394"/>
      <c r="H857" s="8" t="s">
        <v>235</v>
      </c>
      <c r="I857" s="368">
        <f t="shared" si="40"/>
        <v>0</v>
      </c>
      <c r="J857" s="365">
        <f t="shared" si="39"/>
        <v>0</v>
      </c>
      <c r="K857" s="369">
        <f t="shared" si="41"/>
        <v>6</v>
      </c>
      <c r="L857" s="369">
        <f>+IF((C857&gt;='Resultats - informe'!$E$16)*(C857&lt;='Resultats - informe'!$G$16),1,0)</f>
        <v>1</v>
      </c>
      <c r="M857" s="369" cm="1">
        <f t="array" ref="M857">+_xlfn.IFS((C857&gt;='Resultats - informe'!$D$26)*(C857&lt;='Resultats - informe'!$E$26),0,(C857&gt;='Resultats - informe'!$D$27)*(C857&lt;='Resultats - informe'!$E$27),0,(C857&gt;='Resultats - informe'!$D$28)*(C857&lt;='Resultats - informe'!$E$28),0,(C857&gt;='Resultats - informe'!$D$29)*(C857&lt;='Resultats - informe'!$E$29),0,1,1)</f>
        <v>0</v>
      </c>
      <c r="N857" s="366">
        <f>+VLOOKUP(D857,'Resultats - informe'!$Y$18:$AG$42,'Introducció dades consum'!K857+1,0)</f>
        <v>0</v>
      </c>
      <c r="O857" s="370" cm="1">
        <f t="array" ref="O857">+_xlfn.SWITCH(MONTH(C857),1,1,2,1,3,1,4,2,5,2,6,3,7,3,8,3,9,3,10,2,11,2,12,1,2)</f>
        <v>1</v>
      </c>
      <c r="P857" s="43"/>
      <c r="AS857" s="10"/>
      <c r="AT857" s="10"/>
      <c r="AU857" s="10"/>
      <c r="AV857" s="10"/>
      <c r="AW857" s="10"/>
      <c r="AX857" s="10"/>
      <c r="AY857" s="10"/>
      <c r="AZ857" s="10"/>
      <c r="BA857" s="10"/>
      <c r="BB857" s="10"/>
      <c r="BC857" s="10"/>
      <c r="BD857" s="10"/>
      <c r="BE857" s="10"/>
      <c r="BF857" s="10"/>
      <c r="BG857" s="10"/>
      <c r="BH857" s="10"/>
      <c r="BI857" s="10"/>
      <c r="BJ857" s="10"/>
      <c r="BK857" s="10"/>
      <c r="BL857" s="10"/>
      <c r="BM857" s="10"/>
      <c r="BN857" s="10"/>
      <c r="BO857" s="10"/>
      <c r="BP857" s="10"/>
      <c r="BQ857" s="10"/>
      <c r="BR857" s="10"/>
      <c r="BS857" s="10"/>
      <c r="BT857" s="10"/>
      <c r="BU857" s="10"/>
    </row>
    <row r="858" spans="1:73" ht="18" x14ac:dyDescent="0.35">
      <c r="A858" s="43"/>
      <c r="C858" s="393"/>
      <c r="E858" s="394"/>
      <c r="F858" s="394">
        <v>0.47699999999999998</v>
      </c>
      <c r="G858" s="394"/>
      <c r="H858" s="8" t="s">
        <v>235</v>
      </c>
      <c r="I858" s="368">
        <f t="shared" si="40"/>
        <v>0</v>
      </c>
      <c r="J858" s="365">
        <f t="shared" si="39"/>
        <v>0</v>
      </c>
      <c r="K858" s="369">
        <f t="shared" si="41"/>
        <v>6</v>
      </c>
      <c r="L858" s="369">
        <f>+IF((C858&gt;='Resultats - informe'!$E$16)*(C858&lt;='Resultats - informe'!$G$16),1,0)</f>
        <v>1</v>
      </c>
      <c r="M858" s="369" cm="1">
        <f t="array" ref="M858">+_xlfn.IFS((C858&gt;='Resultats - informe'!$D$26)*(C858&lt;='Resultats - informe'!$E$26),0,(C858&gt;='Resultats - informe'!$D$27)*(C858&lt;='Resultats - informe'!$E$27),0,(C858&gt;='Resultats - informe'!$D$28)*(C858&lt;='Resultats - informe'!$E$28),0,(C858&gt;='Resultats - informe'!$D$29)*(C858&lt;='Resultats - informe'!$E$29),0,1,1)</f>
        <v>0</v>
      </c>
      <c r="N858" s="366">
        <f>+VLOOKUP(D858,'Resultats - informe'!$Y$18:$AG$42,'Introducció dades consum'!K858+1,0)</f>
        <v>0</v>
      </c>
      <c r="O858" s="370" cm="1">
        <f t="array" ref="O858">+_xlfn.SWITCH(MONTH(C858),1,1,2,1,3,1,4,2,5,2,6,3,7,3,8,3,9,3,10,2,11,2,12,1,2)</f>
        <v>1</v>
      </c>
      <c r="P858" s="43"/>
      <c r="AS858" s="10"/>
      <c r="AT858" s="10"/>
      <c r="AU858" s="10"/>
      <c r="AV858" s="10"/>
      <c r="AW858" s="10"/>
      <c r="AX858" s="10"/>
      <c r="AY858" s="10"/>
      <c r="AZ858" s="10"/>
      <c r="BA858" s="10"/>
      <c r="BB858" s="10"/>
      <c r="BC858" s="10"/>
      <c r="BD858" s="10"/>
      <c r="BE858" s="10"/>
      <c r="BF858" s="10"/>
      <c r="BG858" s="10"/>
      <c r="BH858" s="10"/>
      <c r="BI858" s="10"/>
      <c r="BJ858" s="10"/>
      <c r="BK858" s="10"/>
      <c r="BL858" s="10"/>
      <c r="BM858" s="10"/>
      <c r="BN858" s="10"/>
      <c r="BO858" s="10"/>
      <c r="BP858" s="10"/>
      <c r="BQ858" s="10"/>
      <c r="BR858" s="10"/>
      <c r="BS858" s="10"/>
      <c r="BT858" s="10"/>
      <c r="BU858" s="10"/>
    </row>
    <row r="859" spans="1:73" ht="18" x14ac:dyDescent="0.35">
      <c r="A859" s="43"/>
      <c r="C859" s="393"/>
      <c r="E859" s="394"/>
      <c r="F859" s="394">
        <v>0.52</v>
      </c>
      <c r="G859" s="394"/>
      <c r="H859" s="8" t="s">
        <v>235</v>
      </c>
      <c r="I859" s="368">
        <f t="shared" si="40"/>
        <v>0</v>
      </c>
      <c r="J859" s="365">
        <f t="shared" si="39"/>
        <v>0</v>
      </c>
      <c r="K859" s="369">
        <f t="shared" si="41"/>
        <v>6</v>
      </c>
      <c r="L859" s="369">
        <f>+IF((C859&gt;='Resultats - informe'!$E$16)*(C859&lt;='Resultats - informe'!$G$16),1,0)</f>
        <v>1</v>
      </c>
      <c r="M859" s="369" cm="1">
        <f t="array" ref="M859">+_xlfn.IFS((C859&gt;='Resultats - informe'!$D$26)*(C859&lt;='Resultats - informe'!$E$26),0,(C859&gt;='Resultats - informe'!$D$27)*(C859&lt;='Resultats - informe'!$E$27),0,(C859&gt;='Resultats - informe'!$D$28)*(C859&lt;='Resultats - informe'!$E$28),0,(C859&gt;='Resultats - informe'!$D$29)*(C859&lt;='Resultats - informe'!$E$29),0,1,1)</f>
        <v>0</v>
      </c>
      <c r="N859" s="366">
        <f>+VLOOKUP(D859,'Resultats - informe'!$Y$18:$AG$42,'Introducció dades consum'!K859+1,0)</f>
        <v>0</v>
      </c>
      <c r="O859" s="370" cm="1">
        <f t="array" ref="O859">+_xlfn.SWITCH(MONTH(C859),1,1,2,1,3,1,4,2,5,2,6,3,7,3,8,3,9,3,10,2,11,2,12,1,2)</f>
        <v>1</v>
      </c>
      <c r="P859" s="43"/>
      <c r="AS859" s="10"/>
      <c r="AT859" s="10"/>
      <c r="AU859" s="10"/>
      <c r="AV859" s="10"/>
      <c r="AW859" s="10"/>
      <c r="AX859" s="10"/>
      <c r="AY859" s="10"/>
      <c r="AZ859" s="10"/>
      <c r="BA859" s="10"/>
      <c r="BB859" s="10"/>
      <c r="BC859" s="10"/>
      <c r="BD859" s="10"/>
      <c r="BE859" s="10"/>
      <c r="BF859" s="10"/>
      <c r="BG859" s="10"/>
      <c r="BH859" s="10"/>
      <c r="BI859" s="10"/>
      <c r="BJ859" s="10"/>
      <c r="BK859" s="10"/>
      <c r="BL859" s="10"/>
      <c r="BM859" s="10"/>
      <c r="BN859" s="10"/>
      <c r="BO859" s="10"/>
      <c r="BP859" s="10"/>
      <c r="BQ859" s="10"/>
      <c r="BR859" s="10"/>
      <c r="BS859" s="10"/>
      <c r="BT859" s="10"/>
      <c r="BU859" s="10"/>
    </row>
    <row r="860" spans="1:73" ht="18" x14ac:dyDescent="0.35">
      <c r="A860" s="43"/>
      <c r="C860" s="393"/>
      <c r="E860" s="394"/>
      <c r="F860" s="394">
        <v>0.28799999999999998</v>
      </c>
      <c r="G860" s="394"/>
      <c r="H860" s="8" t="s">
        <v>235</v>
      </c>
      <c r="I860" s="368">
        <f t="shared" si="40"/>
        <v>0</v>
      </c>
      <c r="J860" s="365">
        <f t="shared" si="39"/>
        <v>0</v>
      </c>
      <c r="K860" s="369">
        <f t="shared" si="41"/>
        <v>6</v>
      </c>
      <c r="L860" s="369">
        <f>+IF((C860&gt;='Resultats - informe'!$E$16)*(C860&lt;='Resultats - informe'!$G$16),1,0)</f>
        <v>1</v>
      </c>
      <c r="M860" s="369" cm="1">
        <f t="array" ref="M860">+_xlfn.IFS((C860&gt;='Resultats - informe'!$D$26)*(C860&lt;='Resultats - informe'!$E$26),0,(C860&gt;='Resultats - informe'!$D$27)*(C860&lt;='Resultats - informe'!$E$27),0,(C860&gt;='Resultats - informe'!$D$28)*(C860&lt;='Resultats - informe'!$E$28),0,(C860&gt;='Resultats - informe'!$D$29)*(C860&lt;='Resultats - informe'!$E$29),0,1,1)</f>
        <v>0</v>
      </c>
      <c r="N860" s="366">
        <f>+VLOOKUP(D860,'Resultats - informe'!$Y$18:$AG$42,'Introducció dades consum'!K860+1,0)</f>
        <v>0</v>
      </c>
      <c r="O860" s="370" cm="1">
        <f t="array" ref="O860">+_xlfn.SWITCH(MONTH(C860),1,1,2,1,3,1,4,2,5,2,6,3,7,3,8,3,9,3,10,2,11,2,12,1,2)</f>
        <v>1</v>
      </c>
      <c r="P860" s="43"/>
      <c r="AS860" s="10"/>
      <c r="AT860" s="10"/>
      <c r="AU860" s="10"/>
      <c r="AV860" s="10"/>
      <c r="AW860" s="10"/>
      <c r="AX860" s="10"/>
      <c r="AY860" s="10"/>
      <c r="AZ860" s="10"/>
      <c r="BA860" s="10"/>
      <c r="BB860" s="10"/>
      <c r="BC860" s="10"/>
      <c r="BD860" s="10"/>
      <c r="BE860" s="10"/>
      <c r="BF860" s="10"/>
      <c r="BG860" s="10"/>
      <c r="BH860" s="10"/>
      <c r="BI860" s="10"/>
      <c r="BJ860" s="10"/>
      <c r="BK860" s="10"/>
      <c r="BL860" s="10"/>
      <c r="BM860" s="10"/>
      <c r="BN860" s="10"/>
      <c r="BO860" s="10"/>
      <c r="BP860" s="10"/>
      <c r="BQ860" s="10"/>
      <c r="BR860" s="10"/>
      <c r="BS860" s="10"/>
      <c r="BT860" s="10"/>
      <c r="BU860" s="10"/>
    </row>
    <row r="861" spans="1:73" ht="18" x14ac:dyDescent="0.35">
      <c r="A861" s="43"/>
      <c r="C861" s="393"/>
      <c r="E861" s="394"/>
      <c r="F861" s="394">
        <v>0</v>
      </c>
      <c r="G861" s="394"/>
      <c r="H861" s="8" t="s">
        <v>235</v>
      </c>
      <c r="I861" s="368">
        <f t="shared" si="40"/>
        <v>0</v>
      </c>
      <c r="J861" s="365">
        <f t="shared" si="39"/>
        <v>0</v>
      </c>
      <c r="K861" s="369">
        <f t="shared" si="41"/>
        <v>6</v>
      </c>
      <c r="L861" s="369">
        <f>+IF((C861&gt;='Resultats - informe'!$E$16)*(C861&lt;='Resultats - informe'!$G$16),1,0)</f>
        <v>1</v>
      </c>
      <c r="M861" s="369" cm="1">
        <f t="array" ref="M861">+_xlfn.IFS((C861&gt;='Resultats - informe'!$D$26)*(C861&lt;='Resultats - informe'!$E$26),0,(C861&gt;='Resultats - informe'!$D$27)*(C861&lt;='Resultats - informe'!$E$27),0,(C861&gt;='Resultats - informe'!$D$28)*(C861&lt;='Resultats - informe'!$E$28),0,(C861&gt;='Resultats - informe'!$D$29)*(C861&lt;='Resultats - informe'!$E$29),0,1,1)</f>
        <v>0</v>
      </c>
      <c r="N861" s="366">
        <f>+VLOOKUP(D861,'Resultats - informe'!$Y$18:$AG$42,'Introducció dades consum'!K861+1,0)</f>
        <v>0</v>
      </c>
      <c r="O861" s="370" cm="1">
        <f t="array" ref="O861">+_xlfn.SWITCH(MONTH(C861),1,1,2,1,3,1,4,2,5,2,6,3,7,3,8,3,9,3,10,2,11,2,12,1,2)</f>
        <v>1</v>
      </c>
      <c r="P861" s="43"/>
      <c r="AS861" s="10"/>
      <c r="AT861" s="10"/>
      <c r="AU861" s="10"/>
      <c r="AV861" s="10"/>
      <c r="AW861" s="10"/>
      <c r="AX861" s="10"/>
      <c r="AY861" s="10"/>
      <c r="AZ861" s="10"/>
      <c r="BA861" s="10"/>
      <c r="BB861" s="10"/>
      <c r="BC861" s="10"/>
      <c r="BD861" s="10"/>
      <c r="BE861" s="10"/>
      <c r="BF861" s="10"/>
      <c r="BG861" s="10"/>
      <c r="BH861" s="10"/>
      <c r="BI861" s="10"/>
      <c r="BJ861" s="10"/>
      <c r="BK861" s="10"/>
      <c r="BL861" s="10"/>
      <c r="BM861" s="10"/>
      <c r="BN861" s="10"/>
      <c r="BO861" s="10"/>
      <c r="BP861" s="10"/>
      <c r="BQ861" s="10"/>
      <c r="BR861" s="10"/>
      <c r="BS861" s="10"/>
      <c r="BT861" s="10"/>
      <c r="BU861" s="10"/>
    </row>
    <row r="862" spans="1:73" ht="18" x14ac:dyDescent="0.35">
      <c r="A862" s="43"/>
      <c r="C862" s="393"/>
      <c r="E862" s="394"/>
      <c r="F862" s="394">
        <v>0</v>
      </c>
      <c r="G862" s="394"/>
      <c r="H862" s="8" t="s">
        <v>235</v>
      </c>
      <c r="I862" s="368">
        <f t="shared" si="40"/>
        <v>0</v>
      </c>
      <c r="J862" s="365">
        <f t="shared" si="39"/>
        <v>0</v>
      </c>
      <c r="K862" s="369">
        <f t="shared" si="41"/>
        <v>6</v>
      </c>
      <c r="L862" s="369">
        <f>+IF((C862&gt;='Resultats - informe'!$E$16)*(C862&lt;='Resultats - informe'!$G$16),1,0)</f>
        <v>1</v>
      </c>
      <c r="M862" s="369" cm="1">
        <f t="array" ref="M862">+_xlfn.IFS((C862&gt;='Resultats - informe'!$D$26)*(C862&lt;='Resultats - informe'!$E$26),0,(C862&gt;='Resultats - informe'!$D$27)*(C862&lt;='Resultats - informe'!$E$27),0,(C862&gt;='Resultats - informe'!$D$28)*(C862&lt;='Resultats - informe'!$E$28),0,(C862&gt;='Resultats - informe'!$D$29)*(C862&lt;='Resultats - informe'!$E$29),0,1,1)</f>
        <v>0</v>
      </c>
      <c r="N862" s="366">
        <f>+VLOOKUP(D862,'Resultats - informe'!$Y$18:$AG$42,'Introducció dades consum'!K862+1,0)</f>
        <v>0</v>
      </c>
      <c r="O862" s="370" cm="1">
        <f t="array" ref="O862">+_xlfn.SWITCH(MONTH(C862),1,1,2,1,3,1,4,2,5,2,6,3,7,3,8,3,9,3,10,2,11,2,12,1,2)</f>
        <v>1</v>
      </c>
      <c r="P862" s="43"/>
      <c r="AS862" s="10"/>
      <c r="AT862" s="10"/>
      <c r="AU862" s="10"/>
      <c r="AV862" s="10"/>
      <c r="AW862" s="10"/>
      <c r="AX862" s="10"/>
      <c r="AY862" s="10"/>
      <c r="AZ862" s="10"/>
      <c r="BA862" s="10"/>
      <c r="BB862" s="10"/>
      <c r="BC862" s="10"/>
      <c r="BD862" s="10"/>
      <c r="BE862" s="10"/>
      <c r="BF862" s="10"/>
      <c r="BG862" s="10"/>
      <c r="BH862" s="10"/>
      <c r="BI862" s="10"/>
      <c r="BJ862" s="10"/>
      <c r="BK862" s="10"/>
      <c r="BL862" s="10"/>
      <c r="BM862" s="10"/>
      <c r="BN862" s="10"/>
      <c r="BO862" s="10"/>
      <c r="BP862" s="10"/>
      <c r="BQ862" s="10"/>
      <c r="BR862" s="10"/>
      <c r="BS862" s="10"/>
      <c r="BT862" s="10"/>
      <c r="BU862" s="10"/>
    </row>
    <row r="863" spans="1:73" ht="18" x14ac:dyDescent="0.35">
      <c r="A863" s="43"/>
      <c r="C863" s="393"/>
      <c r="E863" s="394"/>
      <c r="F863" s="394">
        <v>0</v>
      </c>
      <c r="G863" s="394"/>
      <c r="H863" s="8" t="s">
        <v>235</v>
      </c>
      <c r="I863" s="368">
        <f t="shared" si="40"/>
        <v>0</v>
      </c>
      <c r="J863" s="365">
        <f t="shared" si="39"/>
        <v>0</v>
      </c>
      <c r="K863" s="369">
        <f t="shared" si="41"/>
        <v>6</v>
      </c>
      <c r="L863" s="369">
        <f>+IF((C863&gt;='Resultats - informe'!$E$16)*(C863&lt;='Resultats - informe'!$G$16),1,0)</f>
        <v>1</v>
      </c>
      <c r="M863" s="369" cm="1">
        <f t="array" ref="M863">+_xlfn.IFS((C863&gt;='Resultats - informe'!$D$26)*(C863&lt;='Resultats - informe'!$E$26),0,(C863&gt;='Resultats - informe'!$D$27)*(C863&lt;='Resultats - informe'!$E$27),0,(C863&gt;='Resultats - informe'!$D$28)*(C863&lt;='Resultats - informe'!$E$28),0,(C863&gt;='Resultats - informe'!$D$29)*(C863&lt;='Resultats - informe'!$E$29),0,1,1)</f>
        <v>0</v>
      </c>
      <c r="N863" s="366">
        <f>+VLOOKUP(D863,'Resultats - informe'!$Y$18:$AG$42,'Introducció dades consum'!K863+1,0)</f>
        <v>0</v>
      </c>
      <c r="O863" s="370" cm="1">
        <f t="array" ref="O863">+_xlfn.SWITCH(MONTH(C863),1,1,2,1,3,1,4,2,5,2,6,3,7,3,8,3,9,3,10,2,11,2,12,1,2)</f>
        <v>1</v>
      </c>
      <c r="P863" s="43"/>
      <c r="AS863" s="10"/>
      <c r="AT863" s="10"/>
      <c r="AU863" s="10"/>
      <c r="AV863" s="10"/>
      <c r="AW863" s="10"/>
      <c r="AX863" s="10"/>
      <c r="AY863" s="10"/>
      <c r="AZ863" s="10"/>
      <c r="BA863" s="10"/>
      <c r="BB863" s="10"/>
      <c r="BC863" s="10"/>
      <c r="BD863" s="10"/>
      <c r="BE863" s="10"/>
      <c r="BF863" s="10"/>
      <c r="BG863" s="10"/>
      <c r="BH863" s="10"/>
      <c r="BI863" s="10"/>
      <c r="BJ863" s="10"/>
      <c r="BK863" s="10"/>
      <c r="BL863" s="10"/>
      <c r="BM863" s="10"/>
      <c r="BN863" s="10"/>
      <c r="BO863" s="10"/>
      <c r="BP863" s="10"/>
      <c r="BQ863" s="10"/>
      <c r="BR863" s="10"/>
      <c r="BS863" s="10"/>
      <c r="BT863" s="10"/>
      <c r="BU863" s="10"/>
    </row>
    <row r="864" spans="1:73" ht="18" x14ac:dyDescent="0.35">
      <c r="A864" s="43"/>
      <c r="C864" s="393"/>
      <c r="E864" s="394"/>
      <c r="F864" s="394">
        <v>0</v>
      </c>
      <c r="G864" s="394"/>
      <c r="H864" s="8" t="s">
        <v>235</v>
      </c>
      <c r="I864" s="368">
        <f t="shared" si="40"/>
        <v>0</v>
      </c>
      <c r="J864" s="365">
        <f t="shared" si="39"/>
        <v>0</v>
      </c>
      <c r="K864" s="369">
        <f t="shared" si="41"/>
        <v>6</v>
      </c>
      <c r="L864" s="369">
        <f>+IF((C864&gt;='Resultats - informe'!$E$16)*(C864&lt;='Resultats - informe'!$G$16),1,0)</f>
        <v>1</v>
      </c>
      <c r="M864" s="369" cm="1">
        <f t="array" ref="M864">+_xlfn.IFS((C864&gt;='Resultats - informe'!$D$26)*(C864&lt;='Resultats - informe'!$E$26),0,(C864&gt;='Resultats - informe'!$D$27)*(C864&lt;='Resultats - informe'!$E$27),0,(C864&gt;='Resultats - informe'!$D$28)*(C864&lt;='Resultats - informe'!$E$28),0,(C864&gt;='Resultats - informe'!$D$29)*(C864&lt;='Resultats - informe'!$E$29),0,1,1)</f>
        <v>0</v>
      </c>
      <c r="N864" s="366">
        <f>+VLOOKUP(D864,'Resultats - informe'!$Y$18:$AG$42,'Introducció dades consum'!K864+1,0)</f>
        <v>0</v>
      </c>
      <c r="O864" s="370" cm="1">
        <f t="array" ref="O864">+_xlfn.SWITCH(MONTH(C864),1,1,2,1,3,1,4,2,5,2,6,3,7,3,8,3,9,3,10,2,11,2,12,1,2)</f>
        <v>1</v>
      </c>
      <c r="P864" s="43"/>
      <c r="AS864" s="10"/>
      <c r="AT864" s="10"/>
      <c r="AU864" s="10"/>
      <c r="AV864" s="10"/>
      <c r="AW864" s="10"/>
      <c r="AX864" s="10"/>
      <c r="AY864" s="10"/>
      <c r="AZ864" s="10"/>
      <c r="BA864" s="10"/>
      <c r="BB864" s="10"/>
      <c r="BC864" s="10"/>
      <c r="BD864" s="10"/>
      <c r="BE864" s="10"/>
      <c r="BF864" s="10"/>
      <c r="BG864" s="10"/>
      <c r="BH864" s="10"/>
      <c r="BI864" s="10"/>
      <c r="BJ864" s="10"/>
      <c r="BK864" s="10"/>
      <c r="BL864" s="10"/>
      <c r="BM864" s="10"/>
      <c r="BN864" s="10"/>
      <c r="BO864" s="10"/>
      <c r="BP864" s="10"/>
      <c r="BQ864" s="10"/>
      <c r="BR864" s="10"/>
      <c r="BS864" s="10"/>
      <c r="BT864" s="10"/>
      <c r="BU864" s="10"/>
    </row>
    <row r="865" spans="1:73" ht="18" x14ac:dyDescent="0.35">
      <c r="A865" s="43"/>
      <c r="C865" s="393"/>
      <c r="E865" s="394"/>
      <c r="F865" s="394">
        <v>0</v>
      </c>
      <c r="G865" s="394"/>
      <c r="H865" s="8" t="s">
        <v>235</v>
      </c>
      <c r="I865" s="368">
        <f t="shared" si="40"/>
        <v>0</v>
      </c>
      <c r="J865" s="365">
        <f t="shared" si="39"/>
        <v>0</v>
      </c>
      <c r="K865" s="369">
        <f t="shared" si="41"/>
        <v>6</v>
      </c>
      <c r="L865" s="369">
        <f>+IF((C865&gt;='Resultats - informe'!$E$16)*(C865&lt;='Resultats - informe'!$G$16),1,0)</f>
        <v>1</v>
      </c>
      <c r="M865" s="369" cm="1">
        <f t="array" ref="M865">+_xlfn.IFS((C865&gt;='Resultats - informe'!$D$26)*(C865&lt;='Resultats - informe'!$E$26),0,(C865&gt;='Resultats - informe'!$D$27)*(C865&lt;='Resultats - informe'!$E$27),0,(C865&gt;='Resultats - informe'!$D$28)*(C865&lt;='Resultats - informe'!$E$28),0,(C865&gt;='Resultats - informe'!$D$29)*(C865&lt;='Resultats - informe'!$E$29),0,1,1)</f>
        <v>0</v>
      </c>
      <c r="N865" s="366">
        <f>+VLOOKUP(D865,'Resultats - informe'!$Y$18:$AG$42,'Introducció dades consum'!K865+1,0)</f>
        <v>0</v>
      </c>
      <c r="O865" s="370" cm="1">
        <f t="array" ref="O865">+_xlfn.SWITCH(MONTH(C865),1,1,2,1,3,1,4,2,5,2,6,3,7,3,8,3,9,3,10,2,11,2,12,1,2)</f>
        <v>1</v>
      </c>
      <c r="P865" s="43"/>
      <c r="AS865" s="10"/>
      <c r="AT865" s="10"/>
      <c r="AU865" s="10"/>
      <c r="AV865" s="10"/>
      <c r="AW865" s="10"/>
      <c r="AX865" s="10"/>
      <c r="AY865" s="10"/>
      <c r="AZ865" s="10"/>
      <c r="BA865" s="10"/>
      <c r="BB865" s="10"/>
      <c r="BC865" s="10"/>
      <c r="BD865" s="10"/>
      <c r="BE865" s="10"/>
      <c r="BF865" s="10"/>
      <c r="BG865" s="10"/>
      <c r="BH865" s="10"/>
      <c r="BI865" s="10"/>
      <c r="BJ865" s="10"/>
      <c r="BK865" s="10"/>
      <c r="BL865" s="10"/>
      <c r="BM865" s="10"/>
      <c r="BN865" s="10"/>
      <c r="BO865" s="10"/>
      <c r="BP865" s="10"/>
      <c r="BQ865" s="10"/>
      <c r="BR865" s="10"/>
      <c r="BS865" s="10"/>
      <c r="BT865" s="10"/>
      <c r="BU865" s="10"/>
    </row>
    <row r="866" spans="1:73" ht="18" x14ac:dyDescent="0.35">
      <c r="A866" s="43"/>
      <c r="C866" s="393"/>
      <c r="E866" s="394"/>
      <c r="F866" s="394">
        <v>0</v>
      </c>
      <c r="G866" s="394"/>
      <c r="H866" s="8" t="s">
        <v>235</v>
      </c>
      <c r="I866" s="368">
        <f t="shared" si="40"/>
        <v>0</v>
      </c>
      <c r="J866" s="365">
        <f t="shared" si="39"/>
        <v>0</v>
      </c>
      <c r="K866" s="369">
        <f t="shared" si="41"/>
        <v>6</v>
      </c>
      <c r="L866" s="369">
        <f>+IF((C866&gt;='Resultats - informe'!$E$16)*(C866&lt;='Resultats - informe'!$G$16),1,0)</f>
        <v>1</v>
      </c>
      <c r="M866" s="369" cm="1">
        <f t="array" ref="M866">+_xlfn.IFS((C866&gt;='Resultats - informe'!$D$26)*(C866&lt;='Resultats - informe'!$E$26),0,(C866&gt;='Resultats - informe'!$D$27)*(C866&lt;='Resultats - informe'!$E$27),0,(C866&gt;='Resultats - informe'!$D$28)*(C866&lt;='Resultats - informe'!$E$28),0,(C866&gt;='Resultats - informe'!$D$29)*(C866&lt;='Resultats - informe'!$E$29),0,1,1)</f>
        <v>0</v>
      </c>
      <c r="N866" s="366">
        <f>+VLOOKUP(D866,'Resultats - informe'!$Y$18:$AG$42,'Introducció dades consum'!K866+1,0)</f>
        <v>0</v>
      </c>
      <c r="O866" s="370" cm="1">
        <f t="array" ref="O866">+_xlfn.SWITCH(MONTH(C866),1,1,2,1,3,1,4,2,5,2,6,3,7,3,8,3,9,3,10,2,11,2,12,1,2)</f>
        <v>1</v>
      </c>
      <c r="P866" s="43"/>
      <c r="AS866" s="10"/>
      <c r="AT866" s="10"/>
      <c r="AU866" s="10"/>
      <c r="AV866" s="10"/>
      <c r="AW866" s="10"/>
      <c r="AX866" s="10"/>
      <c r="AY866" s="10"/>
      <c r="AZ866" s="10"/>
      <c r="BA866" s="10"/>
      <c r="BB866" s="10"/>
      <c r="BC866" s="10"/>
      <c r="BD866" s="10"/>
      <c r="BE866" s="10"/>
      <c r="BF866" s="10"/>
      <c r="BG866" s="10"/>
      <c r="BH866" s="10"/>
      <c r="BI866" s="10"/>
      <c r="BJ866" s="10"/>
      <c r="BK866" s="10"/>
      <c r="BL866" s="10"/>
      <c r="BM866" s="10"/>
      <c r="BN866" s="10"/>
      <c r="BO866" s="10"/>
      <c r="BP866" s="10"/>
      <c r="BQ866" s="10"/>
      <c r="BR866" s="10"/>
      <c r="BS866" s="10"/>
      <c r="BT866" s="10"/>
      <c r="BU866" s="10"/>
    </row>
    <row r="867" spans="1:73" ht="18" x14ac:dyDescent="0.35">
      <c r="A867" s="43"/>
      <c r="C867" s="393"/>
      <c r="E867" s="394"/>
      <c r="F867" s="394">
        <v>0</v>
      </c>
      <c r="G867" s="394"/>
      <c r="H867" s="8" t="s">
        <v>235</v>
      </c>
      <c r="I867" s="368">
        <f t="shared" si="40"/>
        <v>0</v>
      </c>
      <c r="J867" s="365">
        <f t="shared" si="39"/>
        <v>0</v>
      </c>
      <c r="K867" s="369">
        <f t="shared" si="41"/>
        <v>6</v>
      </c>
      <c r="L867" s="369">
        <f>+IF((C867&gt;='Resultats - informe'!$E$16)*(C867&lt;='Resultats - informe'!$G$16),1,0)</f>
        <v>1</v>
      </c>
      <c r="M867" s="369" cm="1">
        <f t="array" ref="M867">+_xlfn.IFS((C867&gt;='Resultats - informe'!$D$26)*(C867&lt;='Resultats - informe'!$E$26),0,(C867&gt;='Resultats - informe'!$D$27)*(C867&lt;='Resultats - informe'!$E$27),0,(C867&gt;='Resultats - informe'!$D$28)*(C867&lt;='Resultats - informe'!$E$28),0,(C867&gt;='Resultats - informe'!$D$29)*(C867&lt;='Resultats - informe'!$E$29),0,1,1)</f>
        <v>0</v>
      </c>
      <c r="N867" s="366">
        <f>+VLOOKUP(D867,'Resultats - informe'!$Y$18:$AG$42,'Introducció dades consum'!K867+1,0)</f>
        <v>0</v>
      </c>
      <c r="O867" s="370" cm="1">
        <f t="array" ref="O867">+_xlfn.SWITCH(MONTH(C867),1,1,2,1,3,1,4,2,5,2,6,3,7,3,8,3,9,3,10,2,11,2,12,1,2)</f>
        <v>1</v>
      </c>
      <c r="P867" s="43"/>
      <c r="AS867" s="10"/>
      <c r="AT867" s="10"/>
      <c r="AU867" s="10"/>
      <c r="AV867" s="10"/>
      <c r="AW867" s="10"/>
      <c r="AX867" s="10"/>
      <c r="AY867" s="10"/>
      <c r="AZ867" s="10"/>
      <c r="BA867" s="10"/>
      <c r="BB867" s="10"/>
      <c r="BC867" s="10"/>
      <c r="BD867" s="10"/>
      <c r="BE867" s="10"/>
      <c r="BF867" s="10"/>
      <c r="BG867" s="10"/>
      <c r="BH867" s="10"/>
      <c r="BI867" s="10"/>
      <c r="BJ867" s="10"/>
      <c r="BK867" s="10"/>
      <c r="BL867" s="10"/>
      <c r="BM867" s="10"/>
      <c r="BN867" s="10"/>
      <c r="BO867" s="10"/>
      <c r="BP867" s="10"/>
      <c r="BQ867" s="10"/>
      <c r="BR867" s="10"/>
      <c r="BS867" s="10"/>
      <c r="BT867" s="10"/>
      <c r="BU867" s="10"/>
    </row>
    <row r="868" spans="1:73" ht="18" x14ac:dyDescent="0.35">
      <c r="A868" s="43"/>
      <c r="C868" s="393"/>
      <c r="E868" s="394"/>
      <c r="F868" s="394">
        <v>0</v>
      </c>
      <c r="G868" s="394"/>
      <c r="H868" s="8" t="s">
        <v>235</v>
      </c>
      <c r="I868" s="368">
        <f t="shared" si="40"/>
        <v>0</v>
      </c>
      <c r="J868" s="365">
        <f t="shared" si="39"/>
        <v>0</v>
      </c>
      <c r="K868" s="369">
        <f t="shared" si="41"/>
        <v>6</v>
      </c>
      <c r="L868" s="369">
        <f>+IF((C868&gt;='Resultats - informe'!$E$16)*(C868&lt;='Resultats - informe'!$G$16),1,0)</f>
        <v>1</v>
      </c>
      <c r="M868" s="369" cm="1">
        <f t="array" ref="M868">+_xlfn.IFS((C868&gt;='Resultats - informe'!$D$26)*(C868&lt;='Resultats - informe'!$E$26),0,(C868&gt;='Resultats - informe'!$D$27)*(C868&lt;='Resultats - informe'!$E$27),0,(C868&gt;='Resultats - informe'!$D$28)*(C868&lt;='Resultats - informe'!$E$28),0,(C868&gt;='Resultats - informe'!$D$29)*(C868&lt;='Resultats - informe'!$E$29),0,1,1)</f>
        <v>0</v>
      </c>
      <c r="N868" s="366">
        <f>+VLOOKUP(D868,'Resultats - informe'!$Y$18:$AG$42,'Introducció dades consum'!K868+1,0)</f>
        <v>0</v>
      </c>
      <c r="O868" s="370" cm="1">
        <f t="array" ref="O868">+_xlfn.SWITCH(MONTH(C868),1,1,2,1,3,1,4,2,5,2,6,3,7,3,8,3,9,3,10,2,11,2,12,1,2)</f>
        <v>1</v>
      </c>
      <c r="P868" s="43"/>
      <c r="AS868" s="10"/>
      <c r="AT868" s="10"/>
      <c r="AU868" s="10"/>
      <c r="AV868" s="10"/>
      <c r="AW868" s="10"/>
      <c r="AX868" s="10"/>
      <c r="AY868" s="10"/>
      <c r="AZ868" s="10"/>
      <c r="BA868" s="10"/>
      <c r="BB868" s="10"/>
      <c r="BC868" s="10"/>
      <c r="BD868" s="10"/>
      <c r="BE868" s="10"/>
      <c r="BF868" s="10"/>
      <c r="BG868" s="10"/>
      <c r="BH868" s="10"/>
      <c r="BI868" s="10"/>
      <c r="BJ868" s="10"/>
      <c r="BK868" s="10"/>
      <c r="BL868" s="10"/>
      <c r="BM868" s="10"/>
      <c r="BN868" s="10"/>
      <c r="BO868" s="10"/>
      <c r="BP868" s="10"/>
      <c r="BQ868" s="10"/>
      <c r="BR868" s="10"/>
      <c r="BS868" s="10"/>
      <c r="BT868" s="10"/>
      <c r="BU868" s="10"/>
    </row>
    <row r="869" spans="1:73" ht="18" x14ac:dyDescent="0.35">
      <c r="A869" s="43"/>
      <c r="C869" s="393"/>
      <c r="E869" s="394"/>
      <c r="F869" s="394">
        <v>0</v>
      </c>
      <c r="G869" s="394"/>
      <c r="H869" s="8" t="s">
        <v>235</v>
      </c>
      <c r="I869" s="368">
        <f t="shared" si="40"/>
        <v>0</v>
      </c>
      <c r="J869" s="365">
        <f t="shared" si="39"/>
        <v>0</v>
      </c>
      <c r="K869" s="369">
        <f t="shared" si="41"/>
        <v>6</v>
      </c>
      <c r="L869" s="369">
        <f>+IF((C869&gt;='Resultats - informe'!$E$16)*(C869&lt;='Resultats - informe'!$G$16),1,0)</f>
        <v>1</v>
      </c>
      <c r="M869" s="369" cm="1">
        <f t="array" ref="M869">+_xlfn.IFS((C869&gt;='Resultats - informe'!$D$26)*(C869&lt;='Resultats - informe'!$E$26),0,(C869&gt;='Resultats - informe'!$D$27)*(C869&lt;='Resultats - informe'!$E$27),0,(C869&gt;='Resultats - informe'!$D$28)*(C869&lt;='Resultats - informe'!$E$28),0,(C869&gt;='Resultats - informe'!$D$29)*(C869&lt;='Resultats - informe'!$E$29),0,1,1)</f>
        <v>0</v>
      </c>
      <c r="N869" s="366">
        <f>+VLOOKUP(D869,'Resultats - informe'!$Y$18:$AG$42,'Introducció dades consum'!K869+1,0)</f>
        <v>0</v>
      </c>
      <c r="O869" s="370" cm="1">
        <f t="array" ref="O869">+_xlfn.SWITCH(MONTH(C869),1,1,2,1,3,1,4,2,5,2,6,3,7,3,8,3,9,3,10,2,11,2,12,1,2)</f>
        <v>1</v>
      </c>
      <c r="P869" s="43"/>
      <c r="AS869" s="10"/>
      <c r="AT869" s="10"/>
      <c r="AU869" s="10"/>
      <c r="AV869" s="10"/>
      <c r="AW869" s="10"/>
      <c r="AX869" s="10"/>
      <c r="AY869" s="10"/>
      <c r="AZ869" s="10"/>
      <c r="BA869" s="10"/>
      <c r="BB869" s="10"/>
      <c r="BC869" s="10"/>
      <c r="BD869" s="10"/>
      <c r="BE869" s="10"/>
      <c r="BF869" s="10"/>
      <c r="BG869" s="10"/>
      <c r="BH869" s="10"/>
      <c r="BI869" s="10"/>
      <c r="BJ869" s="10"/>
      <c r="BK869" s="10"/>
      <c r="BL869" s="10"/>
      <c r="BM869" s="10"/>
      <c r="BN869" s="10"/>
      <c r="BO869" s="10"/>
      <c r="BP869" s="10"/>
      <c r="BQ869" s="10"/>
      <c r="BR869" s="10"/>
      <c r="BS869" s="10"/>
      <c r="BT869" s="10"/>
      <c r="BU869" s="10"/>
    </row>
    <row r="870" spans="1:73" ht="18" x14ac:dyDescent="0.35">
      <c r="A870" s="43"/>
      <c r="C870" s="393"/>
      <c r="E870" s="394"/>
      <c r="F870" s="394">
        <v>0</v>
      </c>
      <c r="G870" s="394"/>
      <c r="H870" s="8" t="s">
        <v>235</v>
      </c>
      <c r="I870" s="368">
        <f t="shared" si="40"/>
        <v>0</v>
      </c>
      <c r="J870" s="365">
        <f t="shared" si="39"/>
        <v>0</v>
      </c>
      <c r="K870" s="369">
        <f t="shared" si="41"/>
        <v>6</v>
      </c>
      <c r="L870" s="369">
        <f>+IF((C870&gt;='Resultats - informe'!$E$16)*(C870&lt;='Resultats - informe'!$G$16),1,0)</f>
        <v>1</v>
      </c>
      <c r="M870" s="369" cm="1">
        <f t="array" ref="M870">+_xlfn.IFS((C870&gt;='Resultats - informe'!$D$26)*(C870&lt;='Resultats - informe'!$E$26),0,(C870&gt;='Resultats - informe'!$D$27)*(C870&lt;='Resultats - informe'!$E$27),0,(C870&gt;='Resultats - informe'!$D$28)*(C870&lt;='Resultats - informe'!$E$28),0,(C870&gt;='Resultats - informe'!$D$29)*(C870&lt;='Resultats - informe'!$E$29),0,1,1)</f>
        <v>0</v>
      </c>
      <c r="N870" s="366">
        <f>+VLOOKUP(D870,'Resultats - informe'!$Y$18:$AG$42,'Introducció dades consum'!K870+1,0)</f>
        <v>0</v>
      </c>
      <c r="O870" s="370" cm="1">
        <f t="array" ref="O870">+_xlfn.SWITCH(MONTH(C870),1,1,2,1,3,1,4,2,5,2,6,3,7,3,8,3,9,3,10,2,11,2,12,1,2)</f>
        <v>1</v>
      </c>
      <c r="P870" s="43"/>
      <c r="AS870" s="10"/>
      <c r="AT870" s="10"/>
      <c r="AU870" s="10"/>
      <c r="AV870" s="10"/>
      <c r="AW870" s="10"/>
      <c r="AX870" s="10"/>
      <c r="AY870" s="10"/>
      <c r="AZ870" s="10"/>
      <c r="BA870" s="10"/>
      <c r="BB870" s="10"/>
      <c r="BC870" s="10"/>
      <c r="BD870" s="10"/>
      <c r="BE870" s="10"/>
      <c r="BF870" s="10"/>
      <c r="BG870" s="10"/>
      <c r="BH870" s="10"/>
      <c r="BI870" s="10"/>
      <c r="BJ870" s="10"/>
      <c r="BK870" s="10"/>
      <c r="BL870" s="10"/>
      <c r="BM870" s="10"/>
      <c r="BN870" s="10"/>
      <c r="BO870" s="10"/>
      <c r="BP870" s="10"/>
      <c r="BQ870" s="10"/>
      <c r="BR870" s="10"/>
      <c r="BS870" s="10"/>
      <c r="BT870" s="10"/>
      <c r="BU870" s="10"/>
    </row>
    <row r="871" spans="1:73" ht="18" x14ac:dyDescent="0.35">
      <c r="A871" s="43"/>
      <c r="C871" s="393"/>
      <c r="E871" s="394"/>
      <c r="F871" s="394">
        <v>0</v>
      </c>
      <c r="G871" s="394"/>
      <c r="H871" s="8" t="s">
        <v>235</v>
      </c>
      <c r="I871" s="368">
        <f t="shared" si="40"/>
        <v>0</v>
      </c>
      <c r="J871" s="365">
        <f t="shared" si="39"/>
        <v>0</v>
      </c>
      <c r="K871" s="369">
        <f t="shared" si="41"/>
        <v>6</v>
      </c>
      <c r="L871" s="369">
        <f>+IF((C871&gt;='Resultats - informe'!$E$16)*(C871&lt;='Resultats - informe'!$G$16),1,0)</f>
        <v>1</v>
      </c>
      <c r="M871" s="369" cm="1">
        <f t="array" ref="M871">+_xlfn.IFS((C871&gt;='Resultats - informe'!$D$26)*(C871&lt;='Resultats - informe'!$E$26),0,(C871&gt;='Resultats - informe'!$D$27)*(C871&lt;='Resultats - informe'!$E$27),0,(C871&gt;='Resultats - informe'!$D$28)*(C871&lt;='Resultats - informe'!$E$28),0,(C871&gt;='Resultats - informe'!$D$29)*(C871&lt;='Resultats - informe'!$E$29),0,1,1)</f>
        <v>0</v>
      </c>
      <c r="N871" s="366">
        <f>+VLOOKUP(D871,'Resultats - informe'!$Y$18:$AG$42,'Introducció dades consum'!K871+1,0)</f>
        <v>0</v>
      </c>
      <c r="O871" s="370" cm="1">
        <f t="array" ref="O871">+_xlfn.SWITCH(MONTH(C871),1,1,2,1,3,1,4,2,5,2,6,3,7,3,8,3,9,3,10,2,11,2,12,1,2)</f>
        <v>1</v>
      </c>
      <c r="P871" s="43"/>
      <c r="AS871" s="10"/>
      <c r="AT871" s="10"/>
      <c r="AU871" s="10"/>
      <c r="AV871" s="10"/>
      <c r="AW871" s="10"/>
      <c r="AX871" s="10"/>
      <c r="AY871" s="10"/>
      <c r="AZ871" s="10"/>
      <c r="BA871" s="10"/>
      <c r="BB871" s="10"/>
      <c r="BC871" s="10"/>
      <c r="BD871" s="10"/>
      <c r="BE871" s="10"/>
      <c r="BF871" s="10"/>
      <c r="BG871" s="10"/>
      <c r="BH871" s="10"/>
      <c r="BI871" s="10"/>
      <c r="BJ871" s="10"/>
      <c r="BK871" s="10"/>
      <c r="BL871" s="10"/>
      <c r="BM871" s="10"/>
      <c r="BN871" s="10"/>
      <c r="BO871" s="10"/>
      <c r="BP871" s="10"/>
      <c r="BQ871" s="10"/>
      <c r="BR871" s="10"/>
      <c r="BS871" s="10"/>
      <c r="BT871" s="10"/>
      <c r="BU871" s="10"/>
    </row>
    <row r="872" spans="1:73" ht="18" x14ac:dyDescent="0.35">
      <c r="A872" s="43"/>
      <c r="C872" s="393"/>
      <c r="E872" s="394"/>
      <c r="F872" s="394">
        <v>0</v>
      </c>
      <c r="G872" s="394"/>
      <c r="H872" s="8" t="s">
        <v>235</v>
      </c>
      <c r="I872" s="368">
        <f t="shared" si="40"/>
        <v>0</v>
      </c>
      <c r="J872" s="365">
        <f t="shared" si="39"/>
        <v>0</v>
      </c>
      <c r="K872" s="369">
        <f t="shared" si="41"/>
        <v>6</v>
      </c>
      <c r="L872" s="369">
        <f>+IF((C872&gt;='Resultats - informe'!$E$16)*(C872&lt;='Resultats - informe'!$G$16),1,0)</f>
        <v>1</v>
      </c>
      <c r="M872" s="369" cm="1">
        <f t="array" ref="M872">+_xlfn.IFS((C872&gt;='Resultats - informe'!$D$26)*(C872&lt;='Resultats - informe'!$E$26),0,(C872&gt;='Resultats - informe'!$D$27)*(C872&lt;='Resultats - informe'!$E$27),0,(C872&gt;='Resultats - informe'!$D$28)*(C872&lt;='Resultats - informe'!$E$28),0,(C872&gt;='Resultats - informe'!$D$29)*(C872&lt;='Resultats - informe'!$E$29),0,1,1)</f>
        <v>0</v>
      </c>
      <c r="N872" s="366">
        <f>+VLOOKUP(D872,'Resultats - informe'!$Y$18:$AG$42,'Introducció dades consum'!K872+1,0)</f>
        <v>0</v>
      </c>
      <c r="O872" s="370" cm="1">
        <f t="array" ref="O872">+_xlfn.SWITCH(MONTH(C872),1,1,2,1,3,1,4,2,5,2,6,3,7,3,8,3,9,3,10,2,11,2,12,1,2)</f>
        <v>1</v>
      </c>
      <c r="P872" s="43"/>
      <c r="AS872" s="10"/>
      <c r="AT872" s="10"/>
      <c r="AU872" s="10"/>
      <c r="AV872" s="10"/>
      <c r="AW872" s="10"/>
      <c r="AX872" s="10"/>
      <c r="AY872" s="10"/>
      <c r="AZ872" s="10"/>
      <c r="BA872" s="10"/>
      <c r="BB872" s="10"/>
      <c r="BC872" s="10"/>
      <c r="BD872" s="10"/>
      <c r="BE872" s="10"/>
      <c r="BF872" s="10"/>
      <c r="BG872" s="10"/>
      <c r="BH872" s="10"/>
      <c r="BI872" s="10"/>
      <c r="BJ872" s="10"/>
      <c r="BK872" s="10"/>
      <c r="BL872" s="10"/>
      <c r="BM872" s="10"/>
      <c r="BN872" s="10"/>
      <c r="BO872" s="10"/>
      <c r="BP872" s="10"/>
      <c r="BQ872" s="10"/>
      <c r="BR872" s="10"/>
      <c r="BS872" s="10"/>
      <c r="BT872" s="10"/>
      <c r="BU872" s="10"/>
    </row>
    <row r="873" spans="1:73" ht="18" x14ac:dyDescent="0.35">
      <c r="A873" s="43"/>
      <c r="C873" s="393"/>
      <c r="E873" s="394"/>
      <c r="F873" s="394">
        <v>0</v>
      </c>
      <c r="G873" s="394"/>
      <c r="H873" s="8" t="s">
        <v>235</v>
      </c>
      <c r="I873" s="368">
        <f t="shared" si="40"/>
        <v>0</v>
      </c>
      <c r="J873" s="365">
        <f t="shared" si="39"/>
        <v>0</v>
      </c>
      <c r="K873" s="369">
        <f t="shared" si="41"/>
        <v>6</v>
      </c>
      <c r="L873" s="369">
        <f>+IF((C873&gt;='Resultats - informe'!$E$16)*(C873&lt;='Resultats - informe'!$G$16),1,0)</f>
        <v>1</v>
      </c>
      <c r="M873" s="369" cm="1">
        <f t="array" ref="M873">+_xlfn.IFS((C873&gt;='Resultats - informe'!$D$26)*(C873&lt;='Resultats - informe'!$E$26),0,(C873&gt;='Resultats - informe'!$D$27)*(C873&lt;='Resultats - informe'!$E$27),0,(C873&gt;='Resultats - informe'!$D$28)*(C873&lt;='Resultats - informe'!$E$28),0,(C873&gt;='Resultats - informe'!$D$29)*(C873&lt;='Resultats - informe'!$E$29),0,1,1)</f>
        <v>0</v>
      </c>
      <c r="N873" s="366">
        <f>+VLOOKUP(D873,'Resultats - informe'!$Y$18:$AG$42,'Introducció dades consum'!K873+1,0)</f>
        <v>0</v>
      </c>
      <c r="O873" s="370" cm="1">
        <f t="array" ref="O873">+_xlfn.SWITCH(MONTH(C873),1,1,2,1,3,1,4,2,5,2,6,3,7,3,8,3,9,3,10,2,11,2,12,1,2)</f>
        <v>1</v>
      </c>
      <c r="P873" s="43"/>
      <c r="AS873" s="10"/>
      <c r="AT873" s="10"/>
      <c r="AU873" s="10"/>
      <c r="AV873" s="10"/>
      <c r="AW873" s="10"/>
      <c r="AX873" s="10"/>
      <c r="AY873" s="10"/>
      <c r="AZ873" s="10"/>
      <c r="BA873" s="10"/>
      <c r="BB873" s="10"/>
      <c r="BC873" s="10"/>
      <c r="BD873" s="10"/>
      <c r="BE873" s="10"/>
      <c r="BF873" s="10"/>
      <c r="BG873" s="10"/>
      <c r="BH873" s="10"/>
      <c r="BI873" s="10"/>
      <c r="BJ873" s="10"/>
      <c r="BK873" s="10"/>
      <c r="BL873" s="10"/>
      <c r="BM873" s="10"/>
      <c r="BN873" s="10"/>
      <c r="BO873" s="10"/>
      <c r="BP873" s="10"/>
      <c r="BQ873" s="10"/>
      <c r="BR873" s="10"/>
      <c r="BS873" s="10"/>
      <c r="BT873" s="10"/>
      <c r="BU873" s="10"/>
    </row>
    <row r="874" spans="1:73" ht="18" x14ac:dyDescent="0.35">
      <c r="A874" s="43"/>
      <c r="C874" s="393"/>
      <c r="E874" s="394"/>
      <c r="F874" s="394">
        <v>0</v>
      </c>
      <c r="G874" s="394"/>
      <c r="H874" s="8" t="s">
        <v>235</v>
      </c>
      <c r="I874" s="368">
        <f t="shared" si="40"/>
        <v>0</v>
      </c>
      <c r="J874" s="365">
        <f t="shared" si="39"/>
        <v>0</v>
      </c>
      <c r="K874" s="369">
        <f t="shared" si="41"/>
        <v>6</v>
      </c>
      <c r="L874" s="369">
        <f>+IF((C874&gt;='Resultats - informe'!$E$16)*(C874&lt;='Resultats - informe'!$G$16),1,0)</f>
        <v>1</v>
      </c>
      <c r="M874" s="369" cm="1">
        <f t="array" ref="M874">+_xlfn.IFS((C874&gt;='Resultats - informe'!$D$26)*(C874&lt;='Resultats - informe'!$E$26),0,(C874&gt;='Resultats - informe'!$D$27)*(C874&lt;='Resultats - informe'!$E$27),0,(C874&gt;='Resultats - informe'!$D$28)*(C874&lt;='Resultats - informe'!$E$28),0,(C874&gt;='Resultats - informe'!$D$29)*(C874&lt;='Resultats - informe'!$E$29),0,1,1)</f>
        <v>0</v>
      </c>
      <c r="N874" s="366">
        <f>+VLOOKUP(D874,'Resultats - informe'!$Y$18:$AG$42,'Introducció dades consum'!K874+1,0)</f>
        <v>0</v>
      </c>
      <c r="O874" s="370" cm="1">
        <f t="array" ref="O874">+_xlfn.SWITCH(MONTH(C874),1,1,2,1,3,1,4,2,5,2,6,3,7,3,8,3,9,3,10,2,11,2,12,1,2)</f>
        <v>1</v>
      </c>
      <c r="P874" s="43"/>
      <c r="AS874" s="10"/>
      <c r="AT874" s="10"/>
      <c r="AU874" s="10"/>
      <c r="AV874" s="10"/>
      <c r="AW874" s="10"/>
      <c r="AX874" s="10"/>
      <c r="AY874" s="10"/>
      <c r="AZ874" s="10"/>
      <c r="BA874" s="10"/>
      <c r="BB874" s="10"/>
      <c r="BC874" s="10"/>
      <c r="BD874" s="10"/>
      <c r="BE874" s="10"/>
      <c r="BF874" s="10"/>
      <c r="BG874" s="10"/>
      <c r="BH874" s="10"/>
      <c r="BI874" s="10"/>
      <c r="BJ874" s="10"/>
      <c r="BK874" s="10"/>
      <c r="BL874" s="10"/>
      <c r="BM874" s="10"/>
      <c r="BN874" s="10"/>
      <c r="BO874" s="10"/>
      <c r="BP874" s="10"/>
      <c r="BQ874" s="10"/>
      <c r="BR874" s="10"/>
      <c r="BS874" s="10"/>
      <c r="BT874" s="10"/>
      <c r="BU874" s="10"/>
    </row>
    <row r="875" spans="1:73" ht="18" x14ac:dyDescent="0.35">
      <c r="A875" s="43"/>
      <c r="C875" s="393"/>
      <c r="E875" s="394"/>
      <c r="F875" s="394">
        <v>0</v>
      </c>
      <c r="G875" s="394"/>
      <c r="H875" s="8" t="s">
        <v>235</v>
      </c>
      <c r="I875" s="368">
        <f t="shared" si="40"/>
        <v>0</v>
      </c>
      <c r="J875" s="365">
        <f t="shared" si="39"/>
        <v>0</v>
      </c>
      <c r="K875" s="369">
        <f t="shared" si="41"/>
        <v>6</v>
      </c>
      <c r="L875" s="369">
        <f>+IF((C875&gt;='Resultats - informe'!$E$16)*(C875&lt;='Resultats - informe'!$G$16),1,0)</f>
        <v>1</v>
      </c>
      <c r="M875" s="369" cm="1">
        <f t="array" ref="M875">+_xlfn.IFS((C875&gt;='Resultats - informe'!$D$26)*(C875&lt;='Resultats - informe'!$E$26),0,(C875&gt;='Resultats - informe'!$D$27)*(C875&lt;='Resultats - informe'!$E$27),0,(C875&gt;='Resultats - informe'!$D$28)*(C875&lt;='Resultats - informe'!$E$28),0,(C875&gt;='Resultats - informe'!$D$29)*(C875&lt;='Resultats - informe'!$E$29),0,1,1)</f>
        <v>0</v>
      </c>
      <c r="N875" s="366">
        <f>+VLOOKUP(D875,'Resultats - informe'!$Y$18:$AG$42,'Introducció dades consum'!K875+1,0)</f>
        <v>0</v>
      </c>
      <c r="O875" s="370" cm="1">
        <f t="array" ref="O875">+_xlfn.SWITCH(MONTH(C875),1,1,2,1,3,1,4,2,5,2,6,3,7,3,8,3,9,3,10,2,11,2,12,1,2)</f>
        <v>1</v>
      </c>
      <c r="P875" s="43"/>
      <c r="AS875" s="10"/>
      <c r="AT875" s="10"/>
      <c r="AU875" s="10"/>
      <c r="AV875" s="10"/>
      <c r="AW875" s="10"/>
      <c r="AX875" s="10"/>
      <c r="AY875" s="10"/>
      <c r="AZ875" s="10"/>
      <c r="BA875" s="10"/>
      <c r="BB875" s="10"/>
      <c r="BC875" s="10"/>
      <c r="BD875" s="10"/>
      <c r="BE875" s="10"/>
      <c r="BF875" s="10"/>
      <c r="BG875" s="10"/>
      <c r="BH875" s="10"/>
      <c r="BI875" s="10"/>
      <c r="BJ875" s="10"/>
      <c r="BK875" s="10"/>
      <c r="BL875" s="10"/>
      <c r="BM875" s="10"/>
      <c r="BN875" s="10"/>
      <c r="BO875" s="10"/>
      <c r="BP875" s="10"/>
      <c r="BQ875" s="10"/>
      <c r="BR875" s="10"/>
      <c r="BS875" s="10"/>
      <c r="BT875" s="10"/>
      <c r="BU875" s="10"/>
    </row>
    <row r="876" spans="1:73" ht="18" x14ac:dyDescent="0.35">
      <c r="A876" s="43"/>
      <c r="C876" s="393"/>
      <c r="E876" s="394"/>
      <c r="F876" s="394">
        <v>0.10100000000000001</v>
      </c>
      <c r="G876" s="394"/>
      <c r="H876" s="8" t="s">
        <v>235</v>
      </c>
      <c r="I876" s="368">
        <f t="shared" si="40"/>
        <v>0</v>
      </c>
      <c r="J876" s="365">
        <f t="shared" si="39"/>
        <v>0</v>
      </c>
      <c r="K876" s="369">
        <f t="shared" si="41"/>
        <v>6</v>
      </c>
      <c r="L876" s="369">
        <f>+IF((C876&gt;='Resultats - informe'!$E$16)*(C876&lt;='Resultats - informe'!$G$16),1,0)</f>
        <v>1</v>
      </c>
      <c r="M876" s="369" cm="1">
        <f t="array" ref="M876">+_xlfn.IFS((C876&gt;='Resultats - informe'!$D$26)*(C876&lt;='Resultats - informe'!$E$26),0,(C876&gt;='Resultats - informe'!$D$27)*(C876&lt;='Resultats - informe'!$E$27),0,(C876&gt;='Resultats - informe'!$D$28)*(C876&lt;='Resultats - informe'!$E$28),0,(C876&gt;='Resultats - informe'!$D$29)*(C876&lt;='Resultats - informe'!$E$29),0,1,1)</f>
        <v>0</v>
      </c>
      <c r="N876" s="366">
        <f>+VLOOKUP(D876,'Resultats - informe'!$Y$18:$AG$42,'Introducció dades consum'!K876+1,0)</f>
        <v>0</v>
      </c>
      <c r="O876" s="370" cm="1">
        <f t="array" ref="O876">+_xlfn.SWITCH(MONTH(C876),1,1,2,1,3,1,4,2,5,2,6,3,7,3,8,3,9,3,10,2,11,2,12,1,2)</f>
        <v>1</v>
      </c>
      <c r="P876" s="43"/>
      <c r="AS876" s="10"/>
      <c r="AT876" s="10"/>
      <c r="AU876" s="10"/>
      <c r="AV876" s="10"/>
      <c r="AW876" s="10"/>
      <c r="AX876" s="10"/>
      <c r="AY876" s="10"/>
      <c r="AZ876" s="10"/>
      <c r="BA876" s="10"/>
      <c r="BB876" s="10"/>
      <c r="BC876" s="10"/>
      <c r="BD876" s="10"/>
      <c r="BE876" s="10"/>
      <c r="BF876" s="10"/>
      <c r="BG876" s="10"/>
      <c r="BH876" s="10"/>
      <c r="BI876" s="10"/>
      <c r="BJ876" s="10"/>
      <c r="BK876" s="10"/>
      <c r="BL876" s="10"/>
      <c r="BM876" s="10"/>
      <c r="BN876" s="10"/>
      <c r="BO876" s="10"/>
      <c r="BP876" s="10"/>
      <c r="BQ876" s="10"/>
      <c r="BR876" s="10"/>
      <c r="BS876" s="10"/>
      <c r="BT876" s="10"/>
      <c r="BU876" s="10"/>
    </row>
    <row r="877" spans="1:73" ht="18" x14ac:dyDescent="0.35">
      <c r="A877" s="43"/>
      <c r="C877" s="393"/>
      <c r="E877" s="394"/>
      <c r="F877" s="394">
        <v>0</v>
      </c>
      <c r="G877" s="394"/>
      <c r="H877" s="8" t="s">
        <v>235</v>
      </c>
      <c r="I877" s="368">
        <f t="shared" si="40"/>
        <v>0</v>
      </c>
      <c r="J877" s="365">
        <f t="shared" si="39"/>
        <v>0</v>
      </c>
      <c r="K877" s="369">
        <f t="shared" si="41"/>
        <v>6</v>
      </c>
      <c r="L877" s="369">
        <f>+IF((C877&gt;='Resultats - informe'!$E$16)*(C877&lt;='Resultats - informe'!$G$16),1,0)</f>
        <v>1</v>
      </c>
      <c r="M877" s="369" cm="1">
        <f t="array" ref="M877">+_xlfn.IFS((C877&gt;='Resultats - informe'!$D$26)*(C877&lt;='Resultats - informe'!$E$26),0,(C877&gt;='Resultats - informe'!$D$27)*(C877&lt;='Resultats - informe'!$E$27),0,(C877&gt;='Resultats - informe'!$D$28)*(C877&lt;='Resultats - informe'!$E$28),0,(C877&gt;='Resultats - informe'!$D$29)*(C877&lt;='Resultats - informe'!$E$29),0,1,1)</f>
        <v>0</v>
      </c>
      <c r="N877" s="366">
        <f>+VLOOKUP(D877,'Resultats - informe'!$Y$18:$AG$42,'Introducció dades consum'!K877+1,0)</f>
        <v>0</v>
      </c>
      <c r="O877" s="370" cm="1">
        <f t="array" ref="O877">+_xlfn.SWITCH(MONTH(C877),1,1,2,1,3,1,4,2,5,2,6,3,7,3,8,3,9,3,10,2,11,2,12,1,2)</f>
        <v>1</v>
      </c>
      <c r="P877" s="43"/>
      <c r="AS877" s="10"/>
      <c r="AT877" s="10"/>
      <c r="AU877" s="10"/>
      <c r="AV877" s="10"/>
      <c r="AW877" s="10"/>
      <c r="AX877" s="10"/>
      <c r="AY877" s="10"/>
      <c r="AZ877" s="10"/>
      <c r="BA877" s="10"/>
      <c r="BB877" s="10"/>
      <c r="BC877" s="10"/>
      <c r="BD877" s="10"/>
      <c r="BE877" s="10"/>
      <c r="BF877" s="10"/>
      <c r="BG877" s="10"/>
      <c r="BH877" s="10"/>
      <c r="BI877" s="10"/>
      <c r="BJ877" s="10"/>
      <c r="BK877" s="10"/>
      <c r="BL877" s="10"/>
      <c r="BM877" s="10"/>
      <c r="BN877" s="10"/>
      <c r="BO877" s="10"/>
      <c r="BP877" s="10"/>
      <c r="BQ877" s="10"/>
      <c r="BR877" s="10"/>
      <c r="BS877" s="10"/>
      <c r="BT877" s="10"/>
      <c r="BU877" s="10"/>
    </row>
    <row r="878" spans="1:73" ht="18" x14ac:dyDescent="0.35">
      <c r="A878" s="43"/>
      <c r="C878" s="393"/>
      <c r="E878" s="394"/>
      <c r="F878" s="394">
        <v>0.58299999999999996</v>
      </c>
      <c r="G878" s="394"/>
      <c r="H878" s="8" t="s">
        <v>235</v>
      </c>
      <c r="I878" s="368">
        <f t="shared" si="40"/>
        <v>0</v>
      </c>
      <c r="J878" s="365">
        <f t="shared" si="39"/>
        <v>0</v>
      </c>
      <c r="K878" s="369">
        <f t="shared" si="41"/>
        <v>6</v>
      </c>
      <c r="L878" s="369">
        <f>+IF((C878&gt;='Resultats - informe'!$E$16)*(C878&lt;='Resultats - informe'!$G$16),1,0)</f>
        <v>1</v>
      </c>
      <c r="M878" s="369" cm="1">
        <f t="array" ref="M878">+_xlfn.IFS((C878&gt;='Resultats - informe'!$D$26)*(C878&lt;='Resultats - informe'!$E$26),0,(C878&gt;='Resultats - informe'!$D$27)*(C878&lt;='Resultats - informe'!$E$27),0,(C878&gt;='Resultats - informe'!$D$28)*(C878&lt;='Resultats - informe'!$E$28),0,(C878&gt;='Resultats - informe'!$D$29)*(C878&lt;='Resultats - informe'!$E$29),0,1,1)</f>
        <v>0</v>
      </c>
      <c r="N878" s="366">
        <f>+VLOOKUP(D878,'Resultats - informe'!$Y$18:$AG$42,'Introducció dades consum'!K878+1,0)</f>
        <v>0</v>
      </c>
      <c r="O878" s="370" cm="1">
        <f t="array" ref="O878">+_xlfn.SWITCH(MONTH(C878),1,1,2,1,3,1,4,2,5,2,6,3,7,3,8,3,9,3,10,2,11,2,12,1,2)</f>
        <v>1</v>
      </c>
      <c r="P878" s="43"/>
      <c r="AS878" s="10"/>
      <c r="AT878" s="10"/>
      <c r="AU878" s="10"/>
      <c r="AV878" s="10"/>
      <c r="AW878" s="10"/>
      <c r="AX878" s="10"/>
      <c r="AY878" s="10"/>
      <c r="AZ878" s="10"/>
      <c r="BA878" s="10"/>
      <c r="BB878" s="10"/>
      <c r="BC878" s="10"/>
      <c r="BD878" s="10"/>
      <c r="BE878" s="10"/>
      <c r="BF878" s="10"/>
      <c r="BG878" s="10"/>
      <c r="BH878" s="10"/>
      <c r="BI878" s="10"/>
      <c r="BJ878" s="10"/>
      <c r="BK878" s="10"/>
      <c r="BL878" s="10"/>
      <c r="BM878" s="10"/>
      <c r="BN878" s="10"/>
      <c r="BO878" s="10"/>
      <c r="BP878" s="10"/>
      <c r="BQ878" s="10"/>
      <c r="BR878" s="10"/>
      <c r="BS878" s="10"/>
      <c r="BT878" s="10"/>
      <c r="BU878" s="10"/>
    </row>
    <row r="879" spans="1:73" ht="18" x14ac:dyDescent="0.35">
      <c r="A879" s="43"/>
      <c r="C879" s="393"/>
      <c r="E879" s="394"/>
      <c r="F879" s="394">
        <v>0.251</v>
      </c>
      <c r="G879" s="394"/>
      <c r="H879" s="8" t="s">
        <v>235</v>
      </c>
      <c r="I879" s="368">
        <f t="shared" si="40"/>
        <v>0</v>
      </c>
      <c r="J879" s="365">
        <f t="shared" si="39"/>
        <v>0</v>
      </c>
      <c r="K879" s="369">
        <f t="shared" si="41"/>
        <v>6</v>
      </c>
      <c r="L879" s="369">
        <f>+IF((C879&gt;='Resultats - informe'!$E$16)*(C879&lt;='Resultats - informe'!$G$16),1,0)</f>
        <v>1</v>
      </c>
      <c r="M879" s="369" cm="1">
        <f t="array" ref="M879">+_xlfn.IFS((C879&gt;='Resultats - informe'!$D$26)*(C879&lt;='Resultats - informe'!$E$26),0,(C879&gt;='Resultats - informe'!$D$27)*(C879&lt;='Resultats - informe'!$E$27),0,(C879&gt;='Resultats - informe'!$D$28)*(C879&lt;='Resultats - informe'!$E$28),0,(C879&gt;='Resultats - informe'!$D$29)*(C879&lt;='Resultats - informe'!$E$29),0,1,1)</f>
        <v>0</v>
      </c>
      <c r="N879" s="366">
        <f>+VLOOKUP(D879,'Resultats - informe'!$Y$18:$AG$42,'Introducció dades consum'!K879+1,0)</f>
        <v>0</v>
      </c>
      <c r="O879" s="370" cm="1">
        <f t="array" ref="O879">+_xlfn.SWITCH(MONTH(C879),1,1,2,1,3,1,4,2,5,2,6,3,7,3,8,3,9,3,10,2,11,2,12,1,2)</f>
        <v>1</v>
      </c>
      <c r="P879" s="43"/>
      <c r="AS879" s="10"/>
      <c r="AT879" s="10"/>
      <c r="AU879" s="10"/>
      <c r="AV879" s="10"/>
      <c r="AW879" s="10"/>
      <c r="AX879" s="10"/>
      <c r="AY879" s="10"/>
      <c r="AZ879" s="10"/>
      <c r="BA879" s="10"/>
      <c r="BB879" s="10"/>
      <c r="BC879" s="10"/>
      <c r="BD879" s="10"/>
      <c r="BE879" s="10"/>
      <c r="BF879" s="10"/>
      <c r="BG879" s="10"/>
      <c r="BH879" s="10"/>
      <c r="BI879" s="10"/>
      <c r="BJ879" s="10"/>
      <c r="BK879" s="10"/>
      <c r="BL879" s="10"/>
      <c r="BM879" s="10"/>
      <c r="BN879" s="10"/>
      <c r="BO879" s="10"/>
      <c r="BP879" s="10"/>
      <c r="BQ879" s="10"/>
      <c r="BR879" s="10"/>
      <c r="BS879" s="10"/>
      <c r="BT879" s="10"/>
      <c r="BU879" s="10"/>
    </row>
    <row r="880" spans="1:73" ht="18" x14ac:dyDescent="0.35">
      <c r="A880" s="43"/>
      <c r="C880" s="393"/>
      <c r="E880" s="394"/>
      <c r="F880" s="394">
        <v>0.83499999999999996</v>
      </c>
      <c r="G880" s="394"/>
      <c r="H880" s="8" t="s">
        <v>235</v>
      </c>
      <c r="I880" s="368">
        <f t="shared" si="40"/>
        <v>0</v>
      </c>
      <c r="J880" s="365">
        <f t="shared" si="39"/>
        <v>0</v>
      </c>
      <c r="K880" s="369">
        <f t="shared" si="41"/>
        <v>6</v>
      </c>
      <c r="L880" s="369">
        <f>+IF((C880&gt;='Resultats - informe'!$E$16)*(C880&lt;='Resultats - informe'!$G$16),1,0)</f>
        <v>1</v>
      </c>
      <c r="M880" s="369" cm="1">
        <f t="array" ref="M880">+_xlfn.IFS((C880&gt;='Resultats - informe'!$D$26)*(C880&lt;='Resultats - informe'!$E$26),0,(C880&gt;='Resultats - informe'!$D$27)*(C880&lt;='Resultats - informe'!$E$27),0,(C880&gt;='Resultats - informe'!$D$28)*(C880&lt;='Resultats - informe'!$E$28),0,(C880&gt;='Resultats - informe'!$D$29)*(C880&lt;='Resultats - informe'!$E$29),0,1,1)</f>
        <v>0</v>
      </c>
      <c r="N880" s="366">
        <f>+VLOOKUP(D880,'Resultats - informe'!$Y$18:$AG$42,'Introducció dades consum'!K880+1,0)</f>
        <v>0</v>
      </c>
      <c r="O880" s="370" cm="1">
        <f t="array" ref="O880">+_xlfn.SWITCH(MONTH(C880),1,1,2,1,3,1,4,2,5,2,6,3,7,3,8,3,9,3,10,2,11,2,12,1,2)</f>
        <v>1</v>
      </c>
      <c r="P880" s="43"/>
      <c r="AS880" s="10"/>
      <c r="AT880" s="10"/>
      <c r="AU880" s="10"/>
      <c r="AV880" s="10"/>
      <c r="AW880" s="10"/>
      <c r="AX880" s="10"/>
      <c r="AY880" s="10"/>
      <c r="AZ880" s="10"/>
      <c r="BA880" s="10"/>
      <c r="BB880" s="10"/>
      <c r="BC880" s="10"/>
      <c r="BD880" s="10"/>
      <c r="BE880" s="10"/>
      <c r="BF880" s="10"/>
      <c r="BG880" s="10"/>
      <c r="BH880" s="10"/>
      <c r="BI880" s="10"/>
      <c r="BJ880" s="10"/>
      <c r="BK880" s="10"/>
      <c r="BL880" s="10"/>
      <c r="BM880" s="10"/>
      <c r="BN880" s="10"/>
      <c r="BO880" s="10"/>
      <c r="BP880" s="10"/>
      <c r="BQ880" s="10"/>
      <c r="BR880" s="10"/>
      <c r="BS880" s="10"/>
      <c r="BT880" s="10"/>
      <c r="BU880" s="10"/>
    </row>
    <row r="881" spans="1:73" ht="18" x14ac:dyDescent="0.35">
      <c r="A881" s="43"/>
      <c r="C881" s="393"/>
      <c r="E881" s="394"/>
      <c r="F881" s="394">
        <v>0.68799999999999994</v>
      </c>
      <c r="G881" s="394"/>
      <c r="H881" s="8" t="s">
        <v>235</v>
      </c>
      <c r="I881" s="368">
        <f t="shared" si="40"/>
        <v>0</v>
      </c>
      <c r="J881" s="365">
        <f t="shared" si="39"/>
        <v>0</v>
      </c>
      <c r="K881" s="369">
        <f t="shared" si="41"/>
        <v>6</v>
      </c>
      <c r="L881" s="369">
        <f>+IF((C881&gt;='Resultats - informe'!$E$16)*(C881&lt;='Resultats - informe'!$G$16),1,0)</f>
        <v>1</v>
      </c>
      <c r="M881" s="369" cm="1">
        <f t="array" ref="M881">+_xlfn.IFS((C881&gt;='Resultats - informe'!$D$26)*(C881&lt;='Resultats - informe'!$E$26),0,(C881&gt;='Resultats - informe'!$D$27)*(C881&lt;='Resultats - informe'!$E$27),0,(C881&gt;='Resultats - informe'!$D$28)*(C881&lt;='Resultats - informe'!$E$28),0,(C881&gt;='Resultats - informe'!$D$29)*(C881&lt;='Resultats - informe'!$E$29),0,1,1)</f>
        <v>0</v>
      </c>
      <c r="N881" s="366">
        <f>+VLOOKUP(D881,'Resultats - informe'!$Y$18:$AG$42,'Introducció dades consum'!K881+1,0)</f>
        <v>0</v>
      </c>
      <c r="O881" s="370" cm="1">
        <f t="array" ref="O881">+_xlfn.SWITCH(MONTH(C881),1,1,2,1,3,1,4,2,5,2,6,3,7,3,8,3,9,3,10,2,11,2,12,1,2)</f>
        <v>1</v>
      </c>
      <c r="P881" s="43"/>
      <c r="AS881" s="10"/>
      <c r="AT881" s="10"/>
      <c r="AU881" s="10"/>
      <c r="AV881" s="10"/>
      <c r="AW881" s="10"/>
      <c r="AX881" s="10"/>
      <c r="AY881" s="10"/>
      <c r="AZ881" s="10"/>
      <c r="BA881" s="10"/>
      <c r="BB881" s="10"/>
      <c r="BC881" s="10"/>
      <c r="BD881" s="10"/>
      <c r="BE881" s="10"/>
      <c r="BF881" s="10"/>
      <c r="BG881" s="10"/>
      <c r="BH881" s="10"/>
      <c r="BI881" s="10"/>
      <c r="BJ881" s="10"/>
      <c r="BK881" s="10"/>
      <c r="BL881" s="10"/>
      <c r="BM881" s="10"/>
      <c r="BN881" s="10"/>
      <c r="BO881" s="10"/>
      <c r="BP881" s="10"/>
      <c r="BQ881" s="10"/>
      <c r="BR881" s="10"/>
      <c r="BS881" s="10"/>
      <c r="BT881" s="10"/>
      <c r="BU881" s="10"/>
    </row>
    <row r="882" spans="1:73" ht="18" x14ac:dyDescent="0.35">
      <c r="A882" s="43"/>
      <c r="C882" s="393"/>
      <c r="E882" s="394"/>
      <c r="F882" s="394">
        <v>0.184</v>
      </c>
      <c r="G882" s="394"/>
      <c r="H882" s="8" t="s">
        <v>235</v>
      </c>
      <c r="I882" s="368">
        <f t="shared" si="40"/>
        <v>0</v>
      </c>
      <c r="J882" s="365">
        <f t="shared" si="39"/>
        <v>0</v>
      </c>
      <c r="K882" s="369">
        <f t="shared" si="41"/>
        <v>6</v>
      </c>
      <c r="L882" s="369">
        <f>+IF((C882&gt;='Resultats - informe'!$E$16)*(C882&lt;='Resultats - informe'!$G$16),1,0)</f>
        <v>1</v>
      </c>
      <c r="M882" s="369" cm="1">
        <f t="array" ref="M882">+_xlfn.IFS((C882&gt;='Resultats - informe'!$D$26)*(C882&lt;='Resultats - informe'!$E$26),0,(C882&gt;='Resultats - informe'!$D$27)*(C882&lt;='Resultats - informe'!$E$27),0,(C882&gt;='Resultats - informe'!$D$28)*(C882&lt;='Resultats - informe'!$E$28),0,(C882&gt;='Resultats - informe'!$D$29)*(C882&lt;='Resultats - informe'!$E$29),0,1,1)</f>
        <v>0</v>
      </c>
      <c r="N882" s="366">
        <f>+VLOOKUP(D882,'Resultats - informe'!$Y$18:$AG$42,'Introducció dades consum'!K882+1,0)</f>
        <v>0</v>
      </c>
      <c r="O882" s="370" cm="1">
        <f t="array" ref="O882">+_xlfn.SWITCH(MONTH(C882),1,1,2,1,3,1,4,2,5,2,6,3,7,3,8,3,9,3,10,2,11,2,12,1,2)</f>
        <v>1</v>
      </c>
      <c r="P882" s="43"/>
      <c r="AS882" s="10"/>
      <c r="AT882" s="10"/>
      <c r="AU882" s="10"/>
      <c r="AV882" s="10"/>
      <c r="AW882" s="10"/>
      <c r="AX882" s="10"/>
      <c r="AY882" s="10"/>
      <c r="AZ882" s="10"/>
      <c r="BA882" s="10"/>
      <c r="BB882" s="10"/>
      <c r="BC882" s="10"/>
      <c r="BD882" s="10"/>
      <c r="BE882" s="10"/>
      <c r="BF882" s="10"/>
      <c r="BG882" s="10"/>
      <c r="BH882" s="10"/>
      <c r="BI882" s="10"/>
      <c r="BJ882" s="10"/>
      <c r="BK882" s="10"/>
      <c r="BL882" s="10"/>
      <c r="BM882" s="10"/>
      <c r="BN882" s="10"/>
      <c r="BO882" s="10"/>
      <c r="BP882" s="10"/>
      <c r="BQ882" s="10"/>
      <c r="BR882" s="10"/>
      <c r="BS882" s="10"/>
      <c r="BT882" s="10"/>
      <c r="BU882" s="10"/>
    </row>
    <row r="883" spans="1:73" ht="18" x14ac:dyDescent="0.35">
      <c r="A883" s="43"/>
      <c r="C883" s="393"/>
      <c r="E883" s="394"/>
      <c r="F883" s="394">
        <v>0.03</v>
      </c>
      <c r="G883" s="394"/>
      <c r="H883" s="8" t="s">
        <v>235</v>
      </c>
      <c r="I883" s="368">
        <f t="shared" si="40"/>
        <v>0</v>
      </c>
      <c r="J883" s="365">
        <f t="shared" si="39"/>
        <v>0</v>
      </c>
      <c r="K883" s="369">
        <f t="shared" si="41"/>
        <v>6</v>
      </c>
      <c r="L883" s="369">
        <f>+IF((C883&gt;='Resultats - informe'!$E$16)*(C883&lt;='Resultats - informe'!$G$16),1,0)</f>
        <v>1</v>
      </c>
      <c r="M883" s="369" cm="1">
        <f t="array" ref="M883">+_xlfn.IFS((C883&gt;='Resultats - informe'!$D$26)*(C883&lt;='Resultats - informe'!$E$26),0,(C883&gt;='Resultats - informe'!$D$27)*(C883&lt;='Resultats - informe'!$E$27),0,(C883&gt;='Resultats - informe'!$D$28)*(C883&lt;='Resultats - informe'!$E$28),0,(C883&gt;='Resultats - informe'!$D$29)*(C883&lt;='Resultats - informe'!$E$29),0,1,1)</f>
        <v>0</v>
      </c>
      <c r="N883" s="366">
        <f>+VLOOKUP(D883,'Resultats - informe'!$Y$18:$AG$42,'Introducció dades consum'!K883+1,0)</f>
        <v>0</v>
      </c>
      <c r="O883" s="370" cm="1">
        <f t="array" ref="O883">+_xlfn.SWITCH(MONTH(C883),1,1,2,1,3,1,4,2,5,2,6,3,7,3,8,3,9,3,10,2,11,2,12,1,2)</f>
        <v>1</v>
      </c>
      <c r="P883" s="43"/>
      <c r="AS883" s="10"/>
      <c r="AT883" s="10"/>
      <c r="AU883" s="10"/>
      <c r="AV883" s="10"/>
      <c r="AW883" s="10"/>
      <c r="AX883" s="10"/>
      <c r="AY883" s="10"/>
      <c r="AZ883" s="10"/>
      <c r="BA883" s="10"/>
      <c r="BB883" s="10"/>
      <c r="BC883" s="10"/>
      <c r="BD883" s="10"/>
      <c r="BE883" s="10"/>
      <c r="BF883" s="10"/>
      <c r="BG883" s="10"/>
      <c r="BH883" s="10"/>
      <c r="BI883" s="10"/>
      <c r="BJ883" s="10"/>
      <c r="BK883" s="10"/>
      <c r="BL883" s="10"/>
      <c r="BM883" s="10"/>
      <c r="BN883" s="10"/>
      <c r="BO883" s="10"/>
      <c r="BP883" s="10"/>
      <c r="BQ883" s="10"/>
      <c r="BR883" s="10"/>
      <c r="BS883" s="10"/>
      <c r="BT883" s="10"/>
      <c r="BU883" s="10"/>
    </row>
    <row r="884" spans="1:73" ht="18" x14ac:dyDescent="0.35">
      <c r="A884" s="43"/>
      <c r="C884" s="393"/>
      <c r="E884" s="394"/>
      <c r="F884" s="394">
        <v>0.52</v>
      </c>
      <c r="G884" s="394"/>
      <c r="H884" s="8" t="s">
        <v>235</v>
      </c>
      <c r="I884" s="368">
        <f t="shared" si="40"/>
        <v>0</v>
      </c>
      <c r="J884" s="365">
        <f t="shared" si="39"/>
        <v>0</v>
      </c>
      <c r="K884" s="369">
        <f t="shared" si="41"/>
        <v>6</v>
      </c>
      <c r="L884" s="369">
        <f>+IF((C884&gt;='Resultats - informe'!$E$16)*(C884&lt;='Resultats - informe'!$G$16),1,0)</f>
        <v>1</v>
      </c>
      <c r="M884" s="369" cm="1">
        <f t="array" ref="M884">+_xlfn.IFS((C884&gt;='Resultats - informe'!$D$26)*(C884&lt;='Resultats - informe'!$E$26),0,(C884&gt;='Resultats - informe'!$D$27)*(C884&lt;='Resultats - informe'!$E$27),0,(C884&gt;='Resultats - informe'!$D$28)*(C884&lt;='Resultats - informe'!$E$28),0,(C884&gt;='Resultats - informe'!$D$29)*(C884&lt;='Resultats - informe'!$E$29),0,1,1)</f>
        <v>0</v>
      </c>
      <c r="N884" s="366">
        <f>+VLOOKUP(D884,'Resultats - informe'!$Y$18:$AG$42,'Introducció dades consum'!K884+1,0)</f>
        <v>0</v>
      </c>
      <c r="O884" s="370" cm="1">
        <f t="array" ref="O884">+_xlfn.SWITCH(MONTH(C884),1,1,2,1,3,1,4,2,5,2,6,3,7,3,8,3,9,3,10,2,11,2,12,1,2)</f>
        <v>1</v>
      </c>
      <c r="P884" s="43"/>
      <c r="AS884" s="10"/>
      <c r="AT884" s="10"/>
      <c r="AU884" s="10"/>
      <c r="AV884" s="10"/>
      <c r="AW884" s="10"/>
      <c r="AX884" s="10"/>
      <c r="AY884" s="10"/>
      <c r="AZ884" s="10"/>
      <c r="BA884" s="10"/>
      <c r="BB884" s="10"/>
      <c r="BC884" s="10"/>
      <c r="BD884" s="10"/>
      <c r="BE884" s="10"/>
      <c r="BF884" s="10"/>
      <c r="BG884" s="10"/>
      <c r="BH884" s="10"/>
      <c r="BI884" s="10"/>
      <c r="BJ884" s="10"/>
      <c r="BK884" s="10"/>
      <c r="BL884" s="10"/>
      <c r="BM884" s="10"/>
      <c r="BN884" s="10"/>
      <c r="BO884" s="10"/>
      <c r="BP884" s="10"/>
      <c r="BQ884" s="10"/>
      <c r="BR884" s="10"/>
      <c r="BS884" s="10"/>
      <c r="BT884" s="10"/>
      <c r="BU884" s="10"/>
    </row>
    <row r="885" spans="1:73" ht="18" x14ac:dyDescent="0.35">
      <c r="A885" s="43"/>
      <c r="C885" s="393"/>
      <c r="E885" s="394"/>
      <c r="F885" s="394">
        <v>0</v>
      </c>
      <c r="G885" s="394"/>
      <c r="H885" s="8" t="s">
        <v>235</v>
      </c>
      <c r="I885" s="368">
        <f t="shared" si="40"/>
        <v>0</v>
      </c>
      <c r="J885" s="365">
        <f t="shared" si="39"/>
        <v>0</v>
      </c>
      <c r="K885" s="369">
        <f t="shared" si="41"/>
        <v>6</v>
      </c>
      <c r="L885" s="369">
        <f>+IF((C885&gt;='Resultats - informe'!$E$16)*(C885&lt;='Resultats - informe'!$G$16),1,0)</f>
        <v>1</v>
      </c>
      <c r="M885" s="369" cm="1">
        <f t="array" ref="M885">+_xlfn.IFS((C885&gt;='Resultats - informe'!$D$26)*(C885&lt;='Resultats - informe'!$E$26),0,(C885&gt;='Resultats - informe'!$D$27)*(C885&lt;='Resultats - informe'!$E$27),0,(C885&gt;='Resultats - informe'!$D$28)*(C885&lt;='Resultats - informe'!$E$28),0,(C885&gt;='Resultats - informe'!$D$29)*(C885&lt;='Resultats - informe'!$E$29),0,1,1)</f>
        <v>0</v>
      </c>
      <c r="N885" s="366">
        <f>+VLOOKUP(D885,'Resultats - informe'!$Y$18:$AG$42,'Introducció dades consum'!K885+1,0)</f>
        <v>0</v>
      </c>
      <c r="O885" s="370" cm="1">
        <f t="array" ref="O885">+_xlfn.SWITCH(MONTH(C885),1,1,2,1,3,1,4,2,5,2,6,3,7,3,8,3,9,3,10,2,11,2,12,1,2)</f>
        <v>1</v>
      </c>
      <c r="P885" s="43"/>
      <c r="AS885" s="10"/>
      <c r="AT885" s="10"/>
      <c r="AU885" s="10"/>
      <c r="AV885" s="10"/>
      <c r="AW885" s="10"/>
      <c r="AX885" s="10"/>
      <c r="AY885" s="10"/>
      <c r="AZ885" s="10"/>
      <c r="BA885" s="10"/>
      <c r="BB885" s="10"/>
      <c r="BC885" s="10"/>
      <c r="BD885" s="10"/>
      <c r="BE885" s="10"/>
      <c r="BF885" s="10"/>
      <c r="BG885" s="10"/>
      <c r="BH885" s="10"/>
      <c r="BI885" s="10"/>
      <c r="BJ885" s="10"/>
      <c r="BK885" s="10"/>
      <c r="BL885" s="10"/>
      <c r="BM885" s="10"/>
      <c r="BN885" s="10"/>
      <c r="BO885" s="10"/>
      <c r="BP885" s="10"/>
      <c r="BQ885" s="10"/>
      <c r="BR885" s="10"/>
      <c r="BS885" s="10"/>
      <c r="BT885" s="10"/>
      <c r="BU885" s="10"/>
    </row>
    <row r="886" spans="1:73" ht="18" x14ac:dyDescent="0.35">
      <c r="A886" s="43"/>
      <c r="C886" s="393"/>
      <c r="E886" s="394"/>
      <c r="F886" s="394">
        <v>0</v>
      </c>
      <c r="G886" s="394"/>
      <c r="H886" s="8" t="s">
        <v>235</v>
      </c>
      <c r="I886" s="368">
        <f t="shared" si="40"/>
        <v>0</v>
      </c>
      <c r="J886" s="365">
        <f t="shared" si="39"/>
        <v>0</v>
      </c>
      <c r="K886" s="369">
        <f t="shared" si="41"/>
        <v>6</v>
      </c>
      <c r="L886" s="369">
        <f>+IF((C886&gt;='Resultats - informe'!$E$16)*(C886&lt;='Resultats - informe'!$G$16),1,0)</f>
        <v>1</v>
      </c>
      <c r="M886" s="369" cm="1">
        <f t="array" ref="M886">+_xlfn.IFS((C886&gt;='Resultats - informe'!$D$26)*(C886&lt;='Resultats - informe'!$E$26),0,(C886&gt;='Resultats - informe'!$D$27)*(C886&lt;='Resultats - informe'!$E$27),0,(C886&gt;='Resultats - informe'!$D$28)*(C886&lt;='Resultats - informe'!$E$28),0,(C886&gt;='Resultats - informe'!$D$29)*(C886&lt;='Resultats - informe'!$E$29),0,1,1)</f>
        <v>0</v>
      </c>
      <c r="N886" s="366">
        <f>+VLOOKUP(D886,'Resultats - informe'!$Y$18:$AG$42,'Introducció dades consum'!K886+1,0)</f>
        <v>0</v>
      </c>
      <c r="O886" s="370" cm="1">
        <f t="array" ref="O886">+_xlfn.SWITCH(MONTH(C886),1,1,2,1,3,1,4,2,5,2,6,3,7,3,8,3,9,3,10,2,11,2,12,1,2)</f>
        <v>1</v>
      </c>
      <c r="P886" s="43"/>
      <c r="AS886" s="10"/>
      <c r="AT886" s="10"/>
      <c r="AU886" s="10"/>
      <c r="AV886" s="10"/>
      <c r="AW886" s="10"/>
      <c r="AX886" s="10"/>
      <c r="AY886" s="10"/>
      <c r="AZ886" s="10"/>
      <c r="BA886" s="10"/>
      <c r="BB886" s="10"/>
      <c r="BC886" s="10"/>
      <c r="BD886" s="10"/>
      <c r="BE886" s="10"/>
      <c r="BF886" s="10"/>
      <c r="BG886" s="10"/>
      <c r="BH886" s="10"/>
      <c r="BI886" s="10"/>
      <c r="BJ886" s="10"/>
      <c r="BK886" s="10"/>
      <c r="BL886" s="10"/>
      <c r="BM886" s="10"/>
      <c r="BN886" s="10"/>
      <c r="BO886" s="10"/>
      <c r="BP886" s="10"/>
      <c r="BQ886" s="10"/>
      <c r="BR886" s="10"/>
      <c r="BS886" s="10"/>
      <c r="BT886" s="10"/>
      <c r="BU886" s="10"/>
    </row>
    <row r="887" spans="1:73" ht="18" x14ac:dyDescent="0.35">
      <c r="A887" s="43"/>
      <c r="C887" s="393"/>
      <c r="E887" s="394"/>
      <c r="F887" s="394">
        <v>0</v>
      </c>
      <c r="G887" s="394"/>
      <c r="H887" s="8" t="s">
        <v>235</v>
      </c>
      <c r="I887" s="368">
        <f t="shared" si="40"/>
        <v>0</v>
      </c>
      <c r="J887" s="365">
        <f t="shared" si="39"/>
        <v>0</v>
      </c>
      <c r="K887" s="369">
        <f t="shared" si="41"/>
        <v>6</v>
      </c>
      <c r="L887" s="369">
        <f>+IF((C887&gt;='Resultats - informe'!$E$16)*(C887&lt;='Resultats - informe'!$G$16),1,0)</f>
        <v>1</v>
      </c>
      <c r="M887" s="369" cm="1">
        <f t="array" ref="M887">+_xlfn.IFS((C887&gt;='Resultats - informe'!$D$26)*(C887&lt;='Resultats - informe'!$E$26),0,(C887&gt;='Resultats - informe'!$D$27)*(C887&lt;='Resultats - informe'!$E$27),0,(C887&gt;='Resultats - informe'!$D$28)*(C887&lt;='Resultats - informe'!$E$28),0,(C887&gt;='Resultats - informe'!$D$29)*(C887&lt;='Resultats - informe'!$E$29),0,1,1)</f>
        <v>0</v>
      </c>
      <c r="N887" s="366">
        <f>+VLOOKUP(D887,'Resultats - informe'!$Y$18:$AG$42,'Introducció dades consum'!K887+1,0)</f>
        <v>0</v>
      </c>
      <c r="O887" s="370" cm="1">
        <f t="array" ref="O887">+_xlfn.SWITCH(MONTH(C887),1,1,2,1,3,1,4,2,5,2,6,3,7,3,8,3,9,3,10,2,11,2,12,1,2)</f>
        <v>1</v>
      </c>
      <c r="P887" s="43"/>
      <c r="AS887" s="10"/>
      <c r="AT887" s="10"/>
      <c r="AU887" s="10"/>
      <c r="AV887" s="10"/>
      <c r="AW887" s="10"/>
      <c r="AX887" s="10"/>
      <c r="AY887" s="10"/>
      <c r="AZ887" s="10"/>
      <c r="BA887" s="10"/>
      <c r="BB887" s="10"/>
      <c r="BC887" s="10"/>
      <c r="BD887" s="10"/>
      <c r="BE887" s="10"/>
      <c r="BF887" s="10"/>
      <c r="BG887" s="10"/>
      <c r="BH887" s="10"/>
      <c r="BI887" s="10"/>
      <c r="BJ887" s="10"/>
      <c r="BK887" s="10"/>
      <c r="BL887" s="10"/>
      <c r="BM887" s="10"/>
      <c r="BN887" s="10"/>
      <c r="BO887" s="10"/>
      <c r="BP887" s="10"/>
      <c r="BQ887" s="10"/>
      <c r="BR887" s="10"/>
      <c r="BS887" s="10"/>
      <c r="BT887" s="10"/>
      <c r="BU887" s="10"/>
    </row>
    <row r="888" spans="1:73" ht="18" x14ac:dyDescent="0.35">
      <c r="A888" s="43"/>
      <c r="C888" s="393"/>
      <c r="E888" s="394"/>
      <c r="F888" s="394">
        <v>0</v>
      </c>
      <c r="G888" s="394"/>
      <c r="H888" s="8" t="s">
        <v>235</v>
      </c>
      <c r="I888" s="368">
        <f t="shared" si="40"/>
        <v>0</v>
      </c>
      <c r="J888" s="365">
        <f t="shared" si="39"/>
        <v>0</v>
      </c>
      <c r="K888" s="369">
        <f t="shared" si="41"/>
        <v>6</v>
      </c>
      <c r="L888" s="369">
        <f>+IF((C888&gt;='Resultats - informe'!$E$16)*(C888&lt;='Resultats - informe'!$G$16),1,0)</f>
        <v>1</v>
      </c>
      <c r="M888" s="369" cm="1">
        <f t="array" ref="M888">+_xlfn.IFS((C888&gt;='Resultats - informe'!$D$26)*(C888&lt;='Resultats - informe'!$E$26),0,(C888&gt;='Resultats - informe'!$D$27)*(C888&lt;='Resultats - informe'!$E$27),0,(C888&gt;='Resultats - informe'!$D$28)*(C888&lt;='Resultats - informe'!$E$28),0,(C888&gt;='Resultats - informe'!$D$29)*(C888&lt;='Resultats - informe'!$E$29),0,1,1)</f>
        <v>0</v>
      </c>
      <c r="N888" s="366">
        <f>+VLOOKUP(D888,'Resultats - informe'!$Y$18:$AG$42,'Introducció dades consum'!K888+1,0)</f>
        <v>0</v>
      </c>
      <c r="O888" s="370" cm="1">
        <f t="array" ref="O888">+_xlfn.SWITCH(MONTH(C888),1,1,2,1,3,1,4,2,5,2,6,3,7,3,8,3,9,3,10,2,11,2,12,1,2)</f>
        <v>1</v>
      </c>
      <c r="P888" s="43"/>
      <c r="AS888" s="10"/>
      <c r="AT888" s="10"/>
      <c r="AU888" s="10"/>
      <c r="AV888" s="10"/>
      <c r="AW888" s="10"/>
      <c r="AX888" s="10"/>
      <c r="AY888" s="10"/>
      <c r="AZ888" s="10"/>
      <c r="BA888" s="10"/>
      <c r="BB888" s="10"/>
      <c r="BC888" s="10"/>
      <c r="BD888" s="10"/>
      <c r="BE888" s="10"/>
      <c r="BF888" s="10"/>
      <c r="BG888" s="10"/>
      <c r="BH888" s="10"/>
      <c r="BI888" s="10"/>
      <c r="BJ888" s="10"/>
      <c r="BK888" s="10"/>
      <c r="BL888" s="10"/>
      <c r="BM888" s="10"/>
      <c r="BN888" s="10"/>
      <c r="BO888" s="10"/>
      <c r="BP888" s="10"/>
      <c r="BQ888" s="10"/>
      <c r="BR888" s="10"/>
      <c r="BS888" s="10"/>
      <c r="BT888" s="10"/>
      <c r="BU888" s="10"/>
    </row>
    <row r="889" spans="1:73" ht="18" x14ac:dyDescent="0.35">
      <c r="A889" s="43"/>
      <c r="C889" s="393"/>
      <c r="E889" s="394"/>
      <c r="F889" s="394">
        <v>0</v>
      </c>
      <c r="G889" s="394"/>
      <c r="H889" s="8" t="s">
        <v>235</v>
      </c>
      <c r="I889" s="368">
        <f t="shared" si="40"/>
        <v>0</v>
      </c>
      <c r="J889" s="365">
        <f t="shared" si="39"/>
        <v>0</v>
      </c>
      <c r="K889" s="369">
        <f t="shared" si="41"/>
        <v>6</v>
      </c>
      <c r="L889" s="369">
        <f>+IF((C889&gt;='Resultats - informe'!$E$16)*(C889&lt;='Resultats - informe'!$G$16),1,0)</f>
        <v>1</v>
      </c>
      <c r="M889" s="369" cm="1">
        <f t="array" ref="M889">+_xlfn.IFS((C889&gt;='Resultats - informe'!$D$26)*(C889&lt;='Resultats - informe'!$E$26),0,(C889&gt;='Resultats - informe'!$D$27)*(C889&lt;='Resultats - informe'!$E$27),0,(C889&gt;='Resultats - informe'!$D$28)*(C889&lt;='Resultats - informe'!$E$28),0,(C889&gt;='Resultats - informe'!$D$29)*(C889&lt;='Resultats - informe'!$E$29),0,1,1)</f>
        <v>0</v>
      </c>
      <c r="N889" s="366">
        <f>+VLOOKUP(D889,'Resultats - informe'!$Y$18:$AG$42,'Introducció dades consum'!K889+1,0)</f>
        <v>0</v>
      </c>
      <c r="O889" s="370" cm="1">
        <f t="array" ref="O889">+_xlfn.SWITCH(MONTH(C889),1,1,2,1,3,1,4,2,5,2,6,3,7,3,8,3,9,3,10,2,11,2,12,1,2)</f>
        <v>1</v>
      </c>
      <c r="P889" s="43"/>
      <c r="AS889" s="10"/>
      <c r="AT889" s="10"/>
      <c r="AU889" s="10"/>
      <c r="AV889" s="10"/>
      <c r="AW889" s="10"/>
      <c r="AX889" s="10"/>
      <c r="AY889" s="10"/>
      <c r="AZ889" s="10"/>
      <c r="BA889" s="10"/>
      <c r="BB889" s="10"/>
      <c r="BC889" s="10"/>
      <c r="BD889" s="10"/>
      <c r="BE889" s="10"/>
      <c r="BF889" s="10"/>
      <c r="BG889" s="10"/>
      <c r="BH889" s="10"/>
      <c r="BI889" s="10"/>
      <c r="BJ889" s="10"/>
      <c r="BK889" s="10"/>
      <c r="BL889" s="10"/>
      <c r="BM889" s="10"/>
      <c r="BN889" s="10"/>
      <c r="BO889" s="10"/>
      <c r="BP889" s="10"/>
      <c r="BQ889" s="10"/>
      <c r="BR889" s="10"/>
      <c r="BS889" s="10"/>
      <c r="BT889" s="10"/>
      <c r="BU889" s="10"/>
    </row>
    <row r="890" spans="1:73" ht="18" x14ac:dyDescent="0.35">
      <c r="A890" s="43"/>
      <c r="C890" s="393"/>
      <c r="E890" s="394"/>
      <c r="F890" s="394">
        <v>0</v>
      </c>
      <c r="G890" s="394"/>
      <c r="H890" s="8" t="s">
        <v>235</v>
      </c>
      <c r="I890" s="368">
        <f t="shared" si="40"/>
        <v>0</v>
      </c>
      <c r="J890" s="365">
        <f t="shared" si="39"/>
        <v>0</v>
      </c>
      <c r="K890" s="369">
        <f t="shared" si="41"/>
        <v>6</v>
      </c>
      <c r="L890" s="369">
        <f>+IF((C890&gt;='Resultats - informe'!$E$16)*(C890&lt;='Resultats - informe'!$G$16),1,0)</f>
        <v>1</v>
      </c>
      <c r="M890" s="369" cm="1">
        <f t="array" ref="M890">+_xlfn.IFS((C890&gt;='Resultats - informe'!$D$26)*(C890&lt;='Resultats - informe'!$E$26),0,(C890&gt;='Resultats - informe'!$D$27)*(C890&lt;='Resultats - informe'!$E$27),0,(C890&gt;='Resultats - informe'!$D$28)*(C890&lt;='Resultats - informe'!$E$28),0,(C890&gt;='Resultats - informe'!$D$29)*(C890&lt;='Resultats - informe'!$E$29),0,1,1)</f>
        <v>0</v>
      </c>
      <c r="N890" s="366">
        <f>+VLOOKUP(D890,'Resultats - informe'!$Y$18:$AG$42,'Introducció dades consum'!K890+1,0)</f>
        <v>0</v>
      </c>
      <c r="O890" s="370" cm="1">
        <f t="array" ref="O890">+_xlfn.SWITCH(MONTH(C890),1,1,2,1,3,1,4,2,5,2,6,3,7,3,8,3,9,3,10,2,11,2,12,1,2)</f>
        <v>1</v>
      </c>
      <c r="P890" s="43"/>
      <c r="AS890" s="10"/>
      <c r="AT890" s="10"/>
      <c r="AU890" s="10"/>
      <c r="AV890" s="10"/>
      <c r="AW890" s="10"/>
      <c r="AX890" s="10"/>
      <c r="AY890" s="10"/>
      <c r="AZ890" s="10"/>
      <c r="BA890" s="10"/>
      <c r="BB890" s="10"/>
      <c r="BC890" s="10"/>
      <c r="BD890" s="10"/>
      <c r="BE890" s="10"/>
      <c r="BF890" s="10"/>
      <c r="BG890" s="10"/>
      <c r="BH890" s="10"/>
      <c r="BI890" s="10"/>
      <c r="BJ890" s="10"/>
      <c r="BK890" s="10"/>
      <c r="BL890" s="10"/>
      <c r="BM890" s="10"/>
      <c r="BN890" s="10"/>
      <c r="BO890" s="10"/>
      <c r="BP890" s="10"/>
      <c r="BQ890" s="10"/>
      <c r="BR890" s="10"/>
      <c r="BS890" s="10"/>
      <c r="BT890" s="10"/>
      <c r="BU890" s="10"/>
    </row>
    <row r="891" spans="1:73" ht="18" x14ac:dyDescent="0.35">
      <c r="A891" s="43"/>
      <c r="C891" s="393"/>
      <c r="E891" s="394"/>
      <c r="F891" s="394">
        <v>0</v>
      </c>
      <c r="G891" s="394"/>
      <c r="H891" s="8" t="s">
        <v>235</v>
      </c>
      <c r="I891" s="368">
        <f t="shared" si="40"/>
        <v>0</v>
      </c>
      <c r="J891" s="365">
        <f t="shared" ref="J891:J954" si="42">+C891</f>
        <v>0</v>
      </c>
      <c r="K891" s="369">
        <f t="shared" si="41"/>
        <v>6</v>
      </c>
      <c r="L891" s="369">
        <f>+IF((C891&gt;='Resultats - informe'!$E$16)*(C891&lt;='Resultats - informe'!$G$16),1,0)</f>
        <v>1</v>
      </c>
      <c r="M891" s="369" cm="1">
        <f t="array" ref="M891">+_xlfn.IFS((C891&gt;='Resultats - informe'!$D$26)*(C891&lt;='Resultats - informe'!$E$26),0,(C891&gt;='Resultats - informe'!$D$27)*(C891&lt;='Resultats - informe'!$E$27),0,(C891&gt;='Resultats - informe'!$D$28)*(C891&lt;='Resultats - informe'!$E$28),0,(C891&gt;='Resultats - informe'!$D$29)*(C891&lt;='Resultats - informe'!$E$29),0,1,1)</f>
        <v>0</v>
      </c>
      <c r="N891" s="366">
        <f>+VLOOKUP(D891,'Resultats - informe'!$Y$18:$AG$42,'Introducció dades consum'!K891+1,0)</f>
        <v>0</v>
      </c>
      <c r="O891" s="370" cm="1">
        <f t="array" ref="O891">+_xlfn.SWITCH(MONTH(C891),1,1,2,1,3,1,4,2,5,2,6,3,7,3,8,3,9,3,10,2,11,2,12,1,2)</f>
        <v>1</v>
      </c>
      <c r="P891" s="43"/>
      <c r="AS891" s="10"/>
      <c r="AT891" s="10"/>
      <c r="AU891" s="10"/>
      <c r="AV891" s="10"/>
      <c r="AW891" s="10"/>
      <c r="AX891" s="10"/>
      <c r="AY891" s="10"/>
      <c r="AZ891" s="10"/>
      <c r="BA891" s="10"/>
      <c r="BB891" s="10"/>
      <c r="BC891" s="10"/>
      <c r="BD891" s="10"/>
      <c r="BE891" s="10"/>
      <c r="BF891" s="10"/>
      <c r="BG891" s="10"/>
      <c r="BH891" s="10"/>
      <c r="BI891" s="10"/>
      <c r="BJ891" s="10"/>
      <c r="BK891" s="10"/>
      <c r="BL891" s="10"/>
      <c r="BM891" s="10"/>
      <c r="BN891" s="10"/>
      <c r="BO891" s="10"/>
      <c r="BP891" s="10"/>
      <c r="BQ891" s="10"/>
      <c r="BR891" s="10"/>
      <c r="BS891" s="10"/>
      <c r="BT891" s="10"/>
      <c r="BU891" s="10"/>
    </row>
    <row r="892" spans="1:73" ht="18" x14ac:dyDescent="0.35">
      <c r="A892" s="43"/>
      <c r="C892" s="393"/>
      <c r="E892" s="394"/>
      <c r="F892" s="394">
        <v>0</v>
      </c>
      <c r="G892" s="394"/>
      <c r="H892" s="8" t="s">
        <v>235</v>
      </c>
      <c r="I892" s="368">
        <f t="shared" si="40"/>
        <v>0</v>
      </c>
      <c r="J892" s="365">
        <f t="shared" si="42"/>
        <v>0</v>
      </c>
      <c r="K892" s="369">
        <f t="shared" si="41"/>
        <v>6</v>
      </c>
      <c r="L892" s="369">
        <f>+IF((C892&gt;='Resultats - informe'!$E$16)*(C892&lt;='Resultats - informe'!$G$16),1,0)</f>
        <v>1</v>
      </c>
      <c r="M892" s="369" cm="1">
        <f t="array" ref="M892">+_xlfn.IFS((C892&gt;='Resultats - informe'!$D$26)*(C892&lt;='Resultats - informe'!$E$26),0,(C892&gt;='Resultats - informe'!$D$27)*(C892&lt;='Resultats - informe'!$E$27),0,(C892&gt;='Resultats - informe'!$D$28)*(C892&lt;='Resultats - informe'!$E$28),0,(C892&gt;='Resultats - informe'!$D$29)*(C892&lt;='Resultats - informe'!$E$29),0,1,1)</f>
        <v>0</v>
      </c>
      <c r="N892" s="366">
        <f>+VLOOKUP(D892,'Resultats - informe'!$Y$18:$AG$42,'Introducció dades consum'!K892+1,0)</f>
        <v>0</v>
      </c>
      <c r="O892" s="370" cm="1">
        <f t="array" ref="O892">+_xlfn.SWITCH(MONTH(C892),1,1,2,1,3,1,4,2,5,2,6,3,7,3,8,3,9,3,10,2,11,2,12,1,2)</f>
        <v>1</v>
      </c>
      <c r="P892" s="43"/>
      <c r="AS892" s="10"/>
      <c r="AT892" s="10"/>
      <c r="AU892" s="10"/>
      <c r="AV892" s="10"/>
      <c r="AW892" s="10"/>
      <c r="AX892" s="10"/>
      <c r="AY892" s="10"/>
      <c r="AZ892" s="10"/>
      <c r="BA892" s="10"/>
      <c r="BB892" s="10"/>
      <c r="BC892" s="10"/>
      <c r="BD892" s="10"/>
      <c r="BE892" s="10"/>
      <c r="BF892" s="10"/>
      <c r="BG892" s="10"/>
      <c r="BH892" s="10"/>
      <c r="BI892" s="10"/>
      <c r="BJ892" s="10"/>
      <c r="BK892" s="10"/>
      <c r="BL892" s="10"/>
      <c r="BM892" s="10"/>
      <c r="BN892" s="10"/>
      <c r="BO892" s="10"/>
      <c r="BP892" s="10"/>
      <c r="BQ892" s="10"/>
      <c r="BR892" s="10"/>
      <c r="BS892" s="10"/>
      <c r="BT892" s="10"/>
      <c r="BU892" s="10"/>
    </row>
    <row r="893" spans="1:73" ht="18" x14ac:dyDescent="0.35">
      <c r="A893" s="43"/>
      <c r="C893" s="393"/>
      <c r="E893" s="394"/>
      <c r="F893" s="394">
        <v>0</v>
      </c>
      <c r="G893" s="394"/>
      <c r="H893" s="8" t="s">
        <v>235</v>
      </c>
      <c r="I893" s="368">
        <f t="shared" si="40"/>
        <v>0</v>
      </c>
      <c r="J893" s="365">
        <f t="shared" si="42"/>
        <v>0</v>
      </c>
      <c r="K893" s="369">
        <f t="shared" si="41"/>
        <v>6</v>
      </c>
      <c r="L893" s="369">
        <f>+IF((C893&gt;='Resultats - informe'!$E$16)*(C893&lt;='Resultats - informe'!$G$16),1,0)</f>
        <v>1</v>
      </c>
      <c r="M893" s="369" cm="1">
        <f t="array" ref="M893">+_xlfn.IFS((C893&gt;='Resultats - informe'!$D$26)*(C893&lt;='Resultats - informe'!$E$26),0,(C893&gt;='Resultats - informe'!$D$27)*(C893&lt;='Resultats - informe'!$E$27),0,(C893&gt;='Resultats - informe'!$D$28)*(C893&lt;='Resultats - informe'!$E$28),0,(C893&gt;='Resultats - informe'!$D$29)*(C893&lt;='Resultats - informe'!$E$29),0,1,1)</f>
        <v>0</v>
      </c>
      <c r="N893" s="366">
        <f>+VLOOKUP(D893,'Resultats - informe'!$Y$18:$AG$42,'Introducció dades consum'!K893+1,0)</f>
        <v>0</v>
      </c>
      <c r="O893" s="370" cm="1">
        <f t="array" ref="O893">+_xlfn.SWITCH(MONTH(C893),1,1,2,1,3,1,4,2,5,2,6,3,7,3,8,3,9,3,10,2,11,2,12,1,2)</f>
        <v>1</v>
      </c>
      <c r="P893" s="43"/>
      <c r="AS893" s="10"/>
      <c r="AT893" s="10"/>
      <c r="AU893" s="10"/>
      <c r="AV893" s="10"/>
      <c r="AW893" s="10"/>
      <c r="AX893" s="10"/>
      <c r="AY893" s="10"/>
      <c r="AZ893" s="10"/>
      <c r="BA893" s="10"/>
      <c r="BB893" s="10"/>
      <c r="BC893" s="10"/>
      <c r="BD893" s="10"/>
      <c r="BE893" s="10"/>
      <c r="BF893" s="10"/>
      <c r="BG893" s="10"/>
      <c r="BH893" s="10"/>
      <c r="BI893" s="10"/>
      <c r="BJ893" s="10"/>
      <c r="BK893" s="10"/>
      <c r="BL893" s="10"/>
      <c r="BM893" s="10"/>
      <c r="BN893" s="10"/>
      <c r="BO893" s="10"/>
      <c r="BP893" s="10"/>
      <c r="BQ893" s="10"/>
      <c r="BR893" s="10"/>
      <c r="BS893" s="10"/>
      <c r="BT893" s="10"/>
      <c r="BU893" s="10"/>
    </row>
    <row r="894" spans="1:73" ht="18" x14ac:dyDescent="0.35">
      <c r="A894" s="43"/>
      <c r="C894" s="393"/>
      <c r="E894" s="394"/>
      <c r="F894" s="394">
        <v>0</v>
      </c>
      <c r="G894" s="394"/>
      <c r="H894" s="8" t="s">
        <v>235</v>
      </c>
      <c r="I894" s="368">
        <f t="shared" si="40"/>
        <v>0</v>
      </c>
      <c r="J894" s="365">
        <f t="shared" si="42"/>
        <v>0</v>
      </c>
      <c r="K894" s="369">
        <f t="shared" si="41"/>
        <v>6</v>
      </c>
      <c r="L894" s="369">
        <f>+IF((C894&gt;='Resultats - informe'!$E$16)*(C894&lt;='Resultats - informe'!$G$16),1,0)</f>
        <v>1</v>
      </c>
      <c r="M894" s="369" cm="1">
        <f t="array" ref="M894">+_xlfn.IFS((C894&gt;='Resultats - informe'!$D$26)*(C894&lt;='Resultats - informe'!$E$26),0,(C894&gt;='Resultats - informe'!$D$27)*(C894&lt;='Resultats - informe'!$E$27),0,(C894&gt;='Resultats - informe'!$D$28)*(C894&lt;='Resultats - informe'!$E$28),0,(C894&gt;='Resultats - informe'!$D$29)*(C894&lt;='Resultats - informe'!$E$29),0,1,1)</f>
        <v>0</v>
      </c>
      <c r="N894" s="366">
        <f>+VLOOKUP(D894,'Resultats - informe'!$Y$18:$AG$42,'Introducció dades consum'!K894+1,0)</f>
        <v>0</v>
      </c>
      <c r="O894" s="370" cm="1">
        <f t="array" ref="O894">+_xlfn.SWITCH(MONTH(C894),1,1,2,1,3,1,4,2,5,2,6,3,7,3,8,3,9,3,10,2,11,2,12,1,2)</f>
        <v>1</v>
      </c>
      <c r="P894" s="43"/>
      <c r="AS894" s="10"/>
      <c r="AT894" s="10"/>
      <c r="AU894" s="10"/>
      <c r="AV894" s="10"/>
      <c r="AW894" s="10"/>
      <c r="AX894" s="10"/>
      <c r="AY894" s="10"/>
      <c r="AZ894" s="10"/>
      <c r="BA894" s="10"/>
      <c r="BB894" s="10"/>
      <c r="BC894" s="10"/>
      <c r="BD894" s="10"/>
      <c r="BE894" s="10"/>
      <c r="BF894" s="10"/>
      <c r="BG894" s="10"/>
      <c r="BH894" s="10"/>
      <c r="BI894" s="10"/>
      <c r="BJ894" s="10"/>
      <c r="BK894" s="10"/>
      <c r="BL894" s="10"/>
      <c r="BM894" s="10"/>
      <c r="BN894" s="10"/>
      <c r="BO894" s="10"/>
      <c r="BP894" s="10"/>
      <c r="BQ894" s="10"/>
      <c r="BR894" s="10"/>
      <c r="BS894" s="10"/>
      <c r="BT894" s="10"/>
      <c r="BU894" s="10"/>
    </row>
    <row r="895" spans="1:73" ht="18" x14ac:dyDescent="0.35">
      <c r="A895" s="43"/>
      <c r="C895" s="393"/>
      <c r="E895" s="394"/>
      <c r="F895" s="394">
        <v>0</v>
      </c>
      <c r="G895" s="394"/>
      <c r="H895" s="8" t="s">
        <v>235</v>
      </c>
      <c r="I895" s="368">
        <f t="shared" si="40"/>
        <v>0</v>
      </c>
      <c r="J895" s="365">
        <f t="shared" si="42"/>
        <v>0</v>
      </c>
      <c r="K895" s="369">
        <f t="shared" si="41"/>
        <v>6</v>
      </c>
      <c r="L895" s="369">
        <f>+IF((C895&gt;='Resultats - informe'!$E$16)*(C895&lt;='Resultats - informe'!$G$16),1,0)</f>
        <v>1</v>
      </c>
      <c r="M895" s="369" cm="1">
        <f t="array" ref="M895">+_xlfn.IFS((C895&gt;='Resultats - informe'!$D$26)*(C895&lt;='Resultats - informe'!$E$26),0,(C895&gt;='Resultats - informe'!$D$27)*(C895&lt;='Resultats - informe'!$E$27),0,(C895&gt;='Resultats - informe'!$D$28)*(C895&lt;='Resultats - informe'!$E$28),0,(C895&gt;='Resultats - informe'!$D$29)*(C895&lt;='Resultats - informe'!$E$29),0,1,1)</f>
        <v>0</v>
      </c>
      <c r="N895" s="366">
        <f>+VLOOKUP(D895,'Resultats - informe'!$Y$18:$AG$42,'Introducció dades consum'!K895+1,0)</f>
        <v>0</v>
      </c>
      <c r="O895" s="370" cm="1">
        <f t="array" ref="O895">+_xlfn.SWITCH(MONTH(C895),1,1,2,1,3,1,4,2,5,2,6,3,7,3,8,3,9,3,10,2,11,2,12,1,2)</f>
        <v>1</v>
      </c>
      <c r="P895" s="43"/>
      <c r="AS895" s="10"/>
      <c r="AT895" s="10"/>
      <c r="AU895" s="10"/>
      <c r="AV895" s="10"/>
      <c r="AW895" s="10"/>
      <c r="AX895" s="10"/>
      <c r="AY895" s="10"/>
      <c r="AZ895" s="10"/>
      <c r="BA895" s="10"/>
      <c r="BB895" s="10"/>
      <c r="BC895" s="10"/>
      <c r="BD895" s="10"/>
      <c r="BE895" s="10"/>
      <c r="BF895" s="10"/>
      <c r="BG895" s="10"/>
      <c r="BH895" s="10"/>
      <c r="BI895" s="10"/>
      <c r="BJ895" s="10"/>
      <c r="BK895" s="10"/>
      <c r="BL895" s="10"/>
      <c r="BM895" s="10"/>
      <c r="BN895" s="10"/>
      <c r="BO895" s="10"/>
      <c r="BP895" s="10"/>
      <c r="BQ895" s="10"/>
      <c r="BR895" s="10"/>
      <c r="BS895" s="10"/>
      <c r="BT895" s="10"/>
      <c r="BU895" s="10"/>
    </row>
    <row r="896" spans="1:73" ht="18" x14ac:dyDescent="0.35">
      <c r="A896" s="43"/>
      <c r="C896" s="393"/>
      <c r="E896" s="394"/>
      <c r="F896" s="394">
        <v>0</v>
      </c>
      <c r="G896" s="394"/>
      <c r="H896" s="8" t="s">
        <v>235</v>
      </c>
      <c r="I896" s="368">
        <f t="shared" si="40"/>
        <v>0</v>
      </c>
      <c r="J896" s="365">
        <f t="shared" si="42"/>
        <v>0</v>
      </c>
      <c r="K896" s="369">
        <f t="shared" si="41"/>
        <v>6</v>
      </c>
      <c r="L896" s="369">
        <f>+IF((C896&gt;='Resultats - informe'!$E$16)*(C896&lt;='Resultats - informe'!$G$16),1,0)</f>
        <v>1</v>
      </c>
      <c r="M896" s="369" cm="1">
        <f t="array" ref="M896">+_xlfn.IFS((C896&gt;='Resultats - informe'!$D$26)*(C896&lt;='Resultats - informe'!$E$26),0,(C896&gt;='Resultats - informe'!$D$27)*(C896&lt;='Resultats - informe'!$E$27),0,(C896&gt;='Resultats - informe'!$D$28)*(C896&lt;='Resultats - informe'!$E$28),0,(C896&gt;='Resultats - informe'!$D$29)*(C896&lt;='Resultats - informe'!$E$29),0,1,1)</f>
        <v>0</v>
      </c>
      <c r="N896" s="366">
        <f>+VLOOKUP(D896,'Resultats - informe'!$Y$18:$AG$42,'Introducció dades consum'!K896+1,0)</f>
        <v>0</v>
      </c>
      <c r="O896" s="370" cm="1">
        <f t="array" ref="O896">+_xlfn.SWITCH(MONTH(C896),1,1,2,1,3,1,4,2,5,2,6,3,7,3,8,3,9,3,10,2,11,2,12,1,2)</f>
        <v>1</v>
      </c>
      <c r="P896" s="43"/>
      <c r="AS896" s="10"/>
      <c r="AT896" s="10"/>
      <c r="AU896" s="10"/>
      <c r="AV896" s="10"/>
      <c r="AW896" s="10"/>
      <c r="AX896" s="10"/>
      <c r="AY896" s="10"/>
      <c r="AZ896" s="10"/>
      <c r="BA896" s="10"/>
      <c r="BB896" s="10"/>
      <c r="BC896" s="10"/>
      <c r="BD896" s="10"/>
      <c r="BE896" s="10"/>
      <c r="BF896" s="10"/>
      <c r="BG896" s="10"/>
      <c r="BH896" s="10"/>
      <c r="BI896" s="10"/>
      <c r="BJ896" s="10"/>
      <c r="BK896" s="10"/>
      <c r="BL896" s="10"/>
      <c r="BM896" s="10"/>
      <c r="BN896" s="10"/>
      <c r="BO896" s="10"/>
      <c r="BP896" s="10"/>
      <c r="BQ896" s="10"/>
      <c r="BR896" s="10"/>
      <c r="BS896" s="10"/>
      <c r="BT896" s="10"/>
      <c r="BU896" s="10"/>
    </row>
    <row r="897" spans="1:73" ht="18" x14ac:dyDescent="0.35">
      <c r="A897" s="43"/>
      <c r="C897" s="393"/>
      <c r="E897" s="394"/>
      <c r="F897" s="394">
        <v>0</v>
      </c>
      <c r="G897" s="394"/>
      <c r="H897" s="8" t="s">
        <v>235</v>
      </c>
      <c r="I897" s="368">
        <f t="shared" si="40"/>
        <v>0</v>
      </c>
      <c r="J897" s="365">
        <f t="shared" si="42"/>
        <v>0</v>
      </c>
      <c r="K897" s="369">
        <f t="shared" si="41"/>
        <v>6</v>
      </c>
      <c r="L897" s="369">
        <f>+IF((C897&gt;='Resultats - informe'!$E$16)*(C897&lt;='Resultats - informe'!$G$16),1,0)</f>
        <v>1</v>
      </c>
      <c r="M897" s="369" cm="1">
        <f t="array" ref="M897">+_xlfn.IFS((C897&gt;='Resultats - informe'!$D$26)*(C897&lt;='Resultats - informe'!$E$26),0,(C897&gt;='Resultats - informe'!$D$27)*(C897&lt;='Resultats - informe'!$E$27),0,(C897&gt;='Resultats - informe'!$D$28)*(C897&lt;='Resultats - informe'!$E$28),0,(C897&gt;='Resultats - informe'!$D$29)*(C897&lt;='Resultats - informe'!$E$29),0,1,1)</f>
        <v>0</v>
      </c>
      <c r="N897" s="366">
        <f>+VLOOKUP(D897,'Resultats - informe'!$Y$18:$AG$42,'Introducció dades consum'!K897+1,0)</f>
        <v>0</v>
      </c>
      <c r="O897" s="370" cm="1">
        <f t="array" ref="O897">+_xlfn.SWITCH(MONTH(C897),1,1,2,1,3,1,4,2,5,2,6,3,7,3,8,3,9,3,10,2,11,2,12,1,2)</f>
        <v>1</v>
      </c>
      <c r="P897" s="43"/>
      <c r="AS897" s="10"/>
      <c r="AT897" s="10"/>
      <c r="AU897" s="10"/>
      <c r="AV897" s="10"/>
      <c r="AW897" s="10"/>
      <c r="AX897" s="10"/>
      <c r="AY897" s="10"/>
      <c r="AZ897" s="10"/>
      <c r="BA897" s="10"/>
      <c r="BB897" s="10"/>
      <c r="BC897" s="10"/>
      <c r="BD897" s="10"/>
      <c r="BE897" s="10"/>
      <c r="BF897" s="10"/>
      <c r="BG897" s="10"/>
      <c r="BH897" s="10"/>
      <c r="BI897" s="10"/>
      <c r="BJ897" s="10"/>
      <c r="BK897" s="10"/>
      <c r="BL897" s="10"/>
      <c r="BM897" s="10"/>
      <c r="BN897" s="10"/>
      <c r="BO897" s="10"/>
      <c r="BP897" s="10"/>
      <c r="BQ897" s="10"/>
      <c r="BR897" s="10"/>
      <c r="BS897" s="10"/>
      <c r="BT897" s="10"/>
      <c r="BU897" s="10"/>
    </row>
    <row r="898" spans="1:73" ht="18" x14ac:dyDescent="0.35">
      <c r="A898" s="43"/>
      <c r="C898" s="393"/>
      <c r="E898" s="394"/>
      <c r="F898" s="394">
        <v>0</v>
      </c>
      <c r="G898" s="394"/>
      <c r="H898" s="8" t="s">
        <v>235</v>
      </c>
      <c r="I898" s="368">
        <f t="shared" si="40"/>
        <v>0</v>
      </c>
      <c r="J898" s="365">
        <f t="shared" si="42"/>
        <v>0</v>
      </c>
      <c r="K898" s="369">
        <f t="shared" si="41"/>
        <v>6</v>
      </c>
      <c r="L898" s="369">
        <f>+IF((C898&gt;='Resultats - informe'!$E$16)*(C898&lt;='Resultats - informe'!$G$16),1,0)</f>
        <v>1</v>
      </c>
      <c r="M898" s="369" cm="1">
        <f t="array" ref="M898">+_xlfn.IFS((C898&gt;='Resultats - informe'!$D$26)*(C898&lt;='Resultats - informe'!$E$26),0,(C898&gt;='Resultats - informe'!$D$27)*(C898&lt;='Resultats - informe'!$E$27),0,(C898&gt;='Resultats - informe'!$D$28)*(C898&lt;='Resultats - informe'!$E$28),0,(C898&gt;='Resultats - informe'!$D$29)*(C898&lt;='Resultats - informe'!$E$29),0,1,1)</f>
        <v>0</v>
      </c>
      <c r="N898" s="366">
        <f>+VLOOKUP(D898,'Resultats - informe'!$Y$18:$AG$42,'Introducció dades consum'!K898+1,0)</f>
        <v>0</v>
      </c>
      <c r="O898" s="370" cm="1">
        <f t="array" ref="O898">+_xlfn.SWITCH(MONTH(C898),1,1,2,1,3,1,4,2,5,2,6,3,7,3,8,3,9,3,10,2,11,2,12,1,2)</f>
        <v>1</v>
      </c>
      <c r="P898" s="43"/>
      <c r="AS898" s="10"/>
      <c r="AT898" s="10"/>
      <c r="AU898" s="10"/>
      <c r="AV898" s="10"/>
      <c r="AW898" s="10"/>
      <c r="AX898" s="10"/>
      <c r="AY898" s="10"/>
      <c r="AZ898" s="10"/>
      <c r="BA898" s="10"/>
      <c r="BB898" s="10"/>
      <c r="BC898" s="10"/>
      <c r="BD898" s="10"/>
      <c r="BE898" s="10"/>
      <c r="BF898" s="10"/>
      <c r="BG898" s="10"/>
      <c r="BH898" s="10"/>
      <c r="BI898" s="10"/>
      <c r="BJ898" s="10"/>
      <c r="BK898" s="10"/>
      <c r="BL898" s="10"/>
      <c r="BM898" s="10"/>
      <c r="BN898" s="10"/>
      <c r="BO898" s="10"/>
      <c r="BP898" s="10"/>
      <c r="BQ898" s="10"/>
      <c r="BR898" s="10"/>
      <c r="BS898" s="10"/>
      <c r="BT898" s="10"/>
      <c r="BU898" s="10"/>
    </row>
    <row r="899" spans="1:73" ht="18" x14ac:dyDescent="0.35">
      <c r="A899" s="43"/>
      <c r="C899" s="393"/>
      <c r="E899" s="394"/>
      <c r="F899" s="394">
        <v>0</v>
      </c>
      <c r="G899" s="394"/>
      <c r="H899" s="8" t="s">
        <v>235</v>
      </c>
      <c r="I899" s="368">
        <f t="shared" si="40"/>
        <v>0</v>
      </c>
      <c r="J899" s="365">
        <f t="shared" si="42"/>
        <v>0</v>
      </c>
      <c r="K899" s="369">
        <f t="shared" si="41"/>
        <v>6</v>
      </c>
      <c r="L899" s="369">
        <f>+IF((C899&gt;='Resultats - informe'!$E$16)*(C899&lt;='Resultats - informe'!$G$16),1,0)</f>
        <v>1</v>
      </c>
      <c r="M899" s="369" cm="1">
        <f t="array" ref="M899">+_xlfn.IFS((C899&gt;='Resultats - informe'!$D$26)*(C899&lt;='Resultats - informe'!$E$26),0,(C899&gt;='Resultats - informe'!$D$27)*(C899&lt;='Resultats - informe'!$E$27),0,(C899&gt;='Resultats - informe'!$D$28)*(C899&lt;='Resultats - informe'!$E$28),0,(C899&gt;='Resultats - informe'!$D$29)*(C899&lt;='Resultats - informe'!$E$29),0,1,1)</f>
        <v>0</v>
      </c>
      <c r="N899" s="366">
        <f>+VLOOKUP(D899,'Resultats - informe'!$Y$18:$AG$42,'Introducció dades consum'!K899+1,0)</f>
        <v>0</v>
      </c>
      <c r="O899" s="370" cm="1">
        <f t="array" ref="O899">+_xlfn.SWITCH(MONTH(C899),1,1,2,1,3,1,4,2,5,2,6,3,7,3,8,3,9,3,10,2,11,2,12,1,2)</f>
        <v>1</v>
      </c>
      <c r="P899" s="43"/>
      <c r="AS899" s="10"/>
      <c r="AT899" s="10"/>
      <c r="AU899" s="10"/>
      <c r="AV899" s="10"/>
      <c r="AW899" s="10"/>
      <c r="AX899" s="10"/>
      <c r="AY899" s="10"/>
      <c r="AZ899" s="10"/>
      <c r="BA899" s="10"/>
      <c r="BB899" s="10"/>
      <c r="BC899" s="10"/>
      <c r="BD899" s="10"/>
      <c r="BE899" s="10"/>
      <c r="BF899" s="10"/>
      <c r="BG899" s="10"/>
      <c r="BH899" s="10"/>
      <c r="BI899" s="10"/>
      <c r="BJ899" s="10"/>
      <c r="BK899" s="10"/>
      <c r="BL899" s="10"/>
      <c r="BM899" s="10"/>
      <c r="BN899" s="10"/>
      <c r="BO899" s="10"/>
      <c r="BP899" s="10"/>
      <c r="BQ899" s="10"/>
      <c r="BR899" s="10"/>
      <c r="BS899" s="10"/>
      <c r="BT899" s="10"/>
      <c r="BU899" s="10"/>
    </row>
    <row r="900" spans="1:73" ht="18" x14ac:dyDescent="0.35">
      <c r="A900" s="43"/>
      <c r="C900" s="393"/>
      <c r="E900" s="394"/>
      <c r="F900" s="394">
        <v>0.123</v>
      </c>
      <c r="G900" s="394"/>
      <c r="H900" s="8" t="s">
        <v>235</v>
      </c>
      <c r="I900" s="368">
        <f t="shared" si="40"/>
        <v>0</v>
      </c>
      <c r="J900" s="365">
        <f t="shared" si="42"/>
        <v>0</v>
      </c>
      <c r="K900" s="369">
        <f t="shared" si="41"/>
        <v>6</v>
      </c>
      <c r="L900" s="369">
        <f>+IF((C900&gt;='Resultats - informe'!$E$16)*(C900&lt;='Resultats - informe'!$G$16),1,0)</f>
        <v>1</v>
      </c>
      <c r="M900" s="369" cm="1">
        <f t="array" ref="M900">+_xlfn.IFS((C900&gt;='Resultats - informe'!$D$26)*(C900&lt;='Resultats - informe'!$E$26),0,(C900&gt;='Resultats - informe'!$D$27)*(C900&lt;='Resultats - informe'!$E$27),0,(C900&gt;='Resultats - informe'!$D$28)*(C900&lt;='Resultats - informe'!$E$28),0,(C900&gt;='Resultats - informe'!$D$29)*(C900&lt;='Resultats - informe'!$E$29),0,1,1)</f>
        <v>0</v>
      </c>
      <c r="N900" s="366">
        <f>+VLOOKUP(D900,'Resultats - informe'!$Y$18:$AG$42,'Introducció dades consum'!K900+1,0)</f>
        <v>0</v>
      </c>
      <c r="O900" s="370" cm="1">
        <f t="array" ref="O900">+_xlfn.SWITCH(MONTH(C900),1,1,2,1,3,1,4,2,5,2,6,3,7,3,8,3,9,3,10,2,11,2,12,1,2)</f>
        <v>1</v>
      </c>
      <c r="P900" s="43"/>
      <c r="AS900" s="10"/>
      <c r="AT900" s="10"/>
      <c r="AU900" s="10"/>
      <c r="AV900" s="10"/>
      <c r="AW900" s="10"/>
      <c r="AX900" s="10"/>
      <c r="AY900" s="10"/>
      <c r="AZ900" s="10"/>
      <c r="BA900" s="10"/>
      <c r="BB900" s="10"/>
      <c r="BC900" s="10"/>
      <c r="BD900" s="10"/>
      <c r="BE900" s="10"/>
      <c r="BF900" s="10"/>
      <c r="BG900" s="10"/>
      <c r="BH900" s="10"/>
      <c r="BI900" s="10"/>
      <c r="BJ900" s="10"/>
      <c r="BK900" s="10"/>
      <c r="BL900" s="10"/>
      <c r="BM900" s="10"/>
      <c r="BN900" s="10"/>
      <c r="BO900" s="10"/>
      <c r="BP900" s="10"/>
      <c r="BQ900" s="10"/>
      <c r="BR900" s="10"/>
      <c r="BS900" s="10"/>
      <c r="BT900" s="10"/>
      <c r="BU900" s="10"/>
    </row>
    <row r="901" spans="1:73" ht="18" x14ac:dyDescent="0.35">
      <c r="A901" s="43"/>
      <c r="C901" s="393"/>
      <c r="E901" s="394"/>
      <c r="F901" s="394">
        <v>0</v>
      </c>
      <c r="G901" s="394"/>
      <c r="H901" s="8" t="s">
        <v>235</v>
      </c>
      <c r="I901" s="368">
        <f t="shared" si="40"/>
        <v>0</v>
      </c>
      <c r="J901" s="365">
        <f t="shared" si="42"/>
        <v>0</v>
      </c>
      <c r="K901" s="369">
        <f t="shared" si="41"/>
        <v>6</v>
      </c>
      <c r="L901" s="369">
        <f>+IF((C901&gt;='Resultats - informe'!$E$16)*(C901&lt;='Resultats - informe'!$G$16),1,0)</f>
        <v>1</v>
      </c>
      <c r="M901" s="369" cm="1">
        <f t="array" ref="M901">+_xlfn.IFS((C901&gt;='Resultats - informe'!$D$26)*(C901&lt;='Resultats - informe'!$E$26),0,(C901&gt;='Resultats - informe'!$D$27)*(C901&lt;='Resultats - informe'!$E$27),0,(C901&gt;='Resultats - informe'!$D$28)*(C901&lt;='Resultats - informe'!$E$28),0,(C901&gt;='Resultats - informe'!$D$29)*(C901&lt;='Resultats - informe'!$E$29),0,1,1)</f>
        <v>0</v>
      </c>
      <c r="N901" s="366">
        <f>+VLOOKUP(D901,'Resultats - informe'!$Y$18:$AG$42,'Introducció dades consum'!K901+1,0)</f>
        <v>0</v>
      </c>
      <c r="O901" s="370" cm="1">
        <f t="array" ref="O901">+_xlfn.SWITCH(MONTH(C901),1,1,2,1,3,1,4,2,5,2,6,3,7,3,8,3,9,3,10,2,11,2,12,1,2)</f>
        <v>1</v>
      </c>
      <c r="P901" s="43"/>
      <c r="AS901" s="10"/>
      <c r="AT901" s="10"/>
      <c r="AU901" s="10"/>
      <c r="AV901" s="10"/>
      <c r="AW901" s="10"/>
      <c r="AX901" s="10"/>
      <c r="AY901" s="10"/>
      <c r="AZ901" s="10"/>
      <c r="BA901" s="10"/>
      <c r="BB901" s="10"/>
      <c r="BC901" s="10"/>
      <c r="BD901" s="10"/>
      <c r="BE901" s="10"/>
      <c r="BF901" s="10"/>
      <c r="BG901" s="10"/>
      <c r="BH901" s="10"/>
      <c r="BI901" s="10"/>
      <c r="BJ901" s="10"/>
      <c r="BK901" s="10"/>
      <c r="BL901" s="10"/>
      <c r="BM901" s="10"/>
      <c r="BN901" s="10"/>
      <c r="BO901" s="10"/>
      <c r="BP901" s="10"/>
      <c r="BQ901" s="10"/>
      <c r="BR901" s="10"/>
      <c r="BS901" s="10"/>
      <c r="BT901" s="10"/>
      <c r="BU901" s="10"/>
    </row>
    <row r="902" spans="1:73" ht="18" x14ac:dyDescent="0.35">
      <c r="A902" s="43"/>
      <c r="C902" s="393"/>
      <c r="E902" s="394"/>
      <c r="F902" s="394">
        <v>0.25600000000000001</v>
      </c>
      <c r="G902" s="394"/>
      <c r="H902" s="8" t="s">
        <v>235</v>
      </c>
      <c r="I902" s="368">
        <f t="shared" ref="I902:I965" si="43">+E902+G902</f>
        <v>0</v>
      </c>
      <c r="J902" s="365">
        <f t="shared" si="42"/>
        <v>0</v>
      </c>
      <c r="K902" s="369">
        <f t="shared" ref="K902:K965" si="44">+WEEKDAY(C902,2)</f>
        <v>6</v>
      </c>
      <c r="L902" s="369">
        <f>+IF((C902&gt;='Resultats - informe'!$E$16)*(C902&lt;='Resultats - informe'!$G$16),1,0)</f>
        <v>1</v>
      </c>
      <c r="M902" s="369" cm="1">
        <f t="array" ref="M902">+_xlfn.IFS((C902&gt;='Resultats - informe'!$D$26)*(C902&lt;='Resultats - informe'!$E$26),0,(C902&gt;='Resultats - informe'!$D$27)*(C902&lt;='Resultats - informe'!$E$27),0,(C902&gt;='Resultats - informe'!$D$28)*(C902&lt;='Resultats - informe'!$E$28),0,(C902&gt;='Resultats - informe'!$D$29)*(C902&lt;='Resultats - informe'!$E$29),0,1,1)</f>
        <v>0</v>
      </c>
      <c r="N902" s="366">
        <f>+VLOOKUP(D902,'Resultats - informe'!$Y$18:$AG$42,'Introducció dades consum'!K902+1,0)</f>
        <v>0</v>
      </c>
      <c r="O902" s="370" cm="1">
        <f t="array" ref="O902">+_xlfn.SWITCH(MONTH(C902),1,1,2,1,3,1,4,2,5,2,6,3,7,3,8,3,9,3,10,2,11,2,12,1,2)</f>
        <v>1</v>
      </c>
      <c r="P902" s="43"/>
      <c r="AS902" s="10"/>
      <c r="AT902" s="10"/>
      <c r="AU902" s="10"/>
      <c r="AV902" s="10"/>
      <c r="AW902" s="10"/>
      <c r="AX902" s="10"/>
      <c r="AY902" s="10"/>
      <c r="AZ902" s="10"/>
      <c r="BA902" s="10"/>
      <c r="BB902" s="10"/>
      <c r="BC902" s="10"/>
      <c r="BD902" s="10"/>
      <c r="BE902" s="10"/>
      <c r="BF902" s="10"/>
      <c r="BG902" s="10"/>
      <c r="BH902" s="10"/>
      <c r="BI902" s="10"/>
      <c r="BJ902" s="10"/>
      <c r="BK902" s="10"/>
      <c r="BL902" s="10"/>
      <c r="BM902" s="10"/>
      <c r="BN902" s="10"/>
      <c r="BO902" s="10"/>
      <c r="BP902" s="10"/>
      <c r="BQ902" s="10"/>
      <c r="BR902" s="10"/>
      <c r="BS902" s="10"/>
      <c r="BT902" s="10"/>
      <c r="BU902" s="10"/>
    </row>
    <row r="903" spans="1:73" ht="18" x14ac:dyDescent="0.35">
      <c r="A903" s="43"/>
      <c r="C903" s="393"/>
      <c r="E903" s="394"/>
      <c r="F903" s="394">
        <v>0</v>
      </c>
      <c r="G903" s="394"/>
      <c r="H903" s="8" t="s">
        <v>235</v>
      </c>
      <c r="I903" s="368">
        <f t="shared" si="43"/>
        <v>0</v>
      </c>
      <c r="J903" s="365">
        <f t="shared" si="42"/>
        <v>0</v>
      </c>
      <c r="K903" s="369">
        <f t="shared" si="44"/>
        <v>6</v>
      </c>
      <c r="L903" s="369">
        <f>+IF((C903&gt;='Resultats - informe'!$E$16)*(C903&lt;='Resultats - informe'!$G$16),1,0)</f>
        <v>1</v>
      </c>
      <c r="M903" s="369" cm="1">
        <f t="array" ref="M903">+_xlfn.IFS((C903&gt;='Resultats - informe'!$D$26)*(C903&lt;='Resultats - informe'!$E$26),0,(C903&gt;='Resultats - informe'!$D$27)*(C903&lt;='Resultats - informe'!$E$27),0,(C903&gt;='Resultats - informe'!$D$28)*(C903&lt;='Resultats - informe'!$E$28),0,(C903&gt;='Resultats - informe'!$D$29)*(C903&lt;='Resultats - informe'!$E$29),0,1,1)</f>
        <v>0</v>
      </c>
      <c r="N903" s="366">
        <f>+VLOOKUP(D903,'Resultats - informe'!$Y$18:$AG$42,'Introducció dades consum'!K903+1,0)</f>
        <v>0</v>
      </c>
      <c r="O903" s="370" cm="1">
        <f t="array" ref="O903">+_xlfn.SWITCH(MONTH(C903),1,1,2,1,3,1,4,2,5,2,6,3,7,3,8,3,9,3,10,2,11,2,12,1,2)</f>
        <v>1</v>
      </c>
      <c r="P903" s="43"/>
      <c r="AS903" s="10"/>
      <c r="AT903" s="10"/>
      <c r="AU903" s="10"/>
      <c r="AV903" s="10"/>
      <c r="AW903" s="10"/>
      <c r="AX903" s="10"/>
      <c r="AY903" s="10"/>
      <c r="AZ903" s="10"/>
      <c r="BA903" s="10"/>
      <c r="BB903" s="10"/>
      <c r="BC903" s="10"/>
      <c r="BD903" s="10"/>
      <c r="BE903" s="10"/>
      <c r="BF903" s="10"/>
      <c r="BG903" s="10"/>
      <c r="BH903" s="10"/>
      <c r="BI903" s="10"/>
      <c r="BJ903" s="10"/>
      <c r="BK903" s="10"/>
      <c r="BL903" s="10"/>
      <c r="BM903" s="10"/>
      <c r="BN903" s="10"/>
      <c r="BO903" s="10"/>
      <c r="BP903" s="10"/>
      <c r="BQ903" s="10"/>
      <c r="BR903" s="10"/>
      <c r="BS903" s="10"/>
      <c r="BT903" s="10"/>
      <c r="BU903" s="10"/>
    </row>
    <row r="904" spans="1:73" ht="18" x14ac:dyDescent="0.35">
      <c r="A904" s="43"/>
      <c r="C904" s="393"/>
      <c r="E904" s="394"/>
      <c r="F904" s="394">
        <v>4.1000000000000002E-2</v>
      </c>
      <c r="G904" s="394"/>
      <c r="H904" s="8" t="s">
        <v>235</v>
      </c>
      <c r="I904" s="368">
        <f t="shared" si="43"/>
        <v>0</v>
      </c>
      <c r="J904" s="365">
        <f t="shared" si="42"/>
        <v>0</v>
      </c>
      <c r="K904" s="369">
        <f t="shared" si="44"/>
        <v>6</v>
      </c>
      <c r="L904" s="369">
        <f>+IF((C904&gt;='Resultats - informe'!$E$16)*(C904&lt;='Resultats - informe'!$G$16),1,0)</f>
        <v>1</v>
      </c>
      <c r="M904" s="369" cm="1">
        <f t="array" ref="M904">+_xlfn.IFS((C904&gt;='Resultats - informe'!$D$26)*(C904&lt;='Resultats - informe'!$E$26),0,(C904&gt;='Resultats - informe'!$D$27)*(C904&lt;='Resultats - informe'!$E$27),0,(C904&gt;='Resultats - informe'!$D$28)*(C904&lt;='Resultats - informe'!$E$28),0,(C904&gt;='Resultats - informe'!$D$29)*(C904&lt;='Resultats - informe'!$E$29),0,1,1)</f>
        <v>0</v>
      </c>
      <c r="N904" s="366">
        <f>+VLOOKUP(D904,'Resultats - informe'!$Y$18:$AG$42,'Introducció dades consum'!K904+1,0)</f>
        <v>0</v>
      </c>
      <c r="O904" s="370" cm="1">
        <f t="array" ref="O904">+_xlfn.SWITCH(MONTH(C904),1,1,2,1,3,1,4,2,5,2,6,3,7,3,8,3,9,3,10,2,11,2,12,1,2)</f>
        <v>1</v>
      </c>
      <c r="P904" s="43"/>
      <c r="AS904" s="10"/>
      <c r="AT904" s="10"/>
      <c r="AU904" s="10"/>
      <c r="AV904" s="10"/>
      <c r="AW904" s="10"/>
      <c r="AX904" s="10"/>
      <c r="AY904" s="10"/>
      <c r="AZ904" s="10"/>
      <c r="BA904" s="10"/>
      <c r="BB904" s="10"/>
      <c r="BC904" s="10"/>
      <c r="BD904" s="10"/>
      <c r="BE904" s="10"/>
      <c r="BF904" s="10"/>
      <c r="BG904" s="10"/>
      <c r="BH904" s="10"/>
      <c r="BI904" s="10"/>
      <c r="BJ904" s="10"/>
      <c r="BK904" s="10"/>
      <c r="BL904" s="10"/>
      <c r="BM904" s="10"/>
      <c r="BN904" s="10"/>
      <c r="BO904" s="10"/>
      <c r="BP904" s="10"/>
      <c r="BQ904" s="10"/>
      <c r="BR904" s="10"/>
      <c r="BS904" s="10"/>
      <c r="BT904" s="10"/>
      <c r="BU904" s="10"/>
    </row>
    <row r="905" spans="1:73" ht="18" x14ac:dyDescent="0.35">
      <c r="A905" s="43"/>
      <c r="C905" s="393"/>
      <c r="E905" s="394"/>
      <c r="F905" s="394">
        <v>0</v>
      </c>
      <c r="G905" s="394"/>
      <c r="H905" s="8" t="s">
        <v>235</v>
      </c>
      <c r="I905" s="368">
        <f t="shared" si="43"/>
        <v>0</v>
      </c>
      <c r="J905" s="365">
        <f t="shared" si="42"/>
        <v>0</v>
      </c>
      <c r="K905" s="369">
        <f t="shared" si="44"/>
        <v>6</v>
      </c>
      <c r="L905" s="369">
        <f>+IF((C905&gt;='Resultats - informe'!$E$16)*(C905&lt;='Resultats - informe'!$G$16),1,0)</f>
        <v>1</v>
      </c>
      <c r="M905" s="369" cm="1">
        <f t="array" ref="M905">+_xlfn.IFS((C905&gt;='Resultats - informe'!$D$26)*(C905&lt;='Resultats - informe'!$E$26),0,(C905&gt;='Resultats - informe'!$D$27)*(C905&lt;='Resultats - informe'!$E$27),0,(C905&gt;='Resultats - informe'!$D$28)*(C905&lt;='Resultats - informe'!$E$28),0,(C905&gt;='Resultats - informe'!$D$29)*(C905&lt;='Resultats - informe'!$E$29),0,1,1)</f>
        <v>0</v>
      </c>
      <c r="N905" s="366">
        <f>+VLOOKUP(D905,'Resultats - informe'!$Y$18:$AG$42,'Introducció dades consum'!K905+1,0)</f>
        <v>0</v>
      </c>
      <c r="O905" s="370" cm="1">
        <f t="array" ref="O905">+_xlfn.SWITCH(MONTH(C905),1,1,2,1,3,1,4,2,5,2,6,3,7,3,8,3,9,3,10,2,11,2,12,1,2)</f>
        <v>1</v>
      </c>
      <c r="P905" s="43"/>
      <c r="AS905" s="10"/>
      <c r="AT905" s="10"/>
      <c r="AU905" s="10"/>
      <c r="AV905" s="10"/>
      <c r="AW905" s="10"/>
      <c r="AX905" s="10"/>
      <c r="AY905" s="10"/>
      <c r="AZ905" s="10"/>
      <c r="BA905" s="10"/>
      <c r="BB905" s="10"/>
      <c r="BC905" s="10"/>
      <c r="BD905" s="10"/>
      <c r="BE905" s="10"/>
      <c r="BF905" s="10"/>
      <c r="BG905" s="10"/>
      <c r="BH905" s="10"/>
      <c r="BI905" s="10"/>
      <c r="BJ905" s="10"/>
      <c r="BK905" s="10"/>
      <c r="BL905" s="10"/>
      <c r="BM905" s="10"/>
      <c r="BN905" s="10"/>
      <c r="BO905" s="10"/>
      <c r="BP905" s="10"/>
      <c r="BQ905" s="10"/>
      <c r="BR905" s="10"/>
      <c r="BS905" s="10"/>
      <c r="BT905" s="10"/>
      <c r="BU905" s="10"/>
    </row>
    <row r="906" spans="1:73" ht="18" x14ac:dyDescent="0.35">
      <c r="A906" s="43"/>
      <c r="C906" s="393"/>
      <c r="E906" s="394"/>
      <c r="F906" s="394">
        <v>0</v>
      </c>
      <c r="G906" s="394"/>
      <c r="H906" s="8" t="s">
        <v>235</v>
      </c>
      <c r="I906" s="368">
        <f t="shared" si="43"/>
        <v>0</v>
      </c>
      <c r="J906" s="365">
        <f t="shared" si="42"/>
        <v>0</v>
      </c>
      <c r="K906" s="369">
        <f t="shared" si="44"/>
        <v>6</v>
      </c>
      <c r="L906" s="369">
        <f>+IF((C906&gt;='Resultats - informe'!$E$16)*(C906&lt;='Resultats - informe'!$G$16),1,0)</f>
        <v>1</v>
      </c>
      <c r="M906" s="369" cm="1">
        <f t="array" ref="M906">+_xlfn.IFS((C906&gt;='Resultats - informe'!$D$26)*(C906&lt;='Resultats - informe'!$E$26),0,(C906&gt;='Resultats - informe'!$D$27)*(C906&lt;='Resultats - informe'!$E$27),0,(C906&gt;='Resultats - informe'!$D$28)*(C906&lt;='Resultats - informe'!$E$28),0,(C906&gt;='Resultats - informe'!$D$29)*(C906&lt;='Resultats - informe'!$E$29),0,1,1)</f>
        <v>0</v>
      </c>
      <c r="N906" s="366">
        <f>+VLOOKUP(D906,'Resultats - informe'!$Y$18:$AG$42,'Introducció dades consum'!K906+1,0)</f>
        <v>0</v>
      </c>
      <c r="O906" s="370" cm="1">
        <f t="array" ref="O906">+_xlfn.SWITCH(MONTH(C906),1,1,2,1,3,1,4,2,5,2,6,3,7,3,8,3,9,3,10,2,11,2,12,1,2)</f>
        <v>1</v>
      </c>
      <c r="P906" s="43"/>
      <c r="AS906" s="10"/>
      <c r="AT906" s="10"/>
      <c r="AU906" s="10"/>
      <c r="AV906" s="10"/>
      <c r="AW906" s="10"/>
      <c r="AX906" s="10"/>
      <c r="AY906" s="10"/>
      <c r="AZ906" s="10"/>
      <c r="BA906" s="10"/>
      <c r="BB906" s="10"/>
      <c r="BC906" s="10"/>
      <c r="BD906" s="10"/>
      <c r="BE906" s="10"/>
      <c r="BF906" s="10"/>
      <c r="BG906" s="10"/>
      <c r="BH906" s="10"/>
      <c r="BI906" s="10"/>
      <c r="BJ906" s="10"/>
      <c r="BK906" s="10"/>
      <c r="BL906" s="10"/>
      <c r="BM906" s="10"/>
      <c r="BN906" s="10"/>
      <c r="BO906" s="10"/>
      <c r="BP906" s="10"/>
      <c r="BQ906" s="10"/>
      <c r="BR906" s="10"/>
      <c r="BS906" s="10"/>
      <c r="BT906" s="10"/>
      <c r="BU906" s="10"/>
    </row>
    <row r="907" spans="1:73" ht="18" x14ac:dyDescent="0.35">
      <c r="A907" s="43"/>
      <c r="C907" s="393"/>
      <c r="E907" s="394"/>
      <c r="F907" s="394">
        <v>0</v>
      </c>
      <c r="G907" s="394"/>
      <c r="H907" s="8" t="s">
        <v>235</v>
      </c>
      <c r="I907" s="368">
        <f t="shared" si="43"/>
        <v>0</v>
      </c>
      <c r="J907" s="365">
        <f t="shared" si="42"/>
        <v>0</v>
      </c>
      <c r="K907" s="369">
        <f t="shared" si="44"/>
        <v>6</v>
      </c>
      <c r="L907" s="369">
        <f>+IF((C907&gt;='Resultats - informe'!$E$16)*(C907&lt;='Resultats - informe'!$G$16),1,0)</f>
        <v>1</v>
      </c>
      <c r="M907" s="369" cm="1">
        <f t="array" ref="M907">+_xlfn.IFS((C907&gt;='Resultats - informe'!$D$26)*(C907&lt;='Resultats - informe'!$E$26),0,(C907&gt;='Resultats - informe'!$D$27)*(C907&lt;='Resultats - informe'!$E$27),0,(C907&gt;='Resultats - informe'!$D$28)*(C907&lt;='Resultats - informe'!$E$28),0,(C907&gt;='Resultats - informe'!$D$29)*(C907&lt;='Resultats - informe'!$E$29),0,1,1)</f>
        <v>0</v>
      </c>
      <c r="N907" s="366">
        <f>+VLOOKUP(D907,'Resultats - informe'!$Y$18:$AG$42,'Introducció dades consum'!K907+1,0)</f>
        <v>0</v>
      </c>
      <c r="O907" s="370" cm="1">
        <f t="array" ref="O907">+_xlfn.SWITCH(MONTH(C907),1,1,2,1,3,1,4,2,5,2,6,3,7,3,8,3,9,3,10,2,11,2,12,1,2)</f>
        <v>1</v>
      </c>
      <c r="P907" s="43"/>
      <c r="AS907" s="10"/>
      <c r="AT907" s="10"/>
      <c r="AU907" s="10"/>
      <c r="AV907" s="10"/>
      <c r="AW907" s="10"/>
      <c r="AX907" s="10"/>
      <c r="AY907" s="10"/>
      <c r="AZ907" s="10"/>
      <c r="BA907" s="10"/>
      <c r="BB907" s="10"/>
      <c r="BC907" s="10"/>
      <c r="BD907" s="10"/>
      <c r="BE907" s="10"/>
      <c r="BF907" s="10"/>
      <c r="BG907" s="10"/>
      <c r="BH907" s="10"/>
      <c r="BI907" s="10"/>
      <c r="BJ907" s="10"/>
      <c r="BK907" s="10"/>
      <c r="BL907" s="10"/>
      <c r="BM907" s="10"/>
      <c r="BN907" s="10"/>
      <c r="BO907" s="10"/>
      <c r="BP907" s="10"/>
      <c r="BQ907" s="10"/>
      <c r="BR907" s="10"/>
      <c r="BS907" s="10"/>
      <c r="BT907" s="10"/>
      <c r="BU907" s="10"/>
    </row>
    <row r="908" spans="1:73" ht="18" x14ac:dyDescent="0.35">
      <c r="A908" s="43"/>
      <c r="C908" s="393"/>
      <c r="E908" s="394"/>
      <c r="F908" s="394">
        <v>0.76800000000000002</v>
      </c>
      <c r="G908" s="394"/>
      <c r="H908" s="8" t="s">
        <v>235</v>
      </c>
      <c r="I908" s="368">
        <f t="shared" si="43"/>
        <v>0</v>
      </c>
      <c r="J908" s="365">
        <f t="shared" si="42"/>
        <v>0</v>
      </c>
      <c r="K908" s="369">
        <f t="shared" si="44"/>
        <v>6</v>
      </c>
      <c r="L908" s="369">
        <f>+IF((C908&gt;='Resultats - informe'!$E$16)*(C908&lt;='Resultats - informe'!$G$16),1,0)</f>
        <v>1</v>
      </c>
      <c r="M908" s="369" cm="1">
        <f t="array" ref="M908">+_xlfn.IFS((C908&gt;='Resultats - informe'!$D$26)*(C908&lt;='Resultats - informe'!$E$26),0,(C908&gt;='Resultats - informe'!$D$27)*(C908&lt;='Resultats - informe'!$E$27),0,(C908&gt;='Resultats - informe'!$D$28)*(C908&lt;='Resultats - informe'!$E$28),0,(C908&gt;='Resultats - informe'!$D$29)*(C908&lt;='Resultats - informe'!$E$29),0,1,1)</f>
        <v>0</v>
      </c>
      <c r="N908" s="366">
        <f>+VLOOKUP(D908,'Resultats - informe'!$Y$18:$AG$42,'Introducció dades consum'!K908+1,0)</f>
        <v>0</v>
      </c>
      <c r="O908" s="370" cm="1">
        <f t="array" ref="O908">+_xlfn.SWITCH(MONTH(C908),1,1,2,1,3,1,4,2,5,2,6,3,7,3,8,3,9,3,10,2,11,2,12,1,2)</f>
        <v>1</v>
      </c>
      <c r="P908" s="43"/>
      <c r="AS908" s="10"/>
      <c r="AT908" s="10"/>
      <c r="AU908" s="10"/>
      <c r="AV908" s="10"/>
      <c r="AW908" s="10"/>
      <c r="AX908" s="10"/>
      <c r="AY908" s="10"/>
      <c r="AZ908" s="10"/>
      <c r="BA908" s="10"/>
      <c r="BB908" s="10"/>
      <c r="BC908" s="10"/>
      <c r="BD908" s="10"/>
      <c r="BE908" s="10"/>
      <c r="BF908" s="10"/>
      <c r="BG908" s="10"/>
      <c r="BH908" s="10"/>
      <c r="BI908" s="10"/>
      <c r="BJ908" s="10"/>
      <c r="BK908" s="10"/>
      <c r="BL908" s="10"/>
      <c r="BM908" s="10"/>
      <c r="BN908" s="10"/>
      <c r="BO908" s="10"/>
      <c r="BP908" s="10"/>
      <c r="BQ908" s="10"/>
      <c r="BR908" s="10"/>
      <c r="BS908" s="10"/>
      <c r="BT908" s="10"/>
      <c r="BU908" s="10"/>
    </row>
    <row r="909" spans="1:73" ht="18" x14ac:dyDescent="0.35">
      <c r="A909" s="43"/>
      <c r="C909" s="393"/>
      <c r="E909" s="394"/>
      <c r="F909" s="394">
        <v>0</v>
      </c>
      <c r="G909" s="394"/>
      <c r="H909" s="8" t="s">
        <v>235</v>
      </c>
      <c r="I909" s="368">
        <f t="shared" si="43"/>
        <v>0</v>
      </c>
      <c r="J909" s="365">
        <f t="shared" si="42"/>
        <v>0</v>
      </c>
      <c r="K909" s="369">
        <f t="shared" si="44"/>
        <v>6</v>
      </c>
      <c r="L909" s="369">
        <f>+IF((C909&gt;='Resultats - informe'!$E$16)*(C909&lt;='Resultats - informe'!$G$16),1,0)</f>
        <v>1</v>
      </c>
      <c r="M909" s="369" cm="1">
        <f t="array" ref="M909">+_xlfn.IFS((C909&gt;='Resultats - informe'!$D$26)*(C909&lt;='Resultats - informe'!$E$26),0,(C909&gt;='Resultats - informe'!$D$27)*(C909&lt;='Resultats - informe'!$E$27),0,(C909&gt;='Resultats - informe'!$D$28)*(C909&lt;='Resultats - informe'!$E$28),0,(C909&gt;='Resultats - informe'!$D$29)*(C909&lt;='Resultats - informe'!$E$29),0,1,1)</f>
        <v>0</v>
      </c>
      <c r="N909" s="366">
        <f>+VLOOKUP(D909,'Resultats - informe'!$Y$18:$AG$42,'Introducció dades consum'!K909+1,0)</f>
        <v>0</v>
      </c>
      <c r="O909" s="370" cm="1">
        <f t="array" ref="O909">+_xlfn.SWITCH(MONTH(C909),1,1,2,1,3,1,4,2,5,2,6,3,7,3,8,3,9,3,10,2,11,2,12,1,2)</f>
        <v>1</v>
      </c>
      <c r="P909" s="43"/>
      <c r="AS909" s="10"/>
      <c r="AT909" s="10"/>
      <c r="AU909" s="10"/>
      <c r="AV909" s="10"/>
      <c r="AW909" s="10"/>
      <c r="AX909" s="10"/>
      <c r="AY909" s="10"/>
      <c r="AZ909" s="10"/>
      <c r="BA909" s="10"/>
      <c r="BB909" s="10"/>
      <c r="BC909" s="10"/>
      <c r="BD909" s="10"/>
      <c r="BE909" s="10"/>
      <c r="BF909" s="10"/>
      <c r="BG909" s="10"/>
      <c r="BH909" s="10"/>
      <c r="BI909" s="10"/>
      <c r="BJ909" s="10"/>
      <c r="BK909" s="10"/>
      <c r="BL909" s="10"/>
      <c r="BM909" s="10"/>
      <c r="BN909" s="10"/>
      <c r="BO909" s="10"/>
      <c r="BP909" s="10"/>
      <c r="BQ909" s="10"/>
      <c r="BR909" s="10"/>
      <c r="BS909" s="10"/>
      <c r="BT909" s="10"/>
      <c r="BU909" s="10"/>
    </row>
    <row r="910" spans="1:73" ht="18" x14ac:dyDescent="0.35">
      <c r="A910" s="43"/>
      <c r="C910" s="393"/>
      <c r="E910" s="394"/>
      <c r="F910" s="394">
        <v>0</v>
      </c>
      <c r="G910" s="394"/>
      <c r="H910" s="8" t="s">
        <v>235</v>
      </c>
      <c r="I910" s="368">
        <f t="shared" si="43"/>
        <v>0</v>
      </c>
      <c r="J910" s="365">
        <f t="shared" si="42"/>
        <v>0</v>
      </c>
      <c r="K910" s="369">
        <f t="shared" si="44"/>
        <v>6</v>
      </c>
      <c r="L910" s="369">
        <f>+IF((C910&gt;='Resultats - informe'!$E$16)*(C910&lt;='Resultats - informe'!$G$16),1,0)</f>
        <v>1</v>
      </c>
      <c r="M910" s="369" cm="1">
        <f t="array" ref="M910">+_xlfn.IFS((C910&gt;='Resultats - informe'!$D$26)*(C910&lt;='Resultats - informe'!$E$26),0,(C910&gt;='Resultats - informe'!$D$27)*(C910&lt;='Resultats - informe'!$E$27),0,(C910&gt;='Resultats - informe'!$D$28)*(C910&lt;='Resultats - informe'!$E$28),0,(C910&gt;='Resultats - informe'!$D$29)*(C910&lt;='Resultats - informe'!$E$29),0,1,1)</f>
        <v>0</v>
      </c>
      <c r="N910" s="366">
        <f>+VLOOKUP(D910,'Resultats - informe'!$Y$18:$AG$42,'Introducció dades consum'!K910+1,0)</f>
        <v>0</v>
      </c>
      <c r="O910" s="370" cm="1">
        <f t="array" ref="O910">+_xlfn.SWITCH(MONTH(C910),1,1,2,1,3,1,4,2,5,2,6,3,7,3,8,3,9,3,10,2,11,2,12,1,2)</f>
        <v>1</v>
      </c>
      <c r="P910" s="43"/>
      <c r="AS910" s="10"/>
      <c r="AT910" s="10"/>
      <c r="AU910" s="10"/>
      <c r="AV910" s="10"/>
      <c r="AW910" s="10"/>
      <c r="AX910" s="10"/>
      <c r="AY910" s="10"/>
      <c r="AZ910" s="10"/>
      <c r="BA910" s="10"/>
      <c r="BB910" s="10"/>
      <c r="BC910" s="10"/>
      <c r="BD910" s="10"/>
      <c r="BE910" s="10"/>
      <c r="BF910" s="10"/>
      <c r="BG910" s="10"/>
      <c r="BH910" s="10"/>
      <c r="BI910" s="10"/>
      <c r="BJ910" s="10"/>
      <c r="BK910" s="10"/>
      <c r="BL910" s="10"/>
      <c r="BM910" s="10"/>
      <c r="BN910" s="10"/>
      <c r="BO910" s="10"/>
      <c r="BP910" s="10"/>
      <c r="BQ910" s="10"/>
      <c r="BR910" s="10"/>
      <c r="BS910" s="10"/>
      <c r="BT910" s="10"/>
      <c r="BU910" s="10"/>
    </row>
    <row r="911" spans="1:73" ht="18" x14ac:dyDescent="0.35">
      <c r="A911" s="43"/>
      <c r="C911" s="393"/>
      <c r="E911" s="394"/>
      <c r="F911" s="394">
        <v>0</v>
      </c>
      <c r="G911" s="394"/>
      <c r="H911" s="8" t="s">
        <v>235</v>
      </c>
      <c r="I911" s="368">
        <f t="shared" si="43"/>
        <v>0</v>
      </c>
      <c r="J911" s="365">
        <f t="shared" si="42"/>
        <v>0</v>
      </c>
      <c r="K911" s="369">
        <f t="shared" si="44"/>
        <v>6</v>
      </c>
      <c r="L911" s="369">
        <f>+IF((C911&gt;='Resultats - informe'!$E$16)*(C911&lt;='Resultats - informe'!$G$16),1,0)</f>
        <v>1</v>
      </c>
      <c r="M911" s="369" cm="1">
        <f t="array" ref="M911">+_xlfn.IFS((C911&gt;='Resultats - informe'!$D$26)*(C911&lt;='Resultats - informe'!$E$26),0,(C911&gt;='Resultats - informe'!$D$27)*(C911&lt;='Resultats - informe'!$E$27),0,(C911&gt;='Resultats - informe'!$D$28)*(C911&lt;='Resultats - informe'!$E$28),0,(C911&gt;='Resultats - informe'!$D$29)*(C911&lt;='Resultats - informe'!$E$29),0,1,1)</f>
        <v>0</v>
      </c>
      <c r="N911" s="366">
        <f>+VLOOKUP(D911,'Resultats - informe'!$Y$18:$AG$42,'Introducció dades consum'!K911+1,0)</f>
        <v>0</v>
      </c>
      <c r="O911" s="370" cm="1">
        <f t="array" ref="O911">+_xlfn.SWITCH(MONTH(C911),1,1,2,1,3,1,4,2,5,2,6,3,7,3,8,3,9,3,10,2,11,2,12,1,2)</f>
        <v>1</v>
      </c>
      <c r="P911" s="43"/>
      <c r="AS911" s="10"/>
      <c r="AT911" s="10"/>
      <c r="AU911" s="10"/>
      <c r="AV911" s="10"/>
      <c r="AW911" s="10"/>
      <c r="AX911" s="10"/>
      <c r="AY911" s="10"/>
      <c r="AZ911" s="10"/>
      <c r="BA911" s="10"/>
      <c r="BB911" s="10"/>
      <c r="BC911" s="10"/>
      <c r="BD911" s="10"/>
      <c r="BE911" s="10"/>
      <c r="BF911" s="10"/>
      <c r="BG911" s="10"/>
      <c r="BH911" s="10"/>
      <c r="BI911" s="10"/>
      <c r="BJ911" s="10"/>
      <c r="BK911" s="10"/>
      <c r="BL911" s="10"/>
      <c r="BM911" s="10"/>
      <c r="BN911" s="10"/>
      <c r="BO911" s="10"/>
      <c r="BP911" s="10"/>
      <c r="BQ911" s="10"/>
      <c r="BR911" s="10"/>
      <c r="BS911" s="10"/>
      <c r="BT911" s="10"/>
      <c r="BU911" s="10"/>
    </row>
    <row r="912" spans="1:73" ht="18" x14ac:dyDescent="0.35">
      <c r="A912" s="43"/>
      <c r="C912" s="393"/>
      <c r="E912" s="394"/>
      <c r="F912" s="394">
        <v>0</v>
      </c>
      <c r="G912" s="394"/>
      <c r="H912" s="8" t="s">
        <v>235</v>
      </c>
      <c r="I912" s="368">
        <f t="shared" si="43"/>
        <v>0</v>
      </c>
      <c r="J912" s="365">
        <f t="shared" si="42"/>
        <v>0</v>
      </c>
      <c r="K912" s="369">
        <f t="shared" si="44"/>
        <v>6</v>
      </c>
      <c r="L912" s="369">
        <f>+IF((C912&gt;='Resultats - informe'!$E$16)*(C912&lt;='Resultats - informe'!$G$16),1,0)</f>
        <v>1</v>
      </c>
      <c r="M912" s="369" cm="1">
        <f t="array" ref="M912">+_xlfn.IFS((C912&gt;='Resultats - informe'!$D$26)*(C912&lt;='Resultats - informe'!$E$26),0,(C912&gt;='Resultats - informe'!$D$27)*(C912&lt;='Resultats - informe'!$E$27),0,(C912&gt;='Resultats - informe'!$D$28)*(C912&lt;='Resultats - informe'!$E$28),0,(C912&gt;='Resultats - informe'!$D$29)*(C912&lt;='Resultats - informe'!$E$29),0,1,1)</f>
        <v>0</v>
      </c>
      <c r="N912" s="366">
        <f>+VLOOKUP(D912,'Resultats - informe'!$Y$18:$AG$42,'Introducció dades consum'!K912+1,0)</f>
        <v>0</v>
      </c>
      <c r="O912" s="370" cm="1">
        <f t="array" ref="O912">+_xlfn.SWITCH(MONTH(C912),1,1,2,1,3,1,4,2,5,2,6,3,7,3,8,3,9,3,10,2,11,2,12,1,2)</f>
        <v>1</v>
      </c>
      <c r="P912" s="43"/>
      <c r="AS912" s="10"/>
      <c r="AT912" s="10"/>
      <c r="AU912" s="10"/>
      <c r="AV912" s="10"/>
      <c r="AW912" s="10"/>
      <c r="AX912" s="10"/>
      <c r="AY912" s="10"/>
      <c r="AZ912" s="10"/>
      <c r="BA912" s="10"/>
      <c r="BB912" s="10"/>
      <c r="BC912" s="10"/>
      <c r="BD912" s="10"/>
      <c r="BE912" s="10"/>
      <c r="BF912" s="10"/>
      <c r="BG912" s="10"/>
      <c r="BH912" s="10"/>
      <c r="BI912" s="10"/>
      <c r="BJ912" s="10"/>
      <c r="BK912" s="10"/>
      <c r="BL912" s="10"/>
      <c r="BM912" s="10"/>
      <c r="BN912" s="10"/>
      <c r="BO912" s="10"/>
      <c r="BP912" s="10"/>
      <c r="BQ912" s="10"/>
      <c r="BR912" s="10"/>
      <c r="BS912" s="10"/>
      <c r="BT912" s="10"/>
      <c r="BU912" s="10"/>
    </row>
    <row r="913" spans="1:73" ht="18" x14ac:dyDescent="0.35">
      <c r="A913" s="43"/>
      <c r="C913" s="393"/>
      <c r="E913" s="394"/>
      <c r="F913" s="394">
        <v>0</v>
      </c>
      <c r="G913" s="394"/>
      <c r="H913" s="8" t="s">
        <v>235</v>
      </c>
      <c r="I913" s="368">
        <f t="shared" si="43"/>
        <v>0</v>
      </c>
      <c r="J913" s="365">
        <f t="shared" si="42"/>
        <v>0</v>
      </c>
      <c r="K913" s="369">
        <f t="shared" si="44"/>
        <v>6</v>
      </c>
      <c r="L913" s="369">
        <f>+IF((C913&gt;='Resultats - informe'!$E$16)*(C913&lt;='Resultats - informe'!$G$16),1,0)</f>
        <v>1</v>
      </c>
      <c r="M913" s="369" cm="1">
        <f t="array" ref="M913">+_xlfn.IFS((C913&gt;='Resultats - informe'!$D$26)*(C913&lt;='Resultats - informe'!$E$26),0,(C913&gt;='Resultats - informe'!$D$27)*(C913&lt;='Resultats - informe'!$E$27),0,(C913&gt;='Resultats - informe'!$D$28)*(C913&lt;='Resultats - informe'!$E$28),0,(C913&gt;='Resultats - informe'!$D$29)*(C913&lt;='Resultats - informe'!$E$29),0,1,1)</f>
        <v>0</v>
      </c>
      <c r="N913" s="366">
        <f>+VLOOKUP(D913,'Resultats - informe'!$Y$18:$AG$42,'Introducció dades consum'!K913+1,0)</f>
        <v>0</v>
      </c>
      <c r="O913" s="370" cm="1">
        <f t="array" ref="O913">+_xlfn.SWITCH(MONTH(C913),1,1,2,1,3,1,4,2,5,2,6,3,7,3,8,3,9,3,10,2,11,2,12,1,2)</f>
        <v>1</v>
      </c>
      <c r="P913" s="43"/>
      <c r="AS913" s="10"/>
      <c r="AT913" s="10"/>
      <c r="AU913" s="10"/>
      <c r="AV913" s="10"/>
      <c r="AW913" s="10"/>
      <c r="AX913" s="10"/>
      <c r="AY913" s="10"/>
      <c r="AZ913" s="10"/>
      <c r="BA913" s="10"/>
      <c r="BB913" s="10"/>
      <c r="BC913" s="10"/>
      <c r="BD913" s="10"/>
      <c r="BE913" s="10"/>
      <c r="BF913" s="10"/>
      <c r="BG913" s="10"/>
      <c r="BH913" s="10"/>
      <c r="BI913" s="10"/>
      <c r="BJ913" s="10"/>
      <c r="BK913" s="10"/>
      <c r="BL913" s="10"/>
      <c r="BM913" s="10"/>
      <c r="BN913" s="10"/>
      <c r="BO913" s="10"/>
      <c r="BP913" s="10"/>
      <c r="BQ913" s="10"/>
      <c r="BR913" s="10"/>
      <c r="BS913" s="10"/>
      <c r="BT913" s="10"/>
      <c r="BU913" s="10"/>
    </row>
    <row r="914" spans="1:73" ht="18" x14ac:dyDescent="0.35">
      <c r="A914" s="43"/>
      <c r="C914" s="393"/>
      <c r="E914" s="394"/>
      <c r="F914" s="394">
        <v>0</v>
      </c>
      <c r="G914" s="394"/>
      <c r="H914" s="8" t="s">
        <v>235</v>
      </c>
      <c r="I914" s="368">
        <f t="shared" si="43"/>
        <v>0</v>
      </c>
      <c r="J914" s="365">
        <f t="shared" si="42"/>
        <v>0</v>
      </c>
      <c r="K914" s="369">
        <f t="shared" si="44"/>
        <v>6</v>
      </c>
      <c r="L914" s="369">
        <f>+IF((C914&gt;='Resultats - informe'!$E$16)*(C914&lt;='Resultats - informe'!$G$16),1,0)</f>
        <v>1</v>
      </c>
      <c r="M914" s="369" cm="1">
        <f t="array" ref="M914">+_xlfn.IFS((C914&gt;='Resultats - informe'!$D$26)*(C914&lt;='Resultats - informe'!$E$26),0,(C914&gt;='Resultats - informe'!$D$27)*(C914&lt;='Resultats - informe'!$E$27),0,(C914&gt;='Resultats - informe'!$D$28)*(C914&lt;='Resultats - informe'!$E$28),0,(C914&gt;='Resultats - informe'!$D$29)*(C914&lt;='Resultats - informe'!$E$29),0,1,1)</f>
        <v>0</v>
      </c>
      <c r="N914" s="366">
        <f>+VLOOKUP(D914,'Resultats - informe'!$Y$18:$AG$42,'Introducció dades consum'!K914+1,0)</f>
        <v>0</v>
      </c>
      <c r="O914" s="370" cm="1">
        <f t="array" ref="O914">+_xlfn.SWITCH(MONTH(C914),1,1,2,1,3,1,4,2,5,2,6,3,7,3,8,3,9,3,10,2,11,2,12,1,2)</f>
        <v>1</v>
      </c>
      <c r="P914" s="43"/>
      <c r="AS914" s="10"/>
      <c r="AT914" s="10"/>
      <c r="AU914" s="10"/>
      <c r="AV914" s="10"/>
      <c r="AW914" s="10"/>
      <c r="AX914" s="10"/>
      <c r="AY914" s="10"/>
      <c r="AZ914" s="10"/>
      <c r="BA914" s="10"/>
      <c r="BB914" s="10"/>
      <c r="BC914" s="10"/>
      <c r="BD914" s="10"/>
      <c r="BE914" s="10"/>
      <c r="BF914" s="10"/>
      <c r="BG914" s="10"/>
      <c r="BH914" s="10"/>
      <c r="BI914" s="10"/>
      <c r="BJ914" s="10"/>
      <c r="BK914" s="10"/>
      <c r="BL914" s="10"/>
      <c r="BM914" s="10"/>
      <c r="BN914" s="10"/>
      <c r="BO914" s="10"/>
      <c r="BP914" s="10"/>
      <c r="BQ914" s="10"/>
      <c r="BR914" s="10"/>
      <c r="BS914" s="10"/>
      <c r="BT914" s="10"/>
      <c r="BU914" s="10"/>
    </row>
    <row r="915" spans="1:73" ht="18" x14ac:dyDescent="0.35">
      <c r="A915" s="43"/>
      <c r="C915" s="393"/>
      <c r="E915" s="394"/>
      <c r="F915" s="394">
        <v>0</v>
      </c>
      <c r="G915" s="394"/>
      <c r="H915" s="8" t="s">
        <v>235</v>
      </c>
      <c r="I915" s="368">
        <f t="shared" si="43"/>
        <v>0</v>
      </c>
      <c r="J915" s="365">
        <f t="shared" si="42"/>
        <v>0</v>
      </c>
      <c r="K915" s="369">
        <f t="shared" si="44"/>
        <v>6</v>
      </c>
      <c r="L915" s="369">
        <f>+IF((C915&gt;='Resultats - informe'!$E$16)*(C915&lt;='Resultats - informe'!$G$16),1,0)</f>
        <v>1</v>
      </c>
      <c r="M915" s="369" cm="1">
        <f t="array" ref="M915">+_xlfn.IFS((C915&gt;='Resultats - informe'!$D$26)*(C915&lt;='Resultats - informe'!$E$26),0,(C915&gt;='Resultats - informe'!$D$27)*(C915&lt;='Resultats - informe'!$E$27),0,(C915&gt;='Resultats - informe'!$D$28)*(C915&lt;='Resultats - informe'!$E$28),0,(C915&gt;='Resultats - informe'!$D$29)*(C915&lt;='Resultats - informe'!$E$29),0,1,1)</f>
        <v>0</v>
      </c>
      <c r="N915" s="366">
        <f>+VLOOKUP(D915,'Resultats - informe'!$Y$18:$AG$42,'Introducció dades consum'!K915+1,0)</f>
        <v>0</v>
      </c>
      <c r="O915" s="370" cm="1">
        <f t="array" ref="O915">+_xlfn.SWITCH(MONTH(C915),1,1,2,1,3,1,4,2,5,2,6,3,7,3,8,3,9,3,10,2,11,2,12,1,2)</f>
        <v>1</v>
      </c>
      <c r="P915" s="43"/>
      <c r="AS915" s="10"/>
      <c r="AT915" s="10"/>
      <c r="AU915" s="10"/>
      <c r="AV915" s="10"/>
      <c r="AW915" s="10"/>
      <c r="AX915" s="10"/>
      <c r="AY915" s="10"/>
      <c r="AZ915" s="10"/>
      <c r="BA915" s="10"/>
      <c r="BB915" s="10"/>
      <c r="BC915" s="10"/>
      <c r="BD915" s="10"/>
      <c r="BE915" s="10"/>
      <c r="BF915" s="10"/>
      <c r="BG915" s="10"/>
      <c r="BH915" s="10"/>
      <c r="BI915" s="10"/>
      <c r="BJ915" s="10"/>
      <c r="BK915" s="10"/>
      <c r="BL915" s="10"/>
      <c r="BM915" s="10"/>
      <c r="BN915" s="10"/>
      <c r="BO915" s="10"/>
      <c r="BP915" s="10"/>
      <c r="BQ915" s="10"/>
      <c r="BR915" s="10"/>
      <c r="BS915" s="10"/>
      <c r="BT915" s="10"/>
      <c r="BU915" s="10"/>
    </row>
    <row r="916" spans="1:73" ht="18" x14ac:dyDescent="0.35">
      <c r="A916" s="43"/>
      <c r="C916" s="393"/>
      <c r="E916" s="394"/>
      <c r="F916" s="394">
        <v>0</v>
      </c>
      <c r="G916" s="394"/>
      <c r="H916" s="8" t="s">
        <v>235</v>
      </c>
      <c r="I916" s="368">
        <f t="shared" si="43"/>
        <v>0</v>
      </c>
      <c r="J916" s="365">
        <f t="shared" si="42"/>
        <v>0</v>
      </c>
      <c r="K916" s="369">
        <f t="shared" si="44"/>
        <v>6</v>
      </c>
      <c r="L916" s="369">
        <f>+IF((C916&gt;='Resultats - informe'!$E$16)*(C916&lt;='Resultats - informe'!$G$16),1,0)</f>
        <v>1</v>
      </c>
      <c r="M916" s="369" cm="1">
        <f t="array" ref="M916">+_xlfn.IFS((C916&gt;='Resultats - informe'!$D$26)*(C916&lt;='Resultats - informe'!$E$26),0,(C916&gt;='Resultats - informe'!$D$27)*(C916&lt;='Resultats - informe'!$E$27),0,(C916&gt;='Resultats - informe'!$D$28)*(C916&lt;='Resultats - informe'!$E$28),0,(C916&gt;='Resultats - informe'!$D$29)*(C916&lt;='Resultats - informe'!$E$29),0,1,1)</f>
        <v>0</v>
      </c>
      <c r="N916" s="366">
        <f>+VLOOKUP(D916,'Resultats - informe'!$Y$18:$AG$42,'Introducció dades consum'!K916+1,0)</f>
        <v>0</v>
      </c>
      <c r="O916" s="370" cm="1">
        <f t="array" ref="O916">+_xlfn.SWITCH(MONTH(C916),1,1,2,1,3,1,4,2,5,2,6,3,7,3,8,3,9,3,10,2,11,2,12,1,2)</f>
        <v>1</v>
      </c>
      <c r="P916" s="43"/>
      <c r="AS916" s="10"/>
      <c r="AT916" s="10"/>
      <c r="AU916" s="10"/>
      <c r="AV916" s="10"/>
      <c r="AW916" s="10"/>
      <c r="AX916" s="10"/>
      <c r="AY916" s="10"/>
      <c r="AZ916" s="10"/>
      <c r="BA916" s="10"/>
      <c r="BB916" s="10"/>
      <c r="BC916" s="10"/>
      <c r="BD916" s="10"/>
      <c r="BE916" s="10"/>
      <c r="BF916" s="10"/>
      <c r="BG916" s="10"/>
      <c r="BH916" s="10"/>
      <c r="BI916" s="10"/>
      <c r="BJ916" s="10"/>
      <c r="BK916" s="10"/>
      <c r="BL916" s="10"/>
      <c r="BM916" s="10"/>
      <c r="BN916" s="10"/>
      <c r="BO916" s="10"/>
      <c r="BP916" s="10"/>
      <c r="BQ916" s="10"/>
      <c r="BR916" s="10"/>
      <c r="BS916" s="10"/>
      <c r="BT916" s="10"/>
      <c r="BU916" s="10"/>
    </row>
    <row r="917" spans="1:73" ht="18" x14ac:dyDescent="0.35">
      <c r="A917" s="43"/>
      <c r="C917" s="393"/>
      <c r="E917" s="394"/>
      <c r="F917" s="394">
        <v>0</v>
      </c>
      <c r="G917" s="394"/>
      <c r="H917" s="8" t="s">
        <v>235</v>
      </c>
      <c r="I917" s="368">
        <f t="shared" si="43"/>
        <v>0</v>
      </c>
      <c r="J917" s="365">
        <f t="shared" si="42"/>
        <v>0</v>
      </c>
      <c r="K917" s="369">
        <f t="shared" si="44"/>
        <v>6</v>
      </c>
      <c r="L917" s="369">
        <f>+IF((C917&gt;='Resultats - informe'!$E$16)*(C917&lt;='Resultats - informe'!$G$16),1,0)</f>
        <v>1</v>
      </c>
      <c r="M917" s="369" cm="1">
        <f t="array" ref="M917">+_xlfn.IFS((C917&gt;='Resultats - informe'!$D$26)*(C917&lt;='Resultats - informe'!$E$26),0,(C917&gt;='Resultats - informe'!$D$27)*(C917&lt;='Resultats - informe'!$E$27),0,(C917&gt;='Resultats - informe'!$D$28)*(C917&lt;='Resultats - informe'!$E$28),0,(C917&gt;='Resultats - informe'!$D$29)*(C917&lt;='Resultats - informe'!$E$29),0,1,1)</f>
        <v>0</v>
      </c>
      <c r="N917" s="366">
        <f>+VLOOKUP(D917,'Resultats - informe'!$Y$18:$AG$42,'Introducció dades consum'!K917+1,0)</f>
        <v>0</v>
      </c>
      <c r="O917" s="370" cm="1">
        <f t="array" ref="O917">+_xlfn.SWITCH(MONTH(C917),1,1,2,1,3,1,4,2,5,2,6,3,7,3,8,3,9,3,10,2,11,2,12,1,2)</f>
        <v>1</v>
      </c>
      <c r="P917" s="43"/>
      <c r="AS917" s="10"/>
      <c r="AT917" s="10"/>
      <c r="AU917" s="10"/>
      <c r="AV917" s="10"/>
      <c r="AW917" s="10"/>
      <c r="AX917" s="10"/>
      <c r="AY917" s="10"/>
      <c r="AZ917" s="10"/>
      <c r="BA917" s="10"/>
      <c r="BB917" s="10"/>
      <c r="BC917" s="10"/>
      <c r="BD917" s="10"/>
      <c r="BE917" s="10"/>
      <c r="BF917" s="10"/>
      <c r="BG917" s="10"/>
      <c r="BH917" s="10"/>
      <c r="BI917" s="10"/>
      <c r="BJ917" s="10"/>
      <c r="BK917" s="10"/>
      <c r="BL917" s="10"/>
      <c r="BM917" s="10"/>
      <c r="BN917" s="10"/>
      <c r="BO917" s="10"/>
      <c r="BP917" s="10"/>
      <c r="BQ917" s="10"/>
      <c r="BR917" s="10"/>
      <c r="BS917" s="10"/>
      <c r="BT917" s="10"/>
      <c r="BU917" s="10"/>
    </row>
    <row r="918" spans="1:73" ht="18" x14ac:dyDescent="0.35">
      <c r="A918" s="43"/>
      <c r="C918" s="393"/>
      <c r="E918" s="394"/>
      <c r="F918" s="394">
        <v>0</v>
      </c>
      <c r="G918" s="394"/>
      <c r="H918" s="8" t="s">
        <v>235</v>
      </c>
      <c r="I918" s="368">
        <f t="shared" si="43"/>
        <v>0</v>
      </c>
      <c r="J918" s="365">
        <f t="shared" si="42"/>
        <v>0</v>
      </c>
      <c r="K918" s="369">
        <f t="shared" si="44"/>
        <v>6</v>
      </c>
      <c r="L918" s="369">
        <f>+IF((C918&gt;='Resultats - informe'!$E$16)*(C918&lt;='Resultats - informe'!$G$16),1,0)</f>
        <v>1</v>
      </c>
      <c r="M918" s="369" cm="1">
        <f t="array" ref="M918">+_xlfn.IFS((C918&gt;='Resultats - informe'!$D$26)*(C918&lt;='Resultats - informe'!$E$26),0,(C918&gt;='Resultats - informe'!$D$27)*(C918&lt;='Resultats - informe'!$E$27),0,(C918&gt;='Resultats - informe'!$D$28)*(C918&lt;='Resultats - informe'!$E$28),0,(C918&gt;='Resultats - informe'!$D$29)*(C918&lt;='Resultats - informe'!$E$29),0,1,1)</f>
        <v>0</v>
      </c>
      <c r="N918" s="366">
        <f>+VLOOKUP(D918,'Resultats - informe'!$Y$18:$AG$42,'Introducció dades consum'!K918+1,0)</f>
        <v>0</v>
      </c>
      <c r="O918" s="370" cm="1">
        <f t="array" ref="O918">+_xlfn.SWITCH(MONTH(C918),1,1,2,1,3,1,4,2,5,2,6,3,7,3,8,3,9,3,10,2,11,2,12,1,2)</f>
        <v>1</v>
      </c>
      <c r="P918" s="43"/>
      <c r="AS918" s="10"/>
      <c r="AT918" s="10"/>
      <c r="AU918" s="10"/>
      <c r="AV918" s="10"/>
      <c r="AW918" s="10"/>
      <c r="AX918" s="10"/>
      <c r="AY918" s="10"/>
      <c r="AZ918" s="10"/>
      <c r="BA918" s="10"/>
      <c r="BB918" s="10"/>
      <c r="BC918" s="10"/>
      <c r="BD918" s="10"/>
      <c r="BE918" s="10"/>
      <c r="BF918" s="10"/>
      <c r="BG918" s="10"/>
      <c r="BH918" s="10"/>
      <c r="BI918" s="10"/>
      <c r="BJ918" s="10"/>
      <c r="BK918" s="10"/>
      <c r="BL918" s="10"/>
      <c r="BM918" s="10"/>
      <c r="BN918" s="10"/>
      <c r="BO918" s="10"/>
      <c r="BP918" s="10"/>
      <c r="BQ918" s="10"/>
      <c r="BR918" s="10"/>
      <c r="BS918" s="10"/>
      <c r="BT918" s="10"/>
      <c r="BU918" s="10"/>
    </row>
    <row r="919" spans="1:73" ht="18" x14ac:dyDescent="0.35">
      <c r="A919" s="43"/>
      <c r="C919" s="393"/>
      <c r="E919" s="394"/>
      <c r="F919" s="394">
        <v>0</v>
      </c>
      <c r="G919" s="394"/>
      <c r="H919" s="8" t="s">
        <v>235</v>
      </c>
      <c r="I919" s="368">
        <f t="shared" si="43"/>
        <v>0</v>
      </c>
      <c r="J919" s="365">
        <f t="shared" si="42"/>
        <v>0</v>
      </c>
      <c r="K919" s="369">
        <f t="shared" si="44"/>
        <v>6</v>
      </c>
      <c r="L919" s="369">
        <f>+IF((C919&gt;='Resultats - informe'!$E$16)*(C919&lt;='Resultats - informe'!$G$16),1,0)</f>
        <v>1</v>
      </c>
      <c r="M919" s="369" cm="1">
        <f t="array" ref="M919">+_xlfn.IFS((C919&gt;='Resultats - informe'!$D$26)*(C919&lt;='Resultats - informe'!$E$26),0,(C919&gt;='Resultats - informe'!$D$27)*(C919&lt;='Resultats - informe'!$E$27),0,(C919&gt;='Resultats - informe'!$D$28)*(C919&lt;='Resultats - informe'!$E$28),0,(C919&gt;='Resultats - informe'!$D$29)*(C919&lt;='Resultats - informe'!$E$29),0,1,1)</f>
        <v>0</v>
      </c>
      <c r="N919" s="366">
        <f>+VLOOKUP(D919,'Resultats - informe'!$Y$18:$AG$42,'Introducció dades consum'!K919+1,0)</f>
        <v>0</v>
      </c>
      <c r="O919" s="370" cm="1">
        <f t="array" ref="O919">+_xlfn.SWITCH(MONTH(C919),1,1,2,1,3,1,4,2,5,2,6,3,7,3,8,3,9,3,10,2,11,2,12,1,2)</f>
        <v>1</v>
      </c>
      <c r="P919" s="43"/>
      <c r="AS919" s="10"/>
      <c r="AT919" s="10"/>
      <c r="AU919" s="10"/>
      <c r="AV919" s="10"/>
      <c r="AW919" s="10"/>
      <c r="AX919" s="10"/>
      <c r="AY919" s="10"/>
      <c r="AZ919" s="10"/>
      <c r="BA919" s="10"/>
      <c r="BB919" s="10"/>
      <c r="BC919" s="10"/>
      <c r="BD919" s="10"/>
      <c r="BE919" s="10"/>
      <c r="BF919" s="10"/>
      <c r="BG919" s="10"/>
      <c r="BH919" s="10"/>
      <c r="BI919" s="10"/>
      <c r="BJ919" s="10"/>
      <c r="BK919" s="10"/>
      <c r="BL919" s="10"/>
      <c r="BM919" s="10"/>
      <c r="BN919" s="10"/>
      <c r="BO919" s="10"/>
      <c r="BP919" s="10"/>
      <c r="BQ919" s="10"/>
      <c r="BR919" s="10"/>
      <c r="BS919" s="10"/>
      <c r="BT919" s="10"/>
      <c r="BU919" s="10"/>
    </row>
    <row r="920" spans="1:73" ht="18" x14ac:dyDescent="0.35">
      <c r="A920" s="43"/>
      <c r="C920" s="393"/>
      <c r="E920" s="394"/>
      <c r="F920" s="394">
        <v>0</v>
      </c>
      <c r="G920" s="394"/>
      <c r="H920" s="8" t="s">
        <v>235</v>
      </c>
      <c r="I920" s="368">
        <f t="shared" si="43"/>
        <v>0</v>
      </c>
      <c r="J920" s="365">
        <f t="shared" si="42"/>
        <v>0</v>
      </c>
      <c r="K920" s="369">
        <f t="shared" si="44"/>
        <v>6</v>
      </c>
      <c r="L920" s="369">
        <f>+IF((C920&gt;='Resultats - informe'!$E$16)*(C920&lt;='Resultats - informe'!$G$16),1,0)</f>
        <v>1</v>
      </c>
      <c r="M920" s="369" cm="1">
        <f t="array" ref="M920">+_xlfn.IFS((C920&gt;='Resultats - informe'!$D$26)*(C920&lt;='Resultats - informe'!$E$26),0,(C920&gt;='Resultats - informe'!$D$27)*(C920&lt;='Resultats - informe'!$E$27),0,(C920&gt;='Resultats - informe'!$D$28)*(C920&lt;='Resultats - informe'!$E$28),0,(C920&gt;='Resultats - informe'!$D$29)*(C920&lt;='Resultats - informe'!$E$29),0,1,1)</f>
        <v>0</v>
      </c>
      <c r="N920" s="366">
        <f>+VLOOKUP(D920,'Resultats - informe'!$Y$18:$AG$42,'Introducció dades consum'!K920+1,0)</f>
        <v>0</v>
      </c>
      <c r="O920" s="370" cm="1">
        <f t="array" ref="O920">+_xlfn.SWITCH(MONTH(C920),1,1,2,1,3,1,4,2,5,2,6,3,7,3,8,3,9,3,10,2,11,2,12,1,2)</f>
        <v>1</v>
      </c>
      <c r="P920" s="43"/>
      <c r="AS920" s="10"/>
      <c r="AT920" s="10"/>
      <c r="AU920" s="10"/>
      <c r="AV920" s="10"/>
      <c r="AW920" s="10"/>
      <c r="AX920" s="10"/>
      <c r="AY920" s="10"/>
      <c r="AZ920" s="10"/>
      <c r="BA920" s="10"/>
      <c r="BB920" s="10"/>
      <c r="BC920" s="10"/>
      <c r="BD920" s="10"/>
      <c r="BE920" s="10"/>
      <c r="BF920" s="10"/>
      <c r="BG920" s="10"/>
      <c r="BH920" s="10"/>
      <c r="BI920" s="10"/>
      <c r="BJ920" s="10"/>
      <c r="BK920" s="10"/>
      <c r="BL920" s="10"/>
      <c r="BM920" s="10"/>
      <c r="BN920" s="10"/>
      <c r="BO920" s="10"/>
      <c r="BP920" s="10"/>
      <c r="BQ920" s="10"/>
      <c r="BR920" s="10"/>
      <c r="BS920" s="10"/>
      <c r="BT920" s="10"/>
      <c r="BU920" s="10"/>
    </row>
    <row r="921" spans="1:73" ht="18" x14ac:dyDescent="0.35">
      <c r="A921" s="43"/>
      <c r="C921" s="393"/>
      <c r="E921" s="394"/>
      <c r="F921" s="394">
        <v>0</v>
      </c>
      <c r="G921" s="394"/>
      <c r="H921" s="8" t="s">
        <v>235</v>
      </c>
      <c r="I921" s="368">
        <f t="shared" si="43"/>
        <v>0</v>
      </c>
      <c r="J921" s="365">
        <f t="shared" si="42"/>
        <v>0</v>
      </c>
      <c r="K921" s="369">
        <f t="shared" si="44"/>
        <v>6</v>
      </c>
      <c r="L921" s="369">
        <f>+IF((C921&gt;='Resultats - informe'!$E$16)*(C921&lt;='Resultats - informe'!$G$16),1,0)</f>
        <v>1</v>
      </c>
      <c r="M921" s="369" cm="1">
        <f t="array" ref="M921">+_xlfn.IFS((C921&gt;='Resultats - informe'!$D$26)*(C921&lt;='Resultats - informe'!$E$26),0,(C921&gt;='Resultats - informe'!$D$27)*(C921&lt;='Resultats - informe'!$E$27),0,(C921&gt;='Resultats - informe'!$D$28)*(C921&lt;='Resultats - informe'!$E$28),0,(C921&gt;='Resultats - informe'!$D$29)*(C921&lt;='Resultats - informe'!$E$29),0,1,1)</f>
        <v>0</v>
      </c>
      <c r="N921" s="366">
        <f>+VLOOKUP(D921,'Resultats - informe'!$Y$18:$AG$42,'Introducció dades consum'!K921+1,0)</f>
        <v>0</v>
      </c>
      <c r="O921" s="370" cm="1">
        <f t="array" ref="O921">+_xlfn.SWITCH(MONTH(C921),1,1,2,1,3,1,4,2,5,2,6,3,7,3,8,3,9,3,10,2,11,2,12,1,2)</f>
        <v>1</v>
      </c>
      <c r="P921" s="43"/>
      <c r="AS921" s="10"/>
      <c r="AT921" s="10"/>
      <c r="AU921" s="10"/>
      <c r="AV921" s="10"/>
      <c r="AW921" s="10"/>
      <c r="AX921" s="10"/>
      <c r="AY921" s="10"/>
      <c r="AZ921" s="10"/>
      <c r="BA921" s="10"/>
      <c r="BB921" s="10"/>
      <c r="BC921" s="10"/>
      <c r="BD921" s="10"/>
      <c r="BE921" s="10"/>
      <c r="BF921" s="10"/>
      <c r="BG921" s="10"/>
      <c r="BH921" s="10"/>
      <c r="BI921" s="10"/>
      <c r="BJ921" s="10"/>
      <c r="BK921" s="10"/>
      <c r="BL921" s="10"/>
      <c r="BM921" s="10"/>
      <c r="BN921" s="10"/>
      <c r="BO921" s="10"/>
      <c r="BP921" s="10"/>
      <c r="BQ921" s="10"/>
      <c r="BR921" s="10"/>
      <c r="BS921" s="10"/>
      <c r="BT921" s="10"/>
      <c r="BU921" s="10"/>
    </row>
    <row r="922" spans="1:73" ht="18" x14ac:dyDescent="0.35">
      <c r="A922" s="43"/>
      <c r="C922" s="393"/>
      <c r="E922" s="394"/>
      <c r="F922" s="394">
        <v>0</v>
      </c>
      <c r="G922" s="394"/>
      <c r="H922" s="8" t="s">
        <v>235</v>
      </c>
      <c r="I922" s="368">
        <f t="shared" si="43"/>
        <v>0</v>
      </c>
      <c r="J922" s="365">
        <f t="shared" si="42"/>
        <v>0</v>
      </c>
      <c r="K922" s="369">
        <f t="shared" si="44"/>
        <v>6</v>
      </c>
      <c r="L922" s="369">
        <f>+IF((C922&gt;='Resultats - informe'!$E$16)*(C922&lt;='Resultats - informe'!$G$16),1,0)</f>
        <v>1</v>
      </c>
      <c r="M922" s="369" cm="1">
        <f t="array" ref="M922">+_xlfn.IFS((C922&gt;='Resultats - informe'!$D$26)*(C922&lt;='Resultats - informe'!$E$26),0,(C922&gt;='Resultats - informe'!$D$27)*(C922&lt;='Resultats - informe'!$E$27),0,(C922&gt;='Resultats - informe'!$D$28)*(C922&lt;='Resultats - informe'!$E$28),0,(C922&gt;='Resultats - informe'!$D$29)*(C922&lt;='Resultats - informe'!$E$29),0,1,1)</f>
        <v>0</v>
      </c>
      <c r="N922" s="366">
        <f>+VLOOKUP(D922,'Resultats - informe'!$Y$18:$AG$42,'Introducció dades consum'!K922+1,0)</f>
        <v>0</v>
      </c>
      <c r="O922" s="370" cm="1">
        <f t="array" ref="O922">+_xlfn.SWITCH(MONTH(C922),1,1,2,1,3,1,4,2,5,2,6,3,7,3,8,3,9,3,10,2,11,2,12,1,2)</f>
        <v>1</v>
      </c>
      <c r="P922" s="43"/>
      <c r="AS922" s="10"/>
      <c r="AT922" s="10"/>
      <c r="AU922" s="10"/>
      <c r="AV922" s="10"/>
      <c r="AW922" s="10"/>
      <c r="AX922" s="10"/>
      <c r="AY922" s="10"/>
      <c r="AZ922" s="10"/>
      <c r="BA922" s="10"/>
      <c r="BB922" s="10"/>
      <c r="BC922" s="10"/>
      <c r="BD922" s="10"/>
      <c r="BE922" s="10"/>
      <c r="BF922" s="10"/>
      <c r="BG922" s="10"/>
      <c r="BH922" s="10"/>
      <c r="BI922" s="10"/>
      <c r="BJ922" s="10"/>
      <c r="BK922" s="10"/>
      <c r="BL922" s="10"/>
      <c r="BM922" s="10"/>
      <c r="BN922" s="10"/>
      <c r="BO922" s="10"/>
      <c r="BP922" s="10"/>
      <c r="BQ922" s="10"/>
      <c r="BR922" s="10"/>
      <c r="BS922" s="10"/>
      <c r="BT922" s="10"/>
      <c r="BU922" s="10"/>
    </row>
    <row r="923" spans="1:73" ht="18" x14ac:dyDescent="0.35">
      <c r="A923" s="43"/>
      <c r="C923" s="393"/>
      <c r="E923" s="394"/>
      <c r="F923" s="394">
        <v>0</v>
      </c>
      <c r="G923" s="394"/>
      <c r="H923" s="8" t="s">
        <v>235</v>
      </c>
      <c r="I923" s="368">
        <f t="shared" si="43"/>
        <v>0</v>
      </c>
      <c r="J923" s="365">
        <f t="shared" si="42"/>
        <v>0</v>
      </c>
      <c r="K923" s="369">
        <f t="shared" si="44"/>
        <v>6</v>
      </c>
      <c r="L923" s="369">
        <f>+IF((C923&gt;='Resultats - informe'!$E$16)*(C923&lt;='Resultats - informe'!$G$16),1,0)</f>
        <v>1</v>
      </c>
      <c r="M923" s="369" cm="1">
        <f t="array" ref="M923">+_xlfn.IFS((C923&gt;='Resultats - informe'!$D$26)*(C923&lt;='Resultats - informe'!$E$26),0,(C923&gt;='Resultats - informe'!$D$27)*(C923&lt;='Resultats - informe'!$E$27),0,(C923&gt;='Resultats - informe'!$D$28)*(C923&lt;='Resultats - informe'!$E$28),0,(C923&gt;='Resultats - informe'!$D$29)*(C923&lt;='Resultats - informe'!$E$29),0,1,1)</f>
        <v>0</v>
      </c>
      <c r="N923" s="366">
        <f>+VLOOKUP(D923,'Resultats - informe'!$Y$18:$AG$42,'Introducció dades consum'!K923+1,0)</f>
        <v>0</v>
      </c>
      <c r="O923" s="370" cm="1">
        <f t="array" ref="O923">+_xlfn.SWITCH(MONTH(C923),1,1,2,1,3,1,4,2,5,2,6,3,7,3,8,3,9,3,10,2,11,2,12,1,2)</f>
        <v>1</v>
      </c>
      <c r="P923" s="43"/>
      <c r="AS923" s="10"/>
      <c r="AT923" s="10"/>
      <c r="AU923" s="10"/>
      <c r="AV923" s="10"/>
      <c r="AW923" s="10"/>
      <c r="AX923" s="10"/>
      <c r="AY923" s="10"/>
      <c r="AZ923" s="10"/>
      <c r="BA923" s="10"/>
      <c r="BB923" s="10"/>
      <c r="BC923" s="10"/>
      <c r="BD923" s="10"/>
      <c r="BE923" s="10"/>
      <c r="BF923" s="10"/>
      <c r="BG923" s="10"/>
      <c r="BH923" s="10"/>
      <c r="BI923" s="10"/>
      <c r="BJ923" s="10"/>
      <c r="BK923" s="10"/>
      <c r="BL923" s="10"/>
      <c r="BM923" s="10"/>
      <c r="BN923" s="10"/>
      <c r="BO923" s="10"/>
      <c r="BP923" s="10"/>
      <c r="BQ923" s="10"/>
      <c r="BR923" s="10"/>
      <c r="BS923" s="10"/>
      <c r="BT923" s="10"/>
      <c r="BU923" s="10"/>
    </row>
    <row r="924" spans="1:73" ht="18" x14ac:dyDescent="0.35">
      <c r="A924" s="43"/>
      <c r="C924" s="393"/>
      <c r="E924" s="394"/>
      <c r="F924" s="394">
        <v>0.221</v>
      </c>
      <c r="G924" s="394"/>
      <c r="H924" s="8" t="s">
        <v>235</v>
      </c>
      <c r="I924" s="368">
        <f t="shared" si="43"/>
        <v>0</v>
      </c>
      <c r="J924" s="365">
        <f t="shared" si="42"/>
        <v>0</v>
      </c>
      <c r="K924" s="369">
        <f t="shared" si="44"/>
        <v>6</v>
      </c>
      <c r="L924" s="369">
        <f>+IF((C924&gt;='Resultats - informe'!$E$16)*(C924&lt;='Resultats - informe'!$G$16),1,0)</f>
        <v>1</v>
      </c>
      <c r="M924" s="369" cm="1">
        <f t="array" ref="M924">+_xlfn.IFS((C924&gt;='Resultats - informe'!$D$26)*(C924&lt;='Resultats - informe'!$E$26),0,(C924&gt;='Resultats - informe'!$D$27)*(C924&lt;='Resultats - informe'!$E$27),0,(C924&gt;='Resultats - informe'!$D$28)*(C924&lt;='Resultats - informe'!$E$28),0,(C924&gt;='Resultats - informe'!$D$29)*(C924&lt;='Resultats - informe'!$E$29),0,1,1)</f>
        <v>0</v>
      </c>
      <c r="N924" s="366">
        <f>+VLOOKUP(D924,'Resultats - informe'!$Y$18:$AG$42,'Introducció dades consum'!K924+1,0)</f>
        <v>0</v>
      </c>
      <c r="O924" s="370" cm="1">
        <f t="array" ref="O924">+_xlfn.SWITCH(MONTH(C924),1,1,2,1,3,1,4,2,5,2,6,3,7,3,8,3,9,3,10,2,11,2,12,1,2)</f>
        <v>1</v>
      </c>
      <c r="P924" s="43"/>
      <c r="AS924" s="10"/>
      <c r="AT924" s="10"/>
      <c r="AU924" s="10"/>
      <c r="AV924" s="10"/>
      <c r="AW924" s="10"/>
      <c r="AX924" s="10"/>
      <c r="AY924" s="10"/>
      <c r="AZ924" s="10"/>
      <c r="BA924" s="10"/>
      <c r="BB924" s="10"/>
      <c r="BC924" s="10"/>
      <c r="BD924" s="10"/>
      <c r="BE924" s="10"/>
      <c r="BF924" s="10"/>
      <c r="BG924" s="10"/>
      <c r="BH924" s="10"/>
      <c r="BI924" s="10"/>
      <c r="BJ924" s="10"/>
      <c r="BK924" s="10"/>
      <c r="BL924" s="10"/>
      <c r="BM924" s="10"/>
      <c r="BN924" s="10"/>
      <c r="BO924" s="10"/>
      <c r="BP924" s="10"/>
      <c r="BQ924" s="10"/>
      <c r="BR924" s="10"/>
      <c r="BS924" s="10"/>
      <c r="BT924" s="10"/>
      <c r="BU924" s="10"/>
    </row>
    <row r="925" spans="1:73" ht="18" x14ac:dyDescent="0.35">
      <c r="A925" s="43"/>
      <c r="C925" s="393"/>
      <c r="E925" s="394"/>
      <c r="F925" s="394">
        <v>0.874</v>
      </c>
      <c r="G925" s="394"/>
      <c r="H925" s="8" t="s">
        <v>235</v>
      </c>
      <c r="I925" s="368">
        <f t="shared" si="43"/>
        <v>0</v>
      </c>
      <c r="J925" s="365">
        <f t="shared" si="42"/>
        <v>0</v>
      </c>
      <c r="K925" s="369">
        <f t="shared" si="44"/>
        <v>6</v>
      </c>
      <c r="L925" s="369">
        <f>+IF((C925&gt;='Resultats - informe'!$E$16)*(C925&lt;='Resultats - informe'!$G$16),1,0)</f>
        <v>1</v>
      </c>
      <c r="M925" s="369" cm="1">
        <f t="array" ref="M925">+_xlfn.IFS((C925&gt;='Resultats - informe'!$D$26)*(C925&lt;='Resultats - informe'!$E$26),0,(C925&gt;='Resultats - informe'!$D$27)*(C925&lt;='Resultats - informe'!$E$27),0,(C925&gt;='Resultats - informe'!$D$28)*(C925&lt;='Resultats - informe'!$E$28),0,(C925&gt;='Resultats - informe'!$D$29)*(C925&lt;='Resultats - informe'!$E$29),0,1,1)</f>
        <v>0</v>
      </c>
      <c r="N925" s="366">
        <f>+VLOOKUP(D925,'Resultats - informe'!$Y$18:$AG$42,'Introducció dades consum'!K925+1,0)</f>
        <v>0</v>
      </c>
      <c r="O925" s="370" cm="1">
        <f t="array" ref="O925">+_xlfn.SWITCH(MONTH(C925),1,1,2,1,3,1,4,2,5,2,6,3,7,3,8,3,9,3,10,2,11,2,12,1,2)</f>
        <v>1</v>
      </c>
      <c r="P925" s="43"/>
      <c r="AS925" s="10"/>
      <c r="AT925" s="10"/>
      <c r="AU925" s="10"/>
      <c r="AV925" s="10"/>
      <c r="AW925" s="10"/>
      <c r="AX925" s="10"/>
      <c r="AY925" s="10"/>
      <c r="AZ925" s="10"/>
      <c r="BA925" s="10"/>
      <c r="BB925" s="10"/>
      <c r="BC925" s="10"/>
      <c r="BD925" s="10"/>
      <c r="BE925" s="10"/>
      <c r="BF925" s="10"/>
      <c r="BG925" s="10"/>
      <c r="BH925" s="10"/>
      <c r="BI925" s="10"/>
      <c r="BJ925" s="10"/>
      <c r="BK925" s="10"/>
      <c r="BL925" s="10"/>
      <c r="BM925" s="10"/>
      <c r="BN925" s="10"/>
      <c r="BO925" s="10"/>
      <c r="BP925" s="10"/>
      <c r="BQ925" s="10"/>
      <c r="BR925" s="10"/>
      <c r="BS925" s="10"/>
      <c r="BT925" s="10"/>
      <c r="BU925" s="10"/>
    </row>
    <row r="926" spans="1:73" ht="18" x14ac:dyDescent="0.35">
      <c r="A926" s="43"/>
      <c r="C926" s="393"/>
      <c r="E926" s="394"/>
      <c r="F926" s="394">
        <v>1.3680000000000001</v>
      </c>
      <c r="G926" s="394"/>
      <c r="H926" s="8" t="s">
        <v>235</v>
      </c>
      <c r="I926" s="368">
        <f t="shared" si="43"/>
        <v>0</v>
      </c>
      <c r="J926" s="365">
        <f t="shared" si="42"/>
        <v>0</v>
      </c>
      <c r="K926" s="369">
        <f t="shared" si="44"/>
        <v>6</v>
      </c>
      <c r="L926" s="369">
        <f>+IF((C926&gt;='Resultats - informe'!$E$16)*(C926&lt;='Resultats - informe'!$G$16),1,0)</f>
        <v>1</v>
      </c>
      <c r="M926" s="369" cm="1">
        <f t="array" ref="M926">+_xlfn.IFS((C926&gt;='Resultats - informe'!$D$26)*(C926&lt;='Resultats - informe'!$E$26),0,(C926&gt;='Resultats - informe'!$D$27)*(C926&lt;='Resultats - informe'!$E$27),0,(C926&gt;='Resultats - informe'!$D$28)*(C926&lt;='Resultats - informe'!$E$28),0,(C926&gt;='Resultats - informe'!$D$29)*(C926&lt;='Resultats - informe'!$E$29),0,1,1)</f>
        <v>0</v>
      </c>
      <c r="N926" s="366">
        <f>+VLOOKUP(D926,'Resultats - informe'!$Y$18:$AG$42,'Introducció dades consum'!K926+1,0)</f>
        <v>0</v>
      </c>
      <c r="O926" s="370" cm="1">
        <f t="array" ref="O926">+_xlfn.SWITCH(MONTH(C926),1,1,2,1,3,1,4,2,5,2,6,3,7,3,8,3,9,3,10,2,11,2,12,1,2)</f>
        <v>1</v>
      </c>
      <c r="P926" s="43"/>
      <c r="AS926" s="10"/>
      <c r="AT926" s="10"/>
      <c r="AU926" s="10"/>
      <c r="AV926" s="10"/>
      <c r="AW926" s="10"/>
      <c r="AX926" s="10"/>
      <c r="AY926" s="10"/>
      <c r="AZ926" s="10"/>
      <c r="BA926" s="10"/>
      <c r="BB926" s="10"/>
      <c r="BC926" s="10"/>
      <c r="BD926" s="10"/>
      <c r="BE926" s="10"/>
      <c r="BF926" s="10"/>
      <c r="BG926" s="10"/>
      <c r="BH926" s="10"/>
      <c r="BI926" s="10"/>
      <c r="BJ926" s="10"/>
      <c r="BK926" s="10"/>
      <c r="BL926" s="10"/>
      <c r="BM926" s="10"/>
      <c r="BN926" s="10"/>
      <c r="BO926" s="10"/>
      <c r="BP926" s="10"/>
      <c r="BQ926" s="10"/>
      <c r="BR926" s="10"/>
      <c r="BS926" s="10"/>
      <c r="BT926" s="10"/>
      <c r="BU926" s="10"/>
    </row>
    <row r="927" spans="1:73" ht="18" x14ac:dyDescent="0.35">
      <c r="A927" s="43"/>
      <c r="C927" s="393"/>
      <c r="E927" s="394"/>
      <c r="F927" s="394">
        <v>1.827</v>
      </c>
      <c r="G927" s="394"/>
      <c r="H927" s="8" t="s">
        <v>235</v>
      </c>
      <c r="I927" s="368">
        <f t="shared" si="43"/>
        <v>0</v>
      </c>
      <c r="J927" s="365">
        <f t="shared" si="42"/>
        <v>0</v>
      </c>
      <c r="K927" s="369">
        <f t="shared" si="44"/>
        <v>6</v>
      </c>
      <c r="L927" s="369">
        <f>+IF((C927&gt;='Resultats - informe'!$E$16)*(C927&lt;='Resultats - informe'!$G$16),1,0)</f>
        <v>1</v>
      </c>
      <c r="M927" s="369" cm="1">
        <f t="array" ref="M927">+_xlfn.IFS((C927&gt;='Resultats - informe'!$D$26)*(C927&lt;='Resultats - informe'!$E$26),0,(C927&gt;='Resultats - informe'!$D$27)*(C927&lt;='Resultats - informe'!$E$27),0,(C927&gt;='Resultats - informe'!$D$28)*(C927&lt;='Resultats - informe'!$E$28),0,(C927&gt;='Resultats - informe'!$D$29)*(C927&lt;='Resultats - informe'!$E$29),0,1,1)</f>
        <v>0</v>
      </c>
      <c r="N927" s="366">
        <f>+VLOOKUP(D927,'Resultats - informe'!$Y$18:$AG$42,'Introducció dades consum'!K927+1,0)</f>
        <v>0</v>
      </c>
      <c r="O927" s="370" cm="1">
        <f t="array" ref="O927">+_xlfn.SWITCH(MONTH(C927),1,1,2,1,3,1,4,2,5,2,6,3,7,3,8,3,9,3,10,2,11,2,12,1,2)</f>
        <v>1</v>
      </c>
      <c r="P927" s="43"/>
      <c r="AS927" s="10"/>
      <c r="AT927" s="10"/>
      <c r="AU927" s="10"/>
      <c r="AV927" s="10"/>
      <c r="AW927" s="10"/>
      <c r="AX927" s="10"/>
      <c r="AY927" s="10"/>
      <c r="AZ927" s="10"/>
      <c r="BA927" s="10"/>
      <c r="BB927" s="10"/>
      <c r="BC927" s="10"/>
      <c r="BD927" s="10"/>
      <c r="BE927" s="10"/>
      <c r="BF927" s="10"/>
      <c r="BG927" s="10"/>
      <c r="BH927" s="10"/>
      <c r="BI927" s="10"/>
      <c r="BJ927" s="10"/>
      <c r="BK927" s="10"/>
      <c r="BL927" s="10"/>
      <c r="BM927" s="10"/>
      <c r="BN927" s="10"/>
      <c r="BO927" s="10"/>
      <c r="BP927" s="10"/>
      <c r="BQ927" s="10"/>
      <c r="BR927" s="10"/>
      <c r="BS927" s="10"/>
      <c r="BT927" s="10"/>
      <c r="BU927" s="10"/>
    </row>
    <row r="928" spans="1:73" ht="18" x14ac:dyDescent="0.35">
      <c r="A928" s="43"/>
      <c r="C928" s="393"/>
      <c r="E928" s="394"/>
      <c r="F928" s="394">
        <v>2.0099999999999998</v>
      </c>
      <c r="G928" s="394"/>
      <c r="H928" s="8" t="s">
        <v>235</v>
      </c>
      <c r="I928" s="368">
        <f t="shared" si="43"/>
        <v>0</v>
      </c>
      <c r="J928" s="365">
        <f t="shared" si="42"/>
        <v>0</v>
      </c>
      <c r="K928" s="369">
        <f t="shared" si="44"/>
        <v>6</v>
      </c>
      <c r="L928" s="369">
        <f>+IF((C928&gt;='Resultats - informe'!$E$16)*(C928&lt;='Resultats - informe'!$G$16),1,0)</f>
        <v>1</v>
      </c>
      <c r="M928" s="369" cm="1">
        <f t="array" ref="M928">+_xlfn.IFS((C928&gt;='Resultats - informe'!$D$26)*(C928&lt;='Resultats - informe'!$E$26),0,(C928&gt;='Resultats - informe'!$D$27)*(C928&lt;='Resultats - informe'!$E$27),0,(C928&gt;='Resultats - informe'!$D$28)*(C928&lt;='Resultats - informe'!$E$28),0,(C928&gt;='Resultats - informe'!$D$29)*(C928&lt;='Resultats - informe'!$E$29),0,1,1)</f>
        <v>0</v>
      </c>
      <c r="N928" s="366">
        <f>+VLOOKUP(D928,'Resultats - informe'!$Y$18:$AG$42,'Introducció dades consum'!K928+1,0)</f>
        <v>0</v>
      </c>
      <c r="O928" s="370" cm="1">
        <f t="array" ref="O928">+_xlfn.SWITCH(MONTH(C928),1,1,2,1,3,1,4,2,5,2,6,3,7,3,8,3,9,3,10,2,11,2,12,1,2)</f>
        <v>1</v>
      </c>
      <c r="P928" s="43"/>
      <c r="AS928" s="10"/>
      <c r="AT928" s="10"/>
      <c r="AU928" s="10"/>
      <c r="AV928" s="10"/>
      <c r="AW928" s="10"/>
      <c r="AX928" s="10"/>
      <c r="AY928" s="10"/>
      <c r="AZ928" s="10"/>
      <c r="BA928" s="10"/>
      <c r="BB928" s="10"/>
      <c r="BC928" s="10"/>
      <c r="BD928" s="10"/>
      <c r="BE928" s="10"/>
      <c r="BF928" s="10"/>
      <c r="BG928" s="10"/>
      <c r="BH928" s="10"/>
      <c r="BI928" s="10"/>
      <c r="BJ928" s="10"/>
      <c r="BK928" s="10"/>
      <c r="BL928" s="10"/>
      <c r="BM928" s="10"/>
      <c r="BN928" s="10"/>
      <c r="BO928" s="10"/>
      <c r="BP928" s="10"/>
      <c r="BQ928" s="10"/>
      <c r="BR928" s="10"/>
      <c r="BS928" s="10"/>
      <c r="BT928" s="10"/>
      <c r="BU928" s="10"/>
    </row>
    <row r="929" spans="1:73" ht="18" x14ac:dyDescent="0.35">
      <c r="A929" s="43"/>
      <c r="C929" s="393"/>
      <c r="E929" s="394"/>
      <c r="F929" s="394">
        <v>1.841</v>
      </c>
      <c r="G929" s="394"/>
      <c r="H929" s="8" t="s">
        <v>235</v>
      </c>
      <c r="I929" s="368">
        <f t="shared" si="43"/>
        <v>0</v>
      </c>
      <c r="J929" s="365">
        <f t="shared" si="42"/>
        <v>0</v>
      </c>
      <c r="K929" s="369">
        <f t="shared" si="44"/>
        <v>6</v>
      </c>
      <c r="L929" s="369">
        <f>+IF((C929&gt;='Resultats - informe'!$E$16)*(C929&lt;='Resultats - informe'!$G$16),1,0)</f>
        <v>1</v>
      </c>
      <c r="M929" s="369" cm="1">
        <f t="array" ref="M929">+_xlfn.IFS((C929&gt;='Resultats - informe'!$D$26)*(C929&lt;='Resultats - informe'!$E$26),0,(C929&gt;='Resultats - informe'!$D$27)*(C929&lt;='Resultats - informe'!$E$27),0,(C929&gt;='Resultats - informe'!$D$28)*(C929&lt;='Resultats - informe'!$E$28),0,(C929&gt;='Resultats - informe'!$D$29)*(C929&lt;='Resultats - informe'!$E$29),0,1,1)</f>
        <v>0</v>
      </c>
      <c r="N929" s="366">
        <f>+VLOOKUP(D929,'Resultats - informe'!$Y$18:$AG$42,'Introducció dades consum'!K929+1,0)</f>
        <v>0</v>
      </c>
      <c r="O929" s="370" cm="1">
        <f t="array" ref="O929">+_xlfn.SWITCH(MONTH(C929),1,1,2,1,3,1,4,2,5,2,6,3,7,3,8,3,9,3,10,2,11,2,12,1,2)</f>
        <v>1</v>
      </c>
      <c r="P929" s="43"/>
      <c r="AS929" s="10"/>
      <c r="AT929" s="10"/>
      <c r="AU929" s="10"/>
      <c r="AV929" s="10"/>
      <c r="AW929" s="10"/>
      <c r="AX929" s="10"/>
      <c r="AY929" s="10"/>
      <c r="AZ929" s="10"/>
      <c r="BA929" s="10"/>
      <c r="BB929" s="10"/>
      <c r="BC929" s="10"/>
      <c r="BD929" s="10"/>
      <c r="BE929" s="10"/>
      <c r="BF929" s="10"/>
      <c r="BG929" s="10"/>
      <c r="BH929" s="10"/>
      <c r="BI929" s="10"/>
      <c r="BJ929" s="10"/>
      <c r="BK929" s="10"/>
      <c r="BL929" s="10"/>
      <c r="BM929" s="10"/>
      <c r="BN929" s="10"/>
      <c r="BO929" s="10"/>
      <c r="BP929" s="10"/>
      <c r="BQ929" s="10"/>
      <c r="BR929" s="10"/>
      <c r="BS929" s="10"/>
      <c r="BT929" s="10"/>
      <c r="BU929" s="10"/>
    </row>
    <row r="930" spans="1:73" ht="18" x14ac:dyDescent="0.35">
      <c r="A930" s="43"/>
      <c r="C930" s="393"/>
      <c r="E930" s="394"/>
      <c r="F930" s="394">
        <v>1.4890000000000001</v>
      </c>
      <c r="G930" s="394"/>
      <c r="H930" s="8" t="s">
        <v>235</v>
      </c>
      <c r="I930" s="368">
        <f t="shared" si="43"/>
        <v>0</v>
      </c>
      <c r="J930" s="365">
        <f t="shared" si="42"/>
        <v>0</v>
      </c>
      <c r="K930" s="369">
        <f t="shared" si="44"/>
        <v>6</v>
      </c>
      <c r="L930" s="369">
        <f>+IF((C930&gt;='Resultats - informe'!$E$16)*(C930&lt;='Resultats - informe'!$G$16),1,0)</f>
        <v>1</v>
      </c>
      <c r="M930" s="369" cm="1">
        <f t="array" ref="M930">+_xlfn.IFS((C930&gt;='Resultats - informe'!$D$26)*(C930&lt;='Resultats - informe'!$E$26),0,(C930&gt;='Resultats - informe'!$D$27)*(C930&lt;='Resultats - informe'!$E$27),0,(C930&gt;='Resultats - informe'!$D$28)*(C930&lt;='Resultats - informe'!$E$28),0,(C930&gt;='Resultats - informe'!$D$29)*(C930&lt;='Resultats - informe'!$E$29),0,1,1)</f>
        <v>0</v>
      </c>
      <c r="N930" s="366">
        <f>+VLOOKUP(D930,'Resultats - informe'!$Y$18:$AG$42,'Introducció dades consum'!K930+1,0)</f>
        <v>0</v>
      </c>
      <c r="O930" s="370" cm="1">
        <f t="array" ref="O930">+_xlfn.SWITCH(MONTH(C930),1,1,2,1,3,1,4,2,5,2,6,3,7,3,8,3,9,3,10,2,11,2,12,1,2)</f>
        <v>1</v>
      </c>
      <c r="P930" s="43"/>
      <c r="AS930" s="10"/>
      <c r="AT930" s="10"/>
      <c r="AU930" s="10"/>
      <c r="AV930" s="10"/>
      <c r="AW930" s="10"/>
      <c r="AX930" s="10"/>
      <c r="AY930" s="10"/>
      <c r="AZ930" s="10"/>
      <c r="BA930" s="10"/>
      <c r="BB930" s="10"/>
      <c r="BC930" s="10"/>
      <c r="BD930" s="10"/>
      <c r="BE930" s="10"/>
      <c r="BF930" s="10"/>
      <c r="BG930" s="10"/>
      <c r="BH930" s="10"/>
      <c r="BI930" s="10"/>
      <c r="BJ930" s="10"/>
      <c r="BK930" s="10"/>
      <c r="BL930" s="10"/>
      <c r="BM930" s="10"/>
      <c r="BN930" s="10"/>
      <c r="BO930" s="10"/>
      <c r="BP930" s="10"/>
      <c r="BQ930" s="10"/>
      <c r="BR930" s="10"/>
      <c r="BS930" s="10"/>
      <c r="BT930" s="10"/>
      <c r="BU930" s="10"/>
    </row>
    <row r="931" spans="1:73" ht="18" x14ac:dyDescent="0.35">
      <c r="A931" s="43"/>
      <c r="C931" s="393"/>
      <c r="E931" s="394"/>
      <c r="F931" s="394">
        <v>0.88500000000000001</v>
      </c>
      <c r="G931" s="394"/>
      <c r="H931" s="8" t="s">
        <v>235</v>
      </c>
      <c r="I931" s="368">
        <f t="shared" si="43"/>
        <v>0</v>
      </c>
      <c r="J931" s="365">
        <f t="shared" si="42"/>
        <v>0</v>
      </c>
      <c r="K931" s="369">
        <f t="shared" si="44"/>
        <v>6</v>
      </c>
      <c r="L931" s="369">
        <f>+IF((C931&gt;='Resultats - informe'!$E$16)*(C931&lt;='Resultats - informe'!$G$16),1,0)</f>
        <v>1</v>
      </c>
      <c r="M931" s="369" cm="1">
        <f t="array" ref="M931">+_xlfn.IFS((C931&gt;='Resultats - informe'!$D$26)*(C931&lt;='Resultats - informe'!$E$26),0,(C931&gt;='Resultats - informe'!$D$27)*(C931&lt;='Resultats - informe'!$E$27),0,(C931&gt;='Resultats - informe'!$D$28)*(C931&lt;='Resultats - informe'!$E$28),0,(C931&gt;='Resultats - informe'!$D$29)*(C931&lt;='Resultats - informe'!$E$29),0,1,1)</f>
        <v>0</v>
      </c>
      <c r="N931" s="366">
        <f>+VLOOKUP(D931,'Resultats - informe'!$Y$18:$AG$42,'Introducció dades consum'!K931+1,0)</f>
        <v>0</v>
      </c>
      <c r="O931" s="370" cm="1">
        <f t="array" ref="O931">+_xlfn.SWITCH(MONTH(C931),1,1,2,1,3,1,4,2,5,2,6,3,7,3,8,3,9,3,10,2,11,2,12,1,2)</f>
        <v>1</v>
      </c>
      <c r="P931" s="43"/>
      <c r="AS931" s="10"/>
      <c r="AT931" s="10"/>
      <c r="AU931" s="10"/>
      <c r="AV931" s="10"/>
      <c r="AW931" s="10"/>
      <c r="AX931" s="10"/>
      <c r="AY931" s="10"/>
      <c r="AZ931" s="10"/>
      <c r="BA931" s="10"/>
      <c r="BB931" s="10"/>
      <c r="BC931" s="10"/>
      <c r="BD931" s="10"/>
      <c r="BE931" s="10"/>
      <c r="BF931" s="10"/>
      <c r="BG931" s="10"/>
      <c r="BH931" s="10"/>
      <c r="BI931" s="10"/>
      <c r="BJ931" s="10"/>
      <c r="BK931" s="10"/>
      <c r="BL931" s="10"/>
      <c r="BM931" s="10"/>
      <c r="BN931" s="10"/>
      <c r="BO931" s="10"/>
      <c r="BP931" s="10"/>
      <c r="BQ931" s="10"/>
      <c r="BR931" s="10"/>
      <c r="BS931" s="10"/>
      <c r="BT931" s="10"/>
      <c r="BU931" s="10"/>
    </row>
    <row r="932" spans="1:73" ht="18" x14ac:dyDescent="0.35">
      <c r="A932" s="43"/>
      <c r="C932" s="393"/>
      <c r="E932" s="394"/>
      <c r="F932" s="394">
        <v>0.25</v>
      </c>
      <c r="G932" s="394"/>
      <c r="H932" s="8" t="s">
        <v>235</v>
      </c>
      <c r="I932" s="368">
        <f t="shared" si="43"/>
        <v>0</v>
      </c>
      <c r="J932" s="365">
        <f t="shared" si="42"/>
        <v>0</v>
      </c>
      <c r="K932" s="369">
        <f t="shared" si="44"/>
        <v>6</v>
      </c>
      <c r="L932" s="369">
        <f>+IF((C932&gt;='Resultats - informe'!$E$16)*(C932&lt;='Resultats - informe'!$G$16),1,0)</f>
        <v>1</v>
      </c>
      <c r="M932" s="369" cm="1">
        <f t="array" ref="M932">+_xlfn.IFS((C932&gt;='Resultats - informe'!$D$26)*(C932&lt;='Resultats - informe'!$E$26),0,(C932&gt;='Resultats - informe'!$D$27)*(C932&lt;='Resultats - informe'!$E$27),0,(C932&gt;='Resultats - informe'!$D$28)*(C932&lt;='Resultats - informe'!$E$28),0,(C932&gt;='Resultats - informe'!$D$29)*(C932&lt;='Resultats - informe'!$E$29),0,1,1)</f>
        <v>0</v>
      </c>
      <c r="N932" s="366">
        <f>+VLOOKUP(D932,'Resultats - informe'!$Y$18:$AG$42,'Introducció dades consum'!K932+1,0)</f>
        <v>0</v>
      </c>
      <c r="O932" s="370" cm="1">
        <f t="array" ref="O932">+_xlfn.SWITCH(MONTH(C932),1,1,2,1,3,1,4,2,5,2,6,3,7,3,8,3,9,3,10,2,11,2,12,1,2)</f>
        <v>1</v>
      </c>
      <c r="P932" s="43"/>
      <c r="AS932" s="10"/>
      <c r="AT932" s="10"/>
      <c r="AU932" s="10"/>
      <c r="AV932" s="10"/>
      <c r="AW932" s="10"/>
      <c r="AX932" s="10"/>
      <c r="AY932" s="10"/>
      <c r="AZ932" s="10"/>
      <c r="BA932" s="10"/>
      <c r="BB932" s="10"/>
      <c r="BC932" s="10"/>
      <c r="BD932" s="10"/>
      <c r="BE932" s="10"/>
      <c r="BF932" s="10"/>
      <c r="BG932" s="10"/>
      <c r="BH932" s="10"/>
      <c r="BI932" s="10"/>
      <c r="BJ932" s="10"/>
      <c r="BK932" s="10"/>
      <c r="BL932" s="10"/>
      <c r="BM932" s="10"/>
      <c r="BN932" s="10"/>
      <c r="BO932" s="10"/>
      <c r="BP932" s="10"/>
      <c r="BQ932" s="10"/>
      <c r="BR932" s="10"/>
      <c r="BS932" s="10"/>
      <c r="BT932" s="10"/>
      <c r="BU932" s="10"/>
    </row>
    <row r="933" spans="1:73" ht="18" x14ac:dyDescent="0.35">
      <c r="A933" s="43"/>
      <c r="C933" s="393"/>
      <c r="E933" s="394"/>
      <c r="F933" s="394">
        <v>0</v>
      </c>
      <c r="G933" s="394"/>
      <c r="H933" s="8" t="s">
        <v>235</v>
      </c>
      <c r="I933" s="368">
        <f t="shared" si="43"/>
        <v>0</v>
      </c>
      <c r="J933" s="365">
        <f t="shared" si="42"/>
        <v>0</v>
      </c>
      <c r="K933" s="369">
        <f t="shared" si="44"/>
        <v>6</v>
      </c>
      <c r="L933" s="369">
        <f>+IF((C933&gt;='Resultats - informe'!$E$16)*(C933&lt;='Resultats - informe'!$G$16),1,0)</f>
        <v>1</v>
      </c>
      <c r="M933" s="369" cm="1">
        <f t="array" ref="M933">+_xlfn.IFS((C933&gt;='Resultats - informe'!$D$26)*(C933&lt;='Resultats - informe'!$E$26),0,(C933&gt;='Resultats - informe'!$D$27)*(C933&lt;='Resultats - informe'!$E$27),0,(C933&gt;='Resultats - informe'!$D$28)*(C933&lt;='Resultats - informe'!$E$28),0,(C933&gt;='Resultats - informe'!$D$29)*(C933&lt;='Resultats - informe'!$E$29),0,1,1)</f>
        <v>0</v>
      </c>
      <c r="N933" s="366">
        <f>+VLOOKUP(D933,'Resultats - informe'!$Y$18:$AG$42,'Introducció dades consum'!K933+1,0)</f>
        <v>0</v>
      </c>
      <c r="O933" s="370" cm="1">
        <f t="array" ref="O933">+_xlfn.SWITCH(MONTH(C933),1,1,2,1,3,1,4,2,5,2,6,3,7,3,8,3,9,3,10,2,11,2,12,1,2)</f>
        <v>1</v>
      </c>
      <c r="P933" s="43"/>
      <c r="AS933" s="10"/>
      <c r="AT933" s="10"/>
      <c r="AU933" s="10"/>
      <c r="AV933" s="10"/>
      <c r="AW933" s="10"/>
      <c r="AX933" s="10"/>
      <c r="AY933" s="10"/>
      <c r="AZ933" s="10"/>
      <c r="BA933" s="10"/>
      <c r="BB933" s="10"/>
      <c r="BC933" s="10"/>
      <c r="BD933" s="10"/>
      <c r="BE933" s="10"/>
      <c r="BF933" s="10"/>
      <c r="BG933" s="10"/>
      <c r="BH933" s="10"/>
      <c r="BI933" s="10"/>
      <c r="BJ933" s="10"/>
      <c r="BK933" s="10"/>
      <c r="BL933" s="10"/>
      <c r="BM933" s="10"/>
      <c r="BN933" s="10"/>
      <c r="BO933" s="10"/>
      <c r="BP933" s="10"/>
      <c r="BQ933" s="10"/>
      <c r="BR933" s="10"/>
      <c r="BS933" s="10"/>
      <c r="BT933" s="10"/>
      <c r="BU933" s="10"/>
    </row>
    <row r="934" spans="1:73" ht="18" x14ac:dyDescent="0.35">
      <c r="A934" s="43"/>
      <c r="C934" s="393"/>
      <c r="E934" s="394"/>
      <c r="F934" s="394">
        <v>0</v>
      </c>
      <c r="G934" s="394"/>
      <c r="H934" s="8" t="s">
        <v>235</v>
      </c>
      <c r="I934" s="368">
        <f t="shared" si="43"/>
        <v>0</v>
      </c>
      <c r="J934" s="365">
        <f t="shared" si="42"/>
        <v>0</v>
      </c>
      <c r="K934" s="369">
        <f t="shared" si="44"/>
        <v>6</v>
      </c>
      <c r="L934" s="369">
        <f>+IF((C934&gt;='Resultats - informe'!$E$16)*(C934&lt;='Resultats - informe'!$G$16),1,0)</f>
        <v>1</v>
      </c>
      <c r="M934" s="369" cm="1">
        <f t="array" ref="M934">+_xlfn.IFS((C934&gt;='Resultats - informe'!$D$26)*(C934&lt;='Resultats - informe'!$E$26),0,(C934&gt;='Resultats - informe'!$D$27)*(C934&lt;='Resultats - informe'!$E$27),0,(C934&gt;='Resultats - informe'!$D$28)*(C934&lt;='Resultats - informe'!$E$28),0,(C934&gt;='Resultats - informe'!$D$29)*(C934&lt;='Resultats - informe'!$E$29),0,1,1)</f>
        <v>0</v>
      </c>
      <c r="N934" s="366">
        <f>+VLOOKUP(D934,'Resultats - informe'!$Y$18:$AG$42,'Introducció dades consum'!K934+1,0)</f>
        <v>0</v>
      </c>
      <c r="O934" s="370" cm="1">
        <f t="array" ref="O934">+_xlfn.SWITCH(MONTH(C934),1,1,2,1,3,1,4,2,5,2,6,3,7,3,8,3,9,3,10,2,11,2,12,1,2)</f>
        <v>1</v>
      </c>
      <c r="P934" s="43"/>
      <c r="AS934" s="10"/>
      <c r="AT934" s="10"/>
      <c r="AU934" s="10"/>
      <c r="AV934" s="10"/>
      <c r="AW934" s="10"/>
      <c r="AX934" s="10"/>
      <c r="AY934" s="10"/>
      <c r="AZ934" s="10"/>
      <c r="BA934" s="10"/>
      <c r="BB934" s="10"/>
      <c r="BC934" s="10"/>
      <c r="BD934" s="10"/>
      <c r="BE934" s="10"/>
      <c r="BF934" s="10"/>
      <c r="BG934" s="10"/>
      <c r="BH934" s="10"/>
      <c r="BI934" s="10"/>
      <c r="BJ934" s="10"/>
      <c r="BK934" s="10"/>
      <c r="BL934" s="10"/>
      <c r="BM934" s="10"/>
      <c r="BN934" s="10"/>
      <c r="BO934" s="10"/>
      <c r="BP934" s="10"/>
      <c r="BQ934" s="10"/>
      <c r="BR934" s="10"/>
      <c r="BS934" s="10"/>
      <c r="BT934" s="10"/>
      <c r="BU934" s="10"/>
    </row>
    <row r="935" spans="1:73" ht="18" x14ac:dyDescent="0.35">
      <c r="A935" s="43"/>
      <c r="C935" s="393"/>
      <c r="E935" s="394"/>
      <c r="F935" s="394">
        <v>0</v>
      </c>
      <c r="G935" s="394"/>
      <c r="H935" s="8" t="s">
        <v>235</v>
      </c>
      <c r="I935" s="368">
        <f t="shared" si="43"/>
        <v>0</v>
      </c>
      <c r="J935" s="365">
        <f t="shared" si="42"/>
        <v>0</v>
      </c>
      <c r="K935" s="369">
        <f t="shared" si="44"/>
        <v>6</v>
      </c>
      <c r="L935" s="369">
        <f>+IF((C935&gt;='Resultats - informe'!$E$16)*(C935&lt;='Resultats - informe'!$G$16),1,0)</f>
        <v>1</v>
      </c>
      <c r="M935" s="369" cm="1">
        <f t="array" ref="M935">+_xlfn.IFS((C935&gt;='Resultats - informe'!$D$26)*(C935&lt;='Resultats - informe'!$E$26),0,(C935&gt;='Resultats - informe'!$D$27)*(C935&lt;='Resultats - informe'!$E$27),0,(C935&gt;='Resultats - informe'!$D$28)*(C935&lt;='Resultats - informe'!$E$28),0,(C935&gt;='Resultats - informe'!$D$29)*(C935&lt;='Resultats - informe'!$E$29),0,1,1)</f>
        <v>0</v>
      </c>
      <c r="N935" s="366">
        <f>+VLOOKUP(D935,'Resultats - informe'!$Y$18:$AG$42,'Introducció dades consum'!K935+1,0)</f>
        <v>0</v>
      </c>
      <c r="O935" s="370" cm="1">
        <f t="array" ref="O935">+_xlfn.SWITCH(MONTH(C935),1,1,2,1,3,1,4,2,5,2,6,3,7,3,8,3,9,3,10,2,11,2,12,1,2)</f>
        <v>1</v>
      </c>
      <c r="P935" s="43"/>
      <c r="AS935" s="10"/>
      <c r="AT935" s="10"/>
      <c r="AU935" s="10"/>
      <c r="AV935" s="10"/>
      <c r="AW935" s="10"/>
      <c r="AX935" s="10"/>
      <c r="AY935" s="10"/>
      <c r="AZ935" s="10"/>
      <c r="BA935" s="10"/>
      <c r="BB935" s="10"/>
      <c r="BC935" s="10"/>
      <c r="BD935" s="10"/>
      <c r="BE935" s="10"/>
      <c r="BF935" s="10"/>
      <c r="BG935" s="10"/>
      <c r="BH935" s="10"/>
      <c r="BI935" s="10"/>
      <c r="BJ935" s="10"/>
      <c r="BK935" s="10"/>
      <c r="BL935" s="10"/>
      <c r="BM935" s="10"/>
      <c r="BN935" s="10"/>
      <c r="BO935" s="10"/>
      <c r="BP935" s="10"/>
      <c r="BQ935" s="10"/>
      <c r="BR935" s="10"/>
      <c r="BS935" s="10"/>
      <c r="BT935" s="10"/>
      <c r="BU935" s="10"/>
    </row>
    <row r="936" spans="1:73" ht="18" x14ac:dyDescent="0.35">
      <c r="A936" s="43"/>
      <c r="C936" s="393"/>
      <c r="E936" s="394"/>
      <c r="F936" s="394">
        <v>0</v>
      </c>
      <c r="G936" s="394"/>
      <c r="H936" s="8" t="s">
        <v>235</v>
      </c>
      <c r="I936" s="368">
        <f t="shared" si="43"/>
        <v>0</v>
      </c>
      <c r="J936" s="365">
        <f t="shared" si="42"/>
        <v>0</v>
      </c>
      <c r="K936" s="369">
        <f t="shared" si="44"/>
        <v>6</v>
      </c>
      <c r="L936" s="369">
        <f>+IF((C936&gt;='Resultats - informe'!$E$16)*(C936&lt;='Resultats - informe'!$G$16),1,0)</f>
        <v>1</v>
      </c>
      <c r="M936" s="369" cm="1">
        <f t="array" ref="M936">+_xlfn.IFS((C936&gt;='Resultats - informe'!$D$26)*(C936&lt;='Resultats - informe'!$E$26),0,(C936&gt;='Resultats - informe'!$D$27)*(C936&lt;='Resultats - informe'!$E$27),0,(C936&gt;='Resultats - informe'!$D$28)*(C936&lt;='Resultats - informe'!$E$28),0,(C936&gt;='Resultats - informe'!$D$29)*(C936&lt;='Resultats - informe'!$E$29),0,1,1)</f>
        <v>0</v>
      </c>
      <c r="N936" s="366">
        <f>+VLOOKUP(D936,'Resultats - informe'!$Y$18:$AG$42,'Introducció dades consum'!K936+1,0)</f>
        <v>0</v>
      </c>
      <c r="O936" s="370" cm="1">
        <f t="array" ref="O936">+_xlfn.SWITCH(MONTH(C936),1,1,2,1,3,1,4,2,5,2,6,3,7,3,8,3,9,3,10,2,11,2,12,1,2)</f>
        <v>1</v>
      </c>
      <c r="P936" s="43"/>
      <c r="AS936" s="10"/>
      <c r="AT936" s="10"/>
      <c r="AU936" s="10"/>
      <c r="AV936" s="10"/>
      <c r="AW936" s="10"/>
      <c r="AX936" s="10"/>
      <c r="AY936" s="10"/>
      <c r="AZ936" s="10"/>
      <c r="BA936" s="10"/>
      <c r="BB936" s="10"/>
      <c r="BC936" s="10"/>
      <c r="BD936" s="10"/>
      <c r="BE936" s="10"/>
      <c r="BF936" s="10"/>
      <c r="BG936" s="10"/>
      <c r="BH936" s="10"/>
      <c r="BI936" s="10"/>
      <c r="BJ936" s="10"/>
      <c r="BK936" s="10"/>
      <c r="BL936" s="10"/>
      <c r="BM936" s="10"/>
      <c r="BN936" s="10"/>
      <c r="BO936" s="10"/>
      <c r="BP936" s="10"/>
      <c r="BQ936" s="10"/>
      <c r="BR936" s="10"/>
      <c r="BS936" s="10"/>
      <c r="BT936" s="10"/>
      <c r="BU936" s="10"/>
    </row>
    <row r="937" spans="1:73" ht="18" x14ac:dyDescent="0.35">
      <c r="A937" s="43"/>
      <c r="C937" s="393"/>
      <c r="E937" s="394"/>
      <c r="F937" s="394">
        <v>0</v>
      </c>
      <c r="G937" s="394"/>
      <c r="H937" s="8" t="s">
        <v>235</v>
      </c>
      <c r="I937" s="368">
        <f t="shared" si="43"/>
        <v>0</v>
      </c>
      <c r="J937" s="365">
        <f t="shared" si="42"/>
        <v>0</v>
      </c>
      <c r="K937" s="369">
        <f t="shared" si="44"/>
        <v>6</v>
      </c>
      <c r="L937" s="369">
        <f>+IF((C937&gt;='Resultats - informe'!$E$16)*(C937&lt;='Resultats - informe'!$G$16),1,0)</f>
        <v>1</v>
      </c>
      <c r="M937" s="369" cm="1">
        <f t="array" ref="M937">+_xlfn.IFS((C937&gt;='Resultats - informe'!$D$26)*(C937&lt;='Resultats - informe'!$E$26),0,(C937&gt;='Resultats - informe'!$D$27)*(C937&lt;='Resultats - informe'!$E$27),0,(C937&gt;='Resultats - informe'!$D$28)*(C937&lt;='Resultats - informe'!$E$28),0,(C937&gt;='Resultats - informe'!$D$29)*(C937&lt;='Resultats - informe'!$E$29),0,1,1)</f>
        <v>0</v>
      </c>
      <c r="N937" s="366">
        <f>+VLOOKUP(D937,'Resultats - informe'!$Y$18:$AG$42,'Introducció dades consum'!K937+1,0)</f>
        <v>0</v>
      </c>
      <c r="O937" s="370" cm="1">
        <f t="array" ref="O937">+_xlfn.SWITCH(MONTH(C937),1,1,2,1,3,1,4,2,5,2,6,3,7,3,8,3,9,3,10,2,11,2,12,1,2)</f>
        <v>1</v>
      </c>
      <c r="P937" s="43"/>
      <c r="AS937" s="10"/>
      <c r="AT937" s="10"/>
      <c r="AU937" s="10"/>
      <c r="AV937" s="10"/>
      <c r="AW937" s="10"/>
      <c r="AX937" s="10"/>
      <c r="AY937" s="10"/>
      <c r="AZ937" s="10"/>
      <c r="BA937" s="10"/>
      <c r="BB937" s="10"/>
      <c r="BC937" s="10"/>
      <c r="BD937" s="10"/>
      <c r="BE937" s="10"/>
      <c r="BF937" s="10"/>
      <c r="BG937" s="10"/>
      <c r="BH937" s="10"/>
      <c r="BI937" s="10"/>
      <c r="BJ937" s="10"/>
      <c r="BK937" s="10"/>
      <c r="BL937" s="10"/>
      <c r="BM937" s="10"/>
      <c r="BN937" s="10"/>
      <c r="BO937" s="10"/>
      <c r="BP937" s="10"/>
      <c r="BQ937" s="10"/>
      <c r="BR937" s="10"/>
      <c r="BS937" s="10"/>
      <c r="BT937" s="10"/>
      <c r="BU937" s="10"/>
    </row>
    <row r="938" spans="1:73" ht="18" x14ac:dyDescent="0.35">
      <c r="A938" s="43"/>
      <c r="C938" s="393"/>
      <c r="E938" s="394"/>
      <c r="F938" s="394">
        <v>0</v>
      </c>
      <c r="G938" s="394"/>
      <c r="H938" s="8" t="s">
        <v>235</v>
      </c>
      <c r="I938" s="368">
        <f t="shared" si="43"/>
        <v>0</v>
      </c>
      <c r="J938" s="365">
        <f t="shared" si="42"/>
        <v>0</v>
      </c>
      <c r="K938" s="369">
        <f t="shared" si="44"/>
        <v>6</v>
      </c>
      <c r="L938" s="369">
        <f>+IF((C938&gt;='Resultats - informe'!$E$16)*(C938&lt;='Resultats - informe'!$G$16),1,0)</f>
        <v>1</v>
      </c>
      <c r="M938" s="369" cm="1">
        <f t="array" ref="M938">+_xlfn.IFS((C938&gt;='Resultats - informe'!$D$26)*(C938&lt;='Resultats - informe'!$E$26),0,(C938&gt;='Resultats - informe'!$D$27)*(C938&lt;='Resultats - informe'!$E$27),0,(C938&gt;='Resultats - informe'!$D$28)*(C938&lt;='Resultats - informe'!$E$28),0,(C938&gt;='Resultats - informe'!$D$29)*(C938&lt;='Resultats - informe'!$E$29),0,1,1)</f>
        <v>0</v>
      </c>
      <c r="N938" s="366">
        <f>+VLOOKUP(D938,'Resultats - informe'!$Y$18:$AG$42,'Introducció dades consum'!K938+1,0)</f>
        <v>0</v>
      </c>
      <c r="O938" s="370" cm="1">
        <f t="array" ref="O938">+_xlfn.SWITCH(MONTH(C938),1,1,2,1,3,1,4,2,5,2,6,3,7,3,8,3,9,3,10,2,11,2,12,1,2)</f>
        <v>1</v>
      </c>
      <c r="P938" s="43"/>
      <c r="AS938" s="10"/>
      <c r="AT938" s="10"/>
      <c r="AU938" s="10"/>
      <c r="AV938" s="10"/>
      <c r="AW938" s="10"/>
      <c r="AX938" s="10"/>
      <c r="AY938" s="10"/>
      <c r="AZ938" s="10"/>
      <c r="BA938" s="10"/>
      <c r="BB938" s="10"/>
      <c r="BC938" s="10"/>
      <c r="BD938" s="10"/>
      <c r="BE938" s="10"/>
      <c r="BF938" s="10"/>
      <c r="BG938" s="10"/>
      <c r="BH938" s="10"/>
      <c r="BI938" s="10"/>
      <c r="BJ938" s="10"/>
      <c r="BK938" s="10"/>
      <c r="BL938" s="10"/>
      <c r="BM938" s="10"/>
      <c r="BN938" s="10"/>
      <c r="BO938" s="10"/>
      <c r="BP938" s="10"/>
      <c r="BQ938" s="10"/>
      <c r="BR938" s="10"/>
      <c r="BS938" s="10"/>
      <c r="BT938" s="10"/>
      <c r="BU938" s="10"/>
    </row>
    <row r="939" spans="1:73" ht="18" x14ac:dyDescent="0.35">
      <c r="A939" s="43"/>
      <c r="C939" s="393"/>
      <c r="E939" s="394"/>
      <c r="F939" s="394">
        <v>0</v>
      </c>
      <c r="G939" s="394"/>
      <c r="H939" s="8" t="s">
        <v>235</v>
      </c>
      <c r="I939" s="368">
        <f t="shared" si="43"/>
        <v>0</v>
      </c>
      <c r="J939" s="365">
        <f t="shared" si="42"/>
        <v>0</v>
      </c>
      <c r="K939" s="369">
        <f t="shared" si="44"/>
        <v>6</v>
      </c>
      <c r="L939" s="369">
        <f>+IF((C939&gt;='Resultats - informe'!$E$16)*(C939&lt;='Resultats - informe'!$G$16),1,0)</f>
        <v>1</v>
      </c>
      <c r="M939" s="369" cm="1">
        <f t="array" ref="M939">+_xlfn.IFS((C939&gt;='Resultats - informe'!$D$26)*(C939&lt;='Resultats - informe'!$E$26),0,(C939&gt;='Resultats - informe'!$D$27)*(C939&lt;='Resultats - informe'!$E$27),0,(C939&gt;='Resultats - informe'!$D$28)*(C939&lt;='Resultats - informe'!$E$28),0,(C939&gt;='Resultats - informe'!$D$29)*(C939&lt;='Resultats - informe'!$E$29),0,1,1)</f>
        <v>0</v>
      </c>
      <c r="N939" s="366">
        <f>+VLOOKUP(D939,'Resultats - informe'!$Y$18:$AG$42,'Introducció dades consum'!K939+1,0)</f>
        <v>0</v>
      </c>
      <c r="O939" s="370" cm="1">
        <f t="array" ref="O939">+_xlfn.SWITCH(MONTH(C939),1,1,2,1,3,1,4,2,5,2,6,3,7,3,8,3,9,3,10,2,11,2,12,1,2)</f>
        <v>1</v>
      </c>
      <c r="P939" s="43"/>
      <c r="AS939" s="10"/>
      <c r="AT939" s="10"/>
      <c r="AU939" s="10"/>
      <c r="AV939" s="10"/>
      <c r="AW939" s="10"/>
      <c r="AX939" s="10"/>
      <c r="AY939" s="10"/>
      <c r="AZ939" s="10"/>
      <c r="BA939" s="10"/>
      <c r="BB939" s="10"/>
      <c r="BC939" s="10"/>
      <c r="BD939" s="10"/>
      <c r="BE939" s="10"/>
      <c r="BF939" s="10"/>
      <c r="BG939" s="10"/>
      <c r="BH939" s="10"/>
      <c r="BI939" s="10"/>
      <c r="BJ939" s="10"/>
      <c r="BK939" s="10"/>
      <c r="BL939" s="10"/>
      <c r="BM939" s="10"/>
      <c r="BN939" s="10"/>
      <c r="BO939" s="10"/>
      <c r="BP939" s="10"/>
      <c r="BQ939" s="10"/>
      <c r="BR939" s="10"/>
      <c r="BS939" s="10"/>
      <c r="BT939" s="10"/>
      <c r="BU939" s="10"/>
    </row>
    <row r="940" spans="1:73" ht="18" x14ac:dyDescent="0.35">
      <c r="A940" s="43"/>
      <c r="C940" s="393"/>
      <c r="E940" s="394"/>
      <c r="F940" s="394">
        <v>0</v>
      </c>
      <c r="G940" s="394"/>
      <c r="H940" s="8" t="s">
        <v>235</v>
      </c>
      <c r="I940" s="368">
        <f t="shared" si="43"/>
        <v>0</v>
      </c>
      <c r="J940" s="365">
        <f t="shared" si="42"/>
        <v>0</v>
      </c>
      <c r="K940" s="369">
        <f t="shared" si="44"/>
        <v>6</v>
      </c>
      <c r="L940" s="369">
        <f>+IF((C940&gt;='Resultats - informe'!$E$16)*(C940&lt;='Resultats - informe'!$G$16),1,0)</f>
        <v>1</v>
      </c>
      <c r="M940" s="369" cm="1">
        <f t="array" ref="M940">+_xlfn.IFS((C940&gt;='Resultats - informe'!$D$26)*(C940&lt;='Resultats - informe'!$E$26),0,(C940&gt;='Resultats - informe'!$D$27)*(C940&lt;='Resultats - informe'!$E$27),0,(C940&gt;='Resultats - informe'!$D$28)*(C940&lt;='Resultats - informe'!$E$28),0,(C940&gt;='Resultats - informe'!$D$29)*(C940&lt;='Resultats - informe'!$E$29),0,1,1)</f>
        <v>0</v>
      </c>
      <c r="N940" s="366">
        <f>+VLOOKUP(D940,'Resultats - informe'!$Y$18:$AG$42,'Introducció dades consum'!K940+1,0)</f>
        <v>0</v>
      </c>
      <c r="O940" s="370" cm="1">
        <f t="array" ref="O940">+_xlfn.SWITCH(MONTH(C940),1,1,2,1,3,1,4,2,5,2,6,3,7,3,8,3,9,3,10,2,11,2,12,1,2)</f>
        <v>1</v>
      </c>
      <c r="P940" s="43"/>
      <c r="AS940" s="10"/>
      <c r="AT940" s="10"/>
      <c r="AU940" s="10"/>
      <c r="AV940" s="10"/>
      <c r="AW940" s="10"/>
      <c r="AX940" s="10"/>
      <c r="AY940" s="10"/>
      <c r="AZ940" s="10"/>
      <c r="BA940" s="10"/>
      <c r="BB940" s="10"/>
      <c r="BC940" s="10"/>
      <c r="BD940" s="10"/>
      <c r="BE940" s="10"/>
      <c r="BF940" s="10"/>
      <c r="BG940" s="10"/>
      <c r="BH940" s="10"/>
      <c r="BI940" s="10"/>
      <c r="BJ940" s="10"/>
      <c r="BK940" s="10"/>
      <c r="BL940" s="10"/>
      <c r="BM940" s="10"/>
      <c r="BN940" s="10"/>
      <c r="BO940" s="10"/>
      <c r="BP940" s="10"/>
      <c r="BQ940" s="10"/>
      <c r="BR940" s="10"/>
      <c r="BS940" s="10"/>
      <c r="BT940" s="10"/>
      <c r="BU940" s="10"/>
    </row>
    <row r="941" spans="1:73" ht="18" x14ac:dyDescent="0.35">
      <c r="A941" s="43"/>
      <c r="C941" s="393"/>
      <c r="E941" s="394"/>
      <c r="F941" s="394">
        <v>0</v>
      </c>
      <c r="G941" s="394"/>
      <c r="H941" s="8" t="s">
        <v>235</v>
      </c>
      <c r="I941" s="368">
        <f t="shared" si="43"/>
        <v>0</v>
      </c>
      <c r="J941" s="365">
        <f t="shared" si="42"/>
        <v>0</v>
      </c>
      <c r="K941" s="369">
        <f t="shared" si="44"/>
        <v>6</v>
      </c>
      <c r="L941" s="369">
        <f>+IF((C941&gt;='Resultats - informe'!$E$16)*(C941&lt;='Resultats - informe'!$G$16),1,0)</f>
        <v>1</v>
      </c>
      <c r="M941" s="369" cm="1">
        <f t="array" ref="M941">+_xlfn.IFS((C941&gt;='Resultats - informe'!$D$26)*(C941&lt;='Resultats - informe'!$E$26),0,(C941&gt;='Resultats - informe'!$D$27)*(C941&lt;='Resultats - informe'!$E$27),0,(C941&gt;='Resultats - informe'!$D$28)*(C941&lt;='Resultats - informe'!$E$28),0,(C941&gt;='Resultats - informe'!$D$29)*(C941&lt;='Resultats - informe'!$E$29),0,1,1)</f>
        <v>0</v>
      </c>
      <c r="N941" s="366">
        <f>+VLOOKUP(D941,'Resultats - informe'!$Y$18:$AG$42,'Introducció dades consum'!K941+1,0)</f>
        <v>0</v>
      </c>
      <c r="O941" s="370" cm="1">
        <f t="array" ref="O941">+_xlfn.SWITCH(MONTH(C941),1,1,2,1,3,1,4,2,5,2,6,3,7,3,8,3,9,3,10,2,11,2,12,1,2)</f>
        <v>1</v>
      </c>
      <c r="P941" s="43"/>
      <c r="AS941" s="10"/>
      <c r="AT941" s="10"/>
      <c r="AU941" s="10"/>
      <c r="AV941" s="10"/>
      <c r="AW941" s="10"/>
      <c r="AX941" s="10"/>
      <c r="AY941" s="10"/>
      <c r="AZ941" s="10"/>
      <c r="BA941" s="10"/>
      <c r="BB941" s="10"/>
      <c r="BC941" s="10"/>
      <c r="BD941" s="10"/>
      <c r="BE941" s="10"/>
      <c r="BF941" s="10"/>
      <c r="BG941" s="10"/>
      <c r="BH941" s="10"/>
      <c r="BI941" s="10"/>
      <c r="BJ941" s="10"/>
      <c r="BK941" s="10"/>
      <c r="BL941" s="10"/>
      <c r="BM941" s="10"/>
      <c r="BN941" s="10"/>
      <c r="BO941" s="10"/>
      <c r="BP941" s="10"/>
      <c r="BQ941" s="10"/>
      <c r="BR941" s="10"/>
      <c r="BS941" s="10"/>
      <c r="BT941" s="10"/>
      <c r="BU941" s="10"/>
    </row>
    <row r="942" spans="1:73" ht="18" x14ac:dyDescent="0.35">
      <c r="A942" s="43"/>
      <c r="C942" s="393"/>
      <c r="E942" s="394"/>
      <c r="F942" s="394">
        <v>0</v>
      </c>
      <c r="G942" s="394"/>
      <c r="H942" s="8" t="s">
        <v>235</v>
      </c>
      <c r="I942" s="368">
        <f t="shared" si="43"/>
        <v>0</v>
      </c>
      <c r="J942" s="365">
        <f t="shared" si="42"/>
        <v>0</v>
      </c>
      <c r="K942" s="369">
        <f t="shared" si="44"/>
        <v>6</v>
      </c>
      <c r="L942" s="369">
        <f>+IF((C942&gt;='Resultats - informe'!$E$16)*(C942&lt;='Resultats - informe'!$G$16),1,0)</f>
        <v>1</v>
      </c>
      <c r="M942" s="369" cm="1">
        <f t="array" ref="M942">+_xlfn.IFS((C942&gt;='Resultats - informe'!$D$26)*(C942&lt;='Resultats - informe'!$E$26),0,(C942&gt;='Resultats - informe'!$D$27)*(C942&lt;='Resultats - informe'!$E$27),0,(C942&gt;='Resultats - informe'!$D$28)*(C942&lt;='Resultats - informe'!$E$28),0,(C942&gt;='Resultats - informe'!$D$29)*(C942&lt;='Resultats - informe'!$E$29),0,1,1)</f>
        <v>0</v>
      </c>
      <c r="N942" s="366">
        <f>+VLOOKUP(D942,'Resultats - informe'!$Y$18:$AG$42,'Introducció dades consum'!K942+1,0)</f>
        <v>0</v>
      </c>
      <c r="O942" s="370" cm="1">
        <f t="array" ref="O942">+_xlfn.SWITCH(MONTH(C942),1,1,2,1,3,1,4,2,5,2,6,3,7,3,8,3,9,3,10,2,11,2,12,1,2)</f>
        <v>1</v>
      </c>
      <c r="P942" s="43"/>
      <c r="AS942" s="10"/>
      <c r="AT942" s="10"/>
      <c r="AU942" s="10"/>
      <c r="AV942" s="10"/>
      <c r="AW942" s="10"/>
      <c r="AX942" s="10"/>
      <c r="AY942" s="10"/>
      <c r="AZ942" s="10"/>
      <c r="BA942" s="10"/>
      <c r="BB942" s="10"/>
      <c r="BC942" s="10"/>
      <c r="BD942" s="10"/>
      <c r="BE942" s="10"/>
      <c r="BF942" s="10"/>
      <c r="BG942" s="10"/>
      <c r="BH942" s="10"/>
      <c r="BI942" s="10"/>
      <c r="BJ942" s="10"/>
      <c r="BK942" s="10"/>
      <c r="BL942" s="10"/>
      <c r="BM942" s="10"/>
      <c r="BN942" s="10"/>
      <c r="BO942" s="10"/>
      <c r="BP942" s="10"/>
      <c r="BQ942" s="10"/>
      <c r="BR942" s="10"/>
      <c r="BS942" s="10"/>
      <c r="BT942" s="10"/>
      <c r="BU942" s="10"/>
    </row>
    <row r="943" spans="1:73" ht="18" x14ac:dyDescent="0.35">
      <c r="A943" s="43"/>
      <c r="C943" s="393"/>
      <c r="E943" s="394"/>
      <c r="F943" s="394">
        <v>0</v>
      </c>
      <c r="G943" s="394"/>
      <c r="H943" s="8" t="s">
        <v>235</v>
      </c>
      <c r="I943" s="368">
        <f t="shared" si="43"/>
        <v>0</v>
      </c>
      <c r="J943" s="365">
        <f t="shared" si="42"/>
        <v>0</v>
      </c>
      <c r="K943" s="369">
        <f t="shared" si="44"/>
        <v>6</v>
      </c>
      <c r="L943" s="369">
        <f>+IF((C943&gt;='Resultats - informe'!$E$16)*(C943&lt;='Resultats - informe'!$G$16),1,0)</f>
        <v>1</v>
      </c>
      <c r="M943" s="369" cm="1">
        <f t="array" ref="M943">+_xlfn.IFS((C943&gt;='Resultats - informe'!$D$26)*(C943&lt;='Resultats - informe'!$E$26),0,(C943&gt;='Resultats - informe'!$D$27)*(C943&lt;='Resultats - informe'!$E$27),0,(C943&gt;='Resultats - informe'!$D$28)*(C943&lt;='Resultats - informe'!$E$28),0,(C943&gt;='Resultats - informe'!$D$29)*(C943&lt;='Resultats - informe'!$E$29),0,1,1)</f>
        <v>0</v>
      </c>
      <c r="N943" s="366">
        <f>+VLOOKUP(D943,'Resultats - informe'!$Y$18:$AG$42,'Introducció dades consum'!K943+1,0)</f>
        <v>0</v>
      </c>
      <c r="O943" s="370" cm="1">
        <f t="array" ref="O943">+_xlfn.SWITCH(MONTH(C943),1,1,2,1,3,1,4,2,5,2,6,3,7,3,8,3,9,3,10,2,11,2,12,1,2)</f>
        <v>1</v>
      </c>
      <c r="P943" s="43"/>
      <c r="AS943" s="10"/>
      <c r="AT943" s="10"/>
      <c r="AU943" s="10"/>
      <c r="AV943" s="10"/>
      <c r="AW943" s="10"/>
      <c r="AX943" s="10"/>
      <c r="AY943" s="10"/>
      <c r="AZ943" s="10"/>
      <c r="BA943" s="10"/>
      <c r="BB943" s="10"/>
      <c r="BC943" s="10"/>
      <c r="BD943" s="10"/>
      <c r="BE943" s="10"/>
      <c r="BF943" s="10"/>
      <c r="BG943" s="10"/>
      <c r="BH943" s="10"/>
      <c r="BI943" s="10"/>
      <c r="BJ943" s="10"/>
      <c r="BK943" s="10"/>
      <c r="BL943" s="10"/>
      <c r="BM943" s="10"/>
      <c r="BN943" s="10"/>
      <c r="BO943" s="10"/>
      <c r="BP943" s="10"/>
      <c r="BQ943" s="10"/>
      <c r="BR943" s="10"/>
      <c r="BS943" s="10"/>
      <c r="BT943" s="10"/>
      <c r="BU943" s="10"/>
    </row>
    <row r="944" spans="1:73" ht="18" x14ac:dyDescent="0.35">
      <c r="A944" s="43"/>
      <c r="C944" s="393"/>
      <c r="E944" s="394"/>
      <c r="F944" s="394">
        <v>0</v>
      </c>
      <c r="G944" s="394"/>
      <c r="H944" s="8" t="s">
        <v>235</v>
      </c>
      <c r="I944" s="368">
        <f t="shared" si="43"/>
        <v>0</v>
      </c>
      <c r="J944" s="365">
        <f t="shared" si="42"/>
        <v>0</v>
      </c>
      <c r="K944" s="369">
        <f t="shared" si="44"/>
        <v>6</v>
      </c>
      <c r="L944" s="369">
        <f>+IF((C944&gt;='Resultats - informe'!$E$16)*(C944&lt;='Resultats - informe'!$G$16),1,0)</f>
        <v>1</v>
      </c>
      <c r="M944" s="369" cm="1">
        <f t="array" ref="M944">+_xlfn.IFS((C944&gt;='Resultats - informe'!$D$26)*(C944&lt;='Resultats - informe'!$E$26),0,(C944&gt;='Resultats - informe'!$D$27)*(C944&lt;='Resultats - informe'!$E$27),0,(C944&gt;='Resultats - informe'!$D$28)*(C944&lt;='Resultats - informe'!$E$28),0,(C944&gt;='Resultats - informe'!$D$29)*(C944&lt;='Resultats - informe'!$E$29),0,1,1)</f>
        <v>0</v>
      </c>
      <c r="N944" s="366">
        <f>+VLOOKUP(D944,'Resultats - informe'!$Y$18:$AG$42,'Introducció dades consum'!K944+1,0)</f>
        <v>0</v>
      </c>
      <c r="O944" s="370" cm="1">
        <f t="array" ref="O944">+_xlfn.SWITCH(MONTH(C944),1,1,2,1,3,1,4,2,5,2,6,3,7,3,8,3,9,3,10,2,11,2,12,1,2)</f>
        <v>1</v>
      </c>
      <c r="P944" s="43"/>
      <c r="AS944" s="10"/>
      <c r="AT944" s="10"/>
      <c r="AU944" s="10"/>
      <c r="AV944" s="10"/>
      <c r="AW944" s="10"/>
      <c r="AX944" s="10"/>
      <c r="AY944" s="10"/>
      <c r="AZ944" s="10"/>
      <c r="BA944" s="10"/>
      <c r="BB944" s="10"/>
      <c r="BC944" s="10"/>
      <c r="BD944" s="10"/>
      <c r="BE944" s="10"/>
      <c r="BF944" s="10"/>
      <c r="BG944" s="10"/>
      <c r="BH944" s="10"/>
      <c r="BI944" s="10"/>
      <c r="BJ944" s="10"/>
      <c r="BK944" s="10"/>
      <c r="BL944" s="10"/>
      <c r="BM944" s="10"/>
      <c r="BN944" s="10"/>
      <c r="BO944" s="10"/>
      <c r="BP944" s="10"/>
      <c r="BQ944" s="10"/>
      <c r="BR944" s="10"/>
      <c r="BS944" s="10"/>
      <c r="BT944" s="10"/>
      <c r="BU944" s="10"/>
    </row>
    <row r="945" spans="1:73" ht="18" x14ac:dyDescent="0.35">
      <c r="A945" s="43"/>
      <c r="C945" s="393"/>
      <c r="E945" s="394"/>
      <c r="F945" s="394">
        <v>0</v>
      </c>
      <c r="G945" s="394"/>
      <c r="H945" s="8" t="s">
        <v>235</v>
      </c>
      <c r="I945" s="368">
        <f t="shared" si="43"/>
        <v>0</v>
      </c>
      <c r="J945" s="365">
        <f t="shared" si="42"/>
        <v>0</v>
      </c>
      <c r="K945" s="369">
        <f t="shared" si="44"/>
        <v>6</v>
      </c>
      <c r="L945" s="369">
        <f>+IF((C945&gt;='Resultats - informe'!$E$16)*(C945&lt;='Resultats - informe'!$G$16),1,0)</f>
        <v>1</v>
      </c>
      <c r="M945" s="369" cm="1">
        <f t="array" ref="M945">+_xlfn.IFS((C945&gt;='Resultats - informe'!$D$26)*(C945&lt;='Resultats - informe'!$E$26),0,(C945&gt;='Resultats - informe'!$D$27)*(C945&lt;='Resultats - informe'!$E$27),0,(C945&gt;='Resultats - informe'!$D$28)*(C945&lt;='Resultats - informe'!$E$28),0,(C945&gt;='Resultats - informe'!$D$29)*(C945&lt;='Resultats - informe'!$E$29),0,1,1)</f>
        <v>0</v>
      </c>
      <c r="N945" s="366">
        <f>+VLOOKUP(D945,'Resultats - informe'!$Y$18:$AG$42,'Introducció dades consum'!K945+1,0)</f>
        <v>0</v>
      </c>
      <c r="O945" s="370" cm="1">
        <f t="array" ref="O945">+_xlfn.SWITCH(MONTH(C945),1,1,2,1,3,1,4,2,5,2,6,3,7,3,8,3,9,3,10,2,11,2,12,1,2)</f>
        <v>1</v>
      </c>
      <c r="P945" s="43"/>
      <c r="AS945" s="10"/>
      <c r="AT945" s="10"/>
      <c r="AU945" s="10"/>
      <c r="AV945" s="10"/>
      <c r="AW945" s="10"/>
      <c r="AX945" s="10"/>
      <c r="AY945" s="10"/>
      <c r="AZ945" s="10"/>
      <c r="BA945" s="10"/>
      <c r="BB945" s="10"/>
      <c r="BC945" s="10"/>
      <c r="BD945" s="10"/>
      <c r="BE945" s="10"/>
      <c r="BF945" s="10"/>
      <c r="BG945" s="10"/>
      <c r="BH945" s="10"/>
      <c r="BI945" s="10"/>
      <c r="BJ945" s="10"/>
      <c r="BK945" s="10"/>
      <c r="BL945" s="10"/>
      <c r="BM945" s="10"/>
      <c r="BN945" s="10"/>
      <c r="BO945" s="10"/>
      <c r="BP945" s="10"/>
      <c r="BQ945" s="10"/>
      <c r="BR945" s="10"/>
      <c r="BS945" s="10"/>
      <c r="BT945" s="10"/>
      <c r="BU945" s="10"/>
    </row>
    <row r="946" spans="1:73" ht="18" x14ac:dyDescent="0.35">
      <c r="A946" s="43"/>
      <c r="C946" s="393"/>
      <c r="E946" s="394"/>
      <c r="F946" s="394">
        <v>0</v>
      </c>
      <c r="G946" s="394"/>
      <c r="H946" s="8" t="s">
        <v>235</v>
      </c>
      <c r="I946" s="368">
        <f t="shared" si="43"/>
        <v>0</v>
      </c>
      <c r="J946" s="365">
        <f t="shared" si="42"/>
        <v>0</v>
      </c>
      <c r="K946" s="369">
        <f t="shared" si="44"/>
        <v>6</v>
      </c>
      <c r="L946" s="369">
        <f>+IF((C946&gt;='Resultats - informe'!$E$16)*(C946&lt;='Resultats - informe'!$G$16),1,0)</f>
        <v>1</v>
      </c>
      <c r="M946" s="369" cm="1">
        <f t="array" ref="M946">+_xlfn.IFS((C946&gt;='Resultats - informe'!$D$26)*(C946&lt;='Resultats - informe'!$E$26),0,(C946&gt;='Resultats - informe'!$D$27)*(C946&lt;='Resultats - informe'!$E$27),0,(C946&gt;='Resultats - informe'!$D$28)*(C946&lt;='Resultats - informe'!$E$28),0,(C946&gt;='Resultats - informe'!$D$29)*(C946&lt;='Resultats - informe'!$E$29),0,1,1)</f>
        <v>0</v>
      </c>
      <c r="N946" s="366">
        <f>+VLOOKUP(D946,'Resultats - informe'!$Y$18:$AG$42,'Introducció dades consum'!K946+1,0)</f>
        <v>0</v>
      </c>
      <c r="O946" s="370" cm="1">
        <f t="array" ref="O946">+_xlfn.SWITCH(MONTH(C946),1,1,2,1,3,1,4,2,5,2,6,3,7,3,8,3,9,3,10,2,11,2,12,1,2)</f>
        <v>1</v>
      </c>
      <c r="P946" s="43"/>
      <c r="AS946" s="10"/>
      <c r="AT946" s="10"/>
      <c r="AU946" s="10"/>
      <c r="AV946" s="10"/>
      <c r="AW946" s="10"/>
      <c r="AX946" s="10"/>
      <c r="AY946" s="10"/>
      <c r="AZ946" s="10"/>
      <c r="BA946" s="10"/>
      <c r="BB946" s="10"/>
      <c r="BC946" s="10"/>
      <c r="BD946" s="10"/>
      <c r="BE946" s="10"/>
      <c r="BF946" s="10"/>
      <c r="BG946" s="10"/>
      <c r="BH946" s="10"/>
      <c r="BI946" s="10"/>
      <c r="BJ946" s="10"/>
      <c r="BK946" s="10"/>
      <c r="BL946" s="10"/>
      <c r="BM946" s="10"/>
      <c r="BN946" s="10"/>
      <c r="BO946" s="10"/>
      <c r="BP946" s="10"/>
      <c r="BQ946" s="10"/>
      <c r="BR946" s="10"/>
      <c r="BS946" s="10"/>
      <c r="BT946" s="10"/>
      <c r="BU946" s="10"/>
    </row>
    <row r="947" spans="1:73" ht="18" x14ac:dyDescent="0.35">
      <c r="A947" s="43"/>
      <c r="C947" s="393"/>
      <c r="E947" s="394"/>
      <c r="F947" s="394">
        <v>0</v>
      </c>
      <c r="G947" s="394"/>
      <c r="H947" s="8" t="s">
        <v>235</v>
      </c>
      <c r="I947" s="368">
        <f t="shared" si="43"/>
        <v>0</v>
      </c>
      <c r="J947" s="365">
        <f t="shared" si="42"/>
        <v>0</v>
      </c>
      <c r="K947" s="369">
        <f t="shared" si="44"/>
        <v>6</v>
      </c>
      <c r="L947" s="369">
        <f>+IF((C947&gt;='Resultats - informe'!$E$16)*(C947&lt;='Resultats - informe'!$G$16),1,0)</f>
        <v>1</v>
      </c>
      <c r="M947" s="369" cm="1">
        <f t="array" ref="M947">+_xlfn.IFS((C947&gt;='Resultats - informe'!$D$26)*(C947&lt;='Resultats - informe'!$E$26),0,(C947&gt;='Resultats - informe'!$D$27)*(C947&lt;='Resultats - informe'!$E$27),0,(C947&gt;='Resultats - informe'!$D$28)*(C947&lt;='Resultats - informe'!$E$28),0,(C947&gt;='Resultats - informe'!$D$29)*(C947&lt;='Resultats - informe'!$E$29),0,1,1)</f>
        <v>0</v>
      </c>
      <c r="N947" s="366">
        <f>+VLOOKUP(D947,'Resultats - informe'!$Y$18:$AG$42,'Introducció dades consum'!K947+1,0)</f>
        <v>0</v>
      </c>
      <c r="O947" s="370" cm="1">
        <f t="array" ref="O947">+_xlfn.SWITCH(MONTH(C947),1,1,2,1,3,1,4,2,5,2,6,3,7,3,8,3,9,3,10,2,11,2,12,1,2)</f>
        <v>1</v>
      </c>
      <c r="P947" s="43"/>
      <c r="AS947" s="10"/>
      <c r="AT947" s="10"/>
      <c r="AU947" s="10"/>
      <c r="AV947" s="10"/>
      <c r="AW947" s="10"/>
      <c r="AX947" s="10"/>
      <c r="AY947" s="10"/>
      <c r="AZ947" s="10"/>
      <c r="BA947" s="10"/>
      <c r="BB947" s="10"/>
      <c r="BC947" s="10"/>
      <c r="BD947" s="10"/>
      <c r="BE947" s="10"/>
      <c r="BF947" s="10"/>
      <c r="BG947" s="10"/>
      <c r="BH947" s="10"/>
      <c r="BI947" s="10"/>
      <c r="BJ947" s="10"/>
      <c r="BK947" s="10"/>
      <c r="BL947" s="10"/>
      <c r="BM947" s="10"/>
      <c r="BN947" s="10"/>
      <c r="BO947" s="10"/>
      <c r="BP947" s="10"/>
      <c r="BQ947" s="10"/>
      <c r="BR947" s="10"/>
      <c r="BS947" s="10"/>
      <c r="BT947" s="10"/>
      <c r="BU947" s="10"/>
    </row>
    <row r="948" spans="1:73" ht="18" x14ac:dyDescent="0.35">
      <c r="A948" s="43"/>
      <c r="C948" s="393"/>
      <c r="E948" s="394"/>
      <c r="F948" s="394">
        <v>0</v>
      </c>
      <c r="G948" s="394"/>
      <c r="H948" s="8" t="s">
        <v>235</v>
      </c>
      <c r="I948" s="368">
        <f t="shared" si="43"/>
        <v>0</v>
      </c>
      <c r="J948" s="365">
        <f t="shared" si="42"/>
        <v>0</v>
      </c>
      <c r="K948" s="369">
        <f t="shared" si="44"/>
        <v>6</v>
      </c>
      <c r="L948" s="369">
        <f>+IF((C948&gt;='Resultats - informe'!$E$16)*(C948&lt;='Resultats - informe'!$G$16),1,0)</f>
        <v>1</v>
      </c>
      <c r="M948" s="369" cm="1">
        <f t="array" ref="M948">+_xlfn.IFS((C948&gt;='Resultats - informe'!$D$26)*(C948&lt;='Resultats - informe'!$E$26),0,(C948&gt;='Resultats - informe'!$D$27)*(C948&lt;='Resultats - informe'!$E$27),0,(C948&gt;='Resultats - informe'!$D$28)*(C948&lt;='Resultats - informe'!$E$28),0,(C948&gt;='Resultats - informe'!$D$29)*(C948&lt;='Resultats - informe'!$E$29),0,1,1)</f>
        <v>0</v>
      </c>
      <c r="N948" s="366">
        <f>+VLOOKUP(D948,'Resultats - informe'!$Y$18:$AG$42,'Introducció dades consum'!K948+1,0)</f>
        <v>0</v>
      </c>
      <c r="O948" s="370" cm="1">
        <f t="array" ref="O948">+_xlfn.SWITCH(MONTH(C948),1,1,2,1,3,1,4,2,5,2,6,3,7,3,8,3,9,3,10,2,11,2,12,1,2)</f>
        <v>1</v>
      </c>
      <c r="P948" s="43"/>
      <c r="AS948" s="10"/>
      <c r="AT948" s="10"/>
      <c r="AU948" s="10"/>
      <c r="AV948" s="10"/>
      <c r="AW948" s="10"/>
      <c r="AX948" s="10"/>
      <c r="AY948" s="10"/>
      <c r="AZ948" s="10"/>
      <c r="BA948" s="10"/>
      <c r="BB948" s="10"/>
      <c r="BC948" s="10"/>
      <c r="BD948" s="10"/>
      <c r="BE948" s="10"/>
      <c r="BF948" s="10"/>
      <c r="BG948" s="10"/>
      <c r="BH948" s="10"/>
      <c r="BI948" s="10"/>
      <c r="BJ948" s="10"/>
      <c r="BK948" s="10"/>
      <c r="BL948" s="10"/>
      <c r="BM948" s="10"/>
      <c r="BN948" s="10"/>
      <c r="BO948" s="10"/>
      <c r="BP948" s="10"/>
      <c r="BQ948" s="10"/>
      <c r="BR948" s="10"/>
      <c r="BS948" s="10"/>
      <c r="BT948" s="10"/>
      <c r="BU948" s="10"/>
    </row>
    <row r="949" spans="1:73" ht="18" x14ac:dyDescent="0.35">
      <c r="A949" s="43"/>
      <c r="C949" s="393"/>
      <c r="E949" s="394"/>
      <c r="F949" s="394">
        <v>0</v>
      </c>
      <c r="G949" s="394"/>
      <c r="H949" s="8" t="s">
        <v>61</v>
      </c>
      <c r="I949" s="368">
        <f t="shared" si="43"/>
        <v>0</v>
      </c>
      <c r="J949" s="365">
        <f t="shared" si="42"/>
        <v>0</v>
      </c>
      <c r="K949" s="369">
        <f t="shared" si="44"/>
        <v>6</v>
      </c>
      <c r="L949" s="369">
        <f>+IF((C949&gt;='Resultats - informe'!$E$16)*(C949&lt;='Resultats - informe'!$G$16),1,0)</f>
        <v>1</v>
      </c>
      <c r="M949" s="369" cm="1">
        <f t="array" ref="M949">+_xlfn.IFS((C949&gt;='Resultats - informe'!$D$26)*(C949&lt;='Resultats - informe'!$E$26),0,(C949&gt;='Resultats - informe'!$D$27)*(C949&lt;='Resultats - informe'!$E$27),0,(C949&gt;='Resultats - informe'!$D$28)*(C949&lt;='Resultats - informe'!$E$28),0,(C949&gt;='Resultats - informe'!$D$29)*(C949&lt;='Resultats - informe'!$E$29),0,1,1)</f>
        <v>0</v>
      </c>
      <c r="N949" s="366">
        <f>+VLOOKUP(D949,'Resultats - informe'!$Y$18:$AG$42,'Introducció dades consum'!K949+1,0)</f>
        <v>0</v>
      </c>
      <c r="O949" s="370" cm="1">
        <f t="array" ref="O949">+_xlfn.SWITCH(MONTH(C949),1,1,2,1,3,1,4,2,5,2,6,3,7,3,8,3,9,3,10,2,11,2,12,1,2)</f>
        <v>1</v>
      </c>
      <c r="P949" s="43"/>
      <c r="AS949" s="10"/>
      <c r="AT949" s="10"/>
      <c r="AU949" s="10"/>
      <c r="AV949" s="10"/>
      <c r="AW949" s="10"/>
      <c r="AX949" s="10"/>
      <c r="AY949" s="10"/>
      <c r="AZ949" s="10"/>
      <c r="BA949" s="10"/>
      <c r="BB949" s="10"/>
      <c r="BC949" s="10"/>
      <c r="BD949" s="10"/>
      <c r="BE949" s="10"/>
      <c r="BF949" s="10"/>
      <c r="BG949" s="10"/>
      <c r="BH949" s="10"/>
      <c r="BI949" s="10"/>
      <c r="BJ949" s="10"/>
      <c r="BK949" s="10"/>
      <c r="BL949" s="10"/>
      <c r="BM949" s="10"/>
      <c r="BN949" s="10"/>
      <c r="BO949" s="10"/>
      <c r="BP949" s="10"/>
      <c r="BQ949" s="10"/>
      <c r="BR949" s="10"/>
      <c r="BS949" s="10"/>
      <c r="BT949" s="10"/>
      <c r="BU949" s="10"/>
    </row>
    <row r="950" spans="1:73" ht="18" x14ac:dyDescent="0.35">
      <c r="A950" s="43"/>
      <c r="C950" s="393"/>
      <c r="E950" s="394"/>
      <c r="F950" s="394">
        <v>0.52500000000000002</v>
      </c>
      <c r="G950" s="394"/>
      <c r="H950" s="8" t="s">
        <v>61</v>
      </c>
      <c r="I950" s="368">
        <f t="shared" si="43"/>
        <v>0</v>
      </c>
      <c r="J950" s="365">
        <f t="shared" si="42"/>
        <v>0</v>
      </c>
      <c r="K950" s="369">
        <f t="shared" si="44"/>
        <v>6</v>
      </c>
      <c r="L950" s="369">
        <f>+IF((C950&gt;='Resultats - informe'!$E$16)*(C950&lt;='Resultats - informe'!$G$16),1,0)</f>
        <v>1</v>
      </c>
      <c r="M950" s="369" cm="1">
        <f t="array" ref="M950">+_xlfn.IFS((C950&gt;='Resultats - informe'!$D$26)*(C950&lt;='Resultats - informe'!$E$26),0,(C950&gt;='Resultats - informe'!$D$27)*(C950&lt;='Resultats - informe'!$E$27),0,(C950&gt;='Resultats - informe'!$D$28)*(C950&lt;='Resultats - informe'!$E$28),0,(C950&gt;='Resultats - informe'!$D$29)*(C950&lt;='Resultats - informe'!$E$29),0,1,1)</f>
        <v>0</v>
      </c>
      <c r="N950" s="366">
        <f>+VLOOKUP(D950,'Resultats - informe'!$Y$18:$AG$42,'Introducció dades consum'!K950+1,0)</f>
        <v>0</v>
      </c>
      <c r="O950" s="370" cm="1">
        <f t="array" ref="O950">+_xlfn.SWITCH(MONTH(C950),1,1,2,1,3,1,4,2,5,2,6,3,7,3,8,3,9,3,10,2,11,2,12,1,2)</f>
        <v>1</v>
      </c>
      <c r="P950" s="43"/>
      <c r="AS950" s="10"/>
      <c r="AT950" s="10"/>
      <c r="AU950" s="10"/>
      <c r="AV950" s="10"/>
      <c r="AW950" s="10"/>
      <c r="AX950" s="10"/>
      <c r="AY950" s="10"/>
      <c r="AZ950" s="10"/>
      <c r="BA950" s="10"/>
      <c r="BB950" s="10"/>
      <c r="BC950" s="10"/>
      <c r="BD950" s="10"/>
      <c r="BE950" s="10"/>
      <c r="BF950" s="10"/>
      <c r="BG950" s="10"/>
      <c r="BH950" s="10"/>
      <c r="BI950" s="10"/>
      <c r="BJ950" s="10"/>
      <c r="BK950" s="10"/>
      <c r="BL950" s="10"/>
      <c r="BM950" s="10"/>
      <c r="BN950" s="10"/>
      <c r="BO950" s="10"/>
      <c r="BP950" s="10"/>
      <c r="BQ950" s="10"/>
      <c r="BR950" s="10"/>
      <c r="BS950" s="10"/>
      <c r="BT950" s="10"/>
      <c r="BU950" s="10"/>
    </row>
    <row r="951" spans="1:73" ht="18" x14ac:dyDescent="0.35">
      <c r="A951" s="43"/>
      <c r="C951" s="393"/>
      <c r="E951" s="394"/>
      <c r="F951" s="394">
        <v>0.99199999999999999</v>
      </c>
      <c r="G951" s="394"/>
      <c r="H951" s="8" t="s">
        <v>61</v>
      </c>
      <c r="I951" s="368">
        <f t="shared" si="43"/>
        <v>0</v>
      </c>
      <c r="J951" s="365">
        <f t="shared" si="42"/>
        <v>0</v>
      </c>
      <c r="K951" s="369">
        <f t="shared" si="44"/>
        <v>6</v>
      </c>
      <c r="L951" s="369">
        <f>+IF((C951&gt;='Resultats - informe'!$E$16)*(C951&lt;='Resultats - informe'!$G$16),1,0)</f>
        <v>1</v>
      </c>
      <c r="M951" s="369" cm="1">
        <f t="array" ref="M951">+_xlfn.IFS((C951&gt;='Resultats - informe'!$D$26)*(C951&lt;='Resultats - informe'!$E$26),0,(C951&gt;='Resultats - informe'!$D$27)*(C951&lt;='Resultats - informe'!$E$27),0,(C951&gt;='Resultats - informe'!$D$28)*(C951&lt;='Resultats - informe'!$E$28),0,(C951&gt;='Resultats - informe'!$D$29)*(C951&lt;='Resultats - informe'!$E$29),0,1,1)</f>
        <v>0</v>
      </c>
      <c r="N951" s="366">
        <f>+VLOOKUP(D951,'Resultats - informe'!$Y$18:$AG$42,'Introducció dades consum'!K951+1,0)</f>
        <v>0</v>
      </c>
      <c r="O951" s="370" cm="1">
        <f t="array" ref="O951">+_xlfn.SWITCH(MONTH(C951),1,1,2,1,3,1,4,2,5,2,6,3,7,3,8,3,9,3,10,2,11,2,12,1,2)</f>
        <v>1</v>
      </c>
      <c r="P951" s="43"/>
      <c r="AS951" s="10"/>
      <c r="AT951" s="10"/>
      <c r="AU951" s="10"/>
      <c r="AV951" s="10"/>
      <c r="AW951" s="10"/>
      <c r="AX951" s="10"/>
      <c r="AY951" s="10"/>
      <c r="AZ951" s="10"/>
      <c r="BA951" s="10"/>
      <c r="BB951" s="10"/>
      <c r="BC951" s="10"/>
      <c r="BD951" s="10"/>
      <c r="BE951" s="10"/>
      <c r="BF951" s="10"/>
      <c r="BG951" s="10"/>
      <c r="BH951" s="10"/>
      <c r="BI951" s="10"/>
      <c r="BJ951" s="10"/>
      <c r="BK951" s="10"/>
      <c r="BL951" s="10"/>
      <c r="BM951" s="10"/>
      <c r="BN951" s="10"/>
      <c r="BO951" s="10"/>
      <c r="BP951" s="10"/>
      <c r="BQ951" s="10"/>
      <c r="BR951" s="10"/>
      <c r="BS951" s="10"/>
      <c r="BT951" s="10"/>
      <c r="BU951" s="10"/>
    </row>
    <row r="952" spans="1:73" ht="18" x14ac:dyDescent="0.35">
      <c r="A952" s="43"/>
      <c r="C952" s="393"/>
      <c r="E952" s="394"/>
      <c r="F952" s="394">
        <v>1.7729999999999999</v>
      </c>
      <c r="G952" s="394"/>
      <c r="H952" s="8" t="s">
        <v>61</v>
      </c>
      <c r="I952" s="368">
        <f t="shared" si="43"/>
        <v>0</v>
      </c>
      <c r="J952" s="365">
        <f t="shared" si="42"/>
        <v>0</v>
      </c>
      <c r="K952" s="369">
        <f t="shared" si="44"/>
        <v>6</v>
      </c>
      <c r="L952" s="369">
        <f>+IF((C952&gt;='Resultats - informe'!$E$16)*(C952&lt;='Resultats - informe'!$G$16),1,0)</f>
        <v>1</v>
      </c>
      <c r="M952" s="369" cm="1">
        <f t="array" ref="M952">+_xlfn.IFS((C952&gt;='Resultats - informe'!$D$26)*(C952&lt;='Resultats - informe'!$E$26),0,(C952&gt;='Resultats - informe'!$D$27)*(C952&lt;='Resultats - informe'!$E$27),0,(C952&gt;='Resultats - informe'!$D$28)*(C952&lt;='Resultats - informe'!$E$28),0,(C952&gt;='Resultats - informe'!$D$29)*(C952&lt;='Resultats - informe'!$E$29),0,1,1)</f>
        <v>0</v>
      </c>
      <c r="N952" s="366">
        <f>+VLOOKUP(D952,'Resultats - informe'!$Y$18:$AG$42,'Introducció dades consum'!K952+1,0)</f>
        <v>0</v>
      </c>
      <c r="O952" s="370" cm="1">
        <f t="array" ref="O952">+_xlfn.SWITCH(MONTH(C952),1,1,2,1,3,1,4,2,5,2,6,3,7,3,8,3,9,3,10,2,11,2,12,1,2)</f>
        <v>1</v>
      </c>
      <c r="P952" s="43"/>
      <c r="AS952" s="10"/>
      <c r="AT952" s="10"/>
      <c r="AU952" s="10"/>
      <c r="AV952" s="10"/>
      <c r="AW952" s="10"/>
      <c r="AX952" s="10"/>
      <c r="AY952" s="10"/>
      <c r="AZ952" s="10"/>
      <c r="BA952" s="10"/>
      <c r="BB952" s="10"/>
      <c r="BC952" s="10"/>
      <c r="BD952" s="10"/>
      <c r="BE952" s="10"/>
      <c r="BF952" s="10"/>
      <c r="BG952" s="10"/>
      <c r="BH952" s="10"/>
      <c r="BI952" s="10"/>
      <c r="BJ952" s="10"/>
      <c r="BK952" s="10"/>
      <c r="BL952" s="10"/>
      <c r="BM952" s="10"/>
      <c r="BN952" s="10"/>
      <c r="BO952" s="10"/>
      <c r="BP952" s="10"/>
      <c r="BQ952" s="10"/>
      <c r="BR952" s="10"/>
      <c r="BS952" s="10"/>
      <c r="BT952" s="10"/>
      <c r="BU952" s="10"/>
    </row>
    <row r="953" spans="1:73" ht="18" x14ac:dyDescent="0.35">
      <c r="A953" s="43"/>
      <c r="C953" s="393"/>
      <c r="E953" s="394"/>
      <c r="F953" s="394">
        <v>2.6709999999999998</v>
      </c>
      <c r="G953" s="394"/>
      <c r="H953" s="8" t="s">
        <v>61</v>
      </c>
      <c r="I953" s="368">
        <f t="shared" si="43"/>
        <v>0</v>
      </c>
      <c r="J953" s="365">
        <f t="shared" si="42"/>
        <v>0</v>
      </c>
      <c r="K953" s="369">
        <f t="shared" si="44"/>
        <v>6</v>
      </c>
      <c r="L953" s="369">
        <f>+IF((C953&gt;='Resultats - informe'!$E$16)*(C953&lt;='Resultats - informe'!$G$16),1,0)</f>
        <v>1</v>
      </c>
      <c r="M953" s="369" cm="1">
        <f t="array" ref="M953">+_xlfn.IFS((C953&gt;='Resultats - informe'!$D$26)*(C953&lt;='Resultats - informe'!$E$26),0,(C953&gt;='Resultats - informe'!$D$27)*(C953&lt;='Resultats - informe'!$E$27),0,(C953&gt;='Resultats - informe'!$D$28)*(C953&lt;='Resultats - informe'!$E$28),0,(C953&gt;='Resultats - informe'!$D$29)*(C953&lt;='Resultats - informe'!$E$29),0,1,1)</f>
        <v>0</v>
      </c>
      <c r="N953" s="366">
        <f>+VLOOKUP(D953,'Resultats - informe'!$Y$18:$AG$42,'Introducció dades consum'!K953+1,0)</f>
        <v>0</v>
      </c>
      <c r="O953" s="370" cm="1">
        <f t="array" ref="O953">+_xlfn.SWITCH(MONTH(C953),1,1,2,1,3,1,4,2,5,2,6,3,7,3,8,3,9,3,10,2,11,2,12,1,2)</f>
        <v>1</v>
      </c>
      <c r="P953" s="43"/>
      <c r="AS953" s="10"/>
      <c r="AT953" s="10"/>
      <c r="AU953" s="10"/>
      <c r="AV953" s="10"/>
      <c r="AW953" s="10"/>
      <c r="AX953" s="10"/>
      <c r="AY953" s="10"/>
      <c r="AZ953" s="10"/>
      <c r="BA953" s="10"/>
      <c r="BB953" s="10"/>
      <c r="BC953" s="10"/>
      <c r="BD953" s="10"/>
      <c r="BE953" s="10"/>
      <c r="BF953" s="10"/>
      <c r="BG953" s="10"/>
      <c r="BH953" s="10"/>
      <c r="BI953" s="10"/>
      <c r="BJ953" s="10"/>
      <c r="BK953" s="10"/>
      <c r="BL953" s="10"/>
      <c r="BM953" s="10"/>
      <c r="BN953" s="10"/>
      <c r="BO953" s="10"/>
      <c r="BP953" s="10"/>
      <c r="BQ953" s="10"/>
      <c r="BR953" s="10"/>
      <c r="BS953" s="10"/>
      <c r="BT953" s="10"/>
      <c r="BU953" s="10"/>
    </row>
    <row r="954" spans="1:73" ht="18" x14ac:dyDescent="0.35">
      <c r="A954" s="43"/>
      <c r="C954" s="393"/>
      <c r="E954" s="394"/>
      <c r="F954" s="394">
        <v>5.109</v>
      </c>
      <c r="G954" s="394"/>
      <c r="H954" s="8" t="s">
        <v>61</v>
      </c>
      <c r="I954" s="368">
        <f t="shared" si="43"/>
        <v>0</v>
      </c>
      <c r="J954" s="365">
        <f t="shared" si="42"/>
        <v>0</v>
      </c>
      <c r="K954" s="369">
        <f t="shared" si="44"/>
        <v>6</v>
      </c>
      <c r="L954" s="369">
        <f>+IF((C954&gt;='Resultats - informe'!$E$16)*(C954&lt;='Resultats - informe'!$G$16),1,0)</f>
        <v>1</v>
      </c>
      <c r="M954" s="369" cm="1">
        <f t="array" ref="M954">+_xlfn.IFS((C954&gt;='Resultats - informe'!$D$26)*(C954&lt;='Resultats - informe'!$E$26),0,(C954&gt;='Resultats - informe'!$D$27)*(C954&lt;='Resultats - informe'!$E$27),0,(C954&gt;='Resultats - informe'!$D$28)*(C954&lt;='Resultats - informe'!$E$28),0,(C954&gt;='Resultats - informe'!$D$29)*(C954&lt;='Resultats - informe'!$E$29),0,1,1)</f>
        <v>0</v>
      </c>
      <c r="N954" s="366">
        <f>+VLOOKUP(D954,'Resultats - informe'!$Y$18:$AG$42,'Introducció dades consum'!K954+1,0)</f>
        <v>0</v>
      </c>
      <c r="O954" s="370" cm="1">
        <f t="array" ref="O954">+_xlfn.SWITCH(MONTH(C954),1,1,2,1,3,1,4,2,5,2,6,3,7,3,8,3,9,3,10,2,11,2,12,1,2)</f>
        <v>1</v>
      </c>
      <c r="P954" s="43"/>
      <c r="AS954" s="10"/>
      <c r="AT954" s="10"/>
      <c r="AU954" s="10"/>
      <c r="AV954" s="10"/>
      <c r="AW954" s="10"/>
      <c r="AX954" s="10"/>
      <c r="AY954" s="10"/>
      <c r="AZ954" s="10"/>
      <c r="BA954" s="10"/>
      <c r="BB954" s="10"/>
      <c r="BC954" s="10"/>
      <c r="BD954" s="10"/>
      <c r="BE954" s="10"/>
      <c r="BF954" s="10"/>
      <c r="BG954" s="10"/>
      <c r="BH954" s="10"/>
      <c r="BI954" s="10"/>
      <c r="BJ954" s="10"/>
      <c r="BK954" s="10"/>
      <c r="BL954" s="10"/>
      <c r="BM954" s="10"/>
      <c r="BN954" s="10"/>
      <c r="BO954" s="10"/>
      <c r="BP954" s="10"/>
      <c r="BQ954" s="10"/>
      <c r="BR954" s="10"/>
      <c r="BS954" s="10"/>
      <c r="BT954" s="10"/>
      <c r="BU954" s="10"/>
    </row>
    <row r="955" spans="1:73" ht="18" x14ac:dyDescent="0.35">
      <c r="A955" s="43"/>
      <c r="C955" s="393"/>
      <c r="E955" s="394"/>
      <c r="F955" s="394">
        <v>4.0579999999999998</v>
      </c>
      <c r="G955" s="394"/>
      <c r="H955" s="8" t="s">
        <v>61</v>
      </c>
      <c r="I955" s="368">
        <f t="shared" si="43"/>
        <v>0</v>
      </c>
      <c r="J955" s="365">
        <f t="shared" ref="J955:J1018" si="45">+C955</f>
        <v>0</v>
      </c>
      <c r="K955" s="369">
        <f t="shared" si="44"/>
        <v>6</v>
      </c>
      <c r="L955" s="369">
        <f>+IF((C955&gt;='Resultats - informe'!$E$16)*(C955&lt;='Resultats - informe'!$G$16),1,0)</f>
        <v>1</v>
      </c>
      <c r="M955" s="369" cm="1">
        <f t="array" ref="M955">+_xlfn.IFS((C955&gt;='Resultats - informe'!$D$26)*(C955&lt;='Resultats - informe'!$E$26),0,(C955&gt;='Resultats - informe'!$D$27)*(C955&lt;='Resultats - informe'!$E$27),0,(C955&gt;='Resultats - informe'!$D$28)*(C955&lt;='Resultats - informe'!$E$28),0,(C955&gt;='Resultats - informe'!$D$29)*(C955&lt;='Resultats - informe'!$E$29),0,1,1)</f>
        <v>0</v>
      </c>
      <c r="N955" s="366">
        <f>+VLOOKUP(D955,'Resultats - informe'!$Y$18:$AG$42,'Introducció dades consum'!K955+1,0)</f>
        <v>0</v>
      </c>
      <c r="O955" s="370" cm="1">
        <f t="array" ref="O955">+_xlfn.SWITCH(MONTH(C955),1,1,2,1,3,1,4,2,5,2,6,3,7,3,8,3,9,3,10,2,11,2,12,1,2)</f>
        <v>1</v>
      </c>
      <c r="P955" s="43"/>
      <c r="AS955" s="10"/>
      <c r="AT955" s="10"/>
      <c r="AU955" s="10"/>
      <c r="AV955" s="10"/>
      <c r="AW955" s="10"/>
      <c r="AX955" s="10"/>
      <c r="AY955" s="10"/>
      <c r="AZ955" s="10"/>
      <c r="BA955" s="10"/>
      <c r="BB955" s="10"/>
      <c r="BC955" s="10"/>
      <c r="BD955" s="10"/>
      <c r="BE955" s="10"/>
      <c r="BF955" s="10"/>
      <c r="BG955" s="10"/>
      <c r="BH955" s="10"/>
      <c r="BI955" s="10"/>
      <c r="BJ955" s="10"/>
      <c r="BK955" s="10"/>
      <c r="BL955" s="10"/>
      <c r="BM955" s="10"/>
      <c r="BN955" s="10"/>
      <c r="BO955" s="10"/>
      <c r="BP955" s="10"/>
      <c r="BQ955" s="10"/>
      <c r="BR955" s="10"/>
      <c r="BS955" s="10"/>
      <c r="BT955" s="10"/>
      <c r="BU955" s="10"/>
    </row>
    <row r="956" spans="1:73" ht="18" x14ac:dyDescent="0.35">
      <c r="A956" s="43"/>
      <c r="C956" s="393"/>
      <c r="E956" s="394"/>
      <c r="F956" s="394">
        <v>0.248</v>
      </c>
      <c r="G956" s="394"/>
      <c r="H956" s="8" t="s">
        <v>235</v>
      </c>
      <c r="I956" s="368">
        <f t="shared" si="43"/>
        <v>0</v>
      </c>
      <c r="J956" s="365">
        <f t="shared" si="45"/>
        <v>0</v>
      </c>
      <c r="K956" s="369">
        <f t="shared" si="44"/>
        <v>6</v>
      </c>
      <c r="L956" s="369">
        <f>+IF((C956&gt;='Resultats - informe'!$E$16)*(C956&lt;='Resultats - informe'!$G$16),1,0)</f>
        <v>1</v>
      </c>
      <c r="M956" s="369" cm="1">
        <f t="array" ref="M956">+_xlfn.IFS((C956&gt;='Resultats - informe'!$D$26)*(C956&lt;='Resultats - informe'!$E$26),0,(C956&gt;='Resultats - informe'!$D$27)*(C956&lt;='Resultats - informe'!$E$27),0,(C956&gt;='Resultats - informe'!$D$28)*(C956&lt;='Resultats - informe'!$E$28),0,(C956&gt;='Resultats - informe'!$D$29)*(C956&lt;='Resultats - informe'!$E$29),0,1,1)</f>
        <v>0</v>
      </c>
      <c r="N956" s="366">
        <f>+VLOOKUP(D956,'Resultats - informe'!$Y$18:$AG$42,'Introducció dades consum'!K956+1,0)</f>
        <v>0</v>
      </c>
      <c r="O956" s="370" cm="1">
        <f t="array" ref="O956">+_xlfn.SWITCH(MONTH(C956),1,1,2,1,3,1,4,2,5,2,6,3,7,3,8,3,9,3,10,2,11,2,12,1,2)</f>
        <v>1</v>
      </c>
      <c r="P956" s="43"/>
      <c r="AS956" s="10"/>
      <c r="AT956" s="10"/>
      <c r="AU956" s="10"/>
      <c r="AV956" s="10"/>
      <c r="AW956" s="10"/>
      <c r="AX956" s="10"/>
      <c r="AY956" s="10"/>
      <c r="AZ956" s="10"/>
      <c r="BA956" s="10"/>
      <c r="BB956" s="10"/>
      <c r="BC956" s="10"/>
      <c r="BD956" s="10"/>
      <c r="BE956" s="10"/>
      <c r="BF956" s="10"/>
      <c r="BG956" s="10"/>
      <c r="BH956" s="10"/>
      <c r="BI956" s="10"/>
      <c r="BJ956" s="10"/>
      <c r="BK956" s="10"/>
      <c r="BL956" s="10"/>
      <c r="BM956" s="10"/>
      <c r="BN956" s="10"/>
      <c r="BO956" s="10"/>
      <c r="BP956" s="10"/>
      <c r="BQ956" s="10"/>
      <c r="BR956" s="10"/>
      <c r="BS956" s="10"/>
      <c r="BT956" s="10"/>
      <c r="BU956" s="10"/>
    </row>
    <row r="957" spans="1:73" ht="18" x14ac:dyDescent="0.35">
      <c r="A957" s="43"/>
      <c r="C957" s="393"/>
      <c r="E957" s="394"/>
      <c r="F957" s="394">
        <v>0</v>
      </c>
      <c r="G957" s="394"/>
      <c r="H957" s="8" t="s">
        <v>235</v>
      </c>
      <c r="I957" s="368">
        <f t="shared" si="43"/>
        <v>0</v>
      </c>
      <c r="J957" s="365">
        <f t="shared" si="45"/>
        <v>0</v>
      </c>
      <c r="K957" s="369">
        <f t="shared" si="44"/>
        <v>6</v>
      </c>
      <c r="L957" s="369">
        <f>+IF((C957&gt;='Resultats - informe'!$E$16)*(C957&lt;='Resultats - informe'!$G$16),1,0)</f>
        <v>1</v>
      </c>
      <c r="M957" s="369" cm="1">
        <f t="array" ref="M957">+_xlfn.IFS((C957&gt;='Resultats - informe'!$D$26)*(C957&lt;='Resultats - informe'!$E$26),0,(C957&gt;='Resultats - informe'!$D$27)*(C957&lt;='Resultats - informe'!$E$27),0,(C957&gt;='Resultats - informe'!$D$28)*(C957&lt;='Resultats - informe'!$E$28),0,(C957&gt;='Resultats - informe'!$D$29)*(C957&lt;='Resultats - informe'!$E$29),0,1,1)</f>
        <v>0</v>
      </c>
      <c r="N957" s="366">
        <f>+VLOOKUP(D957,'Resultats - informe'!$Y$18:$AG$42,'Introducció dades consum'!K957+1,0)</f>
        <v>0</v>
      </c>
      <c r="O957" s="370" cm="1">
        <f t="array" ref="O957">+_xlfn.SWITCH(MONTH(C957),1,1,2,1,3,1,4,2,5,2,6,3,7,3,8,3,9,3,10,2,11,2,12,1,2)</f>
        <v>1</v>
      </c>
      <c r="P957" s="43"/>
      <c r="AS957" s="10"/>
      <c r="AT957" s="10"/>
      <c r="AU957" s="10"/>
      <c r="AV957" s="10"/>
      <c r="AW957" s="10"/>
      <c r="AX957" s="10"/>
      <c r="AY957" s="10"/>
      <c r="AZ957" s="10"/>
      <c r="BA957" s="10"/>
      <c r="BB957" s="10"/>
      <c r="BC957" s="10"/>
      <c r="BD957" s="10"/>
      <c r="BE957" s="10"/>
      <c r="BF957" s="10"/>
      <c r="BG957" s="10"/>
      <c r="BH957" s="10"/>
      <c r="BI957" s="10"/>
      <c r="BJ957" s="10"/>
      <c r="BK957" s="10"/>
      <c r="BL957" s="10"/>
      <c r="BM957" s="10"/>
      <c r="BN957" s="10"/>
      <c r="BO957" s="10"/>
      <c r="BP957" s="10"/>
      <c r="BQ957" s="10"/>
      <c r="BR957" s="10"/>
      <c r="BS957" s="10"/>
      <c r="BT957" s="10"/>
      <c r="BU957" s="10"/>
    </row>
    <row r="958" spans="1:73" ht="18" x14ac:dyDescent="0.35">
      <c r="A958" s="43"/>
      <c r="C958" s="393"/>
      <c r="E958" s="394"/>
      <c r="F958" s="394">
        <v>0.81299999999999994</v>
      </c>
      <c r="G958" s="394"/>
      <c r="H958" s="8" t="s">
        <v>61</v>
      </c>
      <c r="I958" s="368">
        <f t="shared" si="43"/>
        <v>0</v>
      </c>
      <c r="J958" s="365">
        <f t="shared" si="45"/>
        <v>0</v>
      </c>
      <c r="K958" s="369">
        <f t="shared" si="44"/>
        <v>6</v>
      </c>
      <c r="L958" s="369">
        <f>+IF((C958&gt;='Resultats - informe'!$E$16)*(C958&lt;='Resultats - informe'!$G$16),1,0)</f>
        <v>1</v>
      </c>
      <c r="M958" s="369" cm="1">
        <f t="array" ref="M958">+_xlfn.IFS((C958&gt;='Resultats - informe'!$D$26)*(C958&lt;='Resultats - informe'!$E$26),0,(C958&gt;='Resultats - informe'!$D$27)*(C958&lt;='Resultats - informe'!$E$27),0,(C958&gt;='Resultats - informe'!$D$28)*(C958&lt;='Resultats - informe'!$E$28),0,(C958&gt;='Resultats - informe'!$D$29)*(C958&lt;='Resultats - informe'!$E$29),0,1,1)</f>
        <v>0</v>
      </c>
      <c r="N958" s="366">
        <f>+VLOOKUP(D958,'Resultats - informe'!$Y$18:$AG$42,'Introducció dades consum'!K958+1,0)</f>
        <v>0</v>
      </c>
      <c r="O958" s="370" cm="1">
        <f t="array" ref="O958">+_xlfn.SWITCH(MONTH(C958),1,1,2,1,3,1,4,2,5,2,6,3,7,3,8,3,9,3,10,2,11,2,12,1,2)</f>
        <v>1</v>
      </c>
      <c r="P958" s="43"/>
      <c r="AS958" s="10"/>
      <c r="AT958" s="10"/>
      <c r="AU958" s="10"/>
      <c r="AV958" s="10"/>
      <c r="AW958" s="10"/>
      <c r="AX958" s="10"/>
      <c r="AY958" s="10"/>
      <c r="AZ958" s="10"/>
      <c r="BA958" s="10"/>
      <c r="BB958" s="10"/>
      <c r="BC958" s="10"/>
      <c r="BD958" s="10"/>
      <c r="BE958" s="10"/>
      <c r="BF958" s="10"/>
      <c r="BG958" s="10"/>
      <c r="BH958" s="10"/>
      <c r="BI958" s="10"/>
      <c r="BJ958" s="10"/>
      <c r="BK958" s="10"/>
      <c r="BL958" s="10"/>
      <c r="BM958" s="10"/>
      <c r="BN958" s="10"/>
      <c r="BO958" s="10"/>
      <c r="BP958" s="10"/>
      <c r="BQ958" s="10"/>
      <c r="BR958" s="10"/>
      <c r="BS958" s="10"/>
      <c r="BT958" s="10"/>
      <c r="BU958" s="10"/>
    </row>
    <row r="959" spans="1:73" ht="18" x14ac:dyDescent="0.35">
      <c r="A959" s="43"/>
      <c r="C959" s="393"/>
      <c r="E959" s="394"/>
      <c r="F959" s="394">
        <v>0</v>
      </c>
      <c r="G959" s="394"/>
      <c r="H959" s="8" t="s">
        <v>235</v>
      </c>
      <c r="I959" s="368">
        <f t="shared" si="43"/>
        <v>0</v>
      </c>
      <c r="J959" s="365">
        <f t="shared" si="45"/>
        <v>0</v>
      </c>
      <c r="K959" s="369">
        <f t="shared" si="44"/>
        <v>6</v>
      </c>
      <c r="L959" s="369">
        <f>+IF((C959&gt;='Resultats - informe'!$E$16)*(C959&lt;='Resultats - informe'!$G$16),1,0)</f>
        <v>1</v>
      </c>
      <c r="M959" s="369" cm="1">
        <f t="array" ref="M959">+_xlfn.IFS((C959&gt;='Resultats - informe'!$D$26)*(C959&lt;='Resultats - informe'!$E$26),0,(C959&gt;='Resultats - informe'!$D$27)*(C959&lt;='Resultats - informe'!$E$27),0,(C959&gt;='Resultats - informe'!$D$28)*(C959&lt;='Resultats - informe'!$E$28),0,(C959&gt;='Resultats - informe'!$D$29)*(C959&lt;='Resultats - informe'!$E$29),0,1,1)</f>
        <v>0</v>
      </c>
      <c r="N959" s="366">
        <f>+VLOOKUP(D959,'Resultats - informe'!$Y$18:$AG$42,'Introducció dades consum'!K959+1,0)</f>
        <v>0</v>
      </c>
      <c r="O959" s="370" cm="1">
        <f t="array" ref="O959">+_xlfn.SWITCH(MONTH(C959),1,1,2,1,3,1,4,2,5,2,6,3,7,3,8,3,9,3,10,2,11,2,12,1,2)</f>
        <v>1</v>
      </c>
      <c r="P959" s="43"/>
      <c r="AS959" s="10"/>
      <c r="AT959" s="10"/>
      <c r="AU959" s="10"/>
      <c r="AV959" s="10"/>
      <c r="AW959" s="10"/>
      <c r="AX959" s="10"/>
      <c r="AY959" s="10"/>
      <c r="AZ959" s="10"/>
      <c r="BA959" s="10"/>
      <c r="BB959" s="10"/>
      <c r="BC959" s="10"/>
      <c r="BD959" s="10"/>
      <c r="BE959" s="10"/>
      <c r="BF959" s="10"/>
      <c r="BG959" s="10"/>
      <c r="BH959" s="10"/>
      <c r="BI959" s="10"/>
      <c r="BJ959" s="10"/>
      <c r="BK959" s="10"/>
      <c r="BL959" s="10"/>
      <c r="BM959" s="10"/>
      <c r="BN959" s="10"/>
      <c r="BO959" s="10"/>
      <c r="BP959" s="10"/>
      <c r="BQ959" s="10"/>
      <c r="BR959" s="10"/>
      <c r="BS959" s="10"/>
      <c r="BT959" s="10"/>
      <c r="BU959" s="10"/>
    </row>
    <row r="960" spans="1:73" ht="18" x14ac:dyDescent="0.35">
      <c r="A960" s="43"/>
      <c r="C960" s="393"/>
      <c r="E960" s="394"/>
      <c r="F960" s="394">
        <v>0</v>
      </c>
      <c r="G960" s="394"/>
      <c r="H960" s="8" t="s">
        <v>235</v>
      </c>
      <c r="I960" s="368">
        <f t="shared" si="43"/>
        <v>0</v>
      </c>
      <c r="J960" s="365">
        <f t="shared" si="45"/>
        <v>0</v>
      </c>
      <c r="K960" s="369">
        <f t="shared" si="44"/>
        <v>6</v>
      </c>
      <c r="L960" s="369">
        <f>+IF((C960&gt;='Resultats - informe'!$E$16)*(C960&lt;='Resultats - informe'!$G$16),1,0)</f>
        <v>1</v>
      </c>
      <c r="M960" s="369" cm="1">
        <f t="array" ref="M960">+_xlfn.IFS((C960&gt;='Resultats - informe'!$D$26)*(C960&lt;='Resultats - informe'!$E$26),0,(C960&gt;='Resultats - informe'!$D$27)*(C960&lt;='Resultats - informe'!$E$27),0,(C960&gt;='Resultats - informe'!$D$28)*(C960&lt;='Resultats - informe'!$E$28),0,(C960&gt;='Resultats - informe'!$D$29)*(C960&lt;='Resultats - informe'!$E$29),0,1,1)</f>
        <v>0</v>
      </c>
      <c r="N960" s="366">
        <f>+VLOOKUP(D960,'Resultats - informe'!$Y$18:$AG$42,'Introducció dades consum'!K960+1,0)</f>
        <v>0</v>
      </c>
      <c r="O960" s="370" cm="1">
        <f t="array" ref="O960">+_xlfn.SWITCH(MONTH(C960),1,1,2,1,3,1,4,2,5,2,6,3,7,3,8,3,9,3,10,2,11,2,12,1,2)</f>
        <v>1</v>
      </c>
      <c r="P960" s="43"/>
      <c r="AS960" s="10"/>
      <c r="AT960" s="10"/>
      <c r="AU960" s="10"/>
      <c r="AV960" s="10"/>
      <c r="AW960" s="10"/>
      <c r="AX960" s="10"/>
      <c r="AY960" s="10"/>
      <c r="AZ960" s="10"/>
      <c r="BA960" s="10"/>
      <c r="BB960" s="10"/>
      <c r="BC960" s="10"/>
      <c r="BD960" s="10"/>
      <c r="BE960" s="10"/>
      <c r="BF960" s="10"/>
      <c r="BG960" s="10"/>
      <c r="BH960" s="10"/>
      <c r="BI960" s="10"/>
      <c r="BJ960" s="10"/>
      <c r="BK960" s="10"/>
      <c r="BL960" s="10"/>
      <c r="BM960" s="10"/>
      <c r="BN960" s="10"/>
      <c r="BO960" s="10"/>
      <c r="BP960" s="10"/>
      <c r="BQ960" s="10"/>
      <c r="BR960" s="10"/>
      <c r="BS960" s="10"/>
      <c r="BT960" s="10"/>
      <c r="BU960" s="10"/>
    </row>
    <row r="961" spans="1:73" ht="18" x14ac:dyDescent="0.35">
      <c r="A961" s="43"/>
      <c r="C961" s="393"/>
      <c r="E961" s="394"/>
      <c r="F961" s="394">
        <v>0</v>
      </c>
      <c r="G961" s="394"/>
      <c r="H961" s="8" t="s">
        <v>235</v>
      </c>
      <c r="I961" s="368">
        <f t="shared" si="43"/>
        <v>0</v>
      </c>
      <c r="J961" s="365">
        <f t="shared" si="45"/>
        <v>0</v>
      </c>
      <c r="K961" s="369">
        <f t="shared" si="44"/>
        <v>6</v>
      </c>
      <c r="L961" s="369">
        <f>+IF((C961&gt;='Resultats - informe'!$E$16)*(C961&lt;='Resultats - informe'!$G$16),1,0)</f>
        <v>1</v>
      </c>
      <c r="M961" s="369" cm="1">
        <f t="array" ref="M961">+_xlfn.IFS((C961&gt;='Resultats - informe'!$D$26)*(C961&lt;='Resultats - informe'!$E$26),0,(C961&gt;='Resultats - informe'!$D$27)*(C961&lt;='Resultats - informe'!$E$27),0,(C961&gt;='Resultats - informe'!$D$28)*(C961&lt;='Resultats - informe'!$E$28),0,(C961&gt;='Resultats - informe'!$D$29)*(C961&lt;='Resultats - informe'!$E$29),0,1,1)</f>
        <v>0</v>
      </c>
      <c r="N961" s="366">
        <f>+VLOOKUP(D961,'Resultats - informe'!$Y$18:$AG$42,'Introducció dades consum'!K961+1,0)</f>
        <v>0</v>
      </c>
      <c r="O961" s="370" cm="1">
        <f t="array" ref="O961">+_xlfn.SWITCH(MONTH(C961),1,1,2,1,3,1,4,2,5,2,6,3,7,3,8,3,9,3,10,2,11,2,12,1,2)</f>
        <v>1</v>
      </c>
      <c r="P961" s="43"/>
      <c r="AS961" s="10"/>
      <c r="AT961" s="10"/>
      <c r="AU961" s="10"/>
      <c r="AV961" s="10"/>
      <c r="AW961" s="10"/>
      <c r="AX961" s="10"/>
      <c r="AY961" s="10"/>
      <c r="AZ961" s="10"/>
      <c r="BA961" s="10"/>
      <c r="BB961" s="10"/>
      <c r="BC961" s="10"/>
      <c r="BD961" s="10"/>
      <c r="BE961" s="10"/>
      <c r="BF961" s="10"/>
      <c r="BG961" s="10"/>
      <c r="BH961" s="10"/>
      <c r="BI961" s="10"/>
      <c r="BJ961" s="10"/>
      <c r="BK961" s="10"/>
      <c r="BL961" s="10"/>
      <c r="BM961" s="10"/>
      <c r="BN961" s="10"/>
      <c r="BO961" s="10"/>
      <c r="BP961" s="10"/>
      <c r="BQ961" s="10"/>
      <c r="BR961" s="10"/>
      <c r="BS961" s="10"/>
      <c r="BT961" s="10"/>
      <c r="BU961" s="10"/>
    </row>
    <row r="962" spans="1:73" ht="18" x14ac:dyDescent="0.35">
      <c r="A962" s="43"/>
      <c r="C962" s="393"/>
      <c r="E962" s="394"/>
      <c r="F962" s="394">
        <v>0</v>
      </c>
      <c r="G962" s="394"/>
      <c r="H962" s="8" t="s">
        <v>235</v>
      </c>
      <c r="I962" s="368">
        <f t="shared" si="43"/>
        <v>0</v>
      </c>
      <c r="J962" s="365">
        <f t="shared" si="45"/>
        <v>0</v>
      </c>
      <c r="K962" s="369">
        <f t="shared" si="44"/>
        <v>6</v>
      </c>
      <c r="L962" s="369">
        <f>+IF((C962&gt;='Resultats - informe'!$E$16)*(C962&lt;='Resultats - informe'!$G$16),1,0)</f>
        <v>1</v>
      </c>
      <c r="M962" s="369" cm="1">
        <f t="array" ref="M962">+_xlfn.IFS((C962&gt;='Resultats - informe'!$D$26)*(C962&lt;='Resultats - informe'!$E$26),0,(C962&gt;='Resultats - informe'!$D$27)*(C962&lt;='Resultats - informe'!$E$27),0,(C962&gt;='Resultats - informe'!$D$28)*(C962&lt;='Resultats - informe'!$E$28),0,(C962&gt;='Resultats - informe'!$D$29)*(C962&lt;='Resultats - informe'!$E$29),0,1,1)</f>
        <v>0</v>
      </c>
      <c r="N962" s="366">
        <f>+VLOOKUP(D962,'Resultats - informe'!$Y$18:$AG$42,'Introducció dades consum'!K962+1,0)</f>
        <v>0</v>
      </c>
      <c r="O962" s="370" cm="1">
        <f t="array" ref="O962">+_xlfn.SWITCH(MONTH(C962),1,1,2,1,3,1,4,2,5,2,6,3,7,3,8,3,9,3,10,2,11,2,12,1,2)</f>
        <v>1</v>
      </c>
      <c r="P962" s="43"/>
      <c r="AS962" s="10"/>
      <c r="AT962" s="10"/>
      <c r="AU962" s="10"/>
      <c r="AV962" s="10"/>
      <c r="AW962" s="10"/>
      <c r="AX962" s="10"/>
      <c r="AY962" s="10"/>
      <c r="AZ962" s="10"/>
      <c r="BA962" s="10"/>
      <c r="BB962" s="10"/>
      <c r="BC962" s="10"/>
      <c r="BD962" s="10"/>
      <c r="BE962" s="10"/>
      <c r="BF962" s="10"/>
      <c r="BG962" s="10"/>
      <c r="BH962" s="10"/>
      <c r="BI962" s="10"/>
      <c r="BJ962" s="10"/>
      <c r="BK962" s="10"/>
      <c r="BL962" s="10"/>
      <c r="BM962" s="10"/>
      <c r="BN962" s="10"/>
      <c r="BO962" s="10"/>
      <c r="BP962" s="10"/>
      <c r="BQ962" s="10"/>
      <c r="BR962" s="10"/>
      <c r="BS962" s="10"/>
      <c r="BT962" s="10"/>
      <c r="BU962" s="10"/>
    </row>
    <row r="963" spans="1:73" ht="18" x14ac:dyDescent="0.35">
      <c r="A963" s="43"/>
      <c r="C963" s="393"/>
      <c r="E963" s="394"/>
      <c r="F963" s="394">
        <v>0</v>
      </c>
      <c r="G963" s="394"/>
      <c r="H963" s="8" t="s">
        <v>235</v>
      </c>
      <c r="I963" s="368">
        <f t="shared" si="43"/>
        <v>0</v>
      </c>
      <c r="J963" s="365">
        <f t="shared" si="45"/>
        <v>0</v>
      </c>
      <c r="K963" s="369">
        <f t="shared" si="44"/>
        <v>6</v>
      </c>
      <c r="L963" s="369">
        <f>+IF((C963&gt;='Resultats - informe'!$E$16)*(C963&lt;='Resultats - informe'!$G$16),1,0)</f>
        <v>1</v>
      </c>
      <c r="M963" s="369" cm="1">
        <f t="array" ref="M963">+_xlfn.IFS((C963&gt;='Resultats - informe'!$D$26)*(C963&lt;='Resultats - informe'!$E$26),0,(C963&gt;='Resultats - informe'!$D$27)*(C963&lt;='Resultats - informe'!$E$27),0,(C963&gt;='Resultats - informe'!$D$28)*(C963&lt;='Resultats - informe'!$E$28),0,(C963&gt;='Resultats - informe'!$D$29)*(C963&lt;='Resultats - informe'!$E$29),0,1,1)</f>
        <v>0</v>
      </c>
      <c r="N963" s="366">
        <f>+VLOOKUP(D963,'Resultats - informe'!$Y$18:$AG$42,'Introducció dades consum'!K963+1,0)</f>
        <v>0</v>
      </c>
      <c r="O963" s="370" cm="1">
        <f t="array" ref="O963">+_xlfn.SWITCH(MONTH(C963),1,1,2,1,3,1,4,2,5,2,6,3,7,3,8,3,9,3,10,2,11,2,12,1,2)</f>
        <v>1</v>
      </c>
      <c r="P963" s="43"/>
      <c r="AS963" s="10"/>
      <c r="AT963" s="10"/>
      <c r="AU963" s="10"/>
      <c r="AV963" s="10"/>
      <c r="AW963" s="10"/>
      <c r="AX963" s="10"/>
      <c r="AY963" s="10"/>
      <c r="AZ963" s="10"/>
      <c r="BA963" s="10"/>
      <c r="BB963" s="10"/>
      <c r="BC963" s="10"/>
      <c r="BD963" s="10"/>
      <c r="BE963" s="10"/>
      <c r="BF963" s="10"/>
      <c r="BG963" s="10"/>
      <c r="BH963" s="10"/>
      <c r="BI963" s="10"/>
      <c r="BJ963" s="10"/>
      <c r="BK963" s="10"/>
      <c r="BL963" s="10"/>
      <c r="BM963" s="10"/>
      <c r="BN963" s="10"/>
      <c r="BO963" s="10"/>
      <c r="BP963" s="10"/>
      <c r="BQ963" s="10"/>
      <c r="BR963" s="10"/>
      <c r="BS963" s="10"/>
      <c r="BT963" s="10"/>
      <c r="BU963" s="10"/>
    </row>
    <row r="964" spans="1:73" ht="18" x14ac:dyDescent="0.35">
      <c r="A964" s="43"/>
      <c r="C964" s="393"/>
      <c r="E964" s="394"/>
      <c r="F964" s="394">
        <v>0</v>
      </c>
      <c r="G964" s="394"/>
      <c r="H964" s="8" t="s">
        <v>235</v>
      </c>
      <c r="I964" s="368">
        <f t="shared" si="43"/>
        <v>0</v>
      </c>
      <c r="J964" s="365">
        <f t="shared" si="45"/>
        <v>0</v>
      </c>
      <c r="K964" s="369">
        <f t="shared" si="44"/>
        <v>6</v>
      </c>
      <c r="L964" s="369">
        <f>+IF((C964&gt;='Resultats - informe'!$E$16)*(C964&lt;='Resultats - informe'!$G$16),1,0)</f>
        <v>1</v>
      </c>
      <c r="M964" s="369" cm="1">
        <f t="array" ref="M964">+_xlfn.IFS((C964&gt;='Resultats - informe'!$D$26)*(C964&lt;='Resultats - informe'!$E$26),0,(C964&gt;='Resultats - informe'!$D$27)*(C964&lt;='Resultats - informe'!$E$27),0,(C964&gt;='Resultats - informe'!$D$28)*(C964&lt;='Resultats - informe'!$E$28),0,(C964&gt;='Resultats - informe'!$D$29)*(C964&lt;='Resultats - informe'!$E$29),0,1,1)</f>
        <v>0</v>
      </c>
      <c r="N964" s="366">
        <f>+VLOOKUP(D964,'Resultats - informe'!$Y$18:$AG$42,'Introducció dades consum'!K964+1,0)</f>
        <v>0</v>
      </c>
      <c r="O964" s="370" cm="1">
        <f t="array" ref="O964">+_xlfn.SWITCH(MONTH(C964),1,1,2,1,3,1,4,2,5,2,6,3,7,3,8,3,9,3,10,2,11,2,12,1,2)</f>
        <v>1</v>
      </c>
      <c r="P964" s="43"/>
      <c r="AS964" s="10"/>
      <c r="AT964" s="10"/>
      <c r="AU964" s="10"/>
      <c r="AV964" s="10"/>
      <c r="AW964" s="10"/>
      <c r="AX964" s="10"/>
      <c r="AY964" s="10"/>
      <c r="AZ964" s="10"/>
      <c r="BA964" s="10"/>
      <c r="BB964" s="10"/>
      <c r="BC964" s="10"/>
      <c r="BD964" s="10"/>
      <c r="BE964" s="10"/>
      <c r="BF964" s="10"/>
      <c r="BG964" s="10"/>
      <c r="BH964" s="10"/>
      <c r="BI964" s="10"/>
      <c r="BJ964" s="10"/>
      <c r="BK964" s="10"/>
      <c r="BL964" s="10"/>
      <c r="BM964" s="10"/>
      <c r="BN964" s="10"/>
      <c r="BO964" s="10"/>
      <c r="BP964" s="10"/>
      <c r="BQ964" s="10"/>
      <c r="BR964" s="10"/>
      <c r="BS964" s="10"/>
      <c r="BT964" s="10"/>
      <c r="BU964" s="10"/>
    </row>
    <row r="965" spans="1:73" ht="18" x14ac:dyDescent="0.35">
      <c r="A965" s="43"/>
      <c r="C965" s="393"/>
      <c r="E965" s="394"/>
      <c r="F965" s="394">
        <v>0</v>
      </c>
      <c r="G965" s="394"/>
      <c r="H965" s="8" t="s">
        <v>235</v>
      </c>
      <c r="I965" s="368">
        <f t="shared" si="43"/>
        <v>0</v>
      </c>
      <c r="J965" s="365">
        <f t="shared" si="45"/>
        <v>0</v>
      </c>
      <c r="K965" s="369">
        <f t="shared" si="44"/>
        <v>6</v>
      </c>
      <c r="L965" s="369">
        <f>+IF((C965&gt;='Resultats - informe'!$E$16)*(C965&lt;='Resultats - informe'!$G$16),1,0)</f>
        <v>1</v>
      </c>
      <c r="M965" s="369" cm="1">
        <f t="array" ref="M965">+_xlfn.IFS((C965&gt;='Resultats - informe'!$D$26)*(C965&lt;='Resultats - informe'!$E$26),0,(C965&gt;='Resultats - informe'!$D$27)*(C965&lt;='Resultats - informe'!$E$27),0,(C965&gt;='Resultats - informe'!$D$28)*(C965&lt;='Resultats - informe'!$E$28),0,(C965&gt;='Resultats - informe'!$D$29)*(C965&lt;='Resultats - informe'!$E$29),0,1,1)</f>
        <v>0</v>
      </c>
      <c r="N965" s="366">
        <f>+VLOOKUP(D965,'Resultats - informe'!$Y$18:$AG$42,'Introducció dades consum'!K965+1,0)</f>
        <v>0</v>
      </c>
      <c r="O965" s="370" cm="1">
        <f t="array" ref="O965">+_xlfn.SWITCH(MONTH(C965),1,1,2,1,3,1,4,2,5,2,6,3,7,3,8,3,9,3,10,2,11,2,12,1,2)</f>
        <v>1</v>
      </c>
      <c r="P965" s="43"/>
      <c r="AS965" s="10"/>
      <c r="AT965" s="10"/>
      <c r="AU965" s="10"/>
      <c r="AV965" s="10"/>
      <c r="AW965" s="10"/>
      <c r="AX965" s="10"/>
      <c r="AY965" s="10"/>
      <c r="AZ965" s="10"/>
      <c r="BA965" s="10"/>
      <c r="BB965" s="10"/>
      <c r="BC965" s="10"/>
      <c r="BD965" s="10"/>
      <c r="BE965" s="10"/>
      <c r="BF965" s="10"/>
      <c r="BG965" s="10"/>
      <c r="BH965" s="10"/>
      <c r="BI965" s="10"/>
      <c r="BJ965" s="10"/>
      <c r="BK965" s="10"/>
      <c r="BL965" s="10"/>
      <c r="BM965" s="10"/>
      <c r="BN965" s="10"/>
      <c r="BO965" s="10"/>
      <c r="BP965" s="10"/>
      <c r="BQ965" s="10"/>
      <c r="BR965" s="10"/>
      <c r="BS965" s="10"/>
      <c r="BT965" s="10"/>
      <c r="BU965" s="10"/>
    </row>
    <row r="966" spans="1:73" ht="18" x14ac:dyDescent="0.35">
      <c r="A966" s="43"/>
      <c r="C966" s="393"/>
      <c r="E966" s="394"/>
      <c r="F966" s="394">
        <v>0</v>
      </c>
      <c r="G966" s="394"/>
      <c r="H966" s="8" t="s">
        <v>235</v>
      </c>
      <c r="I966" s="368">
        <f t="shared" ref="I966:I1029" si="46">+E966+G966</f>
        <v>0</v>
      </c>
      <c r="J966" s="365">
        <f t="shared" si="45"/>
        <v>0</v>
      </c>
      <c r="K966" s="369">
        <f t="shared" ref="K966:K1029" si="47">+WEEKDAY(C966,2)</f>
        <v>6</v>
      </c>
      <c r="L966" s="369">
        <f>+IF((C966&gt;='Resultats - informe'!$E$16)*(C966&lt;='Resultats - informe'!$G$16),1,0)</f>
        <v>1</v>
      </c>
      <c r="M966" s="369" cm="1">
        <f t="array" ref="M966">+_xlfn.IFS((C966&gt;='Resultats - informe'!$D$26)*(C966&lt;='Resultats - informe'!$E$26),0,(C966&gt;='Resultats - informe'!$D$27)*(C966&lt;='Resultats - informe'!$E$27),0,(C966&gt;='Resultats - informe'!$D$28)*(C966&lt;='Resultats - informe'!$E$28),0,(C966&gt;='Resultats - informe'!$D$29)*(C966&lt;='Resultats - informe'!$E$29),0,1,1)</f>
        <v>0</v>
      </c>
      <c r="N966" s="366">
        <f>+VLOOKUP(D966,'Resultats - informe'!$Y$18:$AG$42,'Introducció dades consum'!K966+1,0)</f>
        <v>0</v>
      </c>
      <c r="O966" s="370" cm="1">
        <f t="array" ref="O966">+_xlfn.SWITCH(MONTH(C966),1,1,2,1,3,1,4,2,5,2,6,3,7,3,8,3,9,3,10,2,11,2,12,1,2)</f>
        <v>1</v>
      </c>
      <c r="P966" s="43"/>
      <c r="AS966" s="10"/>
      <c r="AT966" s="10"/>
      <c r="AU966" s="10"/>
      <c r="AV966" s="10"/>
      <c r="AW966" s="10"/>
      <c r="AX966" s="10"/>
      <c r="AY966" s="10"/>
      <c r="AZ966" s="10"/>
      <c r="BA966" s="10"/>
      <c r="BB966" s="10"/>
      <c r="BC966" s="10"/>
      <c r="BD966" s="10"/>
      <c r="BE966" s="10"/>
      <c r="BF966" s="10"/>
      <c r="BG966" s="10"/>
      <c r="BH966" s="10"/>
      <c r="BI966" s="10"/>
      <c r="BJ966" s="10"/>
      <c r="BK966" s="10"/>
      <c r="BL966" s="10"/>
      <c r="BM966" s="10"/>
      <c r="BN966" s="10"/>
      <c r="BO966" s="10"/>
      <c r="BP966" s="10"/>
      <c r="BQ966" s="10"/>
      <c r="BR966" s="10"/>
      <c r="BS966" s="10"/>
      <c r="BT966" s="10"/>
      <c r="BU966" s="10"/>
    </row>
    <row r="967" spans="1:73" ht="18" x14ac:dyDescent="0.35">
      <c r="A967" s="43"/>
      <c r="C967" s="393"/>
      <c r="E967" s="394"/>
      <c r="F967" s="394">
        <v>0</v>
      </c>
      <c r="G967" s="394"/>
      <c r="H967" s="8" t="s">
        <v>235</v>
      </c>
      <c r="I967" s="368">
        <f t="shared" si="46"/>
        <v>0</v>
      </c>
      <c r="J967" s="365">
        <f t="shared" si="45"/>
        <v>0</v>
      </c>
      <c r="K967" s="369">
        <f t="shared" si="47"/>
        <v>6</v>
      </c>
      <c r="L967" s="369">
        <f>+IF((C967&gt;='Resultats - informe'!$E$16)*(C967&lt;='Resultats - informe'!$G$16),1,0)</f>
        <v>1</v>
      </c>
      <c r="M967" s="369" cm="1">
        <f t="array" ref="M967">+_xlfn.IFS((C967&gt;='Resultats - informe'!$D$26)*(C967&lt;='Resultats - informe'!$E$26),0,(C967&gt;='Resultats - informe'!$D$27)*(C967&lt;='Resultats - informe'!$E$27),0,(C967&gt;='Resultats - informe'!$D$28)*(C967&lt;='Resultats - informe'!$E$28),0,(C967&gt;='Resultats - informe'!$D$29)*(C967&lt;='Resultats - informe'!$E$29),0,1,1)</f>
        <v>0</v>
      </c>
      <c r="N967" s="366">
        <f>+VLOOKUP(D967,'Resultats - informe'!$Y$18:$AG$42,'Introducció dades consum'!K967+1,0)</f>
        <v>0</v>
      </c>
      <c r="O967" s="370" cm="1">
        <f t="array" ref="O967">+_xlfn.SWITCH(MONTH(C967),1,1,2,1,3,1,4,2,5,2,6,3,7,3,8,3,9,3,10,2,11,2,12,1,2)</f>
        <v>1</v>
      </c>
      <c r="P967" s="43"/>
      <c r="AS967" s="10"/>
      <c r="AT967" s="10"/>
      <c r="AU967" s="10"/>
      <c r="AV967" s="10"/>
      <c r="AW967" s="10"/>
      <c r="AX967" s="10"/>
      <c r="AY967" s="10"/>
      <c r="AZ967" s="10"/>
      <c r="BA967" s="10"/>
      <c r="BB967" s="10"/>
      <c r="BC967" s="10"/>
      <c r="BD967" s="10"/>
      <c r="BE967" s="10"/>
      <c r="BF967" s="10"/>
      <c r="BG967" s="10"/>
      <c r="BH967" s="10"/>
      <c r="BI967" s="10"/>
      <c r="BJ967" s="10"/>
      <c r="BK967" s="10"/>
      <c r="BL967" s="10"/>
      <c r="BM967" s="10"/>
      <c r="BN967" s="10"/>
      <c r="BO967" s="10"/>
      <c r="BP967" s="10"/>
      <c r="BQ967" s="10"/>
      <c r="BR967" s="10"/>
      <c r="BS967" s="10"/>
      <c r="BT967" s="10"/>
      <c r="BU967" s="10"/>
    </row>
    <row r="968" spans="1:73" ht="18" x14ac:dyDescent="0.35">
      <c r="A968" s="43"/>
      <c r="C968" s="393"/>
      <c r="E968" s="394"/>
      <c r="F968" s="394">
        <v>0</v>
      </c>
      <c r="G968" s="394"/>
      <c r="H968" s="8" t="s">
        <v>235</v>
      </c>
      <c r="I968" s="368">
        <f t="shared" si="46"/>
        <v>0</v>
      </c>
      <c r="J968" s="365">
        <f t="shared" si="45"/>
        <v>0</v>
      </c>
      <c r="K968" s="369">
        <f t="shared" si="47"/>
        <v>6</v>
      </c>
      <c r="L968" s="369">
        <f>+IF((C968&gt;='Resultats - informe'!$E$16)*(C968&lt;='Resultats - informe'!$G$16),1,0)</f>
        <v>1</v>
      </c>
      <c r="M968" s="369" cm="1">
        <f t="array" ref="M968">+_xlfn.IFS((C968&gt;='Resultats - informe'!$D$26)*(C968&lt;='Resultats - informe'!$E$26),0,(C968&gt;='Resultats - informe'!$D$27)*(C968&lt;='Resultats - informe'!$E$27),0,(C968&gt;='Resultats - informe'!$D$28)*(C968&lt;='Resultats - informe'!$E$28),0,(C968&gt;='Resultats - informe'!$D$29)*(C968&lt;='Resultats - informe'!$E$29),0,1,1)</f>
        <v>0</v>
      </c>
      <c r="N968" s="366">
        <f>+VLOOKUP(D968,'Resultats - informe'!$Y$18:$AG$42,'Introducció dades consum'!K968+1,0)</f>
        <v>0</v>
      </c>
      <c r="O968" s="370" cm="1">
        <f t="array" ref="O968">+_xlfn.SWITCH(MONTH(C968),1,1,2,1,3,1,4,2,5,2,6,3,7,3,8,3,9,3,10,2,11,2,12,1,2)</f>
        <v>1</v>
      </c>
      <c r="P968" s="43"/>
      <c r="AS968" s="10"/>
      <c r="AT968" s="10"/>
      <c r="AU968" s="10"/>
      <c r="AV968" s="10"/>
      <c r="AW968" s="10"/>
      <c r="AX968" s="10"/>
      <c r="AY968" s="10"/>
      <c r="AZ968" s="10"/>
      <c r="BA968" s="10"/>
      <c r="BB968" s="10"/>
      <c r="BC968" s="10"/>
      <c r="BD968" s="10"/>
      <c r="BE968" s="10"/>
      <c r="BF968" s="10"/>
      <c r="BG968" s="10"/>
      <c r="BH968" s="10"/>
      <c r="BI968" s="10"/>
      <c r="BJ968" s="10"/>
      <c r="BK968" s="10"/>
      <c r="BL968" s="10"/>
      <c r="BM968" s="10"/>
      <c r="BN968" s="10"/>
      <c r="BO968" s="10"/>
      <c r="BP968" s="10"/>
      <c r="BQ968" s="10"/>
      <c r="BR968" s="10"/>
      <c r="BS968" s="10"/>
      <c r="BT968" s="10"/>
      <c r="BU968" s="10"/>
    </row>
    <row r="969" spans="1:73" ht="18" x14ac:dyDescent="0.35">
      <c r="A969" s="43"/>
      <c r="C969" s="393"/>
      <c r="E969" s="394"/>
      <c r="F969" s="394">
        <v>0</v>
      </c>
      <c r="G969" s="394"/>
      <c r="H969" s="8" t="s">
        <v>235</v>
      </c>
      <c r="I969" s="368">
        <f t="shared" si="46"/>
        <v>0</v>
      </c>
      <c r="J969" s="365">
        <f t="shared" si="45"/>
        <v>0</v>
      </c>
      <c r="K969" s="369">
        <f t="shared" si="47"/>
        <v>6</v>
      </c>
      <c r="L969" s="369">
        <f>+IF((C969&gt;='Resultats - informe'!$E$16)*(C969&lt;='Resultats - informe'!$G$16),1,0)</f>
        <v>1</v>
      </c>
      <c r="M969" s="369" cm="1">
        <f t="array" ref="M969">+_xlfn.IFS((C969&gt;='Resultats - informe'!$D$26)*(C969&lt;='Resultats - informe'!$E$26),0,(C969&gt;='Resultats - informe'!$D$27)*(C969&lt;='Resultats - informe'!$E$27),0,(C969&gt;='Resultats - informe'!$D$28)*(C969&lt;='Resultats - informe'!$E$28),0,(C969&gt;='Resultats - informe'!$D$29)*(C969&lt;='Resultats - informe'!$E$29),0,1,1)</f>
        <v>0</v>
      </c>
      <c r="N969" s="366">
        <f>+VLOOKUP(D969,'Resultats - informe'!$Y$18:$AG$42,'Introducció dades consum'!K969+1,0)</f>
        <v>0</v>
      </c>
      <c r="O969" s="370" cm="1">
        <f t="array" ref="O969">+_xlfn.SWITCH(MONTH(C969),1,1,2,1,3,1,4,2,5,2,6,3,7,3,8,3,9,3,10,2,11,2,12,1,2)</f>
        <v>1</v>
      </c>
      <c r="P969" s="43"/>
      <c r="AS969" s="10"/>
      <c r="AT969" s="10"/>
      <c r="AU969" s="10"/>
      <c r="AV969" s="10"/>
      <c r="AW969" s="10"/>
      <c r="AX969" s="10"/>
      <c r="AY969" s="10"/>
      <c r="AZ969" s="10"/>
      <c r="BA969" s="10"/>
      <c r="BB969" s="10"/>
      <c r="BC969" s="10"/>
      <c r="BD969" s="10"/>
      <c r="BE969" s="10"/>
      <c r="BF969" s="10"/>
      <c r="BG969" s="10"/>
      <c r="BH969" s="10"/>
      <c r="BI969" s="10"/>
      <c r="BJ969" s="10"/>
      <c r="BK969" s="10"/>
      <c r="BL969" s="10"/>
      <c r="BM969" s="10"/>
      <c r="BN969" s="10"/>
      <c r="BO969" s="10"/>
      <c r="BP969" s="10"/>
      <c r="BQ969" s="10"/>
      <c r="BR969" s="10"/>
      <c r="BS969" s="10"/>
      <c r="BT969" s="10"/>
      <c r="BU969" s="10"/>
    </row>
    <row r="970" spans="1:73" ht="18" x14ac:dyDescent="0.35">
      <c r="A970" s="43"/>
      <c r="C970" s="393"/>
      <c r="E970" s="394"/>
      <c r="F970" s="394">
        <v>0</v>
      </c>
      <c r="G970" s="394"/>
      <c r="H970" s="8" t="s">
        <v>235</v>
      </c>
      <c r="I970" s="368">
        <f t="shared" si="46"/>
        <v>0</v>
      </c>
      <c r="J970" s="365">
        <f t="shared" si="45"/>
        <v>0</v>
      </c>
      <c r="K970" s="369">
        <f t="shared" si="47"/>
        <v>6</v>
      </c>
      <c r="L970" s="369">
        <f>+IF((C970&gt;='Resultats - informe'!$E$16)*(C970&lt;='Resultats - informe'!$G$16),1,0)</f>
        <v>1</v>
      </c>
      <c r="M970" s="369" cm="1">
        <f t="array" ref="M970">+_xlfn.IFS((C970&gt;='Resultats - informe'!$D$26)*(C970&lt;='Resultats - informe'!$E$26),0,(C970&gt;='Resultats - informe'!$D$27)*(C970&lt;='Resultats - informe'!$E$27),0,(C970&gt;='Resultats - informe'!$D$28)*(C970&lt;='Resultats - informe'!$E$28),0,(C970&gt;='Resultats - informe'!$D$29)*(C970&lt;='Resultats - informe'!$E$29),0,1,1)</f>
        <v>0</v>
      </c>
      <c r="N970" s="366">
        <f>+VLOOKUP(D970,'Resultats - informe'!$Y$18:$AG$42,'Introducció dades consum'!K970+1,0)</f>
        <v>0</v>
      </c>
      <c r="O970" s="370" cm="1">
        <f t="array" ref="O970">+_xlfn.SWITCH(MONTH(C970),1,1,2,1,3,1,4,2,5,2,6,3,7,3,8,3,9,3,10,2,11,2,12,1,2)</f>
        <v>1</v>
      </c>
      <c r="P970" s="43"/>
      <c r="AS970" s="10"/>
      <c r="AT970" s="10"/>
      <c r="AU970" s="10"/>
      <c r="AV970" s="10"/>
      <c r="AW970" s="10"/>
      <c r="AX970" s="10"/>
      <c r="AY970" s="10"/>
      <c r="AZ970" s="10"/>
      <c r="BA970" s="10"/>
      <c r="BB970" s="10"/>
      <c r="BC970" s="10"/>
      <c r="BD970" s="10"/>
      <c r="BE970" s="10"/>
      <c r="BF970" s="10"/>
      <c r="BG970" s="10"/>
      <c r="BH970" s="10"/>
      <c r="BI970" s="10"/>
      <c r="BJ970" s="10"/>
      <c r="BK970" s="10"/>
      <c r="BL970" s="10"/>
      <c r="BM970" s="10"/>
      <c r="BN970" s="10"/>
      <c r="BO970" s="10"/>
      <c r="BP970" s="10"/>
      <c r="BQ970" s="10"/>
      <c r="BR970" s="10"/>
      <c r="BS970" s="10"/>
      <c r="BT970" s="10"/>
      <c r="BU970" s="10"/>
    </row>
    <row r="971" spans="1:73" ht="18" x14ac:dyDescent="0.35">
      <c r="A971" s="43"/>
      <c r="C971" s="393"/>
      <c r="E971" s="394"/>
      <c r="F971" s="394">
        <v>0</v>
      </c>
      <c r="G971" s="394"/>
      <c r="H971" s="8" t="s">
        <v>235</v>
      </c>
      <c r="I971" s="368">
        <f t="shared" si="46"/>
        <v>0</v>
      </c>
      <c r="J971" s="365">
        <f t="shared" si="45"/>
        <v>0</v>
      </c>
      <c r="K971" s="369">
        <f t="shared" si="47"/>
        <v>6</v>
      </c>
      <c r="L971" s="369">
        <f>+IF((C971&gt;='Resultats - informe'!$E$16)*(C971&lt;='Resultats - informe'!$G$16),1,0)</f>
        <v>1</v>
      </c>
      <c r="M971" s="369" cm="1">
        <f t="array" ref="M971">+_xlfn.IFS((C971&gt;='Resultats - informe'!$D$26)*(C971&lt;='Resultats - informe'!$E$26),0,(C971&gt;='Resultats - informe'!$D$27)*(C971&lt;='Resultats - informe'!$E$27),0,(C971&gt;='Resultats - informe'!$D$28)*(C971&lt;='Resultats - informe'!$E$28),0,(C971&gt;='Resultats - informe'!$D$29)*(C971&lt;='Resultats - informe'!$E$29),0,1,1)</f>
        <v>0</v>
      </c>
      <c r="N971" s="366">
        <f>+VLOOKUP(D971,'Resultats - informe'!$Y$18:$AG$42,'Introducció dades consum'!K971+1,0)</f>
        <v>0</v>
      </c>
      <c r="O971" s="370" cm="1">
        <f t="array" ref="O971">+_xlfn.SWITCH(MONTH(C971),1,1,2,1,3,1,4,2,5,2,6,3,7,3,8,3,9,3,10,2,11,2,12,1,2)</f>
        <v>1</v>
      </c>
      <c r="P971" s="43"/>
      <c r="AS971" s="10"/>
      <c r="AT971" s="10"/>
      <c r="AU971" s="10"/>
      <c r="AV971" s="10"/>
      <c r="AW971" s="10"/>
      <c r="AX971" s="10"/>
      <c r="AY971" s="10"/>
      <c r="AZ971" s="10"/>
      <c r="BA971" s="10"/>
      <c r="BB971" s="10"/>
      <c r="BC971" s="10"/>
      <c r="BD971" s="10"/>
      <c r="BE971" s="10"/>
      <c r="BF971" s="10"/>
      <c r="BG971" s="10"/>
      <c r="BH971" s="10"/>
      <c r="BI971" s="10"/>
      <c r="BJ971" s="10"/>
      <c r="BK971" s="10"/>
      <c r="BL971" s="10"/>
      <c r="BM971" s="10"/>
      <c r="BN971" s="10"/>
      <c r="BO971" s="10"/>
      <c r="BP971" s="10"/>
      <c r="BQ971" s="10"/>
      <c r="BR971" s="10"/>
      <c r="BS971" s="10"/>
      <c r="BT971" s="10"/>
      <c r="BU971" s="10"/>
    </row>
    <row r="972" spans="1:73" ht="18" x14ac:dyDescent="0.35">
      <c r="A972" s="43"/>
      <c r="C972" s="393"/>
      <c r="E972" s="394"/>
      <c r="F972" s="394">
        <v>9.9000000000000005E-2</v>
      </c>
      <c r="G972" s="394"/>
      <c r="H972" s="8" t="s">
        <v>235</v>
      </c>
      <c r="I972" s="368">
        <f t="shared" si="46"/>
        <v>0</v>
      </c>
      <c r="J972" s="365">
        <f t="shared" si="45"/>
        <v>0</v>
      </c>
      <c r="K972" s="369">
        <f t="shared" si="47"/>
        <v>6</v>
      </c>
      <c r="L972" s="369">
        <f>+IF((C972&gt;='Resultats - informe'!$E$16)*(C972&lt;='Resultats - informe'!$G$16),1,0)</f>
        <v>1</v>
      </c>
      <c r="M972" s="369" cm="1">
        <f t="array" ref="M972">+_xlfn.IFS((C972&gt;='Resultats - informe'!$D$26)*(C972&lt;='Resultats - informe'!$E$26),0,(C972&gt;='Resultats - informe'!$D$27)*(C972&lt;='Resultats - informe'!$E$27),0,(C972&gt;='Resultats - informe'!$D$28)*(C972&lt;='Resultats - informe'!$E$28),0,(C972&gt;='Resultats - informe'!$D$29)*(C972&lt;='Resultats - informe'!$E$29),0,1,1)</f>
        <v>0</v>
      </c>
      <c r="N972" s="366">
        <f>+VLOOKUP(D972,'Resultats - informe'!$Y$18:$AG$42,'Introducció dades consum'!K972+1,0)</f>
        <v>0</v>
      </c>
      <c r="O972" s="370" cm="1">
        <f t="array" ref="O972">+_xlfn.SWITCH(MONTH(C972),1,1,2,1,3,1,4,2,5,2,6,3,7,3,8,3,9,3,10,2,11,2,12,1,2)</f>
        <v>1</v>
      </c>
      <c r="P972" s="43"/>
      <c r="AS972" s="10"/>
      <c r="AT972" s="10"/>
      <c r="AU972" s="10"/>
      <c r="AV972" s="10"/>
      <c r="AW972" s="10"/>
      <c r="AX972" s="10"/>
      <c r="AY972" s="10"/>
      <c r="AZ972" s="10"/>
      <c r="BA972" s="10"/>
      <c r="BB972" s="10"/>
      <c r="BC972" s="10"/>
      <c r="BD972" s="10"/>
      <c r="BE972" s="10"/>
      <c r="BF972" s="10"/>
      <c r="BG972" s="10"/>
      <c r="BH972" s="10"/>
      <c r="BI972" s="10"/>
      <c r="BJ972" s="10"/>
      <c r="BK972" s="10"/>
      <c r="BL972" s="10"/>
      <c r="BM972" s="10"/>
      <c r="BN972" s="10"/>
      <c r="BO972" s="10"/>
      <c r="BP972" s="10"/>
      <c r="BQ972" s="10"/>
      <c r="BR972" s="10"/>
      <c r="BS972" s="10"/>
      <c r="BT972" s="10"/>
      <c r="BU972" s="10"/>
    </row>
    <row r="973" spans="1:73" ht="18" x14ac:dyDescent="0.35">
      <c r="A973" s="43"/>
      <c r="C973" s="393"/>
      <c r="E973" s="394"/>
      <c r="F973" s="394">
        <v>0</v>
      </c>
      <c r="G973" s="394"/>
      <c r="H973" s="8" t="s">
        <v>235</v>
      </c>
      <c r="I973" s="368">
        <f t="shared" si="46"/>
        <v>0</v>
      </c>
      <c r="J973" s="365">
        <f t="shared" si="45"/>
        <v>0</v>
      </c>
      <c r="K973" s="369">
        <f t="shared" si="47"/>
        <v>6</v>
      </c>
      <c r="L973" s="369">
        <f>+IF((C973&gt;='Resultats - informe'!$E$16)*(C973&lt;='Resultats - informe'!$G$16),1,0)</f>
        <v>1</v>
      </c>
      <c r="M973" s="369" cm="1">
        <f t="array" ref="M973">+_xlfn.IFS((C973&gt;='Resultats - informe'!$D$26)*(C973&lt;='Resultats - informe'!$E$26),0,(C973&gt;='Resultats - informe'!$D$27)*(C973&lt;='Resultats - informe'!$E$27),0,(C973&gt;='Resultats - informe'!$D$28)*(C973&lt;='Resultats - informe'!$E$28),0,(C973&gt;='Resultats - informe'!$D$29)*(C973&lt;='Resultats - informe'!$E$29),0,1,1)</f>
        <v>0</v>
      </c>
      <c r="N973" s="366">
        <f>+VLOOKUP(D973,'Resultats - informe'!$Y$18:$AG$42,'Introducció dades consum'!K973+1,0)</f>
        <v>0</v>
      </c>
      <c r="O973" s="370" cm="1">
        <f t="array" ref="O973">+_xlfn.SWITCH(MONTH(C973),1,1,2,1,3,1,4,2,5,2,6,3,7,3,8,3,9,3,10,2,11,2,12,1,2)</f>
        <v>1</v>
      </c>
      <c r="P973" s="43"/>
      <c r="AS973" s="10"/>
      <c r="AT973" s="10"/>
      <c r="AU973" s="10"/>
      <c r="AV973" s="10"/>
      <c r="AW973" s="10"/>
      <c r="AX973" s="10"/>
      <c r="AY973" s="10"/>
      <c r="AZ973" s="10"/>
      <c r="BA973" s="10"/>
      <c r="BB973" s="10"/>
      <c r="BC973" s="10"/>
      <c r="BD973" s="10"/>
      <c r="BE973" s="10"/>
      <c r="BF973" s="10"/>
      <c r="BG973" s="10"/>
      <c r="BH973" s="10"/>
      <c r="BI973" s="10"/>
      <c r="BJ973" s="10"/>
      <c r="BK973" s="10"/>
      <c r="BL973" s="10"/>
      <c r="BM973" s="10"/>
      <c r="BN973" s="10"/>
      <c r="BO973" s="10"/>
      <c r="BP973" s="10"/>
      <c r="BQ973" s="10"/>
      <c r="BR973" s="10"/>
      <c r="BS973" s="10"/>
      <c r="BT973" s="10"/>
      <c r="BU973" s="10"/>
    </row>
    <row r="974" spans="1:73" ht="18" x14ac:dyDescent="0.35">
      <c r="A974" s="43"/>
      <c r="C974" s="393"/>
      <c r="E974" s="394"/>
      <c r="F974" s="394">
        <v>0</v>
      </c>
      <c r="G974" s="394"/>
      <c r="H974" s="8" t="s">
        <v>61</v>
      </c>
      <c r="I974" s="368">
        <f t="shared" si="46"/>
        <v>0</v>
      </c>
      <c r="J974" s="365">
        <f t="shared" si="45"/>
        <v>0</v>
      </c>
      <c r="K974" s="369">
        <f t="shared" si="47"/>
        <v>6</v>
      </c>
      <c r="L974" s="369">
        <f>+IF((C974&gt;='Resultats - informe'!$E$16)*(C974&lt;='Resultats - informe'!$G$16),1,0)</f>
        <v>1</v>
      </c>
      <c r="M974" s="369" cm="1">
        <f t="array" ref="M974">+_xlfn.IFS((C974&gt;='Resultats - informe'!$D$26)*(C974&lt;='Resultats - informe'!$E$26),0,(C974&gt;='Resultats - informe'!$D$27)*(C974&lt;='Resultats - informe'!$E$27),0,(C974&gt;='Resultats - informe'!$D$28)*(C974&lt;='Resultats - informe'!$E$28),0,(C974&gt;='Resultats - informe'!$D$29)*(C974&lt;='Resultats - informe'!$E$29),0,1,1)</f>
        <v>0</v>
      </c>
      <c r="N974" s="366">
        <f>+VLOOKUP(D974,'Resultats - informe'!$Y$18:$AG$42,'Introducció dades consum'!K974+1,0)</f>
        <v>0</v>
      </c>
      <c r="O974" s="370" cm="1">
        <f t="array" ref="O974">+_xlfn.SWITCH(MONTH(C974),1,1,2,1,3,1,4,2,5,2,6,3,7,3,8,3,9,3,10,2,11,2,12,1,2)</f>
        <v>1</v>
      </c>
      <c r="P974" s="43"/>
      <c r="AS974" s="10"/>
      <c r="AT974" s="10"/>
      <c r="AU974" s="10"/>
      <c r="AV974" s="10"/>
      <c r="AW974" s="10"/>
      <c r="AX974" s="10"/>
      <c r="AY974" s="10"/>
      <c r="AZ974" s="10"/>
      <c r="BA974" s="10"/>
      <c r="BB974" s="10"/>
      <c r="BC974" s="10"/>
      <c r="BD974" s="10"/>
      <c r="BE974" s="10"/>
      <c r="BF974" s="10"/>
      <c r="BG974" s="10"/>
      <c r="BH974" s="10"/>
      <c r="BI974" s="10"/>
      <c r="BJ974" s="10"/>
      <c r="BK974" s="10"/>
      <c r="BL974" s="10"/>
      <c r="BM974" s="10"/>
      <c r="BN974" s="10"/>
      <c r="BO974" s="10"/>
      <c r="BP974" s="10"/>
      <c r="BQ974" s="10"/>
      <c r="BR974" s="10"/>
      <c r="BS974" s="10"/>
      <c r="BT974" s="10"/>
      <c r="BU974" s="10"/>
    </row>
    <row r="975" spans="1:73" ht="18" x14ac:dyDescent="0.35">
      <c r="A975" s="43"/>
      <c r="C975" s="393"/>
      <c r="E975" s="394"/>
      <c r="F975" s="394">
        <v>0</v>
      </c>
      <c r="G975" s="394"/>
      <c r="H975" s="8" t="s">
        <v>61</v>
      </c>
      <c r="I975" s="368">
        <f t="shared" si="46"/>
        <v>0</v>
      </c>
      <c r="J975" s="365">
        <f t="shared" si="45"/>
        <v>0</v>
      </c>
      <c r="K975" s="369">
        <f t="shared" si="47"/>
        <v>6</v>
      </c>
      <c r="L975" s="369">
        <f>+IF((C975&gt;='Resultats - informe'!$E$16)*(C975&lt;='Resultats - informe'!$G$16),1,0)</f>
        <v>1</v>
      </c>
      <c r="M975" s="369" cm="1">
        <f t="array" ref="M975">+_xlfn.IFS((C975&gt;='Resultats - informe'!$D$26)*(C975&lt;='Resultats - informe'!$E$26),0,(C975&gt;='Resultats - informe'!$D$27)*(C975&lt;='Resultats - informe'!$E$27),0,(C975&gt;='Resultats - informe'!$D$28)*(C975&lt;='Resultats - informe'!$E$28),0,(C975&gt;='Resultats - informe'!$D$29)*(C975&lt;='Resultats - informe'!$E$29),0,1,1)</f>
        <v>0</v>
      </c>
      <c r="N975" s="366">
        <f>+VLOOKUP(D975,'Resultats - informe'!$Y$18:$AG$42,'Introducció dades consum'!K975+1,0)</f>
        <v>0</v>
      </c>
      <c r="O975" s="370" cm="1">
        <f t="array" ref="O975">+_xlfn.SWITCH(MONTH(C975),1,1,2,1,3,1,4,2,5,2,6,3,7,3,8,3,9,3,10,2,11,2,12,1,2)</f>
        <v>1</v>
      </c>
      <c r="P975" s="43"/>
      <c r="AS975" s="10"/>
      <c r="AT975" s="10"/>
      <c r="AU975" s="10"/>
      <c r="AV975" s="10"/>
      <c r="AW975" s="10"/>
      <c r="AX975" s="10"/>
      <c r="AY975" s="10"/>
      <c r="AZ975" s="10"/>
      <c r="BA975" s="10"/>
      <c r="BB975" s="10"/>
      <c r="BC975" s="10"/>
      <c r="BD975" s="10"/>
      <c r="BE975" s="10"/>
      <c r="BF975" s="10"/>
      <c r="BG975" s="10"/>
      <c r="BH975" s="10"/>
      <c r="BI975" s="10"/>
      <c r="BJ975" s="10"/>
      <c r="BK975" s="10"/>
      <c r="BL975" s="10"/>
      <c r="BM975" s="10"/>
      <c r="BN975" s="10"/>
      <c r="BO975" s="10"/>
      <c r="BP975" s="10"/>
      <c r="BQ975" s="10"/>
      <c r="BR975" s="10"/>
      <c r="BS975" s="10"/>
      <c r="BT975" s="10"/>
      <c r="BU975" s="10"/>
    </row>
    <row r="976" spans="1:73" ht="18" x14ac:dyDescent="0.35">
      <c r="A976" s="43"/>
      <c r="C976" s="393"/>
      <c r="E976" s="394"/>
      <c r="F976" s="394">
        <v>0</v>
      </c>
      <c r="G976" s="394"/>
      <c r="H976" s="8" t="s">
        <v>61</v>
      </c>
      <c r="I976" s="368">
        <f t="shared" si="46"/>
        <v>0</v>
      </c>
      <c r="J976" s="365">
        <f t="shared" si="45"/>
        <v>0</v>
      </c>
      <c r="K976" s="369">
        <f t="shared" si="47"/>
        <v>6</v>
      </c>
      <c r="L976" s="369">
        <f>+IF((C976&gt;='Resultats - informe'!$E$16)*(C976&lt;='Resultats - informe'!$G$16),1,0)</f>
        <v>1</v>
      </c>
      <c r="M976" s="369" cm="1">
        <f t="array" ref="M976">+_xlfn.IFS((C976&gt;='Resultats - informe'!$D$26)*(C976&lt;='Resultats - informe'!$E$26),0,(C976&gt;='Resultats - informe'!$D$27)*(C976&lt;='Resultats - informe'!$E$27),0,(C976&gt;='Resultats - informe'!$D$28)*(C976&lt;='Resultats - informe'!$E$28),0,(C976&gt;='Resultats - informe'!$D$29)*(C976&lt;='Resultats - informe'!$E$29),0,1,1)</f>
        <v>0</v>
      </c>
      <c r="N976" s="366">
        <f>+VLOOKUP(D976,'Resultats - informe'!$Y$18:$AG$42,'Introducció dades consum'!K976+1,0)</f>
        <v>0</v>
      </c>
      <c r="O976" s="370" cm="1">
        <f t="array" ref="O976">+_xlfn.SWITCH(MONTH(C976),1,1,2,1,3,1,4,2,5,2,6,3,7,3,8,3,9,3,10,2,11,2,12,1,2)</f>
        <v>1</v>
      </c>
      <c r="P976" s="43"/>
      <c r="AS976" s="10"/>
      <c r="AT976" s="10"/>
      <c r="AU976" s="10"/>
      <c r="AV976" s="10"/>
      <c r="AW976" s="10"/>
      <c r="AX976" s="10"/>
      <c r="AY976" s="10"/>
      <c r="AZ976" s="10"/>
      <c r="BA976" s="10"/>
      <c r="BB976" s="10"/>
      <c r="BC976" s="10"/>
      <c r="BD976" s="10"/>
      <c r="BE976" s="10"/>
      <c r="BF976" s="10"/>
      <c r="BG976" s="10"/>
      <c r="BH976" s="10"/>
      <c r="BI976" s="10"/>
      <c r="BJ976" s="10"/>
      <c r="BK976" s="10"/>
      <c r="BL976" s="10"/>
      <c r="BM976" s="10"/>
      <c r="BN976" s="10"/>
      <c r="BO976" s="10"/>
      <c r="BP976" s="10"/>
      <c r="BQ976" s="10"/>
      <c r="BR976" s="10"/>
      <c r="BS976" s="10"/>
      <c r="BT976" s="10"/>
      <c r="BU976" s="10"/>
    </row>
    <row r="977" spans="1:73" ht="18" x14ac:dyDescent="0.35">
      <c r="A977" s="43"/>
      <c r="C977" s="393"/>
      <c r="E977" s="394"/>
      <c r="F977" s="394">
        <v>0</v>
      </c>
      <c r="G977" s="394"/>
      <c r="H977" s="8" t="s">
        <v>61</v>
      </c>
      <c r="I977" s="368">
        <f t="shared" si="46"/>
        <v>0</v>
      </c>
      <c r="J977" s="365">
        <f t="shared" si="45"/>
        <v>0</v>
      </c>
      <c r="K977" s="369">
        <f t="shared" si="47"/>
        <v>6</v>
      </c>
      <c r="L977" s="369">
        <f>+IF((C977&gt;='Resultats - informe'!$E$16)*(C977&lt;='Resultats - informe'!$G$16),1,0)</f>
        <v>1</v>
      </c>
      <c r="M977" s="369" cm="1">
        <f t="array" ref="M977">+_xlfn.IFS((C977&gt;='Resultats - informe'!$D$26)*(C977&lt;='Resultats - informe'!$E$26),0,(C977&gt;='Resultats - informe'!$D$27)*(C977&lt;='Resultats - informe'!$E$27),0,(C977&gt;='Resultats - informe'!$D$28)*(C977&lt;='Resultats - informe'!$E$28),0,(C977&gt;='Resultats - informe'!$D$29)*(C977&lt;='Resultats - informe'!$E$29),0,1,1)</f>
        <v>0</v>
      </c>
      <c r="N977" s="366">
        <f>+VLOOKUP(D977,'Resultats - informe'!$Y$18:$AG$42,'Introducció dades consum'!K977+1,0)</f>
        <v>0</v>
      </c>
      <c r="O977" s="370" cm="1">
        <f t="array" ref="O977">+_xlfn.SWITCH(MONTH(C977),1,1,2,1,3,1,4,2,5,2,6,3,7,3,8,3,9,3,10,2,11,2,12,1,2)</f>
        <v>1</v>
      </c>
      <c r="P977" s="43"/>
      <c r="AS977" s="10"/>
      <c r="AT977" s="10"/>
      <c r="AU977" s="10"/>
      <c r="AV977" s="10"/>
      <c r="AW977" s="10"/>
      <c r="AX977" s="10"/>
      <c r="AY977" s="10"/>
      <c r="AZ977" s="10"/>
      <c r="BA977" s="10"/>
      <c r="BB977" s="10"/>
      <c r="BC977" s="10"/>
      <c r="BD977" s="10"/>
      <c r="BE977" s="10"/>
      <c r="BF977" s="10"/>
      <c r="BG977" s="10"/>
      <c r="BH977" s="10"/>
      <c r="BI977" s="10"/>
      <c r="BJ977" s="10"/>
      <c r="BK977" s="10"/>
      <c r="BL977" s="10"/>
      <c r="BM977" s="10"/>
      <c r="BN977" s="10"/>
      <c r="BO977" s="10"/>
      <c r="BP977" s="10"/>
      <c r="BQ977" s="10"/>
      <c r="BR977" s="10"/>
      <c r="BS977" s="10"/>
      <c r="BT977" s="10"/>
      <c r="BU977" s="10"/>
    </row>
    <row r="978" spans="1:73" ht="18" x14ac:dyDescent="0.35">
      <c r="A978" s="43"/>
      <c r="C978" s="393"/>
      <c r="E978" s="394"/>
      <c r="F978" s="394">
        <v>1.391</v>
      </c>
      <c r="G978" s="394"/>
      <c r="H978" s="8" t="s">
        <v>61</v>
      </c>
      <c r="I978" s="368">
        <f t="shared" si="46"/>
        <v>0</v>
      </c>
      <c r="J978" s="365">
        <f t="shared" si="45"/>
        <v>0</v>
      </c>
      <c r="K978" s="369">
        <f t="shared" si="47"/>
        <v>6</v>
      </c>
      <c r="L978" s="369">
        <f>+IF((C978&gt;='Resultats - informe'!$E$16)*(C978&lt;='Resultats - informe'!$G$16),1,0)</f>
        <v>1</v>
      </c>
      <c r="M978" s="369" cm="1">
        <f t="array" ref="M978">+_xlfn.IFS((C978&gt;='Resultats - informe'!$D$26)*(C978&lt;='Resultats - informe'!$E$26),0,(C978&gt;='Resultats - informe'!$D$27)*(C978&lt;='Resultats - informe'!$E$27),0,(C978&gt;='Resultats - informe'!$D$28)*(C978&lt;='Resultats - informe'!$E$28),0,(C978&gt;='Resultats - informe'!$D$29)*(C978&lt;='Resultats - informe'!$E$29),0,1,1)</f>
        <v>0</v>
      </c>
      <c r="N978" s="366">
        <f>+VLOOKUP(D978,'Resultats - informe'!$Y$18:$AG$42,'Introducció dades consum'!K978+1,0)</f>
        <v>0</v>
      </c>
      <c r="O978" s="370" cm="1">
        <f t="array" ref="O978">+_xlfn.SWITCH(MONTH(C978),1,1,2,1,3,1,4,2,5,2,6,3,7,3,8,3,9,3,10,2,11,2,12,1,2)</f>
        <v>1</v>
      </c>
      <c r="P978" s="43"/>
      <c r="AS978" s="10"/>
      <c r="AT978" s="10"/>
      <c r="AU978" s="10"/>
      <c r="AV978" s="10"/>
      <c r="AW978" s="10"/>
      <c r="AX978" s="10"/>
      <c r="AY978" s="10"/>
      <c r="AZ978" s="10"/>
      <c r="BA978" s="10"/>
      <c r="BB978" s="10"/>
      <c r="BC978" s="10"/>
      <c r="BD978" s="10"/>
      <c r="BE978" s="10"/>
      <c r="BF978" s="10"/>
      <c r="BG978" s="10"/>
      <c r="BH978" s="10"/>
      <c r="BI978" s="10"/>
      <c r="BJ978" s="10"/>
      <c r="BK978" s="10"/>
      <c r="BL978" s="10"/>
      <c r="BM978" s="10"/>
      <c r="BN978" s="10"/>
      <c r="BO978" s="10"/>
      <c r="BP978" s="10"/>
      <c r="BQ978" s="10"/>
      <c r="BR978" s="10"/>
      <c r="BS978" s="10"/>
      <c r="BT978" s="10"/>
      <c r="BU978" s="10"/>
    </row>
    <row r="979" spans="1:73" ht="18" x14ac:dyDescent="0.35">
      <c r="A979" s="43"/>
      <c r="C979" s="393"/>
      <c r="E979" s="394"/>
      <c r="F979" s="394">
        <v>0.49099999999999999</v>
      </c>
      <c r="G979" s="394"/>
      <c r="H979" s="8" t="s">
        <v>61</v>
      </c>
      <c r="I979" s="368">
        <f t="shared" si="46"/>
        <v>0</v>
      </c>
      <c r="J979" s="365">
        <f t="shared" si="45"/>
        <v>0</v>
      </c>
      <c r="K979" s="369">
        <f t="shared" si="47"/>
        <v>6</v>
      </c>
      <c r="L979" s="369">
        <f>+IF((C979&gt;='Resultats - informe'!$E$16)*(C979&lt;='Resultats - informe'!$G$16),1,0)</f>
        <v>1</v>
      </c>
      <c r="M979" s="369" cm="1">
        <f t="array" ref="M979">+_xlfn.IFS((C979&gt;='Resultats - informe'!$D$26)*(C979&lt;='Resultats - informe'!$E$26),0,(C979&gt;='Resultats - informe'!$D$27)*(C979&lt;='Resultats - informe'!$E$27),0,(C979&gt;='Resultats - informe'!$D$28)*(C979&lt;='Resultats - informe'!$E$28),0,(C979&gt;='Resultats - informe'!$D$29)*(C979&lt;='Resultats - informe'!$E$29),0,1,1)</f>
        <v>0</v>
      </c>
      <c r="N979" s="366">
        <f>+VLOOKUP(D979,'Resultats - informe'!$Y$18:$AG$42,'Introducció dades consum'!K979+1,0)</f>
        <v>0</v>
      </c>
      <c r="O979" s="370" cm="1">
        <f t="array" ref="O979">+_xlfn.SWITCH(MONTH(C979),1,1,2,1,3,1,4,2,5,2,6,3,7,3,8,3,9,3,10,2,11,2,12,1,2)</f>
        <v>1</v>
      </c>
      <c r="P979" s="43"/>
      <c r="AS979" s="10"/>
      <c r="AT979" s="10"/>
      <c r="AU979" s="10"/>
      <c r="AV979" s="10"/>
      <c r="AW979" s="10"/>
      <c r="AX979" s="10"/>
      <c r="AY979" s="10"/>
      <c r="AZ979" s="10"/>
      <c r="BA979" s="10"/>
      <c r="BB979" s="10"/>
      <c r="BC979" s="10"/>
      <c r="BD979" s="10"/>
      <c r="BE979" s="10"/>
      <c r="BF979" s="10"/>
      <c r="BG979" s="10"/>
      <c r="BH979" s="10"/>
      <c r="BI979" s="10"/>
      <c r="BJ979" s="10"/>
      <c r="BK979" s="10"/>
      <c r="BL979" s="10"/>
      <c r="BM979" s="10"/>
      <c r="BN979" s="10"/>
      <c r="BO979" s="10"/>
      <c r="BP979" s="10"/>
      <c r="BQ979" s="10"/>
      <c r="BR979" s="10"/>
      <c r="BS979" s="10"/>
      <c r="BT979" s="10"/>
      <c r="BU979" s="10"/>
    </row>
    <row r="980" spans="1:73" ht="18" x14ac:dyDescent="0.35">
      <c r="A980" s="43"/>
      <c r="C980" s="393"/>
      <c r="E980" s="394"/>
      <c r="F980" s="394">
        <v>1.9530000000000001</v>
      </c>
      <c r="G980" s="394"/>
      <c r="H980" s="8" t="s">
        <v>61</v>
      </c>
      <c r="I980" s="368">
        <f t="shared" si="46"/>
        <v>0</v>
      </c>
      <c r="J980" s="365">
        <f t="shared" si="45"/>
        <v>0</v>
      </c>
      <c r="K980" s="369">
        <f t="shared" si="47"/>
        <v>6</v>
      </c>
      <c r="L980" s="369">
        <f>+IF((C980&gt;='Resultats - informe'!$E$16)*(C980&lt;='Resultats - informe'!$G$16),1,0)</f>
        <v>1</v>
      </c>
      <c r="M980" s="369" cm="1">
        <f t="array" ref="M980">+_xlfn.IFS((C980&gt;='Resultats - informe'!$D$26)*(C980&lt;='Resultats - informe'!$E$26),0,(C980&gt;='Resultats - informe'!$D$27)*(C980&lt;='Resultats - informe'!$E$27),0,(C980&gt;='Resultats - informe'!$D$28)*(C980&lt;='Resultats - informe'!$E$28),0,(C980&gt;='Resultats - informe'!$D$29)*(C980&lt;='Resultats - informe'!$E$29),0,1,1)</f>
        <v>0</v>
      </c>
      <c r="N980" s="366">
        <f>+VLOOKUP(D980,'Resultats - informe'!$Y$18:$AG$42,'Introducció dades consum'!K980+1,0)</f>
        <v>0</v>
      </c>
      <c r="O980" s="370" cm="1">
        <f t="array" ref="O980">+_xlfn.SWITCH(MONTH(C980),1,1,2,1,3,1,4,2,5,2,6,3,7,3,8,3,9,3,10,2,11,2,12,1,2)</f>
        <v>1</v>
      </c>
      <c r="P980" s="43"/>
      <c r="AS980" s="10"/>
      <c r="AT980" s="10"/>
      <c r="AU980" s="10"/>
      <c r="AV980" s="10"/>
      <c r="AW980" s="10"/>
      <c r="AX980" s="10"/>
      <c r="AY980" s="10"/>
      <c r="AZ980" s="10"/>
      <c r="BA980" s="10"/>
      <c r="BB980" s="10"/>
      <c r="BC980" s="10"/>
      <c r="BD980" s="10"/>
      <c r="BE980" s="10"/>
      <c r="BF980" s="10"/>
      <c r="BG980" s="10"/>
      <c r="BH980" s="10"/>
      <c r="BI980" s="10"/>
      <c r="BJ980" s="10"/>
      <c r="BK980" s="10"/>
      <c r="BL980" s="10"/>
      <c r="BM980" s="10"/>
      <c r="BN980" s="10"/>
      <c r="BO980" s="10"/>
      <c r="BP980" s="10"/>
      <c r="BQ980" s="10"/>
      <c r="BR980" s="10"/>
      <c r="BS980" s="10"/>
      <c r="BT980" s="10"/>
      <c r="BU980" s="10"/>
    </row>
    <row r="981" spans="1:73" ht="18" x14ac:dyDescent="0.35">
      <c r="A981" s="43"/>
      <c r="C981" s="393"/>
      <c r="E981" s="394"/>
      <c r="F981" s="394">
        <v>0</v>
      </c>
      <c r="G981" s="394"/>
      <c r="H981" s="8" t="s">
        <v>61</v>
      </c>
      <c r="I981" s="368">
        <f t="shared" si="46"/>
        <v>0</v>
      </c>
      <c r="J981" s="365">
        <f t="shared" si="45"/>
        <v>0</v>
      </c>
      <c r="K981" s="369">
        <f t="shared" si="47"/>
        <v>6</v>
      </c>
      <c r="L981" s="369">
        <f>+IF((C981&gt;='Resultats - informe'!$E$16)*(C981&lt;='Resultats - informe'!$G$16),1,0)</f>
        <v>1</v>
      </c>
      <c r="M981" s="369" cm="1">
        <f t="array" ref="M981">+_xlfn.IFS((C981&gt;='Resultats - informe'!$D$26)*(C981&lt;='Resultats - informe'!$E$26),0,(C981&gt;='Resultats - informe'!$D$27)*(C981&lt;='Resultats - informe'!$E$27),0,(C981&gt;='Resultats - informe'!$D$28)*(C981&lt;='Resultats - informe'!$E$28),0,(C981&gt;='Resultats - informe'!$D$29)*(C981&lt;='Resultats - informe'!$E$29),0,1,1)</f>
        <v>0</v>
      </c>
      <c r="N981" s="366">
        <f>+VLOOKUP(D981,'Resultats - informe'!$Y$18:$AG$42,'Introducció dades consum'!K981+1,0)</f>
        <v>0</v>
      </c>
      <c r="O981" s="370" cm="1">
        <f t="array" ref="O981">+_xlfn.SWITCH(MONTH(C981),1,1,2,1,3,1,4,2,5,2,6,3,7,3,8,3,9,3,10,2,11,2,12,1,2)</f>
        <v>1</v>
      </c>
      <c r="P981" s="43"/>
      <c r="AS981" s="10"/>
      <c r="AT981" s="10"/>
      <c r="AU981" s="10"/>
      <c r="AV981" s="10"/>
      <c r="AW981" s="10"/>
      <c r="AX981" s="10"/>
      <c r="AY981" s="10"/>
      <c r="AZ981" s="10"/>
      <c r="BA981" s="10"/>
      <c r="BB981" s="10"/>
      <c r="BC981" s="10"/>
      <c r="BD981" s="10"/>
      <c r="BE981" s="10"/>
      <c r="BF981" s="10"/>
      <c r="BG981" s="10"/>
      <c r="BH981" s="10"/>
      <c r="BI981" s="10"/>
      <c r="BJ981" s="10"/>
      <c r="BK981" s="10"/>
      <c r="BL981" s="10"/>
      <c r="BM981" s="10"/>
      <c r="BN981" s="10"/>
      <c r="BO981" s="10"/>
      <c r="BP981" s="10"/>
      <c r="BQ981" s="10"/>
      <c r="BR981" s="10"/>
      <c r="BS981" s="10"/>
      <c r="BT981" s="10"/>
      <c r="BU981" s="10"/>
    </row>
    <row r="982" spans="1:73" ht="18" x14ac:dyDescent="0.35">
      <c r="A982" s="43"/>
      <c r="C982" s="393"/>
      <c r="E982" s="394"/>
      <c r="F982" s="394">
        <v>0</v>
      </c>
      <c r="G982" s="394"/>
      <c r="H982" s="8" t="s">
        <v>235</v>
      </c>
      <c r="I982" s="368">
        <f t="shared" si="46"/>
        <v>0</v>
      </c>
      <c r="J982" s="365">
        <f t="shared" si="45"/>
        <v>0</v>
      </c>
      <c r="K982" s="369">
        <f t="shared" si="47"/>
        <v>6</v>
      </c>
      <c r="L982" s="369">
        <f>+IF((C982&gt;='Resultats - informe'!$E$16)*(C982&lt;='Resultats - informe'!$G$16),1,0)</f>
        <v>1</v>
      </c>
      <c r="M982" s="369" cm="1">
        <f t="array" ref="M982">+_xlfn.IFS((C982&gt;='Resultats - informe'!$D$26)*(C982&lt;='Resultats - informe'!$E$26),0,(C982&gt;='Resultats - informe'!$D$27)*(C982&lt;='Resultats - informe'!$E$27),0,(C982&gt;='Resultats - informe'!$D$28)*(C982&lt;='Resultats - informe'!$E$28),0,(C982&gt;='Resultats - informe'!$D$29)*(C982&lt;='Resultats - informe'!$E$29),0,1,1)</f>
        <v>0</v>
      </c>
      <c r="N982" s="366">
        <f>+VLOOKUP(D982,'Resultats - informe'!$Y$18:$AG$42,'Introducció dades consum'!K982+1,0)</f>
        <v>0</v>
      </c>
      <c r="O982" s="370" cm="1">
        <f t="array" ref="O982">+_xlfn.SWITCH(MONTH(C982),1,1,2,1,3,1,4,2,5,2,6,3,7,3,8,3,9,3,10,2,11,2,12,1,2)</f>
        <v>1</v>
      </c>
      <c r="P982" s="43"/>
      <c r="AS982" s="10"/>
      <c r="AT982" s="10"/>
      <c r="AU982" s="10"/>
      <c r="AV982" s="10"/>
      <c r="AW982" s="10"/>
      <c r="AX982" s="10"/>
      <c r="AY982" s="10"/>
      <c r="AZ982" s="10"/>
      <c r="BA982" s="10"/>
      <c r="BB982" s="10"/>
      <c r="BC982" s="10"/>
      <c r="BD982" s="10"/>
      <c r="BE982" s="10"/>
      <c r="BF982" s="10"/>
      <c r="BG982" s="10"/>
      <c r="BH982" s="10"/>
      <c r="BI982" s="10"/>
      <c r="BJ982" s="10"/>
      <c r="BK982" s="10"/>
      <c r="BL982" s="10"/>
      <c r="BM982" s="10"/>
      <c r="BN982" s="10"/>
      <c r="BO982" s="10"/>
      <c r="BP982" s="10"/>
      <c r="BQ982" s="10"/>
      <c r="BR982" s="10"/>
      <c r="BS982" s="10"/>
      <c r="BT982" s="10"/>
      <c r="BU982" s="10"/>
    </row>
    <row r="983" spans="1:73" ht="18" x14ac:dyDescent="0.35">
      <c r="A983" s="43"/>
      <c r="C983" s="393"/>
      <c r="E983" s="394"/>
      <c r="F983" s="394">
        <v>0</v>
      </c>
      <c r="G983" s="394"/>
      <c r="H983" s="8" t="s">
        <v>235</v>
      </c>
      <c r="I983" s="368">
        <f t="shared" si="46"/>
        <v>0</v>
      </c>
      <c r="J983" s="365">
        <f t="shared" si="45"/>
        <v>0</v>
      </c>
      <c r="K983" s="369">
        <f t="shared" si="47"/>
        <v>6</v>
      </c>
      <c r="L983" s="369">
        <f>+IF((C983&gt;='Resultats - informe'!$E$16)*(C983&lt;='Resultats - informe'!$G$16),1,0)</f>
        <v>1</v>
      </c>
      <c r="M983" s="369" cm="1">
        <f t="array" ref="M983">+_xlfn.IFS((C983&gt;='Resultats - informe'!$D$26)*(C983&lt;='Resultats - informe'!$E$26),0,(C983&gt;='Resultats - informe'!$D$27)*(C983&lt;='Resultats - informe'!$E$27),0,(C983&gt;='Resultats - informe'!$D$28)*(C983&lt;='Resultats - informe'!$E$28),0,(C983&gt;='Resultats - informe'!$D$29)*(C983&lt;='Resultats - informe'!$E$29),0,1,1)</f>
        <v>0</v>
      </c>
      <c r="N983" s="366">
        <f>+VLOOKUP(D983,'Resultats - informe'!$Y$18:$AG$42,'Introducció dades consum'!K983+1,0)</f>
        <v>0</v>
      </c>
      <c r="O983" s="370" cm="1">
        <f t="array" ref="O983">+_xlfn.SWITCH(MONTH(C983),1,1,2,1,3,1,4,2,5,2,6,3,7,3,8,3,9,3,10,2,11,2,12,1,2)</f>
        <v>1</v>
      </c>
      <c r="P983" s="43"/>
      <c r="AS983" s="10"/>
      <c r="AT983" s="10"/>
      <c r="AU983" s="10"/>
      <c r="AV983" s="10"/>
      <c r="AW983" s="10"/>
      <c r="AX983" s="10"/>
      <c r="AY983" s="10"/>
      <c r="AZ983" s="10"/>
      <c r="BA983" s="10"/>
      <c r="BB983" s="10"/>
      <c r="BC983" s="10"/>
      <c r="BD983" s="10"/>
      <c r="BE983" s="10"/>
      <c r="BF983" s="10"/>
      <c r="BG983" s="10"/>
      <c r="BH983" s="10"/>
      <c r="BI983" s="10"/>
      <c r="BJ983" s="10"/>
      <c r="BK983" s="10"/>
      <c r="BL983" s="10"/>
      <c r="BM983" s="10"/>
      <c r="BN983" s="10"/>
      <c r="BO983" s="10"/>
      <c r="BP983" s="10"/>
      <c r="BQ983" s="10"/>
      <c r="BR983" s="10"/>
      <c r="BS983" s="10"/>
      <c r="BT983" s="10"/>
      <c r="BU983" s="10"/>
    </row>
    <row r="984" spans="1:73" ht="18" x14ac:dyDescent="0.35">
      <c r="A984" s="43"/>
      <c r="C984" s="393"/>
      <c r="E984" s="394"/>
      <c r="F984" s="394">
        <v>0</v>
      </c>
      <c r="G984" s="394"/>
      <c r="H984" s="8" t="s">
        <v>235</v>
      </c>
      <c r="I984" s="368">
        <f t="shared" si="46"/>
        <v>0</v>
      </c>
      <c r="J984" s="365">
        <f t="shared" si="45"/>
        <v>0</v>
      </c>
      <c r="K984" s="369">
        <f t="shared" si="47"/>
        <v>6</v>
      </c>
      <c r="L984" s="369">
        <f>+IF((C984&gt;='Resultats - informe'!$E$16)*(C984&lt;='Resultats - informe'!$G$16),1,0)</f>
        <v>1</v>
      </c>
      <c r="M984" s="369" cm="1">
        <f t="array" ref="M984">+_xlfn.IFS((C984&gt;='Resultats - informe'!$D$26)*(C984&lt;='Resultats - informe'!$E$26),0,(C984&gt;='Resultats - informe'!$D$27)*(C984&lt;='Resultats - informe'!$E$27),0,(C984&gt;='Resultats - informe'!$D$28)*(C984&lt;='Resultats - informe'!$E$28),0,(C984&gt;='Resultats - informe'!$D$29)*(C984&lt;='Resultats - informe'!$E$29),0,1,1)</f>
        <v>0</v>
      </c>
      <c r="N984" s="366">
        <f>+VLOOKUP(D984,'Resultats - informe'!$Y$18:$AG$42,'Introducció dades consum'!K984+1,0)</f>
        <v>0</v>
      </c>
      <c r="O984" s="370" cm="1">
        <f t="array" ref="O984">+_xlfn.SWITCH(MONTH(C984),1,1,2,1,3,1,4,2,5,2,6,3,7,3,8,3,9,3,10,2,11,2,12,1,2)</f>
        <v>1</v>
      </c>
      <c r="P984" s="43"/>
      <c r="AS984" s="10"/>
      <c r="AT984" s="10"/>
      <c r="AU984" s="10"/>
      <c r="AV984" s="10"/>
      <c r="AW984" s="10"/>
      <c r="AX984" s="10"/>
      <c r="AY984" s="10"/>
      <c r="AZ984" s="10"/>
      <c r="BA984" s="10"/>
      <c r="BB984" s="10"/>
      <c r="BC984" s="10"/>
      <c r="BD984" s="10"/>
      <c r="BE984" s="10"/>
      <c r="BF984" s="10"/>
      <c r="BG984" s="10"/>
      <c r="BH984" s="10"/>
      <c r="BI984" s="10"/>
      <c r="BJ984" s="10"/>
      <c r="BK984" s="10"/>
      <c r="BL984" s="10"/>
      <c r="BM984" s="10"/>
      <c r="BN984" s="10"/>
      <c r="BO984" s="10"/>
      <c r="BP984" s="10"/>
      <c r="BQ984" s="10"/>
      <c r="BR984" s="10"/>
      <c r="BS984" s="10"/>
      <c r="BT984" s="10"/>
      <c r="BU984" s="10"/>
    </row>
    <row r="985" spans="1:73" ht="18" x14ac:dyDescent="0.35">
      <c r="A985" s="43"/>
      <c r="C985" s="393"/>
      <c r="E985" s="394"/>
      <c r="F985" s="394">
        <v>0</v>
      </c>
      <c r="G985" s="394"/>
      <c r="H985" s="8" t="s">
        <v>235</v>
      </c>
      <c r="I985" s="368">
        <f t="shared" si="46"/>
        <v>0</v>
      </c>
      <c r="J985" s="365">
        <f t="shared" si="45"/>
        <v>0</v>
      </c>
      <c r="K985" s="369">
        <f t="shared" si="47"/>
        <v>6</v>
      </c>
      <c r="L985" s="369">
        <f>+IF((C985&gt;='Resultats - informe'!$E$16)*(C985&lt;='Resultats - informe'!$G$16),1,0)</f>
        <v>1</v>
      </c>
      <c r="M985" s="369" cm="1">
        <f t="array" ref="M985">+_xlfn.IFS((C985&gt;='Resultats - informe'!$D$26)*(C985&lt;='Resultats - informe'!$E$26),0,(C985&gt;='Resultats - informe'!$D$27)*(C985&lt;='Resultats - informe'!$E$27),0,(C985&gt;='Resultats - informe'!$D$28)*(C985&lt;='Resultats - informe'!$E$28),0,(C985&gt;='Resultats - informe'!$D$29)*(C985&lt;='Resultats - informe'!$E$29),0,1,1)</f>
        <v>0</v>
      </c>
      <c r="N985" s="366">
        <f>+VLOOKUP(D985,'Resultats - informe'!$Y$18:$AG$42,'Introducció dades consum'!K985+1,0)</f>
        <v>0</v>
      </c>
      <c r="O985" s="370" cm="1">
        <f t="array" ref="O985">+_xlfn.SWITCH(MONTH(C985),1,1,2,1,3,1,4,2,5,2,6,3,7,3,8,3,9,3,10,2,11,2,12,1,2)</f>
        <v>1</v>
      </c>
      <c r="P985" s="43"/>
      <c r="AS985" s="10"/>
      <c r="AT985" s="10"/>
      <c r="AU985" s="10"/>
      <c r="AV985" s="10"/>
      <c r="AW985" s="10"/>
      <c r="AX985" s="10"/>
      <c r="AY985" s="10"/>
      <c r="AZ985" s="10"/>
      <c r="BA985" s="10"/>
      <c r="BB985" s="10"/>
      <c r="BC985" s="10"/>
      <c r="BD985" s="10"/>
      <c r="BE985" s="10"/>
      <c r="BF985" s="10"/>
      <c r="BG985" s="10"/>
      <c r="BH985" s="10"/>
      <c r="BI985" s="10"/>
      <c r="BJ985" s="10"/>
      <c r="BK985" s="10"/>
      <c r="BL985" s="10"/>
      <c r="BM985" s="10"/>
      <c r="BN985" s="10"/>
      <c r="BO985" s="10"/>
      <c r="BP985" s="10"/>
      <c r="BQ985" s="10"/>
      <c r="BR985" s="10"/>
      <c r="BS985" s="10"/>
      <c r="BT985" s="10"/>
      <c r="BU985" s="10"/>
    </row>
    <row r="986" spans="1:73" ht="18" x14ac:dyDescent="0.35">
      <c r="A986" s="43"/>
      <c r="C986" s="393"/>
      <c r="E986" s="394"/>
      <c r="F986" s="394">
        <v>0</v>
      </c>
      <c r="G986" s="394"/>
      <c r="H986" s="8" t="s">
        <v>235</v>
      </c>
      <c r="I986" s="368">
        <f t="shared" si="46"/>
        <v>0</v>
      </c>
      <c r="J986" s="365">
        <f t="shared" si="45"/>
        <v>0</v>
      </c>
      <c r="K986" s="369">
        <f t="shared" si="47"/>
        <v>6</v>
      </c>
      <c r="L986" s="369">
        <f>+IF((C986&gt;='Resultats - informe'!$E$16)*(C986&lt;='Resultats - informe'!$G$16),1,0)</f>
        <v>1</v>
      </c>
      <c r="M986" s="369" cm="1">
        <f t="array" ref="M986">+_xlfn.IFS((C986&gt;='Resultats - informe'!$D$26)*(C986&lt;='Resultats - informe'!$E$26),0,(C986&gt;='Resultats - informe'!$D$27)*(C986&lt;='Resultats - informe'!$E$27),0,(C986&gt;='Resultats - informe'!$D$28)*(C986&lt;='Resultats - informe'!$E$28),0,(C986&gt;='Resultats - informe'!$D$29)*(C986&lt;='Resultats - informe'!$E$29),0,1,1)</f>
        <v>0</v>
      </c>
      <c r="N986" s="366">
        <f>+VLOOKUP(D986,'Resultats - informe'!$Y$18:$AG$42,'Introducció dades consum'!K986+1,0)</f>
        <v>0</v>
      </c>
      <c r="O986" s="370" cm="1">
        <f t="array" ref="O986">+_xlfn.SWITCH(MONTH(C986),1,1,2,1,3,1,4,2,5,2,6,3,7,3,8,3,9,3,10,2,11,2,12,1,2)</f>
        <v>1</v>
      </c>
      <c r="P986" s="43"/>
      <c r="AS986" s="10"/>
      <c r="AT986" s="10"/>
      <c r="AU986" s="10"/>
      <c r="AV986" s="10"/>
      <c r="AW986" s="10"/>
      <c r="AX986" s="10"/>
      <c r="AY986" s="10"/>
      <c r="AZ986" s="10"/>
      <c r="BA986" s="10"/>
      <c r="BB986" s="10"/>
      <c r="BC986" s="10"/>
      <c r="BD986" s="10"/>
      <c r="BE986" s="10"/>
      <c r="BF986" s="10"/>
      <c r="BG986" s="10"/>
      <c r="BH986" s="10"/>
      <c r="BI986" s="10"/>
      <c r="BJ986" s="10"/>
      <c r="BK986" s="10"/>
      <c r="BL986" s="10"/>
      <c r="BM986" s="10"/>
      <c r="BN986" s="10"/>
      <c r="BO986" s="10"/>
      <c r="BP986" s="10"/>
      <c r="BQ986" s="10"/>
      <c r="BR986" s="10"/>
      <c r="BS986" s="10"/>
      <c r="BT986" s="10"/>
      <c r="BU986" s="10"/>
    </row>
    <row r="987" spans="1:73" ht="18" x14ac:dyDescent="0.35">
      <c r="A987" s="43"/>
      <c r="C987" s="393"/>
      <c r="E987" s="394"/>
      <c r="F987" s="394">
        <v>0</v>
      </c>
      <c r="G987" s="394"/>
      <c r="H987" s="8" t="s">
        <v>235</v>
      </c>
      <c r="I987" s="368">
        <f t="shared" si="46"/>
        <v>0</v>
      </c>
      <c r="J987" s="365">
        <f t="shared" si="45"/>
        <v>0</v>
      </c>
      <c r="K987" s="369">
        <f t="shared" si="47"/>
        <v>6</v>
      </c>
      <c r="L987" s="369">
        <f>+IF((C987&gt;='Resultats - informe'!$E$16)*(C987&lt;='Resultats - informe'!$G$16),1,0)</f>
        <v>1</v>
      </c>
      <c r="M987" s="369" cm="1">
        <f t="array" ref="M987">+_xlfn.IFS((C987&gt;='Resultats - informe'!$D$26)*(C987&lt;='Resultats - informe'!$E$26),0,(C987&gt;='Resultats - informe'!$D$27)*(C987&lt;='Resultats - informe'!$E$27),0,(C987&gt;='Resultats - informe'!$D$28)*(C987&lt;='Resultats - informe'!$E$28),0,(C987&gt;='Resultats - informe'!$D$29)*(C987&lt;='Resultats - informe'!$E$29),0,1,1)</f>
        <v>0</v>
      </c>
      <c r="N987" s="366">
        <f>+VLOOKUP(D987,'Resultats - informe'!$Y$18:$AG$42,'Introducció dades consum'!K987+1,0)</f>
        <v>0</v>
      </c>
      <c r="O987" s="370" cm="1">
        <f t="array" ref="O987">+_xlfn.SWITCH(MONTH(C987),1,1,2,1,3,1,4,2,5,2,6,3,7,3,8,3,9,3,10,2,11,2,12,1,2)</f>
        <v>1</v>
      </c>
      <c r="P987" s="43"/>
      <c r="AS987" s="10"/>
      <c r="AT987" s="10"/>
      <c r="AU987" s="10"/>
      <c r="AV987" s="10"/>
      <c r="AW987" s="10"/>
      <c r="AX987" s="10"/>
      <c r="AY987" s="10"/>
      <c r="AZ987" s="10"/>
      <c r="BA987" s="10"/>
      <c r="BB987" s="10"/>
      <c r="BC987" s="10"/>
      <c r="BD987" s="10"/>
      <c r="BE987" s="10"/>
      <c r="BF987" s="10"/>
      <c r="BG987" s="10"/>
      <c r="BH987" s="10"/>
      <c r="BI987" s="10"/>
      <c r="BJ987" s="10"/>
      <c r="BK987" s="10"/>
      <c r="BL987" s="10"/>
      <c r="BM987" s="10"/>
      <c r="BN987" s="10"/>
      <c r="BO987" s="10"/>
      <c r="BP987" s="10"/>
      <c r="BQ987" s="10"/>
      <c r="BR987" s="10"/>
      <c r="BS987" s="10"/>
      <c r="BT987" s="10"/>
      <c r="BU987" s="10"/>
    </row>
    <row r="988" spans="1:73" ht="18" x14ac:dyDescent="0.35">
      <c r="A988" s="43"/>
      <c r="C988" s="393"/>
      <c r="E988" s="394"/>
      <c r="F988" s="394">
        <v>0</v>
      </c>
      <c r="G988" s="394"/>
      <c r="H988" s="8" t="s">
        <v>235</v>
      </c>
      <c r="I988" s="368">
        <f t="shared" si="46"/>
        <v>0</v>
      </c>
      <c r="J988" s="365">
        <f t="shared" si="45"/>
        <v>0</v>
      </c>
      <c r="K988" s="369">
        <f t="shared" si="47"/>
        <v>6</v>
      </c>
      <c r="L988" s="369">
        <f>+IF((C988&gt;='Resultats - informe'!$E$16)*(C988&lt;='Resultats - informe'!$G$16),1,0)</f>
        <v>1</v>
      </c>
      <c r="M988" s="369" cm="1">
        <f t="array" ref="M988">+_xlfn.IFS((C988&gt;='Resultats - informe'!$D$26)*(C988&lt;='Resultats - informe'!$E$26),0,(C988&gt;='Resultats - informe'!$D$27)*(C988&lt;='Resultats - informe'!$E$27),0,(C988&gt;='Resultats - informe'!$D$28)*(C988&lt;='Resultats - informe'!$E$28),0,(C988&gt;='Resultats - informe'!$D$29)*(C988&lt;='Resultats - informe'!$E$29),0,1,1)</f>
        <v>0</v>
      </c>
      <c r="N988" s="366">
        <f>+VLOOKUP(D988,'Resultats - informe'!$Y$18:$AG$42,'Introducció dades consum'!K988+1,0)</f>
        <v>0</v>
      </c>
      <c r="O988" s="370" cm="1">
        <f t="array" ref="O988">+_xlfn.SWITCH(MONTH(C988),1,1,2,1,3,1,4,2,5,2,6,3,7,3,8,3,9,3,10,2,11,2,12,1,2)</f>
        <v>1</v>
      </c>
      <c r="P988" s="43"/>
      <c r="AS988" s="10"/>
      <c r="AT988" s="10"/>
      <c r="AU988" s="10"/>
      <c r="AV988" s="10"/>
      <c r="AW988" s="10"/>
      <c r="AX988" s="10"/>
      <c r="AY988" s="10"/>
      <c r="AZ988" s="10"/>
      <c r="BA988" s="10"/>
      <c r="BB988" s="10"/>
      <c r="BC988" s="10"/>
      <c r="BD988" s="10"/>
      <c r="BE988" s="10"/>
      <c r="BF988" s="10"/>
      <c r="BG988" s="10"/>
      <c r="BH988" s="10"/>
      <c r="BI988" s="10"/>
      <c r="BJ988" s="10"/>
      <c r="BK988" s="10"/>
      <c r="BL988" s="10"/>
      <c r="BM988" s="10"/>
      <c r="BN988" s="10"/>
      <c r="BO988" s="10"/>
      <c r="BP988" s="10"/>
      <c r="BQ988" s="10"/>
      <c r="BR988" s="10"/>
      <c r="BS988" s="10"/>
      <c r="BT988" s="10"/>
      <c r="BU988" s="10"/>
    </row>
    <row r="989" spans="1:73" ht="18" x14ac:dyDescent="0.35">
      <c r="A989" s="43"/>
      <c r="C989" s="393"/>
      <c r="E989" s="394"/>
      <c r="F989" s="394">
        <v>0</v>
      </c>
      <c r="G989" s="394"/>
      <c r="H989" s="8" t="s">
        <v>235</v>
      </c>
      <c r="I989" s="368">
        <f t="shared" si="46"/>
        <v>0</v>
      </c>
      <c r="J989" s="365">
        <f t="shared" si="45"/>
        <v>0</v>
      </c>
      <c r="K989" s="369">
        <f t="shared" si="47"/>
        <v>6</v>
      </c>
      <c r="L989" s="369">
        <f>+IF((C989&gt;='Resultats - informe'!$E$16)*(C989&lt;='Resultats - informe'!$G$16),1,0)</f>
        <v>1</v>
      </c>
      <c r="M989" s="369" cm="1">
        <f t="array" ref="M989">+_xlfn.IFS((C989&gt;='Resultats - informe'!$D$26)*(C989&lt;='Resultats - informe'!$E$26),0,(C989&gt;='Resultats - informe'!$D$27)*(C989&lt;='Resultats - informe'!$E$27),0,(C989&gt;='Resultats - informe'!$D$28)*(C989&lt;='Resultats - informe'!$E$28),0,(C989&gt;='Resultats - informe'!$D$29)*(C989&lt;='Resultats - informe'!$E$29),0,1,1)</f>
        <v>0</v>
      </c>
      <c r="N989" s="366">
        <f>+VLOOKUP(D989,'Resultats - informe'!$Y$18:$AG$42,'Introducció dades consum'!K989+1,0)</f>
        <v>0</v>
      </c>
      <c r="O989" s="370" cm="1">
        <f t="array" ref="O989">+_xlfn.SWITCH(MONTH(C989),1,1,2,1,3,1,4,2,5,2,6,3,7,3,8,3,9,3,10,2,11,2,12,1,2)</f>
        <v>1</v>
      </c>
      <c r="P989" s="43"/>
      <c r="AS989" s="10"/>
      <c r="AT989" s="10"/>
      <c r="AU989" s="10"/>
      <c r="AV989" s="10"/>
      <c r="AW989" s="10"/>
      <c r="AX989" s="10"/>
      <c r="AY989" s="10"/>
      <c r="AZ989" s="10"/>
      <c r="BA989" s="10"/>
      <c r="BB989" s="10"/>
      <c r="BC989" s="10"/>
      <c r="BD989" s="10"/>
      <c r="BE989" s="10"/>
      <c r="BF989" s="10"/>
      <c r="BG989" s="10"/>
      <c r="BH989" s="10"/>
      <c r="BI989" s="10"/>
      <c r="BJ989" s="10"/>
      <c r="BK989" s="10"/>
      <c r="BL989" s="10"/>
      <c r="BM989" s="10"/>
      <c r="BN989" s="10"/>
      <c r="BO989" s="10"/>
      <c r="BP989" s="10"/>
      <c r="BQ989" s="10"/>
      <c r="BR989" s="10"/>
      <c r="BS989" s="10"/>
      <c r="BT989" s="10"/>
      <c r="BU989" s="10"/>
    </row>
    <row r="990" spans="1:73" ht="18" x14ac:dyDescent="0.35">
      <c r="A990" s="43"/>
      <c r="C990" s="393"/>
      <c r="E990" s="394"/>
      <c r="F990" s="394">
        <v>0</v>
      </c>
      <c r="G990" s="394"/>
      <c r="H990" s="8" t="s">
        <v>235</v>
      </c>
      <c r="I990" s="368">
        <f t="shared" si="46"/>
        <v>0</v>
      </c>
      <c r="J990" s="365">
        <f t="shared" si="45"/>
        <v>0</v>
      </c>
      <c r="K990" s="369">
        <f t="shared" si="47"/>
        <v>6</v>
      </c>
      <c r="L990" s="369">
        <f>+IF((C990&gt;='Resultats - informe'!$E$16)*(C990&lt;='Resultats - informe'!$G$16),1,0)</f>
        <v>1</v>
      </c>
      <c r="M990" s="369" cm="1">
        <f t="array" ref="M990">+_xlfn.IFS((C990&gt;='Resultats - informe'!$D$26)*(C990&lt;='Resultats - informe'!$E$26),0,(C990&gt;='Resultats - informe'!$D$27)*(C990&lt;='Resultats - informe'!$E$27),0,(C990&gt;='Resultats - informe'!$D$28)*(C990&lt;='Resultats - informe'!$E$28),0,(C990&gt;='Resultats - informe'!$D$29)*(C990&lt;='Resultats - informe'!$E$29),0,1,1)</f>
        <v>0</v>
      </c>
      <c r="N990" s="366">
        <f>+VLOOKUP(D990,'Resultats - informe'!$Y$18:$AG$42,'Introducció dades consum'!K990+1,0)</f>
        <v>0</v>
      </c>
      <c r="O990" s="370" cm="1">
        <f t="array" ref="O990">+_xlfn.SWITCH(MONTH(C990),1,1,2,1,3,1,4,2,5,2,6,3,7,3,8,3,9,3,10,2,11,2,12,1,2)</f>
        <v>1</v>
      </c>
      <c r="P990" s="43"/>
      <c r="AS990" s="10"/>
      <c r="AT990" s="10"/>
      <c r="AU990" s="10"/>
      <c r="AV990" s="10"/>
      <c r="AW990" s="10"/>
      <c r="AX990" s="10"/>
      <c r="AY990" s="10"/>
      <c r="AZ990" s="10"/>
      <c r="BA990" s="10"/>
      <c r="BB990" s="10"/>
      <c r="BC990" s="10"/>
      <c r="BD990" s="10"/>
      <c r="BE990" s="10"/>
      <c r="BF990" s="10"/>
      <c r="BG990" s="10"/>
      <c r="BH990" s="10"/>
      <c r="BI990" s="10"/>
      <c r="BJ990" s="10"/>
      <c r="BK990" s="10"/>
      <c r="BL990" s="10"/>
      <c r="BM990" s="10"/>
      <c r="BN990" s="10"/>
      <c r="BO990" s="10"/>
      <c r="BP990" s="10"/>
      <c r="BQ990" s="10"/>
      <c r="BR990" s="10"/>
      <c r="BS990" s="10"/>
      <c r="BT990" s="10"/>
      <c r="BU990" s="10"/>
    </row>
    <row r="991" spans="1:73" ht="18" x14ac:dyDescent="0.35">
      <c r="A991" s="43"/>
      <c r="C991" s="393"/>
      <c r="E991" s="394"/>
      <c r="F991" s="394">
        <v>0</v>
      </c>
      <c r="G991" s="394"/>
      <c r="H991" s="8" t="s">
        <v>235</v>
      </c>
      <c r="I991" s="368">
        <f t="shared" si="46"/>
        <v>0</v>
      </c>
      <c r="J991" s="365">
        <f t="shared" si="45"/>
        <v>0</v>
      </c>
      <c r="K991" s="369">
        <f t="shared" si="47"/>
        <v>6</v>
      </c>
      <c r="L991" s="369">
        <f>+IF((C991&gt;='Resultats - informe'!$E$16)*(C991&lt;='Resultats - informe'!$G$16),1,0)</f>
        <v>1</v>
      </c>
      <c r="M991" s="369" cm="1">
        <f t="array" ref="M991">+_xlfn.IFS((C991&gt;='Resultats - informe'!$D$26)*(C991&lt;='Resultats - informe'!$E$26),0,(C991&gt;='Resultats - informe'!$D$27)*(C991&lt;='Resultats - informe'!$E$27),0,(C991&gt;='Resultats - informe'!$D$28)*(C991&lt;='Resultats - informe'!$E$28),0,(C991&gt;='Resultats - informe'!$D$29)*(C991&lt;='Resultats - informe'!$E$29),0,1,1)</f>
        <v>0</v>
      </c>
      <c r="N991" s="366">
        <f>+VLOOKUP(D991,'Resultats - informe'!$Y$18:$AG$42,'Introducció dades consum'!K991+1,0)</f>
        <v>0</v>
      </c>
      <c r="O991" s="370" cm="1">
        <f t="array" ref="O991">+_xlfn.SWITCH(MONTH(C991),1,1,2,1,3,1,4,2,5,2,6,3,7,3,8,3,9,3,10,2,11,2,12,1,2)</f>
        <v>1</v>
      </c>
      <c r="P991" s="43"/>
      <c r="AS991" s="10"/>
      <c r="AT991" s="10"/>
      <c r="AU991" s="10"/>
      <c r="AV991" s="10"/>
      <c r="AW991" s="10"/>
      <c r="AX991" s="10"/>
      <c r="AY991" s="10"/>
      <c r="AZ991" s="10"/>
      <c r="BA991" s="10"/>
      <c r="BB991" s="10"/>
      <c r="BC991" s="10"/>
      <c r="BD991" s="10"/>
      <c r="BE991" s="10"/>
      <c r="BF991" s="10"/>
      <c r="BG991" s="10"/>
      <c r="BH991" s="10"/>
      <c r="BI991" s="10"/>
      <c r="BJ991" s="10"/>
      <c r="BK991" s="10"/>
      <c r="BL991" s="10"/>
      <c r="BM991" s="10"/>
      <c r="BN991" s="10"/>
      <c r="BO991" s="10"/>
      <c r="BP991" s="10"/>
      <c r="BQ991" s="10"/>
      <c r="BR991" s="10"/>
      <c r="BS991" s="10"/>
      <c r="BT991" s="10"/>
      <c r="BU991" s="10"/>
    </row>
    <row r="992" spans="1:73" ht="18" x14ac:dyDescent="0.35">
      <c r="A992" s="43"/>
      <c r="C992" s="393"/>
      <c r="E992" s="394"/>
      <c r="F992" s="394">
        <v>0</v>
      </c>
      <c r="G992" s="394"/>
      <c r="H992" s="8" t="s">
        <v>235</v>
      </c>
      <c r="I992" s="368">
        <f t="shared" si="46"/>
        <v>0</v>
      </c>
      <c r="J992" s="365">
        <f t="shared" si="45"/>
        <v>0</v>
      </c>
      <c r="K992" s="369">
        <f t="shared" si="47"/>
        <v>6</v>
      </c>
      <c r="L992" s="369">
        <f>+IF((C992&gt;='Resultats - informe'!$E$16)*(C992&lt;='Resultats - informe'!$G$16),1,0)</f>
        <v>1</v>
      </c>
      <c r="M992" s="369" cm="1">
        <f t="array" ref="M992">+_xlfn.IFS((C992&gt;='Resultats - informe'!$D$26)*(C992&lt;='Resultats - informe'!$E$26),0,(C992&gt;='Resultats - informe'!$D$27)*(C992&lt;='Resultats - informe'!$E$27),0,(C992&gt;='Resultats - informe'!$D$28)*(C992&lt;='Resultats - informe'!$E$28),0,(C992&gt;='Resultats - informe'!$D$29)*(C992&lt;='Resultats - informe'!$E$29),0,1,1)</f>
        <v>0</v>
      </c>
      <c r="N992" s="366">
        <f>+VLOOKUP(D992,'Resultats - informe'!$Y$18:$AG$42,'Introducció dades consum'!K992+1,0)</f>
        <v>0</v>
      </c>
      <c r="O992" s="370" cm="1">
        <f t="array" ref="O992">+_xlfn.SWITCH(MONTH(C992),1,1,2,1,3,1,4,2,5,2,6,3,7,3,8,3,9,3,10,2,11,2,12,1,2)</f>
        <v>1</v>
      </c>
      <c r="P992" s="43"/>
      <c r="AS992" s="10"/>
      <c r="AT992" s="10"/>
      <c r="AU992" s="10"/>
      <c r="AV992" s="10"/>
      <c r="AW992" s="10"/>
      <c r="AX992" s="10"/>
      <c r="AY992" s="10"/>
      <c r="AZ992" s="10"/>
      <c r="BA992" s="10"/>
      <c r="BB992" s="10"/>
      <c r="BC992" s="10"/>
      <c r="BD992" s="10"/>
      <c r="BE992" s="10"/>
      <c r="BF992" s="10"/>
      <c r="BG992" s="10"/>
      <c r="BH992" s="10"/>
      <c r="BI992" s="10"/>
      <c r="BJ992" s="10"/>
      <c r="BK992" s="10"/>
      <c r="BL992" s="10"/>
      <c r="BM992" s="10"/>
      <c r="BN992" s="10"/>
      <c r="BO992" s="10"/>
      <c r="BP992" s="10"/>
      <c r="BQ992" s="10"/>
      <c r="BR992" s="10"/>
      <c r="BS992" s="10"/>
      <c r="BT992" s="10"/>
      <c r="BU992" s="10"/>
    </row>
    <row r="993" spans="1:73" ht="18" x14ac:dyDescent="0.35">
      <c r="A993" s="43"/>
      <c r="C993" s="393"/>
      <c r="E993" s="394"/>
      <c r="F993" s="394">
        <v>0</v>
      </c>
      <c r="G993" s="394"/>
      <c r="H993" s="8" t="s">
        <v>235</v>
      </c>
      <c r="I993" s="368">
        <f t="shared" si="46"/>
        <v>0</v>
      </c>
      <c r="J993" s="365">
        <f t="shared" si="45"/>
        <v>0</v>
      </c>
      <c r="K993" s="369">
        <f t="shared" si="47"/>
        <v>6</v>
      </c>
      <c r="L993" s="369">
        <f>+IF((C993&gt;='Resultats - informe'!$E$16)*(C993&lt;='Resultats - informe'!$G$16),1,0)</f>
        <v>1</v>
      </c>
      <c r="M993" s="369" cm="1">
        <f t="array" ref="M993">+_xlfn.IFS((C993&gt;='Resultats - informe'!$D$26)*(C993&lt;='Resultats - informe'!$E$26),0,(C993&gt;='Resultats - informe'!$D$27)*(C993&lt;='Resultats - informe'!$E$27),0,(C993&gt;='Resultats - informe'!$D$28)*(C993&lt;='Resultats - informe'!$E$28),0,(C993&gt;='Resultats - informe'!$D$29)*(C993&lt;='Resultats - informe'!$E$29),0,1,1)</f>
        <v>0</v>
      </c>
      <c r="N993" s="366">
        <f>+VLOOKUP(D993,'Resultats - informe'!$Y$18:$AG$42,'Introducció dades consum'!K993+1,0)</f>
        <v>0</v>
      </c>
      <c r="O993" s="370" cm="1">
        <f t="array" ref="O993">+_xlfn.SWITCH(MONTH(C993),1,1,2,1,3,1,4,2,5,2,6,3,7,3,8,3,9,3,10,2,11,2,12,1,2)</f>
        <v>1</v>
      </c>
      <c r="P993" s="43"/>
      <c r="AS993" s="10"/>
      <c r="AT993" s="10"/>
      <c r="AU993" s="10"/>
      <c r="AV993" s="10"/>
      <c r="AW993" s="10"/>
      <c r="AX993" s="10"/>
      <c r="AY993" s="10"/>
      <c r="AZ993" s="10"/>
      <c r="BA993" s="10"/>
      <c r="BB993" s="10"/>
      <c r="BC993" s="10"/>
      <c r="BD993" s="10"/>
      <c r="BE993" s="10"/>
      <c r="BF993" s="10"/>
      <c r="BG993" s="10"/>
      <c r="BH993" s="10"/>
      <c r="BI993" s="10"/>
      <c r="BJ993" s="10"/>
      <c r="BK993" s="10"/>
      <c r="BL993" s="10"/>
      <c r="BM993" s="10"/>
      <c r="BN993" s="10"/>
      <c r="BO993" s="10"/>
      <c r="BP993" s="10"/>
      <c r="BQ993" s="10"/>
      <c r="BR993" s="10"/>
      <c r="BS993" s="10"/>
      <c r="BT993" s="10"/>
      <c r="BU993" s="10"/>
    </row>
    <row r="994" spans="1:73" ht="18" x14ac:dyDescent="0.35">
      <c r="A994" s="43"/>
      <c r="C994" s="393"/>
      <c r="E994" s="394"/>
      <c r="F994" s="394">
        <v>0</v>
      </c>
      <c r="G994" s="394"/>
      <c r="H994" s="8" t="s">
        <v>235</v>
      </c>
      <c r="I994" s="368">
        <f t="shared" si="46"/>
        <v>0</v>
      </c>
      <c r="J994" s="365">
        <f t="shared" si="45"/>
        <v>0</v>
      </c>
      <c r="K994" s="369">
        <f t="shared" si="47"/>
        <v>6</v>
      </c>
      <c r="L994" s="369">
        <f>+IF((C994&gt;='Resultats - informe'!$E$16)*(C994&lt;='Resultats - informe'!$G$16),1,0)</f>
        <v>1</v>
      </c>
      <c r="M994" s="369" cm="1">
        <f t="array" ref="M994">+_xlfn.IFS((C994&gt;='Resultats - informe'!$D$26)*(C994&lt;='Resultats - informe'!$E$26),0,(C994&gt;='Resultats - informe'!$D$27)*(C994&lt;='Resultats - informe'!$E$27),0,(C994&gt;='Resultats - informe'!$D$28)*(C994&lt;='Resultats - informe'!$E$28),0,(C994&gt;='Resultats - informe'!$D$29)*(C994&lt;='Resultats - informe'!$E$29),0,1,1)</f>
        <v>0</v>
      </c>
      <c r="N994" s="366">
        <f>+VLOOKUP(D994,'Resultats - informe'!$Y$18:$AG$42,'Introducció dades consum'!K994+1,0)</f>
        <v>0</v>
      </c>
      <c r="O994" s="370" cm="1">
        <f t="array" ref="O994">+_xlfn.SWITCH(MONTH(C994),1,1,2,1,3,1,4,2,5,2,6,3,7,3,8,3,9,3,10,2,11,2,12,1,2)</f>
        <v>1</v>
      </c>
      <c r="P994" s="43"/>
      <c r="AS994" s="10"/>
      <c r="AT994" s="10"/>
      <c r="AU994" s="10"/>
      <c r="AV994" s="10"/>
      <c r="AW994" s="10"/>
      <c r="AX994" s="10"/>
      <c r="AY994" s="10"/>
      <c r="AZ994" s="10"/>
      <c r="BA994" s="10"/>
      <c r="BB994" s="10"/>
      <c r="BC994" s="10"/>
      <c r="BD994" s="10"/>
      <c r="BE994" s="10"/>
      <c r="BF994" s="10"/>
      <c r="BG994" s="10"/>
      <c r="BH994" s="10"/>
      <c r="BI994" s="10"/>
      <c r="BJ994" s="10"/>
      <c r="BK994" s="10"/>
      <c r="BL994" s="10"/>
      <c r="BM994" s="10"/>
      <c r="BN994" s="10"/>
      <c r="BO994" s="10"/>
      <c r="BP994" s="10"/>
      <c r="BQ994" s="10"/>
      <c r="BR994" s="10"/>
      <c r="BS994" s="10"/>
      <c r="BT994" s="10"/>
      <c r="BU994" s="10"/>
    </row>
    <row r="995" spans="1:73" ht="18" x14ac:dyDescent="0.35">
      <c r="A995" s="43"/>
      <c r="C995" s="393"/>
      <c r="E995" s="394"/>
      <c r="F995" s="394">
        <v>0</v>
      </c>
      <c r="G995" s="394"/>
      <c r="H995" s="8" t="s">
        <v>235</v>
      </c>
      <c r="I995" s="368">
        <f t="shared" si="46"/>
        <v>0</v>
      </c>
      <c r="J995" s="365">
        <f t="shared" si="45"/>
        <v>0</v>
      </c>
      <c r="K995" s="369">
        <f t="shared" si="47"/>
        <v>6</v>
      </c>
      <c r="L995" s="369">
        <f>+IF((C995&gt;='Resultats - informe'!$E$16)*(C995&lt;='Resultats - informe'!$G$16),1,0)</f>
        <v>1</v>
      </c>
      <c r="M995" s="369" cm="1">
        <f t="array" ref="M995">+_xlfn.IFS((C995&gt;='Resultats - informe'!$D$26)*(C995&lt;='Resultats - informe'!$E$26),0,(C995&gt;='Resultats - informe'!$D$27)*(C995&lt;='Resultats - informe'!$E$27),0,(C995&gt;='Resultats - informe'!$D$28)*(C995&lt;='Resultats - informe'!$E$28),0,(C995&gt;='Resultats - informe'!$D$29)*(C995&lt;='Resultats - informe'!$E$29),0,1,1)</f>
        <v>0</v>
      </c>
      <c r="N995" s="366">
        <f>+VLOOKUP(D995,'Resultats - informe'!$Y$18:$AG$42,'Introducció dades consum'!K995+1,0)</f>
        <v>0</v>
      </c>
      <c r="O995" s="370" cm="1">
        <f t="array" ref="O995">+_xlfn.SWITCH(MONTH(C995),1,1,2,1,3,1,4,2,5,2,6,3,7,3,8,3,9,3,10,2,11,2,12,1,2)</f>
        <v>1</v>
      </c>
      <c r="P995" s="43"/>
      <c r="AS995" s="10"/>
      <c r="AT995" s="10"/>
      <c r="AU995" s="10"/>
      <c r="AV995" s="10"/>
      <c r="AW995" s="10"/>
      <c r="AX995" s="10"/>
      <c r="AY995" s="10"/>
      <c r="AZ995" s="10"/>
      <c r="BA995" s="10"/>
      <c r="BB995" s="10"/>
      <c r="BC995" s="10"/>
      <c r="BD995" s="10"/>
      <c r="BE995" s="10"/>
      <c r="BF995" s="10"/>
      <c r="BG995" s="10"/>
      <c r="BH995" s="10"/>
      <c r="BI995" s="10"/>
      <c r="BJ995" s="10"/>
      <c r="BK995" s="10"/>
      <c r="BL995" s="10"/>
      <c r="BM995" s="10"/>
      <c r="BN995" s="10"/>
      <c r="BO995" s="10"/>
      <c r="BP995" s="10"/>
      <c r="BQ995" s="10"/>
      <c r="BR995" s="10"/>
      <c r="BS995" s="10"/>
      <c r="BT995" s="10"/>
      <c r="BU995" s="10"/>
    </row>
    <row r="996" spans="1:73" ht="18" x14ac:dyDescent="0.35">
      <c r="A996" s="43"/>
      <c r="C996" s="393"/>
      <c r="E996" s="394"/>
      <c r="F996" s="394">
        <v>0.20599999999999999</v>
      </c>
      <c r="G996" s="394"/>
      <c r="H996" s="8" t="s">
        <v>235</v>
      </c>
      <c r="I996" s="368">
        <f t="shared" si="46"/>
        <v>0</v>
      </c>
      <c r="J996" s="365">
        <f t="shared" si="45"/>
        <v>0</v>
      </c>
      <c r="K996" s="369">
        <f t="shared" si="47"/>
        <v>6</v>
      </c>
      <c r="L996" s="369">
        <f>+IF((C996&gt;='Resultats - informe'!$E$16)*(C996&lt;='Resultats - informe'!$G$16),1,0)</f>
        <v>1</v>
      </c>
      <c r="M996" s="369" cm="1">
        <f t="array" ref="M996">+_xlfn.IFS((C996&gt;='Resultats - informe'!$D$26)*(C996&lt;='Resultats - informe'!$E$26),0,(C996&gt;='Resultats - informe'!$D$27)*(C996&lt;='Resultats - informe'!$E$27),0,(C996&gt;='Resultats - informe'!$D$28)*(C996&lt;='Resultats - informe'!$E$28),0,(C996&gt;='Resultats - informe'!$D$29)*(C996&lt;='Resultats - informe'!$E$29),0,1,1)</f>
        <v>0</v>
      </c>
      <c r="N996" s="366">
        <f>+VLOOKUP(D996,'Resultats - informe'!$Y$18:$AG$42,'Introducció dades consum'!K996+1,0)</f>
        <v>0</v>
      </c>
      <c r="O996" s="370" cm="1">
        <f t="array" ref="O996">+_xlfn.SWITCH(MONTH(C996),1,1,2,1,3,1,4,2,5,2,6,3,7,3,8,3,9,3,10,2,11,2,12,1,2)</f>
        <v>1</v>
      </c>
      <c r="P996" s="43"/>
      <c r="AS996" s="10"/>
      <c r="AT996" s="10"/>
      <c r="AU996" s="10"/>
      <c r="AV996" s="10"/>
      <c r="AW996" s="10"/>
      <c r="AX996" s="10"/>
      <c r="AY996" s="10"/>
      <c r="AZ996" s="10"/>
      <c r="BA996" s="10"/>
      <c r="BB996" s="10"/>
      <c r="BC996" s="10"/>
      <c r="BD996" s="10"/>
      <c r="BE996" s="10"/>
      <c r="BF996" s="10"/>
      <c r="BG996" s="10"/>
      <c r="BH996" s="10"/>
      <c r="BI996" s="10"/>
      <c r="BJ996" s="10"/>
      <c r="BK996" s="10"/>
      <c r="BL996" s="10"/>
      <c r="BM996" s="10"/>
      <c r="BN996" s="10"/>
      <c r="BO996" s="10"/>
      <c r="BP996" s="10"/>
      <c r="BQ996" s="10"/>
      <c r="BR996" s="10"/>
      <c r="BS996" s="10"/>
      <c r="BT996" s="10"/>
      <c r="BU996" s="10"/>
    </row>
    <row r="997" spans="1:73" ht="18" x14ac:dyDescent="0.35">
      <c r="A997" s="43"/>
      <c r="C997" s="393"/>
      <c r="E997" s="394"/>
      <c r="F997" s="394">
        <v>0</v>
      </c>
      <c r="G997" s="394"/>
      <c r="H997" s="8" t="s">
        <v>235</v>
      </c>
      <c r="I997" s="368">
        <f t="shared" si="46"/>
        <v>0</v>
      </c>
      <c r="J997" s="365">
        <f t="shared" si="45"/>
        <v>0</v>
      </c>
      <c r="K997" s="369">
        <f t="shared" si="47"/>
        <v>6</v>
      </c>
      <c r="L997" s="369">
        <f>+IF((C997&gt;='Resultats - informe'!$E$16)*(C997&lt;='Resultats - informe'!$G$16),1,0)</f>
        <v>1</v>
      </c>
      <c r="M997" s="369" cm="1">
        <f t="array" ref="M997">+_xlfn.IFS((C997&gt;='Resultats - informe'!$D$26)*(C997&lt;='Resultats - informe'!$E$26),0,(C997&gt;='Resultats - informe'!$D$27)*(C997&lt;='Resultats - informe'!$E$27),0,(C997&gt;='Resultats - informe'!$D$28)*(C997&lt;='Resultats - informe'!$E$28),0,(C997&gt;='Resultats - informe'!$D$29)*(C997&lt;='Resultats - informe'!$E$29),0,1,1)</f>
        <v>0</v>
      </c>
      <c r="N997" s="366">
        <f>+VLOOKUP(D997,'Resultats - informe'!$Y$18:$AG$42,'Introducció dades consum'!K997+1,0)</f>
        <v>0</v>
      </c>
      <c r="O997" s="370" cm="1">
        <f t="array" ref="O997">+_xlfn.SWITCH(MONTH(C997),1,1,2,1,3,1,4,2,5,2,6,3,7,3,8,3,9,3,10,2,11,2,12,1,2)</f>
        <v>1</v>
      </c>
      <c r="P997" s="43"/>
      <c r="AS997" s="10"/>
      <c r="AT997" s="10"/>
      <c r="AU997" s="10"/>
      <c r="AV997" s="10"/>
      <c r="AW997" s="10"/>
      <c r="AX997" s="10"/>
      <c r="AY997" s="10"/>
      <c r="AZ997" s="10"/>
      <c r="BA997" s="10"/>
      <c r="BB997" s="10"/>
      <c r="BC997" s="10"/>
      <c r="BD997" s="10"/>
      <c r="BE997" s="10"/>
      <c r="BF997" s="10"/>
      <c r="BG997" s="10"/>
      <c r="BH997" s="10"/>
      <c r="BI997" s="10"/>
      <c r="BJ997" s="10"/>
      <c r="BK997" s="10"/>
      <c r="BL997" s="10"/>
      <c r="BM997" s="10"/>
      <c r="BN997" s="10"/>
      <c r="BO997" s="10"/>
      <c r="BP997" s="10"/>
      <c r="BQ997" s="10"/>
      <c r="BR997" s="10"/>
      <c r="BS997" s="10"/>
      <c r="BT997" s="10"/>
      <c r="BU997" s="10"/>
    </row>
    <row r="998" spans="1:73" ht="18" x14ac:dyDescent="0.35">
      <c r="A998" s="43"/>
      <c r="C998" s="393"/>
      <c r="E998" s="394"/>
      <c r="F998" s="394">
        <v>0</v>
      </c>
      <c r="G998" s="394"/>
      <c r="H998" s="8" t="s">
        <v>61</v>
      </c>
      <c r="I998" s="368">
        <f t="shared" si="46"/>
        <v>0</v>
      </c>
      <c r="J998" s="365">
        <f t="shared" si="45"/>
        <v>0</v>
      </c>
      <c r="K998" s="369">
        <f t="shared" si="47"/>
        <v>6</v>
      </c>
      <c r="L998" s="369">
        <f>+IF((C998&gt;='Resultats - informe'!$E$16)*(C998&lt;='Resultats - informe'!$G$16),1,0)</f>
        <v>1</v>
      </c>
      <c r="M998" s="369" cm="1">
        <f t="array" ref="M998">+_xlfn.IFS((C998&gt;='Resultats - informe'!$D$26)*(C998&lt;='Resultats - informe'!$E$26),0,(C998&gt;='Resultats - informe'!$D$27)*(C998&lt;='Resultats - informe'!$E$27),0,(C998&gt;='Resultats - informe'!$D$28)*(C998&lt;='Resultats - informe'!$E$28),0,(C998&gt;='Resultats - informe'!$D$29)*(C998&lt;='Resultats - informe'!$E$29),0,1,1)</f>
        <v>0</v>
      </c>
      <c r="N998" s="366">
        <f>+VLOOKUP(D998,'Resultats - informe'!$Y$18:$AG$42,'Introducció dades consum'!K998+1,0)</f>
        <v>0</v>
      </c>
      <c r="O998" s="370" cm="1">
        <f t="array" ref="O998">+_xlfn.SWITCH(MONTH(C998),1,1,2,1,3,1,4,2,5,2,6,3,7,3,8,3,9,3,10,2,11,2,12,1,2)</f>
        <v>1</v>
      </c>
      <c r="P998" s="43"/>
      <c r="AS998" s="10"/>
      <c r="AT998" s="10"/>
      <c r="AU998" s="10"/>
      <c r="AV998" s="10"/>
      <c r="AW998" s="10"/>
      <c r="AX998" s="10"/>
      <c r="AY998" s="10"/>
      <c r="AZ998" s="10"/>
      <c r="BA998" s="10"/>
      <c r="BB998" s="10"/>
      <c r="BC998" s="10"/>
      <c r="BD998" s="10"/>
      <c r="BE998" s="10"/>
      <c r="BF998" s="10"/>
      <c r="BG998" s="10"/>
      <c r="BH998" s="10"/>
      <c r="BI998" s="10"/>
      <c r="BJ998" s="10"/>
      <c r="BK998" s="10"/>
      <c r="BL998" s="10"/>
      <c r="BM998" s="10"/>
      <c r="BN998" s="10"/>
      <c r="BO998" s="10"/>
      <c r="BP998" s="10"/>
      <c r="BQ998" s="10"/>
      <c r="BR998" s="10"/>
      <c r="BS998" s="10"/>
      <c r="BT998" s="10"/>
      <c r="BU998" s="10"/>
    </row>
    <row r="999" spans="1:73" ht="18" x14ac:dyDescent="0.35">
      <c r="A999" s="43"/>
      <c r="C999" s="393"/>
      <c r="E999" s="394"/>
      <c r="F999" s="394">
        <v>0</v>
      </c>
      <c r="G999" s="394"/>
      <c r="H999" s="8" t="s">
        <v>61</v>
      </c>
      <c r="I999" s="368">
        <f t="shared" si="46"/>
        <v>0</v>
      </c>
      <c r="J999" s="365">
        <f t="shared" si="45"/>
        <v>0</v>
      </c>
      <c r="K999" s="369">
        <f t="shared" si="47"/>
        <v>6</v>
      </c>
      <c r="L999" s="369">
        <f>+IF((C999&gt;='Resultats - informe'!$E$16)*(C999&lt;='Resultats - informe'!$G$16),1,0)</f>
        <v>1</v>
      </c>
      <c r="M999" s="369" cm="1">
        <f t="array" ref="M999">+_xlfn.IFS((C999&gt;='Resultats - informe'!$D$26)*(C999&lt;='Resultats - informe'!$E$26),0,(C999&gt;='Resultats - informe'!$D$27)*(C999&lt;='Resultats - informe'!$E$27),0,(C999&gt;='Resultats - informe'!$D$28)*(C999&lt;='Resultats - informe'!$E$28),0,(C999&gt;='Resultats - informe'!$D$29)*(C999&lt;='Resultats - informe'!$E$29),0,1,1)</f>
        <v>0</v>
      </c>
      <c r="N999" s="366">
        <f>+VLOOKUP(D999,'Resultats - informe'!$Y$18:$AG$42,'Introducció dades consum'!K999+1,0)</f>
        <v>0</v>
      </c>
      <c r="O999" s="370" cm="1">
        <f t="array" ref="O999">+_xlfn.SWITCH(MONTH(C999),1,1,2,1,3,1,4,2,5,2,6,3,7,3,8,3,9,3,10,2,11,2,12,1,2)</f>
        <v>1</v>
      </c>
      <c r="P999" s="43"/>
      <c r="AS999" s="10"/>
      <c r="AT999" s="10"/>
      <c r="AU999" s="10"/>
      <c r="AV999" s="10"/>
      <c r="AW999" s="10"/>
      <c r="AX999" s="10"/>
      <c r="AY999" s="10"/>
      <c r="AZ999" s="10"/>
      <c r="BA999" s="10"/>
      <c r="BB999" s="10"/>
      <c r="BC999" s="10"/>
      <c r="BD999" s="10"/>
      <c r="BE999" s="10"/>
      <c r="BF999" s="10"/>
      <c r="BG999" s="10"/>
      <c r="BH999" s="10"/>
      <c r="BI999" s="10"/>
      <c r="BJ999" s="10"/>
      <c r="BK999" s="10"/>
      <c r="BL999" s="10"/>
      <c r="BM999" s="10"/>
      <c r="BN999" s="10"/>
      <c r="BO999" s="10"/>
      <c r="BP999" s="10"/>
      <c r="BQ999" s="10"/>
      <c r="BR999" s="10"/>
      <c r="BS999" s="10"/>
      <c r="BT999" s="10"/>
      <c r="BU999" s="10"/>
    </row>
    <row r="1000" spans="1:73" ht="18" x14ac:dyDescent="0.35">
      <c r="A1000" s="43"/>
      <c r="C1000" s="393"/>
      <c r="E1000" s="394"/>
      <c r="F1000" s="394">
        <v>0.63600000000000001</v>
      </c>
      <c r="G1000" s="394"/>
      <c r="H1000" s="8" t="s">
        <v>235</v>
      </c>
      <c r="I1000" s="368">
        <f t="shared" si="46"/>
        <v>0</v>
      </c>
      <c r="J1000" s="365">
        <f t="shared" si="45"/>
        <v>0</v>
      </c>
      <c r="K1000" s="369">
        <f t="shared" si="47"/>
        <v>6</v>
      </c>
      <c r="L1000" s="369">
        <f>+IF((C1000&gt;='Resultats - informe'!$E$16)*(C1000&lt;='Resultats - informe'!$G$16),1,0)</f>
        <v>1</v>
      </c>
      <c r="M1000" s="369" cm="1">
        <f t="array" ref="M1000">+_xlfn.IFS((C1000&gt;='Resultats - informe'!$D$26)*(C1000&lt;='Resultats - informe'!$E$26),0,(C1000&gt;='Resultats - informe'!$D$27)*(C1000&lt;='Resultats - informe'!$E$27),0,(C1000&gt;='Resultats - informe'!$D$28)*(C1000&lt;='Resultats - informe'!$E$28),0,(C1000&gt;='Resultats - informe'!$D$29)*(C1000&lt;='Resultats - informe'!$E$29),0,1,1)</f>
        <v>0</v>
      </c>
      <c r="N1000" s="366">
        <f>+VLOOKUP(D1000,'Resultats - informe'!$Y$18:$AG$42,'Introducció dades consum'!K1000+1,0)</f>
        <v>0</v>
      </c>
      <c r="O1000" s="370" cm="1">
        <f t="array" ref="O1000">+_xlfn.SWITCH(MONTH(C1000),1,1,2,1,3,1,4,2,5,2,6,3,7,3,8,3,9,3,10,2,11,2,12,1,2)</f>
        <v>1</v>
      </c>
      <c r="P1000" s="43"/>
      <c r="AS1000" s="10"/>
      <c r="AT1000" s="10"/>
      <c r="AU1000" s="10"/>
      <c r="AV1000" s="10"/>
      <c r="AW1000" s="10"/>
      <c r="AX1000" s="10"/>
      <c r="AY1000" s="10"/>
      <c r="AZ1000" s="10"/>
      <c r="BA1000" s="10"/>
      <c r="BB1000" s="10"/>
      <c r="BC1000" s="10"/>
      <c r="BD1000" s="10"/>
      <c r="BE1000" s="10"/>
      <c r="BF1000" s="10"/>
      <c r="BG1000" s="10"/>
      <c r="BH1000" s="10"/>
      <c r="BI1000" s="10"/>
      <c r="BJ1000" s="10"/>
      <c r="BK1000" s="10"/>
      <c r="BL1000" s="10"/>
      <c r="BM1000" s="10"/>
      <c r="BN1000" s="10"/>
      <c r="BO1000" s="10"/>
      <c r="BP1000" s="10"/>
      <c r="BQ1000" s="10"/>
      <c r="BR1000" s="10"/>
      <c r="BS1000" s="10"/>
      <c r="BT1000" s="10"/>
      <c r="BU1000" s="10"/>
    </row>
    <row r="1001" spans="1:73" ht="18" x14ac:dyDescent="0.35">
      <c r="A1001" s="43"/>
      <c r="C1001" s="393"/>
      <c r="E1001" s="394"/>
      <c r="F1001" s="394">
        <v>0.36899999999999999</v>
      </c>
      <c r="G1001" s="394"/>
      <c r="H1001" s="8" t="s">
        <v>235</v>
      </c>
      <c r="I1001" s="368">
        <f t="shared" si="46"/>
        <v>0</v>
      </c>
      <c r="J1001" s="365">
        <f t="shared" si="45"/>
        <v>0</v>
      </c>
      <c r="K1001" s="369">
        <f t="shared" si="47"/>
        <v>6</v>
      </c>
      <c r="L1001" s="369">
        <f>+IF((C1001&gt;='Resultats - informe'!$E$16)*(C1001&lt;='Resultats - informe'!$G$16),1,0)</f>
        <v>1</v>
      </c>
      <c r="M1001" s="369" cm="1">
        <f t="array" ref="M1001">+_xlfn.IFS((C1001&gt;='Resultats - informe'!$D$26)*(C1001&lt;='Resultats - informe'!$E$26),0,(C1001&gt;='Resultats - informe'!$D$27)*(C1001&lt;='Resultats - informe'!$E$27),0,(C1001&gt;='Resultats - informe'!$D$28)*(C1001&lt;='Resultats - informe'!$E$28),0,(C1001&gt;='Resultats - informe'!$D$29)*(C1001&lt;='Resultats - informe'!$E$29),0,1,1)</f>
        <v>0</v>
      </c>
      <c r="N1001" s="366">
        <f>+VLOOKUP(D1001,'Resultats - informe'!$Y$18:$AG$42,'Introducció dades consum'!K1001+1,0)</f>
        <v>0</v>
      </c>
      <c r="O1001" s="370" cm="1">
        <f t="array" ref="O1001">+_xlfn.SWITCH(MONTH(C1001),1,1,2,1,3,1,4,2,5,2,6,3,7,3,8,3,9,3,10,2,11,2,12,1,2)</f>
        <v>1</v>
      </c>
      <c r="P1001" s="43"/>
      <c r="AS1001" s="10"/>
      <c r="AT1001" s="10"/>
      <c r="AU1001" s="10"/>
      <c r="AV1001" s="10"/>
      <c r="AW1001" s="10"/>
      <c r="AX1001" s="10"/>
      <c r="AY1001" s="10"/>
      <c r="AZ1001" s="10"/>
      <c r="BA1001" s="10"/>
      <c r="BB1001" s="10"/>
      <c r="BC1001" s="10"/>
      <c r="BD1001" s="10"/>
      <c r="BE1001" s="10"/>
      <c r="BF1001" s="10"/>
      <c r="BG1001" s="10"/>
      <c r="BH1001" s="10"/>
      <c r="BI1001" s="10"/>
      <c r="BJ1001" s="10"/>
      <c r="BK1001" s="10"/>
      <c r="BL1001" s="10"/>
      <c r="BM1001" s="10"/>
      <c r="BN1001" s="10"/>
      <c r="BO1001" s="10"/>
      <c r="BP1001" s="10"/>
      <c r="BQ1001" s="10"/>
      <c r="BR1001" s="10"/>
      <c r="BS1001" s="10"/>
      <c r="BT1001" s="10"/>
      <c r="BU1001" s="10"/>
    </row>
    <row r="1002" spans="1:73" ht="18" x14ac:dyDescent="0.35">
      <c r="A1002" s="43"/>
      <c r="C1002" s="393"/>
      <c r="E1002" s="394"/>
      <c r="F1002" s="394">
        <v>0</v>
      </c>
      <c r="G1002" s="394"/>
      <c r="H1002" s="8" t="s">
        <v>61</v>
      </c>
      <c r="I1002" s="368">
        <f t="shared" si="46"/>
        <v>0</v>
      </c>
      <c r="J1002" s="365">
        <f t="shared" si="45"/>
        <v>0</v>
      </c>
      <c r="K1002" s="369">
        <f t="shared" si="47"/>
        <v>6</v>
      </c>
      <c r="L1002" s="369">
        <f>+IF((C1002&gt;='Resultats - informe'!$E$16)*(C1002&lt;='Resultats - informe'!$G$16),1,0)</f>
        <v>1</v>
      </c>
      <c r="M1002" s="369" cm="1">
        <f t="array" ref="M1002">+_xlfn.IFS((C1002&gt;='Resultats - informe'!$D$26)*(C1002&lt;='Resultats - informe'!$E$26),0,(C1002&gt;='Resultats - informe'!$D$27)*(C1002&lt;='Resultats - informe'!$E$27),0,(C1002&gt;='Resultats - informe'!$D$28)*(C1002&lt;='Resultats - informe'!$E$28),0,(C1002&gt;='Resultats - informe'!$D$29)*(C1002&lt;='Resultats - informe'!$E$29),0,1,1)</f>
        <v>0</v>
      </c>
      <c r="N1002" s="366">
        <f>+VLOOKUP(D1002,'Resultats - informe'!$Y$18:$AG$42,'Introducció dades consum'!K1002+1,0)</f>
        <v>0</v>
      </c>
      <c r="O1002" s="370" cm="1">
        <f t="array" ref="O1002">+_xlfn.SWITCH(MONTH(C1002),1,1,2,1,3,1,4,2,5,2,6,3,7,3,8,3,9,3,10,2,11,2,12,1,2)</f>
        <v>1</v>
      </c>
      <c r="P1002" s="43"/>
      <c r="AS1002" s="10"/>
      <c r="AT1002" s="10"/>
      <c r="AU1002" s="10"/>
      <c r="AV1002" s="10"/>
      <c r="AW1002" s="10"/>
      <c r="AX1002" s="10"/>
      <c r="AY1002" s="10"/>
      <c r="AZ1002" s="10"/>
      <c r="BA1002" s="10"/>
      <c r="BB1002" s="10"/>
      <c r="BC1002" s="10"/>
      <c r="BD1002" s="10"/>
      <c r="BE1002" s="10"/>
      <c r="BF1002" s="10"/>
      <c r="BG1002" s="10"/>
      <c r="BH1002" s="10"/>
      <c r="BI1002" s="10"/>
      <c r="BJ1002" s="10"/>
      <c r="BK1002" s="10"/>
      <c r="BL1002" s="10"/>
      <c r="BM1002" s="10"/>
      <c r="BN1002" s="10"/>
      <c r="BO1002" s="10"/>
      <c r="BP1002" s="10"/>
      <c r="BQ1002" s="10"/>
      <c r="BR1002" s="10"/>
      <c r="BS1002" s="10"/>
      <c r="BT1002" s="10"/>
      <c r="BU1002" s="10"/>
    </row>
    <row r="1003" spans="1:73" ht="18" x14ac:dyDescent="0.35">
      <c r="A1003" s="43"/>
      <c r="C1003" s="393"/>
      <c r="E1003" s="394"/>
      <c r="F1003" s="394">
        <v>0</v>
      </c>
      <c r="G1003" s="394"/>
      <c r="H1003" s="8" t="s">
        <v>61</v>
      </c>
      <c r="I1003" s="368">
        <f t="shared" si="46"/>
        <v>0</v>
      </c>
      <c r="J1003" s="365">
        <f t="shared" si="45"/>
        <v>0</v>
      </c>
      <c r="K1003" s="369">
        <f t="shared" si="47"/>
        <v>6</v>
      </c>
      <c r="L1003" s="369">
        <f>+IF((C1003&gt;='Resultats - informe'!$E$16)*(C1003&lt;='Resultats - informe'!$G$16),1,0)</f>
        <v>1</v>
      </c>
      <c r="M1003" s="369" cm="1">
        <f t="array" ref="M1003">+_xlfn.IFS((C1003&gt;='Resultats - informe'!$D$26)*(C1003&lt;='Resultats - informe'!$E$26),0,(C1003&gt;='Resultats - informe'!$D$27)*(C1003&lt;='Resultats - informe'!$E$27),0,(C1003&gt;='Resultats - informe'!$D$28)*(C1003&lt;='Resultats - informe'!$E$28),0,(C1003&gt;='Resultats - informe'!$D$29)*(C1003&lt;='Resultats - informe'!$E$29),0,1,1)</f>
        <v>0</v>
      </c>
      <c r="N1003" s="366">
        <f>+VLOOKUP(D1003,'Resultats - informe'!$Y$18:$AG$42,'Introducció dades consum'!K1003+1,0)</f>
        <v>0</v>
      </c>
      <c r="O1003" s="370" cm="1">
        <f t="array" ref="O1003">+_xlfn.SWITCH(MONTH(C1003),1,1,2,1,3,1,4,2,5,2,6,3,7,3,8,3,9,3,10,2,11,2,12,1,2)</f>
        <v>1</v>
      </c>
      <c r="P1003" s="43"/>
      <c r="AS1003" s="10"/>
      <c r="AT1003" s="10"/>
      <c r="AU1003" s="10"/>
      <c r="AV1003" s="10"/>
      <c r="AW1003" s="10"/>
      <c r="AX1003" s="10"/>
      <c r="AY1003" s="10"/>
      <c r="AZ1003" s="10"/>
      <c r="BA1003" s="10"/>
      <c r="BB1003" s="10"/>
      <c r="BC1003" s="10"/>
      <c r="BD1003" s="10"/>
      <c r="BE1003" s="10"/>
      <c r="BF1003" s="10"/>
      <c r="BG1003" s="10"/>
      <c r="BH1003" s="10"/>
      <c r="BI1003" s="10"/>
      <c r="BJ1003" s="10"/>
      <c r="BK1003" s="10"/>
      <c r="BL1003" s="10"/>
      <c r="BM1003" s="10"/>
      <c r="BN1003" s="10"/>
      <c r="BO1003" s="10"/>
      <c r="BP1003" s="10"/>
      <c r="BQ1003" s="10"/>
      <c r="BR1003" s="10"/>
      <c r="BS1003" s="10"/>
      <c r="BT1003" s="10"/>
      <c r="BU1003" s="10"/>
    </row>
    <row r="1004" spans="1:73" ht="18" x14ac:dyDescent="0.35">
      <c r="A1004" s="43"/>
      <c r="C1004" s="393"/>
      <c r="E1004" s="394"/>
      <c r="F1004" s="394">
        <v>0</v>
      </c>
      <c r="G1004" s="394"/>
      <c r="H1004" s="8" t="s">
        <v>61</v>
      </c>
      <c r="I1004" s="368">
        <f t="shared" si="46"/>
        <v>0</v>
      </c>
      <c r="J1004" s="365">
        <f t="shared" si="45"/>
        <v>0</v>
      </c>
      <c r="K1004" s="369">
        <f t="shared" si="47"/>
        <v>6</v>
      </c>
      <c r="L1004" s="369">
        <f>+IF((C1004&gt;='Resultats - informe'!$E$16)*(C1004&lt;='Resultats - informe'!$G$16),1,0)</f>
        <v>1</v>
      </c>
      <c r="M1004" s="369" cm="1">
        <f t="array" ref="M1004">+_xlfn.IFS((C1004&gt;='Resultats - informe'!$D$26)*(C1004&lt;='Resultats - informe'!$E$26),0,(C1004&gt;='Resultats - informe'!$D$27)*(C1004&lt;='Resultats - informe'!$E$27),0,(C1004&gt;='Resultats - informe'!$D$28)*(C1004&lt;='Resultats - informe'!$E$28),0,(C1004&gt;='Resultats - informe'!$D$29)*(C1004&lt;='Resultats - informe'!$E$29),0,1,1)</f>
        <v>0</v>
      </c>
      <c r="N1004" s="366">
        <f>+VLOOKUP(D1004,'Resultats - informe'!$Y$18:$AG$42,'Introducció dades consum'!K1004+1,0)</f>
        <v>0</v>
      </c>
      <c r="O1004" s="370" cm="1">
        <f t="array" ref="O1004">+_xlfn.SWITCH(MONTH(C1004),1,1,2,1,3,1,4,2,5,2,6,3,7,3,8,3,9,3,10,2,11,2,12,1,2)</f>
        <v>1</v>
      </c>
      <c r="P1004" s="43"/>
      <c r="AS1004" s="10"/>
      <c r="AT1004" s="10"/>
      <c r="AU1004" s="10"/>
      <c r="AV1004" s="10"/>
      <c r="AW1004" s="10"/>
      <c r="AX1004" s="10"/>
      <c r="AY1004" s="10"/>
      <c r="AZ1004" s="10"/>
      <c r="BA1004" s="10"/>
      <c r="BB1004" s="10"/>
      <c r="BC1004" s="10"/>
      <c r="BD1004" s="10"/>
      <c r="BE1004" s="10"/>
      <c r="BF1004" s="10"/>
      <c r="BG1004" s="10"/>
      <c r="BH1004" s="10"/>
      <c r="BI1004" s="10"/>
      <c r="BJ1004" s="10"/>
      <c r="BK1004" s="10"/>
      <c r="BL1004" s="10"/>
      <c r="BM1004" s="10"/>
      <c r="BN1004" s="10"/>
      <c r="BO1004" s="10"/>
      <c r="BP1004" s="10"/>
      <c r="BQ1004" s="10"/>
      <c r="BR1004" s="10"/>
      <c r="BS1004" s="10"/>
      <c r="BT1004" s="10"/>
      <c r="BU1004" s="10"/>
    </row>
    <row r="1005" spans="1:73" ht="18" x14ac:dyDescent="0.35">
      <c r="A1005" s="43"/>
      <c r="C1005" s="393"/>
      <c r="E1005" s="394"/>
      <c r="F1005" s="394">
        <v>0</v>
      </c>
      <c r="G1005" s="394"/>
      <c r="H1005" s="8" t="s">
        <v>61</v>
      </c>
      <c r="I1005" s="368">
        <f t="shared" si="46"/>
        <v>0</v>
      </c>
      <c r="J1005" s="365">
        <f t="shared" si="45"/>
        <v>0</v>
      </c>
      <c r="K1005" s="369">
        <f t="shared" si="47"/>
        <v>6</v>
      </c>
      <c r="L1005" s="369">
        <f>+IF((C1005&gt;='Resultats - informe'!$E$16)*(C1005&lt;='Resultats - informe'!$G$16),1,0)</f>
        <v>1</v>
      </c>
      <c r="M1005" s="369" cm="1">
        <f t="array" ref="M1005">+_xlfn.IFS((C1005&gt;='Resultats - informe'!$D$26)*(C1005&lt;='Resultats - informe'!$E$26),0,(C1005&gt;='Resultats - informe'!$D$27)*(C1005&lt;='Resultats - informe'!$E$27),0,(C1005&gt;='Resultats - informe'!$D$28)*(C1005&lt;='Resultats - informe'!$E$28),0,(C1005&gt;='Resultats - informe'!$D$29)*(C1005&lt;='Resultats - informe'!$E$29),0,1,1)</f>
        <v>0</v>
      </c>
      <c r="N1005" s="366">
        <f>+VLOOKUP(D1005,'Resultats - informe'!$Y$18:$AG$42,'Introducció dades consum'!K1005+1,0)</f>
        <v>0</v>
      </c>
      <c r="O1005" s="370" cm="1">
        <f t="array" ref="O1005">+_xlfn.SWITCH(MONTH(C1005),1,1,2,1,3,1,4,2,5,2,6,3,7,3,8,3,9,3,10,2,11,2,12,1,2)</f>
        <v>1</v>
      </c>
      <c r="P1005" s="43"/>
      <c r="AS1005" s="10"/>
      <c r="AT1005" s="10"/>
      <c r="AU1005" s="10"/>
      <c r="AV1005" s="10"/>
      <c r="AW1005" s="10"/>
      <c r="AX1005" s="10"/>
      <c r="AY1005" s="10"/>
      <c r="AZ1005" s="10"/>
      <c r="BA1005" s="10"/>
      <c r="BB1005" s="10"/>
      <c r="BC1005" s="10"/>
      <c r="BD1005" s="10"/>
      <c r="BE1005" s="10"/>
      <c r="BF1005" s="10"/>
      <c r="BG1005" s="10"/>
      <c r="BH1005" s="10"/>
      <c r="BI1005" s="10"/>
      <c r="BJ1005" s="10"/>
      <c r="BK1005" s="10"/>
      <c r="BL1005" s="10"/>
      <c r="BM1005" s="10"/>
      <c r="BN1005" s="10"/>
      <c r="BO1005" s="10"/>
      <c r="BP1005" s="10"/>
      <c r="BQ1005" s="10"/>
      <c r="BR1005" s="10"/>
      <c r="BS1005" s="10"/>
      <c r="BT1005" s="10"/>
      <c r="BU1005" s="10"/>
    </row>
    <row r="1006" spans="1:73" ht="18" x14ac:dyDescent="0.35">
      <c r="A1006" s="43"/>
      <c r="C1006" s="393"/>
      <c r="E1006" s="394"/>
      <c r="F1006" s="394">
        <v>0</v>
      </c>
      <c r="G1006" s="394"/>
      <c r="H1006" s="8" t="s">
        <v>61</v>
      </c>
      <c r="I1006" s="368">
        <f t="shared" si="46"/>
        <v>0</v>
      </c>
      <c r="J1006" s="365">
        <f t="shared" si="45"/>
        <v>0</v>
      </c>
      <c r="K1006" s="369">
        <f t="shared" si="47"/>
        <v>6</v>
      </c>
      <c r="L1006" s="369">
        <f>+IF((C1006&gt;='Resultats - informe'!$E$16)*(C1006&lt;='Resultats - informe'!$G$16),1,0)</f>
        <v>1</v>
      </c>
      <c r="M1006" s="369" cm="1">
        <f t="array" ref="M1006">+_xlfn.IFS((C1006&gt;='Resultats - informe'!$D$26)*(C1006&lt;='Resultats - informe'!$E$26),0,(C1006&gt;='Resultats - informe'!$D$27)*(C1006&lt;='Resultats - informe'!$E$27),0,(C1006&gt;='Resultats - informe'!$D$28)*(C1006&lt;='Resultats - informe'!$E$28),0,(C1006&gt;='Resultats - informe'!$D$29)*(C1006&lt;='Resultats - informe'!$E$29),0,1,1)</f>
        <v>0</v>
      </c>
      <c r="N1006" s="366">
        <f>+VLOOKUP(D1006,'Resultats - informe'!$Y$18:$AG$42,'Introducció dades consum'!K1006+1,0)</f>
        <v>0</v>
      </c>
      <c r="O1006" s="370" cm="1">
        <f t="array" ref="O1006">+_xlfn.SWITCH(MONTH(C1006),1,1,2,1,3,1,4,2,5,2,6,3,7,3,8,3,9,3,10,2,11,2,12,1,2)</f>
        <v>1</v>
      </c>
      <c r="P1006" s="43"/>
      <c r="AS1006" s="10"/>
      <c r="AT1006" s="10"/>
      <c r="AU1006" s="10"/>
      <c r="AV1006" s="10"/>
      <c r="AW1006" s="10"/>
      <c r="AX1006" s="10"/>
      <c r="AY1006" s="10"/>
      <c r="AZ1006" s="10"/>
      <c r="BA1006" s="10"/>
      <c r="BB1006" s="10"/>
      <c r="BC1006" s="10"/>
      <c r="BD1006" s="10"/>
      <c r="BE1006" s="10"/>
      <c r="BF1006" s="10"/>
      <c r="BG1006" s="10"/>
      <c r="BH1006" s="10"/>
      <c r="BI1006" s="10"/>
      <c r="BJ1006" s="10"/>
      <c r="BK1006" s="10"/>
      <c r="BL1006" s="10"/>
      <c r="BM1006" s="10"/>
      <c r="BN1006" s="10"/>
      <c r="BO1006" s="10"/>
      <c r="BP1006" s="10"/>
      <c r="BQ1006" s="10"/>
      <c r="BR1006" s="10"/>
      <c r="BS1006" s="10"/>
      <c r="BT1006" s="10"/>
      <c r="BU1006" s="10"/>
    </row>
    <row r="1007" spans="1:73" ht="18" x14ac:dyDescent="0.35">
      <c r="A1007" s="43"/>
      <c r="C1007" s="393"/>
      <c r="E1007" s="394"/>
      <c r="F1007" s="394">
        <v>0</v>
      </c>
      <c r="G1007" s="394"/>
      <c r="H1007" s="8" t="s">
        <v>235</v>
      </c>
      <c r="I1007" s="368">
        <f t="shared" si="46"/>
        <v>0</v>
      </c>
      <c r="J1007" s="365">
        <f t="shared" si="45"/>
        <v>0</v>
      </c>
      <c r="K1007" s="369">
        <f t="shared" si="47"/>
        <v>6</v>
      </c>
      <c r="L1007" s="369">
        <f>+IF((C1007&gt;='Resultats - informe'!$E$16)*(C1007&lt;='Resultats - informe'!$G$16),1,0)</f>
        <v>1</v>
      </c>
      <c r="M1007" s="369" cm="1">
        <f t="array" ref="M1007">+_xlfn.IFS((C1007&gt;='Resultats - informe'!$D$26)*(C1007&lt;='Resultats - informe'!$E$26),0,(C1007&gt;='Resultats - informe'!$D$27)*(C1007&lt;='Resultats - informe'!$E$27),0,(C1007&gt;='Resultats - informe'!$D$28)*(C1007&lt;='Resultats - informe'!$E$28),0,(C1007&gt;='Resultats - informe'!$D$29)*(C1007&lt;='Resultats - informe'!$E$29),0,1,1)</f>
        <v>0</v>
      </c>
      <c r="N1007" s="366">
        <f>+VLOOKUP(D1007,'Resultats - informe'!$Y$18:$AG$42,'Introducció dades consum'!K1007+1,0)</f>
        <v>0</v>
      </c>
      <c r="O1007" s="370" cm="1">
        <f t="array" ref="O1007">+_xlfn.SWITCH(MONTH(C1007),1,1,2,1,3,1,4,2,5,2,6,3,7,3,8,3,9,3,10,2,11,2,12,1,2)</f>
        <v>1</v>
      </c>
      <c r="P1007" s="43"/>
      <c r="AS1007" s="10"/>
      <c r="AT1007" s="10"/>
      <c r="AU1007" s="10"/>
      <c r="AV1007" s="10"/>
      <c r="AW1007" s="10"/>
      <c r="AX1007" s="10"/>
      <c r="AY1007" s="10"/>
      <c r="AZ1007" s="10"/>
      <c r="BA1007" s="10"/>
      <c r="BB1007" s="10"/>
      <c r="BC1007" s="10"/>
      <c r="BD1007" s="10"/>
      <c r="BE1007" s="10"/>
      <c r="BF1007" s="10"/>
      <c r="BG1007" s="10"/>
      <c r="BH1007" s="10"/>
      <c r="BI1007" s="10"/>
      <c r="BJ1007" s="10"/>
      <c r="BK1007" s="10"/>
      <c r="BL1007" s="10"/>
      <c r="BM1007" s="10"/>
      <c r="BN1007" s="10"/>
      <c r="BO1007" s="10"/>
      <c r="BP1007" s="10"/>
      <c r="BQ1007" s="10"/>
      <c r="BR1007" s="10"/>
      <c r="BS1007" s="10"/>
      <c r="BT1007" s="10"/>
      <c r="BU1007" s="10"/>
    </row>
    <row r="1008" spans="1:73" ht="18" x14ac:dyDescent="0.35">
      <c r="A1008" s="43"/>
      <c r="C1008" s="393"/>
      <c r="E1008" s="394"/>
      <c r="F1008" s="394">
        <v>0</v>
      </c>
      <c r="G1008" s="394"/>
      <c r="H1008" s="8" t="s">
        <v>235</v>
      </c>
      <c r="I1008" s="368">
        <f t="shared" si="46"/>
        <v>0</v>
      </c>
      <c r="J1008" s="365">
        <f t="shared" si="45"/>
        <v>0</v>
      </c>
      <c r="K1008" s="369">
        <f t="shared" si="47"/>
        <v>6</v>
      </c>
      <c r="L1008" s="369">
        <f>+IF((C1008&gt;='Resultats - informe'!$E$16)*(C1008&lt;='Resultats - informe'!$G$16),1,0)</f>
        <v>1</v>
      </c>
      <c r="M1008" s="369" cm="1">
        <f t="array" ref="M1008">+_xlfn.IFS((C1008&gt;='Resultats - informe'!$D$26)*(C1008&lt;='Resultats - informe'!$E$26),0,(C1008&gt;='Resultats - informe'!$D$27)*(C1008&lt;='Resultats - informe'!$E$27),0,(C1008&gt;='Resultats - informe'!$D$28)*(C1008&lt;='Resultats - informe'!$E$28),0,(C1008&gt;='Resultats - informe'!$D$29)*(C1008&lt;='Resultats - informe'!$E$29),0,1,1)</f>
        <v>0</v>
      </c>
      <c r="N1008" s="366">
        <f>+VLOOKUP(D1008,'Resultats - informe'!$Y$18:$AG$42,'Introducció dades consum'!K1008+1,0)</f>
        <v>0</v>
      </c>
      <c r="O1008" s="370" cm="1">
        <f t="array" ref="O1008">+_xlfn.SWITCH(MONTH(C1008),1,1,2,1,3,1,4,2,5,2,6,3,7,3,8,3,9,3,10,2,11,2,12,1,2)</f>
        <v>1</v>
      </c>
      <c r="P1008" s="43"/>
      <c r="AS1008" s="10"/>
      <c r="AT1008" s="10"/>
      <c r="AU1008" s="10"/>
      <c r="AV1008" s="10"/>
      <c r="AW1008" s="10"/>
      <c r="AX1008" s="10"/>
      <c r="AY1008" s="10"/>
      <c r="AZ1008" s="10"/>
      <c r="BA1008" s="10"/>
      <c r="BB1008" s="10"/>
      <c r="BC1008" s="10"/>
      <c r="BD1008" s="10"/>
      <c r="BE1008" s="10"/>
      <c r="BF1008" s="10"/>
      <c r="BG1008" s="10"/>
      <c r="BH1008" s="10"/>
      <c r="BI1008" s="10"/>
      <c r="BJ1008" s="10"/>
      <c r="BK1008" s="10"/>
      <c r="BL1008" s="10"/>
      <c r="BM1008" s="10"/>
      <c r="BN1008" s="10"/>
      <c r="BO1008" s="10"/>
      <c r="BP1008" s="10"/>
      <c r="BQ1008" s="10"/>
      <c r="BR1008" s="10"/>
      <c r="BS1008" s="10"/>
      <c r="BT1008" s="10"/>
      <c r="BU1008" s="10"/>
    </row>
    <row r="1009" spans="1:73" ht="18" x14ac:dyDescent="0.35">
      <c r="A1009" s="43"/>
      <c r="C1009" s="393"/>
      <c r="E1009" s="394"/>
      <c r="F1009" s="394">
        <v>0</v>
      </c>
      <c r="G1009" s="394"/>
      <c r="H1009" s="8" t="s">
        <v>235</v>
      </c>
      <c r="I1009" s="368">
        <f t="shared" si="46"/>
        <v>0</v>
      </c>
      <c r="J1009" s="365">
        <f t="shared" si="45"/>
        <v>0</v>
      </c>
      <c r="K1009" s="369">
        <f t="shared" si="47"/>
        <v>6</v>
      </c>
      <c r="L1009" s="369">
        <f>+IF((C1009&gt;='Resultats - informe'!$E$16)*(C1009&lt;='Resultats - informe'!$G$16),1,0)</f>
        <v>1</v>
      </c>
      <c r="M1009" s="369" cm="1">
        <f t="array" ref="M1009">+_xlfn.IFS((C1009&gt;='Resultats - informe'!$D$26)*(C1009&lt;='Resultats - informe'!$E$26),0,(C1009&gt;='Resultats - informe'!$D$27)*(C1009&lt;='Resultats - informe'!$E$27),0,(C1009&gt;='Resultats - informe'!$D$28)*(C1009&lt;='Resultats - informe'!$E$28),0,(C1009&gt;='Resultats - informe'!$D$29)*(C1009&lt;='Resultats - informe'!$E$29),0,1,1)</f>
        <v>0</v>
      </c>
      <c r="N1009" s="366">
        <f>+VLOOKUP(D1009,'Resultats - informe'!$Y$18:$AG$42,'Introducció dades consum'!K1009+1,0)</f>
        <v>0</v>
      </c>
      <c r="O1009" s="370" cm="1">
        <f t="array" ref="O1009">+_xlfn.SWITCH(MONTH(C1009),1,1,2,1,3,1,4,2,5,2,6,3,7,3,8,3,9,3,10,2,11,2,12,1,2)</f>
        <v>1</v>
      </c>
      <c r="P1009" s="43"/>
      <c r="AS1009" s="10"/>
      <c r="AT1009" s="10"/>
      <c r="AU1009" s="10"/>
      <c r="AV1009" s="10"/>
      <c r="AW1009" s="10"/>
      <c r="AX1009" s="10"/>
      <c r="AY1009" s="10"/>
      <c r="AZ1009" s="10"/>
      <c r="BA1009" s="10"/>
      <c r="BB1009" s="10"/>
      <c r="BC1009" s="10"/>
      <c r="BD1009" s="10"/>
      <c r="BE1009" s="10"/>
      <c r="BF1009" s="10"/>
      <c r="BG1009" s="10"/>
      <c r="BH1009" s="10"/>
      <c r="BI1009" s="10"/>
      <c r="BJ1009" s="10"/>
      <c r="BK1009" s="10"/>
      <c r="BL1009" s="10"/>
      <c r="BM1009" s="10"/>
      <c r="BN1009" s="10"/>
      <c r="BO1009" s="10"/>
      <c r="BP1009" s="10"/>
      <c r="BQ1009" s="10"/>
      <c r="BR1009" s="10"/>
      <c r="BS1009" s="10"/>
      <c r="BT1009" s="10"/>
      <c r="BU1009" s="10"/>
    </row>
    <row r="1010" spans="1:73" ht="18" x14ac:dyDescent="0.35">
      <c r="A1010" s="43"/>
      <c r="C1010" s="393"/>
      <c r="E1010" s="394"/>
      <c r="F1010" s="394">
        <v>0</v>
      </c>
      <c r="G1010" s="394"/>
      <c r="H1010" s="8" t="s">
        <v>235</v>
      </c>
      <c r="I1010" s="368">
        <f t="shared" si="46"/>
        <v>0</v>
      </c>
      <c r="J1010" s="365">
        <f t="shared" si="45"/>
        <v>0</v>
      </c>
      <c r="K1010" s="369">
        <f t="shared" si="47"/>
        <v>6</v>
      </c>
      <c r="L1010" s="369">
        <f>+IF((C1010&gt;='Resultats - informe'!$E$16)*(C1010&lt;='Resultats - informe'!$G$16),1,0)</f>
        <v>1</v>
      </c>
      <c r="M1010" s="369" cm="1">
        <f t="array" ref="M1010">+_xlfn.IFS((C1010&gt;='Resultats - informe'!$D$26)*(C1010&lt;='Resultats - informe'!$E$26),0,(C1010&gt;='Resultats - informe'!$D$27)*(C1010&lt;='Resultats - informe'!$E$27),0,(C1010&gt;='Resultats - informe'!$D$28)*(C1010&lt;='Resultats - informe'!$E$28),0,(C1010&gt;='Resultats - informe'!$D$29)*(C1010&lt;='Resultats - informe'!$E$29),0,1,1)</f>
        <v>0</v>
      </c>
      <c r="N1010" s="366">
        <f>+VLOOKUP(D1010,'Resultats - informe'!$Y$18:$AG$42,'Introducció dades consum'!K1010+1,0)</f>
        <v>0</v>
      </c>
      <c r="O1010" s="370" cm="1">
        <f t="array" ref="O1010">+_xlfn.SWITCH(MONTH(C1010),1,1,2,1,3,1,4,2,5,2,6,3,7,3,8,3,9,3,10,2,11,2,12,1,2)</f>
        <v>1</v>
      </c>
      <c r="P1010" s="43"/>
      <c r="AS1010" s="10"/>
      <c r="AT1010" s="10"/>
      <c r="AU1010" s="10"/>
      <c r="AV1010" s="10"/>
      <c r="AW1010" s="10"/>
      <c r="AX1010" s="10"/>
      <c r="AY1010" s="10"/>
      <c r="AZ1010" s="10"/>
      <c r="BA1010" s="10"/>
      <c r="BB1010" s="10"/>
      <c r="BC1010" s="10"/>
      <c r="BD1010" s="10"/>
      <c r="BE1010" s="10"/>
      <c r="BF1010" s="10"/>
      <c r="BG1010" s="10"/>
      <c r="BH1010" s="10"/>
      <c r="BI1010" s="10"/>
      <c r="BJ1010" s="10"/>
      <c r="BK1010" s="10"/>
      <c r="BL1010" s="10"/>
      <c r="BM1010" s="10"/>
      <c r="BN1010" s="10"/>
      <c r="BO1010" s="10"/>
      <c r="BP1010" s="10"/>
      <c r="BQ1010" s="10"/>
      <c r="BR1010" s="10"/>
      <c r="BS1010" s="10"/>
      <c r="BT1010" s="10"/>
      <c r="BU1010" s="10"/>
    </row>
    <row r="1011" spans="1:73" ht="18" x14ac:dyDescent="0.35">
      <c r="A1011" s="43"/>
      <c r="C1011" s="393"/>
      <c r="E1011" s="394"/>
      <c r="F1011" s="394">
        <v>0</v>
      </c>
      <c r="G1011" s="394"/>
      <c r="H1011" s="8" t="s">
        <v>235</v>
      </c>
      <c r="I1011" s="368">
        <f t="shared" si="46"/>
        <v>0</v>
      </c>
      <c r="J1011" s="365">
        <f t="shared" si="45"/>
        <v>0</v>
      </c>
      <c r="K1011" s="369">
        <f t="shared" si="47"/>
        <v>6</v>
      </c>
      <c r="L1011" s="369">
        <f>+IF((C1011&gt;='Resultats - informe'!$E$16)*(C1011&lt;='Resultats - informe'!$G$16),1,0)</f>
        <v>1</v>
      </c>
      <c r="M1011" s="369" cm="1">
        <f t="array" ref="M1011">+_xlfn.IFS((C1011&gt;='Resultats - informe'!$D$26)*(C1011&lt;='Resultats - informe'!$E$26),0,(C1011&gt;='Resultats - informe'!$D$27)*(C1011&lt;='Resultats - informe'!$E$27),0,(C1011&gt;='Resultats - informe'!$D$28)*(C1011&lt;='Resultats - informe'!$E$28),0,(C1011&gt;='Resultats - informe'!$D$29)*(C1011&lt;='Resultats - informe'!$E$29),0,1,1)</f>
        <v>0</v>
      </c>
      <c r="N1011" s="366">
        <f>+VLOOKUP(D1011,'Resultats - informe'!$Y$18:$AG$42,'Introducció dades consum'!K1011+1,0)</f>
        <v>0</v>
      </c>
      <c r="O1011" s="370" cm="1">
        <f t="array" ref="O1011">+_xlfn.SWITCH(MONTH(C1011),1,1,2,1,3,1,4,2,5,2,6,3,7,3,8,3,9,3,10,2,11,2,12,1,2)</f>
        <v>1</v>
      </c>
      <c r="P1011" s="43"/>
      <c r="AS1011" s="10"/>
      <c r="AT1011" s="10"/>
      <c r="AU1011" s="10"/>
      <c r="AV1011" s="10"/>
      <c r="AW1011" s="10"/>
      <c r="AX1011" s="10"/>
      <c r="AY1011" s="10"/>
      <c r="AZ1011" s="10"/>
      <c r="BA1011" s="10"/>
      <c r="BB1011" s="10"/>
      <c r="BC1011" s="10"/>
      <c r="BD1011" s="10"/>
      <c r="BE1011" s="10"/>
      <c r="BF1011" s="10"/>
      <c r="BG1011" s="10"/>
      <c r="BH1011" s="10"/>
      <c r="BI1011" s="10"/>
      <c r="BJ1011" s="10"/>
      <c r="BK1011" s="10"/>
      <c r="BL1011" s="10"/>
      <c r="BM1011" s="10"/>
      <c r="BN1011" s="10"/>
      <c r="BO1011" s="10"/>
      <c r="BP1011" s="10"/>
      <c r="BQ1011" s="10"/>
      <c r="BR1011" s="10"/>
      <c r="BS1011" s="10"/>
      <c r="BT1011" s="10"/>
      <c r="BU1011" s="10"/>
    </row>
    <row r="1012" spans="1:73" ht="18" x14ac:dyDescent="0.35">
      <c r="A1012" s="43"/>
      <c r="C1012" s="393"/>
      <c r="E1012" s="394"/>
      <c r="F1012" s="394">
        <v>0</v>
      </c>
      <c r="G1012" s="394"/>
      <c r="H1012" s="8" t="s">
        <v>235</v>
      </c>
      <c r="I1012" s="368">
        <f t="shared" si="46"/>
        <v>0</v>
      </c>
      <c r="J1012" s="365">
        <f t="shared" si="45"/>
        <v>0</v>
      </c>
      <c r="K1012" s="369">
        <f t="shared" si="47"/>
        <v>6</v>
      </c>
      <c r="L1012" s="369">
        <f>+IF((C1012&gt;='Resultats - informe'!$E$16)*(C1012&lt;='Resultats - informe'!$G$16),1,0)</f>
        <v>1</v>
      </c>
      <c r="M1012" s="369" cm="1">
        <f t="array" ref="M1012">+_xlfn.IFS((C1012&gt;='Resultats - informe'!$D$26)*(C1012&lt;='Resultats - informe'!$E$26),0,(C1012&gt;='Resultats - informe'!$D$27)*(C1012&lt;='Resultats - informe'!$E$27),0,(C1012&gt;='Resultats - informe'!$D$28)*(C1012&lt;='Resultats - informe'!$E$28),0,(C1012&gt;='Resultats - informe'!$D$29)*(C1012&lt;='Resultats - informe'!$E$29),0,1,1)</f>
        <v>0</v>
      </c>
      <c r="N1012" s="366">
        <f>+VLOOKUP(D1012,'Resultats - informe'!$Y$18:$AG$42,'Introducció dades consum'!K1012+1,0)</f>
        <v>0</v>
      </c>
      <c r="O1012" s="370" cm="1">
        <f t="array" ref="O1012">+_xlfn.SWITCH(MONTH(C1012),1,1,2,1,3,1,4,2,5,2,6,3,7,3,8,3,9,3,10,2,11,2,12,1,2)</f>
        <v>1</v>
      </c>
      <c r="P1012" s="43"/>
      <c r="AS1012" s="10"/>
      <c r="AT1012" s="10"/>
      <c r="AU1012" s="10"/>
      <c r="AV1012" s="10"/>
      <c r="AW1012" s="10"/>
      <c r="AX1012" s="10"/>
      <c r="AY1012" s="10"/>
      <c r="AZ1012" s="10"/>
      <c r="BA1012" s="10"/>
      <c r="BB1012" s="10"/>
      <c r="BC1012" s="10"/>
      <c r="BD1012" s="10"/>
      <c r="BE1012" s="10"/>
      <c r="BF1012" s="10"/>
      <c r="BG1012" s="10"/>
      <c r="BH1012" s="10"/>
      <c r="BI1012" s="10"/>
      <c r="BJ1012" s="10"/>
      <c r="BK1012" s="10"/>
      <c r="BL1012" s="10"/>
      <c r="BM1012" s="10"/>
      <c r="BN1012" s="10"/>
      <c r="BO1012" s="10"/>
      <c r="BP1012" s="10"/>
      <c r="BQ1012" s="10"/>
      <c r="BR1012" s="10"/>
      <c r="BS1012" s="10"/>
      <c r="BT1012" s="10"/>
      <c r="BU1012" s="10"/>
    </row>
    <row r="1013" spans="1:73" ht="18" x14ac:dyDescent="0.35">
      <c r="A1013" s="43"/>
      <c r="C1013" s="393"/>
      <c r="E1013" s="394"/>
      <c r="F1013" s="394">
        <v>0</v>
      </c>
      <c r="G1013" s="394"/>
      <c r="H1013" s="8" t="s">
        <v>235</v>
      </c>
      <c r="I1013" s="368">
        <f t="shared" si="46"/>
        <v>0</v>
      </c>
      <c r="J1013" s="365">
        <f t="shared" si="45"/>
        <v>0</v>
      </c>
      <c r="K1013" s="369">
        <f t="shared" si="47"/>
        <v>6</v>
      </c>
      <c r="L1013" s="369">
        <f>+IF((C1013&gt;='Resultats - informe'!$E$16)*(C1013&lt;='Resultats - informe'!$G$16),1,0)</f>
        <v>1</v>
      </c>
      <c r="M1013" s="369" cm="1">
        <f t="array" ref="M1013">+_xlfn.IFS((C1013&gt;='Resultats - informe'!$D$26)*(C1013&lt;='Resultats - informe'!$E$26),0,(C1013&gt;='Resultats - informe'!$D$27)*(C1013&lt;='Resultats - informe'!$E$27),0,(C1013&gt;='Resultats - informe'!$D$28)*(C1013&lt;='Resultats - informe'!$E$28),0,(C1013&gt;='Resultats - informe'!$D$29)*(C1013&lt;='Resultats - informe'!$E$29),0,1,1)</f>
        <v>0</v>
      </c>
      <c r="N1013" s="366">
        <f>+VLOOKUP(D1013,'Resultats - informe'!$Y$18:$AG$42,'Introducció dades consum'!K1013+1,0)</f>
        <v>0</v>
      </c>
      <c r="O1013" s="370" cm="1">
        <f t="array" ref="O1013">+_xlfn.SWITCH(MONTH(C1013),1,1,2,1,3,1,4,2,5,2,6,3,7,3,8,3,9,3,10,2,11,2,12,1,2)</f>
        <v>1</v>
      </c>
      <c r="P1013" s="43"/>
      <c r="AS1013" s="10"/>
      <c r="AT1013" s="10"/>
      <c r="AU1013" s="10"/>
      <c r="AV1013" s="10"/>
      <c r="AW1013" s="10"/>
      <c r="AX1013" s="10"/>
      <c r="AY1013" s="10"/>
      <c r="AZ1013" s="10"/>
      <c r="BA1013" s="10"/>
      <c r="BB1013" s="10"/>
      <c r="BC1013" s="10"/>
      <c r="BD1013" s="10"/>
      <c r="BE1013" s="10"/>
      <c r="BF1013" s="10"/>
      <c r="BG1013" s="10"/>
      <c r="BH1013" s="10"/>
      <c r="BI1013" s="10"/>
      <c r="BJ1013" s="10"/>
      <c r="BK1013" s="10"/>
      <c r="BL1013" s="10"/>
      <c r="BM1013" s="10"/>
      <c r="BN1013" s="10"/>
      <c r="BO1013" s="10"/>
      <c r="BP1013" s="10"/>
      <c r="BQ1013" s="10"/>
      <c r="BR1013" s="10"/>
      <c r="BS1013" s="10"/>
      <c r="BT1013" s="10"/>
      <c r="BU1013" s="10"/>
    </row>
    <row r="1014" spans="1:73" ht="18" x14ac:dyDescent="0.35">
      <c r="A1014" s="43"/>
      <c r="C1014" s="393"/>
      <c r="E1014" s="394"/>
      <c r="F1014" s="394">
        <v>0</v>
      </c>
      <c r="G1014" s="394"/>
      <c r="H1014" s="8" t="s">
        <v>235</v>
      </c>
      <c r="I1014" s="368">
        <f t="shared" si="46"/>
        <v>0</v>
      </c>
      <c r="J1014" s="365">
        <f t="shared" si="45"/>
        <v>0</v>
      </c>
      <c r="K1014" s="369">
        <f t="shared" si="47"/>
        <v>6</v>
      </c>
      <c r="L1014" s="369">
        <f>+IF((C1014&gt;='Resultats - informe'!$E$16)*(C1014&lt;='Resultats - informe'!$G$16),1,0)</f>
        <v>1</v>
      </c>
      <c r="M1014" s="369" cm="1">
        <f t="array" ref="M1014">+_xlfn.IFS((C1014&gt;='Resultats - informe'!$D$26)*(C1014&lt;='Resultats - informe'!$E$26),0,(C1014&gt;='Resultats - informe'!$D$27)*(C1014&lt;='Resultats - informe'!$E$27),0,(C1014&gt;='Resultats - informe'!$D$28)*(C1014&lt;='Resultats - informe'!$E$28),0,(C1014&gt;='Resultats - informe'!$D$29)*(C1014&lt;='Resultats - informe'!$E$29),0,1,1)</f>
        <v>0</v>
      </c>
      <c r="N1014" s="366">
        <f>+VLOOKUP(D1014,'Resultats - informe'!$Y$18:$AG$42,'Introducció dades consum'!K1014+1,0)</f>
        <v>0</v>
      </c>
      <c r="O1014" s="370" cm="1">
        <f t="array" ref="O1014">+_xlfn.SWITCH(MONTH(C1014),1,1,2,1,3,1,4,2,5,2,6,3,7,3,8,3,9,3,10,2,11,2,12,1,2)</f>
        <v>1</v>
      </c>
      <c r="P1014" s="43"/>
      <c r="AS1014" s="10"/>
      <c r="AT1014" s="10"/>
      <c r="AU1014" s="10"/>
      <c r="AV1014" s="10"/>
      <c r="AW1014" s="10"/>
      <c r="AX1014" s="10"/>
      <c r="AY1014" s="10"/>
      <c r="AZ1014" s="10"/>
      <c r="BA1014" s="10"/>
      <c r="BB1014" s="10"/>
      <c r="BC1014" s="10"/>
      <c r="BD1014" s="10"/>
      <c r="BE1014" s="10"/>
      <c r="BF1014" s="10"/>
      <c r="BG1014" s="10"/>
      <c r="BH1014" s="10"/>
      <c r="BI1014" s="10"/>
      <c r="BJ1014" s="10"/>
      <c r="BK1014" s="10"/>
      <c r="BL1014" s="10"/>
      <c r="BM1014" s="10"/>
      <c r="BN1014" s="10"/>
      <c r="BO1014" s="10"/>
      <c r="BP1014" s="10"/>
      <c r="BQ1014" s="10"/>
      <c r="BR1014" s="10"/>
      <c r="BS1014" s="10"/>
      <c r="BT1014" s="10"/>
      <c r="BU1014" s="10"/>
    </row>
    <row r="1015" spans="1:73" ht="18" x14ac:dyDescent="0.35">
      <c r="A1015" s="43"/>
      <c r="C1015" s="393"/>
      <c r="E1015" s="394"/>
      <c r="F1015" s="394">
        <v>0</v>
      </c>
      <c r="G1015" s="394"/>
      <c r="H1015" s="8" t="s">
        <v>235</v>
      </c>
      <c r="I1015" s="368">
        <f t="shared" si="46"/>
        <v>0</v>
      </c>
      <c r="J1015" s="365">
        <f t="shared" si="45"/>
        <v>0</v>
      </c>
      <c r="K1015" s="369">
        <f t="shared" si="47"/>
        <v>6</v>
      </c>
      <c r="L1015" s="369">
        <f>+IF((C1015&gt;='Resultats - informe'!$E$16)*(C1015&lt;='Resultats - informe'!$G$16),1,0)</f>
        <v>1</v>
      </c>
      <c r="M1015" s="369" cm="1">
        <f t="array" ref="M1015">+_xlfn.IFS((C1015&gt;='Resultats - informe'!$D$26)*(C1015&lt;='Resultats - informe'!$E$26),0,(C1015&gt;='Resultats - informe'!$D$27)*(C1015&lt;='Resultats - informe'!$E$27),0,(C1015&gt;='Resultats - informe'!$D$28)*(C1015&lt;='Resultats - informe'!$E$28),0,(C1015&gt;='Resultats - informe'!$D$29)*(C1015&lt;='Resultats - informe'!$E$29),0,1,1)</f>
        <v>0</v>
      </c>
      <c r="N1015" s="366">
        <f>+VLOOKUP(D1015,'Resultats - informe'!$Y$18:$AG$42,'Introducció dades consum'!K1015+1,0)</f>
        <v>0</v>
      </c>
      <c r="O1015" s="370" cm="1">
        <f t="array" ref="O1015">+_xlfn.SWITCH(MONTH(C1015),1,1,2,1,3,1,4,2,5,2,6,3,7,3,8,3,9,3,10,2,11,2,12,1,2)</f>
        <v>1</v>
      </c>
      <c r="P1015" s="43"/>
      <c r="AS1015" s="10"/>
      <c r="AT1015" s="10"/>
      <c r="AU1015" s="10"/>
      <c r="AV1015" s="10"/>
      <c r="AW1015" s="10"/>
      <c r="AX1015" s="10"/>
      <c r="AY1015" s="10"/>
      <c r="AZ1015" s="10"/>
      <c r="BA1015" s="10"/>
      <c r="BB1015" s="10"/>
      <c r="BC1015" s="10"/>
      <c r="BD1015" s="10"/>
      <c r="BE1015" s="10"/>
      <c r="BF1015" s="10"/>
      <c r="BG1015" s="10"/>
      <c r="BH1015" s="10"/>
      <c r="BI1015" s="10"/>
      <c r="BJ1015" s="10"/>
      <c r="BK1015" s="10"/>
      <c r="BL1015" s="10"/>
      <c r="BM1015" s="10"/>
      <c r="BN1015" s="10"/>
      <c r="BO1015" s="10"/>
      <c r="BP1015" s="10"/>
      <c r="BQ1015" s="10"/>
      <c r="BR1015" s="10"/>
      <c r="BS1015" s="10"/>
      <c r="BT1015" s="10"/>
      <c r="BU1015" s="10"/>
    </row>
    <row r="1016" spans="1:73" ht="18" x14ac:dyDescent="0.35">
      <c r="A1016" s="43"/>
      <c r="C1016" s="393"/>
      <c r="E1016" s="394"/>
      <c r="F1016" s="394">
        <v>0</v>
      </c>
      <c r="G1016" s="394"/>
      <c r="H1016" s="8" t="s">
        <v>235</v>
      </c>
      <c r="I1016" s="368">
        <f t="shared" si="46"/>
        <v>0</v>
      </c>
      <c r="J1016" s="365">
        <f t="shared" si="45"/>
        <v>0</v>
      </c>
      <c r="K1016" s="369">
        <f t="shared" si="47"/>
        <v>6</v>
      </c>
      <c r="L1016" s="369">
        <f>+IF((C1016&gt;='Resultats - informe'!$E$16)*(C1016&lt;='Resultats - informe'!$G$16),1,0)</f>
        <v>1</v>
      </c>
      <c r="M1016" s="369" cm="1">
        <f t="array" ref="M1016">+_xlfn.IFS((C1016&gt;='Resultats - informe'!$D$26)*(C1016&lt;='Resultats - informe'!$E$26),0,(C1016&gt;='Resultats - informe'!$D$27)*(C1016&lt;='Resultats - informe'!$E$27),0,(C1016&gt;='Resultats - informe'!$D$28)*(C1016&lt;='Resultats - informe'!$E$28),0,(C1016&gt;='Resultats - informe'!$D$29)*(C1016&lt;='Resultats - informe'!$E$29),0,1,1)</f>
        <v>0</v>
      </c>
      <c r="N1016" s="366">
        <f>+VLOOKUP(D1016,'Resultats - informe'!$Y$18:$AG$42,'Introducció dades consum'!K1016+1,0)</f>
        <v>0</v>
      </c>
      <c r="O1016" s="370" cm="1">
        <f t="array" ref="O1016">+_xlfn.SWITCH(MONTH(C1016),1,1,2,1,3,1,4,2,5,2,6,3,7,3,8,3,9,3,10,2,11,2,12,1,2)</f>
        <v>1</v>
      </c>
      <c r="P1016" s="43"/>
      <c r="AS1016" s="10"/>
      <c r="AT1016" s="10"/>
      <c r="AU1016" s="10"/>
      <c r="AV1016" s="10"/>
      <c r="AW1016" s="10"/>
      <c r="AX1016" s="10"/>
      <c r="AY1016" s="10"/>
      <c r="AZ1016" s="10"/>
      <c r="BA1016" s="10"/>
      <c r="BB1016" s="10"/>
      <c r="BC1016" s="10"/>
      <c r="BD1016" s="10"/>
      <c r="BE1016" s="10"/>
      <c r="BF1016" s="10"/>
      <c r="BG1016" s="10"/>
      <c r="BH1016" s="10"/>
      <c r="BI1016" s="10"/>
      <c r="BJ1016" s="10"/>
      <c r="BK1016" s="10"/>
      <c r="BL1016" s="10"/>
      <c r="BM1016" s="10"/>
      <c r="BN1016" s="10"/>
      <c r="BO1016" s="10"/>
      <c r="BP1016" s="10"/>
      <c r="BQ1016" s="10"/>
      <c r="BR1016" s="10"/>
      <c r="BS1016" s="10"/>
      <c r="BT1016" s="10"/>
      <c r="BU1016" s="10"/>
    </row>
    <row r="1017" spans="1:73" ht="18" x14ac:dyDescent="0.35">
      <c r="A1017" s="43"/>
      <c r="C1017" s="393"/>
      <c r="E1017" s="394"/>
      <c r="F1017" s="394">
        <v>0</v>
      </c>
      <c r="G1017" s="394"/>
      <c r="H1017" s="8" t="s">
        <v>235</v>
      </c>
      <c r="I1017" s="368">
        <f t="shared" si="46"/>
        <v>0</v>
      </c>
      <c r="J1017" s="365">
        <f t="shared" si="45"/>
        <v>0</v>
      </c>
      <c r="K1017" s="369">
        <f t="shared" si="47"/>
        <v>6</v>
      </c>
      <c r="L1017" s="369">
        <f>+IF((C1017&gt;='Resultats - informe'!$E$16)*(C1017&lt;='Resultats - informe'!$G$16),1,0)</f>
        <v>1</v>
      </c>
      <c r="M1017" s="369" cm="1">
        <f t="array" ref="M1017">+_xlfn.IFS((C1017&gt;='Resultats - informe'!$D$26)*(C1017&lt;='Resultats - informe'!$E$26),0,(C1017&gt;='Resultats - informe'!$D$27)*(C1017&lt;='Resultats - informe'!$E$27),0,(C1017&gt;='Resultats - informe'!$D$28)*(C1017&lt;='Resultats - informe'!$E$28),0,(C1017&gt;='Resultats - informe'!$D$29)*(C1017&lt;='Resultats - informe'!$E$29),0,1,1)</f>
        <v>0</v>
      </c>
      <c r="N1017" s="366">
        <f>+VLOOKUP(D1017,'Resultats - informe'!$Y$18:$AG$42,'Introducció dades consum'!K1017+1,0)</f>
        <v>0</v>
      </c>
      <c r="O1017" s="370" cm="1">
        <f t="array" ref="O1017">+_xlfn.SWITCH(MONTH(C1017),1,1,2,1,3,1,4,2,5,2,6,3,7,3,8,3,9,3,10,2,11,2,12,1,2)</f>
        <v>1</v>
      </c>
      <c r="P1017" s="43"/>
      <c r="AS1017" s="10"/>
      <c r="AT1017" s="10"/>
      <c r="AU1017" s="10"/>
      <c r="AV1017" s="10"/>
      <c r="AW1017" s="10"/>
      <c r="AX1017" s="10"/>
      <c r="AY1017" s="10"/>
      <c r="AZ1017" s="10"/>
      <c r="BA1017" s="10"/>
      <c r="BB1017" s="10"/>
      <c r="BC1017" s="10"/>
      <c r="BD1017" s="10"/>
      <c r="BE1017" s="10"/>
      <c r="BF1017" s="10"/>
      <c r="BG1017" s="10"/>
      <c r="BH1017" s="10"/>
      <c r="BI1017" s="10"/>
      <c r="BJ1017" s="10"/>
      <c r="BK1017" s="10"/>
      <c r="BL1017" s="10"/>
      <c r="BM1017" s="10"/>
      <c r="BN1017" s="10"/>
      <c r="BO1017" s="10"/>
      <c r="BP1017" s="10"/>
      <c r="BQ1017" s="10"/>
      <c r="BR1017" s="10"/>
      <c r="BS1017" s="10"/>
      <c r="BT1017" s="10"/>
      <c r="BU1017" s="10"/>
    </row>
    <row r="1018" spans="1:73" ht="18" x14ac:dyDescent="0.35">
      <c r="A1018" s="43"/>
      <c r="C1018" s="393"/>
      <c r="E1018" s="394"/>
      <c r="F1018" s="394">
        <v>0</v>
      </c>
      <c r="G1018" s="394"/>
      <c r="H1018" s="8" t="s">
        <v>235</v>
      </c>
      <c r="I1018" s="368">
        <f t="shared" si="46"/>
        <v>0</v>
      </c>
      <c r="J1018" s="365">
        <f t="shared" si="45"/>
        <v>0</v>
      </c>
      <c r="K1018" s="369">
        <f t="shared" si="47"/>
        <v>6</v>
      </c>
      <c r="L1018" s="369">
        <f>+IF((C1018&gt;='Resultats - informe'!$E$16)*(C1018&lt;='Resultats - informe'!$G$16),1,0)</f>
        <v>1</v>
      </c>
      <c r="M1018" s="369" cm="1">
        <f t="array" ref="M1018">+_xlfn.IFS((C1018&gt;='Resultats - informe'!$D$26)*(C1018&lt;='Resultats - informe'!$E$26),0,(C1018&gt;='Resultats - informe'!$D$27)*(C1018&lt;='Resultats - informe'!$E$27),0,(C1018&gt;='Resultats - informe'!$D$28)*(C1018&lt;='Resultats - informe'!$E$28),0,(C1018&gt;='Resultats - informe'!$D$29)*(C1018&lt;='Resultats - informe'!$E$29),0,1,1)</f>
        <v>0</v>
      </c>
      <c r="N1018" s="366">
        <f>+VLOOKUP(D1018,'Resultats - informe'!$Y$18:$AG$42,'Introducció dades consum'!K1018+1,0)</f>
        <v>0</v>
      </c>
      <c r="O1018" s="370" cm="1">
        <f t="array" ref="O1018">+_xlfn.SWITCH(MONTH(C1018),1,1,2,1,3,1,4,2,5,2,6,3,7,3,8,3,9,3,10,2,11,2,12,1,2)</f>
        <v>1</v>
      </c>
      <c r="P1018" s="43"/>
      <c r="AS1018" s="10"/>
      <c r="AT1018" s="10"/>
      <c r="AU1018" s="10"/>
      <c r="AV1018" s="10"/>
      <c r="AW1018" s="10"/>
      <c r="AX1018" s="10"/>
      <c r="AY1018" s="10"/>
      <c r="AZ1018" s="10"/>
      <c r="BA1018" s="10"/>
      <c r="BB1018" s="10"/>
      <c r="BC1018" s="10"/>
      <c r="BD1018" s="10"/>
      <c r="BE1018" s="10"/>
      <c r="BF1018" s="10"/>
      <c r="BG1018" s="10"/>
      <c r="BH1018" s="10"/>
      <c r="BI1018" s="10"/>
      <c r="BJ1018" s="10"/>
      <c r="BK1018" s="10"/>
      <c r="BL1018" s="10"/>
      <c r="BM1018" s="10"/>
      <c r="BN1018" s="10"/>
      <c r="BO1018" s="10"/>
      <c r="BP1018" s="10"/>
      <c r="BQ1018" s="10"/>
      <c r="BR1018" s="10"/>
      <c r="BS1018" s="10"/>
      <c r="BT1018" s="10"/>
      <c r="BU1018" s="10"/>
    </row>
    <row r="1019" spans="1:73" ht="18" x14ac:dyDescent="0.35">
      <c r="A1019" s="43"/>
      <c r="C1019" s="393"/>
      <c r="E1019" s="394"/>
      <c r="F1019" s="394">
        <v>0</v>
      </c>
      <c r="G1019" s="394"/>
      <c r="H1019" s="8" t="s">
        <v>235</v>
      </c>
      <c r="I1019" s="368">
        <f t="shared" si="46"/>
        <v>0</v>
      </c>
      <c r="J1019" s="365">
        <f t="shared" ref="J1019:J1082" si="48">+C1019</f>
        <v>0</v>
      </c>
      <c r="K1019" s="369">
        <f t="shared" si="47"/>
        <v>6</v>
      </c>
      <c r="L1019" s="369">
        <f>+IF((C1019&gt;='Resultats - informe'!$E$16)*(C1019&lt;='Resultats - informe'!$G$16),1,0)</f>
        <v>1</v>
      </c>
      <c r="M1019" s="369" cm="1">
        <f t="array" ref="M1019">+_xlfn.IFS((C1019&gt;='Resultats - informe'!$D$26)*(C1019&lt;='Resultats - informe'!$E$26),0,(C1019&gt;='Resultats - informe'!$D$27)*(C1019&lt;='Resultats - informe'!$E$27),0,(C1019&gt;='Resultats - informe'!$D$28)*(C1019&lt;='Resultats - informe'!$E$28),0,(C1019&gt;='Resultats - informe'!$D$29)*(C1019&lt;='Resultats - informe'!$E$29),0,1,1)</f>
        <v>0</v>
      </c>
      <c r="N1019" s="366">
        <f>+VLOOKUP(D1019,'Resultats - informe'!$Y$18:$AG$42,'Introducció dades consum'!K1019+1,0)</f>
        <v>0</v>
      </c>
      <c r="O1019" s="370" cm="1">
        <f t="array" ref="O1019">+_xlfn.SWITCH(MONTH(C1019),1,1,2,1,3,1,4,2,5,2,6,3,7,3,8,3,9,3,10,2,11,2,12,1,2)</f>
        <v>1</v>
      </c>
      <c r="P1019" s="43"/>
      <c r="AS1019" s="10"/>
      <c r="AT1019" s="10"/>
      <c r="AU1019" s="10"/>
      <c r="AV1019" s="10"/>
      <c r="AW1019" s="10"/>
      <c r="AX1019" s="10"/>
      <c r="AY1019" s="10"/>
      <c r="AZ1019" s="10"/>
      <c r="BA1019" s="10"/>
      <c r="BB1019" s="10"/>
      <c r="BC1019" s="10"/>
      <c r="BD1019" s="10"/>
      <c r="BE1019" s="10"/>
      <c r="BF1019" s="10"/>
      <c r="BG1019" s="10"/>
      <c r="BH1019" s="10"/>
      <c r="BI1019" s="10"/>
      <c r="BJ1019" s="10"/>
      <c r="BK1019" s="10"/>
      <c r="BL1019" s="10"/>
      <c r="BM1019" s="10"/>
      <c r="BN1019" s="10"/>
      <c r="BO1019" s="10"/>
      <c r="BP1019" s="10"/>
      <c r="BQ1019" s="10"/>
      <c r="BR1019" s="10"/>
      <c r="BS1019" s="10"/>
      <c r="BT1019" s="10"/>
      <c r="BU1019" s="10"/>
    </row>
    <row r="1020" spans="1:73" ht="18" x14ac:dyDescent="0.35">
      <c r="A1020" s="43"/>
      <c r="C1020" s="393"/>
      <c r="E1020" s="394"/>
      <c r="F1020" s="394">
        <v>0</v>
      </c>
      <c r="G1020" s="394"/>
      <c r="H1020" s="8" t="s">
        <v>235</v>
      </c>
      <c r="I1020" s="368">
        <f t="shared" si="46"/>
        <v>0</v>
      </c>
      <c r="J1020" s="365">
        <f t="shared" si="48"/>
        <v>0</v>
      </c>
      <c r="K1020" s="369">
        <f t="shared" si="47"/>
        <v>6</v>
      </c>
      <c r="L1020" s="369">
        <f>+IF((C1020&gt;='Resultats - informe'!$E$16)*(C1020&lt;='Resultats - informe'!$G$16),1,0)</f>
        <v>1</v>
      </c>
      <c r="M1020" s="369" cm="1">
        <f t="array" ref="M1020">+_xlfn.IFS((C1020&gt;='Resultats - informe'!$D$26)*(C1020&lt;='Resultats - informe'!$E$26),0,(C1020&gt;='Resultats - informe'!$D$27)*(C1020&lt;='Resultats - informe'!$E$27),0,(C1020&gt;='Resultats - informe'!$D$28)*(C1020&lt;='Resultats - informe'!$E$28),0,(C1020&gt;='Resultats - informe'!$D$29)*(C1020&lt;='Resultats - informe'!$E$29),0,1,1)</f>
        <v>0</v>
      </c>
      <c r="N1020" s="366">
        <f>+VLOOKUP(D1020,'Resultats - informe'!$Y$18:$AG$42,'Introducció dades consum'!K1020+1,0)</f>
        <v>0</v>
      </c>
      <c r="O1020" s="370" cm="1">
        <f t="array" ref="O1020">+_xlfn.SWITCH(MONTH(C1020),1,1,2,1,3,1,4,2,5,2,6,3,7,3,8,3,9,3,10,2,11,2,12,1,2)</f>
        <v>1</v>
      </c>
      <c r="P1020" s="43"/>
      <c r="AS1020" s="10"/>
      <c r="AT1020" s="10"/>
      <c r="AU1020" s="10"/>
      <c r="AV1020" s="10"/>
      <c r="AW1020" s="10"/>
      <c r="AX1020" s="10"/>
      <c r="AY1020" s="10"/>
      <c r="AZ1020" s="10"/>
      <c r="BA1020" s="10"/>
      <c r="BB1020" s="10"/>
      <c r="BC1020" s="10"/>
      <c r="BD1020" s="10"/>
      <c r="BE1020" s="10"/>
      <c r="BF1020" s="10"/>
      <c r="BG1020" s="10"/>
      <c r="BH1020" s="10"/>
      <c r="BI1020" s="10"/>
      <c r="BJ1020" s="10"/>
      <c r="BK1020" s="10"/>
      <c r="BL1020" s="10"/>
      <c r="BM1020" s="10"/>
      <c r="BN1020" s="10"/>
      <c r="BO1020" s="10"/>
      <c r="BP1020" s="10"/>
      <c r="BQ1020" s="10"/>
      <c r="BR1020" s="10"/>
      <c r="BS1020" s="10"/>
      <c r="BT1020" s="10"/>
      <c r="BU1020" s="10"/>
    </row>
    <row r="1021" spans="1:73" ht="18" x14ac:dyDescent="0.35">
      <c r="A1021" s="43"/>
      <c r="C1021" s="393"/>
      <c r="E1021" s="394"/>
      <c r="F1021" s="394">
        <v>0</v>
      </c>
      <c r="G1021" s="394"/>
      <c r="H1021" s="8" t="s">
        <v>61</v>
      </c>
      <c r="I1021" s="368">
        <f t="shared" si="46"/>
        <v>0</v>
      </c>
      <c r="J1021" s="365">
        <f t="shared" si="48"/>
        <v>0</v>
      </c>
      <c r="K1021" s="369">
        <f t="shared" si="47"/>
        <v>6</v>
      </c>
      <c r="L1021" s="369">
        <f>+IF((C1021&gt;='Resultats - informe'!$E$16)*(C1021&lt;='Resultats - informe'!$G$16),1,0)</f>
        <v>1</v>
      </c>
      <c r="M1021" s="369" cm="1">
        <f t="array" ref="M1021">+_xlfn.IFS((C1021&gt;='Resultats - informe'!$D$26)*(C1021&lt;='Resultats - informe'!$E$26),0,(C1021&gt;='Resultats - informe'!$D$27)*(C1021&lt;='Resultats - informe'!$E$27),0,(C1021&gt;='Resultats - informe'!$D$28)*(C1021&lt;='Resultats - informe'!$E$28),0,(C1021&gt;='Resultats - informe'!$D$29)*(C1021&lt;='Resultats - informe'!$E$29),0,1,1)</f>
        <v>0</v>
      </c>
      <c r="N1021" s="366">
        <f>+VLOOKUP(D1021,'Resultats - informe'!$Y$18:$AG$42,'Introducció dades consum'!K1021+1,0)</f>
        <v>0</v>
      </c>
      <c r="O1021" s="370" cm="1">
        <f t="array" ref="O1021">+_xlfn.SWITCH(MONTH(C1021),1,1,2,1,3,1,4,2,5,2,6,3,7,3,8,3,9,3,10,2,11,2,12,1,2)</f>
        <v>1</v>
      </c>
      <c r="P1021" s="43"/>
      <c r="AS1021" s="10"/>
      <c r="AT1021" s="10"/>
      <c r="AU1021" s="10"/>
      <c r="AV1021" s="10"/>
      <c r="AW1021" s="10"/>
      <c r="AX1021" s="10"/>
      <c r="AY1021" s="10"/>
      <c r="AZ1021" s="10"/>
      <c r="BA1021" s="10"/>
      <c r="BB1021" s="10"/>
      <c r="BC1021" s="10"/>
      <c r="BD1021" s="10"/>
      <c r="BE1021" s="10"/>
      <c r="BF1021" s="10"/>
      <c r="BG1021" s="10"/>
      <c r="BH1021" s="10"/>
      <c r="BI1021" s="10"/>
      <c r="BJ1021" s="10"/>
      <c r="BK1021" s="10"/>
      <c r="BL1021" s="10"/>
      <c r="BM1021" s="10"/>
      <c r="BN1021" s="10"/>
      <c r="BO1021" s="10"/>
      <c r="BP1021" s="10"/>
      <c r="BQ1021" s="10"/>
      <c r="BR1021" s="10"/>
      <c r="BS1021" s="10"/>
      <c r="BT1021" s="10"/>
      <c r="BU1021" s="10"/>
    </row>
    <row r="1022" spans="1:73" ht="18" x14ac:dyDescent="0.35">
      <c r="A1022" s="43"/>
      <c r="C1022" s="393"/>
      <c r="E1022" s="394"/>
      <c r="F1022" s="394">
        <v>0</v>
      </c>
      <c r="G1022" s="394"/>
      <c r="H1022" s="8" t="s">
        <v>61</v>
      </c>
      <c r="I1022" s="368">
        <f t="shared" si="46"/>
        <v>0</v>
      </c>
      <c r="J1022" s="365">
        <f t="shared" si="48"/>
        <v>0</v>
      </c>
      <c r="K1022" s="369">
        <f t="shared" si="47"/>
        <v>6</v>
      </c>
      <c r="L1022" s="369">
        <f>+IF((C1022&gt;='Resultats - informe'!$E$16)*(C1022&lt;='Resultats - informe'!$G$16),1,0)</f>
        <v>1</v>
      </c>
      <c r="M1022" s="369" cm="1">
        <f t="array" ref="M1022">+_xlfn.IFS((C1022&gt;='Resultats - informe'!$D$26)*(C1022&lt;='Resultats - informe'!$E$26),0,(C1022&gt;='Resultats - informe'!$D$27)*(C1022&lt;='Resultats - informe'!$E$27),0,(C1022&gt;='Resultats - informe'!$D$28)*(C1022&lt;='Resultats - informe'!$E$28),0,(C1022&gt;='Resultats - informe'!$D$29)*(C1022&lt;='Resultats - informe'!$E$29),0,1,1)</f>
        <v>0</v>
      </c>
      <c r="N1022" s="366">
        <f>+VLOOKUP(D1022,'Resultats - informe'!$Y$18:$AG$42,'Introducció dades consum'!K1022+1,0)</f>
        <v>0</v>
      </c>
      <c r="O1022" s="370" cm="1">
        <f t="array" ref="O1022">+_xlfn.SWITCH(MONTH(C1022),1,1,2,1,3,1,4,2,5,2,6,3,7,3,8,3,9,3,10,2,11,2,12,1,2)</f>
        <v>1</v>
      </c>
      <c r="P1022" s="43"/>
      <c r="AS1022" s="10"/>
      <c r="AT1022" s="10"/>
      <c r="AU1022" s="10"/>
      <c r="AV1022" s="10"/>
      <c r="AW1022" s="10"/>
      <c r="AX1022" s="10"/>
      <c r="AY1022" s="10"/>
      <c r="AZ1022" s="10"/>
      <c r="BA1022" s="10"/>
      <c r="BB1022" s="10"/>
      <c r="BC1022" s="10"/>
      <c r="BD1022" s="10"/>
      <c r="BE1022" s="10"/>
      <c r="BF1022" s="10"/>
      <c r="BG1022" s="10"/>
      <c r="BH1022" s="10"/>
      <c r="BI1022" s="10"/>
      <c r="BJ1022" s="10"/>
      <c r="BK1022" s="10"/>
      <c r="BL1022" s="10"/>
      <c r="BM1022" s="10"/>
      <c r="BN1022" s="10"/>
      <c r="BO1022" s="10"/>
      <c r="BP1022" s="10"/>
      <c r="BQ1022" s="10"/>
      <c r="BR1022" s="10"/>
      <c r="BS1022" s="10"/>
      <c r="BT1022" s="10"/>
      <c r="BU1022" s="10"/>
    </row>
    <row r="1023" spans="1:73" ht="18" x14ac:dyDescent="0.35">
      <c r="A1023" s="43"/>
      <c r="C1023" s="393"/>
      <c r="E1023" s="394"/>
      <c r="F1023" s="394">
        <v>0.05</v>
      </c>
      <c r="G1023" s="394"/>
      <c r="H1023" s="8" t="s">
        <v>235</v>
      </c>
      <c r="I1023" s="368">
        <f t="shared" si="46"/>
        <v>0</v>
      </c>
      <c r="J1023" s="365">
        <f t="shared" si="48"/>
        <v>0</v>
      </c>
      <c r="K1023" s="369">
        <f t="shared" si="47"/>
        <v>6</v>
      </c>
      <c r="L1023" s="369">
        <f>+IF((C1023&gt;='Resultats - informe'!$E$16)*(C1023&lt;='Resultats - informe'!$G$16),1,0)</f>
        <v>1</v>
      </c>
      <c r="M1023" s="369" cm="1">
        <f t="array" ref="M1023">+_xlfn.IFS((C1023&gt;='Resultats - informe'!$D$26)*(C1023&lt;='Resultats - informe'!$E$26),0,(C1023&gt;='Resultats - informe'!$D$27)*(C1023&lt;='Resultats - informe'!$E$27),0,(C1023&gt;='Resultats - informe'!$D$28)*(C1023&lt;='Resultats - informe'!$E$28),0,(C1023&gt;='Resultats - informe'!$D$29)*(C1023&lt;='Resultats - informe'!$E$29),0,1,1)</f>
        <v>0</v>
      </c>
      <c r="N1023" s="366">
        <f>+VLOOKUP(D1023,'Resultats - informe'!$Y$18:$AG$42,'Introducció dades consum'!K1023+1,0)</f>
        <v>0</v>
      </c>
      <c r="O1023" s="370" cm="1">
        <f t="array" ref="O1023">+_xlfn.SWITCH(MONTH(C1023),1,1,2,1,3,1,4,2,5,2,6,3,7,3,8,3,9,3,10,2,11,2,12,1,2)</f>
        <v>1</v>
      </c>
      <c r="P1023" s="43"/>
      <c r="AS1023" s="10"/>
      <c r="AT1023" s="10"/>
      <c r="AU1023" s="10"/>
      <c r="AV1023" s="10"/>
      <c r="AW1023" s="10"/>
      <c r="AX1023" s="10"/>
      <c r="AY1023" s="10"/>
      <c r="AZ1023" s="10"/>
      <c r="BA1023" s="10"/>
      <c r="BB1023" s="10"/>
      <c r="BC1023" s="10"/>
      <c r="BD1023" s="10"/>
      <c r="BE1023" s="10"/>
      <c r="BF1023" s="10"/>
      <c r="BG1023" s="10"/>
      <c r="BH1023" s="10"/>
      <c r="BI1023" s="10"/>
      <c r="BJ1023" s="10"/>
      <c r="BK1023" s="10"/>
      <c r="BL1023" s="10"/>
      <c r="BM1023" s="10"/>
      <c r="BN1023" s="10"/>
      <c r="BO1023" s="10"/>
      <c r="BP1023" s="10"/>
      <c r="BQ1023" s="10"/>
      <c r="BR1023" s="10"/>
      <c r="BS1023" s="10"/>
      <c r="BT1023" s="10"/>
      <c r="BU1023" s="10"/>
    </row>
    <row r="1024" spans="1:73" ht="18" x14ac:dyDescent="0.35">
      <c r="A1024" s="43"/>
      <c r="C1024" s="393"/>
      <c r="E1024" s="394"/>
      <c r="F1024" s="394">
        <v>0.46600000000000003</v>
      </c>
      <c r="G1024" s="394"/>
      <c r="H1024" s="8" t="s">
        <v>235</v>
      </c>
      <c r="I1024" s="368">
        <f t="shared" si="46"/>
        <v>0</v>
      </c>
      <c r="J1024" s="365">
        <f t="shared" si="48"/>
        <v>0</v>
      </c>
      <c r="K1024" s="369">
        <f t="shared" si="47"/>
        <v>6</v>
      </c>
      <c r="L1024" s="369">
        <f>+IF((C1024&gt;='Resultats - informe'!$E$16)*(C1024&lt;='Resultats - informe'!$G$16),1,0)</f>
        <v>1</v>
      </c>
      <c r="M1024" s="369" cm="1">
        <f t="array" ref="M1024">+_xlfn.IFS((C1024&gt;='Resultats - informe'!$D$26)*(C1024&lt;='Resultats - informe'!$E$26),0,(C1024&gt;='Resultats - informe'!$D$27)*(C1024&lt;='Resultats - informe'!$E$27),0,(C1024&gt;='Resultats - informe'!$D$28)*(C1024&lt;='Resultats - informe'!$E$28),0,(C1024&gt;='Resultats - informe'!$D$29)*(C1024&lt;='Resultats - informe'!$E$29),0,1,1)</f>
        <v>0</v>
      </c>
      <c r="N1024" s="366">
        <f>+VLOOKUP(D1024,'Resultats - informe'!$Y$18:$AG$42,'Introducció dades consum'!K1024+1,0)</f>
        <v>0</v>
      </c>
      <c r="O1024" s="370" cm="1">
        <f t="array" ref="O1024">+_xlfn.SWITCH(MONTH(C1024),1,1,2,1,3,1,4,2,5,2,6,3,7,3,8,3,9,3,10,2,11,2,12,1,2)</f>
        <v>1</v>
      </c>
      <c r="P1024" s="43"/>
      <c r="AS1024" s="10"/>
      <c r="AT1024" s="10"/>
      <c r="AU1024" s="10"/>
      <c r="AV1024" s="10"/>
      <c r="AW1024" s="10"/>
      <c r="AX1024" s="10"/>
      <c r="AY1024" s="10"/>
      <c r="AZ1024" s="10"/>
      <c r="BA1024" s="10"/>
      <c r="BB1024" s="10"/>
      <c r="BC1024" s="10"/>
      <c r="BD1024" s="10"/>
      <c r="BE1024" s="10"/>
      <c r="BF1024" s="10"/>
      <c r="BG1024" s="10"/>
      <c r="BH1024" s="10"/>
      <c r="BI1024" s="10"/>
      <c r="BJ1024" s="10"/>
      <c r="BK1024" s="10"/>
      <c r="BL1024" s="10"/>
      <c r="BM1024" s="10"/>
      <c r="BN1024" s="10"/>
      <c r="BO1024" s="10"/>
      <c r="BP1024" s="10"/>
      <c r="BQ1024" s="10"/>
      <c r="BR1024" s="10"/>
      <c r="BS1024" s="10"/>
      <c r="BT1024" s="10"/>
      <c r="BU1024" s="10"/>
    </row>
    <row r="1025" spans="1:73" ht="18" x14ac:dyDescent="0.35">
      <c r="A1025" s="43"/>
      <c r="C1025" s="393"/>
      <c r="E1025" s="394"/>
      <c r="F1025" s="394">
        <v>0.24299999999999999</v>
      </c>
      <c r="G1025" s="394"/>
      <c r="H1025" s="8" t="s">
        <v>235</v>
      </c>
      <c r="I1025" s="368">
        <f t="shared" si="46"/>
        <v>0</v>
      </c>
      <c r="J1025" s="365">
        <f t="shared" si="48"/>
        <v>0</v>
      </c>
      <c r="K1025" s="369">
        <f t="shared" si="47"/>
        <v>6</v>
      </c>
      <c r="L1025" s="369">
        <f>+IF((C1025&gt;='Resultats - informe'!$E$16)*(C1025&lt;='Resultats - informe'!$G$16),1,0)</f>
        <v>1</v>
      </c>
      <c r="M1025" s="369" cm="1">
        <f t="array" ref="M1025">+_xlfn.IFS((C1025&gt;='Resultats - informe'!$D$26)*(C1025&lt;='Resultats - informe'!$E$26),0,(C1025&gt;='Resultats - informe'!$D$27)*(C1025&lt;='Resultats - informe'!$E$27),0,(C1025&gt;='Resultats - informe'!$D$28)*(C1025&lt;='Resultats - informe'!$E$28),0,(C1025&gt;='Resultats - informe'!$D$29)*(C1025&lt;='Resultats - informe'!$E$29),0,1,1)</f>
        <v>0</v>
      </c>
      <c r="N1025" s="366">
        <f>+VLOOKUP(D1025,'Resultats - informe'!$Y$18:$AG$42,'Introducció dades consum'!K1025+1,0)</f>
        <v>0</v>
      </c>
      <c r="O1025" s="370" cm="1">
        <f t="array" ref="O1025">+_xlfn.SWITCH(MONTH(C1025),1,1,2,1,3,1,4,2,5,2,6,3,7,3,8,3,9,3,10,2,11,2,12,1,2)</f>
        <v>1</v>
      </c>
      <c r="P1025" s="43"/>
      <c r="AS1025" s="10"/>
      <c r="AT1025" s="10"/>
      <c r="AU1025" s="10"/>
      <c r="AV1025" s="10"/>
      <c r="AW1025" s="10"/>
      <c r="AX1025" s="10"/>
      <c r="AY1025" s="10"/>
      <c r="AZ1025" s="10"/>
      <c r="BA1025" s="10"/>
      <c r="BB1025" s="10"/>
      <c r="BC1025" s="10"/>
      <c r="BD1025" s="10"/>
      <c r="BE1025" s="10"/>
      <c r="BF1025" s="10"/>
      <c r="BG1025" s="10"/>
      <c r="BH1025" s="10"/>
      <c r="BI1025" s="10"/>
      <c r="BJ1025" s="10"/>
      <c r="BK1025" s="10"/>
      <c r="BL1025" s="10"/>
      <c r="BM1025" s="10"/>
      <c r="BN1025" s="10"/>
      <c r="BO1025" s="10"/>
      <c r="BP1025" s="10"/>
      <c r="BQ1025" s="10"/>
      <c r="BR1025" s="10"/>
      <c r="BS1025" s="10"/>
      <c r="BT1025" s="10"/>
      <c r="BU1025" s="10"/>
    </row>
    <row r="1026" spans="1:73" ht="18" x14ac:dyDescent="0.35">
      <c r="A1026" s="43"/>
      <c r="C1026" s="393"/>
      <c r="E1026" s="394"/>
      <c r="F1026" s="394">
        <v>0</v>
      </c>
      <c r="G1026" s="394"/>
      <c r="H1026" s="8" t="s">
        <v>235</v>
      </c>
      <c r="I1026" s="368">
        <f t="shared" si="46"/>
        <v>0</v>
      </c>
      <c r="J1026" s="365">
        <f t="shared" si="48"/>
        <v>0</v>
      </c>
      <c r="K1026" s="369">
        <f t="shared" si="47"/>
        <v>6</v>
      </c>
      <c r="L1026" s="369">
        <f>+IF((C1026&gt;='Resultats - informe'!$E$16)*(C1026&lt;='Resultats - informe'!$G$16),1,0)</f>
        <v>1</v>
      </c>
      <c r="M1026" s="369" cm="1">
        <f t="array" ref="M1026">+_xlfn.IFS((C1026&gt;='Resultats - informe'!$D$26)*(C1026&lt;='Resultats - informe'!$E$26),0,(C1026&gt;='Resultats - informe'!$D$27)*(C1026&lt;='Resultats - informe'!$E$27),0,(C1026&gt;='Resultats - informe'!$D$28)*(C1026&lt;='Resultats - informe'!$E$28),0,(C1026&gt;='Resultats - informe'!$D$29)*(C1026&lt;='Resultats - informe'!$E$29),0,1,1)</f>
        <v>0</v>
      </c>
      <c r="N1026" s="366">
        <f>+VLOOKUP(D1026,'Resultats - informe'!$Y$18:$AG$42,'Introducció dades consum'!K1026+1,0)</f>
        <v>0</v>
      </c>
      <c r="O1026" s="370" cm="1">
        <f t="array" ref="O1026">+_xlfn.SWITCH(MONTH(C1026),1,1,2,1,3,1,4,2,5,2,6,3,7,3,8,3,9,3,10,2,11,2,12,1,2)</f>
        <v>1</v>
      </c>
      <c r="P1026" s="43"/>
      <c r="AS1026" s="10"/>
      <c r="AT1026" s="10"/>
      <c r="AU1026" s="10"/>
      <c r="AV1026" s="10"/>
      <c r="AW1026" s="10"/>
      <c r="AX1026" s="10"/>
      <c r="AY1026" s="10"/>
      <c r="AZ1026" s="10"/>
      <c r="BA1026" s="10"/>
      <c r="BB1026" s="10"/>
      <c r="BC1026" s="10"/>
      <c r="BD1026" s="10"/>
      <c r="BE1026" s="10"/>
      <c r="BF1026" s="10"/>
      <c r="BG1026" s="10"/>
      <c r="BH1026" s="10"/>
      <c r="BI1026" s="10"/>
      <c r="BJ1026" s="10"/>
      <c r="BK1026" s="10"/>
      <c r="BL1026" s="10"/>
      <c r="BM1026" s="10"/>
      <c r="BN1026" s="10"/>
      <c r="BO1026" s="10"/>
      <c r="BP1026" s="10"/>
      <c r="BQ1026" s="10"/>
      <c r="BR1026" s="10"/>
      <c r="BS1026" s="10"/>
      <c r="BT1026" s="10"/>
      <c r="BU1026" s="10"/>
    </row>
    <row r="1027" spans="1:73" ht="18" x14ac:dyDescent="0.35">
      <c r="A1027" s="43"/>
      <c r="C1027" s="393"/>
      <c r="E1027" s="394"/>
      <c r="F1027" s="394">
        <v>0.95399999999999996</v>
      </c>
      <c r="G1027" s="394"/>
      <c r="H1027" s="8" t="s">
        <v>235</v>
      </c>
      <c r="I1027" s="368">
        <f t="shared" si="46"/>
        <v>0</v>
      </c>
      <c r="J1027" s="365">
        <f t="shared" si="48"/>
        <v>0</v>
      </c>
      <c r="K1027" s="369">
        <f t="shared" si="47"/>
        <v>6</v>
      </c>
      <c r="L1027" s="369">
        <f>+IF((C1027&gt;='Resultats - informe'!$E$16)*(C1027&lt;='Resultats - informe'!$G$16),1,0)</f>
        <v>1</v>
      </c>
      <c r="M1027" s="369" cm="1">
        <f t="array" ref="M1027">+_xlfn.IFS((C1027&gt;='Resultats - informe'!$D$26)*(C1027&lt;='Resultats - informe'!$E$26),0,(C1027&gt;='Resultats - informe'!$D$27)*(C1027&lt;='Resultats - informe'!$E$27),0,(C1027&gt;='Resultats - informe'!$D$28)*(C1027&lt;='Resultats - informe'!$E$28),0,(C1027&gt;='Resultats - informe'!$D$29)*(C1027&lt;='Resultats - informe'!$E$29),0,1,1)</f>
        <v>0</v>
      </c>
      <c r="N1027" s="366">
        <f>+VLOOKUP(D1027,'Resultats - informe'!$Y$18:$AG$42,'Introducció dades consum'!K1027+1,0)</f>
        <v>0</v>
      </c>
      <c r="O1027" s="370" cm="1">
        <f t="array" ref="O1027">+_xlfn.SWITCH(MONTH(C1027),1,1,2,1,3,1,4,2,5,2,6,3,7,3,8,3,9,3,10,2,11,2,12,1,2)</f>
        <v>1</v>
      </c>
      <c r="P1027" s="43"/>
      <c r="AS1027" s="10"/>
      <c r="AT1027" s="10"/>
      <c r="AU1027" s="10"/>
      <c r="AV1027" s="10"/>
      <c r="AW1027" s="10"/>
      <c r="AX1027" s="10"/>
      <c r="AY1027" s="10"/>
      <c r="AZ1027" s="10"/>
      <c r="BA1027" s="10"/>
      <c r="BB1027" s="10"/>
      <c r="BC1027" s="10"/>
      <c r="BD1027" s="10"/>
      <c r="BE1027" s="10"/>
      <c r="BF1027" s="10"/>
      <c r="BG1027" s="10"/>
      <c r="BH1027" s="10"/>
      <c r="BI1027" s="10"/>
      <c r="BJ1027" s="10"/>
      <c r="BK1027" s="10"/>
      <c r="BL1027" s="10"/>
      <c r="BM1027" s="10"/>
      <c r="BN1027" s="10"/>
      <c r="BO1027" s="10"/>
      <c r="BP1027" s="10"/>
      <c r="BQ1027" s="10"/>
      <c r="BR1027" s="10"/>
      <c r="BS1027" s="10"/>
      <c r="BT1027" s="10"/>
      <c r="BU1027" s="10"/>
    </row>
    <row r="1028" spans="1:73" ht="18" x14ac:dyDescent="0.35">
      <c r="A1028" s="43"/>
      <c r="C1028" s="393"/>
      <c r="E1028" s="394"/>
      <c r="F1028" s="394">
        <v>0</v>
      </c>
      <c r="G1028" s="394"/>
      <c r="H1028" s="8" t="s">
        <v>61</v>
      </c>
      <c r="I1028" s="368">
        <f t="shared" si="46"/>
        <v>0</v>
      </c>
      <c r="J1028" s="365">
        <f t="shared" si="48"/>
        <v>0</v>
      </c>
      <c r="K1028" s="369">
        <f t="shared" si="47"/>
        <v>6</v>
      </c>
      <c r="L1028" s="369">
        <f>+IF((C1028&gt;='Resultats - informe'!$E$16)*(C1028&lt;='Resultats - informe'!$G$16),1,0)</f>
        <v>1</v>
      </c>
      <c r="M1028" s="369" cm="1">
        <f t="array" ref="M1028">+_xlfn.IFS((C1028&gt;='Resultats - informe'!$D$26)*(C1028&lt;='Resultats - informe'!$E$26),0,(C1028&gt;='Resultats - informe'!$D$27)*(C1028&lt;='Resultats - informe'!$E$27),0,(C1028&gt;='Resultats - informe'!$D$28)*(C1028&lt;='Resultats - informe'!$E$28),0,(C1028&gt;='Resultats - informe'!$D$29)*(C1028&lt;='Resultats - informe'!$E$29),0,1,1)</f>
        <v>0</v>
      </c>
      <c r="N1028" s="366">
        <f>+VLOOKUP(D1028,'Resultats - informe'!$Y$18:$AG$42,'Introducció dades consum'!K1028+1,0)</f>
        <v>0</v>
      </c>
      <c r="O1028" s="370" cm="1">
        <f t="array" ref="O1028">+_xlfn.SWITCH(MONTH(C1028),1,1,2,1,3,1,4,2,5,2,6,3,7,3,8,3,9,3,10,2,11,2,12,1,2)</f>
        <v>1</v>
      </c>
      <c r="P1028" s="43"/>
      <c r="AS1028" s="10"/>
      <c r="AT1028" s="10"/>
      <c r="AU1028" s="10"/>
      <c r="AV1028" s="10"/>
      <c r="AW1028" s="10"/>
      <c r="AX1028" s="10"/>
      <c r="AY1028" s="10"/>
      <c r="AZ1028" s="10"/>
      <c r="BA1028" s="10"/>
      <c r="BB1028" s="10"/>
      <c r="BC1028" s="10"/>
      <c r="BD1028" s="10"/>
      <c r="BE1028" s="10"/>
      <c r="BF1028" s="10"/>
      <c r="BG1028" s="10"/>
      <c r="BH1028" s="10"/>
      <c r="BI1028" s="10"/>
      <c r="BJ1028" s="10"/>
      <c r="BK1028" s="10"/>
      <c r="BL1028" s="10"/>
      <c r="BM1028" s="10"/>
      <c r="BN1028" s="10"/>
      <c r="BO1028" s="10"/>
      <c r="BP1028" s="10"/>
      <c r="BQ1028" s="10"/>
      <c r="BR1028" s="10"/>
      <c r="BS1028" s="10"/>
      <c r="BT1028" s="10"/>
      <c r="BU1028" s="10"/>
    </row>
    <row r="1029" spans="1:73" ht="18" x14ac:dyDescent="0.35">
      <c r="A1029" s="43"/>
      <c r="C1029" s="393"/>
      <c r="E1029" s="394"/>
      <c r="F1029" s="394">
        <v>0</v>
      </c>
      <c r="G1029" s="394"/>
      <c r="H1029" s="8" t="s">
        <v>61</v>
      </c>
      <c r="I1029" s="368">
        <f t="shared" si="46"/>
        <v>0</v>
      </c>
      <c r="J1029" s="365">
        <f t="shared" si="48"/>
        <v>0</v>
      </c>
      <c r="K1029" s="369">
        <f t="shared" si="47"/>
        <v>6</v>
      </c>
      <c r="L1029" s="369">
        <f>+IF((C1029&gt;='Resultats - informe'!$E$16)*(C1029&lt;='Resultats - informe'!$G$16),1,0)</f>
        <v>1</v>
      </c>
      <c r="M1029" s="369" cm="1">
        <f t="array" ref="M1029">+_xlfn.IFS((C1029&gt;='Resultats - informe'!$D$26)*(C1029&lt;='Resultats - informe'!$E$26),0,(C1029&gt;='Resultats - informe'!$D$27)*(C1029&lt;='Resultats - informe'!$E$27),0,(C1029&gt;='Resultats - informe'!$D$28)*(C1029&lt;='Resultats - informe'!$E$28),0,(C1029&gt;='Resultats - informe'!$D$29)*(C1029&lt;='Resultats - informe'!$E$29),0,1,1)</f>
        <v>0</v>
      </c>
      <c r="N1029" s="366">
        <f>+VLOOKUP(D1029,'Resultats - informe'!$Y$18:$AG$42,'Introducció dades consum'!K1029+1,0)</f>
        <v>0</v>
      </c>
      <c r="O1029" s="370" cm="1">
        <f t="array" ref="O1029">+_xlfn.SWITCH(MONTH(C1029),1,1,2,1,3,1,4,2,5,2,6,3,7,3,8,3,9,3,10,2,11,2,12,1,2)</f>
        <v>1</v>
      </c>
      <c r="P1029" s="43"/>
      <c r="AS1029" s="10"/>
      <c r="AT1029" s="10"/>
      <c r="AU1029" s="10"/>
      <c r="AV1029" s="10"/>
      <c r="AW1029" s="10"/>
      <c r="AX1029" s="10"/>
      <c r="AY1029" s="10"/>
      <c r="AZ1029" s="10"/>
      <c r="BA1029" s="10"/>
      <c r="BB1029" s="10"/>
      <c r="BC1029" s="10"/>
      <c r="BD1029" s="10"/>
      <c r="BE1029" s="10"/>
      <c r="BF1029" s="10"/>
      <c r="BG1029" s="10"/>
      <c r="BH1029" s="10"/>
      <c r="BI1029" s="10"/>
      <c r="BJ1029" s="10"/>
      <c r="BK1029" s="10"/>
      <c r="BL1029" s="10"/>
      <c r="BM1029" s="10"/>
      <c r="BN1029" s="10"/>
      <c r="BO1029" s="10"/>
      <c r="BP1029" s="10"/>
      <c r="BQ1029" s="10"/>
      <c r="BR1029" s="10"/>
      <c r="BS1029" s="10"/>
      <c r="BT1029" s="10"/>
      <c r="BU1029" s="10"/>
    </row>
    <row r="1030" spans="1:73" ht="18" x14ac:dyDescent="0.35">
      <c r="A1030" s="43"/>
      <c r="C1030" s="393"/>
      <c r="E1030" s="394"/>
      <c r="F1030" s="394">
        <v>0</v>
      </c>
      <c r="G1030" s="394"/>
      <c r="H1030" s="8" t="s">
        <v>61</v>
      </c>
      <c r="I1030" s="368">
        <f t="shared" ref="I1030:I1093" si="49">+E1030+G1030</f>
        <v>0</v>
      </c>
      <c r="J1030" s="365">
        <f t="shared" si="48"/>
        <v>0</v>
      </c>
      <c r="K1030" s="369">
        <f t="shared" ref="K1030:K1093" si="50">+WEEKDAY(C1030,2)</f>
        <v>6</v>
      </c>
      <c r="L1030" s="369">
        <f>+IF((C1030&gt;='Resultats - informe'!$E$16)*(C1030&lt;='Resultats - informe'!$G$16),1,0)</f>
        <v>1</v>
      </c>
      <c r="M1030" s="369" cm="1">
        <f t="array" ref="M1030">+_xlfn.IFS((C1030&gt;='Resultats - informe'!$D$26)*(C1030&lt;='Resultats - informe'!$E$26),0,(C1030&gt;='Resultats - informe'!$D$27)*(C1030&lt;='Resultats - informe'!$E$27),0,(C1030&gt;='Resultats - informe'!$D$28)*(C1030&lt;='Resultats - informe'!$E$28),0,(C1030&gt;='Resultats - informe'!$D$29)*(C1030&lt;='Resultats - informe'!$E$29),0,1,1)</f>
        <v>0</v>
      </c>
      <c r="N1030" s="366">
        <f>+VLOOKUP(D1030,'Resultats - informe'!$Y$18:$AG$42,'Introducció dades consum'!K1030+1,0)</f>
        <v>0</v>
      </c>
      <c r="O1030" s="370" cm="1">
        <f t="array" ref="O1030">+_xlfn.SWITCH(MONTH(C1030),1,1,2,1,3,1,4,2,5,2,6,3,7,3,8,3,9,3,10,2,11,2,12,1,2)</f>
        <v>1</v>
      </c>
      <c r="P1030" s="43"/>
      <c r="AS1030" s="10"/>
      <c r="AT1030" s="10"/>
      <c r="AU1030" s="10"/>
      <c r="AV1030" s="10"/>
      <c r="AW1030" s="10"/>
      <c r="AX1030" s="10"/>
      <c r="AY1030" s="10"/>
      <c r="AZ1030" s="10"/>
      <c r="BA1030" s="10"/>
      <c r="BB1030" s="10"/>
      <c r="BC1030" s="10"/>
      <c r="BD1030" s="10"/>
      <c r="BE1030" s="10"/>
      <c r="BF1030" s="10"/>
      <c r="BG1030" s="10"/>
      <c r="BH1030" s="10"/>
      <c r="BI1030" s="10"/>
      <c r="BJ1030" s="10"/>
      <c r="BK1030" s="10"/>
      <c r="BL1030" s="10"/>
      <c r="BM1030" s="10"/>
      <c r="BN1030" s="10"/>
      <c r="BO1030" s="10"/>
      <c r="BP1030" s="10"/>
      <c r="BQ1030" s="10"/>
      <c r="BR1030" s="10"/>
      <c r="BS1030" s="10"/>
      <c r="BT1030" s="10"/>
      <c r="BU1030" s="10"/>
    </row>
    <row r="1031" spans="1:73" ht="18" x14ac:dyDescent="0.35">
      <c r="A1031" s="43"/>
      <c r="C1031" s="393"/>
      <c r="E1031" s="394"/>
      <c r="F1031" s="394">
        <v>0</v>
      </c>
      <c r="G1031" s="394"/>
      <c r="H1031" s="8" t="s">
        <v>235</v>
      </c>
      <c r="I1031" s="368">
        <f t="shared" si="49"/>
        <v>0</v>
      </c>
      <c r="J1031" s="365">
        <f t="shared" si="48"/>
        <v>0</v>
      </c>
      <c r="K1031" s="369">
        <f t="shared" si="50"/>
        <v>6</v>
      </c>
      <c r="L1031" s="369">
        <f>+IF((C1031&gt;='Resultats - informe'!$E$16)*(C1031&lt;='Resultats - informe'!$G$16),1,0)</f>
        <v>1</v>
      </c>
      <c r="M1031" s="369" cm="1">
        <f t="array" ref="M1031">+_xlfn.IFS((C1031&gt;='Resultats - informe'!$D$26)*(C1031&lt;='Resultats - informe'!$E$26),0,(C1031&gt;='Resultats - informe'!$D$27)*(C1031&lt;='Resultats - informe'!$E$27),0,(C1031&gt;='Resultats - informe'!$D$28)*(C1031&lt;='Resultats - informe'!$E$28),0,(C1031&gt;='Resultats - informe'!$D$29)*(C1031&lt;='Resultats - informe'!$E$29),0,1,1)</f>
        <v>0</v>
      </c>
      <c r="N1031" s="366">
        <f>+VLOOKUP(D1031,'Resultats - informe'!$Y$18:$AG$42,'Introducció dades consum'!K1031+1,0)</f>
        <v>0</v>
      </c>
      <c r="O1031" s="370" cm="1">
        <f t="array" ref="O1031">+_xlfn.SWITCH(MONTH(C1031),1,1,2,1,3,1,4,2,5,2,6,3,7,3,8,3,9,3,10,2,11,2,12,1,2)</f>
        <v>1</v>
      </c>
      <c r="P1031" s="43"/>
      <c r="AS1031" s="10"/>
      <c r="AT1031" s="10"/>
      <c r="AU1031" s="10"/>
      <c r="AV1031" s="10"/>
      <c r="AW1031" s="10"/>
      <c r="AX1031" s="10"/>
      <c r="AY1031" s="10"/>
      <c r="AZ1031" s="10"/>
      <c r="BA1031" s="10"/>
      <c r="BB1031" s="10"/>
      <c r="BC1031" s="10"/>
      <c r="BD1031" s="10"/>
      <c r="BE1031" s="10"/>
      <c r="BF1031" s="10"/>
      <c r="BG1031" s="10"/>
      <c r="BH1031" s="10"/>
      <c r="BI1031" s="10"/>
      <c r="BJ1031" s="10"/>
      <c r="BK1031" s="10"/>
      <c r="BL1031" s="10"/>
      <c r="BM1031" s="10"/>
      <c r="BN1031" s="10"/>
      <c r="BO1031" s="10"/>
      <c r="BP1031" s="10"/>
      <c r="BQ1031" s="10"/>
      <c r="BR1031" s="10"/>
      <c r="BS1031" s="10"/>
      <c r="BT1031" s="10"/>
      <c r="BU1031" s="10"/>
    </row>
    <row r="1032" spans="1:73" ht="18" x14ac:dyDescent="0.35">
      <c r="A1032" s="43"/>
      <c r="C1032" s="393"/>
      <c r="E1032" s="394"/>
      <c r="F1032" s="394">
        <v>0</v>
      </c>
      <c r="G1032" s="394"/>
      <c r="H1032" s="8" t="s">
        <v>235</v>
      </c>
      <c r="I1032" s="368">
        <f t="shared" si="49"/>
        <v>0</v>
      </c>
      <c r="J1032" s="365">
        <f t="shared" si="48"/>
        <v>0</v>
      </c>
      <c r="K1032" s="369">
        <f t="shared" si="50"/>
        <v>6</v>
      </c>
      <c r="L1032" s="369">
        <f>+IF((C1032&gt;='Resultats - informe'!$E$16)*(C1032&lt;='Resultats - informe'!$G$16),1,0)</f>
        <v>1</v>
      </c>
      <c r="M1032" s="369" cm="1">
        <f t="array" ref="M1032">+_xlfn.IFS((C1032&gt;='Resultats - informe'!$D$26)*(C1032&lt;='Resultats - informe'!$E$26),0,(C1032&gt;='Resultats - informe'!$D$27)*(C1032&lt;='Resultats - informe'!$E$27),0,(C1032&gt;='Resultats - informe'!$D$28)*(C1032&lt;='Resultats - informe'!$E$28),0,(C1032&gt;='Resultats - informe'!$D$29)*(C1032&lt;='Resultats - informe'!$E$29),0,1,1)</f>
        <v>0</v>
      </c>
      <c r="N1032" s="366">
        <f>+VLOOKUP(D1032,'Resultats - informe'!$Y$18:$AG$42,'Introducció dades consum'!K1032+1,0)</f>
        <v>0</v>
      </c>
      <c r="O1032" s="370" cm="1">
        <f t="array" ref="O1032">+_xlfn.SWITCH(MONTH(C1032),1,1,2,1,3,1,4,2,5,2,6,3,7,3,8,3,9,3,10,2,11,2,12,1,2)</f>
        <v>1</v>
      </c>
      <c r="P1032" s="43"/>
      <c r="AS1032" s="10"/>
      <c r="AT1032" s="10"/>
      <c r="AU1032" s="10"/>
      <c r="AV1032" s="10"/>
      <c r="AW1032" s="10"/>
      <c r="AX1032" s="10"/>
      <c r="AY1032" s="10"/>
      <c r="AZ1032" s="10"/>
      <c r="BA1032" s="10"/>
      <c r="BB1032" s="10"/>
      <c r="BC1032" s="10"/>
      <c r="BD1032" s="10"/>
      <c r="BE1032" s="10"/>
      <c r="BF1032" s="10"/>
      <c r="BG1032" s="10"/>
      <c r="BH1032" s="10"/>
      <c r="BI1032" s="10"/>
      <c r="BJ1032" s="10"/>
      <c r="BK1032" s="10"/>
      <c r="BL1032" s="10"/>
      <c r="BM1032" s="10"/>
      <c r="BN1032" s="10"/>
      <c r="BO1032" s="10"/>
      <c r="BP1032" s="10"/>
      <c r="BQ1032" s="10"/>
      <c r="BR1032" s="10"/>
      <c r="BS1032" s="10"/>
      <c r="BT1032" s="10"/>
      <c r="BU1032" s="10"/>
    </row>
    <row r="1033" spans="1:73" ht="18" x14ac:dyDescent="0.35">
      <c r="A1033" s="43"/>
      <c r="C1033" s="393"/>
      <c r="E1033" s="394"/>
      <c r="F1033" s="394">
        <v>0</v>
      </c>
      <c r="G1033" s="394"/>
      <c r="H1033" s="8" t="s">
        <v>235</v>
      </c>
      <c r="I1033" s="368">
        <f t="shared" si="49"/>
        <v>0</v>
      </c>
      <c r="J1033" s="365">
        <f t="shared" si="48"/>
        <v>0</v>
      </c>
      <c r="K1033" s="369">
        <f t="shared" si="50"/>
        <v>6</v>
      </c>
      <c r="L1033" s="369">
        <f>+IF((C1033&gt;='Resultats - informe'!$E$16)*(C1033&lt;='Resultats - informe'!$G$16),1,0)</f>
        <v>1</v>
      </c>
      <c r="M1033" s="369" cm="1">
        <f t="array" ref="M1033">+_xlfn.IFS((C1033&gt;='Resultats - informe'!$D$26)*(C1033&lt;='Resultats - informe'!$E$26),0,(C1033&gt;='Resultats - informe'!$D$27)*(C1033&lt;='Resultats - informe'!$E$27),0,(C1033&gt;='Resultats - informe'!$D$28)*(C1033&lt;='Resultats - informe'!$E$28),0,(C1033&gt;='Resultats - informe'!$D$29)*(C1033&lt;='Resultats - informe'!$E$29),0,1,1)</f>
        <v>0</v>
      </c>
      <c r="N1033" s="366">
        <f>+VLOOKUP(D1033,'Resultats - informe'!$Y$18:$AG$42,'Introducció dades consum'!K1033+1,0)</f>
        <v>0</v>
      </c>
      <c r="O1033" s="370" cm="1">
        <f t="array" ref="O1033">+_xlfn.SWITCH(MONTH(C1033),1,1,2,1,3,1,4,2,5,2,6,3,7,3,8,3,9,3,10,2,11,2,12,1,2)</f>
        <v>1</v>
      </c>
      <c r="P1033" s="43"/>
      <c r="AS1033" s="10"/>
      <c r="AT1033" s="10"/>
      <c r="AU1033" s="10"/>
      <c r="AV1033" s="10"/>
      <c r="AW1033" s="10"/>
      <c r="AX1033" s="10"/>
      <c r="AY1033" s="10"/>
      <c r="AZ1033" s="10"/>
      <c r="BA1033" s="10"/>
      <c r="BB1033" s="10"/>
      <c r="BC1033" s="10"/>
      <c r="BD1033" s="10"/>
      <c r="BE1033" s="10"/>
      <c r="BF1033" s="10"/>
      <c r="BG1033" s="10"/>
      <c r="BH1033" s="10"/>
      <c r="BI1033" s="10"/>
      <c r="BJ1033" s="10"/>
      <c r="BK1033" s="10"/>
      <c r="BL1033" s="10"/>
      <c r="BM1033" s="10"/>
      <c r="BN1033" s="10"/>
      <c r="BO1033" s="10"/>
      <c r="BP1033" s="10"/>
      <c r="BQ1033" s="10"/>
      <c r="BR1033" s="10"/>
      <c r="BS1033" s="10"/>
      <c r="BT1033" s="10"/>
      <c r="BU1033" s="10"/>
    </row>
    <row r="1034" spans="1:73" ht="18" x14ac:dyDescent="0.35">
      <c r="A1034" s="43"/>
      <c r="C1034" s="393"/>
      <c r="E1034" s="394"/>
      <c r="F1034" s="394">
        <v>0</v>
      </c>
      <c r="G1034" s="394"/>
      <c r="H1034" s="8" t="s">
        <v>235</v>
      </c>
      <c r="I1034" s="368">
        <f t="shared" si="49"/>
        <v>0</v>
      </c>
      <c r="J1034" s="365">
        <f t="shared" si="48"/>
        <v>0</v>
      </c>
      <c r="K1034" s="369">
        <f t="shared" si="50"/>
        <v>6</v>
      </c>
      <c r="L1034" s="369">
        <f>+IF((C1034&gt;='Resultats - informe'!$E$16)*(C1034&lt;='Resultats - informe'!$G$16),1,0)</f>
        <v>1</v>
      </c>
      <c r="M1034" s="369" cm="1">
        <f t="array" ref="M1034">+_xlfn.IFS((C1034&gt;='Resultats - informe'!$D$26)*(C1034&lt;='Resultats - informe'!$E$26),0,(C1034&gt;='Resultats - informe'!$D$27)*(C1034&lt;='Resultats - informe'!$E$27),0,(C1034&gt;='Resultats - informe'!$D$28)*(C1034&lt;='Resultats - informe'!$E$28),0,(C1034&gt;='Resultats - informe'!$D$29)*(C1034&lt;='Resultats - informe'!$E$29),0,1,1)</f>
        <v>0</v>
      </c>
      <c r="N1034" s="366">
        <f>+VLOOKUP(D1034,'Resultats - informe'!$Y$18:$AG$42,'Introducció dades consum'!K1034+1,0)</f>
        <v>0</v>
      </c>
      <c r="O1034" s="370" cm="1">
        <f t="array" ref="O1034">+_xlfn.SWITCH(MONTH(C1034),1,1,2,1,3,1,4,2,5,2,6,3,7,3,8,3,9,3,10,2,11,2,12,1,2)</f>
        <v>1</v>
      </c>
      <c r="P1034" s="43"/>
      <c r="AS1034" s="10"/>
      <c r="AT1034" s="10"/>
      <c r="AU1034" s="10"/>
      <c r="AV1034" s="10"/>
      <c r="AW1034" s="10"/>
      <c r="AX1034" s="10"/>
      <c r="AY1034" s="10"/>
      <c r="AZ1034" s="10"/>
      <c r="BA1034" s="10"/>
      <c r="BB1034" s="10"/>
      <c r="BC1034" s="10"/>
      <c r="BD1034" s="10"/>
      <c r="BE1034" s="10"/>
      <c r="BF1034" s="10"/>
      <c r="BG1034" s="10"/>
      <c r="BH1034" s="10"/>
      <c r="BI1034" s="10"/>
      <c r="BJ1034" s="10"/>
      <c r="BK1034" s="10"/>
      <c r="BL1034" s="10"/>
      <c r="BM1034" s="10"/>
      <c r="BN1034" s="10"/>
      <c r="BO1034" s="10"/>
      <c r="BP1034" s="10"/>
      <c r="BQ1034" s="10"/>
      <c r="BR1034" s="10"/>
      <c r="BS1034" s="10"/>
      <c r="BT1034" s="10"/>
      <c r="BU1034" s="10"/>
    </row>
    <row r="1035" spans="1:73" ht="18" x14ac:dyDescent="0.35">
      <c r="A1035" s="43"/>
      <c r="C1035" s="393"/>
      <c r="E1035" s="394"/>
      <c r="F1035" s="394">
        <v>0</v>
      </c>
      <c r="G1035" s="394"/>
      <c r="H1035" s="8" t="s">
        <v>235</v>
      </c>
      <c r="I1035" s="368">
        <f t="shared" si="49"/>
        <v>0</v>
      </c>
      <c r="J1035" s="365">
        <f t="shared" si="48"/>
        <v>0</v>
      </c>
      <c r="K1035" s="369">
        <f t="shared" si="50"/>
        <v>6</v>
      </c>
      <c r="L1035" s="369">
        <f>+IF((C1035&gt;='Resultats - informe'!$E$16)*(C1035&lt;='Resultats - informe'!$G$16),1,0)</f>
        <v>1</v>
      </c>
      <c r="M1035" s="369" cm="1">
        <f t="array" ref="M1035">+_xlfn.IFS((C1035&gt;='Resultats - informe'!$D$26)*(C1035&lt;='Resultats - informe'!$E$26),0,(C1035&gt;='Resultats - informe'!$D$27)*(C1035&lt;='Resultats - informe'!$E$27),0,(C1035&gt;='Resultats - informe'!$D$28)*(C1035&lt;='Resultats - informe'!$E$28),0,(C1035&gt;='Resultats - informe'!$D$29)*(C1035&lt;='Resultats - informe'!$E$29),0,1,1)</f>
        <v>0</v>
      </c>
      <c r="N1035" s="366">
        <f>+VLOOKUP(D1035,'Resultats - informe'!$Y$18:$AG$42,'Introducció dades consum'!K1035+1,0)</f>
        <v>0</v>
      </c>
      <c r="O1035" s="370" cm="1">
        <f t="array" ref="O1035">+_xlfn.SWITCH(MONTH(C1035),1,1,2,1,3,1,4,2,5,2,6,3,7,3,8,3,9,3,10,2,11,2,12,1,2)</f>
        <v>1</v>
      </c>
      <c r="P1035" s="43"/>
      <c r="AS1035" s="10"/>
      <c r="AT1035" s="10"/>
      <c r="AU1035" s="10"/>
      <c r="AV1035" s="10"/>
      <c r="AW1035" s="10"/>
      <c r="AX1035" s="10"/>
      <c r="AY1035" s="10"/>
      <c r="AZ1035" s="10"/>
      <c r="BA1035" s="10"/>
      <c r="BB1035" s="10"/>
      <c r="BC1035" s="10"/>
      <c r="BD1035" s="10"/>
      <c r="BE1035" s="10"/>
      <c r="BF1035" s="10"/>
      <c r="BG1035" s="10"/>
      <c r="BH1035" s="10"/>
      <c r="BI1035" s="10"/>
      <c r="BJ1035" s="10"/>
      <c r="BK1035" s="10"/>
      <c r="BL1035" s="10"/>
      <c r="BM1035" s="10"/>
      <c r="BN1035" s="10"/>
      <c r="BO1035" s="10"/>
      <c r="BP1035" s="10"/>
      <c r="BQ1035" s="10"/>
      <c r="BR1035" s="10"/>
      <c r="BS1035" s="10"/>
      <c r="BT1035" s="10"/>
      <c r="BU1035" s="10"/>
    </row>
    <row r="1036" spans="1:73" ht="18" x14ac:dyDescent="0.35">
      <c r="A1036" s="43"/>
      <c r="C1036" s="393"/>
      <c r="E1036" s="394"/>
      <c r="F1036" s="394">
        <v>0</v>
      </c>
      <c r="G1036" s="394"/>
      <c r="H1036" s="8" t="s">
        <v>235</v>
      </c>
      <c r="I1036" s="368">
        <f t="shared" si="49"/>
        <v>0</v>
      </c>
      <c r="J1036" s="365">
        <f t="shared" si="48"/>
        <v>0</v>
      </c>
      <c r="K1036" s="369">
        <f t="shared" si="50"/>
        <v>6</v>
      </c>
      <c r="L1036" s="369">
        <f>+IF((C1036&gt;='Resultats - informe'!$E$16)*(C1036&lt;='Resultats - informe'!$G$16),1,0)</f>
        <v>1</v>
      </c>
      <c r="M1036" s="369" cm="1">
        <f t="array" ref="M1036">+_xlfn.IFS((C1036&gt;='Resultats - informe'!$D$26)*(C1036&lt;='Resultats - informe'!$E$26),0,(C1036&gt;='Resultats - informe'!$D$27)*(C1036&lt;='Resultats - informe'!$E$27),0,(C1036&gt;='Resultats - informe'!$D$28)*(C1036&lt;='Resultats - informe'!$E$28),0,(C1036&gt;='Resultats - informe'!$D$29)*(C1036&lt;='Resultats - informe'!$E$29),0,1,1)</f>
        <v>0</v>
      </c>
      <c r="N1036" s="366">
        <f>+VLOOKUP(D1036,'Resultats - informe'!$Y$18:$AG$42,'Introducció dades consum'!K1036+1,0)</f>
        <v>0</v>
      </c>
      <c r="O1036" s="370" cm="1">
        <f t="array" ref="O1036">+_xlfn.SWITCH(MONTH(C1036),1,1,2,1,3,1,4,2,5,2,6,3,7,3,8,3,9,3,10,2,11,2,12,1,2)</f>
        <v>1</v>
      </c>
      <c r="P1036" s="43"/>
      <c r="AS1036" s="10"/>
      <c r="AT1036" s="10"/>
      <c r="AU1036" s="10"/>
      <c r="AV1036" s="10"/>
      <c r="AW1036" s="10"/>
      <c r="AX1036" s="10"/>
      <c r="AY1036" s="10"/>
      <c r="AZ1036" s="10"/>
      <c r="BA1036" s="10"/>
      <c r="BB1036" s="10"/>
      <c r="BC1036" s="10"/>
      <c r="BD1036" s="10"/>
      <c r="BE1036" s="10"/>
      <c r="BF1036" s="10"/>
      <c r="BG1036" s="10"/>
      <c r="BH1036" s="10"/>
      <c r="BI1036" s="10"/>
      <c r="BJ1036" s="10"/>
      <c r="BK1036" s="10"/>
      <c r="BL1036" s="10"/>
      <c r="BM1036" s="10"/>
      <c r="BN1036" s="10"/>
      <c r="BO1036" s="10"/>
      <c r="BP1036" s="10"/>
      <c r="BQ1036" s="10"/>
      <c r="BR1036" s="10"/>
      <c r="BS1036" s="10"/>
      <c r="BT1036" s="10"/>
      <c r="BU1036" s="10"/>
    </row>
    <row r="1037" spans="1:73" ht="18" x14ac:dyDescent="0.35">
      <c r="A1037" s="43"/>
      <c r="C1037" s="393"/>
      <c r="E1037" s="394"/>
      <c r="F1037" s="394">
        <v>0</v>
      </c>
      <c r="G1037" s="394"/>
      <c r="H1037" s="8" t="s">
        <v>235</v>
      </c>
      <c r="I1037" s="368">
        <f t="shared" si="49"/>
        <v>0</v>
      </c>
      <c r="J1037" s="365">
        <f t="shared" si="48"/>
        <v>0</v>
      </c>
      <c r="K1037" s="369">
        <f t="shared" si="50"/>
        <v>6</v>
      </c>
      <c r="L1037" s="369">
        <f>+IF((C1037&gt;='Resultats - informe'!$E$16)*(C1037&lt;='Resultats - informe'!$G$16),1,0)</f>
        <v>1</v>
      </c>
      <c r="M1037" s="369" cm="1">
        <f t="array" ref="M1037">+_xlfn.IFS((C1037&gt;='Resultats - informe'!$D$26)*(C1037&lt;='Resultats - informe'!$E$26),0,(C1037&gt;='Resultats - informe'!$D$27)*(C1037&lt;='Resultats - informe'!$E$27),0,(C1037&gt;='Resultats - informe'!$D$28)*(C1037&lt;='Resultats - informe'!$E$28),0,(C1037&gt;='Resultats - informe'!$D$29)*(C1037&lt;='Resultats - informe'!$E$29),0,1,1)</f>
        <v>0</v>
      </c>
      <c r="N1037" s="366">
        <f>+VLOOKUP(D1037,'Resultats - informe'!$Y$18:$AG$42,'Introducció dades consum'!K1037+1,0)</f>
        <v>0</v>
      </c>
      <c r="O1037" s="370" cm="1">
        <f t="array" ref="O1037">+_xlfn.SWITCH(MONTH(C1037),1,1,2,1,3,1,4,2,5,2,6,3,7,3,8,3,9,3,10,2,11,2,12,1,2)</f>
        <v>1</v>
      </c>
      <c r="P1037" s="43"/>
      <c r="AS1037" s="10"/>
      <c r="AT1037" s="10"/>
      <c r="AU1037" s="10"/>
      <c r="AV1037" s="10"/>
      <c r="AW1037" s="10"/>
      <c r="AX1037" s="10"/>
      <c r="AY1037" s="10"/>
      <c r="AZ1037" s="10"/>
      <c r="BA1037" s="10"/>
      <c r="BB1037" s="10"/>
      <c r="BC1037" s="10"/>
      <c r="BD1037" s="10"/>
      <c r="BE1037" s="10"/>
      <c r="BF1037" s="10"/>
      <c r="BG1037" s="10"/>
      <c r="BH1037" s="10"/>
      <c r="BI1037" s="10"/>
      <c r="BJ1037" s="10"/>
      <c r="BK1037" s="10"/>
      <c r="BL1037" s="10"/>
      <c r="BM1037" s="10"/>
      <c r="BN1037" s="10"/>
      <c r="BO1037" s="10"/>
      <c r="BP1037" s="10"/>
      <c r="BQ1037" s="10"/>
      <c r="BR1037" s="10"/>
      <c r="BS1037" s="10"/>
      <c r="BT1037" s="10"/>
      <c r="BU1037" s="10"/>
    </row>
    <row r="1038" spans="1:73" ht="18" x14ac:dyDescent="0.35">
      <c r="A1038" s="43"/>
      <c r="C1038" s="393"/>
      <c r="E1038" s="394"/>
      <c r="F1038" s="394">
        <v>0</v>
      </c>
      <c r="G1038" s="394"/>
      <c r="H1038" s="8" t="s">
        <v>235</v>
      </c>
      <c r="I1038" s="368">
        <f t="shared" si="49"/>
        <v>0</v>
      </c>
      <c r="J1038" s="365">
        <f t="shared" si="48"/>
        <v>0</v>
      </c>
      <c r="K1038" s="369">
        <f t="shared" si="50"/>
        <v>6</v>
      </c>
      <c r="L1038" s="369">
        <f>+IF((C1038&gt;='Resultats - informe'!$E$16)*(C1038&lt;='Resultats - informe'!$G$16),1,0)</f>
        <v>1</v>
      </c>
      <c r="M1038" s="369" cm="1">
        <f t="array" ref="M1038">+_xlfn.IFS((C1038&gt;='Resultats - informe'!$D$26)*(C1038&lt;='Resultats - informe'!$E$26),0,(C1038&gt;='Resultats - informe'!$D$27)*(C1038&lt;='Resultats - informe'!$E$27),0,(C1038&gt;='Resultats - informe'!$D$28)*(C1038&lt;='Resultats - informe'!$E$28),0,(C1038&gt;='Resultats - informe'!$D$29)*(C1038&lt;='Resultats - informe'!$E$29),0,1,1)</f>
        <v>0</v>
      </c>
      <c r="N1038" s="366">
        <f>+VLOOKUP(D1038,'Resultats - informe'!$Y$18:$AG$42,'Introducció dades consum'!K1038+1,0)</f>
        <v>0</v>
      </c>
      <c r="O1038" s="370" cm="1">
        <f t="array" ref="O1038">+_xlfn.SWITCH(MONTH(C1038),1,1,2,1,3,1,4,2,5,2,6,3,7,3,8,3,9,3,10,2,11,2,12,1,2)</f>
        <v>1</v>
      </c>
      <c r="P1038" s="43"/>
      <c r="AS1038" s="10"/>
      <c r="AT1038" s="10"/>
      <c r="AU1038" s="10"/>
      <c r="AV1038" s="10"/>
      <c r="AW1038" s="10"/>
      <c r="AX1038" s="10"/>
      <c r="AY1038" s="10"/>
      <c r="AZ1038" s="10"/>
      <c r="BA1038" s="10"/>
      <c r="BB1038" s="10"/>
      <c r="BC1038" s="10"/>
      <c r="BD1038" s="10"/>
      <c r="BE1038" s="10"/>
      <c r="BF1038" s="10"/>
      <c r="BG1038" s="10"/>
      <c r="BH1038" s="10"/>
      <c r="BI1038" s="10"/>
      <c r="BJ1038" s="10"/>
      <c r="BK1038" s="10"/>
      <c r="BL1038" s="10"/>
      <c r="BM1038" s="10"/>
      <c r="BN1038" s="10"/>
      <c r="BO1038" s="10"/>
      <c r="BP1038" s="10"/>
      <c r="BQ1038" s="10"/>
      <c r="BR1038" s="10"/>
      <c r="BS1038" s="10"/>
      <c r="BT1038" s="10"/>
      <c r="BU1038" s="10"/>
    </row>
    <row r="1039" spans="1:73" ht="18" x14ac:dyDescent="0.35">
      <c r="A1039" s="43"/>
      <c r="C1039" s="393"/>
      <c r="E1039" s="394"/>
      <c r="F1039" s="394">
        <v>0</v>
      </c>
      <c r="G1039" s="394"/>
      <c r="H1039" s="8" t="s">
        <v>235</v>
      </c>
      <c r="I1039" s="368">
        <f t="shared" si="49"/>
        <v>0</v>
      </c>
      <c r="J1039" s="365">
        <f t="shared" si="48"/>
        <v>0</v>
      </c>
      <c r="K1039" s="369">
        <f t="shared" si="50"/>
        <v>6</v>
      </c>
      <c r="L1039" s="369">
        <f>+IF((C1039&gt;='Resultats - informe'!$E$16)*(C1039&lt;='Resultats - informe'!$G$16),1,0)</f>
        <v>1</v>
      </c>
      <c r="M1039" s="369" cm="1">
        <f t="array" ref="M1039">+_xlfn.IFS((C1039&gt;='Resultats - informe'!$D$26)*(C1039&lt;='Resultats - informe'!$E$26),0,(C1039&gt;='Resultats - informe'!$D$27)*(C1039&lt;='Resultats - informe'!$E$27),0,(C1039&gt;='Resultats - informe'!$D$28)*(C1039&lt;='Resultats - informe'!$E$28),0,(C1039&gt;='Resultats - informe'!$D$29)*(C1039&lt;='Resultats - informe'!$E$29),0,1,1)</f>
        <v>0</v>
      </c>
      <c r="N1039" s="366">
        <f>+VLOOKUP(D1039,'Resultats - informe'!$Y$18:$AG$42,'Introducció dades consum'!K1039+1,0)</f>
        <v>0</v>
      </c>
      <c r="O1039" s="370" cm="1">
        <f t="array" ref="O1039">+_xlfn.SWITCH(MONTH(C1039),1,1,2,1,3,1,4,2,5,2,6,3,7,3,8,3,9,3,10,2,11,2,12,1,2)</f>
        <v>1</v>
      </c>
      <c r="P1039" s="43"/>
      <c r="AS1039" s="10"/>
      <c r="AT1039" s="10"/>
      <c r="AU1039" s="10"/>
      <c r="AV1039" s="10"/>
      <c r="AW1039" s="10"/>
      <c r="AX1039" s="10"/>
      <c r="AY1039" s="10"/>
      <c r="AZ1039" s="10"/>
      <c r="BA1039" s="10"/>
      <c r="BB1039" s="10"/>
      <c r="BC1039" s="10"/>
      <c r="BD1039" s="10"/>
      <c r="BE1039" s="10"/>
      <c r="BF1039" s="10"/>
      <c r="BG1039" s="10"/>
      <c r="BH1039" s="10"/>
      <c r="BI1039" s="10"/>
      <c r="BJ1039" s="10"/>
      <c r="BK1039" s="10"/>
      <c r="BL1039" s="10"/>
      <c r="BM1039" s="10"/>
      <c r="BN1039" s="10"/>
      <c r="BO1039" s="10"/>
      <c r="BP1039" s="10"/>
      <c r="BQ1039" s="10"/>
      <c r="BR1039" s="10"/>
      <c r="BS1039" s="10"/>
      <c r="BT1039" s="10"/>
      <c r="BU1039" s="10"/>
    </row>
    <row r="1040" spans="1:73" ht="18" x14ac:dyDescent="0.35">
      <c r="A1040" s="43"/>
      <c r="C1040" s="393"/>
      <c r="E1040" s="394"/>
      <c r="F1040" s="394">
        <v>0</v>
      </c>
      <c r="G1040" s="394"/>
      <c r="H1040" s="8" t="s">
        <v>235</v>
      </c>
      <c r="I1040" s="368">
        <f t="shared" si="49"/>
        <v>0</v>
      </c>
      <c r="J1040" s="365">
        <f t="shared" si="48"/>
        <v>0</v>
      </c>
      <c r="K1040" s="369">
        <f t="shared" si="50"/>
        <v>6</v>
      </c>
      <c r="L1040" s="369">
        <f>+IF((C1040&gt;='Resultats - informe'!$E$16)*(C1040&lt;='Resultats - informe'!$G$16),1,0)</f>
        <v>1</v>
      </c>
      <c r="M1040" s="369" cm="1">
        <f t="array" ref="M1040">+_xlfn.IFS((C1040&gt;='Resultats - informe'!$D$26)*(C1040&lt;='Resultats - informe'!$E$26),0,(C1040&gt;='Resultats - informe'!$D$27)*(C1040&lt;='Resultats - informe'!$E$27),0,(C1040&gt;='Resultats - informe'!$D$28)*(C1040&lt;='Resultats - informe'!$E$28),0,(C1040&gt;='Resultats - informe'!$D$29)*(C1040&lt;='Resultats - informe'!$E$29),0,1,1)</f>
        <v>0</v>
      </c>
      <c r="N1040" s="366">
        <f>+VLOOKUP(D1040,'Resultats - informe'!$Y$18:$AG$42,'Introducció dades consum'!K1040+1,0)</f>
        <v>0</v>
      </c>
      <c r="O1040" s="370" cm="1">
        <f t="array" ref="O1040">+_xlfn.SWITCH(MONTH(C1040),1,1,2,1,3,1,4,2,5,2,6,3,7,3,8,3,9,3,10,2,11,2,12,1,2)</f>
        <v>1</v>
      </c>
      <c r="P1040" s="43"/>
      <c r="AS1040" s="10"/>
      <c r="AT1040" s="10"/>
      <c r="AU1040" s="10"/>
      <c r="AV1040" s="10"/>
      <c r="AW1040" s="10"/>
      <c r="AX1040" s="10"/>
      <c r="AY1040" s="10"/>
      <c r="AZ1040" s="10"/>
      <c r="BA1040" s="10"/>
      <c r="BB1040" s="10"/>
      <c r="BC1040" s="10"/>
      <c r="BD1040" s="10"/>
      <c r="BE1040" s="10"/>
      <c r="BF1040" s="10"/>
      <c r="BG1040" s="10"/>
      <c r="BH1040" s="10"/>
      <c r="BI1040" s="10"/>
      <c r="BJ1040" s="10"/>
      <c r="BK1040" s="10"/>
      <c r="BL1040" s="10"/>
      <c r="BM1040" s="10"/>
      <c r="BN1040" s="10"/>
      <c r="BO1040" s="10"/>
      <c r="BP1040" s="10"/>
      <c r="BQ1040" s="10"/>
      <c r="BR1040" s="10"/>
      <c r="BS1040" s="10"/>
      <c r="BT1040" s="10"/>
      <c r="BU1040" s="10"/>
    </row>
    <row r="1041" spans="1:73" ht="18" x14ac:dyDescent="0.35">
      <c r="A1041" s="43"/>
      <c r="C1041" s="393"/>
      <c r="E1041" s="394"/>
      <c r="F1041" s="394">
        <v>0</v>
      </c>
      <c r="G1041" s="394"/>
      <c r="H1041" s="8" t="s">
        <v>235</v>
      </c>
      <c r="I1041" s="368">
        <f t="shared" si="49"/>
        <v>0</v>
      </c>
      <c r="J1041" s="365">
        <f t="shared" si="48"/>
        <v>0</v>
      </c>
      <c r="K1041" s="369">
        <f t="shared" si="50"/>
        <v>6</v>
      </c>
      <c r="L1041" s="369">
        <f>+IF((C1041&gt;='Resultats - informe'!$E$16)*(C1041&lt;='Resultats - informe'!$G$16),1,0)</f>
        <v>1</v>
      </c>
      <c r="M1041" s="369" cm="1">
        <f t="array" ref="M1041">+_xlfn.IFS((C1041&gt;='Resultats - informe'!$D$26)*(C1041&lt;='Resultats - informe'!$E$26),0,(C1041&gt;='Resultats - informe'!$D$27)*(C1041&lt;='Resultats - informe'!$E$27),0,(C1041&gt;='Resultats - informe'!$D$28)*(C1041&lt;='Resultats - informe'!$E$28),0,(C1041&gt;='Resultats - informe'!$D$29)*(C1041&lt;='Resultats - informe'!$E$29),0,1,1)</f>
        <v>0</v>
      </c>
      <c r="N1041" s="366">
        <f>+VLOOKUP(D1041,'Resultats - informe'!$Y$18:$AG$42,'Introducció dades consum'!K1041+1,0)</f>
        <v>0</v>
      </c>
      <c r="O1041" s="370" cm="1">
        <f t="array" ref="O1041">+_xlfn.SWITCH(MONTH(C1041),1,1,2,1,3,1,4,2,5,2,6,3,7,3,8,3,9,3,10,2,11,2,12,1,2)</f>
        <v>1</v>
      </c>
      <c r="P1041" s="43"/>
      <c r="AS1041" s="10"/>
      <c r="AT1041" s="10"/>
      <c r="AU1041" s="10"/>
      <c r="AV1041" s="10"/>
      <c r="AW1041" s="10"/>
      <c r="AX1041" s="10"/>
      <c r="AY1041" s="10"/>
      <c r="AZ1041" s="10"/>
      <c r="BA1041" s="10"/>
      <c r="BB1041" s="10"/>
      <c r="BC1041" s="10"/>
      <c r="BD1041" s="10"/>
      <c r="BE1041" s="10"/>
      <c r="BF1041" s="10"/>
      <c r="BG1041" s="10"/>
      <c r="BH1041" s="10"/>
      <c r="BI1041" s="10"/>
      <c r="BJ1041" s="10"/>
      <c r="BK1041" s="10"/>
      <c r="BL1041" s="10"/>
      <c r="BM1041" s="10"/>
      <c r="BN1041" s="10"/>
      <c r="BO1041" s="10"/>
      <c r="BP1041" s="10"/>
      <c r="BQ1041" s="10"/>
      <c r="BR1041" s="10"/>
      <c r="BS1041" s="10"/>
      <c r="BT1041" s="10"/>
      <c r="BU1041" s="10"/>
    </row>
    <row r="1042" spans="1:73" ht="18" x14ac:dyDescent="0.35">
      <c r="A1042" s="43"/>
      <c r="C1042" s="393"/>
      <c r="E1042" s="394"/>
      <c r="F1042" s="394">
        <v>0</v>
      </c>
      <c r="G1042" s="394"/>
      <c r="H1042" s="8" t="s">
        <v>235</v>
      </c>
      <c r="I1042" s="368">
        <f t="shared" si="49"/>
        <v>0</v>
      </c>
      <c r="J1042" s="365">
        <f t="shared" si="48"/>
        <v>0</v>
      </c>
      <c r="K1042" s="369">
        <f t="shared" si="50"/>
        <v>6</v>
      </c>
      <c r="L1042" s="369">
        <f>+IF((C1042&gt;='Resultats - informe'!$E$16)*(C1042&lt;='Resultats - informe'!$G$16),1,0)</f>
        <v>1</v>
      </c>
      <c r="M1042" s="369" cm="1">
        <f t="array" ref="M1042">+_xlfn.IFS((C1042&gt;='Resultats - informe'!$D$26)*(C1042&lt;='Resultats - informe'!$E$26),0,(C1042&gt;='Resultats - informe'!$D$27)*(C1042&lt;='Resultats - informe'!$E$27),0,(C1042&gt;='Resultats - informe'!$D$28)*(C1042&lt;='Resultats - informe'!$E$28),0,(C1042&gt;='Resultats - informe'!$D$29)*(C1042&lt;='Resultats - informe'!$E$29),0,1,1)</f>
        <v>0</v>
      </c>
      <c r="N1042" s="366">
        <f>+VLOOKUP(D1042,'Resultats - informe'!$Y$18:$AG$42,'Introducció dades consum'!K1042+1,0)</f>
        <v>0</v>
      </c>
      <c r="O1042" s="370" cm="1">
        <f t="array" ref="O1042">+_xlfn.SWITCH(MONTH(C1042),1,1,2,1,3,1,4,2,5,2,6,3,7,3,8,3,9,3,10,2,11,2,12,1,2)</f>
        <v>1</v>
      </c>
      <c r="P1042" s="43"/>
      <c r="AS1042" s="10"/>
      <c r="AT1042" s="10"/>
      <c r="AU1042" s="10"/>
      <c r="AV1042" s="10"/>
      <c r="AW1042" s="10"/>
      <c r="AX1042" s="10"/>
      <c r="AY1042" s="10"/>
      <c r="AZ1042" s="10"/>
      <c r="BA1042" s="10"/>
      <c r="BB1042" s="10"/>
      <c r="BC1042" s="10"/>
      <c r="BD1042" s="10"/>
      <c r="BE1042" s="10"/>
      <c r="BF1042" s="10"/>
      <c r="BG1042" s="10"/>
      <c r="BH1042" s="10"/>
      <c r="BI1042" s="10"/>
      <c r="BJ1042" s="10"/>
      <c r="BK1042" s="10"/>
      <c r="BL1042" s="10"/>
      <c r="BM1042" s="10"/>
      <c r="BN1042" s="10"/>
      <c r="BO1042" s="10"/>
      <c r="BP1042" s="10"/>
      <c r="BQ1042" s="10"/>
      <c r="BR1042" s="10"/>
      <c r="BS1042" s="10"/>
      <c r="BT1042" s="10"/>
      <c r="BU1042" s="10"/>
    </row>
    <row r="1043" spans="1:73" ht="18" x14ac:dyDescent="0.35">
      <c r="A1043" s="43"/>
      <c r="C1043" s="393"/>
      <c r="E1043" s="394"/>
      <c r="F1043" s="394">
        <v>0</v>
      </c>
      <c r="G1043" s="394"/>
      <c r="H1043" s="8" t="s">
        <v>235</v>
      </c>
      <c r="I1043" s="368">
        <f t="shared" si="49"/>
        <v>0</v>
      </c>
      <c r="J1043" s="365">
        <f t="shared" si="48"/>
        <v>0</v>
      </c>
      <c r="K1043" s="369">
        <f t="shared" si="50"/>
        <v>6</v>
      </c>
      <c r="L1043" s="369">
        <f>+IF((C1043&gt;='Resultats - informe'!$E$16)*(C1043&lt;='Resultats - informe'!$G$16),1,0)</f>
        <v>1</v>
      </c>
      <c r="M1043" s="369" cm="1">
        <f t="array" ref="M1043">+_xlfn.IFS((C1043&gt;='Resultats - informe'!$D$26)*(C1043&lt;='Resultats - informe'!$E$26),0,(C1043&gt;='Resultats - informe'!$D$27)*(C1043&lt;='Resultats - informe'!$E$27),0,(C1043&gt;='Resultats - informe'!$D$28)*(C1043&lt;='Resultats - informe'!$E$28),0,(C1043&gt;='Resultats - informe'!$D$29)*(C1043&lt;='Resultats - informe'!$E$29),0,1,1)</f>
        <v>0</v>
      </c>
      <c r="N1043" s="366">
        <f>+VLOOKUP(D1043,'Resultats - informe'!$Y$18:$AG$42,'Introducció dades consum'!K1043+1,0)</f>
        <v>0</v>
      </c>
      <c r="O1043" s="370" cm="1">
        <f t="array" ref="O1043">+_xlfn.SWITCH(MONTH(C1043),1,1,2,1,3,1,4,2,5,2,6,3,7,3,8,3,9,3,10,2,11,2,12,1,2)</f>
        <v>1</v>
      </c>
      <c r="P1043" s="43"/>
      <c r="AS1043" s="10"/>
      <c r="AT1043" s="10"/>
      <c r="AU1043" s="10"/>
      <c r="AV1043" s="10"/>
      <c r="AW1043" s="10"/>
      <c r="AX1043" s="10"/>
      <c r="AY1043" s="10"/>
      <c r="AZ1043" s="10"/>
      <c r="BA1043" s="10"/>
      <c r="BB1043" s="10"/>
      <c r="BC1043" s="10"/>
      <c r="BD1043" s="10"/>
      <c r="BE1043" s="10"/>
      <c r="BF1043" s="10"/>
      <c r="BG1043" s="10"/>
      <c r="BH1043" s="10"/>
      <c r="BI1043" s="10"/>
      <c r="BJ1043" s="10"/>
      <c r="BK1043" s="10"/>
      <c r="BL1043" s="10"/>
      <c r="BM1043" s="10"/>
      <c r="BN1043" s="10"/>
      <c r="BO1043" s="10"/>
      <c r="BP1043" s="10"/>
      <c r="BQ1043" s="10"/>
      <c r="BR1043" s="10"/>
      <c r="BS1043" s="10"/>
      <c r="BT1043" s="10"/>
      <c r="BU1043" s="10"/>
    </row>
    <row r="1044" spans="1:73" ht="18" x14ac:dyDescent="0.35">
      <c r="A1044" s="43"/>
      <c r="C1044" s="393"/>
      <c r="E1044" s="394"/>
      <c r="F1044" s="394">
        <v>0.14499999999999999</v>
      </c>
      <c r="G1044" s="394"/>
      <c r="H1044" s="8" t="s">
        <v>235</v>
      </c>
      <c r="I1044" s="368">
        <f t="shared" si="49"/>
        <v>0</v>
      </c>
      <c r="J1044" s="365">
        <f t="shared" si="48"/>
        <v>0</v>
      </c>
      <c r="K1044" s="369">
        <f t="shared" si="50"/>
        <v>6</v>
      </c>
      <c r="L1044" s="369">
        <f>+IF((C1044&gt;='Resultats - informe'!$E$16)*(C1044&lt;='Resultats - informe'!$G$16),1,0)</f>
        <v>1</v>
      </c>
      <c r="M1044" s="369" cm="1">
        <f t="array" ref="M1044">+_xlfn.IFS((C1044&gt;='Resultats - informe'!$D$26)*(C1044&lt;='Resultats - informe'!$E$26),0,(C1044&gt;='Resultats - informe'!$D$27)*(C1044&lt;='Resultats - informe'!$E$27),0,(C1044&gt;='Resultats - informe'!$D$28)*(C1044&lt;='Resultats - informe'!$E$28),0,(C1044&gt;='Resultats - informe'!$D$29)*(C1044&lt;='Resultats - informe'!$E$29),0,1,1)</f>
        <v>0</v>
      </c>
      <c r="N1044" s="366">
        <f>+VLOOKUP(D1044,'Resultats - informe'!$Y$18:$AG$42,'Introducció dades consum'!K1044+1,0)</f>
        <v>0</v>
      </c>
      <c r="O1044" s="370" cm="1">
        <f t="array" ref="O1044">+_xlfn.SWITCH(MONTH(C1044),1,1,2,1,3,1,4,2,5,2,6,3,7,3,8,3,9,3,10,2,11,2,12,1,2)</f>
        <v>1</v>
      </c>
      <c r="P1044" s="43"/>
      <c r="AS1044" s="10"/>
      <c r="AT1044" s="10"/>
      <c r="AU1044" s="10"/>
      <c r="AV1044" s="10"/>
      <c r="AW1044" s="10"/>
      <c r="AX1044" s="10"/>
      <c r="AY1044" s="10"/>
      <c r="AZ1044" s="10"/>
      <c r="BA1044" s="10"/>
      <c r="BB1044" s="10"/>
      <c r="BC1044" s="10"/>
      <c r="BD1044" s="10"/>
      <c r="BE1044" s="10"/>
      <c r="BF1044" s="10"/>
      <c r="BG1044" s="10"/>
      <c r="BH1044" s="10"/>
      <c r="BI1044" s="10"/>
      <c r="BJ1044" s="10"/>
      <c r="BK1044" s="10"/>
      <c r="BL1044" s="10"/>
      <c r="BM1044" s="10"/>
      <c r="BN1044" s="10"/>
      <c r="BO1044" s="10"/>
      <c r="BP1044" s="10"/>
      <c r="BQ1044" s="10"/>
      <c r="BR1044" s="10"/>
      <c r="BS1044" s="10"/>
      <c r="BT1044" s="10"/>
      <c r="BU1044" s="10"/>
    </row>
    <row r="1045" spans="1:73" ht="18" x14ac:dyDescent="0.35">
      <c r="A1045" s="43"/>
      <c r="C1045" s="393"/>
      <c r="E1045" s="394"/>
      <c r="F1045" s="394">
        <v>0</v>
      </c>
      <c r="G1045" s="394"/>
      <c r="H1045" s="8" t="s">
        <v>235</v>
      </c>
      <c r="I1045" s="368">
        <f t="shared" si="49"/>
        <v>0</v>
      </c>
      <c r="J1045" s="365">
        <f t="shared" si="48"/>
        <v>0</v>
      </c>
      <c r="K1045" s="369">
        <f t="shared" si="50"/>
        <v>6</v>
      </c>
      <c r="L1045" s="369">
        <f>+IF((C1045&gt;='Resultats - informe'!$E$16)*(C1045&lt;='Resultats - informe'!$G$16),1,0)</f>
        <v>1</v>
      </c>
      <c r="M1045" s="369" cm="1">
        <f t="array" ref="M1045">+_xlfn.IFS((C1045&gt;='Resultats - informe'!$D$26)*(C1045&lt;='Resultats - informe'!$E$26),0,(C1045&gt;='Resultats - informe'!$D$27)*(C1045&lt;='Resultats - informe'!$E$27),0,(C1045&gt;='Resultats - informe'!$D$28)*(C1045&lt;='Resultats - informe'!$E$28),0,(C1045&gt;='Resultats - informe'!$D$29)*(C1045&lt;='Resultats - informe'!$E$29),0,1,1)</f>
        <v>0</v>
      </c>
      <c r="N1045" s="366">
        <f>+VLOOKUP(D1045,'Resultats - informe'!$Y$18:$AG$42,'Introducció dades consum'!K1045+1,0)</f>
        <v>0</v>
      </c>
      <c r="O1045" s="370" cm="1">
        <f t="array" ref="O1045">+_xlfn.SWITCH(MONTH(C1045),1,1,2,1,3,1,4,2,5,2,6,3,7,3,8,3,9,3,10,2,11,2,12,1,2)</f>
        <v>1</v>
      </c>
      <c r="P1045" s="43"/>
      <c r="AS1045" s="10"/>
      <c r="AT1045" s="10"/>
      <c r="AU1045" s="10"/>
      <c r="AV1045" s="10"/>
      <c r="AW1045" s="10"/>
      <c r="AX1045" s="10"/>
      <c r="AY1045" s="10"/>
      <c r="AZ1045" s="10"/>
      <c r="BA1045" s="10"/>
      <c r="BB1045" s="10"/>
      <c r="BC1045" s="10"/>
      <c r="BD1045" s="10"/>
      <c r="BE1045" s="10"/>
      <c r="BF1045" s="10"/>
      <c r="BG1045" s="10"/>
      <c r="BH1045" s="10"/>
      <c r="BI1045" s="10"/>
      <c r="BJ1045" s="10"/>
      <c r="BK1045" s="10"/>
      <c r="BL1045" s="10"/>
      <c r="BM1045" s="10"/>
      <c r="BN1045" s="10"/>
      <c r="BO1045" s="10"/>
      <c r="BP1045" s="10"/>
      <c r="BQ1045" s="10"/>
      <c r="BR1045" s="10"/>
      <c r="BS1045" s="10"/>
      <c r="BT1045" s="10"/>
      <c r="BU1045" s="10"/>
    </row>
    <row r="1046" spans="1:73" ht="18" x14ac:dyDescent="0.35">
      <c r="A1046" s="43"/>
      <c r="C1046" s="393"/>
      <c r="E1046" s="394"/>
      <c r="F1046" s="394">
        <v>0</v>
      </c>
      <c r="G1046" s="394"/>
      <c r="H1046" s="8" t="s">
        <v>235</v>
      </c>
      <c r="I1046" s="368">
        <f t="shared" si="49"/>
        <v>0</v>
      </c>
      <c r="J1046" s="365">
        <f t="shared" si="48"/>
        <v>0</v>
      </c>
      <c r="K1046" s="369">
        <f t="shared" si="50"/>
        <v>6</v>
      </c>
      <c r="L1046" s="369">
        <f>+IF((C1046&gt;='Resultats - informe'!$E$16)*(C1046&lt;='Resultats - informe'!$G$16),1,0)</f>
        <v>1</v>
      </c>
      <c r="M1046" s="369" cm="1">
        <f t="array" ref="M1046">+_xlfn.IFS((C1046&gt;='Resultats - informe'!$D$26)*(C1046&lt;='Resultats - informe'!$E$26),0,(C1046&gt;='Resultats - informe'!$D$27)*(C1046&lt;='Resultats - informe'!$E$27),0,(C1046&gt;='Resultats - informe'!$D$28)*(C1046&lt;='Resultats - informe'!$E$28),0,(C1046&gt;='Resultats - informe'!$D$29)*(C1046&lt;='Resultats - informe'!$E$29),0,1,1)</f>
        <v>0</v>
      </c>
      <c r="N1046" s="366">
        <f>+VLOOKUP(D1046,'Resultats - informe'!$Y$18:$AG$42,'Introducció dades consum'!K1046+1,0)</f>
        <v>0</v>
      </c>
      <c r="O1046" s="370" cm="1">
        <f t="array" ref="O1046">+_xlfn.SWITCH(MONTH(C1046),1,1,2,1,3,1,4,2,5,2,6,3,7,3,8,3,9,3,10,2,11,2,12,1,2)</f>
        <v>1</v>
      </c>
      <c r="P1046" s="43"/>
      <c r="AS1046" s="10"/>
      <c r="AT1046" s="10"/>
      <c r="AU1046" s="10"/>
      <c r="AV1046" s="10"/>
      <c r="AW1046" s="10"/>
      <c r="AX1046" s="10"/>
      <c r="AY1046" s="10"/>
      <c r="AZ1046" s="10"/>
      <c r="BA1046" s="10"/>
      <c r="BB1046" s="10"/>
      <c r="BC1046" s="10"/>
      <c r="BD1046" s="10"/>
      <c r="BE1046" s="10"/>
      <c r="BF1046" s="10"/>
      <c r="BG1046" s="10"/>
      <c r="BH1046" s="10"/>
      <c r="BI1046" s="10"/>
      <c r="BJ1046" s="10"/>
      <c r="BK1046" s="10"/>
      <c r="BL1046" s="10"/>
      <c r="BM1046" s="10"/>
      <c r="BN1046" s="10"/>
      <c r="BO1046" s="10"/>
      <c r="BP1046" s="10"/>
      <c r="BQ1046" s="10"/>
      <c r="BR1046" s="10"/>
      <c r="BS1046" s="10"/>
      <c r="BT1046" s="10"/>
      <c r="BU1046" s="10"/>
    </row>
    <row r="1047" spans="1:73" ht="18" x14ac:dyDescent="0.35">
      <c r="A1047" s="43"/>
      <c r="C1047" s="393"/>
      <c r="E1047" s="394"/>
      <c r="F1047" s="394">
        <v>0</v>
      </c>
      <c r="G1047" s="394"/>
      <c r="H1047" s="8" t="s">
        <v>235</v>
      </c>
      <c r="I1047" s="368">
        <f t="shared" si="49"/>
        <v>0</v>
      </c>
      <c r="J1047" s="365">
        <f t="shared" si="48"/>
        <v>0</v>
      </c>
      <c r="K1047" s="369">
        <f t="shared" si="50"/>
        <v>6</v>
      </c>
      <c r="L1047" s="369">
        <f>+IF((C1047&gt;='Resultats - informe'!$E$16)*(C1047&lt;='Resultats - informe'!$G$16),1,0)</f>
        <v>1</v>
      </c>
      <c r="M1047" s="369" cm="1">
        <f t="array" ref="M1047">+_xlfn.IFS((C1047&gt;='Resultats - informe'!$D$26)*(C1047&lt;='Resultats - informe'!$E$26),0,(C1047&gt;='Resultats - informe'!$D$27)*(C1047&lt;='Resultats - informe'!$E$27),0,(C1047&gt;='Resultats - informe'!$D$28)*(C1047&lt;='Resultats - informe'!$E$28),0,(C1047&gt;='Resultats - informe'!$D$29)*(C1047&lt;='Resultats - informe'!$E$29),0,1,1)</f>
        <v>0</v>
      </c>
      <c r="N1047" s="366">
        <f>+VLOOKUP(D1047,'Resultats - informe'!$Y$18:$AG$42,'Introducció dades consum'!K1047+1,0)</f>
        <v>0</v>
      </c>
      <c r="O1047" s="370" cm="1">
        <f t="array" ref="O1047">+_xlfn.SWITCH(MONTH(C1047),1,1,2,1,3,1,4,2,5,2,6,3,7,3,8,3,9,3,10,2,11,2,12,1,2)</f>
        <v>1</v>
      </c>
      <c r="P1047" s="43"/>
      <c r="AS1047" s="10"/>
      <c r="AT1047" s="10"/>
      <c r="AU1047" s="10"/>
      <c r="AV1047" s="10"/>
      <c r="AW1047" s="10"/>
      <c r="AX1047" s="10"/>
      <c r="AY1047" s="10"/>
      <c r="AZ1047" s="10"/>
      <c r="BA1047" s="10"/>
      <c r="BB1047" s="10"/>
      <c r="BC1047" s="10"/>
      <c r="BD1047" s="10"/>
      <c r="BE1047" s="10"/>
      <c r="BF1047" s="10"/>
      <c r="BG1047" s="10"/>
      <c r="BH1047" s="10"/>
      <c r="BI1047" s="10"/>
      <c r="BJ1047" s="10"/>
      <c r="BK1047" s="10"/>
      <c r="BL1047" s="10"/>
      <c r="BM1047" s="10"/>
      <c r="BN1047" s="10"/>
      <c r="BO1047" s="10"/>
      <c r="BP1047" s="10"/>
      <c r="BQ1047" s="10"/>
      <c r="BR1047" s="10"/>
      <c r="BS1047" s="10"/>
      <c r="BT1047" s="10"/>
      <c r="BU1047" s="10"/>
    </row>
    <row r="1048" spans="1:73" ht="18" x14ac:dyDescent="0.35">
      <c r="A1048" s="43"/>
      <c r="C1048" s="393"/>
      <c r="E1048" s="394"/>
      <c r="F1048" s="394">
        <v>1.151</v>
      </c>
      <c r="G1048" s="394"/>
      <c r="H1048" s="8" t="s">
        <v>61</v>
      </c>
      <c r="I1048" s="368">
        <f t="shared" si="49"/>
        <v>0</v>
      </c>
      <c r="J1048" s="365">
        <f t="shared" si="48"/>
        <v>0</v>
      </c>
      <c r="K1048" s="369">
        <f t="shared" si="50"/>
        <v>6</v>
      </c>
      <c r="L1048" s="369">
        <f>+IF((C1048&gt;='Resultats - informe'!$E$16)*(C1048&lt;='Resultats - informe'!$G$16),1,0)</f>
        <v>1</v>
      </c>
      <c r="M1048" s="369" cm="1">
        <f t="array" ref="M1048">+_xlfn.IFS((C1048&gt;='Resultats - informe'!$D$26)*(C1048&lt;='Resultats - informe'!$E$26),0,(C1048&gt;='Resultats - informe'!$D$27)*(C1048&lt;='Resultats - informe'!$E$27),0,(C1048&gt;='Resultats - informe'!$D$28)*(C1048&lt;='Resultats - informe'!$E$28),0,(C1048&gt;='Resultats - informe'!$D$29)*(C1048&lt;='Resultats - informe'!$E$29),0,1,1)</f>
        <v>0</v>
      </c>
      <c r="N1048" s="366">
        <f>+VLOOKUP(D1048,'Resultats - informe'!$Y$18:$AG$42,'Introducció dades consum'!K1048+1,0)</f>
        <v>0</v>
      </c>
      <c r="O1048" s="370" cm="1">
        <f t="array" ref="O1048">+_xlfn.SWITCH(MONTH(C1048),1,1,2,1,3,1,4,2,5,2,6,3,7,3,8,3,9,3,10,2,11,2,12,1,2)</f>
        <v>1</v>
      </c>
      <c r="P1048" s="43"/>
      <c r="AS1048" s="10"/>
      <c r="AT1048" s="10"/>
      <c r="AU1048" s="10"/>
      <c r="AV1048" s="10"/>
      <c r="AW1048" s="10"/>
      <c r="AX1048" s="10"/>
      <c r="AY1048" s="10"/>
      <c r="AZ1048" s="10"/>
      <c r="BA1048" s="10"/>
      <c r="BB1048" s="10"/>
      <c r="BC1048" s="10"/>
      <c r="BD1048" s="10"/>
      <c r="BE1048" s="10"/>
      <c r="BF1048" s="10"/>
      <c r="BG1048" s="10"/>
      <c r="BH1048" s="10"/>
      <c r="BI1048" s="10"/>
      <c r="BJ1048" s="10"/>
      <c r="BK1048" s="10"/>
      <c r="BL1048" s="10"/>
      <c r="BM1048" s="10"/>
      <c r="BN1048" s="10"/>
      <c r="BO1048" s="10"/>
      <c r="BP1048" s="10"/>
      <c r="BQ1048" s="10"/>
      <c r="BR1048" s="10"/>
      <c r="BS1048" s="10"/>
      <c r="BT1048" s="10"/>
      <c r="BU1048" s="10"/>
    </row>
    <row r="1049" spans="1:73" ht="18" x14ac:dyDescent="0.35">
      <c r="A1049" s="43"/>
      <c r="C1049" s="393"/>
      <c r="E1049" s="394"/>
      <c r="F1049" s="394">
        <v>2.105</v>
      </c>
      <c r="G1049" s="394"/>
      <c r="H1049" s="8" t="s">
        <v>61</v>
      </c>
      <c r="I1049" s="368">
        <f t="shared" si="49"/>
        <v>0</v>
      </c>
      <c r="J1049" s="365">
        <f t="shared" si="48"/>
        <v>0</v>
      </c>
      <c r="K1049" s="369">
        <f t="shared" si="50"/>
        <v>6</v>
      </c>
      <c r="L1049" s="369">
        <f>+IF((C1049&gt;='Resultats - informe'!$E$16)*(C1049&lt;='Resultats - informe'!$G$16),1,0)</f>
        <v>1</v>
      </c>
      <c r="M1049" s="369" cm="1">
        <f t="array" ref="M1049">+_xlfn.IFS((C1049&gt;='Resultats - informe'!$D$26)*(C1049&lt;='Resultats - informe'!$E$26),0,(C1049&gt;='Resultats - informe'!$D$27)*(C1049&lt;='Resultats - informe'!$E$27),0,(C1049&gt;='Resultats - informe'!$D$28)*(C1049&lt;='Resultats - informe'!$E$28),0,(C1049&gt;='Resultats - informe'!$D$29)*(C1049&lt;='Resultats - informe'!$E$29),0,1,1)</f>
        <v>0</v>
      </c>
      <c r="N1049" s="366">
        <f>+VLOOKUP(D1049,'Resultats - informe'!$Y$18:$AG$42,'Introducció dades consum'!K1049+1,0)</f>
        <v>0</v>
      </c>
      <c r="O1049" s="370" cm="1">
        <f t="array" ref="O1049">+_xlfn.SWITCH(MONTH(C1049),1,1,2,1,3,1,4,2,5,2,6,3,7,3,8,3,9,3,10,2,11,2,12,1,2)</f>
        <v>1</v>
      </c>
      <c r="P1049" s="43"/>
      <c r="AS1049" s="10"/>
      <c r="AT1049" s="10"/>
      <c r="AU1049" s="10"/>
      <c r="AV1049" s="10"/>
      <c r="AW1049" s="10"/>
      <c r="AX1049" s="10"/>
      <c r="AY1049" s="10"/>
      <c r="AZ1049" s="10"/>
      <c r="BA1049" s="10"/>
      <c r="BB1049" s="10"/>
      <c r="BC1049" s="10"/>
      <c r="BD1049" s="10"/>
      <c r="BE1049" s="10"/>
      <c r="BF1049" s="10"/>
      <c r="BG1049" s="10"/>
      <c r="BH1049" s="10"/>
      <c r="BI1049" s="10"/>
      <c r="BJ1049" s="10"/>
      <c r="BK1049" s="10"/>
      <c r="BL1049" s="10"/>
      <c r="BM1049" s="10"/>
      <c r="BN1049" s="10"/>
      <c r="BO1049" s="10"/>
      <c r="BP1049" s="10"/>
      <c r="BQ1049" s="10"/>
      <c r="BR1049" s="10"/>
      <c r="BS1049" s="10"/>
      <c r="BT1049" s="10"/>
      <c r="BU1049" s="10"/>
    </row>
    <row r="1050" spans="1:73" ht="18" x14ac:dyDescent="0.35">
      <c r="A1050" s="43"/>
      <c r="C1050" s="393"/>
      <c r="E1050" s="394"/>
      <c r="F1050" s="394">
        <v>0.34300000000000003</v>
      </c>
      <c r="G1050" s="394"/>
      <c r="H1050" s="8" t="s">
        <v>235</v>
      </c>
      <c r="I1050" s="368">
        <f t="shared" si="49"/>
        <v>0</v>
      </c>
      <c r="J1050" s="365">
        <f t="shared" si="48"/>
        <v>0</v>
      </c>
      <c r="K1050" s="369">
        <f t="shared" si="50"/>
        <v>6</v>
      </c>
      <c r="L1050" s="369">
        <f>+IF((C1050&gt;='Resultats - informe'!$E$16)*(C1050&lt;='Resultats - informe'!$G$16),1,0)</f>
        <v>1</v>
      </c>
      <c r="M1050" s="369" cm="1">
        <f t="array" ref="M1050">+_xlfn.IFS((C1050&gt;='Resultats - informe'!$D$26)*(C1050&lt;='Resultats - informe'!$E$26),0,(C1050&gt;='Resultats - informe'!$D$27)*(C1050&lt;='Resultats - informe'!$E$27),0,(C1050&gt;='Resultats - informe'!$D$28)*(C1050&lt;='Resultats - informe'!$E$28),0,(C1050&gt;='Resultats - informe'!$D$29)*(C1050&lt;='Resultats - informe'!$E$29),0,1,1)</f>
        <v>0</v>
      </c>
      <c r="N1050" s="366">
        <f>+VLOOKUP(D1050,'Resultats - informe'!$Y$18:$AG$42,'Introducció dades consum'!K1050+1,0)</f>
        <v>0</v>
      </c>
      <c r="O1050" s="370" cm="1">
        <f t="array" ref="O1050">+_xlfn.SWITCH(MONTH(C1050),1,1,2,1,3,1,4,2,5,2,6,3,7,3,8,3,9,3,10,2,11,2,12,1,2)</f>
        <v>1</v>
      </c>
      <c r="P1050" s="43"/>
      <c r="AS1050" s="10"/>
      <c r="AT1050" s="10"/>
      <c r="AU1050" s="10"/>
      <c r="AV1050" s="10"/>
      <c r="AW1050" s="10"/>
      <c r="AX1050" s="10"/>
      <c r="AY1050" s="10"/>
      <c r="AZ1050" s="10"/>
      <c r="BA1050" s="10"/>
      <c r="BB1050" s="10"/>
      <c r="BC1050" s="10"/>
      <c r="BD1050" s="10"/>
      <c r="BE1050" s="10"/>
      <c r="BF1050" s="10"/>
      <c r="BG1050" s="10"/>
      <c r="BH1050" s="10"/>
      <c r="BI1050" s="10"/>
      <c r="BJ1050" s="10"/>
      <c r="BK1050" s="10"/>
      <c r="BL1050" s="10"/>
      <c r="BM1050" s="10"/>
      <c r="BN1050" s="10"/>
      <c r="BO1050" s="10"/>
      <c r="BP1050" s="10"/>
      <c r="BQ1050" s="10"/>
      <c r="BR1050" s="10"/>
      <c r="BS1050" s="10"/>
      <c r="BT1050" s="10"/>
      <c r="BU1050" s="10"/>
    </row>
    <row r="1051" spans="1:73" ht="18" x14ac:dyDescent="0.35">
      <c r="A1051" s="43"/>
      <c r="C1051" s="393"/>
      <c r="E1051" s="394"/>
      <c r="F1051" s="394">
        <v>0.37</v>
      </c>
      <c r="G1051" s="394"/>
      <c r="H1051" s="8" t="s">
        <v>235</v>
      </c>
      <c r="I1051" s="368">
        <f t="shared" si="49"/>
        <v>0</v>
      </c>
      <c r="J1051" s="365">
        <f t="shared" si="48"/>
        <v>0</v>
      </c>
      <c r="K1051" s="369">
        <f t="shared" si="50"/>
        <v>6</v>
      </c>
      <c r="L1051" s="369">
        <f>+IF((C1051&gt;='Resultats - informe'!$E$16)*(C1051&lt;='Resultats - informe'!$G$16),1,0)</f>
        <v>1</v>
      </c>
      <c r="M1051" s="369" cm="1">
        <f t="array" ref="M1051">+_xlfn.IFS((C1051&gt;='Resultats - informe'!$D$26)*(C1051&lt;='Resultats - informe'!$E$26),0,(C1051&gt;='Resultats - informe'!$D$27)*(C1051&lt;='Resultats - informe'!$E$27),0,(C1051&gt;='Resultats - informe'!$D$28)*(C1051&lt;='Resultats - informe'!$E$28),0,(C1051&gt;='Resultats - informe'!$D$29)*(C1051&lt;='Resultats - informe'!$E$29),0,1,1)</f>
        <v>0</v>
      </c>
      <c r="N1051" s="366">
        <f>+VLOOKUP(D1051,'Resultats - informe'!$Y$18:$AG$42,'Introducció dades consum'!K1051+1,0)</f>
        <v>0</v>
      </c>
      <c r="O1051" s="370" cm="1">
        <f t="array" ref="O1051">+_xlfn.SWITCH(MONTH(C1051),1,1,2,1,3,1,4,2,5,2,6,3,7,3,8,3,9,3,10,2,11,2,12,1,2)</f>
        <v>1</v>
      </c>
      <c r="P1051" s="43"/>
      <c r="AS1051" s="10"/>
      <c r="AT1051" s="10"/>
      <c r="AU1051" s="10"/>
      <c r="AV1051" s="10"/>
      <c r="AW1051" s="10"/>
      <c r="AX1051" s="10"/>
      <c r="AY1051" s="10"/>
      <c r="AZ1051" s="10"/>
      <c r="BA1051" s="10"/>
      <c r="BB1051" s="10"/>
      <c r="BC1051" s="10"/>
      <c r="BD1051" s="10"/>
      <c r="BE1051" s="10"/>
      <c r="BF1051" s="10"/>
      <c r="BG1051" s="10"/>
      <c r="BH1051" s="10"/>
      <c r="BI1051" s="10"/>
      <c r="BJ1051" s="10"/>
      <c r="BK1051" s="10"/>
      <c r="BL1051" s="10"/>
      <c r="BM1051" s="10"/>
      <c r="BN1051" s="10"/>
      <c r="BO1051" s="10"/>
      <c r="BP1051" s="10"/>
      <c r="BQ1051" s="10"/>
      <c r="BR1051" s="10"/>
      <c r="BS1051" s="10"/>
      <c r="BT1051" s="10"/>
      <c r="BU1051" s="10"/>
    </row>
    <row r="1052" spans="1:73" ht="18" x14ac:dyDescent="0.35">
      <c r="A1052" s="43"/>
      <c r="C1052" s="393"/>
      <c r="E1052" s="394"/>
      <c r="F1052" s="394">
        <v>4.6050000000000004</v>
      </c>
      <c r="G1052" s="394"/>
      <c r="H1052" s="8" t="s">
        <v>61</v>
      </c>
      <c r="I1052" s="368">
        <f t="shared" si="49"/>
        <v>0</v>
      </c>
      <c r="J1052" s="365">
        <f t="shared" si="48"/>
        <v>0</v>
      </c>
      <c r="K1052" s="369">
        <f t="shared" si="50"/>
        <v>6</v>
      </c>
      <c r="L1052" s="369">
        <f>+IF((C1052&gt;='Resultats - informe'!$E$16)*(C1052&lt;='Resultats - informe'!$G$16),1,0)</f>
        <v>1</v>
      </c>
      <c r="M1052" s="369" cm="1">
        <f t="array" ref="M1052">+_xlfn.IFS((C1052&gt;='Resultats - informe'!$D$26)*(C1052&lt;='Resultats - informe'!$E$26),0,(C1052&gt;='Resultats - informe'!$D$27)*(C1052&lt;='Resultats - informe'!$E$27),0,(C1052&gt;='Resultats - informe'!$D$28)*(C1052&lt;='Resultats - informe'!$E$28),0,(C1052&gt;='Resultats - informe'!$D$29)*(C1052&lt;='Resultats - informe'!$E$29),0,1,1)</f>
        <v>0</v>
      </c>
      <c r="N1052" s="366">
        <f>+VLOOKUP(D1052,'Resultats - informe'!$Y$18:$AG$42,'Introducció dades consum'!K1052+1,0)</f>
        <v>0</v>
      </c>
      <c r="O1052" s="370" cm="1">
        <f t="array" ref="O1052">+_xlfn.SWITCH(MONTH(C1052),1,1,2,1,3,1,4,2,5,2,6,3,7,3,8,3,9,3,10,2,11,2,12,1,2)</f>
        <v>1</v>
      </c>
      <c r="P1052" s="43"/>
      <c r="AS1052" s="10"/>
      <c r="AT1052" s="10"/>
      <c r="AU1052" s="10"/>
      <c r="AV1052" s="10"/>
      <c r="AW1052" s="10"/>
      <c r="AX1052" s="10"/>
      <c r="AY1052" s="10"/>
      <c r="AZ1052" s="10"/>
      <c r="BA1052" s="10"/>
      <c r="BB1052" s="10"/>
      <c r="BC1052" s="10"/>
      <c r="BD1052" s="10"/>
      <c r="BE1052" s="10"/>
      <c r="BF1052" s="10"/>
      <c r="BG1052" s="10"/>
      <c r="BH1052" s="10"/>
      <c r="BI1052" s="10"/>
      <c r="BJ1052" s="10"/>
      <c r="BK1052" s="10"/>
      <c r="BL1052" s="10"/>
      <c r="BM1052" s="10"/>
      <c r="BN1052" s="10"/>
      <c r="BO1052" s="10"/>
      <c r="BP1052" s="10"/>
      <c r="BQ1052" s="10"/>
      <c r="BR1052" s="10"/>
      <c r="BS1052" s="10"/>
      <c r="BT1052" s="10"/>
      <c r="BU1052" s="10"/>
    </row>
    <row r="1053" spans="1:73" ht="18" x14ac:dyDescent="0.35">
      <c r="A1053" s="43"/>
      <c r="C1053" s="393"/>
      <c r="E1053" s="394"/>
      <c r="F1053" s="394">
        <v>2.6309999999999998</v>
      </c>
      <c r="G1053" s="394"/>
      <c r="H1053" s="8" t="s">
        <v>61</v>
      </c>
      <c r="I1053" s="368">
        <f t="shared" si="49"/>
        <v>0</v>
      </c>
      <c r="J1053" s="365">
        <f t="shared" si="48"/>
        <v>0</v>
      </c>
      <c r="K1053" s="369">
        <f t="shared" si="50"/>
        <v>6</v>
      </c>
      <c r="L1053" s="369">
        <f>+IF((C1053&gt;='Resultats - informe'!$E$16)*(C1053&lt;='Resultats - informe'!$G$16),1,0)</f>
        <v>1</v>
      </c>
      <c r="M1053" s="369" cm="1">
        <f t="array" ref="M1053">+_xlfn.IFS((C1053&gt;='Resultats - informe'!$D$26)*(C1053&lt;='Resultats - informe'!$E$26),0,(C1053&gt;='Resultats - informe'!$D$27)*(C1053&lt;='Resultats - informe'!$E$27),0,(C1053&gt;='Resultats - informe'!$D$28)*(C1053&lt;='Resultats - informe'!$E$28),0,(C1053&gt;='Resultats - informe'!$D$29)*(C1053&lt;='Resultats - informe'!$E$29),0,1,1)</f>
        <v>0</v>
      </c>
      <c r="N1053" s="366">
        <f>+VLOOKUP(D1053,'Resultats - informe'!$Y$18:$AG$42,'Introducció dades consum'!K1053+1,0)</f>
        <v>0</v>
      </c>
      <c r="O1053" s="370" cm="1">
        <f t="array" ref="O1053">+_xlfn.SWITCH(MONTH(C1053),1,1,2,1,3,1,4,2,5,2,6,3,7,3,8,3,9,3,10,2,11,2,12,1,2)</f>
        <v>1</v>
      </c>
      <c r="P1053" s="43"/>
      <c r="AS1053" s="10"/>
      <c r="AT1053" s="10"/>
      <c r="AU1053" s="10"/>
      <c r="AV1053" s="10"/>
      <c r="AW1053" s="10"/>
      <c r="AX1053" s="10"/>
      <c r="AY1053" s="10"/>
      <c r="AZ1053" s="10"/>
      <c r="BA1053" s="10"/>
      <c r="BB1053" s="10"/>
      <c r="BC1053" s="10"/>
      <c r="BD1053" s="10"/>
      <c r="BE1053" s="10"/>
      <c r="BF1053" s="10"/>
      <c r="BG1053" s="10"/>
      <c r="BH1053" s="10"/>
      <c r="BI1053" s="10"/>
      <c r="BJ1053" s="10"/>
      <c r="BK1053" s="10"/>
      <c r="BL1053" s="10"/>
      <c r="BM1053" s="10"/>
      <c r="BN1053" s="10"/>
      <c r="BO1053" s="10"/>
      <c r="BP1053" s="10"/>
      <c r="BQ1053" s="10"/>
      <c r="BR1053" s="10"/>
      <c r="BS1053" s="10"/>
      <c r="BT1053" s="10"/>
      <c r="BU1053" s="10"/>
    </row>
    <row r="1054" spans="1:73" ht="18" x14ac:dyDescent="0.35">
      <c r="A1054" s="43"/>
      <c r="C1054" s="393"/>
      <c r="E1054" s="394"/>
      <c r="F1054" s="394">
        <v>3.4000000000000002E-2</v>
      </c>
      <c r="G1054" s="394"/>
      <c r="H1054" s="8" t="s">
        <v>61</v>
      </c>
      <c r="I1054" s="368">
        <f t="shared" si="49"/>
        <v>0</v>
      </c>
      <c r="J1054" s="365">
        <f t="shared" si="48"/>
        <v>0</v>
      </c>
      <c r="K1054" s="369">
        <f t="shared" si="50"/>
        <v>6</v>
      </c>
      <c r="L1054" s="369">
        <f>+IF((C1054&gt;='Resultats - informe'!$E$16)*(C1054&lt;='Resultats - informe'!$G$16),1,0)</f>
        <v>1</v>
      </c>
      <c r="M1054" s="369" cm="1">
        <f t="array" ref="M1054">+_xlfn.IFS((C1054&gt;='Resultats - informe'!$D$26)*(C1054&lt;='Resultats - informe'!$E$26),0,(C1054&gt;='Resultats - informe'!$D$27)*(C1054&lt;='Resultats - informe'!$E$27),0,(C1054&gt;='Resultats - informe'!$D$28)*(C1054&lt;='Resultats - informe'!$E$28),0,(C1054&gt;='Resultats - informe'!$D$29)*(C1054&lt;='Resultats - informe'!$E$29),0,1,1)</f>
        <v>0</v>
      </c>
      <c r="N1054" s="366">
        <f>+VLOOKUP(D1054,'Resultats - informe'!$Y$18:$AG$42,'Introducció dades consum'!K1054+1,0)</f>
        <v>0</v>
      </c>
      <c r="O1054" s="370" cm="1">
        <f t="array" ref="O1054">+_xlfn.SWITCH(MONTH(C1054),1,1,2,1,3,1,4,2,5,2,6,3,7,3,8,3,9,3,10,2,11,2,12,1,2)</f>
        <v>1</v>
      </c>
      <c r="P1054" s="43"/>
      <c r="AS1054" s="10"/>
      <c r="AT1054" s="10"/>
      <c r="AU1054" s="10"/>
      <c r="AV1054" s="10"/>
      <c r="AW1054" s="10"/>
      <c r="AX1054" s="10"/>
      <c r="AY1054" s="10"/>
      <c r="AZ1054" s="10"/>
      <c r="BA1054" s="10"/>
      <c r="BB1054" s="10"/>
      <c r="BC1054" s="10"/>
      <c r="BD1054" s="10"/>
      <c r="BE1054" s="10"/>
      <c r="BF1054" s="10"/>
      <c r="BG1054" s="10"/>
      <c r="BH1054" s="10"/>
      <c r="BI1054" s="10"/>
      <c r="BJ1054" s="10"/>
      <c r="BK1054" s="10"/>
      <c r="BL1054" s="10"/>
      <c r="BM1054" s="10"/>
      <c r="BN1054" s="10"/>
      <c r="BO1054" s="10"/>
      <c r="BP1054" s="10"/>
      <c r="BQ1054" s="10"/>
      <c r="BR1054" s="10"/>
      <c r="BS1054" s="10"/>
      <c r="BT1054" s="10"/>
      <c r="BU1054" s="10"/>
    </row>
    <row r="1055" spans="1:73" ht="18" x14ac:dyDescent="0.35">
      <c r="A1055" s="43"/>
      <c r="C1055" s="393"/>
      <c r="E1055" s="394"/>
      <c r="F1055" s="394">
        <v>0</v>
      </c>
      <c r="G1055" s="394"/>
      <c r="H1055" s="8" t="s">
        <v>235</v>
      </c>
      <c r="I1055" s="368">
        <f t="shared" si="49"/>
        <v>0</v>
      </c>
      <c r="J1055" s="365">
        <f t="shared" si="48"/>
        <v>0</v>
      </c>
      <c r="K1055" s="369">
        <f t="shared" si="50"/>
        <v>6</v>
      </c>
      <c r="L1055" s="369">
        <f>+IF((C1055&gt;='Resultats - informe'!$E$16)*(C1055&lt;='Resultats - informe'!$G$16),1,0)</f>
        <v>1</v>
      </c>
      <c r="M1055" s="369" cm="1">
        <f t="array" ref="M1055">+_xlfn.IFS((C1055&gt;='Resultats - informe'!$D$26)*(C1055&lt;='Resultats - informe'!$E$26),0,(C1055&gt;='Resultats - informe'!$D$27)*(C1055&lt;='Resultats - informe'!$E$27),0,(C1055&gt;='Resultats - informe'!$D$28)*(C1055&lt;='Resultats - informe'!$E$28),0,(C1055&gt;='Resultats - informe'!$D$29)*(C1055&lt;='Resultats - informe'!$E$29),0,1,1)</f>
        <v>0</v>
      </c>
      <c r="N1055" s="366">
        <f>+VLOOKUP(D1055,'Resultats - informe'!$Y$18:$AG$42,'Introducció dades consum'!K1055+1,0)</f>
        <v>0</v>
      </c>
      <c r="O1055" s="370" cm="1">
        <f t="array" ref="O1055">+_xlfn.SWITCH(MONTH(C1055),1,1,2,1,3,1,4,2,5,2,6,3,7,3,8,3,9,3,10,2,11,2,12,1,2)</f>
        <v>1</v>
      </c>
      <c r="P1055" s="43"/>
      <c r="AS1055" s="10"/>
      <c r="AT1055" s="10"/>
      <c r="AU1055" s="10"/>
      <c r="AV1055" s="10"/>
      <c r="AW1055" s="10"/>
      <c r="AX1055" s="10"/>
      <c r="AY1055" s="10"/>
      <c r="AZ1055" s="10"/>
      <c r="BA1055" s="10"/>
      <c r="BB1055" s="10"/>
      <c r="BC1055" s="10"/>
      <c r="BD1055" s="10"/>
      <c r="BE1055" s="10"/>
      <c r="BF1055" s="10"/>
      <c r="BG1055" s="10"/>
      <c r="BH1055" s="10"/>
      <c r="BI1055" s="10"/>
      <c r="BJ1055" s="10"/>
      <c r="BK1055" s="10"/>
      <c r="BL1055" s="10"/>
      <c r="BM1055" s="10"/>
      <c r="BN1055" s="10"/>
      <c r="BO1055" s="10"/>
      <c r="BP1055" s="10"/>
      <c r="BQ1055" s="10"/>
      <c r="BR1055" s="10"/>
      <c r="BS1055" s="10"/>
      <c r="BT1055" s="10"/>
      <c r="BU1055" s="10"/>
    </row>
    <row r="1056" spans="1:73" ht="18" x14ac:dyDescent="0.35">
      <c r="A1056" s="43"/>
      <c r="C1056" s="393"/>
      <c r="E1056" s="394"/>
      <c r="F1056" s="394">
        <v>0</v>
      </c>
      <c r="G1056" s="394"/>
      <c r="H1056" s="8" t="s">
        <v>235</v>
      </c>
      <c r="I1056" s="368">
        <f t="shared" si="49"/>
        <v>0</v>
      </c>
      <c r="J1056" s="365">
        <f t="shared" si="48"/>
        <v>0</v>
      </c>
      <c r="K1056" s="369">
        <f t="shared" si="50"/>
        <v>6</v>
      </c>
      <c r="L1056" s="369">
        <f>+IF((C1056&gt;='Resultats - informe'!$E$16)*(C1056&lt;='Resultats - informe'!$G$16),1,0)</f>
        <v>1</v>
      </c>
      <c r="M1056" s="369" cm="1">
        <f t="array" ref="M1056">+_xlfn.IFS((C1056&gt;='Resultats - informe'!$D$26)*(C1056&lt;='Resultats - informe'!$E$26),0,(C1056&gt;='Resultats - informe'!$D$27)*(C1056&lt;='Resultats - informe'!$E$27),0,(C1056&gt;='Resultats - informe'!$D$28)*(C1056&lt;='Resultats - informe'!$E$28),0,(C1056&gt;='Resultats - informe'!$D$29)*(C1056&lt;='Resultats - informe'!$E$29),0,1,1)</f>
        <v>0</v>
      </c>
      <c r="N1056" s="366">
        <f>+VLOOKUP(D1056,'Resultats - informe'!$Y$18:$AG$42,'Introducció dades consum'!K1056+1,0)</f>
        <v>0</v>
      </c>
      <c r="O1056" s="370" cm="1">
        <f t="array" ref="O1056">+_xlfn.SWITCH(MONTH(C1056),1,1,2,1,3,1,4,2,5,2,6,3,7,3,8,3,9,3,10,2,11,2,12,1,2)</f>
        <v>1</v>
      </c>
      <c r="P1056" s="43"/>
      <c r="AS1056" s="10"/>
      <c r="AT1056" s="10"/>
      <c r="AU1056" s="10"/>
      <c r="AV1056" s="10"/>
      <c r="AW1056" s="10"/>
      <c r="AX1056" s="10"/>
      <c r="AY1056" s="10"/>
      <c r="AZ1056" s="10"/>
      <c r="BA1056" s="10"/>
      <c r="BB1056" s="10"/>
      <c r="BC1056" s="10"/>
      <c r="BD1056" s="10"/>
      <c r="BE1056" s="10"/>
      <c r="BF1056" s="10"/>
      <c r="BG1056" s="10"/>
      <c r="BH1056" s="10"/>
      <c r="BI1056" s="10"/>
      <c r="BJ1056" s="10"/>
      <c r="BK1056" s="10"/>
      <c r="BL1056" s="10"/>
      <c r="BM1056" s="10"/>
      <c r="BN1056" s="10"/>
      <c r="BO1056" s="10"/>
      <c r="BP1056" s="10"/>
      <c r="BQ1056" s="10"/>
      <c r="BR1056" s="10"/>
      <c r="BS1056" s="10"/>
      <c r="BT1056" s="10"/>
      <c r="BU1056" s="10"/>
    </row>
    <row r="1057" spans="1:73" ht="18" x14ac:dyDescent="0.35">
      <c r="A1057" s="43"/>
      <c r="C1057" s="393"/>
      <c r="E1057" s="394"/>
      <c r="F1057" s="394">
        <v>0</v>
      </c>
      <c r="G1057" s="394"/>
      <c r="H1057" s="8" t="s">
        <v>235</v>
      </c>
      <c r="I1057" s="368">
        <f t="shared" si="49"/>
        <v>0</v>
      </c>
      <c r="J1057" s="365">
        <f t="shared" si="48"/>
        <v>0</v>
      </c>
      <c r="K1057" s="369">
        <f t="shared" si="50"/>
        <v>6</v>
      </c>
      <c r="L1057" s="369">
        <f>+IF((C1057&gt;='Resultats - informe'!$E$16)*(C1057&lt;='Resultats - informe'!$G$16),1,0)</f>
        <v>1</v>
      </c>
      <c r="M1057" s="369" cm="1">
        <f t="array" ref="M1057">+_xlfn.IFS((C1057&gt;='Resultats - informe'!$D$26)*(C1057&lt;='Resultats - informe'!$E$26),0,(C1057&gt;='Resultats - informe'!$D$27)*(C1057&lt;='Resultats - informe'!$E$27),0,(C1057&gt;='Resultats - informe'!$D$28)*(C1057&lt;='Resultats - informe'!$E$28),0,(C1057&gt;='Resultats - informe'!$D$29)*(C1057&lt;='Resultats - informe'!$E$29),0,1,1)</f>
        <v>0</v>
      </c>
      <c r="N1057" s="366">
        <f>+VLOOKUP(D1057,'Resultats - informe'!$Y$18:$AG$42,'Introducció dades consum'!K1057+1,0)</f>
        <v>0</v>
      </c>
      <c r="O1057" s="370" cm="1">
        <f t="array" ref="O1057">+_xlfn.SWITCH(MONTH(C1057),1,1,2,1,3,1,4,2,5,2,6,3,7,3,8,3,9,3,10,2,11,2,12,1,2)</f>
        <v>1</v>
      </c>
      <c r="P1057" s="43"/>
      <c r="AS1057" s="10"/>
      <c r="AT1057" s="10"/>
      <c r="AU1057" s="10"/>
      <c r="AV1057" s="10"/>
      <c r="AW1057" s="10"/>
      <c r="AX1057" s="10"/>
      <c r="AY1057" s="10"/>
      <c r="AZ1057" s="10"/>
      <c r="BA1057" s="10"/>
      <c r="BB1057" s="10"/>
      <c r="BC1057" s="10"/>
      <c r="BD1057" s="10"/>
      <c r="BE1057" s="10"/>
      <c r="BF1057" s="10"/>
      <c r="BG1057" s="10"/>
      <c r="BH1057" s="10"/>
      <c r="BI1057" s="10"/>
      <c r="BJ1057" s="10"/>
      <c r="BK1057" s="10"/>
      <c r="BL1057" s="10"/>
      <c r="BM1057" s="10"/>
      <c r="BN1057" s="10"/>
      <c r="BO1057" s="10"/>
      <c r="BP1057" s="10"/>
      <c r="BQ1057" s="10"/>
      <c r="BR1057" s="10"/>
      <c r="BS1057" s="10"/>
      <c r="BT1057" s="10"/>
      <c r="BU1057" s="10"/>
    </row>
    <row r="1058" spans="1:73" ht="18" x14ac:dyDescent="0.35">
      <c r="A1058" s="43"/>
      <c r="C1058" s="393"/>
      <c r="E1058" s="394"/>
      <c r="F1058" s="394">
        <v>0</v>
      </c>
      <c r="G1058" s="394"/>
      <c r="H1058" s="8" t="s">
        <v>235</v>
      </c>
      <c r="I1058" s="368">
        <f t="shared" si="49"/>
        <v>0</v>
      </c>
      <c r="J1058" s="365">
        <f t="shared" si="48"/>
        <v>0</v>
      </c>
      <c r="K1058" s="369">
        <f t="shared" si="50"/>
        <v>6</v>
      </c>
      <c r="L1058" s="369">
        <f>+IF((C1058&gt;='Resultats - informe'!$E$16)*(C1058&lt;='Resultats - informe'!$G$16),1,0)</f>
        <v>1</v>
      </c>
      <c r="M1058" s="369" cm="1">
        <f t="array" ref="M1058">+_xlfn.IFS((C1058&gt;='Resultats - informe'!$D$26)*(C1058&lt;='Resultats - informe'!$E$26),0,(C1058&gt;='Resultats - informe'!$D$27)*(C1058&lt;='Resultats - informe'!$E$27),0,(C1058&gt;='Resultats - informe'!$D$28)*(C1058&lt;='Resultats - informe'!$E$28),0,(C1058&gt;='Resultats - informe'!$D$29)*(C1058&lt;='Resultats - informe'!$E$29),0,1,1)</f>
        <v>0</v>
      </c>
      <c r="N1058" s="366">
        <f>+VLOOKUP(D1058,'Resultats - informe'!$Y$18:$AG$42,'Introducció dades consum'!K1058+1,0)</f>
        <v>0</v>
      </c>
      <c r="O1058" s="370" cm="1">
        <f t="array" ref="O1058">+_xlfn.SWITCH(MONTH(C1058),1,1,2,1,3,1,4,2,5,2,6,3,7,3,8,3,9,3,10,2,11,2,12,1,2)</f>
        <v>1</v>
      </c>
      <c r="P1058" s="43"/>
      <c r="AS1058" s="10"/>
      <c r="AT1058" s="10"/>
      <c r="AU1058" s="10"/>
      <c r="AV1058" s="10"/>
      <c r="AW1058" s="10"/>
      <c r="AX1058" s="10"/>
      <c r="AY1058" s="10"/>
      <c r="AZ1058" s="10"/>
      <c r="BA1058" s="10"/>
      <c r="BB1058" s="10"/>
      <c r="BC1058" s="10"/>
      <c r="BD1058" s="10"/>
      <c r="BE1058" s="10"/>
      <c r="BF1058" s="10"/>
      <c r="BG1058" s="10"/>
      <c r="BH1058" s="10"/>
      <c r="BI1058" s="10"/>
      <c r="BJ1058" s="10"/>
      <c r="BK1058" s="10"/>
      <c r="BL1058" s="10"/>
      <c r="BM1058" s="10"/>
      <c r="BN1058" s="10"/>
      <c r="BO1058" s="10"/>
      <c r="BP1058" s="10"/>
      <c r="BQ1058" s="10"/>
      <c r="BR1058" s="10"/>
      <c r="BS1058" s="10"/>
      <c r="BT1058" s="10"/>
      <c r="BU1058" s="10"/>
    </row>
    <row r="1059" spans="1:73" ht="18" x14ac:dyDescent="0.35">
      <c r="A1059" s="43"/>
      <c r="C1059" s="393"/>
      <c r="E1059" s="394"/>
      <c r="F1059" s="394">
        <v>0</v>
      </c>
      <c r="G1059" s="394"/>
      <c r="H1059" s="8" t="s">
        <v>235</v>
      </c>
      <c r="I1059" s="368">
        <f t="shared" si="49"/>
        <v>0</v>
      </c>
      <c r="J1059" s="365">
        <f t="shared" si="48"/>
        <v>0</v>
      </c>
      <c r="K1059" s="369">
        <f t="shared" si="50"/>
        <v>6</v>
      </c>
      <c r="L1059" s="369">
        <f>+IF((C1059&gt;='Resultats - informe'!$E$16)*(C1059&lt;='Resultats - informe'!$G$16),1,0)</f>
        <v>1</v>
      </c>
      <c r="M1059" s="369" cm="1">
        <f t="array" ref="M1059">+_xlfn.IFS((C1059&gt;='Resultats - informe'!$D$26)*(C1059&lt;='Resultats - informe'!$E$26),0,(C1059&gt;='Resultats - informe'!$D$27)*(C1059&lt;='Resultats - informe'!$E$27),0,(C1059&gt;='Resultats - informe'!$D$28)*(C1059&lt;='Resultats - informe'!$E$28),0,(C1059&gt;='Resultats - informe'!$D$29)*(C1059&lt;='Resultats - informe'!$E$29),0,1,1)</f>
        <v>0</v>
      </c>
      <c r="N1059" s="366">
        <f>+VLOOKUP(D1059,'Resultats - informe'!$Y$18:$AG$42,'Introducció dades consum'!K1059+1,0)</f>
        <v>0</v>
      </c>
      <c r="O1059" s="370" cm="1">
        <f t="array" ref="O1059">+_xlfn.SWITCH(MONTH(C1059),1,1,2,1,3,1,4,2,5,2,6,3,7,3,8,3,9,3,10,2,11,2,12,1,2)</f>
        <v>1</v>
      </c>
      <c r="P1059" s="43"/>
      <c r="AS1059" s="10"/>
      <c r="AT1059" s="10"/>
      <c r="AU1059" s="10"/>
      <c r="AV1059" s="10"/>
      <c r="AW1059" s="10"/>
      <c r="AX1059" s="10"/>
      <c r="AY1059" s="10"/>
      <c r="AZ1059" s="10"/>
      <c r="BA1059" s="10"/>
      <c r="BB1059" s="10"/>
      <c r="BC1059" s="10"/>
      <c r="BD1059" s="10"/>
      <c r="BE1059" s="10"/>
      <c r="BF1059" s="10"/>
      <c r="BG1059" s="10"/>
      <c r="BH1059" s="10"/>
      <c r="BI1059" s="10"/>
      <c r="BJ1059" s="10"/>
      <c r="BK1059" s="10"/>
      <c r="BL1059" s="10"/>
      <c r="BM1059" s="10"/>
      <c r="BN1059" s="10"/>
      <c r="BO1059" s="10"/>
      <c r="BP1059" s="10"/>
      <c r="BQ1059" s="10"/>
      <c r="BR1059" s="10"/>
      <c r="BS1059" s="10"/>
      <c r="BT1059" s="10"/>
      <c r="BU1059" s="10"/>
    </row>
    <row r="1060" spans="1:73" ht="18" x14ac:dyDescent="0.35">
      <c r="A1060" s="43"/>
      <c r="C1060" s="393"/>
      <c r="E1060" s="394"/>
      <c r="F1060" s="394">
        <v>0</v>
      </c>
      <c r="G1060" s="394"/>
      <c r="H1060" s="8" t="s">
        <v>235</v>
      </c>
      <c r="I1060" s="368">
        <f t="shared" si="49"/>
        <v>0</v>
      </c>
      <c r="J1060" s="365">
        <f t="shared" si="48"/>
        <v>0</v>
      </c>
      <c r="K1060" s="369">
        <f t="shared" si="50"/>
        <v>6</v>
      </c>
      <c r="L1060" s="369">
        <f>+IF((C1060&gt;='Resultats - informe'!$E$16)*(C1060&lt;='Resultats - informe'!$G$16),1,0)</f>
        <v>1</v>
      </c>
      <c r="M1060" s="369" cm="1">
        <f t="array" ref="M1060">+_xlfn.IFS((C1060&gt;='Resultats - informe'!$D$26)*(C1060&lt;='Resultats - informe'!$E$26),0,(C1060&gt;='Resultats - informe'!$D$27)*(C1060&lt;='Resultats - informe'!$E$27),0,(C1060&gt;='Resultats - informe'!$D$28)*(C1060&lt;='Resultats - informe'!$E$28),0,(C1060&gt;='Resultats - informe'!$D$29)*(C1060&lt;='Resultats - informe'!$E$29),0,1,1)</f>
        <v>0</v>
      </c>
      <c r="N1060" s="366">
        <f>+VLOOKUP(D1060,'Resultats - informe'!$Y$18:$AG$42,'Introducció dades consum'!K1060+1,0)</f>
        <v>0</v>
      </c>
      <c r="O1060" s="370" cm="1">
        <f t="array" ref="O1060">+_xlfn.SWITCH(MONTH(C1060),1,1,2,1,3,1,4,2,5,2,6,3,7,3,8,3,9,3,10,2,11,2,12,1,2)</f>
        <v>1</v>
      </c>
      <c r="P1060" s="43"/>
      <c r="AS1060" s="10"/>
      <c r="AT1060" s="10"/>
      <c r="AU1060" s="10"/>
      <c r="AV1060" s="10"/>
      <c r="AW1060" s="10"/>
      <c r="AX1060" s="10"/>
      <c r="AY1060" s="10"/>
      <c r="AZ1060" s="10"/>
      <c r="BA1060" s="10"/>
      <c r="BB1060" s="10"/>
      <c r="BC1060" s="10"/>
      <c r="BD1060" s="10"/>
      <c r="BE1060" s="10"/>
      <c r="BF1060" s="10"/>
      <c r="BG1060" s="10"/>
      <c r="BH1060" s="10"/>
      <c r="BI1060" s="10"/>
      <c r="BJ1060" s="10"/>
      <c r="BK1060" s="10"/>
      <c r="BL1060" s="10"/>
      <c r="BM1060" s="10"/>
      <c r="BN1060" s="10"/>
      <c r="BO1060" s="10"/>
      <c r="BP1060" s="10"/>
      <c r="BQ1060" s="10"/>
      <c r="BR1060" s="10"/>
      <c r="BS1060" s="10"/>
      <c r="BT1060" s="10"/>
      <c r="BU1060" s="10"/>
    </row>
    <row r="1061" spans="1:73" ht="18" x14ac:dyDescent="0.35">
      <c r="A1061" s="43"/>
      <c r="C1061" s="393"/>
      <c r="E1061" s="394"/>
      <c r="F1061" s="394">
        <v>0</v>
      </c>
      <c r="G1061" s="394"/>
      <c r="H1061" s="8" t="s">
        <v>235</v>
      </c>
      <c r="I1061" s="368">
        <f t="shared" si="49"/>
        <v>0</v>
      </c>
      <c r="J1061" s="365">
        <f t="shared" si="48"/>
        <v>0</v>
      </c>
      <c r="K1061" s="369">
        <f t="shared" si="50"/>
        <v>6</v>
      </c>
      <c r="L1061" s="369">
        <f>+IF((C1061&gt;='Resultats - informe'!$E$16)*(C1061&lt;='Resultats - informe'!$G$16),1,0)</f>
        <v>1</v>
      </c>
      <c r="M1061" s="369" cm="1">
        <f t="array" ref="M1061">+_xlfn.IFS((C1061&gt;='Resultats - informe'!$D$26)*(C1061&lt;='Resultats - informe'!$E$26),0,(C1061&gt;='Resultats - informe'!$D$27)*(C1061&lt;='Resultats - informe'!$E$27),0,(C1061&gt;='Resultats - informe'!$D$28)*(C1061&lt;='Resultats - informe'!$E$28),0,(C1061&gt;='Resultats - informe'!$D$29)*(C1061&lt;='Resultats - informe'!$E$29),0,1,1)</f>
        <v>0</v>
      </c>
      <c r="N1061" s="366">
        <f>+VLOOKUP(D1061,'Resultats - informe'!$Y$18:$AG$42,'Introducció dades consum'!K1061+1,0)</f>
        <v>0</v>
      </c>
      <c r="O1061" s="370" cm="1">
        <f t="array" ref="O1061">+_xlfn.SWITCH(MONTH(C1061),1,1,2,1,3,1,4,2,5,2,6,3,7,3,8,3,9,3,10,2,11,2,12,1,2)</f>
        <v>1</v>
      </c>
      <c r="P1061" s="43"/>
      <c r="AS1061" s="10"/>
      <c r="AT1061" s="10"/>
      <c r="AU1061" s="10"/>
      <c r="AV1061" s="10"/>
      <c r="AW1061" s="10"/>
      <c r="AX1061" s="10"/>
      <c r="AY1061" s="10"/>
      <c r="AZ1061" s="10"/>
      <c r="BA1061" s="10"/>
      <c r="BB1061" s="10"/>
      <c r="BC1061" s="10"/>
      <c r="BD1061" s="10"/>
      <c r="BE1061" s="10"/>
      <c r="BF1061" s="10"/>
      <c r="BG1061" s="10"/>
      <c r="BH1061" s="10"/>
      <c r="BI1061" s="10"/>
      <c r="BJ1061" s="10"/>
      <c r="BK1061" s="10"/>
      <c r="BL1061" s="10"/>
      <c r="BM1061" s="10"/>
      <c r="BN1061" s="10"/>
      <c r="BO1061" s="10"/>
      <c r="BP1061" s="10"/>
      <c r="BQ1061" s="10"/>
      <c r="BR1061" s="10"/>
      <c r="BS1061" s="10"/>
      <c r="BT1061" s="10"/>
      <c r="BU1061" s="10"/>
    </row>
    <row r="1062" spans="1:73" ht="18" x14ac:dyDescent="0.35">
      <c r="A1062" s="43"/>
      <c r="C1062" s="393"/>
      <c r="E1062" s="394"/>
      <c r="F1062" s="394">
        <v>0</v>
      </c>
      <c r="G1062" s="394"/>
      <c r="H1062" s="8" t="s">
        <v>235</v>
      </c>
      <c r="I1062" s="368">
        <f t="shared" si="49"/>
        <v>0</v>
      </c>
      <c r="J1062" s="365">
        <f t="shared" si="48"/>
        <v>0</v>
      </c>
      <c r="K1062" s="369">
        <f t="shared" si="50"/>
        <v>6</v>
      </c>
      <c r="L1062" s="369">
        <f>+IF((C1062&gt;='Resultats - informe'!$E$16)*(C1062&lt;='Resultats - informe'!$G$16),1,0)</f>
        <v>1</v>
      </c>
      <c r="M1062" s="369" cm="1">
        <f t="array" ref="M1062">+_xlfn.IFS((C1062&gt;='Resultats - informe'!$D$26)*(C1062&lt;='Resultats - informe'!$E$26),0,(C1062&gt;='Resultats - informe'!$D$27)*(C1062&lt;='Resultats - informe'!$E$27),0,(C1062&gt;='Resultats - informe'!$D$28)*(C1062&lt;='Resultats - informe'!$E$28),0,(C1062&gt;='Resultats - informe'!$D$29)*(C1062&lt;='Resultats - informe'!$E$29),0,1,1)</f>
        <v>0</v>
      </c>
      <c r="N1062" s="366">
        <f>+VLOOKUP(D1062,'Resultats - informe'!$Y$18:$AG$42,'Introducció dades consum'!K1062+1,0)</f>
        <v>0</v>
      </c>
      <c r="O1062" s="370" cm="1">
        <f t="array" ref="O1062">+_xlfn.SWITCH(MONTH(C1062),1,1,2,1,3,1,4,2,5,2,6,3,7,3,8,3,9,3,10,2,11,2,12,1,2)</f>
        <v>1</v>
      </c>
      <c r="P1062" s="43"/>
      <c r="AS1062" s="10"/>
      <c r="AT1062" s="10"/>
      <c r="AU1062" s="10"/>
      <c r="AV1062" s="10"/>
      <c r="AW1062" s="10"/>
      <c r="AX1062" s="10"/>
      <c r="AY1062" s="10"/>
      <c r="AZ1062" s="10"/>
      <c r="BA1062" s="10"/>
      <c r="BB1062" s="10"/>
      <c r="BC1062" s="10"/>
      <c r="BD1062" s="10"/>
      <c r="BE1062" s="10"/>
      <c r="BF1062" s="10"/>
      <c r="BG1062" s="10"/>
      <c r="BH1062" s="10"/>
      <c r="BI1062" s="10"/>
      <c r="BJ1062" s="10"/>
      <c r="BK1062" s="10"/>
      <c r="BL1062" s="10"/>
      <c r="BM1062" s="10"/>
      <c r="BN1062" s="10"/>
      <c r="BO1062" s="10"/>
      <c r="BP1062" s="10"/>
      <c r="BQ1062" s="10"/>
      <c r="BR1062" s="10"/>
      <c r="BS1062" s="10"/>
      <c r="BT1062" s="10"/>
      <c r="BU1062" s="10"/>
    </row>
    <row r="1063" spans="1:73" ht="18" x14ac:dyDescent="0.35">
      <c r="A1063" s="43"/>
      <c r="C1063" s="393"/>
      <c r="E1063" s="394"/>
      <c r="F1063" s="394">
        <v>0</v>
      </c>
      <c r="G1063" s="394"/>
      <c r="H1063" s="8" t="s">
        <v>235</v>
      </c>
      <c r="I1063" s="368">
        <f t="shared" si="49"/>
        <v>0</v>
      </c>
      <c r="J1063" s="365">
        <f t="shared" si="48"/>
        <v>0</v>
      </c>
      <c r="K1063" s="369">
        <f t="shared" si="50"/>
        <v>6</v>
      </c>
      <c r="L1063" s="369">
        <f>+IF((C1063&gt;='Resultats - informe'!$E$16)*(C1063&lt;='Resultats - informe'!$G$16),1,0)</f>
        <v>1</v>
      </c>
      <c r="M1063" s="369" cm="1">
        <f t="array" ref="M1063">+_xlfn.IFS((C1063&gt;='Resultats - informe'!$D$26)*(C1063&lt;='Resultats - informe'!$E$26),0,(C1063&gt;='Resultats - informe'!$D$27)*(C1063&lt;='Resultats - informe'!$E$27),0,(C1063&gt;='Resultats - informe'!$D$28)*(C1063&lt;='Resultats - informe'!$E$28),0,(C1063&gt;='Resultats - informe'!$D$29)*(C1063&lt;='Resultats - informe'!$E$29),0,1,1)</f>
        <v>0</v>
      </c>
      <c r="N1063" s="366">
        <f>+VLOOKUP(D1063,'Resultats - informe'!$Y$18:$AG$42,'Introducció dades consum'!K1063+1,0)</f>
        <v>0</v>
      </c>
      <c r="O1063" s="370" cm="1">
        <f t="array" ref="O1063">+_xlfn.SWITCH(MONTH(C1063),1,1,2,1,3,1,4,2,5,2,6,3,7,3,8,3,9,3,10,2,11,2,12,1,2)</f>
        <v>1</v>
      </c>
      <c r="P1063" s="43"/>
      <c r="AS1063" s="10"/>
      <c r="AT1063" s="10"/>
      <c r="AU1063" s="10"/>
      <c r="AV1063" s="10"/>
      <c r="AW1063" s="10"/>
      <c r="AX1063" s="10"/>
      <c r="AY1063" s="10"/>
      <c r="AZ1063" s="10"/>
      <c r="BA1063" s="10"/>
      <c r="BB1063" s="10"/>
      <c r="BC1063" s="10"/>
      <c r="BD1063" s="10"/>
      <c r="BE1063" s="10"/>
      <c r="BF1063" s="10"/>
      <c r="BG1063" s="10"/>
      <c r="BH1063" s="10"/>
      <c r="BI1063" s="10"/>
      <c r="BJ1063" s="10"/>
      <c r="BK1063" s="10"/>
      <c r="BL1063" s="10"/>
      <c r="BM1063" s="10"/>
      <c r="BN1063" s="10"/>
      <c r="BO1063" s="10"/>
      <c r="BP1063" s="10"/>
      <c r="BQ1063" s="10"/>
      <c r="BR1063" s="10"/>
      <c r="BS1063" s="10"/>
      <c r="BT1063" s="10"/>
      <c r="BU1063" s="10"/>
    </row>
    <row r="1064" spans="1:73" ht="18" x14ac:dyDescent="0.35">
      <c r="A1064" s="43"/>
      <c r="C1064" s="393"/>
      <c r="E1064" s="394"/>
      <c r="F1064" s="394">
        <v>0</v>
      </c>
      <c r="G1064" s="394"/>
      <c r="H1064" s="8" t="s">
        <v>235</v>
      </c>
      <c r="I1064" s="368">
        <f t="shared" si="49"/>
        <v>0</v>
      </c>
      <c r="J1064" s="365">
        <f t="shared" si="48"/>
        <v>0</v>
      </c>
      <c r="K1064" s="369">
        <f t="shared" si="50"/>
        <v>6</v>
      </c>
      <c r="L1064" s="369">
        <f>+IF((C1064&gt;='Resultats - informe'!$E$16)*(C1064&lt;='Resultats - informe'!$G$16),1,0)</f>
        <v>1</v>
      </c>
      <c r="M1064" s="369" cm="1">
        <f t="array" ref="M1064">+_xlfn.IFS((C1064&gt;='Resultats - informe'!$D$26)*(C1064&lt;='Resultats - informe'!$E$26),0,(C1064&gt;='Resultats - informe'!$D$27)*(C1064&lt;='Resultats - informe'!$E$27),0,(C1064&gt;='Resultats - informe'!$D$28)*(C1064&lt;='Resultats - informe'!$E$28),0,(C1064&gt;='Resultats - informe'!$D$29)*(C1064&lt;='Resultats - informe'!$E$29),0,1,1)</f>
        <v>0</v>
      </c>
      <c r="N1064" s="366">
        <f>+VLOOKUP(D1064,'Resultats - informe'!$Y$18:$AG$42,'Introducció dades consum'!K1064+1,0)</f>
        <v>0</v>
      </c>
      <c r="O1064" s="370" cm="1">
        <f t="array" ref="O1064">+_xlfn.SWITCH(MONTH(C1064),1,1,2,1,3,1,4,2,5,2,6,3,7,3,8,3,9,3,10,2,11,2,12,1,2)</f>
        <v>1</v>
      </c>
      <c r="P1064" s="43"/>
      <c r="AS1064" s="10"/>
      <c r="AT1064" s="10"/>
      <c r="AU1064" s="10"/>
      <c r="AV1064" s="10"/>
      <c r="AW1064" s="10"/>
      <c r="AX1064" s="10"/>
      <c r="AY1064" s="10"/>
      <c r="AZ1064" s="10"/>
      <c r="BA1064" s="10"/>
      <c r="BB1064" s="10"/>
      <c r="BC1064" s="10"/>
      <c r="BD1064" s="10"/>
      <c r="BE1064" s="10"/>
      <c r="BF1064" s="10"/>
      <c r="BG1064" s="10"/>
      <c r="BH1064" s="10"/>
      <c r="BI1064" s="10"/>
      <c r="BJ1064" s="10"/>
      <c r="BK1064" s="10"/>
      <c r="BL1064" s="10"/>
      <c r="BM1064" s="10"/>
      <c r="BN1064" s="10"/>
      <c r="BO1064" s="10"/>
      <c r="BP1064" s="10"/>
      <c r="BQ1064" s="10"/>
      <c r="BR1064" s="10"/>
      <c r="BS1064" s="10"/>
      <c r="BT1064" s="10"/>
      <c r="BU1064" s="10"/>
    </row>
    <row r="1065" spans="1:73" ht="18" x14ac:dyDescent="0.35">
      <c r="A1065" s="43"/>
      <c r="C1065" s="393"/>
      <c r="E1065" s="394"/>
      <c r="F1065" s="394">
        <v>0</v>
      </c>
      <c r="G1065" s="394"/>
      <c r="H1065" s="8" t="s">
        <v>235</v>
      </c>
      <c r="I1065" s="368">
        <f t="shared" si="49"/>
        <v>0</v>
      </c>
      <c r="J1065" s="365">
        <f t="shared" si="48"/>
        <v>0</v>
      </c>
      <c r="K1065" s="369">
        <f t="shared" si="50"/>
        <v>6</v>
      </c>
      <c r="L1065" s="369">
        <f>+IF((C1065&gt;='Resultats - informe'!$E$16)*(C1065&lt;='Resultats - informe'!$G$16),1,0)</f>
        <v>1</v>
      </c>
      <c r="M1065" s="369" cm="1">
        <f t="array" ref="M1065">+_xlfn.IFS((C1065&gt;='Resultats - informe'!$D$26)*(C1065&lt;='Resultats - informe'!$E$26),0,(C1065&gt;='Resultats - informe'!$D$27)*(C1065&lt;='Resultats - informe'!$E$27),0,(C1065&gt;='Resultats - informe'!$D$28)*(C1065&lt;='Resultats - informe'!$E$28),0,(C1065&gt;='Resultats - informe'!$D$29)*(C1065&lt;='Resultats - informe'!$E$29),0,1,1)</f>
        <v>0</v>
      </c>
      <c r="N1065" s="366">
        <f>+VLOOKUP(D1065,'Resultats - informe'!$Y$18:$AG$42,'Introducció dades consum'!K1065+1,0)</f>
        <v>0</v>
      </c>
      <c r="O1065" s="370" cm="1">
        <f t="array" ref="O1065">+_xlfn.SWITCH(MONTH(C1065),1,1,2,1,3,1,4,2,5,2,6,3,7,3,8,3,9,3,10,2,11,2,12,1,2)</f>
        <v>1</v>
      </c>
      <c r="P1065" s="43"/>
      <c r="AS1065" s="10"/>
      <c r="AT1065" s="10"/>
      <c r="AU1065" s="10"/>
      <c r="AV1065" s="10"/>
      <c r="AW1065" s="10"/>
      <c r="AX1065" s="10"/>
      <c r="AY1065" s="10"/>
      <c r="AZ1065" s="10"/>
      <c r="BA1065" s="10"/>
      <c r="BB1065" s="10"/>
      <c r="BC1065" s="10"/>
      <c r="BD1065" s="10"/>
      <c r="BE1065" s="10"/>
      <c r="BF1065" s="10"/>
      <c r="BG1065" s="10"/>
      <c r="BH1065" s="10"/>
      <c r="BI1065" s="10"/>
      <c r="BJ1065" s="10"/>
      <c r="BK1065" s="10"/>
      <c r="BL1065" s="10"/>
      <c r="BM1065" s="10"/>
      <c r="BN1065" s="10"/>
      <c r="BO1065" s="10"/>
      <c r="BP1065" s="10"/>
      <c r="BQ1065" s="10"/>
      <c r="BR1065" s="10"/>
      <c r="BS1065" s="10"/>
      <c r="BT1065" s="10"/>
      <c r="BU1065" s="10"/>
    </row>
    <row r="1066" spans="1:73" ht="18" x14ac:dyDescent="0.35">
      <c r="A1066" s="43"/>
      <c r="C1066" s="393"/>
      <c r="E1066" s="394"/>
      <c r="F1066" s="394">
        <v>0</v>
      </c>
      <c r="G1066" s="394"/>
      <c r="H1066" s="8" t="s">
        <v>235</v>
      </c>
      <c r="I1066" s="368">
        <f t="shared" si="49"/>
        <v>0</v>
      </c>
      <c r="J1066" s="365">
        <f t="shared" si="48"/>
        <v>0</v>
      </c>
      <c r="K1066" s="369">
        <f t="shared" si="50"/>
        <v>6</v>
      </c>
      <c r="L1066" s="369">
        <f>+IF((C1066&gt;='Resultats - informe'!$E$16)*(C1066&lt;='Resultats - informe'!$G$16),1,0)</f>
        <v>1</v>
      </c>
      <c r="M1066" s="369" cm="1">
        <f t="array" ref="M1066">+_xlfn.IFS((C1066&gt;='Resultats - informe'!$D$26)*(C1066&lt;='Resultats - informe'!$E$26),0,(C1066&gt;='Resultats - informe'!$D$27)*(C1066&lt;='Resultats - informe'!$E$27),0,(C1066&gt;='Resultats - informe'!$D$28)*(C1066&lt;='Resultats - informe'!$E$28),0,(C1066&gt;='Resultats - informe'!$D$29)*(C1066&lt;='Resultats - informe'!$E$29),0,1,1)</f>
        <v>0</v>
      </c>
      <c r="N1066" s="366">
        <f>+VLOOKUP(D1066,'Resultats - informe'!$Y$18:$AG$42,'Introducció dades consum'!K1066+1,0)</f>
        <v>0</v>
      </c>
      <c r="O1066" s="370" cm="1">
        <f t="array" ref="O1066">+_xlfn.SWITCH(MONTH(C1066),1,1,2,1,3,1,4,2,5,2,6,3,7,3,8,3,9,3,10,2,11,2,12,1,2)</f>
        <v>1</v>
      </c>
      <c r="P1066" s="43"/>
      <c r="AS1066" s="10"/>
      <c r="AT1066" s="10"/>
      <c r="AU1066" s="10"/>
      <c r="AV1066" s="10"/>
      <c r="AW1066" s="10"/>
      <c r="AX1066" s="10"/>
      <c r="AY1066" s="10"/>
      <c r="AZ1066" s="10"/>
      <c r="BA1066" s="10"/>
      <c r="BB1066" s="10"/>
      <c r="BC1066" s="10"/>
      <c r="BD1066" s="10"/>
      <c r="BE1066" s="10"/>
      <c r="BF1066" s="10"/>
      <c r="BG1066" s="10"/>
      <c r="BH1066" s="10"/>
      <c r="BI1066" s="10"/>
      <c r="BJ1066" s="10"/>
      <c r="BK1066" s="10"/>
      <c r="BL1066" s="10"/>
      <c r="BM1066" s="10"/>
      <c r="BN1066" s="10"/>
      <c r="BO1066" s="10"/>
      <c r="BP1066" s="10"/>
      <c r="BQ1066" s="10"/>
      <c r="BR1066" s="10"/>
      <c r="BS1066" s="10"/>
      <c r="BT1066" s="10"/>
      <c r="BU1066" s="10"/>
    </row>
    <row r="1067" spans="1:73" ht="18" x14ac:dyDescent="0.35">
      <c r="A1067" s="43"/>
      <c r="C1067" s="393"/>
      <c r="E1067" s="394"/>
      <c r="F1067" s="394">
        <v>0</v>
      </c>
      <c r="G1067" s="394"/>
      <c r="H1067" s="8" t="s">
        <v>235</v>
      </c>
      <c r="I1067" s="368">
        <f t="shared" si="49"/>
        <v>0</v>
      </c>
      <c r="J1067" s="365">
        <f t="shared" si="48"/>
        <v>0</v>
      </c>
      <c r="K1067" s="369">
        <f t="shared" si="50"/>
        <v>6</v>
      </c>
      <c r="L1067" s="369">
        <f>+IF((C1067&gt;='Resultats - informe'!$E$16)*(C1067&lt;='Resultats - informe'!$G$16),1,0)</f>
        <v>1</v>
      </c>
      <c r="M1067" s="369" cm="1">
        <f t="array" ref="M1067">+_xlfn.IFS((C1067&gt;='Resultats - informe'!$D$26)*(C1067&lt;='Resultats - informe'!$E$26),0,(C1067&gt;='Resultats - informe'!$D$27)*(C1067&lt;='Resultats - informe'!$E$27),0,(C1067&gt;='Resultats - informe'!$D$28)*(C1067&lt;='Resultats - informe'!$E$28),0,(C1067&gt;='Resultats - informe'!$D$29)*(C1067&lt;='Resultats - informe'!$E$29),0,1,1)</f>
        <v>0</v>
      </c>
      <c r="N1067" s="366">
        <f>+VLOOKUP(D1067,'Resultats - informe'!$Y$18:$AG$42,'Introducció dades consum'!K1067+1,0)</f>
        <v>0</v>
      </c>
      <c r="O1067" s="370" cm="1">
        <f t="array" ref="O1067">+_xlfn.SWITCH(MONTH(C1067),1,1,2,1,3,1,4,2,5,2,6,3,7,3,8,3,9,3,10,2,11,2,12,1,2)</f>
        <v>1</v>
      </c>
      <c r="P1067" s="43"/>
      <c r="AS1067" s="10"/>
      <c r="AT1067" s="10"/>
      <c r="AU1067" s="10"/>
      <c r="AV1067" s="10"/>
      <c r="AW1067" s="10"/>
      <c r="AX1067" s="10"/>
      <c r="AY1067" s="10"/>
      <c r="AZ1067" s="10"/>
      <c r="BA1067" s="10"/>
      <c r="BB1067" s="10"/>
      <c r="BC1067" s="10"/>
      <c r="BD1067" s="10"/>
      <c r="BE1067" s="10"/>
      <c r="BF1067" s="10"/>
      <c r="BG1067" s="10"/>
      <c r="BH1067" s="10"/>
      <c r="BI1067" s="10"/>
      <c r="BJ1067" s="10"/>
      <c r="BK1067" s="10"/>
      <c r="BL1067" s="10"/>
      <c r="BM1067" s="10"/>
      <c r="BN1067" s="10"/>
      <c r="BO1067" s="10"/>
      <c r="BP1067" s="10"/>
      <c r="BQ1067" s="10"/>
      <c r="BR1067" s="10"/>
      <c r="BS1067" s="10"/>
      <c r="BT1067" s="10"/>
      <c r="BU1067" s="10"/>
    </row>
    <row r="1068" spans="1:73" ht="18" x14ac:dyDescent="0.35">
      <c r="A1068" s="43"/>
      <c r="C1068" s="393"/>
      <c r="E1068" s="394"/>
      <c r="F1068" s="394">
        <v>0</v>
      </c>
      <c r="G1068" s="394"/>
      <c r="H1068" s="8" t="s">
        <v>235</v>
      </c>
      <c r="I1068" s="368">
        <f t="shared" si="49"/>
        <v>0</v>
      </c>
      <c r="J1068" s="365">
        <f t="shared" si="48"/>
        <v>0</v>
      </c>
      <c r="K1068" s="369">
        <f t="shared" si="50"/>
        <v>6</v>
      </c>
      <c r="L1068" s="369">
        <f>+IF((C1068&gt;='Resultats - informe'!$E$16)*(C1068&lt;='Resultats - informe'!$G$16),1,0)</f>
        <v>1</v>
      </c>
      <c r="M1068" s="369" cm="1">
        <f t="array" ref="M1068">+_xlfn.IFS((C1068&gt;='Resultats - informe'!$D$26)*(C1068&lt;='Resultats - informe'!$E$26),0,(C1068&gt;='Resultats - informe'!$D$27)*(C1068&lt;='Resultats - informe'!$E$27),0,(C1068&gt;='Resultats - informe'!$D$28)*(C1068&lt;='Resultats - informe'!$E$28),0,(C1068&gt;='Resultats - informe'!$D$29)*(C1068&lt;='Resultats - informe'!$E$29),0,1,1)</f>
        <v>0</v>
      </c>
      <c r="N1068" s="366">
        <f>+VLOOKUP(D1068,'Resultats - informe'!$Y$18:$AG$42,'Introducció dades consum'!K1068+1,0)</f>
        <v>0</v>
      </c>
      <c r="O1068" s="370" cm="1">
        <f t="array" ref="O1068">+_xlfn.SWITCH(MONTH(C1068),1,1,2,1,3,1,4,2,5,2,6,3,7,3,8,3,9,3,10,2,11,2,12,1,2)</f>
        <v>1</v>
      </c>
      <c r="P1068" s="43"/>
      <c r="AS1068" s="10"/>
      <c r="AT1068" s="10"/>
      <c r="AU1068" s="10"/>
      <c r="AV1068" s="10"/>
      <c r="AW1068" s="10"/>
      <c r="AX1068" s="10"/>
      <c r="AY1068" s="10"/>
      <c r="AZ1068" s="10"/>
      <c r="BA1068" s="10"/>
      <c r="BB1068" s="10"/>
      <c r="BC1068" s="10"/>
      <c r="BD1068" s="10"/>
      <c r="BE1068" s="10"/>
      <c r="BF1068" s="10"/>
      <c r="BG1068" s="10"/>
      <c r="BH1068" s="10"/>
      <c r="BI1068" s="10"/>
      <c r="BJ1068" s="10"/>
      <c r="BK1068" s="10"/>
      <c r="BL1068" s="10"/>
      <c r="BM1068" s="10"/>
      <c r="BN1068" s="10"/>
      <c r="BO1068" s="10"/>
      <c r="BP1068" s="10"/>
      <c r="BQ1068" s="10"/>
      <c r="BR1068" s="10"/>
      <c r="BS1068" s="10"/>
      <c r="BT1068" s="10"/>
      <c r="BU1068" s="10"/>
    </row>
    <row r="1069" spans="1:73" ht="18" x14ac:dyDescent="0.35">
      <c r="A1069" s="43"/>
      <c r="C1069" s="393"/>
      <c r="E1069" s="394"/>
      <c r="F1069" s="394">
        <v>0</v>
      </c>
      <c r="G1069" s="394"/>
      <c r="H1069" s="8" t="s">
        <v>61</v>
      </c>
      <c r="I1069" s="368">
        <f t="shared" si="49"/>
        <v>0</v>
      </c>
      <c r="J1069" s="365">
        <f t="shared" si="48"/>
        <v>0</v>
      </c>
      <c r="K1069" s="369">
        <f t="shared" si="50"/>
        <v>6</v>
      </c>
      <c r="L1069" s="369">
        <f>+IF((C1069&gt;='Resultats - informe'!$E$16)*(C1069&lt;='Resultats - informe'!$G$16),1,0)</f>
        <v>1</v>
      </c>
      <c r="M1069" s="369" cm="1">
        <f t="array" ref="M1069">+_xlfn.IFS((C1069&gt;='Resultats - informe'!$D$26)*(C1069&lt;='Resultats - informe'!$E$26),0,(C1069&gt;='Resultats - informe'!$D$27)*(C1069&lt;='Resultats - informe'!$E$27),0,(C1069&gt;='Resultats - informe'!$D$28)*(C1069&lt;='Resultats - informe'!$E$28),0,(C1069&gt;='Resultats - informe'!$D$29)*(C1069&lt;='Resultats - informe'!$E$29),0,1,1)</f>
        <v>0</v>
      </c>
      <c r="N1069" s="366">
        <f>+VLOOKUP(D1069,'Resultats - informe'!$Y$18:$AG$42,'Introducció dades consum'!K1069+1,0)</f>
        <v>0</v>
      </c>
      <c r="O1069" s="370" cm="1">
        <f t="array" ref="O1069">+_xlfn.SWITCH(MONTH(C1069),1,1,2,1,3,1,4,2,5,2,6,3,7,3,8,3,9,3,10,2,11,2,12,1,2)</f>
        <v>1</v>
      </c>
      <c r="P1069" s="43"/>
      <c r="AS1069" s="10"/>
      <c r="AT1069" s="10"/>
      <c r="AU1069" s="10"/>
      <c r="AV1069" s="10"/>
      <c r="AW1069" s="10"/>
      <c r="AX1069" s="10"/>
      <c r="AY1069" s="10"/>
      <c r="AZ1069" s="10"/>
      <c r="BA1069" s="10"/>
      <c r="BB1069" s="10"/>
      <c r="BC1069" s="10"/>
      <c r="BD1069" s="10"/>
      <c r="BE1069" s="10"/>
      <c r="BF1069" s="10"/>
      <c r="BG1069" s="10"/>
      <c r="BH1069" s="10"/>
      <c r="BI1069" s="10"/>
      <c r="BJ1069" s="10"/>
      <c r="BK1069" s="10"/>
      <c r="BL1069" s="10"/>
      <c r="BM1069" s="10"/>
      <c r="BN1069" s="10"/>
      <c r="BO1069" s="10"/>
      <c r="BP1069" s="10"/>
      <c r="BQ1069" s="10"/>
      <c r="BR1069" s="10"/>
      <c r="BS1069" s="10"/>
      <c r="BT1069" s="10"/>
      <c r="BU1069" s="10"/>
    </row>
    <row r="1070" spans="1:73" ht="18" x14ac:dyDescent="0.35">
      <c r="A1070" s="43"/>
      <c r="C1070" s="393"/>
      <c r="E1070" s="394"/>
      <c r="F1070" s="394">
        <v>0</v>
      </c>
      <c r="G1070" s="394"/>
      <c r="H1070" s="8" t="s">
        <v>61</v>
      </c>
      <c r="I1070" s="368">
        <f t="shared" si="49"/>
        <v>0</v>
      </c>
      <c r="J1070" s="365">
        <f t="shared" si="48"/>
        <v>0</v>
      </c>
      <c r="K1070" s="369">
        <f t="shared" si="50"/>
        <v>6</v>
      </c>
      <c r="L1070" s="369">
        <f>+IF((C1070&gt;='Resultats - informe'!$E$16)*(C1070&lt;='Resultats - informe'!$G$16),1,0)</f>
        <v>1</v>
      </c>
      <c r="M1070" s="369" cm="1">
        <f t="array" ref="M1070">+_xlfn.IFS((C1070&gt;='Resultats - informe'!$D$26)*(C1070&lt;='Resultats - informe'!$E$26),0,(C1070&gt;='Resultats - informe'!$D$27)*(C1070&lt;='Resultats - informe'!$E$27),0,(C1070&gt;='Resultats - informe'!$D$28)*(C1070&lt;='Resultats - informe'!$E$28),0,(C1070&gt;='Resultats - informe'!$D$29)*(C1070&lt;='Resultats - informe'!$E$29),0,1,1)</f>
        <v>0</v>
      </c>
      <c r="N1070" s="366">
        <f>+VLOOKUP(D1070,'Resultats - informe'!$Y$18:$AG$42,'Introducció dades consum'!K1070+1,0)</f>
        <v>0</v>
      </c>
      <c r="O1070" s="370" cm="1">
        <f t="array" ref="O1070">+_xlfn.SWITCH(MONTH(C1070),1,1,2,1,3,1,4,2,5,2,6,3,7,3,8,3,9,3,10,2,11,2,12,1,2)</f>
        <v>1</v>
      </c>
      <c r="P1070" s="43"/>
      <c r="AS1070" s="10"/>
      <c r="AT1070" s="10"/>
      <c r="AU1070" s="10"/>
      <c r="AV1070" s="10"/>
      <c r="AW1070" s="10"/>
      <c r="AX1070" s="10"/>
      <c r="AY1070" s="10"/>
      <c r="AZ1070" s="10"/>
      <c r="BA1070" s="10"/>
      <c r="BB1070" s="10"/>
      <c r="BC1070" s="10"/>
      <c r="BD1070" s="10"/>
      <c r="BE1070" s="10"/>
      <c r="BF1070" s="10"/>
      <c r="BG1070" s="10"/>
      <c r="BH1070" s="10"/>
      <c r="BI1070" s="10"/>
      <c r="BJ1070" s="10"/>
      <c r="BK1070" s="10"/>
      <c r="BL1070" s="10"/>
      <c r="BM1070" s="10"/>
      <c r="BN1070" s="10"/>
      <c r="BO1070" s="10"/>
      <c r="BP1070" s="10"/>
      <c r="BQ1070" s="10"/>
      <c r="BR1070" s="10"/>
      <c r="BS1070" s="10"/>
      <c r="BT1070" s="10"/>
      <c r="BU1070" s="10"/>
    </row>
    <row r="1071" spans="1:73" ht="18" x14ac:dyDescent="0.35">
      <c r="A1071" s="43"/>
      <c r="C1071" s="393"/>
      <c r="E1071" s="394"/>
      <c r="F1071" s="394">
        <v>0</v>
      </c>
      <c r="G1071" s="394"/>
      <c r="H1071" s="8" t="s">
        <v>61</v>
      </c>
      <c r="I1071" s="368">
        <f t="shared" si="49"/>
        <v>0</v>
      </c>
      <c r="J1071" s="365">
        <f t="shared" si="48"/>
        <v>0</v>
      </c>
      <c r="K1071" s="369">
        <f t="shared" si="50"/>
        <v>6</v>
      </c>
      <c r="L1071" s="369">
        <f>+IF((C1071&gt;='Resultats - informe'!$E$16)*(C1071&lt;='Resultats - informe'!$G$16),1,0)</f>
        <v>1</v>
      </c>
      <c r="M1071" s="369" cm="1">
        <f t="array" ref="M1071">+_xlfn.IFS((C1071&gt;='Resultats - informe'!$D$26)*(C1071&lt;='Resultats - informe'!$E$26),0,(C1071&gt;='Resultats - informe'!$D$27)*(C1071&lt;='Resultats - informe'!$E$27),0,(C1071&gt;='Resultats - informe'!$D$28)*(C1071&lt;='Resultats - informe'!$E$28),0,(C1071&gt;='Resultats - informe'!$D$29)*(C1071&lt;='Resultats - informe'!$E$29),0,1,1)</f>
        <v>0</v>
      </c>
      <c r="N1071" s="366">
        <f>+VLOOKUP(D1071,'Resultats - informe'!$Y$18:$AG$42,'Introducció dades consum'!K1071+1,0)</f>
        <v>0</v>
      </c>
      <c r="O1071" s="370" cm="1">
        <f t="array" ref="O1071">+_xlfn.SWITCH(MONTH(C1071),1,1,2,1,3,1,4,2,5,2,6,3,7,3,8,3,9,3,10,2,11,2,12,1,2)</f>
        <v>1</v>
      </c>
      <c r="P1071" s="43"/>
      <c r="AS1071" s="10"/>
      <c r="AT1071" s="10"/>
      <c r="AU1071" s="10"/>
      <c r="AV1071" s="10"/>
      <c r="AW1071" s="10"/>
      <c r="AX1071" s="10"/>
      <c r="AY1071" s="10"/>
      <c r="AZ1071" s="10"/>
      <c r="BA1071" s="10"/>
      <c r="BB1071" s="10"/>
      <c r="BC1071" s="10"/>
      <c r="BD1071" s="10"/>
      <c r="BE1071" s="10"/>
      <c r="BF1071" s="10"/>
      <c r="BG1071" s="10"/>
      <c r="BH1071" s="10"/>
      <c r="BI1071" s="10"/>
      <c r="BJ1071" s="10"/>
      <c r="BK1071" s="10"/>
      <c r="BL1071" s="10"/>
      <c r="BM1071" s="10"/>
      <c r="BN1071" s="10"/>
      <c r="BO1071" s="10"/>
      <c r="BP1071" s="10"/>
      <c r="BQ1071" s="10"/>
      <c r="BR1071" s="10"/>
      <c r="BS1071" s="10"/>
      <c r="BT1071" s="10"/>
      <c r="BU1071" s="10"/>
    </row>
    <row r="1072" spans="1:73" ht="18" x14ac:dyDescent="0.35">
      <c r="A1072" s="43"/>
      <c r="C1072" s="393"/>
      <c r="E1072" s="394"/>
      <c r="F1072" s="394">
        <v>0</v>
      </c>
      <c r="G1072" s="394"/>
      <c r="H1072" s="8" t="s">
        <v>61</v>
      </c>
      <c r="I1072" s="368">
        <f t="shared" si="49"/>
        <v>0</v>
      </c>
      <c r="J1072" s="365">
        <f t="shared" si="48"/>
        <v>0</v>
      </c>
      <c r="K1072" s="369">
        <f t="shared" si="50"/>
        <v>6</v>
      </c>
      <c r="L1072" s="369">
        <f>+IF((C1072&gt;='Resultats - informe'!$E$16)*(C1072&lt;='Resultats - informe'!$G$16),1,0)</f>
        <v>1</v>
      </c>
      <c r="M1072" s="369" cm="1">
        <f t="array" ref="M1072">+_xlfn.IFS((C1072&gt;='Resultats - informe'!$D$26)*(C1072&lt;='Resultats - informe'!$E$26),0,(C1072&gt;='Resultats - informe'!$D$27)*(C1072&lt;='Resultats - informe'!$E$27),0,(C1072&gt;='Resultats - informe'!$D$28)*(C1072&lt;='Resultats - informe'!$E$28),0,(C1072&gt;='Resultats - informe'!$D$29)*(C1072&lt;='Resultats - informe'!$E$29),0,1,1)</f>
        <v>0</v>
      </c>
      <c r="N1072" s="366">
        <f>+VLOOKUP(D1072,'Resultats - informe'!$Y$18:$AG$42,'Introducció dades consum'!K1072+1,0)</f>
        <v>0</v>
      </c>
      <c r="O1072" s="370" cm="1">
        <f t="array" ref="O1072">+_xlfn.SWITCH(MONTH(C1072),1,1,2,1,3,1,4,2,5,2,6,3,7,3,8,3,9,3,10,2,11,2,12,1,2)</f>
        <v>1</v>
      </c>
      <c r="P1072" s="43"/>
      <c r="AS1072" s="10"/>
      <c r="AT1072" s="10"/>
      <c r="AU1072" s="10"/>
      <c r="AV1072" s="10"/>
      <c r="AW1072" s="10"/>
      <c r="AX1072" s="10"/>
      <c r="AY1072" s="10"/>
      <c r="AZ1072" s="10"/>
      <c r="BA1072" s="10"/>
      <c r="BB1072" s="10"/>
      <c r="BC1072" s="10"/>
      <c r="BD1072" s="10"/>
      <c r="BE1072" s="10"/>
      <c r="BF1072" s="10"/>
      <c r="BG1072" s="10"/>
      <c r="BH1072" s="10"/>
      <c r="BI1072" s="10"/>
      <c r="BJ1072" s="10"/>
      <c r="BK1072" s="10"/>
      <c r="BL1072" s="10"/>
      <c r="BM1072" s="10"/>
      <c r="BN1072" s="10"/>
      <c r="BO1072" s="10"/>
      <c r="BP1072" s="10"/>
      <c r="BQ1072" s="10"/>
      <c r="BR1072" s="10"/>
      <c r="BS1072" s="10"/>
      <c r="BT1072" s="10"/>
      <c r="BU1072" s="10"/>
    </row>
    <row r="1073" spans="1:73" ht="18" x14ac:dyDescent="0.35">
      <c r="A1073" s="43"/>
      <c r="C1073" s="393"/>
      <c r="E1073" s="394"/>
      <c r="F1073" s="394">
        <v>1.3620000000000001</v>
      </c>
      <c r="G1073" s="394"/>
      <c r="H1073" s="8" t="s">
        <v>61</v>
      </c>
      <c r="I1073" s="368">
        <f t="shared" si="49"/>
        <v>0</v>
      </c>
      <c r="J1073" s="365">
        <f t="shared" si="48"/>
        <v>0</v>
      </c>
      <c r="K1073" s="369">
        <f t="shared" si="50"/>
        <v>6</v>
      </c>
      <c r="L1073" s="369">
        <f>+IF((C1073&gt;='Resultats - informe'!$E$16)*(C1073&lt;='Resultats - informe'!$G$16),1,0)</f>
        <v>1</v>
      </c>
      <c r="M1073" s="369" cm="1">
        <f t="array" ref="M1073">+_xlfn.IFS((C1073&gt;='Resultats - informe'!$D$26)*(C1073&lt;='Resultats - informe'!$E$26),0,(C1073&gt;='Resultats - informe'!$D$27)*(C1073&lt;='Resultats - informe'!$E$27),0,(C1073&gt;='Resultats - informe'!$D$28)*(C1073&lt;='Resultats - informe'!$E$28),0,(C1073&gt;='Resultats - informe'!$D$29)*(C1073&lt;='Resultats - informe'!$E$29),0,1,1)</f>
        <v>0</v>
      </c>
      <c r="N1073" s="366">
        <f>+VLOOKUP(D1073,'Resultats - informe'!$Y$18:$AG$42,'Introducció dades consum'!K1073+1,0)</f>
        <v>0</v>
      </c>
      <c r="O1073" s="370" cm="1">
        <f t="array" ref="O1073">+_xlfn.SWITCH(MONTH(C1073),1,1,2,1,3,1,4,2,5,2,6,3,7,3,8,3,9,3,10,2,11,2,12,1,2)</f>
        <v>1</v>
      </c>
      <c r="P1073" s="43"/>
      <c r="AS1073" s="10"/>
      <c r="AT1073" s="10"/>
      <c r="AU1073" s="10"/>
      <c r="AV1073" s="10"/>
      <c r="AW1073" s="10"/>
      <c r="AX1073" s="10"/>
      <c r="AY1073" s="10"/>
      <c r="AZ1073" s="10"/>
      <c r="BA1073" s="10"/>
      <c r="BB1073" s="10"/>
      <c r="BC1073" s="10"/>
      <c r="BD1073" s="10"/>
      <c r="BE1073" s="10"/>
      <c r="BF1073" s="10"/>
      <c r="BG1073" s="10"/>
      <c r="BH1073" s="10"/>
      <c r="BI1073" s="10"/>
      <c r="BJ1073" s="10"/>
      <c r="BK1073" s="10"/>
      <c r="BL1073" s="10"/>
      <c r="BM1073" s="10"/>
      <c r="BN1073" s="10"/>
      <c r="BO1073" s="10"/>
      <c r="BP1073" s="10"/>
      <c r="BQ1073" s="10"/>
      <c r="BR1073" s="10"/>
      <c r="BS1073" s="10"/>
      <c r="BT1073" s="10"/>
      <c r="BU1073" s="10"/>
    </row>
    <row r="1074" spans="1:73" ht="18" x14ac:dyDescent="0.35">
      <c r="A1074" s="43"/>
      <c r="C1074" s="393"/>
      <c r="E1074" s="394"/>
      <c r="F1074" s="394">
        <v>4.1000000000000002E-2</v>
      </c>
      <c r="G1074" s="394"/>
      <c r="H1074" s="8" t="s">
        <v>235</v>
      </c>
      <c r="I1074" s="368">
        <f t="shared" si="49"/>
        <v>0</v>
      </c>
      <c r="J1074" s="365">
        <f t="shared" si="48"/>
        <v>0</v>
      </c>
      <c r="K1074" s="369">
        <f t="shared" si="50"/>
        <v>6</v>
      </c>
      <c r="L1074" s="369">
        <f>+IF((C1074&gt;='Resultats - informe'!$E$16)*(C1074&lt;='Resultats - informe'!$G$16),1,0)</f>
        <v>1</v>
      </c>
      <c r="M1074" s="369" cm="1">
        <f t="array" ref="M1074">+_xlfn.IFS((C1074&gt;='Resultats - informe'!$D$26)*(C1074&lt;='Resultats - informe'!$E$26),0,(C1074&gt;='Resultats - informe'!$D$27)*(C1074&lt;='Resultats - informe'!$E$27),0,(C1074&gt;='Resultats - informe'!$D$28)*(C1074&lt;='Resultats - informe'!$E$28),0,(C1074&gt;='Resultats - informe'!$D$29)*(C1074&lt;='Resultats - informe'!$E$29),0,1,1)</f>
        <v>0</v>
      </c>
      <c r="N1074" s="366">
        <f>+VLOOKUP(D1074,'Resultats - informe'!$Y$18:$AG$42,'Introducció dades consum'!K1074+1,0)</f>
        <v>0</v>
      </c>
      <c r="O1074" s="370" cm="1">
        <f t="array" ref="O1074">+_xlfn.SWITCH(MONTH(C1074),1,1,2,1,3,1,4,2,5,2,6,3,7,3,8,3,9,3,10,2,11,2,12,1,2)</f>
        <v>1</v>
      </c>
      <c r="P1074" s="43"/>
      <c r="AS1074" s="10"/>
      <c r="AT1074" s="10"/>
      <c r="AU1074" s="10"/>
      <c r="AV1074" s="10"/>
      <c r="AW1074" s="10"/>
      <c r="AX1074" s="10"/>
      <c r="AY1074" s="10"/>
      <c r="AZ1074" s="10"/>
      <c r="BA1074" s="10"/>
      <c r="BB1074" s="10"/>
      <c r="BC1074" s="10"/>
      <c r="BD1074" s="10"/>
      <c r="BE1074" s="10"/>
      <c r="BF1074" s="10"/>
      <c r="BG1074" s="10"/>
      <c r="BH1074" s="10"/>
      <c r="BI1074" s="10"/>
      <c r="BJ1074" s="10"/>
      <c r="BK1074" s="10"/>
      <c r="BL1074" s="10"/>
      <c r="BM1074" s="10"/>
      <c r="BN1074" s="10"/>
      <c r="BO1074" s="10"/>
      <c r="BP1074" s="10"/>
      <c r="BQ1074" s="10"/>
      <c r="BR1074" s="10"/>
      <c r="BS1074" s="10"/>
      <c r="BT1074" s="10"/>
      <c r="BU1074" s="10"/>
    </row>
    <row r="1075" spans="1:73" ht="18" x14ac:dyDescent="0.35">
      <c r="A1075" s="43"/>
      <c r="C1075" s="393"/>
      <c r="E1075" s="394"/>
      <c r="F1075" s="394">
        <v>0.23899999999999999</v>
      </c>
      <c r="G1075" s="394"/>
      <c r="H1075" s="8" t="s">
        <v>235</v>
      </c>
      <c r="I1075" s="368">
        <f t="shared" si="49"/>
        <v>0</v>
      </c>
      <c r="J1075" s="365">
        <f t="shared" si="48"/>
        <v>0</v>
      </c>
      <c r="K1075" s="369">
        <f t="shared" si="50"/>
        <v>6</v>
      </c>
      <c r="L1075" s="369">
        <f>+IF((C1075&gt;='Resultats - informe'!$E$16)*(C1075&lt;='Resultats - informe'!$G$16),1,0)</f>
        <v>1</v>
      </c>
      <c r="M1075" s="369" cm="1">
        <f t="array" ref="M1075">+_xlfn.IFS((C1075&gt;='Resultats - informe'!$D$26)*(C1075&lt;='Resultats - informe'!$E$26),0,(C1075&gt;='Resultats - informe'!$D$27)*(C1075&lt;='Resultats - informe'!$E$27),0,(C1075&gt;='Resultats - informe'!$D$28)*(C1075&lt;='Resultats - informe'!$E$28),0,(C1075&gt;='Resultats - informe'!$D$29)*(C1075&lt;='Resultats - informe'!$E$29),0,1,1)</f>
        <v>0</v>
      </c>
      <c r="N1075" s="366">
        <f>+VLOOKUP(D1075,'Resultats - informe'!$Y$18:$AG$42,'Introducció dades consum'!K1075+1,0)</f>
        <v>0</v>
      </c>
      <c r="O1075" s="370" cm="1">
        <f t="array" ref="O1075">+_xlfn.SWITCH(MONTH(C1075),1,1,2,1,3,1,4,2,5,2,6,3,7,3,8,3,9,3,10,2,11,2,12,1,2)</f>
        <v>1</v>
      </c>
      <c r="P1075" s="43"/>
      <c r="AS1075" s="10"/>
      <c r="AT1075" s="10"/>
      <c r="AU1075" s="10"/>
      <c r="AV1075" s="10"/>
      <c r="AW1075" s="10"/>
      <c r="AX1075" s="10"/>
      <c r="AY1075" s="10"/>
      <c r="AZ1075" s="10"/>
      <c r="BA1075" s="10"/>
      <c r="BB1075" s="10"/>
      <c r="BC1075" s="10"/>
      <c r="BD1075" s="10"/>
      <c r="BE1075" s="10"/>
      <c r="BF1075" s="10"/>
      <c r="BG1075" s="10"/>
      <c r="BH1075" s="10"/>
      <c r="BI1075" s="10"/>
      <c r="BJ1075" s="10"/>
      <c r="BK1075" s="10"/>
      <c r="BL1075" s="10"/>
      <c r="BM1075" s="10"/>
      <c r="BN1075" s="10"/>
      <c r="BO1075" s="10"/>
      <c r="BP1075" s="10"/>
      <c r="BQ1075" s="10"/>
      <c r="BR1075" s="10"/>
      <c r="BS1075" s="10"/>
      <c r="BT1075" s="10"/>
      <c r="BU1075" s="10"/>
    </row>
    <row r="1076" spans="1:73" ht="18" x14ac:dyDescent="0.35">
      <c r="A1076" s="43"/>
      <c r="C1076" s="393"/>
      <c r="E1076" s="394"/>
      <c r="F1076" s="394">
        <v>0.55500000000000005</v>
      </c>
      <c r="G1076" s="394"/>
      <c r="H1076" s="8" t="s">
        <v>235</v>
      </c>
      <c r="I1076" s="368">
        <f t="shared" si="49"/>
        <v>0</v>
      </c>
      <c r="J1076" s="365">
        <f t="shared" si="48"/>
        <v>0</v>
      </c>
      <c r="K1076" s="369">
        <f t="shared" si="50"/>
        <v>6</v>
      </c>
      <c r="L1076" s="369">
        <f>+IF((C1076&gt;='Resultats - informe'!$E$16)*(C1076&lt;='Resultats - informe'!$G$16),1,0)</f>
        <v>1</v>
      </c>
      <c r="M1076" s="369" cm="1">
        <f t="array" ref="M1076">+_xlfn.IFS((C1076&gt;='Resultats - informe'!$D$26)*(C1076&lt;='Resultats - informe'!$E$26),0,(C1076&gt;='Resultats - informe'!$D$27)*(C1076&lt;='Resultats - informe'!$E$27),0,(C1076&gt;='Resultats - informe'!$D$28)*(C1076&lt;='Resultats - informe'!$E$28),0,(C1076&gt;='Resultats - informe'!$D$29)*(C1076&lt;='Resultats - informe'!$E$29),0,1,1)</f>
        <v>0</v>
      </c>
      <c r="N1076" s="366">
        <f>+VLOOKUP(D1076,'Resultats - informe'!$Y$18:$AG$42,'Introducció dades consum'!K1076+1,0)</f>
        <v>0</v>
      </c>
      <c r="O1076" s="370" cm="1">
        <f t="array" ref="O1076">+_xlfn.SWITCH(MONTH(C1076),1,1,2,1,3,1,4,2,5,2,6,3,7,3,8,3,9,3,10,2,11,2,12,1,2)</f>
        <v>1</v>
      </c>
      <c r="P1076" s="43"/>
      <c r="AS1076" s="10"/>
      <c r="AT1076" s="10"/>
      <c r="AU1076" s="10"/>
      <c r="AV1076" s="10"/>
      <c r="AW1076" s="10"/>
      <c r="AX1076" s="10"/>
      <c r="AY1076" s="10"/>
      <c r="AZ1076" s="10"/>
      <c r="BA1076" s="10"/>
      <c r="BB1076" s="10"/>
      <c r="BC1076" s="10"/>
      <c r="BD1076" s="10"/>
      <c r="BE1076" s="10"/>
      <c r="BF1076" s="10"/>
      <c r="BG1076" s="10"/>
      <c r="BH1076" s="10"/>
      <c r="BI1076" s="10"/>
      <c r="BJ1076" s="10"/>
      <c r="BK1076" s="10"/>
      <c r="BL1076" s="10"/>
      <c r="BM1076" s="10"/>
      <c r="BN1076" s="10"/>
      <c r="BO1076" s="10"/>
      <c r="BP1076" s="10"/>
      <c r="BQ1076" s="10"/>
      <c r="BR1076" s="10"/>
      <c r="BS1076" s="10"/>
      <c r="BT1076" s="10"/>
      <c r="BU1076" s="10"/>
    </row>
    <row r="1077" spans="1:73" ht="18" x14ac:dyDescent="0.35">
      <c r="A1077" s="43"/>
      <c r="C1077" s="393"/>
      <c r="E1077" s="394"/>
      <c r="F1077" s="394">
        <v>0</v>
      </c>
      <c r="G1077" s="394"/>
      <c r="H1077" s="8" t="s">
        <v>235</v>
      </c>
      <c r="I1077" s="368">
        <f t="shared" si="49"/>
        <v>0</v>
      </c>
      <c r="J1077" s="365">
        <f t="shared" si="48"/>
        <v>0</v>
      </c>
      <c r="K1077" s="369">
        <f t="shared" si="50"/>
        <v>6</v>
      </c>
      <c r="L1077" s="369">
        <f>+IF((C1077&gt;='Resultats - informe'!$E$16)*(C1077&lt;='Resultats - informe'!$G$16),1,0)</f>
        <v>1</v>
      </c>
      <c r="M1077" s="369" cm="1">
        <f t="array" ref="M1077">+_xlfn.IFS((C1077&gt;='Resultats - informe'!$D$26)*(C1077&lt;='Resultats - informe'!$E$26),0,(C1077&gt;='Resultats - informe'!$D$27)*(C1077&lt;='Resultats - informe'!$E$27),0,(C1077&gt;='Resultats - informe'!$D$28)*(C1077&lt;='Resultats - informe'!$E$28),0,(C1077&gt;='Resultats - informe'!$D$29)*(C1077&lt;='Resultats - informe'!$E$29),0,1,1)</f>
        <v>0</v>
      </c>
      <c r="N1077" s="366">
        <f>+VLOOKUP(D1077,'Resultats - informe'!$Y$18:$AG$42,'Introducció dades consum'!K1077+1,0)</f>
        <v>0</v>
      </c>
      <c r="O1077" s="370" cm="1">
        <f t="array" ref="O1077">+_xlfn.SWITCH(MONTH(C1077),1,1,2,1,3,1,4,2,5,2,6,3,7,3,8,3,9,3,10,2,11,2,12,1,2)</f>
        <v>1</v>
      </c>
      <c r="P1077" s="43"/>
      <c r="AS1077" s="10"/>
      <c r="AT1077" s="10"/>
      <c r="AU1077" s="10"/>
      <c r="AV1077" s="10"/>
      <c r="AW1077" s="10"/>
      <c r="AX1077" s="10"/>
      <c r="AY1077" s="10"/>
      <c r="AZ1077" s="10"/>
      <c r="BA1077" s="10"/>
      <c r="BB1077" s="10"/>
      <c r="BC1077" s="10"/>
      <c r="BD1077" s="10"/>
      <c r="BE1077" s="10"/>
      <c r="BF1077" s="10"/>
      <c r="BG1077" s="10"/>
      <c r="BH1077" s="10"/>
      <c r="BI1077" s="10"/>
      <c r="BJ1077" s="10"/>
      <c r="BK1077" s="10"/>
      <c r="BL1077" s="10"/>
      <c r="BM1077" s="10"/>
      <c r="BN1077" s="10"/>
      <c r="BO1077" s="10"/>
      <c r="BP1077" s="10"/>
      <c r="BQ1077" s="10"/>
      <c r="BR1077" s="10"/>
      <c r="BS1077" s="10"/>
      <c r="BT1077" s="10"/>
      <c r="BU1077" s="10"/>
    </row>
    <row r="1078" spans="1:73" ht="18" x14ac:dyDescent="0.35">
      <c r="A1078" s="43"/>
      <c r="C1078" s="393"/>
      <c r="E1078" s="394"/>
      <c r="F1078" s="394">
        <v>0</v>
      </c>
      <c r="G1078" s="394"/>
      <c r="H1078" s="8" t="s">
        <v>235</v>
      </c>
      <c r="I1078" s="368">
        <f t="shared" si="49"/>
        <v>0</v>
      </c>
      <c r="J1078" s="365">
        <f t="shared" si="48"/>
        <v>0</v>
      </c>
      <c r="K1078" s="369">
        <f t="shared" si="50"/>
        <v>6</v>
      </c>
      <c r="L1078" s="369">
        <f>+IF((C1078&gt;='Resultats - informe'!$E$16)*(C1078&lt;='Resultats - informe'!$G$16),1,0)</f>
        <v>1</v>
      </c>
      <c r="M1078" s="369" cm="1">
        <f t="array" ref="M1078">+_xlfn.IFS((C1078&gt;='Resultats - informe'!$D$26)*(C1078&lt;='Resultats - informe'!$E$26),0,(C1078&gt;='Resultats - informe'!$D$27)*(C1078&lt;='Resultats - informe'!$E$27),0,(C1078&gt;='Resultats - informe'!$D$28)*(C1078&lt;='Resultats - informe'!$E$28),0,(C1078&gt;='Resultats - informe'!$D$29)*(C1078&lt;='Resultats - informe'!$E$29),0,1,1)</f>
        <v>0</v>
      </c>
      <c r="N1078" s="366">
        <f>+VLOOKUP(D1078,'Resultats - informe'!$Y$18:$AG$42,'Introducció dades consum'!K1078+1,0)</f>
        <v>0</v>
      </c>
      <c r="O1078" s="370" cm="1">
        <f t="array" ref="O1078">+_xlfn.SWITCH(MONTH(C1078),1,1,2,1,3,1,4,2,5,2,6,3,7,3,8,3,9,3,10,2,11,2,12,1,2)</f>
        <v>1</v>
      </c>
      <c r="P1078" s="43"/>
      <c r="AS1078" s="10"/>
      <c r="AT1078" s="10"/>
      <c r="AU1078" s="10"/>
      <c r="AV1078" s="10"/>
      <c r="AW1078" s="10"/>
      <c r="AX1078" s="10"/>
      <c r="AY1078" s="10"/>
      <c r="AZ1078" s="10"/>
      <c r="BA1078" s="10"/>
      <c r="BB1078" s="10"/>
      <c r="BC1078" s="10"/>
      <c r="BD1078" s="10"/>
      <c r="BE1078" s="10"/>
      <c r="BF1078" s="10"/>
      <c r="BG1078" s="10"/>
      <c r="BH1078" s="10"/>
      <c r="BI1078" s="10"/>
      <c r="BJ1078" s="10"/>
      <c r="BK1078" s="10"/>
      <c r="BL1078" s="10"/>
      <c r="BM1078" s="10"/>
      <c r="BN1078" s="10"/>
      <c r="BO1078" s="10"/>
      <c r="BP1078" s="10"/>
      <c r="BQ1078" s="10"/>
      <c r="BR1078" s="10"/>
      <c r="BS1078" s="10"/>
      <c r="BT1078" s="10"/>
      <c r="BU1078" s="10"/>
    </row>
    <row r="1079" spans="1:73" ht="18" x14ac:dyDescent="0.35">
      <c r="A1079" s="43"/>
      <c r="C1079" s="393"/>
      <c r="E1079" s="394"/>
      <c r="F1079" s="394">
        <v>0</v>
      </c>
      <c r="G1079" s="394"/>
      <c r="H1079" s="8" t="s">
        <v>235</v>
      </c>
      <c r="I1079" s="368">
        <f t="shared" si="49"/>
        <v>0</v>
      </c>
      <c r="J1079" s="365">
        <f t="shared" si="48"/>
        <v>0</v>
      </c>
      <c r="K1079" s="369">
        <f t="shared" si="50"/>
        <v>6</v>
      </c>
      <c r="L1079" s="369">
        <f>+IF((C1079&gt;='Resultats - informe'!$E$16)*(C1079&lt;='Resultats - informe'!$G$16),1,0)</f>
        <v>1</v>
      </c>
      <c r="M1079" s="369" cm="1">
        <f t="array" ref="M1079">+_xlfn.IFS((C1079&gt;='Resultats - informe'!$D$26)*(C1079&lt;='Resultats - informe'!$E$26),0,(C1079&gt;='Resultats - informe'!$D$27)*(C1079&lt;='Resultats - informe'!$E$27),0,(C1079&gt;='Resultats - informe'!$D$28)*(C1079&lt;='Resultats - informe'!$E$28),0,(C1079&gt;='Resultats - informe'!$D$29)*(C1079&lt;='Resultats - informe'!$E$29),0,1,1)</f>
        <v>0</v>
      </c>
      <c r="N1079" s="366">
        <f>+VLOOKUP(D1079,'Resultats - informe'!$Y$18:$AG$42,'Introducció dades consum'!K1079+1,0)</f>
        <v>0</v>
      </c>
      <c r="O1079" s="370" cm="1">
        <f t="array" ref="O1079">+_xlfn.SWITCH(MONTH(C1079),1,1,2,1,3,1,4,2,5,2,6,3,7,3,8,3,9,3,10,2,11,2,12,1,2)</f>
        <v>1</v>
      </c>
      <c r="P1079" s="43"/>
      <c r="AS1079" s="10"/>
      <c r="AT1079" s="10"/>
      <c r="AU1079" s="10"/>
      <c r="AV1079" s="10"/>
      <c r="AW1079" s="10"/>
      <c r="AX1079" s="10"/>
      <c r="AY1079" s="10"/>
      <c r="AZ1079" s="10"/>
      <c r="BA1079" s="10"/>
      <c r="BB1079" s="10"/>
      <c r="BC1079" s="10"/>
      <c r="BD1079" s="10"/>
      <c r="BE1079" s="10"/>
      <c r="BF1079" s="10"/>
      <c r="BG1079" s="10"/>
      <c r="BH1079" s="10"/>
      <c r="BI1079" s="10"/>
      <c r="BJ1079" s="10"/>
      <c r="BK1079" s="10"/>
      <c r="BL1079" s="10"/>
      <c r="BM1079" s="10"/>
      <c r="BN1079" s="10"/>
      <c r="BO1079" s="10"/>
      <c r="BP1079" s="10"/>
      <c r="BQ1079" s="10"/>
      <c r="BR1079" s="10"/>
      <c r="BS1079" s="10"/>
      <c r="BT1079" s="10"/>
      <c r="BU1079" s="10"/>
    </row>
    <row r="1080" spans="1:73" ht="18" x14ac:dyDescent="0.35">
      <c r="A1080" s="43"/>
      <c r="C1080" s="393"/>
      <c r="E1080" s="394"/>
      <c r="F1080" s="394">
        <v>0</v>
      </c>
      <c r="G1080" s="394"/>
      <c r="H1080" s="8" t="s">
        <v>235</v>
      </c>
      <c r="I1080" s="368">
        <f t="shared" si="49"/>
        <v>0</v>
      </c>
      <c r="J1080" s="365">
        <f t="shared" si="48"/>
        <v>0</v>
      </c>
      <c r="K1080" s="369">
        <f t="shared" si="50"/>
        <v>6</v>
      </c>
      <c r="L1080" s="369">
        <f>+IF((C1080&gt;='Resultats - informe'!$E$16)*(C1080&lt;='Resultats - informe'!$G$16),1,0)</f>
        <v>1</v>
      </c>
      <c r="M1080" s="369" cm="1">
        <f t="array" ref="M1080">+_xlfn.IFS((C1080&gt;='Resultats - informe'!$D$26)*(C1080&lt;='Resultats - informe'!$E$26),0,(C1080&gt;='Resultats - informe'!$D$27)*(C1080&lt;='Resultats - informe'!$E$27),0,(C1080&gt;='Resultats - informe'!$D$28)*(C1080&lt;='Resultats - informe'!$E$28),0,(C1080&gt;='Resultats - informe'!$D$29)*(C1080&lt;='Resultats - informe'!$E$29),0,1,1)</f>
        <v>0</v>
      </c>
      <c r="N1080" s="366">
        <f>+VLOOKUP(D1080,'Resultats - informe'!$Y$18:$AG$42,'Introducció dades consum'!K1080+1,0)</f>
        <v>0</v>
      </c>
      <c r="O1080" s="370" cm="1">
        <f t="array" ref="O1080">+_xlfn.SWITCH(MONTH(C1080),1,1,2,1,3,1,4,2,5,2,6,3,7,3,8,3,9,3,10,2,11,2,12,1,2)</f>
        <v>1</v>
      </c>
      <c r="P1080" s="43"/>
      <c r="AS1080" s="10"/>
      <c r="AT1080" s="10"/>
      <c r="AU1080" s="10"/>
      <c r="AV1080" s="10"/>
      <c r="AW1080" s="10"/>
      <c r="AX1080" s="10"/>
      <c r="AY1080" s="10"/>
      <c r="AZ1080" s="10"/>
      <c r="BA1080" s="10"/>
      <c r="BB1080" s="10"/>
      <c r="BC1080" s="10"/>
      <c r="BD1080" s="10"/>
      <c r="BE1080" s="10"/>
      <c r="BF1080" s="10"/>
      <c r="BG1080" s="10"/>
      <c r="BH1080" s="10"/>
      <c r="BI1080" s="10"/>
      <c r="BJ1080" s="10"/>
      <c r="BK1080" s="10"/>
      <c r="BL1080" s="10"/>
      <c r="BM1080" s="10"/>
      <c r="BN1080" s="10"/>
      <c r="BO1080" s="10"/>
      <c r="BP1080" s="10"/>
      <c r="BQ1080" s="10"/>
      <c r="BR1080" s="10"/>
      <c r="BS1080" s="10"/>
      <c r="BT1080" s="10"/>
      <c r="BU1080" s="10"/>
    </row>
    <row r="1081" spans="1:73" ht="18" x14ac:dyDescent="0.35">
      <c r="A1081" s="43"/>
      <c r="C1081" s="393"/>
      <c r="E1081" s="394"/>
      <c r="F1081" s="394">
        <v>0</v>
      </c>
      <c r="G1081" s="394"/>
      <c r="H1081" s="8" t="s">
        <v>235</v>
      </c>
      <c r="I1081" s="368">
        <f t="shared" si="49"/>
        <v>0</v>
      </c>
      <c r="J1081" s="365">
        <f t="shared" si="48"/>
        <v>0</v>
      </c>
      <c r="K1081" s="369">
        <f t="shared" si="50"/>
        <v>6</v>
      </c>
      <c r="L1081" s="369">
        <f>+IF((C1081&gt;='Resultats - informe'!$E$16)*(C1081&lt;='Resultats - informe'!$G$16),1,0)</f>
        <v>1</v>
      </c>
      <c r="M1081" s="369" cm="1">
        <f t="array" ref="M1081">+_xlfn.IFS((C1081&gt;='Resultats - informe'!$D$26)*(C1081&lt;='Resultats - informe'!$E$26),0,(C1081&gt;='Resultats - informe'!$D$27)*(C1081&lt;='Resultats - informe'!$E$27),0,(C1081&gt;='Resultats - informe'!$D$28)*(C1081&lt;='Resultats - informe'!$E$28),0,(C1081&gt;='Resultats - informe'!$D$29)*(C1081&lt;='Resultats - informe'!$E$29),0,1,1)</f>
        <v>0</v>
      </c>
      <c r="N1081" s="366">
        <f>+VLOOKUP(D1081,'Resultats - informe'!$Y$18:$AG$42,'Introducció dades consum'!K1081+1,0)</f>
        <v>0</v>
      </c>
      <c r="O1081" s="370" cm="1">
        <f t="array" ref="O1081">+_xlfn.SWITCH(MONTH(C1081),1,1,2,1,3,1,4,2,5,2,6,3,7,3,8,3,9,3,10,2,11,2,12,1,2)</f>
        <v>1</v>
      </c>
      <c r="P1081" s="43"/>
      <c r="AS1081" s="10"/>
      <c r="AT1081" s="10"/>
      <c r="AU1081" s="10"/>
      <c r="AV1081" s="10"/>
      <c r="AW1081" s="10"/>
      <c r="AX1081" s="10"/>
      <c r="AY1081" s="10"/>
      <c r="AZ1081" s="10"/>
      <c r="BA1081" s="10"/>
      <c r="BB1081" s="10"/>
      <c r="BC1081" s="10"/>
      <c r="BD1081" s="10"/>
      <c r="BE1081" s="10"/>
      <c r="BF1081" s="10"/>
      <c r="BG1081" s="10"/>
      <c r="BH1081" s="10"/>
      <c r="BI1081" s="10"/>
      <c r="BJ1081" s="10"/>
      <c r="BK1081" s="10"/>
      <c r="BL1081" s="10"/>
      <c r="BM1081" s="10"/>
      <c r="BN1081" s="10"/>
      <c r="BO1081" s="10"/>
      <c r="BP1081" s="10"/>
      <c r="BQ1081" s="10"/>
      <c r="BR1081" s="10"/>
      <c r="BS1081" s="10"/>
      <c r="BT1081" s="10"/>
      <c r="BU1081" s="10"/>
    </row>
    <row r="1082" spans="1:73" ht="18" x14ac:dyDescent="0.35">
      <c r="A1082" s="43"/>
      <c r="C1082" s="393"/>
      <c r="E1082" s="394"/>
      <c r="F1082" s="394">
        <v>0</v>
      </c>
      <c r="G1082" s="394"/>
      <c r="H1082" s="8" t="s">
        <v>235</v>
      </c>
      <c r="I1082" s="368">
        <f t="shared" si="49"/>
        <v>0</v>
      </c>
      <c r="J1082" s="365">
        <f t="shared" si="48"/>
        <v>0</v>
      </c>
      <c r="K1082" s="369">
        <f t="shared" si="50"/>
        <v>6</v>
      </c>
      <c r="L1082" s="369">
        <f>+IF((C1082&gt;='Resultats - informe'!$E$16)*(C1082&lt;='Resultats - informe'!$G$16),1,0)</f>
        <v>1</v>
      </c>
      <c r="M1082" s="369" cm="1">
        <f t="array" ref="M1082">+_xlfn.IFS((C1082&gt;='Resultats - informe'!$D$26)*(C1082&lt;='Resultats - informe'!$E$26),0,(C1082&gt;='Resultats - informe'!$D$27)*(C1082&lt;='Resultats - informe'!$E$27),0,(C1082&gt;='Resultats - informe'!$D$28)*(C1082&lt;='Resultats - informe'!$E$28),0,(C1082&gt;='Resultats - informe'!$D$29)*(C1082&lt;='Resultats - informe'!$E$29),0,1,1)</f>
        <v>0</v>
      </c>
      <c r="N1082" s="366">
        <f>+VLOOKUP(D1082,'Resultats - informe'!$Y$18:$AG$42,'Introducció dades consum'!K1082+1,0)</f>
        <v>0</v>
      </c>
      <c r="O1082" s="370" cm="1">
        <f t="array" ref="O1082">+_xlfn.SWITCH(MONTH(C1082),1,1,2,1,3,1,4,2,5,2,6,3,7,3,8,3,9,3,10,2,11,2,12,1,2)</f>
        <v>1</v>
      </c>
      <c r="P1082" s="43"/>
      <c r="AS1082" s="10"/>
      <c r="AT1082" s="10"/>
      <c r="AU1082" s="10"/>
      <c r="AV1082" s="10"/>
      <c r="AW1082" s="10"/>
      <c r="AX1082" s="10"/>
      <c r="AY1082" s="10"/>
      <c r="AZ1082" s="10"/>
      <c r="BA1082" s="10"/>
      <c r="BB1082" s="10"/>
      <c r="BC1082" s="10"/>
      <c r="BD1082" s="10"/>
      <c r="BE1082" s="10"/>
      <c r="BF1082" s="10"/>
      <c r="BG1082" s="10"/>
      <c r="BH1082" s="10"/>
      <c r="BI1082" s="10"/>
      <c r="BJ1082" s="10"/>
      <c r="BK1082" s="10"/>
      <c r="BL1082" s="10"/>
      <c r="BM1082" s="10"/>
      <c r="BN1082" s="10"/>
      <c r="BO1082" s="10"/>
      <c r="BP1082" s="10"/>
      <c r="BQ1082" s="10"/>
      <c r="BR1082" s="10"/>
      <c r="BS1082" s="10"/>
      <c r="BT1082" s="10"/>
      <c r="BU1082" s="10"/>
    </row>
    <row r="1083" spans="1:73" ht="18" x14ac:dyDescent="0.35">
      <c r="A1083" s="43"/>
      <c r="C1083" s="393"/>
      <c r="E1083" s="394"/>
      <c r="F1083" s="394">
        <v>0</v>
      </c>
      <c r="G1083" s="394"/>
      <c r="H1083" s="8" t="s">
        <v>235</v>
      </c>
      <c r="I1083" s="368">
        <f t="shared" si="49"/>
        <v>0</v>
      </c>
      <c r="J1083" s="365">
        <f t="shared" ref="J1083:J1146" si="51">+C1083</f>
        <v>0</v>
      </c>
      <c r="K1083" s="369">
        <f t="shared" si="50"/>
        <v>6</v>
      </c>
      <c r="L1083" s="369">
        <f>+IF((C1083&gt;='Resultats - informe'!$E$16)*(C1083&lt;='Resultats - informe'!$G$16),1,0)</f>
        <v>1</v>
      </c>
      <c r="M1083" s="369" cm="1">
        <f t="array" ref="M1083">+_xlfn.IFS((C1083&gt;='Resultats - informe'!$D$26)*(C1083&lt;='Resultats - informe'!$E$26),0,(C1083&gt;='Resultats - informe'!$D$27)*(C1083&lt;='Resultats - informe'!$E$27),0,(C1083&gt;='Resultats - informe'!$D$28)*(C1083&lt;='Resultats - informe'!$E$28),0,(C1083&gt;='Resultats - informe'!$D$29)*(C1083&lt;='Resultats - informe'!$E$29),0,1,1)</f>
        <v>0</v>
      </c>
      <c r="N1083" s="366">
        <f>+VLOOKUP(D1083,'Resultats - informe'!$Y$18:$AG$42,'Introducció dades consum'!K1083+1,0)</f>
        <v>0</v>
      </c>
      <c r="O1083" s="370" cm="1">
        <f t="array" ref="O1083">+_xlfn.SWITCH(MONTH(C1083),1,1,2,1,3,1,4,2,5,2,6,3,7,3,8,3,9,3,10,2,11,2,12,1,2)</f>
        <v>1</v>
      </c>
      <c r="P1083" s="43"/>
      <c r="AS1083" s="10"/>
      <c r="AT1083" s="10"/>
      <c r="AU1083" s="10"/>
      <c r="AV1083" s="10"/>
      <c r="AW1083" s="10"/>
      <c r="AX1083" s="10"/>
      <c r="AY1083" s="10"/>
      <c r="AZ1083" s="10"/>
      <c r="BA1083" s="10"/>
      <c r="BB1083" s="10"/>
      <c r="BC1083" s="10"/>
      <c r="BD1083" s="10"/>
      <c r="BE1083" s="10"/>
      <c r="BF1083" s="10"/>
      <c r="BG1083" s="10"/>
      <c r="BH1083" s="10"/>
      <c r="BI1083" s="10"/>
      <c r="BJ1083" s="10"/>
      <c r="BK1083" s="10"/>
      <c r="BL1083" s="10"/>
      <c r="BM1083" s="10"/>
      <c r="BN1083" s="10"/>
      <c r="BO1083" s="10"/>
      <c r="BP1083" s="10"/>
      <c r="BQ1083" s="10"/>
      <c r="BR1083" s="10"/>
      <c r="BS1083" s="10"/>
      <c r="BT1083" s="10"/>
      <c r="BU1083" s="10"/>
    </row>
    <row r="1084" spans="1:73" ht="18" x14ac:dyDescent="0.35">
      <c r="A1084" s="43"/>
      <c r="C1084" s="393"/>
      <c r="E1084" s="394"/>
      <c r="F1084" s="394">
        <v>0</v>
      </c>
      <c r="G1084" s="394"/>
      <c r="H1084" s="8" t="s">
        <v>235</v>
      </c>
      <c r="I1084" s="368">
        <f t="shared" si="49"/>
        <v>0</v>
      </c>
      <c r="J1084" s="365">
        <f t="shared" si="51"/>
        <v>0</v>
      </c>
      <c r="K1084" s="369">
        <f t="shared" si="50"/>
        <v>6</v>
      </c>
      <c r="L1084" s="369">
        <f>+IF((C1084&gt;='Resultats - informe'!$E$16)*(C1084&lt;='Resultats - informe'!$G$16),1,0)</f>
        <v>1</v>
      </c>
      <c r="M1084" s="369" cm="1">
        <f t="array" ref="M1084">+_xlfn.IFS((C1084&gt;='Resultats - informe'!$D$26)*(C1084&lt;='Resultats - informe'!$E$26),0,(C1084&gt;='Resultats - informe'!$D$27)*(C1084&lt;='Resultats - informe'!$E$27),0,(C1084&gt;='Resultats - informe'!$D$28)*(C1084&lt;='Resultats - informe'!$E$28),0,(C1084&gt;='Resultats - informe'!$D$29)*(C1084&lt;='Resultats - informe'!$E$29),0,1,1)</f>
        <v>0</v>
      </c>
      <c r="N1084" s="366">
        <f>+VLOOKUP(D1084,'Resultats - informe'!$Y$18:$AG$42,'Introducció dades consum'!K1084+1,0)</f>
        <v>0</v>
      </c>
      <c r="O1084" s="370" cm="1">
        <f t="array" ref="O1084">+_xlfn.SWITCH(MONTH(C1084),1,1,2,1,3,1,4,2,5,2,6,3,7,3,8,3,9,3,10,2,11,2,12,1,2)</f>
        <v>1</v>
      </c>
      <c r="P1084" s="43"/>
      <c r="AS1084" s="10"/>
      <c r="AT1084" s="10"/>
      <c r="AU1084" s="10"/>
      <c r="AV1084" s="10"/>
      <c r="AW1084" s="10"/>
      <c r="AX1084" s="10"/>
      <c r="AY1084" s="10"/>
      <c r="AZ1084" s="10"/>
      <c r="BA1084" s="10"/>
      <c r="BB1084" s="10"/>
      <c r="BC1084" s="10"/>
      <c r="BD1084" s="10"/>
      <c r="BE1084" s="10"/>
      <c r="BF1084" s="10"/>
      <c r="BG1084" s="10"/>
      <c r="BH1084" s="10"/>
      <c r="BI1084" s="10"/>
      <c r="BJ1084" s="10"/>
      <c r="BK1084" s="10"/>
      <c r="BL1084" s="10"/>
      <c r="BM1084" s="10"/>
      <c r="BN1084" s="10"/>
      <c r="BO1084" s="10"/>
      <c r="BP1084" s="10"/>
      <c r="BQ1084" s="10"/>
      <c r="BR1084" s="10"/>
      <c r="BS1084" s="10"/>
      <c r="BT1084" s="10"/>
      <c r="BU1084" s="10"/>
    </row>
    <row r="1085" spans="1:73" ht="18" x14ac:dyDescent="0.35">
      <c r="A1085" s="43"/>
      <c r="C1085" s="393"/>
      <c r="E1085" s="394"/>
      <c r="F1085" s="394">
        <v>0</v>
      </c>
      <c r="G1085" s="394"/>
      <c r="H1085" s="8" t="s">
        <v>235</v>
      </c>
      <c r="I1085" s="368">
        <f t="shared" si="49"/>
        <v>0</v>
      </c>
      <c r="J1085" s="365">
        <f t="shared" si="51"/>
        <v>0</v>
      </c>
      <c r="K1085" s="369">
        <f t="shared" si="50"/>
        <v>6</v>
      </c>
      <c r="L1085" s="369">
        <f>+IF((C1085&gt;='Resultats - informe'!$E$16)*(C1085&lt;='Resultats - informe'!$G$16),1,0)</f>
        <v>1</v>
      </c>
      <c r="M1085" s="369" cm="1">
        <f t="array" ref="M1085">+_xlfn.IFS((C1085&gt;='Resultats - informe'!$D$26)*(C1085&lt;='Resultats - informe'!$E$26),0,(C1085&gt;='Resultats - informe'!$D$27)*(C1085&lt;='Resultats - informe'!$E$27),0,(C1085&gt;='Resultats - informe'!$D$28)*(C1085&lt;='Resultats - informe'!$E$28),0,(C1085&gt;='Resultats - informe'!$D$29)*(C1085&lt;='Resultats - informe'!$E$29),0,1,1)</f>
        <v>0</v>
      </c>
      <c r="N1085" s="366">
        <f>+VLOOKUP(D1085,'Resultats - informe'!$Y$18:$AG$42,'Introducció dades consum'!K1085+1,0)</f>
        <v>0</v>
      </c>
      <c r="O1085" s="370" cm="1">
        <f t="array" ref="O1085">+_xlfn.SWITCH(MONTH(C1085),1,1,2,1,3,1,4,2,5,2,6,3,7,3,8,3,9,3,10,2,11,2,12,1,2)</f>
        <v>1</v>
      </c>
      <c r="P1085" s="43"/>
      <c r="AS1085" s="10"/>
      <c r="AT1085" s="10"/>
      <c r="AU1085" s="10"/>
      <c r="AV1085" s="10"/>
      <c r="AW1085" s="10"/>
      <c r="AX1085" s="10"/>
      <c r="AY1085" s="10"/>
      <c r="AZ1085" s="10"/>
      <c r="BA1085" s="10"/>
      <c r="BB1085" s="10"/>
      <c r="BC1085" s="10"/>
      <c r="BD1085" s="10"/>
      <c r="BE1085" s="10"/>
      <c r="BF1085" s="10"/>
      <c r="BG1085" s="10"/>
      <c r="BH1085" s="10"/>
      <c r="BI1085" s="10"/>
      <c r="BJ1085" s="10"/>
      <c r="BK1085" s="10"/>
      <c r="BL1085" s="10"/>
      <c r="BM1085" s="10"/>
      <c r="BN1085" s="10"/>
      <c r="BO1085" s="10"/>
      <c r="BP1085" s="10"/>
      <c r="BQ1085" s="10"/>
      <c r="BR1085" s="10"/>
      <c r="BS1085" s="10"/>
      <c r="BT1085" s="10"/>
      <c r="BU1085" s="10"/>
    </row>
    <row r="1086" spans="1:73" ht="18" x14ac:dyDescent="0.35">
      <c r="A1086" s="43"/>
      <c r="C1086" s="393"/>
      <c r="E1086" s="394"/>
      <c r="F1086" s="394">
        <v>0</v>
      </c>
      <c r="G1086" s="394"/>
      <c r="H1086" s="8" t="s">
        <v>235</v>
      </c>
      <c r="I1086" s="368">
        <f t="shared" si="49"/>
        <v>0</v>
      </c>
      <c r="J1086" s="365">
        <f t="shared" si="51"/>
        <v>0</v>
      </c>
      <c r="K1086" s="369">
        <f t="shared" si="50"/>
        <v>6</v>
      </c>
      <c r="L1086" s="369">
        <f>+IF((C1086&gt;='Resultats - informe'!$E$16)*(C1086&lt;='Resultats - informe'!$G$16),1,0)</f>
        <v>1</v>
      </c>
      <c r="M1086" s="369" cm="1">
        <f t="array" ref="M1086">+_xlfn.IFS((C1086&gt;='Resultats - informe'!$D$26)*(C1086&lt;='Resultats - informe'!$E$26),0,(C1086&gt;='Resultats - informe'!$D$27)*(C1086&lt;='Resultats - informe'!$E$27),0,(C1086&gt;='Resultats - informe'!$D$28)*(C1086&lt;='Resultats - informe'!$E$28),0,(C1086&gt;='Resultats - informe'!$D$29)*(C1086&lt;='Resultats - informe'!$E$29),0,1,1)</f>
        <v>0</v>
      </c>
      <c r="N1086" s="366">
        <f>+VLOOKUP(D1086,'Resultats - informe'!$Y$18:$AG$42,'Introducció dades consum'!K1086+1,0)</f>
        <v>0</v>
      </c>
      <c r="O1086" s="370" cm="1">
        <f t="array" ref="O1086">+_xlfn.SWITCH(MONTH(C1086),1,1,2,1,3,1,4,2,5,2,6,3,7,3,8,3,9,3,10,2,11,2,12,1,2)</f>
        <v>1</v>
      </c>
      <c r="P1086" s="43"/>
      <c r="AS1086" s="10"/>
      <c r="AT1086" s="10"/>
      <c r="AU1086" s="10"/>
      <c r="AV1086" s="10"/>
      <c r="AW1086" s="10"/>
      <c r="AX1086" s="10"/>
      <c r="AY1086" s="10"/>
      <c r="AZ1086" s="10"/>
      <c r="BA1086" s="10"/>
      <c r="BB1086" s="10"/>
      <c r="BC1086" s="10"/>
      <c r="BD1086" s="10"/>
      <c r="BE1086" s="10"/>
      <c r="BF1086" s="10"/>
      <c r="BG1086" s="10"/>
      <c r="BH1086" s="10"/>
      <c r="BI1086" s="10"/>
      <c r="BJ1086" s="10"/>
      <c r="BK1086" s="10"/>
      <c r="BL1086" s="10"/>
      <c r="BM1086" s="10"/>
      <c r="BN1086" s="10"/>
      <c r="BO1086" s="10"/>
      <c r="BP1086" s="10"/>
      <c r="BQ1086" s="10"/>
      <c r="BR1086" s="10"/>
      <c r="BS1086" s="10"/>
      <c r="BT1086" s="10"/>
      <c r="BU1086" s="10"/>
    </row>
    <row r="1087" spans="1:73" ht="18" x14ac:dyDescent="0.35">
      <c r="A1087" s="43"/>
      <c r="C1087" s="393"/>
      <c r="E1087" s="394"/>
      <c r="F1087" s="394">
        <v>0</v>
      </c>
      <c r="G1087" s="394"/>
      <c r="H1087" s="8" t="s">
        <v>235</v>
      </c>
      <c r="I1087" s="368">
        <f t="shared" si="49"/>
        <v>0</v>
      </c>
      <c r="J1087" s="365">
        <f t="shared" si="51"/>
        <v>0</v>
      </c>
      <c r="K1087" s="369">
        <f t="shared" si="50"/>
        <v>6</v>
      </c>
      <c r="L1087" s="369">
        <f>+IF((C1087&gt;='Resultats - informe'!$E$16)*(C1087&lt;='Resultats - informe'!$G$16),1,0)</f>
        <v>1</v>
      </c>
      <c r="M1087" s="369" cm="1">
        <f t="array" ref="M1087">+_xlfn.IFS((C1087&gt;='Resultats - informe'!$D$26)*(C1087&lt;='Resultats - informe'!$E$26),0,(C1087&gt;='Resultats - informe'!$D$27)*(C1087&lt;='Resultats - informe'!$E$27),0,(C1087&gt;='Resultats - informe'!$D$28)*(C1087&lt;='Resultats - informe'!$E$28),0,(C1087&gt;='Resultats - informe'!$D$29)*(C1087&lt;='Resultats - informe'!$E$29),0,1,1)</f>
        <v>0</v>
      </c>
      <c r="N1087" s="366">
        <f>+VLOOKUP(D1087,'Resultats - informe'!$Y$18:$AG$42,'Introducció dades consum'!K1087+1,0)</f>
        <v>0</v>
      </c>
      <c r="O1087" s="370" cm="1">
        <f t="array" ref="O1087">+_xlfn.SWITCH(MONTH(C1087),1,1,2,1,3,1,4,2,5,2,6,3,7,3,8,3,9,3,10,2,11,2,12,1,2)</f>
        <v>1</v>
      </c>
      <c r="P1087" s="43"/>
      <c r="AS1087" s="10"/>
      <c r="AT1087" s="10"/>
      <c r="AU1087" s="10"/>
      <c r="AV1087" s="10"/>
      <c r="AW1087" s="10"/>
      <c r="AX1087" s="10"/>
      <c r="AY1087" s="10"/>
      <c r="AZ1087" s="10"/>
      <c r="BA1087" s="10"/>
      <c r="BB1087" s="10"/>
      <c r="BC1087" s="10"/>
      <c r="BD1087" s="10"/>
      <c r="BE1087" s="10"/>
      <c r="BF1087" s="10"/>
      <c r="BG1087" s="10"/>
      <c r="BH1087" s="10"/>
      <c r="BI1087" s="10"/>
      <c r="BJ1087" s="10"/>
      <c r="BK1087" s="10"/>
      <c r="BL1087" s="10"/>
      <c r="BM1087" s="10"/>
      <c r="BN1087" s="10"/>
      <c r="BO1087" s="10"/>
      <c r="BP1087" s="10"/>
      <c r="BQ1087" s="10"/>
      <c r="BR1087" s="10"/>
      <c r="BS1087" s="10"/>
      <c r="BT1087" s="10"/>
      <c r="BU1087" s="10"/>
    </row>
    <row r="1088" spans="1:73" ht="18" x14ac:dyDescent="0.35">
      <c r="A1088" s="43"/>
      <c r="C1088" s="393"/>
      <c r="E1088" s="394"/>
      <c r="F1088" s="394">
        <v>0</v>
      </c>
      <c r="G1088" s="394"/>
      <c r="H1088" s="8" t="s">
        <v>235</v>
      </c>
      <c r="I1088" s="368">
        <f t="shared" si="49"/>
        <v>0</v>
      </c>
      <c r="J1088" s="365">
        <f t="shared" si="51"/>
        <v>0</v>
      </c>
      <c r="K1088" s="369">
        <f t="shared" si="50"/>
        <v>6</v>
      </c>
      <c r="L1088" s="369">
        <f>+IF((C1088&gt;='Resultats - informe'!$E$16)*(C1088&lt;='Resultats - informe'!$G$16),1,0)</f>
        <v>1</v>
      </c>
      <c r="M1088" s="369" cm="1">
        <f t="array" ref="M1088">+_xlfn.IFS((C1088&gt;='Resultats - informe'!$D$26)*(C1088&lt;='Resultats - informe'!$E$26),0,(C1088&gt;='Resultats - informe'!$D$27)*(C1088&lt;='Resultats - informe'!$E$27),0,(C1088&gt;='Resultats - informe'!$D$28)*(C1088&lt;='Resultats - informe'!$E$28),0,(C1088&gt;='Resultats - informe'!$D$29)*(C1088&lt;='Resultats - informe'!$E$29),0,1,1)</f>
        <v>0</v>
      </c>
      <c r="N1088" s="366">
        <f>+VLOOKUP(D1088,'Resultats - informe'!$Y$18:$AG$42,'Introducció dades consum'!K1088+1,0)</f>
        <v>0</v>
      </c>
      <c r="O1088" s="370" cm="1">
        <f t="array" ref="O1088">+_xlfn.SWITCH(MONTH(C1088),1,1,2,1,3,1,4,2,5,2,6,3,7,3,8,3,9,3,10,2,11,2,12,1,2)</f>
        <v>1</v>
      </c>
      <c r="P1088" s="43"/>
      <c r="AS1088" s="10"/>
      <c r="AT1088" s="10"/>
      <c r="AU1088" s="10"/>
      <c r="AV1088" s="10"/>
      <c r="AW1088" s="10"/>
      <c r="AX1088" s="10"/>
      <c r="AY1088" s="10"/>
      <c r="AZ1088" s="10"/>
      <c r="BA1088" s="10"/>
      <c r="BB1088" s="10"/>
      <c r="BC1088" s="10"/>
      <c r="BD1088" s="10"/>
      <c r="BE1088" s="10"/>
      <c r="BF1088" s="10"/>
      <c r="BG1088" s="10"/>
      <c r="BH1088" s="10"/>
      <c r="BI1088" s="10"/>
      <c r="BJ1088" s="10"/>
      <c r="BK1088" s="10"/>
      <c r="BL1088" s="10"/>
      <c r="BM1088" s="10"/>
      <c r="BN1088" s="10"/>
      <c r="BO1088" s="10"/>
      <c r="BP1088" s="10"/>
      <c r="BQ1088" s="10"/>
      <c r="BR1088" s="10"/>
      <c r="BS1088" s="10"/>
      <c r="BT1088" s="10"/>
      <c r="BU1088" s="10"/>
    </row>
    <row r="1089" spans="1:73" ht="18" x14ac:dyDescent="0.35">
      <c r="A1089" s="43"/>
      <c r="C1089" s="393"/>
      <c r="E1089" s="394"/>
      <c r="F1089" s="394">
        <v>0</v>
      </c>
      <c r="G1089" s="394"/>
      <c r="H1089" s="8" t="s">
        <v>235</v>
      </c>
      <c r="I1089" s="368">
        <f t="shared" si="49"/>
        <v>0</v>
      </c>
      <c r="J1089" s="365">
        <f t="shared" si="51"/>
        <v>0</v>
      </c>
      <c r="K1089" s="369">
        <f t="shared" si="50"/>
        <v>6</v>
      </c>
      <c r="L1089" s="369">
        <f>+IF((C1089&gt;='Resultats - informe'!$E$16)*(C1089&lt;='Resultats - informe'!$G$16),1,0)</f>
        <v>1</v>
      </c>
      <c r="M1089" s="369" cm="1">
        <f t="array" ref="M1089">+_xlfn.IFS((C1089&gt;='Resultats - informe'!$D$26)*(C1089&lt;='Resultats - informe'!$E$26),0,(C1089&gt;='Resultats - informe'!$D$27)*(C1089&lt;='Resultats - informe'!$E$27),0,(C1089&gt;='Resultats - informe'!$D$28)*(C1089&lt;='Resultats - informe'!$E$28),0,(C1089&gt;='Resultats - informe'!$D$29)*(C1089&lt;='Resultats - informe'!$E$29),0,1,1)</f>
        <v>0</v>
      </c>
      <c r="N1089" s="366">
        <f>+VLOOKUP(D1089,'Resultats - informe'!$Y$18:$AG$42,'Introducció dades consum'!K1089+1,0)</f>
        <v>0</v>
      </c>
      <c r="O1089" s="370" cm="1">
        <f t="array" ref="O1089">+_xlfn.SWITCH(MONTH(C1089),1,1,2,1,3,1,4,2,5,2,6,3,7,3,8,3,9,3,10,2,11,2,12,1,2)</f>
        <v>1</v>
      </c>
      <c r="P1089" s="43"/>
      <c r="AS1089" s="10"/>
      <c r="AT1089" s="10"/>
      <c r="AU1089" s="10"/>
      <c r="AV1089" s="10"/>
      <c r="AW1089" s="10"/>
      <c r="AX1089" s="10"/>
      <c r="AY1089" s="10"/>
      <c r="AZ1089" s="10"/>
      <c r="BA1089" s="10"/>
      <c r="BB1089" s="10"/>
      <c r="BC1089" s="10"/>
      <c r="BD1089" s="10"/>
      <c r="BE1089" s="10"/>
      <c r="BF1089" s="10"/>
      <c r="BG1089" s="10"/>
      <c r="BH1089" s="10"/>
      <c r="BI1089" s="10"/>
      <c r="BJ1089" s="10"/>
      <c r="BK1089" s="10"/>
      <c r="BL1089" s="10"/>
      <c r="BM1089" s="10"/>
      <c r="BN1089" s="10"/>
      <c r="BO1089" s="10"/>
      <c r="BP1089" s="10"/>
      <c r="BQ1089" s="10"/>
      <c r="BR1089" s="10"/>
      <c r="BS1089" s="10"/>
      <c r="BT1089" s="10"/>
      <c r="BU1089" s="10"/>
    </row>
    <row r="1090" spans="1:73" ht="18" x14ac:dyDescent="0.35">
      <c r="A1090" s="43"/>
      <c r="C1090" s="393"/>
      <c r="E1090" s="394"/>
      <c r="F1090" s="394">
        <v>0</v>
      </c>
      <c r="G1090" s="394"/>
      <c r="H1090" s="8" t="s">
        <v>235</v>
      </c>
      <c r="I1090" s="368">
        <f t="shared" si="49"/>
        <v>0</v>
      </c>
      <c r="J1090" s="365">
        <f t="shared" si="51"/>
        <v>0</v>
      </c>
      <c r="K1090" s="369">
        <f t="shared" si="50"/>
        <v>6</v>
      </c>
      <c r="L1090" s="369">
        <f>+IF((C1090&gt;='Resultats - informe'!$E$16)*(C1090&lt;='Resultats - informe'!$G$16),1,0)</f>
        <v>1</v>
      </c>
      <c r="M1090" s="369" cm="1">
        <f t="array" ref="M1090">+_xlfn.IFS((C1090&gt;='Resultats - informe'!$D$26)*(C1090&lt;='Resultats - informe'!$E$26),0,(C1090&gt;='Resultats - informe'!$D$27)*(C1090&lt;='Resultats - informe'!$E$27),0,(C1090&gt;='Resultats - informe'!$D$28)*(C1090&lt;='Resultats - informe'!$E$28),0,(C1090&gt;='Resultats - informe'!$D$29)*(C1090&lt;='Resultats - informe'!$E$29),0,1,1)</f>
        <v>0</v>
      </c>
      <c r="N1090" s="366">
        <f>+VLOOKUP(D1090,'Resultats - informe'!$Y$18:$AG$42,'Introducció dades consum'!K1090+1,0)</f>
        <v>0</v>
      </c>
      <c r="O1090" s="370" cm="1">
        <f t="array" ref="O1090">+_xlfn.SWITCH(MONTH(C1090),1,1,2,1,3,1,4,2,5,2,6,3,7,3,8,3,9,3,10,2,11,2,12,1,2)</f>
        <v>1</v>
      </c>
      <c r="P1090" s="43"/>
      <c r="AS1090" s="10"/>
      <c r="AT1090" s="10"/>
      <c r="AU1090" s="10"/>
      <c r="AV1090" s="10"/>
      <c r="AW1090" s="10"/>
      <c r="AX1090" s="10"/>
      <c r="AY1090" s="10"/>
      <c r="AZ1090" s="10"/>
      <c r="BA1090" s="10"/>
      <c r="BB1090" s="10"/>
      <c r="BC1090" s="10"/>
      <c r="BD1090" s="10"/>
      <c r="BE1090" s="10"/>
      <c r="BF1090" s="10"/>
      <c r="BG1090" s="10"/>
      <c r="BH1090" s="10"/>
      <c r="BI1090" s="10"/>
      <c r="BJ1090" s="10"/>
      <c r="BK1090" s="10"/>
      <c r="BL1090" s="10"/>
      <c r="BM1090" s="10"/>
      <c r="BN1090" s="10"/>
      <c r="BO1090" s="10"/>
      <c r="BP1090" s="10"/>
      <c r="BQ1090" s="10"/>
      <c r="BR1090" s="10"/>
      <c r="BS1090" s="10"/>
      <c r="BT1090" s="10"/>
      <c r="BU1090" s="10"/>
    </row>
    <row r="1091" spans="1:73" ht="18" x14ac:dyDescent="0.35">
      <c r="A1091" s="43"/>
      <c r="C1091" s="393"/>
      <c r="E1091" s="394"/>
      <c r="F1091" s="394">
        <v>0</v>
      </c>
      <c r="G1091" s="394"/>
      <c r="H1091" s="8" t="s">
        <v>235</v>
      </c>
      <c r="I1091" s="368">
        <f t="shared" si="49"/>
        <v>0</v>
      </c>
      <c r="J1091" s="365">
        <f t="shared" si="51"/>
        <v>0</v>
      </c>
      <c r="K1091" s="369">
        <f t="shared" si="50"/>
        <v>6</v>
      </c>
      <c r="L1091" s="369">
        <f>+IF((C1091&gt;='Resultats - informe'!$E$16)*(C1091&lt;='Resultats - informe'!$G$16),1,0)</f>
        <v>1</v>
      </c>
      <c r="M1091" s="369" cm="1">
        <f t="array" ref="M1091">+_xlfn.IFS((C1091&gt;='Resultats - informe'!$D$26)*(C1091&lt;='Resultats - informe'!$E$26),0,(C1091&gt;='Resultats - informe'!$D$27)*(C1091&lt;='Resultats - informe'!$E$27),0,(C1091&gt;='Resultats - informe'!$D$28)*(C1091&lt;='Resultats - informe'!$E$28),0,(C1091&gt;='Resultats - informe'!$D$29)*(C1091&lt;='Resultats - informe'!$E$29),0,1,1)</f>
        <v>0</v>
      </c>
      <c r="N1091" s="366">
        <f>+VLOOKUP(D1091,'Resultats - informe'!$Y$18:$AG$42,'Introducció dades consum'!K1091+1,0)</f>
        <v>0</v>
      </c>
      <c r="O1091" s="370" cm="1">
        <f t="array" ref="O1091">+_xlfn.SWITCH(MONTH(C1091),1,1,2,1,3,1,4,2,5,2,6,3,7,3,8,3,9,3,10,2,11,2,12,1,2)</f>
        <v>1</v>
      </c>
      <c r="P1091" s="43"/>
      <c r="AS1091" s="10"/>
      <c r="AT1091" s="10"/>
      <c r="AU1091" s="10"/>
      <c r="AV1091" s="10"/>
      <c r="AW1091" s="10"/>
      <c r="AX1091" s="10"/>
      <c r="AY1091" s="10"/>
      <c r="AZ1091" s="10"/>
      <c r="BA1091" s="10"/>
      <c r="BB1091" s="10"/>
      <c r="BC1091" s="10"/>
      <c r="BD1091" s="10"/>
      <c r="BE1091" s="10"/>
      <c r="BF1091" s="10"/>
      <c r="BG1091" s="10"/>
      <c r="BH1091" s="10"/>
      <c r="BI1091" s="10"/>
      <c r="BJ1091" s="10"/>
      <c r="BK1091" s="10"/>
      <c r="BL1091" s="10"/>
      <c r="BM1091" s="10"/>
      <c r="BN1091" s="10"/>
      <c r="BO1091" s="10"/>
      <c r="BP1091" s="10"/>
      <c r="BQ1091" s="10"/>
      <c r="BR1091" s="10"/>
      <c r="BS1091" s="10"/>
      <c r="BT1091" s="10"/>
      <c r="BU1091" s="10"/>
    </row>
    <row r="1092" spans="1:73" ht="18" x14ac:dyDescent="0.35">
      <c r="A1092" s="43"/>
      <c r="C1092" s="393"/>
      <c r="E1092" s="394"/>
      <c r="F1092" s="394">
        <v>0.247</v>
      </c>
      <c r="G1092" s="394"/>
      <c r="H1092" s="8" t="s">
        <v>235</v>
      </c>
      <c r="I1092" s="368">
        <f t="shared" si="49"/>
        <v>0</v>
      </c>
      <c r="J1092" s="365">
        <f t="shared" si="51"/>
        <v>0</v>
      </c>
      <c r="K1092" s="369">
        <f t="shared" si="50"/>
        <v>6</v>
      </c>
      <c r="L1092" s="369">
        <f>+IF((C1092&gt;='Resultats - informe'!$E$16)*(C1092&lt;='Resultats - informe'!$G$16),1,0)</f>
        <v>1</v>
      </c>
      <c r="M1092" s="369" cm="1">
        <f t="array" ref="M1092">+_xlfn.IFS((C1092&gt;='Resultats - informe'!$D$26)*(C1092&lt;='Resultats - informe'!$E$26),0,(C1092&gt;='Resultats - informe'!$D$27)*(C1092&lt;='Resultats - informe'!$E$27),0,(C1092&gt;='Resultats - informe'!$D$28)*(C1092&lt;='Resultats - informe'!$E$28),0,(C1092&gt;='Resultats - informe'!$D$29)*(C1092&lt;='Resultats - informe'!$E$29),0,1,1)</f>
        <v>0</v>
      </c>
      <c r="N1092" s="366">
        <f>+VLOOKUP(D1092,'Resultats - informe'!$Y$18:$AG$42,'Introducció dades consum'!K1092+1,0)</f>
        <v>0</v>
      </c>
      <c r="O1092" s="370" cm="1">
        <f t="array" ref="O1092">+_xlfn.SWITCH(MONTH(C1092),1,1,2,1,3,1,4,2,5,2,6,3,7,3,8,3,9,3,10,2,11,2,12,1,2)</f>
        <v>1</v>
      </c>
      <c r="P1092" s="43"/>
      <c r="AS1092" s="10"/>
      <c r="AT1092" s="10"/>
      <c r="AU1092" s="10"/>
      <c r="AV1092" s="10"/>
      <c r="AW1092" s="10"/>
      <c r="AX1092" s="10"/>
      <c r="AY1092" s="10"/>
      <c r="AZ1092" s="10"/>
      <c r="BA1092" s="10"/>
      <c r="BB1092" s="10"/>
      <c r="BC1092" s="10"/>
      <c r="BD1092" s="10"/>
      <c r="BE1092" s="10"/>
      <c r="BF1092" s="10"/>
      <c r="BG1092" s="10"/>
      <c r="BH1092" s="10"/>
      <c r="BI1092" s="10"/>
      <c r="BJ1092" s="10"/>
      <c r="BK1092" s="10"/>
      <c r="BL1092" s="10"/>
      <c r="BM1092" s="10"/>
      <c r="BN1092" s="10"/>
      <c r="BO1092" s="10"/>
      <c r="BP1092" s="10"/>
      <c r="BQ1092" s="10"/>
      <c r="BR1092" s="10"/>
      <c r="BS1092" s="10"/>
      <c r="BT1092" s="10"/>
      <c r="BU1092" s="10"/>
    </row>
    <row r="1093" spans="1:73" ht="18" x14ac:dyDescent="0.35">
      <c r="A1093" s="43"/>
      <c r="C1093" s="393"/>
      <c r="E1093" s="394"/>
      <c r="F1093" s="394">
        <v>0.89800000000000002</v>
      </c>
      <c r="G1093" s="394"/>
      <c r="H1093" s="8" t="s">
        <v>235</v>
      </c>
      <c r="I1093" s="368">
        <f t="shared" si="49"/>
        <v>0</v>
      </c>
      <c r="J1093" s="365">
        <f t="shared" si="51"/>
        <v>0</v>
      </c>
      <c r="K1093" s="369">
        <f t="shared" si="50"/>
        <v>6</v>
      </c>
      <c r="L1093" s="369">
        <f>+IF((C1093&gt;='Resultats - informe'!$E$16)*(C1093&lt;='Resultats - informe'!$G$16),1,0)</f>
        <v>1</v>
      </c>
      <c r="M1093" s="369" cm="1">
        <f t="array" ref="M1093">+_xlfn.IFS((C1093&gt;='Resultats - informe'!$D$26)*(C1093&lt;='Resultats - informe'!$E$26),0,(C1093&gt;='Resultats - informe'!$D$27)*(C1093&lt;='Resultats - informe'!$E$27),0,(C1093&gt;='Resultats - informe'!$D$28)*(C1093&lt;='Resultats - informe'!$E$28),0,(C1093&gt;='Resultats - informe'!$D$29)*(C1093&lt;='Resultats - informe'!$E$29),0,1,1)</f>
        <v>0</v>
      </c>
      <c r="N1093" s="366">
        <f>+VLOOKUP(D1093,'Resultats - informe'!$Y$18:$AG$42,'Introducció dades consum'!K1093+1,0)</f>
        <v>0</v>
      </c>
      <c r="O1093" s="370" cm="1">
        <f t="array" ref="O1093">+_xlfn.SWITCH(MONTH(C1093),1,1,2,1,3,1,4,2,5,2,6,3,7,3,8,3,9,3,10,2,11,2,12,1,2)</f>
        <v>1</v>
      </c>
      <c r="P1093" s="43"/>
      <c r="AS1093" s="10"/>
      <c r="AT1093" s="10"/>
      <c r="AU1093" s="10"/>
      <c r="AV1093" s="10"/>
      <c r="AW1093" s="10"/>
      <c r="AX1093" s="10"/>
      <c r="AY1093" s="10"/>
      <c r="AZ1093" s="10"/>
      <c r="BA1093" s="10"/>
      <c r="BB1093" s="10"/>
      <c r="BC1093" s="10"/>
      <c r="BD1093" s="10"/>
      <c r="BE1093" s="10"/>
      <c r="BF1093" s="10"/>
      <c r="BG1093" s="10"/>
      <c r="BH1093" s="10"/>
      <c r="BI1093" s="10"/>
      <c r="BJ1093" s="10"/>
      <c r="BK1093" s="10"/>
      <c r="BL1093" s="10"/>
      <c r="BM1093" s="10"/>
      <c r="BN1093" s="10"/>
      <c r="BO1093" s="10"/>
      <c r="BP1093" s="10"/>
      <c r="BQ1093" s="10"/>
      <c r="BR1093" s="10"/>
      <c r="BS1093" s="10"/>
      <c r="BT1093" s="10"/>
      <c r="BU1093" s="10"/>
    </row>
    <row r="1094" spans="1:73" ht="18" x14ac:dyDescent="0.35">
      <c r="A1094" s="43"/>
      <c r="C1094" s="393"/>
      <c r="E1094" s="394"/>
      <c r="F1094" s="394">
        <v>0</v>
      </c>
      <c r="G1094" s="394"/>
      <c r="H1094" s="8" t="s">
        <v>61</v>
      </c>
      <c r="I1094" s="368">
        <f t="shared" ref="I1094:I1157" si="52">+E1094+G1094</f>
        <v>0</v>
      </c>
      <c r="J1094" s="365">
        <f t="shared" si="51"/>
        <v>0</v>
      </c>
      <c r="K1094" s="369">
        <f t="shared" ref="K1094:K1157" si="53">+WEEKDAY(C1094,2)</f>
        <v>6</v>
      </c>
      <c r="L1094" s="369">
        <f>+IF((C1094&gt;='Resultats - informe'!$E$16)*(C1094&lt;='Resultats - informe'!$G$16),1,0)</f>
        <v>1</v>
      </c>
      <c r="M1094" s="369" cm="1">
        <f t="array" ref="M1094">+_xlfn.IFS((C1094&gt;='Resultats - informe'!$D$26)*(C1094&lt;='Resultats - informe'!$E$26),0,(C1094&gt;='Resultats - informe'!$D$27)*(C1094&lt;='Resultats - informe'!$E$27),0,(C1094&gt;='Resultats - informe'!$D$28)*(C1094&lt;='Resultats - informe'!$E$28),0,(C1094&gt;='Resultats - informe'!$D$29)*(C1094&lt;='Resultats - informe'!$E$29),0,1,1)</f>
        <v>0</v>
      </c>
      <c r="N1094" s="366">
        <f>+VLOOKUP(D1094,'Resultats - informe'!$Y$18:$AG$42,'Introducció dades consum'!K1094+1,0)</f>
        <v>0</v>
      </c>
      <c r="O1094" s="370" cm="1">
        <f t="array" ref="O1094">+_xlfn.SWITCH(MONTH(C1094),1,1,2,1,3,1,4,2,5,2,6,3,7,3,8,3,9,3,10,2,11,2,12,1,2)</f>
        <v>1</v>
      </c>
      <c r="P1094" s="43"/>
      <c r="AS1094" s="10"/>
      <c r="AT1094" s="10"/>
      <c r="AU1094" s="10"/>
      <c r="AV1094" s="10"/>
      <c r="AW1094" s="10"/>
      <c r="AX1094" s="10"/>
      <c r="AY1094" s="10"/>
      <c r="AZ1094" s="10"/>
      <c r="BA1094" s="10"/>
      <c r="BB1094" s="10"/>
      <c r="BC1094" s="10"/>
      <c r="BD1094" s="10"/>
      <c r="BE1094" s="10"/>
      <c r="BF1094" s="10"/>
      <c r="BG1094" s="10"/>
      <c r="BH1094" s="10"/>
      <c r="BI1094" s="10"/>
      <c r="BJ1094" s="10"/>
      <c r="BK1094" s="10"/>
      <c r="BL1094" s="10"/>
      <c r="BM1094" s="10"/>
      <c r="BN1094" s="10"/>
      <c r="BO1094" s="10"/>
      <c r="BP1094" s="10"/>
      <c r="BQ1094" s="10"/>
      <c r="BR1094" s="10"/>
      <c r="BS1094" s="10"/>
      <c r="BT1094" s="10"/>
      <c r="BU1094" s="10"/>
    </row>
    <row r="1095" spans="1:73" ht="18" x14ac:dyDescent="0.35">
      <c r="A1095" s="43"/>
      <c r="C1095" s="393"/>
      <c r="E1095" s="394"/>
      <c r="F1095" s="394">
        <v>0.503</v>
      </c>
      <c r="G1095" s="394"/>
      <c r="H1095" s="8" t="s">
        <v>61</v>
      </c>
      <c r="I1095" s="368">
        <f t="shared" si="52"/>
        <v>0</v>
      </c>
      <c r="J1095" s="365">
        <f t="shared" si="51"/>
        <v>0</v>
      </c>
      <c r="K1095" s="369">
        <f t="shared" si="53"/>
        <v>6</v>
      </c>
      <c r="L1095" s="369">
        <f>+IF((C1095&gt;='Resultats - informe'!$E$16)*(C1095&lt;='Resultats - informe'!$G$16),1,0)</f>
        <v>1</v>
      </c>
      <c r="M1095" s="369" cm="1">
        <f t="array" ref="M1095">+_xlfn.IFS((C1095&gt;='Resultats - informe'!$D$26)*(C1095&lt;='Resultats - informe'!$E$26),0,(C1095&gt;='Resultats - informe'!$D$27)*(C1095&lt;='Resultats - informe'!$E$27),0,(C1095&gt;='Resultats - informe'!$D$28)*(C1095&lt;='Resultats - informe'!$E$28),0,(C1095&gt;='Resultats - informe'!$D$29)*(C1095&lt;='Resultats - informe'!$E$29),0,1,1)</f>
        <v>0</v>
      </c>
      <c r="N1095" s="366">
        <f>+VLOOKUP(D1095,'Resultats - informe'!$Y$18:$AG$42,'Introducció dades consum'!K1095+1,0)</f>
        <v>0</v>
      </c>
      <c r="O1095" s="370" cm="1">
        <f t="array" ref="O1095">+_xlfn.SWITCH(MONTH(C1095),1,1,2,1,3,1,4,2,5,2,6,3,7,3,8,3,9,3,10,2,11,2,12,1,2)</f>
        <v>1</v>
      </c>
      <c r="P1095" s="43"/>
      <c r="AS1095" s="10"/>
      <c r="AT1095" s="10"/>
      <c r="AU1095" s="10"/>
      <c r="AV1095" s="10"/>
      <c r="AW1095" s="10"/>
      <c r="AX1095" s="10"/>
      <c r="AY1095" s="10"/>
      <c r="AZ1095" s="10"/>
      <c r="BA1095" s="10"/>
      <c r="BB1095" s="10"/>
      <c r="BC1095" s="10"/>
      <c r="BD1095" s="10"/>
      <c r="BE1095" s="10"/>
      <c r="BF1095" s="10"/>
      <c r="BG1095" s="10"/>
      <c r="BH1095" s="10"/>
      <c r="BI1095" s="10"/>
      <c r="BJ1095" s="10"/>
      <c r="BK1095" s="10"/>
      <c r="BL1095" s="10"/>
      <c r="BM1095" s="10"/>
      <c r="BN1095" s="10"/>
      <c r="BO1095" s="10"/>
      <c r="BP1095" s="10"/>
      <c r="BQ1095" s="10"/>
      <c r="BR1095" s="10"/>
      <c r="BS1095" s="10"/>
      <c r="BT1095" s="10"/>
      <c r="BU1095" s="10"/>
    </row>
    <row r="1096" spans="1:73" ht="18" x14ac:dyDescent="0.35">
      <c r="A1096" s="43"/>
      <c r="C1096" s="393"/>
      <c r="E1096" s="394"/>
      <c r="F1096" s="394">
        <v>0.33</v>
      </c>
      <c r="G1096" s="394"/>
      <c r="H1096" s="8" t="s">
        <v>61</v>
      </c>
      <c r="I1096" s="368">
        <f t="shared" si="52"/>
        <v>0</v>
      </c>
      <c r="J1096" s="365">
        <f t="shared" si="51"/>
        <v>0</v>
      </c>
      <c r="K1096" s="369">
        <f t="shared" si="53"/>
        <v>6</v>
      </c>
      <c r="L1096" s="369">
        <f>+IF((C1096&gt;='Resultats - informe'!$E$16)*(C1096&lt;='Resultats - informe'!$G$16),1,0)</f>
        <v>1</v>
      </c>
      <c r="M1096" s="369" cm="1">
        <f t="array" ref="M1096">+_xlfn.IFS((C1096&gt;='Resultats - informe'!$D$26)*(C1096&lt;='Resultats - informe'!$E$26),0,(C1096&gt;='Resultats - informe'!$D$27)*(C1096&lt;='Resultats - informe'!$E$27),0,(C1096&gt;='Resultats - informe'!$D$28)*(C1096&lt;='Resultats - informe'!$E$28),0,(C1096&gt;='Resultats - informe'!$D$29)*(C1096&lt;='Resultats - informe'!$E$29),0,1,1)</f>
        <v>0</v>
      </c>
      <c r="N1096" s="366">
        <f>+VLOOKUP(D1096,'Resultats - informe'!$Y$18:$AG$42,'Introducció dades consum'!K1096+1,0)</f>
        <v>0</v>
      </c>
      <c r="O1096" s="370" cm="1">
        <f t="array" ref="O1096">+_xlfn.SWITCH(MONTH(C1096),1,1,2,1,3,1,4,2,5,2,6,3,7,3,8,3,9,3,10,2,11,2,12,1,2)</f>
        <v>1</v>
      </c>
      <c r="P1096" s="43"/>
      <c r="AS1096" s="10"/>
      <c r="AT1096" s="10"/>
      <c r="AU1096" s="10"/>
      <c r="AV1096" s="10"/>
      <c r="AW1096" s="10"/>
      <c r="AX1096" s="10"/>
      <c r="AY1096" s="10"/>
      <c r="AZ1096" s="10"/>
      <c r="BA1096" s="10"/>
      <c r="BB1096" s="10"/>
      <c r="BC1096" s="10"/>
      <c r="BD1096" s="10"/>
      <c r="BE1096" s="10"/>
      <c r="BF1096" s="10"/>
      <c r="BG1096" s="10"/>
      <c r="BH1096" s="10"/>
      <c r="BI1096" s="10"/>
      <c r="BJ1096" s="10"/>
      <c r="BK1096" s="10"/>
      <c r="BL1096" s="10"/>
      <c r="BM1096" s="10"/>
      <c r="BN1096" s="10"/>
      <c r="BO1096" s="10"/>
      <c r="BP1096" s="10"/>
      <c r="BQ1096" s="10"/>
      <c r="BR1096" s="10"/>
      <c r="BS1096" s="10"/>
      <c r="BT1096" s="10"/>
      <c r="BU1096" s="10"/>
    </row>
    <row r="1097" spans="1:73" ht="18" x14ac:dyDescent="0.35">
      <c r="A1097" s="43"/>
      <c r="C1097" s="393"/>
      <c r="E1097" s="394"/>
      <c r="F1097" s="394">
        <v>1.3779999999999999</v>
      </c>
      <c r="G1097" s="394"/>
      <c r="H1097" s="8" t="s">
        <v>235</v>
      </c>
      <c r="I1097" s="368">
        <f t="shared" si="52"/>
        <v>0</v>
      </c>
      <c r="J1097" s="365">
        <f t="shared" si="51"/>
        <v>0</v>
      </c>
      <c r="K1097" s="369">
        <f t="shared" si="53"/>
        <v>6</v>
      </c>
      <c r="L1097" s="369">
        <f>+IF((C1097&gt;='Resultats - informe'!$E$16)*(C1097&lt;='Resultats - informe'!$G$16),1,0)</f>
        <v>1</v>
      </c>
      <c r="M1097" s="369" cm="1">
        <f t="array" ref="M1097">+_xlfn.IFS((C1097&gt;='Resultats - informe'!$D$26)*(C1097&lt;='Resultats - informe'!$E$26),0,(C1097&gt;='Resultats - informe'!$D$27)*(C1097&lt;='Resultats - informe'!$E$27),0,(C1097&gt;='Resultats - informe'!$D$28)*(C1097&lt;='Resultats - informe'!$E$28),0,(C1097&gt;='Resultats - informe'!$D$29)*(C1097&lt;='Resultats - informe'!$E$29),0,1,1)</f>
        <v>0</v>
      </c>
      <c r="N1097" s="366">
        <f>+VLOOKUP(D1097,'Resultats - informe'!$Y$18:$AG$42,'Introducció dades consum'!K1097+1,0)</f>
        <v>0</v>
      </c>
      <c r="O1097" s="370" cm="1">
        <f t="array" ref="O1097">+_xlfn.SWITCH(MONTH(C1097),1,1,2,1,3,1,4,2,5,2,6,3,7,3,8,3,9,3,10,2,11,2,12,1,2)</f>
        <v>1</v>
      </c>
      <c r="P1097" s="43"/>
      <c r="AS1097" s="10"/>
      <c r="AT1097" s="10"/>
      <c r="AU1097" s="10"/>
      <c r="AV1097" s="10"/>
      <c r="AW1097" s="10"/>
      <c r="AX1097" s="10"/>
      <c r="AY1097" s="10"/>
      <c r="AZ1097" s="10"/>
      <c r="BA1097" s="10"/>
      <c r="BB1097" s="10"/>
      <c r="BC1097" s="10"/>
      <c r="BD1097" s="10"/>
      <c r="BE1097" s="10"/>
      <c r="BF1097" s="10"/>
      <c r="BG1097" s="10"/>
      <c r="BH1097" s="10"/>
      <c r="BI1097" s="10"/>
      <c r="BJ1097" s="10"/>
      <c r="BK1097" s="10"/>
      <c r="BL1097" s="10"/>
      <c r="BM1097" s="10"/>
      <c r="BN1097" s="10"/>
      <c r="BO1097" s="10"/>
      <c r="BP1097" s="10"/>
      <c r="BQ1097" s="10"/>
      <c r="BR1097" s="10"/>
      <c r="BS1097" s="10"/>
      <c r="BT1097" s="10"/>
      <c r="BU1097" s="10"/>
    </row>
    <row r="1098" spans="1:73" ht="18" x14ac:dyDescent="0.35">
      <c r="A1098" s="43"/>
      <c r="C1098" s="393"/>
      <c r="E1098" s="394"/>
      <c r="F1098" s="394">
        <v>1.2869999999999999</v>
      </c>
      <c r="G1098" s="394"/>
      <c r="H1098" s="8" t="s">
        <v>235</v>
      </c>
      <c r="I1098" s="368">
        <f t="shared" si="52"/>
        <v>0</v>
      </c>
      <c r="J1098" s="365">
        <f t="shared" si="51"/>
        <v>0</v>
      </c>
      <c r="K1098" s="369">
        <f t="shared" si="53"/>
        <v>6</v>
      </c>
      <c r="L1098" s="369">
        <f>+IF((C1098&gt;='Resultats - informe'!$E$16)*(C1098&lt;='Resultats - informe'!$G$16),1,0)</f>
        <v>1</v>
      </c>
      <c r="M1098" s="369" cm="1">
        <f t="array" ref="M1098">+_xlfn.IFS((C1098&gt;='Resultats - informe'!$D$26)*(C1098&lt;='Resultats - informe'!$E$26),0,(C1098&gt;='Resultats - informe'!$D$27)*(C1098&lt;='Resultats - informe'!$E$27),0,(C1098&gt;='Resultats - informe'!$D$28)*(C1098&lt;='Resultats - informe'!$E$28),0,(C1098&gt;='Resultats - informe'!$D$29)*(C1098&lt;='Resultats - informe'!$E$29),0,1,1)</f>
        <v>0</v>
      </c>
      <c r="N1098" s="366">
        <f>+VLOOKUP(D1098,'Resultats - informe'!$Y$18:$AG$42,'Introducció dades consum'!K1098+1,0)</f>
        <v>0</v>
      </c>
      <c r="O1098" s="370" cm="1">
        <f t="array" ref="O1098">+_xlfn.SWITCH(MONTH(C1098),1,1,2,1,3,1,4,2,5,2,6,3,7,3,8,3,9,3,10,2,11,2,12,1,2)</f>
        <v>1</v>
      </c>
      <c r="P1098" s="43"/>
      <c r="AS1098" s="10"/>
      <c r="AT1098" s="10"/>
      <c r="AU1098" s="10"/>
      <c r="AV1098" s="10"/>
      <c r="AW1098" s="10"/>
      <c r="AX1098" s="10"/>
      <c r="AY1098" s="10"/>
      <c r="AZ1098" s="10"/>
      <c r="BA1098" s="10"/>
      <c r="BB1098" s="10"/>
      <c r="BC1098" s="10"/>
      <c r="BD1098" s="10"/>
      <c r="BE1098" s="10"/>
      <c r="BF1098" s="10"/>
      <c r="BG1098" s="10"/>
      <c r="BH1098" s="10"/>
      <c r="BI1098" s="10"/>
      <c r="BJ1098" s="10"/>
      <c r="BK1098" s="10"/>
      <c r="BL1098" s="10"/>
      <c r="BM1098" s="10"/>
      <c r="BN1098" s="10"/>
      <c r="BO1098" s="10"/>
      <c r="BP1098" s="10"/>
      <c r="BQ1098" s="10"/>
      <c r="BR1098" s="10"/>
      <c r="BS1098" s="10"/>
      <c r="BT1098" s="10"/>
      <c r="BU1098" s="10"/>
    </row>
    <row r="1099" spans="1:73" ht="18" x14ac:dyDescent="0.35">
      <c r="A1099" s="43"/>
      <c r="C1099" s="393"/>
      <c r="E1099" s="394"/>
      <c r="F1099" s="394">
        <v>4.9909999999999997</v>
      </c>
      <c r="G1099" s="394"/>
      <c r="H1099" s="8" t="s">
        <v>61</v>
      </c>
      <c r="I1099" s="368">
        <f t="shared" si="52"/>
        <v>0</v>
      </c>
      <c r="J1099" s="365">
        <f t="shared" si="51"/>
        <v>0</v>
      </c>
      <c r="K1099" s="369">
        <f t="shared" si="53"/>
        <v>6</v>
      </c>
      <c r="L1099" s="369">
        <f>+IF((C1099&gt;='Resultats - informe'!$E$16)*(C1099&lt;='Resultats - informe'!$G$16),1,0)</f>
        <v>1</v>
      </c>
      <c r="M1099" s="369" cm="1">
        <f t="array" ref="M1099">+_xlfn.IFS((C1099&gt;='Resultats - informe'!$D$26)*(C1099&lt;='Resultats - informe'!$E$26),0,(C1099&gt;='Resultats - informe'!$D$27)*(C1099&lt;='Resultats - informe'!$E$27),0,(C1099&gt;='Resultats - informe'!$D$28)*(C1099&lt;='Resultats - informe'!$E$28),0,(C1099&gt;='Resultats - informe'!$D$29)*(C1099&lt;='Resultats - informe'!$E$29),0,1,1)</f>
        <v>0</v>
      </c>
      <c r="N1099" s="366">
        <f>+VLOOKUP(D1099,'Resultats - informe'!$Y$18:$AG$42,'Introducció dades consum'!K1099+1,0)</f>
        <v>0</v>
      </c>
      <c r="O1099" s="370" cm="1">
        <f t="array" ref="O1099">+_xlfn.SWITCH(MONTH(C1099),1,1,2,1,3,1,4,2,5,2,6,3,7,3,8,3,9,3,10,2,11,2,12,1,2)</f>
        <v>1</v>
      </c>
      <c r="P1099" s="43"/>
      <c r="AS1099" s="10"/>
      <c r="AT1099" s="10"/>
      <c r="AU1099" s="10"/>
      <c r="AV1099" s="10"/>
      <c r="AW1099" s="10"/>
      <c r="AX1099" s="10"/>
      <c r="AY1099" s="10"/>
      <c r="AZ1099" s="10"/>
      <c r="BA1099" s="10"/>
      <c r="BB1099" s="10"/>
      <c r="BC1099" s="10"/>
      <c r="BD1099" s="10"/>
      <c r="BE1099" s="10"/>
      <c r="BF1099" s="10"/>
      <c r="BG1099" s="10"/>
      <c r="BH1099" s="10"/>
      <c r="BI1099" s="10"/>
      <c r="BJ1099" s="10"/>
      <c r="BK1099" s="10"/>
      <c r="BL1099" s="10"/>
      <c r="BM1099" s="10"/>
      <c r="BN1099" s="10"/>
      <c r="BO1099" s="10"/>
      <c r="BP1099" s="10"/>
      <c r="BQ1099" s="10"/>
      <c r="BR1099" s="10"/>
      <c r="BS1099" s="10"/>
      <c r="BT1099" s="10"/>
      <c r="BU1099" s="10"/>
    </row>
    <row r="1100" spans="1:73" ht="18" x14ac:dyDescent="0.35">
      <c r="A1100" s="43"/>
      <c r="C1100" s="393"/>
      <c r="E1100" s="394"/>
      <c r="F1100" s="394">
        <v>3.6560000000000001</v>
      </c>
      <c r="G1100" s="394"/>
      <c r="H1100" s="8" t="s">
        <v>61</v>
      </c>
      <c r="I1100" s="368">
        <f t="shared" si="52"/>
        <v>0</v>
      </c>
      <c r="J1100" s="365">
        <f t="shared" si="51"/>
        <v>0</v>
      </c>
      <c r="K1100" s="369">
        <f t="shared" si="53"/>
        <v>6</v>
      </c>
      <c r="L1100" s="369">
        <f>+IF((C1100&gt;='Resultats - informe'!$E$16)*(C1100&lt;='Resultats - informe'!$G$16),1,0)</f>
        <v>1</v>
      </c>
      <c r="M1100" s="369" cm="1">
        <f t="array" ref="M1100">+_xlfn.IFS((C1100&gt;='Resultats - informe'!$D$26)*(C1100&lt;='Resultats - informe'!$E$26),0,(C1100&gt;='Resultats - informe'!$D$27)*(C1100&lt;='Resultats - informe'!$E$27),0,(C1100&gt;='Resultats - informe'!$D$28)*(C1100&lt;='Resultats - informe'!$E$28),0,(C1100&gt;='Resultats - informe'!$D$29)*(C1100&lt;='Resultats - informe'!$E$29),0,1,1)</f>
        <v>0</v>
      </c>
      <c r="N1100" s="366">
        <f>+VLOOKUP(D1100,'Resultats - informe'!$Y$18:$AG$42,'Introducció dades consum'!K1100+1,0)</f>
        <v>0</v>
      </c>
      <c r="O1100" s="370" cm="1">
        <f t="array" ref="O1100">+_xlfn.SWITCH(MONTH(C1100),1,1,2,1,3,1,4,2,5,2,6,3,7,3,8,3,9,3,10,2,11,2,12,1,2)</f>
        <v>1</v>
      </c>
      <c r="P1100" s="43"/>
      <c r="AS1100" s="10"/>
      <c r="AT1100" s="10"/>
      <c r="AU1100" s="10"/>
      <c r="AV1100" s="10"/>
      <c r="AW1100" s="10"/>
      <c r="AX1100" s="10"/>
      <c r="AY1100" s="10"/>
      <c r="AZ1100" s="10"/>
      <c r="BA1100" s="10"/>
      <c r="BB1100" s="10"/>
      <c r="BC1100" s="10"/>
      <c r="BD1100" s="10"/>
      <c r="BE1100" s="10"/>
      <c r="BF1100" s="10"/>
      <c r="BG1100" s="10"/>
      <c r="BH1100" s="10"/>
      <c r="BI1100" s="10"/>
      <c r="BJ1100" s="10"/>
      <c r="BK1100" s="10"/>
      <c r="BL1100" s="10"/>
      <c r="BM1100" s="10"/>
      <c r="BN1100" s="10"/>
      <c r="BO1100" s="10"/>
      <c r="BP1100" s="10"/>
      <c r="BQ1100" s="10"/>
      <c r="BR1100" s="10"/>
      <c r="BS1100" s="10"/>
      <c r="BT1100" s="10"/>
      <c r="BU1100" s="10"/>
    </row>
    <row r="1101" spans="1:73" ht="18" x14ac:dyDescent="0.35">
      <c r="A1101" s="43"/>
      <c r="C1101" s="393"/>
      <c r="E1101" s="394"/>
      <c r="F1101" s="394">
        <v>0.76600000000000001</v>
      </c>
      <c r="G1101" s="394"/>
      <c r="H1101" s="8" t="s">
        <v>61</v>
      </c>
      <c r="I1101" s="368">
        <f t="shared" si="52"/>
        <v>0</v>
      </c>
      <c r="J1101" s="365">
        <f t="shared" si="51"/>
        <v>0</v>
      </c>
      <c r="K1101" s="369">
        <f t="shared" si="53"/>
        <v>6</v>
      </c>
      <c r="L1101" s="369">
        <f>+IF((C1101&gt;='Resultats - informe'!$E$16)*(C1101&lt;='Resultats - informe'!$G$16),1,0)</f>
        <v>1</v>
      </c>
      <c r="M1101" s="369" cm="1">
        <f t="array" ref="M1101">+_xlfn.IFS((C1101&gt;='Resultats - informe'!$D$26)*(C1101&lt;='Resultats - informe'!$E$26),0,(C1101&gt;='Resultats - informe'!$D$27)*(C1101&lt;='Resultats - informe'!$E$27),0,(C1101&gt;='Resultats - informe'!$D$28)*(C1101&lt;='Resultats - informe'!$E$28),0,(C1101&gt;='Resultats - informe'!$D$29)*(C1101&lt;='Resultats - informe'!$E$29),0,1,1)</f>
        <v>0</v>
      </c>
      <c r="N1101" s="366">
        <f>+VLOOKUP(D1101,'Resultats - informe'!$Y$18:$AG$42,'Introducció dades consum'!K1101+1,0)</f>
        <v>0</v>
      </c>
      <c r="O1101" s="370" cm="1">
        <f t="array" ref="O1101">+_xlfn.SWITCH(MONTH(C1101),1,1,2,1,3,1,4,2,5,2,6,3,7,3,8,3,9,3,10,2,11,2,12,1,2)</f>
        <v>1</v>
      </c>
      <c r="P1101" s="43"/>
      <c r="AS1101" s="10"/>
      <c r="AT1101" s="10"/>
      <c r="AU1101" s="10"/>
      <c r="AV1101" s="10"/>
      <c r="AW1101" s="10"/>
      <c r="AX1101" s="10"/>
      <c r="AY1101" s="10"/>
      <c r="AZ1101" s="10"/>
      <c r="BA1101" s="10"/>
      <c r="BB1101" s="10"/>
      <c r="BC1101" s="10"/>
      <c r="BD1101" s="10"/>
      <c r="BE1101" s="10"/>
      <c r="BF1101" s="10"/>
      <c r="BG1101" s="10"/>
      <c r="BH1101" s="10"/>
      <c r="BI1101" s="10"/>
      <c r="BJ1101" s="10"/>
      <c r="BK1101" s="10"/>
      <c r="BL1101" s="10"/>
      <c r="BM1101" s="10"/>
      <c r="BN1101" s="10"/>
      <c r="BO1101" s="10"/>
      <c r="BP1101" s="10"/>
      <c r="BQ1101" s="10"/>
      <c r="BR1101" s="10"/>
      <c r="BS1101" s="10"/>
      <c r="BT1101" s="10"/>
      <c r="BU1101" s="10"/>
    </row>
    <row r="1102" spans="1:73" ht="18" x14ac:dyDescent="0.35">
      <c r="A1102" s="43"/>
      <c r="C1102" s="393"/>
      <c r="E1102" s="394"/>
      <c r="F1102" s="394">
        <v>0.124</v>
      </c>
      <c r="G1102" s="394"/>
      <c r="H1102" s="8" t="s">
        <v>61</v>
      </c>
      <c r="I1102" s="368">
        <f t="shared" si="52"/>
        <v>0</v>
      </c>
      <c r="J1102" s="365">
        <f t="shared" si="51"/>
        <v>0</v>
      </c>
      <c r="K1102" s="369">
        <f t="shared" si="53"/>
        <v>6</v>
      </c>
      <c r="L1102" s="369">
        <f>+IF((C1102&gt;='Resultats - informe'!$E$16)*(C1102&lt;='Resultats - informe'!$G$16),1,0)</f>
        <v>1</v>
      </c>
      <c r="M1102" s="369" cm="1">
        <f t="array" ref="M1102">+_xlfn.IFS((C1102&gt;='Resultats - informe'!$D$26)*(C1102&lt;='Resultats - informe'!$E$26),0,(C1102&gt;='Resultats - informe'!$D$27)*(C1102&lt;='Resultats - informe'!$E$27),0,(C1102&gt;='Resultats - informe'!$D$28)*(C1102&lt;='Resultats - informe'!$E$28),0,(C1102&gt;='Resultats - informe'!$D$29)*(C1102&lt;='Resultats - informe'!$E$29),0,1,1)</f>
        <v>0</v>
      </c>
      <c r="N1102" s="366">
        <f>+VLOOKUP(D1102,'Resultats - informe'!$Y$18:$AG$42,'Introducció dades consum'!K1102+1,0)</f>
        <v>0</v>
      </c>
      <c r="O1102" s="370" cm="1">
        <f t="array" ref="O1102">+_xlfn.SWITCH(MONTH(C1102),1,1,2,1,3,1,4,2,5,2,6,3,7,3,8,3,9,3,10,2,11,2,12,1,2)</f>
        <v>1</v>
      </c>
      <c r="P1102" s="43"/>
      <c r="AS1102" s="10"/>
      <c r="AT1102" s="10"/>
      <c r="AU1102" s="10"/>
      <c r="AV1102" s="10"/>
      <c r="AW1102" s="10"/>
      <c r="AX1102" s="10"/>
      <c r="AY1102" s="10"/>
      <c r="AZ1102" s="10"/>
      <c r="BA1102" s="10"/>
      <c r="BB1102" s="10"/>
      <c r="BC1102" s="10"/>
      <c r="BD1102" s="10"/>
      <c r="BE1102" s="10"/>
      <c r="BF1102" s="10"/>
      <c r="BG1102" s="10"/>
      <c r="BH1102" s="10"/>
      <c r="BI1102" s="10"/>
      <c r="BJ1102" s="10"/>
      <c r="BK1102" s="10"/>
      <c r="BL1102" s="10"/>
      <c r="BM1102" s="10"/>
      <c r="BN1102" s="10"/>
      <c r="BO1102" s="10"/>
      <c r="BP1102" s="10"/>
      <c r="BQ1102" s="10"/>
      <c r="BR1102" s="10"/>
      <c r="BS1102" s="10"/>
      <c r="BT1102" s="10"/>
      <c r="BU1102" s="10"/>
    </row>
    <row r="1103" spans="1:73" ht="18" x14ac:dyDescent="0.35">
      <c r="A1103" s="43"/>
      <c r="C1103" s="393"/>
      <c r="E1103" s="394"/>
      <c r="F1103" s="394">
        <v>0</v>
      </c>
      <c r="G1103" s="394"/>
      <c r="H1103" s="8" t="s">
        <v>235</v>
      </c>
      <c r="I1103" s="368">
        <f t="shared" si="52"/>
        <v>0</v>
      </c>
      <c r="J1103" s="365">
        <f t="shared" si="51"/>
        <v>0</v>
      </c>
      <c r="K1103" s="369">
        <f t="shared" si="53"/>
        <v>6</v>
      </c>
      <c r="L1103" s="369">
        <f>+IF((C1103&gt;='Resultats - informe'!$E$16)*(C1103&lt;='Resultats - informe'!$G$16),1,0)</f>
        <v>1</v>
      </c>
      <c r="M1103" s="369" cm="1">
        <f t="array" ref="M1103">+_xlfn.IFS((C1103&gt;='Resultats - informe'!$D$26)*(C1103&lt;='Resultats - informe'!$E$26),0,(C1103&gt;='Resultats - informe'!$D$27)*(C1103&lt;='Resultats - informe'!$E$27),0,(C1103&gt;='Resultats - informe'!$D$28)*(C1103&lt;='Resultats - informe'!$E$28),0,(C1103&gt;='Resultats - informe'!$D$29)*(C1103&lt;='Resultats - informe'!$E$29),0,1,1)</f>
        <v>0</v>
      </c>
      <c r="N1103" s="366">
        <f>+VLOOKUP(D1103,'Resultats - informe'!$Y$18:$AG$42,'Introducció dades consum'!K1103+1,0)</f>
        <v>0</v>
      </c>
      <c r="O1103" s="370" cm="1">
        <f t="array" ref="O1103">+_xlfn.SWITCH(MONTH(C1103),1,1,2,1,3,1,4,2,5,2,6,3,7,3,8,3,9,3,10,2,11,2,12,1,2)</f>
        <v>1</v>
      </c>
      <c r="P1103" s="43"/>
      <c r="AS1103" s="10"/>
      <c r="AT1103" s="10"/>
      <c r="AU1103" s="10"/>
      <c r="AV1103" s="10"/>
      <c r="AW1103" s="10"/>
      <c r="AX1103" s="10"/>
      <c r="AY1103" s="10"/>
      <c r="AZ1103" s="10"/>
      <c r="BA1103" s="10"/>
      <c r="BB1103" s="10"/>
      <c r="BC1103" s="10"/>
      <c r="BD1103" s="10"/>
      <c r="BE1103" s="10"/>
      <c r="BF1103" s="10"/>
      <c r="BG1103" s="10"/>
      <c r="BH1103" s="10"/>
      <c r="BI1103" s="10"/>
      <c r="BJ1103" s="10"/>
      <c r="BK1103" s="10"/>
      <c r="BL1103" s="10"/>
      <c r="BM1103" s="10"/>
      <c r="BN1103" s="10"/>
      <c r="BO1103" s="10"/>
      <c r="BP1103" s="10"/>
      <c r="BQ1103" s="10"/>
      <c r="BR1103" s="10"/>
      <c r="BS1103" s="10"/>
      <c r="BT1103" s="10"/>
      <c r="BU1103" s="10"/>
    </row>
    <row r="1104" spans="1:73" ht="18" x14ac:dyDescent="0.35">
      <c r="A1104" s="43"/>
      <c r="C1104" s="393"/>
      <c r="E1104" s="394"/>
      <c r="F1104" s="394">
        <v>0</v>
      </c>
      <c r="G1104" s="394"/>
      <c r="H1104" s="8" t="s">
        <v>235</v>
      </c>
      <c r="I1104" s="368">
        <f t="shared" si="52"/>
        <v>0</v>
      </c>
      <c r="J1104" s="365">
        <f t="shared" si="51"/>
        <v>0</v>
      </c>
      <c r="K1104" s="369">
        <f t="shared" si="53"/>
        <v>6</v>
      </c>
      <c r="L1104" s="369">
        <f>+IF((C1104&gt;='Resultats - informe'!$E$16)*(C1104&lt;='Resultats - informe'!$G$16),1,0)</f>
        <v>1</v>
      </c>
      <c r="M1104" s="369" cm="1">
        <f t="array" ref="M1104">+_xlfn.IFS((C1104&gt;='Resultats - informe'!$D$26)*(C1104&lt;='Resultats - informe'!$E$26),0,(C1104&gt;='Resultats - informe'!$D$27)*(C1104&lt;='Resultats - informe'!$E$27),0,(C1104&gt;='Resultats - informe'!$D$28)*(C1104&lt;='Resultats - informe'!$E$28),0,(C1104&gt;='Resultats - informe'!$D$29)*(C1104&lt;='Resultats - informe'!$E$29),0,1,1)</f>
        <v>0</v>
      </c>
      <c r="N1104" s="366">
        <f>+VLOOKUP(D1104,'Resultats - informe'!$Y$18:$AG$42,'Introducció dades consum'!K1104+1,0)</f>
        <v>0</v>
      </c>
      <c r="O1104" s="370" cm="1">
        <f t="array" ref="O1104">+_xlfn.SWITCH(MONTH(C1104),1,1,2,1,3,1,4,2,5,2,6,3,7,3,8,3,9,3,10,2,11,2,12,1,2)</f>
        <v>1</v>
      </c>
      <c r="P1104" s="43"/>
      <c r="AS1104" s="10"/>
      <c r="AT1104" s="10"/>
      <c r="AU1104" s="10"/>
      <c r="AV1104" s="10"/>
      <c r="AW1104" s="10"/>
      <c r="AX1104" s="10"/>
      <c r="AY1104" s="10"/>
      <c r="AZ1104" s="10"/>
      <c r="BA1104" s="10"/>
      <c r="BB1104" s="10"/>
      <c r="BC1104" s="10"/>
      <c r="BD1104" s="10"/>
      <c r="BE1104" s="10"/>
      <c r="BF1104" s="10"/>
      <c r="BG1104" s="10"/>
      <c r="BH1104" s="10"/>
      <c r="BI1104" s="10"/>
      <c r="BJ1104" s="10"/>
      <c r="BK1104" s="10"/>
      <c r="BL1104" s="10"/>
      <c r="BM1104" s="10"/>
      <c r="BN1104" s="10"/>
      <c r="BO1104" s="10"/>
      <c r="BP1104" s="10"/>
      <c r="BQ1104" s="10"/>
      <c r="BR1104" s="10"/>
      <c r="BS1104" s="10"/>
      <c r="BT1104" s="10"/>
      <c r="BU1104" s="10"/>
    </row>
    <row r="1105" spans="1:73" ht="18" x14ac:dyDescent="0.35">
      <c r="A1105" s="43"/>
      <c r="C1105" s="393"/>
      <c r="E1105" s="394"/>
      <c r="F1105" s="394">
        <v>0</v>
      </c>
      <c r="G1105" s="394"/>
      <c r="H1105" s="8" t="s">
        <v>235</v>
      </c>
      <c r="I1105" s="368">
        <f t="shared" si="52"/>
        <v>0</v>
      </c>
      <c r="J1105" s="365">
        <f t="shared" si="51"/>
        <v>0</v>
      </c>
      <c r="K1105" s="369">
        <f t="shared" si="53"/>
        <v>6</v>
      </c>
      <c r="L1105" s="369">
        <f>+IF((C1105&gt;='Resultats - informe'!$E$16)*(C1105&lt;='Resultats - informe'!$G$16),1,0)</f>
        <v>1</v>
      </c>
      <c r="M1105" s="369" cm="1">
        <f t="array" ref="M1105">+_xlfn.IFS((C1105&gt;='Resultats - informe'!$D$26)*(C1105&lt;='Resultats - informe'!$E$26),0,(C1105&gt;='Resultats - informe'!$D$27)*(C1105&lt;='Resultats - informe'!$E$27),0,(C1105&gt;='Resultats - informe'!$D$28)*(C1105&lt;='Resultats - informe'!$E$28),0,(C1105&gt;='Resultats - informe'!$D$29)*(C1105&lt;='Resultats - informe'!$E$29),0,1,1)</f>
        <v>0</v>
      </c>
      <c r="N1105" s="366">
        <f>+VLOOKUP(D1105,'Resultats - informe'!$Y$18:$AG$42,'Introducció dades consum'!K1105+1,0)</f>
        <v>0</v>
      </c>
      <c r="O1105" s="370" cm="1">
        <f t="array" ref="O1105">+_xlfn.SWITCH(MONTH(C1105),1,1,2,1,3,1,4,2,5,2,6,3,7,3,8,3,9,3,10,2,11,2,12,1,2)</f>
        <v>1</v>
      </c>
      <c r="P1105" s="43"/>
      <c r="AS1105" s="10"/>
      <c r="AT1105" s="10"/>
      <c r="AU1105" s="10"/>
      <c r="AV1105" s="10"/>
      <c r="AW1105" s="10"/>
      <c r="AX1105" s="10"/>
      <c r="AY1105" s="10"/>
      <c r="AZ1105" s="10"/>
      <c r="BA1105" s="10"/>
      <c r="BB1105" s="10"/>
      <c r="BC1105" s="10"/>
      <c r="BD1105" s="10"/>
      <c r="BE1105" s="10"/>
      <c r="BF1105" s="10"/>
      <c r="BG1105" s="10"/>
      <c r="BH1105" s="10"/>
      <c r="BI1105" s="10"/>
      <c r="BJ1105" s="10"/>
      <c r="BK1105" s="10"/>
      <c r="BL1105" s="10"/>
      <c r="BM1105" s="10"/>
      <c r="BN1105" s="10"/>
      <c r="BO1105" s="10"/>
      <c r="BP1105" s="10"/>
      <c r="BQ1105" s="10"/>
      <c r="BR1105" s="10"/>
      <c r="BS1105" s="10"/>
      <c r="BT1105" s="10"/>
      <c r="BU1105" s="10"/>
    </row>
    <row r="1106" spans="1:73" ht="18" x14ac:dyDescent="0.35">
      <c r="A1106" s="43"/>
      <c r="C1106" s="393"/>
      <c r="E1106" s="394"/>
      <c r="F1106" s="394">
        <v>0</v>
      </c>
      <c r="G1106" s="394"/>
      <c r="H1106" s="8" t="s">
        <v>235</v>
      </c>
      <c r="I1106" s="368">
        <f t="shared" si="52"/>
        <v>0</v>
      </c>
      <c r="J1106" s="365">
        <f t="shared" si="51"/>
        <v>0</v>
      </c>
      <c r="K1106" s="369">
        <f t="shared" si="53"/>
        <v>6</v>
      </c>
      <c r="L1106" s="369">
        <f>+IF((C1106&gt;='Resultats - informe'!$E$16)*(C1106&lt;='Resultats - informe'!$G$16),1,0)</f>
        <v>1</v>
      </c>
      <c r="M1106" s="369" cm="1">
        <f t="array" ref="M1106">+_xlfn.IFS((C1106&gt;='Resultats - informe'!$D$26)*(C1106&lt;='Resultats - informe'!$E$26),0,(C1106&gt;='Resultats - informe'!$D$27)*(C1106&lt;='Resultats - informe'!$E$27),0,(C1106&gt;='Resultats - informe'!$D$28)*(C1106&lt;='Resultats - informe'!$E$28),0,(C1106&gt;='Resultats - informe'!$D$29)*(C1106&lt;='Resultats - informe'!$E$29),0,1,1)</f>
        <v>0</v>
      </c>
      <c r="N1106" s="366">
        <f>+VLOOKUP(D1106,'Resultats - informe'!$Y$18:$AG$42,'Introducció dades consum'!K1106+1,0)</f>
        <v>0</v>
      </c>
      <c r="O1106" s="370" cm="1">
        <f t="array" ref="O1106">+_xlfn.SWITCH(MONTH(C1106),1,1,2,1,3,1,4,2,5,2,6,3,7,3,8,3,9,3,10,2,11,2,12,1,2)</f>
        <v>1</v>
      </c>
      <c r="P1106" s="43"/>
      <c r="AS1106" s="10"/>
      <c r="AT1106" s="10"/>
      <c r="AU1106" s="10"/>
      <c r="AV1106" s="10"/>
      <c r="AW1106" s="10"/>
      <c r="AX1106" s="10"/>
      <c r="AY1106" s="10"/>
      <c r="AZ1106" s="10"/>
      <c r="BA1106" s="10"/>
      <c r="BB1106" s="10"/>
      <c r="BC1106" s="10"/>
      <c r="BD1106" s="10"/>
      <c r="BE1106" s="10"/>
      <c r="BF1106" s="10"/>
      <c r="BG1106" s="10"/>
      <c r="BH1106" s="10"/>
      <c r="BI1106" s="10"/>
      <c r="BJ1106" s="10"/>
      <c r="BK1106" s="10"/>
      <c r="BL1106" s="10"/>
      <c r="BM1106" s="10"/>
      <c r="BN1106" s="10"/>
      <c r="BO1106" s="10"/>
      <c r="BP1106" s="10"/>
      <c r="BQ1106" s="10"/>
      <c r="BR1106" s="10"/>
      <c r="BS1106" s="10"/>
      <c r="BT1106" s="10"/>
      <c r="BU1106" s="10"/>
    </row>
    <row r="1107" spans="1:73" ht="18" x14ac:dyDescent="0.35">
      <c r="A1107" s="43"/>
      <c r="C1107" s="393"/>
      <c r="E1107" s="394"/>
      <c r="F1107" s="394">
        <v>0</v>
      </c>
      <c r="G1107" s="394"/>
      <c r="H1107" s="8" t="s">
        <v>235</v>
      </c>
      <c r="I1107" s="368">
        <f t="shared" si="52"/>
        <v>0</v>
      </c>
      <c r="J1107" s="365">
        <f t="shared" si="51"/>
        <v>0</v>
      </c>
      <c r="K1107" s="369">
        <f t="shared" si="53"/>
        <v>6</v>
      </c>
      <c r="L1107" s="369">
        <f>+IF((C1107&gt;='Resultats - informe'!$E$16)*(C1107&lt;='Resultats - informe'!$G$16),1,0)</f>
        <v>1</v>
      </c>
      <c r="M1107" s="369" cm="1">
        <f t="array" ref="M1107">+_xlfn.IFS((C1107&gt;='Resultats - informe'!$D$26)*(C1107&lt;='Resultats - informe'!$E$26),0,(C1107&gt;='Resultats - informe'!$D$27)*(C1107&lt;='Resultats - informe'!$E$27),0,(C1107&gt;='Resultats - informe'!$D$28)*(C1107&lt;='Resultats - informe'!$E$28),0,(C1107&gt;='Resultats - informe'!$D$29)*(C1107&lt;='Resultats - informe'!$E$29),0,1,1)</f>
        <v>0</v>
      </c>
      <c r="N1107" s="366">
        <f>+VLOOKUP(D1107,'Resultats - informe'!$Y$18:$AG$42,'Introducció dades consum'!K1107+1,0)</f>
        <v>0</v>
      </c>
      <c r="O1107" s="370" cm="1">
        <f t="array" ref="O1107">+_xlfn.SWITCH(MONTH(C1107),1,1,2,1,3,1,4,2,5,2,6,3,7,3,8,3,9,3,10,2,11,2,12,1,2)</f>
        <v>1</v>
      </c>
      <c r="P1107" s="43"/>
      <c r="AS1107" s="10"/>
      <c r="AT1107" s="10"/>
      <c r="AU1107" s="10"/>
      <c r="AV1107" s="10"/>
      <c r="AW1107" s="10"/>
      <c r="AX1107" s="10"/>
      <c r="AY1107" s="10"/>
      <c r="AZ1107" s="10"/>
      <c r="BA1107" s="10"/>
      <c r="BB1107" s="10"/>
      <c r="BC1107" s="10"/>
      <c r="BD1107" s="10"/>
      <c r="BE1107" s="10"/>
      <c r="BF1107" s="10"/>
      <c r="BG1107" s="10"/>
      <c r="BH1107" s="10"/>
      <c r="BI1107" s="10"/>
      <c r="BJ1107" s="10"/>
      <c r="BK1107" s="10"/>
      <c r="BL1107" s="10"/>
      <c r="BM1107" s="10"/>
      <c r="BN1107" s="10"/>
      <c r="BO1107" s="10"/>
      <c r="BP1107" s="10"/>
      <c r="BQ1107" s="10"/>
      <c r="BR1107" s="10"/>
      <c r="BS1107" s="10"/>
      <c r="BT1107" s="10"/>
      <c r="BU1107" s="10"/>
    </row>
    <row r="1108" spans="1:73" ht="18" x14ac:dyDescent="0.35">
      <c r="A1108" s="43"/>
      <c r="C1108" s="393"/>
      <c r="E1108" s="394"/>
      <c r="F1108" s="394">
        <v>0</v>
      </c>
      <c r="G1108" s="394"/>
      <c r="H1108" s="8" t="s">
        <v>235</v>
      </c>
      <c r="I1108" s="368">
        <f t="shared" si="52"/>
        <v>0</v>
      </c>
      <c r="J1108" s="365">
        <f t="shared" si="51"/>
        <v>0</v>
      </c>
      <c r="K1108" s="369">
        <f t="shared" si="53"/>
        <v>6</v>
      </c>
      <c r="L1108" s="369">
        <f>+IF((C1108&gt;='Resultats - informe'!$E$16)*(C1108&lt;='Resultats - informe'!$G$16),1,0)</f>
        <v>1</v>
      </c>
      <c r="M1108" s="369" cm="1">
        <f t="array" ref="M1108">+_xlfn.IFS((C1108&gt;='Resultats - informe'!$D$26)*(C1108&lt;='Resultats - informe'!$E$26),0,(C1108&gt;='Resultats - informe'!$D$27)*(C1108&lt;='Resultats - informe'!$E$27),0,(C1108&gt;='Resultats - informe'!$D$28)*(C1108&lt;='Resultats - informe'!$E$28),0,(C1108&gt;='Resultats - informe'!$D$29)*(C1108&lt;='Resultats - informe'!$E$29),0,1,1)</f>
        <v>0</v>
      </c>
      <c r="N1108" s="366">
        <f>+VLOOKUP(D1108,'Resultats - informe'!$Y$18:$AG$42,'Introducció dades consum'!K1108+1,0)</f>
        <v>0</v>
      </c>
      <c r="O1108" s="370" cm="1">
        <f t="array" ref="O1108">+_xlfn.SWITCH(MONTH(C1108),1,1,2,1,3,1,4,2,5,2,6,3,7,3,8,3,9,3,10,2,11,2,12,1,2)</f>
        <v>1</v>
      </c>
      <c r="P1108" s="43"/>
      <c r="AS1108" s="10"/>
      <c r="AT1108" s="10"/>
      <c r="AU1108" s="10"/>
      <c r="AV1108" s="10"/>
      <c r="AW1108" s="10"/>
      <c r="AX1108" s="10"/>
      <c r="AY1108" s="10"/>
      <c r="AZ1108" s="10"/>
      <c r="BA1108" s="10"/>
      <c r="BB1108" s="10"/>
      <c r="BC1108" s="10"/>
      <c r="BD1108" s="10"/>
      <c r="BE1108" s="10"/>
      <c r="BF1108" s="10"/>
      <c r="BG1108" s="10"/>
      <c r="BH1108" s="10"/>
      <c r="BI1108" s="10"/>
      <c r="BJ1108" s="10"/>
      <c r="BK1108" s="10"/>
      <c r="BL1108" s="10"/>
      <c r="BM1108" s="10"/>
      <c r="BN1108" s="10"/>
      <c r="BO1108" s="10"/>
      <c r="BP1108" s="10"/>
      <c r="BQ1108" s="10"/>
      <c r="BR1108" s="10"/>
      <c r="BS1108" s="10"/>
      <c r="BT1108" s="10"/>
      <c r="BU1108" s="10"/>
    </row>
    <row r="1109" spans="1:73" ht="18" x14ac:dyDescent="0.35">
      <c r="A1109" s="43"/>
      <c r="C1109" s="393"/>
      <c r="E1109" s="394"/>
      <c r="F1109" s="394">
        <v>0</v>
      </c>
      <c r="G1109" s="394"/>
      <c r="H1109" s="8" t="s">
        <v>235</v>
      </c>
      <c r="I1109" s="368">
        <f t="shared" si="52"/>
        <v>0</v>
      </c>
      <c r="J1109" s="365">
        <f t="shared" si="51"/>
        <v>0</v>
      </c>
      <c r="K1109" s="369">
        <f t="shared" si="53"/>
        <v>6</v>
      </c>
      <c r="L1109" s="369">
        <f>+IF((C1109&gt;='Resultats - informe'!$E$16)*(C1109&lt;='Resultats - informe'!$G$16),1,0)</f>
        <v>1</v>
      </c>
      <c r="M1109" s="369" cm="1">
        <f t="array" ref="M1109">+_xlfn.IFS((C1109&gt;='Resultats - informe'!$D$26)*(C1109&lt;='Resultats - informe'!$E$26),0,(C1109&gt;='Resultats - informe'!$D$27)*(C1109&lt;='Resultats - informe'!$E$27),0,(C1109&gt;='Resultats - informe'!$D$28)*(C1109&lt;='Resultats - informe'!$E$28),0,(C1109&gt;='Resultats - informe'!$D$29)*(C1109&lt;='Resultats - informe'!$E$29),0,1,1)</f>
        <v>0</v>
      </c>
      <c r="N1109" s="366">
        <f>+VLOOKUP(D1109,'Resultats - informe'!$Y$18:$AG$42,'Introducció dades consum'!K1109+1,0)</f>
        <v>0</v>
      </c>
      <c r="O1109" s="370" cm="1">
        <f t="array" ref="O1109">+_xlfn.SWITCH(MONTH(C1109),1,1,2,1,3,1,4,2,5,2,6,3,7,3,8,3,9,3,10,2,11,2,12,1,2)</f>
        <v>1</v>
      </c>
      <c r="P1109" s="43"/>
      <c r="AS1109" s="10"/>
      <c r="AT1109" s="10"/>
      <c r="AU1109" s="10"/>
      <c r="AV1109" s="10"/>
      <c r="AW1109" s="10"/>
      <c r="AX1109" s="10"/>
      <c r="AY1109" s="10"/>
      <c r="AZ1109" s="10"/>
      <c r="BA1109" s="10"/>
      <c r="BB1109" s="10"/>
      <c r="BC1109" s="10"/>
      <c r="BD1109" s="10"/>
      <c r="BE1109" s="10"/>
      <c r="BF1109" s="10"/>
      <c r="BG1109" s="10"/>
      <c r="BH1109" s="10"/>
      <c r="BI1109" s="10"/>
      <c r="BJ1109" s="10"/>
      <c r="BK1109" s="10"/>
      <c r="BL1109" s="10"/>
      <c r="BM1109" s="10"/>
      <c r="BN1109" s="10"/>
      <c r="BO1109" s="10"/>
      <c r="BP1109" s="10"/>
      <c r="BQ1109" s="10"/>
      <c r="BR1109" s="10"/>
      <c r="BS1109" s="10"/>
      <c r="BT1109" s="10"/>
      <c r="BU1109" s="10"/>
    </row>
    <row r="1110" spans="1:73" ht="18" x14ac:dyDescent="0.35">
      <c r="A1110" s="43"/>
      <c r="C1110" s="393"/>
      <c r="E1110" s="394"/>
      <c r="F1110" s="394">
        <v>0</v>
      </c>
      <c r="G1110" s="394"/>
      <c r="H1110" s="8" t="s">
        <v>235</v>
      </c>
      <c r="I1110" s="368">
        <f t="shared" si="52"/>
        <v>0</v>
      </c>
      <c r="J1110" s="365">
        <f t="shared" si="51"/>
        <v>0</v>
      </c>
      <c r="K1110" s="369">
        <f t="shared" si="53"/>
        <v>6</v>
      </c>
      <c r="L1110" s="369">
        <f>+IF((C1110&gt;='Resultats - informe'!$E$16)*(C1110&lt;='Resultats - informe'!$G$16),1,0)</f>
        <v>1</v>
      </c>
      <c r="M1110" s="369" cm="1">
        <f t="array" ref="M1110">+_xlfn.IFS((C1110&gt;='Resultats - informe'!$D$26)*(C1110&lt;='Resultats - informe'!$E$26),0,(C1110&gt;='Resultats - informe'!$D$27)*(C1110&lt;='Resultats - informe'!$E$27),0,(C1110&gt;='Resultats - informe'!$D$28)*(C1110&lt;='Resultats - informe'!$E$28),0,(C1110&gt;='Resultats - informe'!$D$29)*(C1110&lt;='Resultats - informe'!$E$29),0,1,1)</f>
        <v>0</v>
      </c>
      <c r="N1110" s="366">
        <f>+VLOOKUP(D1110,'Resultats - informe'!$Y$18:$AG$42,'Introducció dades consum'!K1110+1,0)</f>
        <v>0</v>
      </c>
      <c r="O1110" s="370" cm="1">
        <f t="array" ref="O1110">+_xlfn.SWITCH(MONTH(C1110),1,1,2,1,3,1,4,2,5,2,6,3,7,3,8,3,9,3,10,2,11,2,12,1,2)</f>
        <v>1</v>
      </c>
      <c r="P1110" s="43"/>
      <c r="AS1110" s="10"/>
      <c r="AT1110" s="10"/>
      <c r="AU1110" s="10"/>
      <c r="AV1110" s="10"/>
      <c r="AW1110" s="10"/>
      <c r="AX1110" s="10"/>
      <c r="AY1110" s="10"/>
      <c r="AZ1110" s="10"/>
      <c r="BA1110" s="10"/>
      <c r="BB1110" s="10"/>
      <c r="BC1110" s="10"/>
      <c r="BD1110" s="10"/>
      <c r="BE1110" s="10"/>
      <c r="BF1110" s="10"/>
      <c r="BG1110" s="10"/>
      <c r="BH1110" s="10"/>
      <c r="BI1110" s="10"/>
      <c r="BJ1110" s="10"/>
      <c r="BK1110" s="10"/>
      <c r="BL1110" s="10"/>
      <c r="BM1110" s="10"/>
      <c r="BN1110" s="10"/>
      <c r="BO1110" s="10"/>
      <c r="BP1110" s="10"/>
      <c r="BQ1110" s="10"/>
      <c r="BR1110" s="10"/>
      <c r="BS1110" s="10"/>
      <c r="BT1110" s="10"/>
      <c r="BU1110" s="10"/>
    </row>
    <row r="1111" spans="1:73" ht="18" x14ac:dyDescent="0.35">
      <c r="A1111" s="43"/>
      <c r="C1111" s="393"/>
      <c r="E1111" s="394"/>
      <c r="F1111" s="394">
        <v>0</v>
      </c>
      <c r="G1111" s="394"/>
      <c r="H1111" s="8" t="s">
        <v>235</v>
      </c>
      <c r="I1111" s="368">
        <f t="shared" si="52"/>
        <v>0</v>
      </c>
      <c r="J1111" s="365">
        <f t="shared" si="51"/>
        <v>0</v>
      </c>
      <c r="K1111" s="369">
        <f t="shared" si="53"/>
        <v>6</v>
      </c>
      <c r="L1111" s="369">
        <f>+IF((C1111&gt;='Resultats - informe'!$E$16)*(C1111&lt;='Resultats - informe'!$G$16),1,0)</f>
        <v>1</v>
      </c>
      <c r="M1111" s="369" cm="1">
        <f t="array" ref="M1111">+_xlfn.IFS((C1111&gt;='Resultats - informe'!$D$26)*(C1111&lt;='Resultats - informe'!$E$26),0,(C1111&gt;='Resultats - informe'!$D$27)*(C1111&lt;='Resultats - informe'!$E$27),0,(C1111&gt;='Resultats - informe'!$D$28)*(C1111&lt;='Resultats - informe'!$E$28),0,(C1111&gt;='Resultats - informe'!$D$29)*(C1111&lt;='Resultats - informe'!$E$29),0,1,1)</f>
        <v>0</v>
      </c>
      <c r="N1111" s="366">
        <f>+VLOOKUP(D1111,'Resultats - informe'!$Y$18:$AG$42,'Introducció dades consum'!K1111+1,0)</f>
        <v>0</v>
      </c>
      <c r="O1111" s="370" cm="1">
        <f t="array" ref="O1111">+_xlfn.SWITCH(MONTH(C1111),1,1,2,1,3,1,4,2,5,2,6,3,7,3,8,3,9,3,10,2,11,2,12,1,2)</f>
        <v>1</v>
      </c>
      <c r="P1111" s="43"/>
      <c r="AS1111" s="10"/>
      <c r="AT1111" s="10"/>
      <c r="AU1111" s="10"/>
      <c r="AV1111" s="10"/>
      <c r="AW1111" s="10"/>
      <c r="AX1111" s="10"/>
      <c r="AY1111" s="10"/>
      <c r="AZ1111" s="10"/>
      <c r="BA1111" s="10"/>
      <c r="BB1111" s="10"/>
      <c r="BC1111" s="10"/>
      <c r="BD1111" s="10"/>
      <c r="BE1111" s="10"/>
      <c r="BF1111" s="10"/>
      <c r="BG1111" s="10"/>
      <c r="BH1111" s="10"/>
      <c r="BI1111" s="10"/>
      <c r="BJ1111" s="10"/>
      <c r="BK1111" s="10"/>
      <c r="BL1111" s="10"/>
      <c r="BM1111" s="10"/>
      <c r="BN1111" s="10"/>
      <c r="BO1111" s="10"/>
      <c r="BP1111" s="10"/>
      <c r="BQ1111" s="10"/>
      <c r="BR1111" s="10"/>
      <c r="BS1111" s="10"/>
      <c r="BT1111" s="10"/>
      <c r="BU1111" s="10"/>
    </row>
    <row r="1112" spans="1:73" ht="18" x14ac:dyDescent="0.35">
      <c r="A1112" s="43"/>
      <c r="C1112" s="393"/>
      <c r="E1112" s="394"/>
      <c r="F1112" s="394">
        <v>0</v>
      </c>
      <c r="G1112" s="394"/>
      <c r="H1112" s="8" t="s">
        <v>235</v>
      </c>
      <c r="I1112" s="368">
        <f t="shared" si="52"/>
        <v>0</v>
      </c>
      <c r="J1112" s="365">
        <f t="shared" si="51"/>
        <v>0</v>
      </c>
      <c r="K1112" s="369">
        <f t="shared" si="53"/>
        <v>6</v>
      </c>
      <c r="L1112" s="369">
        <f>+IF((C1112&gt;='Resultats - informe'!$E$16)*(C1112&lt;='Resultats - informe'!$G$16),1,0)</f>
        <v>1</v>
      </c>
      <c r="M1112" s="369" cm="1">
        <f t="array" ref="M1112">+_xlfn.IFS((C1112&gt;='Resultats - informe'!$D$26)*(C1112&lt;='Resultats - informe'!$E$26),0,(C1112&gt;='Resultats - informe'!$D$27)*(C1112&lt;='Resultats - informe'!$E$27),0,(C1112&gt;='Resultats - informe'!$D$28)*(C1112&lt;='Resultats - informe'!$E$28),0,(C1112&gt;='Resultats - informe'!$D$29)*(C1112&lt;='Resultats - informe'!$E$29),0,1,1)</f>
        <v>0</v>
      </c>
      <c r="N1112" s="366">
        <f>+VLOOKUP(D1112,'Resultats - informe'!$Y$18:$AG$42,'Introducció dades consum'!K1112+1,0)</f>
        <v>0</v>
      </c>
      <c r="O1112" s="370" cm="1">
        <f t="array" ref="O1112">+_xlfn.SWITCH(MONTH(C1112),1,1,2,1,3,1,4,2,5,2,6,3,7,3,8,3,9,3,10,2,11,2,12,1,2)</f>
        <v>1</v>
      </c>
      <c r="P1112" s="43"/>
      <c r="AS1112" s="10"/>
      <c r="AT1112" s="10"/>
      <c r="AU1112" s="10"/>
      <c r="AV1112" s="10"/>
      <c r="AW1112" s="10"/>
      <c r="AX1112" s="10"/>
      <c r="AY1112" s="10"/>
      <c r="AZ1112" s="10"/>
      <c r="BA1112" s="10"/>
      <c r="BB1112" s="10"/>
      <c r="BC1112" s="10"/>
      <c r="BD1112" s="10"/>
      <c r="BE1112" s="10"/>
      <c r="BF1112" s="10"/>
      <c r="BG1112" s="10"/>
      <c r="BH1112" s="10"/>
      <c r="BI1112" s="10"/>
      <c r="BJ1112" s="10"/>
      <c r="BK1112" s="10"/>
      <c r="BL1112" s="10"/>
      <c r="BM1112" s="10"/>
      <c r="BN1112" s="10"/>
      <c r="BO1112" s="10"/>
      <c r="BP1112" s="10"/>
      <c r="BQ1112" s="10"/>
      <c r="BR1112" s="10"/>
      <c r="BS1112" s="10"/>
      <c r="BT1112" s="10"/>
      <c r="BU1112" s="10"/>
    </row>
    <row r="1113" spans="1:73" ht="18" x14ac:dyDescent="0.35">
      <c r="A1113" s="43"/>
      <c r="C1113" s="393"/>
      <c r="E1113" s="394"/>
      <c r="F1113" s="394">
        <v>0</v>
      </c>
      <c r="G1113" s="394"/>
      <c r="H1113" s="8" t="s">
        <v>235</v>
      </c>
      <c r="I1113" s="368">
        <f t="shared" si="52"/>
        <v>0</v>
      </c>
      <c r="J1113" s="365">
        <f t="shared" si="51"/>
        <v>0</v>
      </c>
      <c r="K1113" s="369">
        <f t="shared" si="53"/>
        <v>6</v>
      </c>
      <c r="L1113" s="369">
        <f>+IF((C1113&gt;='Resultats - informe'!$E$16)*(C1113&lt;='Resultats - informe'!$G$16),1,0)</f>
        <v>1</v>
      </c>
      <c r="M1113" s="369" cm="1">
        <f t="array" ref="M1113">+_xlfn.IFS((C1113&gt;='Resultats - informe'!$D$26)*(C1113&lt;='Resultats - informe'!$E$26),0,(C1113&gt;='Resultats - informe'!$D$27)*(C1113&lt;='Resultats - informe'!$E$27),0,(C1113&gt;='Resultats - informe'!$D$28)*(C1113&lt;='Resultats - informe'!$E$28),0,(C1113&gt;='Resultats - informe'!$D$29)*(C1113&lt;='Resultats - informe'!$E$29),0,1,1)</f>
        <v>0</v>
      </c>
      <c r="N1113" s="366">
        <f>+VLOOKUP(D1113,'Resultats - informe'!$Y$18:$AG$42,'Introducció dades consum'!K1113+1,0)</f>
        <v>0</v>
      </c>
      <c r="O1113" s="370" cm="1">
        <f t="array" ref="O1113">+_xlfn.SWITCH(MONTH(C1113),1,1,2,1,3,1,4,2,5,2,6,3,7,3,8,3,9,3,10,2,11,2,12,1,2)</f>
        <v>1</v>
      </c>
      <c r="P1113" s="43"/>
      <c r="AS1113" s="10"/>
      <c r="AT1113" s="10"/>
      <c r="AU1113" s="10"/>
      <c r="AV1113" s="10"/>
      <c r="AW1113" s="10"/>
      <c r="AX1113" s="10"/>
      <c r="AY1113" s="10"/>
      <c r="AZ1113" s="10"/>
      <c r="BA1113" s="10"/>
      <c r="BB1113" s="10"/>
      <c r="BC1113" s="10"/>
      <c r="BD1113" s="10"/>
      <c r="BE1113" s="10"/>
      <c r="BF1113" s="10"/>
      <c r="BG1113" s="10"/>
      <c r="BH1113" s="10"/>
      <c r="BI1113" s="10"/>
      <c r="BJ1113" s="10"/>
      <c r="BK1113" s="10"/>
      <c r="BL1113" s="10"/>
      <c r="BM1113" s="10"/>
      <c r="BN1113" s="10"/>
      <c r="BO1113" s="10"/>
      <c r="BP1113" s="10"/>
      <c r="BQ1113" s="10"/>
      <c r="BR1113" s="10"/>
      <c r="BS1113" s="10"/>
      <c r="BT1113" s="10"/>
      <c r="BU1113" s="10"/>
    </row>
    <row r="1114" spans="1:73" ht="18" x14ac:dyDescent="0.35">
      <c r="A1114" s="43"/>
      <c r="C1114" s="393"/>
      <c r="E1114" s="394"/>
      <c r="F1114" s="394">
        <v>0</v>
      </c>
      <c r="G1114" s="394"/>
      <c r="H1114" s="8" t="s">
        <v>235</v>
      </c>
      <c r="I1114" s="368">
        <f t="shared" si="52"/>
        <v>0</v>
      </c>
      <c r="J1114" s="365">
        <f t="shared" si="51"/>
        <v>0</v>
      </c>
      <c r="K1114" s="369">
        <f t="shared" si="53"/>
        <v>6</v>
      </c>
      <c r="L1114" s="369">
        <f>+IF((C1114&gt;='Resultats - informe'!$E$16)*(C1114&lt;='Resultats - informe'!$G$16),1,0)</f>
        <v>1</v>
      </c>
      <c r="M1114" s="369" cm="1">
        <f t="array" ref="M1114">+_xlfn.IFS((C1114&gt;='Resultats - informe'!$D$26)*(C1114&lt;='Resultats - informe'!$E$26),0,(C1114&gt;='Resultats - informe'!$D$27)*(C1114&lt;='Resultats - informe'!$E$27),0,(C1114&gt;='Resultats - informe'!$D$28)*(C1114&lt;='Resultats - informe'!$E$28),0,(C1114&gt;='Resultats - informe'!$D$29)*(C1114&lt;='Resultats - informe'!$E$29),0,1,1)</f>
        <v>0</v>
      </c>
      <c r="N1114" s="366">
        <f>+VLOOKUP(D1114,'Resultats - informe'!$Y$18:$AG$42,'Introducció dades consum'!K1114+1,0)</f>
        <v>0</v>
      </c>
      <c r="O1114" s="370" cm="1">
        <f t="array" ref="O1114">+_xlfn.SWITCH(MONTH(C1114),1,1,2,1,3,1,4,2,5,2,6,3,7,3,8,3,9,3,10,2,11,2,12,1,2)</f>
        <v>1</v>
      </c>
      <c r="P1114" s="43"/>
      <c r="AS1114" s="10"/>
      <c r="AT1114" s="10"/>
      <c r="AU1114" s="10"/>
      <c r="AV1114" s="10"/>
      <c r="AW1114" s="10"/>
      <c r="AX1114" s="10"/>
      <c r="AY1114" s="10"/>
      <c r="AZ1114" s="10"/>
      <c r="BA1114" s="10"/>
      <c r="BB1114" s="10"/>
      <c r="BC1114" s="10"/>
      <c r="BD1114" s="10"/>
      <c r="BE1114" s="10"/>
      <c r="BF1114" s="10"/>
      <c r="BG1114" s="10"/>
      <c r="BH1114" s="10"/>
      <c r="BI1114" s="10"/>
      <c r="BJ1114" s="10"/>
      <c r="BK1114" s="10"/>
      <c r="BL1114" s="10"/>
      <c r="BM1114" s="10"/>
      <c r="BN1114" s="10"/>
      <c r="BO1114" s="10"/>
      <c r="BP1114" s="10"/>
      <c r="BQ1114" s="10"/>
      <c r="BR1114" s="10"/>
      <c r="BS1114" s="10"/>
      <c r="BT1114" s="10"/>
      <c r="BU1114" s="10"/>
    </row>
    <row r="1115" spans="1:73" ht="18" x14ac:dyDescent="0.35">
      <c r="A1115" s="43"/>
      <c r="C1115" s="393"/>
      <c r="E1115" s="394"/>
      <c r="F1115" s="394">
        <v>0</v>
      </c>
      <c r="G1115" s="394"/>
      <c r="H1115" s="8" t="s">
        <v>235</v>
      </c>
      <c r="I1115" s="368">
        <f t="shared" si="52"/>
        <v>0</v>
      </c>
      <c r="J1115" s="365">
        <f t="shared" si="51"/>
        <v>0</v>
      </c>
      <c r="K1115" s="369">
        <f t="shared" si="53"/>
        <v>6</v>
      </c>
      <c r="L1115" s="369">
        <f>+IF((C1115&gt;='Resultats - informe'!$E$16)*(C1115&lt;='Resultats - informe'!$G$16),1,0)</f>
        <v>1</v>
      </c>
      <c r="M1115" s="369" cm="1">
        <f t="array" ref="M1115">+_xlfn.IFS((C1115&gt;='Resultats - informe'!$D$26)*(C1115&lt;='Resultats - informe'!$E$26),0,(C1115&gt;='Resultats - informe'!$D$27)*(C1115&lt;='Resultats - informe'!$E$27),0,(C1115&gt;='Resultats - informe'!$D$28)*(C1115&lt;='Resultats - informe'!$E$28),0,(C1115&gt;='Resultats - informe'!$D$29)*(C1115&lt;='Resultats - informe'!$E$29),0,1,1)</f>
        <v>0</v>
      </c>
      <c r="N1115" s="366">
        <f>+VLOOKUP(D1115,'Resultats - informe'!$Y$18:$AG$42,'Introducció dades consum'!K1115+1,0)</f>
        <v>0</v>
      </c>
      <c r="O1115" s="370" cm="1">
        <f t="array" ref="O1115">+_xlfn.SWITCH(MONTH(C1115),1,1,2,1,3,1,4,2,5,2,6,3,7,3,8,3,9,3,10,2,11,2,12,1,2)</f>
        <v>1</v>
      </c>
      <c r="P1115" s="43"/>
      <c r="AS1115" s="10"/>
      <c r="AT1115" s="10"/>
      <c r="AU1115" s="10"/>
      <c r="AV1115" s="10"/>
      <c r="AW1115" s="10"/>
      <c r="AX1115" s="10"/>
      <c r="AY1115" s="10"/>
      <c r="AZ1115" s="10"/>
      <c r="BA1115" s="10"/>
      <c r="BB1115" s="10"/>
      <c r="BC1115" s="10"/>
      <c r="BD1115" s="10"/>
      <c r="BE1115" s="10"/>
      <c r="BF1115" s="10"/>
      <c r="BG1115" s="10"/>
      <c r="BH1115" s="10"/>
      <c r="BI1115" s="10"/>
      <c r="BJ1115" s="10"/>
      <c r="BK1115" s="10"/>
      <c r="BL1115" s="10"/>
      <c r="BM1115" s="10"/>
      <c r="BN1115" s="10"/>
      <c r="BO1115" s="10"/>
      <c r="BP1115" s="10"/>
      <c r="BQ1115" s="10"/>
      <c r="BR1115" s="10"/>
      <c r="BS1115" s="10"/>
      <c r="BT1115" s="10"/>
      <c r="BU1115" s="10"/>
    </row>
    <row r="1116" spans="1:73" ht="18" x14ac:dyDescent="0.35">
      <c r="A1116" s="43"/>
      <c r="C1116" s="393"/>
      <c r="E1116" s="394"/>
      <c r="F1116" s="394">
        <v>0</v>
      </c>
      <c r="G1116" s="394"/>
      <c r="H1116" s="8" t="s">
        <v>235</v>
      </c>
      <c r="I1116" s="368">
        <f t="shared" si="52"/>
        <v>0</v>
      </c>
      <c r="J1116" s="365">
        <f t="shared" si="51"/>
        <v>0</v>
      </c>
      <c r="K1116" s="369">
        <f t="shared" si="53"/>
        <v>6</v>
      </c>
      <c r="L1116" s="369">
        <f>+IF((C1116&gt;='Resultats - informe'!$E$16)*(C1116&lt;='Resultats - informe'!$G$16),1,0)</f>
        <v>1</v>
      </c>
      <c r="M1116" s="369" cm="1">
        <f t="array" ref="M1116">+_xlfn.IFS((C1116&gt;='Resultats - informe'!$D$26)*(C1116&lt;='Resultats - informe'!$E$26),0,(C1116&gt;='Resultats - informe'!$D$27)*(C1116&lt;='Resultats - informe'!$E$27),0,(C1116&gt;='Resultats - informe'!$D$28)*(C1116&lt;='Resultats - informe'!$E$28),0,(C1116&gt;='Resultats - informe'!$D$29)*(C1116&lt;='Resultats - informe'!$E$29),0,1,1)</f>
        <v>0</v>
      </c>
      <c r="N1116" s="366">
        <f>+VLOOKUP(D1116,'Resultats - informe'!$Y$18:$AG$42,'Introducció dades consum'!K1116+1,0)</f>
        <v>0</v>
      </c>
      <c r="O1116" s="370" cm="1">
        <f t="array" ref="O1116">+_xlfn.SWITCH(MONTH(C1116),1,1,2,1,3,1,4,2,5,2,6,3,7,3,8,3,9,3,10,2,11,2,12,1,2)</f>
        <v>1</v>
      </c>
      <c r="P1116" s="43"/>
      <c r="AS1116" s="10"/>
      <c r="AT1116" s="10"/>
      <c r="AU1116" s="10"/>
      <c r="AV1116" s="10"/>
      <c r="AW1116" s="10"/>
      <c r="AX1116" s="10"/>
      <c r="AY1116" s="10"/>
      <c r="AZ1116" s="10"/>
      <c r="BA1116" s="10"/>
      <c r="BB1116" s="10"/>
      <c r="BC1116" s="10"/>
      <c r="BD1116" s="10"/>
      <c r="BE1116" s="10"/>
      <c r="BF1116" s="10"/>
      <c r="BG1116" s="10"/>
      <c r="BH1116" s="10"/>
      <c r="BI1116" s="10"/>
      <c r="BJ1116" s="10"/>
      <c r="BK1116" s="10"/>
      <c r="BL1116" s="10"/>
      <c r="BM1116" s="10"/>
      <c r="BN1116" s="10"/>
      <c r="BO1116" s="10"/>
      <c r="BP1116" s="10"/>
      <c r="BQ1116" s="10"/>
      <c r="BR1116" s="10"/>
      <c r="BS1116" s="10"/>
      <c r="BT1116" s="10"/>
      <c r="BU1116" s="10"/>
    </row>
    <row r="1117" spans="1:73" ht="18" x14ac:dyDescent="0.35">
      <c r="A1117" s="43"/>
      <c r="C1117" s="393"/>
      <c r="E1117" s="394"/>
      <c r="F1117" s="394">
        <v>0.89</v>
      </c>
      <c r="G1117" s="394"/>
      <c r="H1117" s="8" t="s">
        <v>235</v>
      </c>
      <c r="I1117" s="368">
        <f t="shared" si="52"/>
        <v>0</v>
      </c>
      <c r="J1117" s="365">
        <f t="shared" si="51"/>
        <v>0</v>
      </c>
      <c r="K1117" s="369">
        <f t="shared" si="53"/>
        <v>6</v>
      </c>
      <c r="L1117" s="369">
        <f>+IF((C1117&gt;='Resultats - informe'!$E$16)*(C1117&lt;='Resultats - informe'!$G$16),1,0)</f>
        <v>1</v>
      </c>
      <c r="M1117" s="369" cm="1">
        <f t="array" ref="M1117">+_xlfn.IFS((C1117&gt;='Resultats - informe'!$D$26)*(C1117&lt;='Resultats - informe'!$E$26),0,(C1117&gt;='Resultats - informe'!$D$27)*(C1117&lt;='Resultats - informe'!$E$27),0,(C1117&gt;='Resultats - informe'!$D$28)*(C1117&lt;='Resultats - informe'!$E$28),0,(C1117&gt;='Resultats - informe'!$D$29)*(C1117&lt;='Resultats - informe'!$E$29),0,1,1)</f>
        <v>0</v>
      </c>
      <c r="N1117" s="366">
        <f>+VLOOKUP(D1117,'Resultats - informe'!$Y$18:$AG$42,'Introducció dades consum'!K1117+1,0)</f>
        <v>0</v>
      </c>
      <c r="O1117" s="370" cm="1">
        <f t="array" ref="O1117">+_xlfn.SWITCH(MONTH(C1117),1,1,2,1,3,1,4,2,5,2,6,3,7,3,8,3,9,3,10,2,11,2,12,1,2)</f>
        <v>1</v>
      </c>
      <c r="P1117" s="43"/>
      <c r="AS1117" s="10"/>
      <c r="AT1117" s="10"/>
      <c r="AU1117" s="10"/>
      <c r="AV1117" s="10"/>
      <c r="AW1117" s="10"/>
      <c r="AX1117" s="10"/>
      <c r="AY1117" s="10"/>
      <c r="AZ1117" s="10"/>
      <c r="BA1117" s="10"/>
      <c r="BB1117" s="10"/>
      <c r="BC1117" s="10"/>
      <c r="BD1117" s="10"/>
      <c r="BE1117" s="10"/>
      <c r="BF1117" s="10"/>
      <c r="BG1117" s="10"/>
      <c r="BH1117" s="10"/>
      <c r="BI1117" s="10"/>
      <c r="BJ1117" s="10"/>
      <c r="BK1117" s="10"/>
      <c r="BL1117" s="10"/>
      <c r="BM1117" s="10"/>
      <c r="BN1117" s="10"/>
      <c r="BO1117" s="10"/>
      <c r="BP1117" s="10"/>
      <c r="BQ1117" s="10"/>
      <c r="BR1117" s="10"/>
      <c r="BS1117" s="10"/>
      <c r="BT1117" s="10"/>
      <c r="BU1117" s="10"/>
    </row>
    <row r="1118" spans="1:73" ht="18" x14ac:dyDescent="0.35">
      <c r="A1118" s="43"/>
      <c r="C1118" s="393"/>
      <c r="E1118" s="394"/>
      <c r="F1118" s="394">
        <v>1.4630000000000001</v>
      </c>
      <c r="G1118" s="394"/>
      <c r="H1118" s="8" t="s">
        <v>235</v>
      </c>
      <c r="I1118" s="368">
        <f t="shared" si="52"/>
        <v>0</v>
      </c>
      <c r="J1118" s="365">
        <f t="shared" si="51"/>
        <v>0</v>
      </c>
      <c r="K1118" s="369">
        <f t="shared" si="53"/>
        <v>6</v>
      </c>
      <c r="L1118" s="369">
        <f>+IF((C1118&gt;='Resultats - informe'!$E$16)*(C1118&lt;='Resultats - informe'!$G$16),1,0)</f>
        <v>1</v>
      </c>
      <c r="M1118" s="369" cm="1">
        <f t="array" ref="M1118">+_xlfn.IFS((C1118&gt;='Resultats - informe'!$D$26)*(C1118&lt;='Resultats - informe'!$E$26),0,(C1118&gt;='Resultats - informe'!$D$27)*(C1118&lt;='Resultats - informe'!$E$27),0,(C1118&gt;='Resultats - informe'!$D$28)*(C1118&lt;='Resultats - informe'!$E$28),0,(C1118&gt;='Resultats - informe'!$D$29)*(C1118&lt;='Resultats - informe'!$E$29),0,1,1)</f>
        <v>0</v>
      </c>
      <c r="N1118" s="366">
        <f>+VLOOKUP(D1118,'Resultats - informe'!$Y$18:$AG$42,'Introducció dades consum'!K1118+1,0)</f>
        <v>0</v>
      </c>
      <c r="O1118" s="370" cm="1">
        <f t="array" ref="O1118">+_xlfn.SWITCH(MONTH(C1118),1,1,2,1,3,1,4,2,5,2,6,3,7,3,8,3,9,3,10,2,11,2,12,1,2)</f>
        <v>1</v>
      </c>
      <c r="P1118" s="43"/>
      <c r="AS1118" s="10"/>
      <c r="AT1118" s="10"/>
      <c r="AU1118" s="10"/>
      <c r="AV1118" s="10"/>
      <c r="AW1118" s="10"/>
      <c r="AX1118" s="10"/>
      <c r="AY1118" s="10"/>
      <c r="AZ1118" s="10"/>
      <c r="BA1118" s="10"/>
      <c r="BB1118" s="10"/>
      <c r="BC1118" s="10"/>
      <c r="BD1118" s="10"/>
      <c r="BE1118" s="10"/>
      <c r="BF1118" s="10"/>
      <c r="BG1118" s="10"/>
      <c r="BH1118" s="10"/>
      <c r="BI1118" s="10"/>
      <c r="BJ1118" s="10"/>
      <c r="BK1118" s="10"/>
      <c r="BL1118" s="10"/>
      <c r="BM1118" s="10"/>
      <c r="BN1118" s="10"/>
      <c r="BO1118" s="10"/>
      <c r="BP1118" s="10"/>
      <c r="BQ1118" s="10"/>
      <c r="BR1118" s="10"/>
      <c r="BS1118" s="10"/>
      <c r="BT1118" s="10"/>
      <c r="BU1118" s="10"/>
    </row>
    <row r="1119" spans="1:73" ht="18" x14ac:dyDescent="0.35">
      <c r="A1119" s="43"/>
      <c r="C1119" s="393"/>
      <c r="E1119" s="394"/>
      <c r="F1119" s="394">
        <v>1.4319999999999999</v>
      </c>
      <c r="G1119" s="394"/>
      <c r="H1119" s="8" t="s">
        <v>61</v>
      </c>
      <c r="I1119" s="368">
        <f t="shared" si="52"/>
        <v>0</v>
      </c>
      <c r="J1119" s="365">
        <f t="shared" si="51"/>
        <v>0</v>
      </c>
      <c r="K1119" s="369">
        <f t="shared" si="53"/>
        <v>6</v>
      </c>
      <c r="L1119" s="369">
        <f>+IF((C1119&gt;='Resultats - informe'!$E$16)*(C1119&lt;='Resultats - informe'!$G$16),1,0)</f>
        <v>1</v>
      </c>
      <c r="M1119" s="369" cm="1">
        <f t="array" ref="M1119">+_xlfn.IFS((C1119&gt;='Resultats - informe'!$D$26)*(C1119&lt;='Resultats - informe'!$E$26),0,(C1119&gt;='Resultats - informe'!$D$27)*(C1119&lt;='Resultats - informe'!$E$27),0,(C1119&gt;='Resultats - informe'!$D$28)*(C1119&lt;='Resultats - informe'!$E$28),0,(C1119&gt;='Resultats - informe'!$D$29)*(C1119&lt;='Resultats - informe'!$E$29),0,1,1)</f>
        <v>0</v>
      </c>
      <c r="N1119" s="366">
        <f>+VLOOKUP(D1119,'Resultats - informe'!$Y$18:$AG$42,'Introducció dades consum'!K1119+1,0)</f>
        <v>0</v>
      </c>
      <c r="O1119" s="370" cm="1">
        <f t="array" ref="O1119">+_xlfn.SWITCH(MONTH(C1119),1,1,2,1,3,1,4,2,5,2,6,3,7,3,8,3,9,3,10,2,11,2,12,1,2)</f>
        <v>1</v>
      </c>
      <c r="P1119" s="43"/>
      <c r="AS1119" s="10"/>
      <c r="AT1119" s="10"/>
      <c r="AU1119" s="10"/>
      <c r="AV1119" s="10"/>
      <c r="AW1119" s="10"/>
      <c r="AX1119" s="10"/>
      <c r="AY1119" s="10"/>
      <c r="AZ1119" s="10"/>
      <c r="BA1119" s="10"/>
      <c r="BB1119" s="10"/>
      <c r="BC1119" s="10"/>
      <c r="BD1119" s="10"/>
      <c r="BE1119" s="10"/>
      <c r="BF1119" s="10"/>
      <c r="BG1119" s="10"/>
      <c r="BH1119" s="10"/>
      <c r="BI1119" s="10"/>
      <c r="BJ1119" s="10"/>
      <c r="BK1119" s="10"/>
      <c r="BL1119" s="10"/>
      <c r="BM1119" s="10"/>
      <c r="BN1119" s="10"/>
      <c r="BO1119" s="10"/>
      <c r="BP1119" s="10"/>
      <c r="BQ1119" s="10"/>
      <c r="BR1119" s="10"/>
      <c r="BS1119" s="10"/>
      <c r="BT1119" s="10"/>
      <c r="BU1119" s="10"/>
    </row>
    <row r="1120" spans="1:73" ht="18" x14ac:dyDescent="0.35">
      <c r="A1120" s="43"/>
      <c r="C1120" s="393"/>
      <c r="E1120" s="394"/>
      <c r="F1120" s="394">
        <v>2.323</v>
      </c>
      <c r="G1120" s="394"/>
      <c r="H1120" s="8" t="s">
        <v>61</v>
      </c>
      <c r="I1120" s="368">
        <f t="shared" si="52"/>
        <v>0</v>
      </c>
      <c r="J1120" s="365">
        <f t="shared" si="51"/>
        <v>0</v>
      </c>
      <c r="K1120" s="369">
        <f t="shared" si="53"/>
        <v>6</v>
      </c>
      <c r="L1120" s="369">
        <f>+IF((C1120&gt;='Resultats - informe'!$E$16)*(C1120&lt;='Resultats - informe'!$G$16),1,0)</f>
        <v>1</v>
      </c>
      <c r="M1120" s="369" cm="1">
        <f t="array" ref="M1120">+_xlfn.IFS((C1120&gt;='Resultats - informe'!$D$26)*(C1120&lt;='Resultats - informe'!$E$26),0,(C1120&gt;='Resultats - informe'!$D$27)*(C1120&lt;='Resultats - informe'!$E$27),0,(C1120&gt;='Resultats - informe'!$D$28)*(C1120&lt;='Resultats - informe'!$E$28),0,(C1120&gt;='Resultats - informe'!$D$29)*(C1120&lt;='Resultats - informe'!$E$29),0,1,1)</f>
        <v>0</v>
      </c>
      <c r="N1120" s="366">
        <f>+VLOOKUP(D1120,'Resultats - informe'!$Y$18:$AG$42,'Introducció dades consum'!K1120+1,0)</f>
        <v>0</v>
      </c>
      <c r="O1120" s="370" cm="1">
        <f t="array" ref="O1120">+_xlfn.SWITCH(MONTH(C1120),1,1,2,1,3,1,4,2,5,2,6,3,7,3,8,3,9,3,10,2,11,2,12,1,2)</f>
        <v>1</v>
      </c>
      <c r="P1120" s="43"/>
      <c r="AS1120" s="10"/>
      <c r="AT1120" s="10"/>
      <c r="AU1120" s="10"/>
      <c r="AV1120" s="10"/>
      <c r="AW1120" s="10"/>
      <c r="AX1120" s="10"/>
      <c r="AY1120" s="10"/>
      <c r="AZ1120" s="10"/>
      <c r="BA1120" s="10"/>
      <c r="BB1120" s="10"/>
      <c r="BC1120" s="10"/>
      <c r="BD1120" s="10"/>
      <c r="BE1120" s="10"/>
      <c r="BF1120" s="10"/>
      <c r="BG1120" s="10"/>
      <c r="BH1120" s="10"/>
      <c r="BI1120" s="10"/>
      <c r="BJ1120" s="10"/>
      <c r="BK1120" s="10"/>
      <c r="BL1120" s="10"/>
      <c r="BM1120" s="10"/>
      <c r="BN1120" s="10"/>
      <c r="BO1120" s="10"/>
      <c r="BP1120" s="10"/>
      <c r="BQ1120" s="10"/>
      <c r="BR1120" s="10"/>
      <c r="BS1120" s="10"/>
      <c r="BT1120" s="10"/>
      <c r="BU1120" s="10"/>
    </row>
    <row r="1121" spans="1:73" ht="18" x14ac:dyDescent="0.35">
      <c r="A1121" s="43"/>
      <c r="C1121" s="393"/>
      <c r="E1121" s="394"/>
      <c r="F1121" s="394">
        <v>5.3310000000000004</v>
      </c>
      <c r="G1121" s="394"/>
      <c r="H1121" s="8" t="s">
        <v>61</v>
      </c>
      <c r="I1121" s="368">
        <f t="shared" si="52"/>
        <v>0</v>
      </c>
      <c r="J1121" s="365">
        <f t="shared" si="51"/>
        <v>0</v>
      </c>
      <c r="K1121" s="369">
        <f t="shared" si="53"/>
        <v>6</v>
      </c>
      <c r="L1121" s="369">
        <f>+IF((C1121&gt;='Resultats - informe'!$E$16)*(C1121&lt;='Resultats - informe'!$G$16),1,0)</f>
        <v>1</v>
      </c>
      <c r="M1121" s="369" cm="1">
        <f t="array" ref="M1121">+_xlfn.IFS((C1121&gt;='Resultats - informe'!$D$26)*(C1121&lt;='Resultats - informe'!$E$26),0,(C1121&gt;='Resultats - informe'!$D$27)*(C1121&lt;='Resultats - informe'!$E$27),0,(C1121&gt;='Resultats - informe'!$D$28)*(C1121&lt;='Resultats - informe'!$E$28),0,(C1121&gt;='Resultats - informe'!$D$29)*(C1121&lt;='Resultats - informe'!$E$29),0,1,1)</f>
        <v>0</v>
      </c>
      <c r="N1121" s="366">
        <f>+VLOOKUP(D1121,'Resultats - informe'!$Y$18:$AG$42,'Introducció dades consum'!K1121+1,0)</f>
        <v>0</v>
      </c>
      <c r="O1121" s="370" cm="1">
        <f t="array" ref="O1121">+_xlfn.SWITCH(MONTH(C1121),1,1,2,1,3,1,4,2,5,2,6,3,7,3,8,3,9,3,10,2,11,2,12,1,2)</f>
        <v>1</v>
      </c>
      <c r="P1121" s="43"/>
      <c r="AS1121" s="10"/>
      <c r="AT1121" s="10"/>
      <c r="AU1121" s="10"/>
      <c r="AV1121" s="10"/>
      <c r="AW1121" s="10"/>
      <c r="AX1121" s="10"/>
      <c r="AY1121" s="10"/>
      <c r="AZ1121" s="10"/>
      <c r="BA1121" s="10"/>
      <c r="BB1121" s="10"/>
      <c r="BC1121" s="10"/>
      <c r="BD1121" s="10"/>
      <c r="BE1121" s="10"/>
      <c r="BF1121" s="10"/>
      <c r="BG1121" s="10"/>
      <c r="BH1121" s="10"/>
      <c r="BI1121" s="10"/>
      <c r="BJ1121" s="10"/>
      <c r="BK1121" s="10"/>
      <c r="BL1121" s="10"/>
      <c r="BM1121" s="10"/>
      <c r="BN1121" s="10"/>
      <c r="BO1121" s="10"/>
      <c r="BP1121" s="10"/>
      <c r="BQ1121" s="10"/>
      <c r="BR1121" s="10"/>
      <c r="BS1121" s="10"/>
      <c r="BT1121" s="10"/>
      <c r="BU1121" s="10"/>
    </row>
    <row r="1122" spans="1:73" ht="18" x14ac:dyDescent="0.35">
      <c r="A1122" s="43"/>
      <c r="C1122" s="393"/>
      <c r="E1122" s="394"/>
      <c r="F1122" s="394">
        <v>6.4119999999999999</v>
      </c>
      <c r="G1122" s="394"/>
      <c r="H1122" s="8" t="s">
        <v>61</v>
      </c>
      <c r="I1122" s="368">
        <f t="shared" si="52"/>
        <v>0</v>
      </c>
      <c r="J1122" s="365">
        <f t="shared" si="51"/>
        <v>0</v>
      </c>
      <c r="K1122" s="369">
        <f t="shared" si="53"/>
        <v>6</v>
      </c>
      <c r="L1122" s="369">
        <f>+IF((C1122&gt;='Resultats - informe'!$E$16)*(C1122&lt;='Resultats - informe'!$G$16),1,0)</f>
        <v>1</v>
      </c>
      <c r="M1122" s="369" cm="1">
        <f t="array" ref="M1122">+_xlfn.IFS((C1122&gt;='Resultats - informe'!$D$26)*(C1122&lt;='Resultats - informe'!$E$26),0,(C1122&gt;='Resultats - informe'!$D$27)*(C1122&lt;='Resultats - informe'!$E$27),0,(C1122&gt;='Resultats - informe'!$D$28)*(C1122&lt;='Resultats - informe'!$E$28),0,(C1122&gt;='Resultats - informe'!$D$29)*(C1122&lt;='Resultats - informe'!$E$29),0,1,1)</f>
        <v>0</v>
      </c>
      <c r="N1122" s="366">
        <f>+VLOOKUP(D1122,'Resultats - informe'!$Y$18:$AG$42,'Introducció dades consum'!K1122+1,0)</f>
        <v>0</v>
      </c>
      <c r="O1122" s="370" cm="1">
        <f t="array" ref="O1122">+_xlfn.SWITCH(MONTH(C1122),1,1,2,1,3,1,4,2,5,2,6,3,7,3,8,3,9,3,10,2,11,2,12,1,2)</f>
        <v>1</v>
      </c>
      <c r="P1122" s="43"/>
      <c r="AS1122" s="10"/>
      <c r="AT1122" s="10"/>
      <c r="AU1122" s="10"/>
      <c r="AV1122" s="10"/>
      <c r="AW1122" s="10"/>
      <c r="AX1122" s="10"/>
      <c r="AY1122" s="10"/>
      <c r="AZ1122" s="10"/>
      <c r="BA1122" s="10"/>
      <c r="BB1122" s="10"/>
      <c r="BC1122" s="10"/>
      <c r="BD1122" s="10"/>
      <c r="BE1122" s="10"/>
      <c r="BF1122" s="10"/>
      <c r="BG1122" s="10"/>
      <c r="BH1122" s="10"/>
      <c r="BI1122" s="10"/>
      <c r="BJ1122" s="10"/>
      <c r="BK1122" s="10"/>
      <c r="BL1122" s="10"/>
      <c r="BM1122" s="10"/>
      <c r="BN1122" s="10"/>
      <c r="BO1122" s="10"/>
      <c r="BP1122" s="10"/>
      <c r="BQ1122" s="10"/>
      <c r="BR1122" s="10"/>
      <c r="BS1122" s="10"/>
      <c r="BT1122" s="10"/>
      <c r="BU1122" s="10"/>
    </row>
    <row r="1123" spans="1:73" ht="18" x14ac:dyDescent="0.35">
      <c r="A1123" s="43"/>
      <c r="C1123" s="393"/>
      <c r="E1123" s="394"/>
      <c r="F1123" s="394">
        <v>5.71</v>
      </c>
      <c r="G1123" s="394"/>
      <c r="H1123" s="8" t="s">
        <v>61</v>
      </c>
      <c r="I1123" s="368">
        <f t="shared" si="52"/>
        <v>0</v>
      </c>
      <c r="J1123" s="365">
        <f t="shared" si="51"/>
        <v>0</v>
      </c>
      <c r="K1123" s="369">
        <f t="shared" si="53"/>
        <v>6</v>
      </c>
      <c r="L1123" s="369">
        <f>+IF((C1123&gt;='Resultats - informe'!$E$16)*(C1123&lt;='Resultats - informe'!$G$16),1,0)</f>
        <v>1</v>
      </c>
      <c r="M1123" s="369" cm="1">
        <f t="array" ref="M1123">+_xlfn.IFS((C1123&gt;='Resultats - informe'!$D$26)*(C1123&lt;='Resultats - informe'!$E$26),0,(C1123&gt;='Resultats - informe'!$D$27)*(C1123&lt;='Resultats - informe'!$E$27),0,(C1123&gt;='Resultats - informe'!$D$28)*(C1123&lt;='Resultats - informe'!$E$28),0,(C1123&gt;='Resultats - informe'!$D$29)*(C1123&lt;='Resultats - informe'!$E$29),0,1,1)</f>
        <v>0</v>
      </c>
      <c r="N1123" s="366">
        <f>+VLOOKUP(D1123,'Resultats - informe'!$Y$18:$AG$42,'Introducció dades consum'!K1123+1,0)</f>
        <v>0</v>
      </c>
      <c r="O1123" s="370" cm="1">
        <f t="array" ref="O1123">+_xlfn.SWITCH(MONTH(C1123),1,1,2,1,3,1,4,2,5,2,6,3,7,3,8,3,9,3,10,2,11,2,12,1,2)</f>
        <v>1</v>
      </c>
      <c r="P1123" s="43"/>
      <c r="AS1123" s="10"/>
      <c r="AT1123" s="10"/>
      <c r="AU1123" s="10"/>
      <c r="AV1123" s="10"/>
      <c r="AW1123" s="10"/>
      <c r="AX1123" s="10"/>
      <c r="AY1123" s="10"/>
      <c r="AZ1123" s="10"/>
      <c r="BA1123" s="10"/>
      <c r="BB1123" s="10"/>
      <c r="BC1123" s="10"/>
      <c r="BD1123" s="10"/>
      <c r="BE1123" s="10"/>
      <c r="BF1123" s="10"/>
      <c r="BG1123" s="10"/>
      <c r="BH1123" s="10"/>
      <c r="BI1123" s="10"/>
      <c r="BJ1123" s="10"/>
      <c r="BK1123" s="10"/>
      <c r="BL1123" s="10"/>
      <c r="BM1123" s="10"/>
      <c r="BN1123" s="10"/>
      <c r="BO1123" s="10"/>
      <c r="BP1123" s="10"/>
      <c r="BQ1123" s="10"/>
      <c r="BR1123" s="10"/>
      <c r="BS1123" s="10"/>
      <c r="BT1123" s="10"/>
      <c r="BU1123" s="10"/>
    </row>
    <row r="1124" spans="1:73" ht="18" x14ac:dyDescent="0.35">
      <c r="A1124" s="43"/>
      <c r="C1124" s="393"/>
      <c r="E1124" s="394"/>
      <c r="F1124" s="394">
        <v>4.4240000000000004</v>
      </c>
      <c r="G1124" s="394"/>
      <c r="H1124" s="8" t="s">
        <v>61</v>
      </c>
      <c r="I1124" s="368">
        <f t="shared" si="52"/>
        <v>0</v>
      </c>
      <c r="J1124" s="365">
        <f t="shared" si="51"/>
        <v>0</v>
      </c>
      <c r="K1124" s="369">
        <f t="shared" si="53"/>
        <v>6</v>
      </c>
      <c r="L1124" s="369">
        <f>+IF((C1124&gt;='Resultats - informe'!$E$16)*(C1124&lt;='Resultats - informe'!$G$16),1,0)</f>
        <v>1</v>
      </c>
      <c r="M1124" s="369" cm="1">
        <f t="array" ref="M1124">+_xlfn.IFS((C1124&gt;='Resultats - informe'!$D$26)*(C1124&lt;='Resultats - informe'!$E$26),0,(C1124&gt;='Resultats - informe'!$D$27)*(C1124&lt;='Resultats - informe'!$E$27),0,(C1124&gt;='Resultats - informe'!$D$28)*(C1124&lt;='Resultats - informe'!$E$28),0,(C1124&gt;='Resultats - informe'!$D$29)*(C1124&lt;='Resultats - informe'!$E$29),0,1,1)</f>
        <v>0</v>
      </c>
      <c r="N1124" s="366">
        <f>+VLOOKUP(D1124,'Resultats - informe'!$Y$18:$AG$42,'Introducció dades consum'!K1124+1,0)</f>
        <v>0</v>
      </c>
      <c r="O1124" s="370" cm="1">
        <f t="array" ref="O1124">+_xlfn.SWITCH(MONTH(C1124),1,1,2,1,3,1,4,2,5,2,6,3,7,3,8,3,9,3,10,2,11,2,12,1,2)</f>
        <v>1</v>
      </c>
      <c r="P1124" s="43"/>
      <c r="AS1124" s="10"/>
      <c r="AT1124" s="10"/>
      <c r="AU1124" s="10"/>
      <c r="AV1124" s="10"/>
      <c r="AW1124" s="10"/>
      <c r="AX1124" s="10"/>
      <c r="AY1124" s="10"/>
      <c r="AZ1124" s="10"/>
      <c r="BA1124" s="10"/>
      <c r="BB1124" s="10"/>
      <c r="BC1124" s="10"/>
      <c r="BD1124" s="10"/>
      <c r="BE1124" s="10"/>
      <c r="BF1124" s="10"/>
      <c r="BG1124" s="10"/>
      <c r="BH1124" s="10"/>
      <c r="BI1124" s="10"/>
      <c r="BJ1124" s="10"/>
      <c r="BK1124" s="10"/>
      <c r="BL1124" s="10"/>
      <c r="BM1124" s="10"/>
      <c r="BN1124" s="10"/>
      <c r="BO1124" s="10"/>
      <c r="BP1124" s="10"/>
      <c r="BQ1124" s="10"/>
      <c r="BR1124" s="10"/>
      <c r="BS1124" s="10"/>
      <c r="BT1124" s="10"/>
      <c r="BU1124" s="10"/>
    </row>
    <row r="1125" spans="1:73" ht="18" x14ac:dyDescent="0.35">
      <c r="A1125" s="43"/>
      <c r="C1125" s="393"/>
      <c r="E1125" s="394"/>
      <c r="F1125" s="394">
        <v>2.54</v>
      </c>
      <c r="G1125" s="394"/>
      <c r="H1125" s="8" t="s">
        <v>61</v>
      </c>
      <c r="I1125" s="368">
        <f t="shared" si="52"/>
        <v>0</v>
      </c>
      <c r="J1125" s="365">
        <f t="shared" si="51"/>
        <v>0</v>
      </c>
      <c r="K1125" s="369">
        <f t="shared" si="53"/>
        <v>6</v>
      </c>
      <c r="L1125" s="369">
        <f>+IF((C1125&gt;='Resultats - informe'!$E$16)*(C1125&lt;='Resultats - informe'!$G$16),1,0)</f>
        <v>1</v>
      </c>
      <c r="M1125" s="369" cm="1">
        <f t="array" ref="M1125">+_xlfn.IFS((C1125&gt;='Resultats - informe'!$D$26)*(C1125&lt;='Resultats - informe'!$E$26),0,(C1125&gt;='Resultats - informe'!$D$27)*(C1125&lt;='Resultats - informe'!$E$27),0,(C1125&gt;='Resultats - informe'!$D$28)*(C1125&lt;='Resultats - informe'!$E$28),0,(C1125&gt;='Resultats - informe'!$D$29)*(C1125&lt;='Resultats - informe'!$E$29),0,1,1)</f>
        <v>0</v>
      </c>
      <c r="N1125" s="366">
        <f>+VLOOKUP(D1125,'Resultats - informe'!$Y$18:$AG$42,'Introducció dades consum'!K1125+1,0)</f>
        <v>0</v>
      </c>
      <c r="O1125" s="370" cm="1">
        <f t="array" ref="O1125">+_xlfn.SWITCH(MONTH(C1125),1,1,2,1,3,1,4,2,5,2,6,3,7,3,8,3,9,3,10,2,11,2,12,1,2)</f>
        <v>1</v>
      </c>
      <c r="P1125" s="43"/>
      <c r="AS1125" s="10"/>
      <c r="AT1125" s="10"/>
      <c r="AU1125" s="10"/>
      <c r="AV1125" s="10"/>
      <c r="AW1125" s="10"/>
      <c r="AX1125" s="10"/>
      <c r="AY1125" s="10"/>
      <c r="AZ1125" s="10"/>
      <c r="BA1125" s="10"/>
      <c r="BB1125" s="10"/>
      <c r="BC1125" s="10"/>
      <c r="BD1125" s="10"/>
      <c r="BE1125" s="10"/>
      <c r="BF1125" s="10"/>
      <c r="BG1125" s="10"/>
      <c r="BH1125" s="10"/>
      <c r="BI1125" s="10"/>
      <c r="BJ1125" s="10"/>
      <c r="BK1125" s="10"/>
      <c r="BL1125" s="10"/>
      <c r="BM1125" s="10"/>
      <c r="BN1125" s="10"/>
      <c r="BO1125" s="10"/>
      <c r="BP1125" s="10"/>
      <c r="BQ1125" s="10"/>
      <c r="BR1125" s="10"/>
      <c r="BS1125" s="10"/>
      <c r="BT1125" s="10"/>
      <c r="BU1125" s="10"/>
    </row>
    <row r="1126" spans="1:73" ht="18" x14ac:dyDescent="0.35">
      <c r="A1126" s="43"/>
      <c r="C1126" s="393"/>
      <c r="E1126" s="394"/>
      <c r="F1126" s="394">
        <v>1.0680000000000001</v>
      </c>
      <c r="G1126" s="394"/>
      <c r="H1126" s="8" t="s">
        <v>61</v>
      </c>
      <c r="I1126" s="368">
        <f t="shared" si="52"/>
        <v>0</v>
      </c>
      <c r="J1126" s="365">
        <f t="shared" si="51"/>
        <v>0</v>
      </c>
      <c r="K1126" s="369">
        <f t="shared" si="53"/>
        <v>6</v>
      </c>
      <c r="L1126" s="369">
        <f>+IF((C1126&gt;='Resultats - informe'!$E$16)*(C1126&lt;='Resultats - informe'!$G$16),1,0)</f>
        <v>1</v>
      </c>
      <c r="M1126" s="369" cm="1">
        <f t="array" ref="M1126">+_xlfn.IFS((C1126&gt;='Resultats - informe'!$D$26)*(C1126&lt;='Resultats - informe'!$E$26),0,(C1126&gt;='Resultats - informe'!$D$27)*(C1126&lt;='Resultats - informe'!$E$27),0,(C1126&gt;='Resultats - informe'!$D$28)*(C1126&lt;='Resultats - informe'!$E$28),0,(C1126&gt;='Resultats - informe'!$D$29)*(C1126&lt;='Resultats - informe'!$E$29),0,1,1)</f>
        <v>0</v>
      </c>
      <c r="N1126" s="366">
        <f>+VLOOKUP(D1126,'Resultats - informe'!$Y$18:$AG$42,'Introducció dades consum'!K1126+1,0)</f>
        <v>0</v>
      </c>
      <c r="O1126" s="370" cm="1">
        <f t="array" ref="O1126">+_xlfn.SWITCH(MONTH(C1126),1,1,2,1,3,1,4,2,5,2,6,3,7,3,8,3,9,3,10,2,11,2,12,1,2)</f>
        <v>1</v>
      </c>
      <c r="P1126" s="43"/>
      <c r="AS1126" s="10"/>
      <c r="AT1126" s="10"/>
      <c r="AU1126" s="10"/>
      <c r="AV1126" s="10"/>
      <c r="AW1126" s="10"/>
      <c r="AX1126" s="10"/>
      <c r="AY1126" s="10"/>
      <c r="AZ1126" s="10"/>
      <c r="BA1126" s="10"/>
      <c r="BB1126" s="10"/>
      <c r="BC1126" s="10"/>
      <c r="BD1126" s="10"/>
      <c r="BE1126" s="10"/>
      <c r="BF1126" s="10"/>
      <c r="BG1126" s="10"/>
      <c r="BH1126" s="10"/>
      <c r="BI1126" s="10"/>
      <c r="BJ1126" s="10"/>
      <c r="BK1126" s="10"/>
      <c r="BL1126" s="10"/>
      <c r="BM1126" s="10"/>
      <c r="BN1126" s="10"/>
      <c r="BO1126" s="10"/>
      <c r="BP1126" s="10"/>
      <c r="BQ1126" s="10"/>
      <c r="BR1126" s="10"/>
      <c r="BS1126" s="10"/>
      <c r="BT1126" s="10"/>
      <c r="BU1126" s="10"/>
    </row>
    <row r="1127" spans="1:73" ht="18" x14ac:dyDescent="0.35">
      <c r="A1127" s="43"/>
      <c r="C1127" s="393"/>
      <c r="E1127" s="394"/>
      <c r="F1127" s="394">
        <v>0</v>
      </c>
      <c r="G1127" s="394"/>
      <c r="H1127" s="8" t="s">
        <v>235</v>
      </c>
      <c r="I1127" s="368">
        <f t="shared" si="52"/>
        <v>0</v>
      </c>
      <c r="J1127" s="365">
        <f t="shared" si="51"/>
        <v>0</v>
      </c>
      <c r="K1127" s="369">
        <f t="shared" si="53"/>
        <v>6</v>
      </c>
      <c r="L1127" s="369">
        <f>+IF((C1127&gt;='Resultats - informe'!$E$16)*(C1127&lt;='Resultats - informe'!$G$16),1,0)</f>
        <v>1</v>
      </c>
      <c r="M1127" s="369" cm="1">
        <f t="array" ref="M1127">+_xlfn.IFS((C1127&gt;='Resultats - informe'!$D$26)*(C1127&lt;='Resultats - informe'!$E$26),0,(C1127&gt;='Resultats - informe'!$D$27)*(C1127&lt;='Resultats - informe'!$E$27),0,(C1127&gt;='Resultats - informe'!$D$28)*(C1127&lt;='Resultats - informe'!$E$28),0,(C1127&gt;='Resultats - informe'!$D$29)*(C1127&lt;='Resultats - informe'!$E$29),0,1,1)</f>
        <v>0</v>
      </c>
      <c r="N1127" s="366">
        <f>+VLOOKUP(D1127,'Resultats - informe'!$Y$18:$AG$42,'Introducció dades consum'!K1127+1,0)</f>
        <v>0</v>
      </c>
      <c r="O1127" s="370" cm="1">
        <f t="array" ref="O1127">+_xlfn.SWITCH(MONTH(C1127),1,1,2,1,3,1,4,2,5,2,6,3,7,3,8,3,9,3,10,2,11,2,12,1,2)</f>
        <v>1</v>
      </c>
      <c r="P1127" s="43"/>
      <c r="AS1127" s="10"/>
      <c r="AT1127" s="10"/>
      <c r="AU1127" s="10"/>
      <c r="AV1127" s="10"/>
      <c r="AW1127" s="10"/>
      <c r="AX1127" s="10"/>
      <c r="AY1127" s="10"/>
      <c r="AZ1127" s="10"/>
      <c r="BA1127" s="10"/>
      <c r="BB1127" s="10"/>
      <c r="BC1127" s="10"/>
      <c r="BD1127" s="10"/>
      <c r="BE1127" s="10"/>
      <c r="BF1127" s="10"/>
      <c r="BG1127" s="10"/>
      <c r="BH1127" s="10"/>
      <c r="BI1127" s="10"/>
      <c r="BJ1127" s="10"/>
      <c r="BK1127" s="10"/>
      <c r="BL1127" s="10"/>
      <c r="BM1127" s="10"/>
      <c r="BN1127" s="10"/>
      <c r="BO1127" s="10"/>
      <c r="BP1127" s="10"/>
      <c r="BQ1127" s="10"/>
      <c r="BR1127" s="10"/>
      <c r="BS1127" s="10"/>
      <c r="BT1127" s="10"/>
      <c r="BU1127" s="10"/>
    </row>
    <row r="1128" spans="1:73" ht="18" x14ac:dyDescent="0.35">
      <c r="A1128" s="43"/>
      <c r="C1128" s="393"/>
      <c r="E1128" s="394"/>
      <c r="F1128" s="394">
        <v>0</v>
      </c>
      <c r="G1128" s="394"/>
      <c r="H1128" s="8" t="s">
        <v>235</v>
      </c>
      <c r="I1128" s="368">
        <f t="shared" si="52"/>
        <v>0</v>
      </c>
      <c r="J1128" s="365">
        <f t="shared" si="51"/>
        <v>0</v>
      </c>
      <c r="K1128" s="369">
        <f t="shared" si="53"/>
        <v>6</v>
      </c>
      <c r="L1128" s="369">
        <f>+IF((C1128&gt;='Resultats - informe'!$E$16)*(C1128&lt;='Resultats - informe'!$G$16),1,0)</f>
        <v>1</v>
      </c>
      <c r="M1128" s="369" cm="1">
        <f t="array" ref="M1128">+_xlfn.IFS((C1128&gt;='Resultats - informe'!$D$26)*(C1128&lt;='Resultats - informe'!$E$26),0,(C1128&gt;='Resultats - informe'!$D$27)*(C1128&lt;='Resultats - informe'!$E$27),0,(C1128&gt;='Resultats - informe'!$D$28)*(C1128&lt;='Resultats - informe'!$E$28),0,(C1128&gt;='Resultats - informe'!$D$29)*(C1128&lt;='Resultats - informe'!$E$29),0,1,1)</f>
        <v>0</v>
      </c>
      <c r="N1128" s="366">
        <f>+VLOOKUP(D1128,'Resultats - informe'!$Y$18:$AG$42,'Introducció dades consum'!K1128+1,0)</f>
        <v>0</v>
      </c>
      <c r="O1128" s="370" cm="1">
        <f t="array" ref="O1128">+_xlfn.SWITCH(MONTH(C1128),1,1,2,1,3,1,4,2,5,2,6,3,7,3,8,3,9,3,10,2,11,2,12,1,2)</f>
        <v>1</v>
      </c>
      <c r="P1128" s="43"/>
      <c r="AS1128" s="10"/>
      <c r="AT1128" s="10"/>
      <c r="AU1128" s="10"/>
      <c r="AV1128" s="10"/>
      <c r="AW1128" s="10"/>
      <c r="AX1128" s="10"/>
      <c r="AY1128" s="10"/>
      <c r="AZ1128" s="10"/>
      <c r="BA1128" s="10"/>
      <c r="BB1128" s="10"/>
      <c r="BC1128" s="10"/>
      <c r="BD1128" s="10"/>
      <c r="BE1128" s="10"/>
      <c r="BF1128" s="10"/>
      <c r="BG1128" s="10"/>
      <c r="BH1128" s="10"/>
      <c r="BI1128" s="10"/>
      <c r="BJ1128" s="10"/>
      <c r="BK1128" s="10"/>
      <c r="BL1128" s="10"/>
      <c r="BM1128" s="10"/>
      <c r="BN1128" s="10"/>
      <c r="BO1128" s="10"/>
      <c r="BP1128" s="10"/>
      <c r="BQ1128" s="10"/>
      <c r="BR1128" s="10"/>
      <c r="BS1128" s="10"/>
      <c r="BT1128" s="10"/>
      <c r="BU1128" s="10"/>
    </row>
    <row r="1129" spans="1:73" ht="18" x14ac:dyDescent="0.35">
      <c r="A1129" s="43"/>
      <c r="C1129" s="393"/>
      <c r="E1129" s="394"/>
      <c r="F1129" s="394">
        <v>0</v>
      </c>
      <c r="G1129" s="394"/>
      <c r="H1129" s="8" t="s">
        <v>235</v>
      </c>
      <c r="I1129" s="368">
        <f t="shared" si="52"/>
        <v>0</v>
      </c>
      <c r="J1129" s="365">
        <f t="shared" si="51"/>
        <v>0</v>
      </c>
      <c r="K1129" s="369">
        <f t="shared" si="53"/>
        <v>6</v>
      </c>
      <c r="L1129" s="369">
        <f>+IF((C1129&gt;='Resultats - informe'!$E$16)*(C1129&lt;='Resultats - informe'!$G$16),1,0)</f>
        <v>1</v>
      </c>
      <c r="M1129" s="369" cm="1">
        <f t="array" ref="M1129">+_xlfn.IFS((C1129&gt;='Resultats - informe'!$D$26)*(C1129&lt;='Resultats - informe'!$E$26),0,(C1129&gt;='Resultats - informe'!$D$27)*(C1129&lt;='Resultats - informe'!$E$27),0,(C1129&gt;='Resultats - informe'!$D$28)*(C1129&lt;='Resultats - informe'!$E$28),0,(C1129&gt;='Resultats - informe'!$D$29)*(C1129&lt;='Resultats - informe'!$E$29),0,1,1)</f>
        <v>0</v>
      </c>
      <c r="N1129" s="366">
        <f>+VLOOKUP(D1129,'Resultats - informe'!$Y$18:$AG$42,'Introducció dades consum'!K1129+1,0)</f>
        <v>0</v>
      </c>
      <c r="O1129" s="370" cm="1">
        <f t="array" ref="O1129">+_xlfn.SWITCH(MONTH(C1129),1,1,2,1,3,1,4,2,5,2,6,3,7,3,8,3,9,3,10,2,11,2,12,1,2)</f>
        <v>1</v>
      </c>
      <c r="P1129" s="43"/>
      <c r="AS1129" s="10"/>
      <c r="AT1129" s="10"/>
      <c r="AU1129" s="10"/>
      <c r="AV1129" s="10"/>
      <c r="AW1129" s="10"/>
      <c r="AX1129" s="10"/>
      <c r="AY1129" s="10"/>
      <c r="AZ1129" s="10"/>
      <c r="BA1129" s="10"/>
      <c r="BB1129" s="10"/>
      <c r="BC1129" s="10"/>
      <c r="BD1129" s="10"/>
      <c r="BE1129" s="10"/>
      <c r="BF1129" s="10"/>
      <c r="BG1129" s="10"/>
      <c r="BH1129" s="10"/>
      <c r="BI1129" s="10"/>
      <c r="BJ1129" s="10"/>
      <c r="BK1129" s="10"/>
      <c r="BL1129" s="10"/>
      <c r="BM1129" s="10"/>
      <c r="BN1129" s="10"/>
      <c r="BO1129" s="10"/>
      <c r="BP1129" s="10"/>
      <c r="BQ1129" s="10"/>
      <c r="BR1129" s="10"/>
      <c r="BS1129" s="10"/>
      <c r="BT1129" s="10"/>
      <c r="BU1129" s="10"/>
    </row>
    <row r="1130" spans="1:73" ht="18" x14ac:dyDescent="0.35">
      <c r="A1130" s="43"/>
      <c r="C1130" s="393"/>
      <c r="E1130" s="394"/>
      <c r="F1130" s="394">
        <v>0</v>
      </c>
      <c r="G1130" s="394"/>
      <c r="H1130" s="8" t="s">
        <v>235</v>
      </c>
      <c r="I1130" s="368">
        <f t="shared" si="52"/>
        <v>0</v>
      </c>
      <c r="J1130" s="365">
        <f t="shared" si="51"/>
        <v>0</v>
      </c>
      <c r="K1130" s="369">
        <f t="shared" si="53"/>
        <v>6</v>
      </c>
      <c r="L1130" s="369">
        <f>+IF((C1130&gt;='Resultats - informe'!$E$16)*(C1130&lt;='Resultats - informe'!$G$16),1,0)</f>
        <v>1</v>
      </c>
      <c r="M1130" s="369" cm="1">
        <f t="array" ref="M1130">+_xlfn.IFS((C1130&gt;='Resultats - informe'!$D$26)*(C1130&lt;='Resultats - informe'!$E$26),0,(C1130&gt;='Resultats - informe'!$D$27)*(C1130&lt;='Resultats - informe'!$E$27),0,(C1130&gt;='Resultats - informe'!$D$28)*(C1130&lt;='Resultats - informe'!$E$28),0,(C1130&gt;='Resultats - informe'!$D$29)*(C1130&lt;='Resultats - informe'!$E$29),0,1,1)</f>
        <v>0</v>
      </c>
      <c r="N1130" s="366">
        <f>+VLOOKUP(D1130,'Resultats - informe'!$Y$18:$AG$42,'Introducció dades consum'!K1130+1,0)</f>
        <v>0</v>
      </c>
      <c r="O1130" s="370" cm="1">
        <f t="array" ref="O1130">+_xlfn.SWITCH(MONTH(C1130),1,1,2,1,3,1,4,2,5,2,6,3,7,3,8,3,9,3,10,2,11,2,12,1,2)</f>
        <v>1</v>
      </c>
      <c r="P1130" s="43"/>
      <c r="AS1130" s="10"/>
      <c r="AT1130" s="10"/>
      <c r="AU1130" s="10"/>
      <c r="AV1130" s="10"/>
      <c r="AW1130" s="10"/>
      <c r="AX1130" s="10"/>
      <c r="AY1130" s="10"/>
      <c r="AZ1130" s="10"/>
      <c r="BA1130" s="10"/>
      <c r="BB1130" s="10"/>
      <c r="BC1130" s="10"/>
      <c r="BD1130" s="10"/>
      <c r="BE1130" s="10"/>
      <c r="BF1130" s="10"/>
      <c r="BG1130" s="10"/>
      <c r="BH1130" s="10"/>
      <c r="BI1130" s="10"/>
      <c r="BJ1130" s="10"/>
      <c r="BK1130" s="10"/>
      <c r="BL1130" s="10"/>
      <c r="BM1130" s="10"/>
      <c r="BN1130" s="10"/>
      <c r="BO1130" s="10"/>
      <c r="BP1130" s="10"/>
      <c r="BQ1130" s="10"/>
      <c r="BR1130" s="10"/>
      <c r="BS1130" s="10"/>
      <c r="BT1130" s="10"/>
      <c r="BU1130" s="10"/>
    </row>
    <row r="1131" spans="1:73" ht="18" x14ac:dyDescent="0.35">
      <c r="A1131" s="43"/>
      <c r="C1131" s="393"/>
      <c r="E1131" s="394"/>
      <c r="F1131" s="394">
        <v>0</v>
      </c>
      <c r="G1131" s="394"/>
      <c r="H1131" s="8" t="s">
        <v>235</v>
      </c>
      <c r="I1131" s="368">
        <f t="shared" si="52"/>
        <v>0</v>
      </c>
      <c r="J1131" s="365">
        <f t="shared" si="51"/>
        <v>0</v>
      </c>
      <c r="K1131" s="369">
        <f t="shared" si="53"/>
        <v>6</v>
      </c>
      <c r="L1131" s="369">
        <f>+IF((C1131&gt;='Resultats - informe'!$E$16)*(C1131&lt;='Resultats - informe'!$G$16),1,0)</f>
        <v>1</v>
      </c>
      <c r="M1131" s="369" cm="1">
        <f t="array" ref="M1131">+_xlfn.IFS((C1131&gt;='Resultats - informe'!$D$26)*(C1131&lt;='Resultats - informe'!$E$26),0,(C1131&gt;='Resultats - informe'!$D$27)*(C1131&lt;='Resultats - informe'!$E$27),0,(C1131&gt;='Resultats - informe'!$D$28)*(C1131&lt;='Resultats - informe'!$E$28),0,(C1131&gt;='Resultats - informe'!$D$29)*(C1131&lt;='Resultats - informe'!$E$29),0,1,1)</f>
        <v>0</v>
      </c>
      <c r="N1131" s="366">
        <f>+VLOOKUP(D1131,'Resultats - informe'!$Y$18:$AG$42,'Introducció dades consum'!K1131+1,0)</f>
        <v>0</v>
      </c>
      <c r="O1131" s="370" cm="1">
        <f t="array" ref="O1131">+_xlfn.SWITCH(MONTH(C1131),1,1,2,1,3,1,4,2,5,2,6,3,7,3,8,3,9,3,10,2,11,2,12,1,2)</f>
        <v>1</v>
      </c>
      <c r="P1131" s="43"/>
      <c r="AS1131" s="10"/>
      <c r="AT1131" s="10"/>
      <c r="AU1131" s="10"/>
      <c r="AV1131" s="10"/>
      <c r="AW1131" s="10"/>
      <c r="AX1131" s="10"/>
      <c r="AY1131" s="10"/>
      <c r="AZ1131" s="10"/>
      <c r="BA1131" s="10"/>
      <c r="BB1131" s="10"/>
      <c r="BC1131" s="10"/>
      <c r="BD1131" s="10"/>
      <c r="BE1131" s="10"/>
      <c r="BF1131" s="10"/>
      <c r="BG1131" s="10"/>
      <c r="BH1131" s="10"/>
      <c r="BI1131" s="10"/>
      <c r="BJ1131" s="10"/>
      <c r="BK1131" s="10"/>
      <c r="BL1131" s="10"/>
      <c r="BM1131" s="10"/>
      <c r="BN1131" s="10"/>
      <c r="BO1131" s="10"/>
      <c r="BP1131" s="10"/>
      <c r="BQ1131" s="10"/>
      <c r="BR1131" s="10"/>
      <c r="BS1131" s="10"/>
      <c r="BT1131" s="10"/>
      <c r="BU1131" s="10"/>
    </row>
    <row r="1132" spans="1:73" ht="18" x14ac:dyDescent="0.35">
      <c r="A1132" s="43"/>
      <c r="C1132" s="393"/>
      <c r="E1132" s="394"/>
      <c r="F1132" s="394">
        <v>0</v>
      </c>
      <c r="G1132" s="394"/>
      <c r="H1132" s="8" t="s">
        <v>235</v>
      </c>
      <c r="I1132" s="368">
        <f t="shared" si="52"/>
        <v>0</v>
      </c>
      <c r="J1132" s="365">
        <f t="shared" si="51"/>
        <v>0</v>
      </c>
      <c r="K1132" s="369">
        <f t="shared" si="53"/>
        <v>6</v>
      </c>
      <c r="L1132" s="369">
        <f>+IF((C1132&gt;='Resultats - informe'!$E$16)*(C1132&lt;='Resultats - informe'!$G$16),1,0)</f>
        <v>1</v>
      </c>
      <c r="M1132" s="369" cm="1">
        <f t="array" ref="M1132">+_xlfn.IFS((C1132&gt;='Resultats - informe'!$D$26)*(C1132&lt;='Resultats - informe'!$E$26),0,(C1132&gt;='Resultats - informe'!$D$27)*(C1132&lt;='Resultats - informe'!$E$27),0,(C1132&gt;='Resultats - informe'!$D$28)*(C1132&lt;='Resultats - informe'!$E$28),0,(C1132&gt;='Resultats - informe'!$D$29)*(C1132&lt;='Resultats - informe'!$E$29),0,1,1)</f>
        <v>0</v>
      </c>
      <c r="N1132" s="366">
        <f>+VLOOKUP(D1132,'Resultats - informe'!$Y$18:$AG$42,'Introducció dades consum'!K1132+1,0)</f>
        <v>0</v>
      </c>
      <c r="O1132" s="370" cm="1">
        <f t="array" ref="O1132">+_xlfn.SWITCH(MONTH(C1132),1,1,2,1,3,1,4,2,5,2,6,3,7,3,8,3,9,3,10,2,11,2,12,1,2)</f>
        <v>1</v>
      </c>
      <c r="P1132" s="43"/>
      <c r="AS1132" s="10"/>
      <c r="AT1132" s="10"/>
      <c r="AU1132" s="10"/>
      <c r="AV1132" s="10"/>
      <c r="AW1132" s="10"/>
      <c r="AX1132" s="10"/>
      <c r="AY1132" s="10"/>
      <c r="AZ1132" s="10"/>
      <c r="BA1132" s="10"/>
      <c r="BB1132" s="10"/>
      <c r="BC1132" s="10"/>
      <c r="BD1132" s="10"/>
      <c r="BE1132" s="10"/>
      <c r="BF1132" s="10"/>
      <c r="BG1132" s="10"/>
      <c r="BH1132" s="10"/>
      <c r="BI1132" s="10"/>
      <c r="BJ1132" s="10"/>
      <c r="BK1132" s="10"/>
      <c r="BL1132" s="10"/>
      <c r="BM1132" s="10"/>
      <c r="BN1132" s="10"/>
      <c r="BO1132" s="10"/>
      <c r="BP1132" s="10"/>
      <c r="BQ1132" s="10"/>
      <c r="BR1132" s="10"/>
      <c r="BS1132" s="10"/>
      <c r="BT1132" s="10"/>
      <c r="BU1132" s="10"/>
    </row>
    <row r="1133" spans="1:73" ht="18" x14ac:dyDescent="0.35">
      <c r="A1133" s="43"/>
      <c r="C1133" s="393"/>
      <c r="E1133" s="394"/>
      <c r="F1133" s="394">
        <v>0</v>
      </c>
      <c r="G1133" s="394"/>
      <c r="H1133" s="8" t="s">
        <v>235</v>
      </c>
      <c r="I1133" s="368">
        <f t="shared" si="52"/>
        <v>0</v>
      </c>
      <c r="J1133" s="365">
        <f t="shared" si="51"/>
        <v>0</v>
      </c>
      <c r="K1133" s="369">
        <f t="shared" si="53"/>
        <v>6</v>
      </c>
      <c r="L1133" s="369">
        <f>+IF((C1133&gt;='Resultats - informe'!$E$16)*(C1133&lt;='Resultats - informe'!$G$16),1,0)</f>
        <v>1</v>
      </c>
      <c r="M1133" s="369" cm="1">
        <f t="array" ref="M1133">+_xlfn.IFS((C1133&gt;='Resultats - informe'!$D$26)*(C1133&lt;='Resultats - informe'!$E$26),0,(C1133&gt;='Resultats - informe'!$D$27)*(C1133&lt;='Resultats - informe'!$E$27),0,(C1133&gt;='Resultats - informe'!$D$28)*(C1133&lt;='Resultats - informe'!$E$28),0,(C1133&gt;='Resultats - informe'!$D$29)*(C1133&lt;='Resultats - informe'!$E$29),0,1,1)</f>
        <v>0</v>
      </c>
      <c r="N1133" s="366">
        <f>+VLOOKUP(D1133,'Resultats - informe'!$Y$18:$AG$42,'Introducció dades consum'!K1133+1,0)</f>
        <v>0</v>
      </c>
      <c r="O1133" s="370" cm="1">
        <f t="array" ref="O1133">+_xlfn.SWITCH(MONTH(C1133),1,1,2,1,3,1,4,2,5,2,6,3,7,3,8,3,9,3,10,2,11,2,12,1,2)</f>
        <v>1</v>
      </c>
      <c r="P1133" s="43"/>
      <c r="AS1133" s="10"/>
      <c r="AT1133" s="10"/>
      <c r="AU1133" s="10"/>
      <c r="AV1133" s="10"/>
      <c r="AW1133" s="10"/>
      <c r="AX1133" s="10"/>
      <c r="AY1133" s="10"/>
      <c r="AZ1133" s="10"/>
      <c r="BA1133" s="10"/>
      <c r="BB1133" s="10"/>
      <c r="BC1133" s="10"/>
      <c r="BD1133" s="10"/>
      <c r="BE1133" s="10"/>
      <c r="BF1133" s="10"/>
      <c r="BG1133" s="10"/>
      <c r="BH1133" s="10"/>
      <c r="BI1133" s="10"/>
      <c r="BJ1133" s="10"/>
      <c r="BK1133" s="10"/>
      <c r="BL1133" s="10"/>
      <c r="BM1133" s="10"/>
      <c r="BN1133" s="10"/>
      <c r="BO1133" s="10"/>
      <c r="BP1133" s="10"/>
      <c r="BQ1133" s="10"/>
      <c r="BR1133" s="10"/>
      <c r="BS1133" s="10"/>
      <c r="BT1133" s="10"/>
      <c r="BU1133" s="10"/>
    </row>
    <row r="1134" spans="1:73" ht="18" x14ac:dyDescent="0.35">
      <c r="A1134" s="43"/>
      <c r="C1134" s="393"/>
      <c r="E1134" s="394"/>
      <c r="F1134" s="394">
        <v>0</v>
      </c>
      <c r="G1134" s="394"/>
      <c r="H1134" s="8" t="s">
        <v>235</v>
      </c>
      <c r="I1134" s="368">
        <f t="shared" si="52"/>
        <v>0</v>
      </c>
      <c r="J1134" s="365">
        <f t="shared" si="51"/>
        <v>0</v>
      </c>
      <c r="K1134" s="369">
        <f t="shared" si="53"/>
        <v>6</v>
      </c>
      <c r="L1134" s="369">
        <f>+IF((C1134&gt;='Resultats - informe'!$E$16)*(C1134&lt;='Resultats - informe'!$G$16),1,0)</f>
        <v>1</v>
      </c>
      <c r="M1134" s="369" cm="1">
        <f t="array" ref="M1134">+_xlfn.IFS((C1134&gt;='Resultats - informe'!$D$26)*(C1134&lt;='Resultats - informe'!$E$26),0,(C1134&gt;='Resultats - informe'!$D$27)*(C1134&lt;='Resultats - informe'!$E$27),0,(C1134&gt;='Resultats - informe'!$D$28)*(C1134&lt;='Resultats - informe'!$E$28),0,(C1134&gt;='Resultats - informe'!$D$29)*(C1134&lt;='Resultats - informe'!$E$29),0,1,1)</f>
        <v>0</v>
      </c>
      <c r="N1134" s="366">
        <f>+VLOOKUP(D1134,'Resultats - informe'!$Y$18:$AG$42,'Introducció dades consum'!K1134+1,0)</f>
        <v>0</v>
      </c>
      <c r="O1134" s="370" cm="1">
        <f t="array" ref="O1134">+_xlfn.SWITCH(MONTH(C1134),1,1,2,1,3,1,4,2,5,2,6,3,7,3,8,3,9,3,10,2,11,2,12,1,2)</f>
        <v>1</v>
      </c>
      <c r="P1134" s="43"/>
      <c r="AS1134" s="10"/>
      <c r="AT1134" s="10"/>
      <c r="AU1134" s="10"/>
      <c r="AV1134" s="10"/>
      <c r="AW1134" s="10"/>
      <c r="AX1134" s="10"/>
      <c r="AY1134" s="10"/>
      <c r="AZ1134" s="10"/>
      <c r="BA1134" s="10"/>
      <c r="BB1134" s="10"/>
      <c r="BC1134" s="10"/>
      <c r="BD1134" s="10"/>
      <c r="BE1134" s="10"/>
      <c r="BF1134" s="10"/>
      <c r="BG1134" s="10"/>
      <c r="BH1134" s="10"/>
      <c r="BI1134" s="10"/>
      <c r="BJ1134" s="10"/>
      <c r="BK1134" s="10"/>
      <c r="BL1134" s="10"/>
      <c r="BM1134" s="10"/>
      <c r="BN1134" s="10"/>
      <c r="BO1134" s="10"/>
      <c r="BP1134" s="10"/>
      <c r="BQ1134" s="10"/>
      <c r="BR1134" s="10"/>
      <c r="BS1134" s="10"/>
      <c r="BT1134" s="10"/>
      <c r="BU1134" s="10"/>
    </row>
    <row r="1135" spans="1:73" ht="18" x14ac:dyDescent="0.35">
      <c r="A1135" s="43"/>
      <c r="C1135" s="393"/>
      <c r="E1135" s="394"/>
      <c r="F1135" s="394">
        <v>0</v>
      </c>
      <c r="G1135" s="394"/>
      <c r="H1135" s="8" t="s">
        <v>235</v>
      </c>
      <c r="I1135" s="368">
        <f t="shared" si="52"/>
        <v>0</v>
      </c>
      <c r="J1135" s="365">
        <f t="shared" si="51"/>
        <v>0</v>
      </c>
      <c r="K1135" s="369">
        <f t="shared" si="53"/>
        <v>6</v>
      </c>
      <c r="L1135" s="369">
        <f>+IF((C1135&gt;='Resultats - informe'!$E$16)*(C1135&lt;='Resultats - informe'!$G$16),1,0)</f>
        <v>1</v>
      </c>
      <c r="M1135" s="369" cm="1">
        <f t="array" ref="M1135">+_xlfn.IFS((C1135&gt;='Resultats - informe'!$D$26)*(C1135&lt;='Resultats - informe'!$E$26),0,(C1135&gt;='Resultats - informe'!$D$27)*(C1135&lt;='Resultats - informe'!$E$27),0,(C1135&gt;='Resultats - informe'!$D$28)*(C1135&lt;='Resultats - informe'!$E$28),0,(C1135&gt;='Resultats - informe'!$D$29)*(C1135&lt;='Resultats - informe'!$E$29),0,1,1)</f>
        <v>0</v>
      </c>
      <c r="N1135" s="366">
        <f>+VLOOKUP(D1135,'Resultats - informe'!$Y$18:$AG$42,'Introducció dades consum'!K1135+1,0)</f>
        <v>0</v>
      </c>
      <c r="O1135" s="370" cm="1">
        <f t="array" ref="O1135">+_xlfn.SWITCH(MONTH(C1135),1,1,2,1,3,1,4,2,5,2,6,3,7,3,8,3,9,3,10,2,11,2,12,1,2)</f>
        <v>1</v>
      </c>
      <c r="P1135" s="43"/>
      <c r="AS1135" s="10"/>
      <c r="AT1135" s="10"/>
      <c r="AU1135" s="10"/>
      <c r="AV1135" s="10"/>
      <c r="AW1135" s="10"/>
      <c r="AX1135" s="10"/>
      <c r="AY1135" s="10"/>
      <c r="AZ1135" s="10"/>
      <c r="BA1135" s="10"/>
      <c r="BB1135" s="10"/>
      <c r="BC1135" s="10"/>
      <c r="BD1135" s="10"/>
      <c r="BE1135" s="10"/>
      <c r="BF1135" s="10"/>
      <c r="BG1135" s="10"/>
      <c r="BH1135" s="10"/>
      <c r="BI1135" s="10"/>
      <c r="BJ1135" s="10"/>
      <c r="BK1135" s="10"/>
      <c r="BL1135" s="10"/>
      <c r="BM1135" s="10"/>
      <c r="BN1135" s="10"/>
      <c r="BO1135" s="10"/>
      <c r="BP1135" s="10"/>
      <c r="BQ1135" s="10"/>
      <c r="BR1135" s="10"/>
      <c r="BS1135" s="10"/>
      <c r="BT1135" s="10"/>
      <c r="BU1135" s="10"/>
    </row>
    <row r="1136" spans="1:73" ht="18" x14ac:dyDescent="0.35">
      <c r="A1136" s="43"/>
      <c r="C1136" s="393"/>
      <c r="E1136" s="394"/>
      <c r="F1136" s="394">
        <v>0</v>
      </c>
      <c r="G1136" s="394"/>
      <c r="H1136" s="8" t="s">
        <v>235</v>
      </c>
      <c r="I1136" s="368">
        <f t="shared" si="52"/>
        <v>0</v>
      </c>
      <c r="J1136" s="365">
        <f t="shared" si="51"/>
        <v>0</v>
      </c>
      <c r="K1136" s="369">
        <f t="shared" si="53"/>
        <v>6</v>
      </c>
      <c r="L1136" s="369">
        <f>+IF((C1136&gt;='Resultats - informe'!$E$16)*(C1136&lt;='Resultats - informe'!$G$16),1,0)</f>
        <v>1</v>
      </c>
      <c r="M1136" s="369" cm="1">
        <f t="array" ref="M1136">+_xlfn.IFS((C1136&gt;='Resultats - informe'!$D$26)*(C1136&lt;='Resultats - informe'!$E$26),0,(C1136&gt;='Resultats - informe'!$D$27)*(C1136&lt;='Resultats - informe'!$E$27),0,(C1136&gt;='Resultats - informe'!$D$28)*(C1136&lt;='Resultats - informe'!$E$28),0,(C1136&gt;='Resultats - informe'!$D$29)*(C1136&lt;='Resultats - informe'!$E$29),0,1,1)</f>
        <v>0</v>
      </c>
      <c r="N1136" s="366">
        <f>+VLOOKUP(D1136,'Resultats - informe'!$Y$18:$AG$42,'Introducció dades consum'!K1136+1,0)</f>
        <v>0</v>
      </c>
      <c r="O1136" s="370" cm="1">
        <f t="array" ref="O1136">+_xlfn.SWITCH(MONTH(C1136),1,1,2,1,3,1,4,2,5,2,6,3,7,3,8,3,9,3,10,2,11,2,12,1,2)</f>
        <v>1</v>
      </c>
      <c r="P1136" s="43"/>
      <c r="AS1136" s="10"/>
      <c r="AT1136" s="10"/>
      <c r="AU1136" s="10"/>
      <c r="AV1136" s="10"/>
      <c r="AW1136" s="10"/>
      <c r="AX1136" s="10"/>
      <c r="AY1136" s="10"/>
      <c r="AZ1136" s="10"/>
      <c r="BA1136" s="10"/>
      <c r="BB1136" s="10"/>
      <c r="BC1136" s="10"/>
      <c r="BD1136" s="10"/>
      <c r="BE1136" s="10"/>
      <c r="BF1136" s="10"/>
      <c r="BG1136" s="10"/>
      <c r="BH1136" s="10"/>
      <c r="BI1136" s="10"/>
      <c r="BJ1136" s="10"/>
      <c r="BK1136" s="10"/>
      <c r="BL1136" s="10"/>
      <c r="BM1136" s="10"/>
      <c r="BN1136" s="10"/>
      <c r="BO1136" s="10"/>
      <c r="BP1136" s="10"/>
      <c r="BQ1136" s="10"/>
      <c r="BR1136" s="10"/>
      <c r="BS1136" s="10"/>
      <c r="BT1136" s="10"/>
      <c r="BU1136" s="10"/>
    </row>
    <row r="1137" spans="1:73" ht="18" x14ac:dyDescent="0.35">
      <c r="A1137" s="43"/>
      <c r="C1137" s="393"/>
      <c r="E1137" s="394"/>
      <c r="F1137" s="394">
        <v>0</v>
      </c>
      <c r="G1137" s="394"/>
      <c r="H1137" s="8" t="s">
        <v>235</v>
      </c>
      <c r="I1137" s="368">
        <f t="shared" si="52"/>
        <v>0</v>
      </c>
      <c r="J1137" s="365">
        <f t="shared" si="51"/>
        <v>0</v>
      </c>
      <c r="K1137" s="369">
        <f t="shared" si="53"/>
        <v>6</v>
      </c>
      <c r="L1137" s="369">
        <f>+IF((C1137&gt;='Resultats - informe'!$E$16)*(C1137&lt;='Resultats - informe'!$G$16),1,0)</f>
        <v>1</v>
      </c>
      <c r="M1137" s="369" cm="1">
        <f t="array" ref="M1137">+_xlfn.IFS((C1137&gt;='Resultats - informe'!$D$26)*(C1137&lt;='Resultats - informe'!$E$26),0,(C1137&gt;='Resultats - informe'!$D$27)*(C1137&lt;='Resultats - informe'!$E$27),0,(C1137&gt;='Resultats - informe'!$D$28)*(C1137&lt;='Resultats - informe'!$E$28),0,(C1137&gt;='Resultats - informe'!$D$29)*(C1137&lt;='Resultats - informe'!$E$29),0,1,1)</f>
        <v>0</v>
      </c>
      <c r="N1137" s="366">
        <f>+VLOOKUP(D1137,'Resultats - informe'!$Y$18:$AG$42,'Introducció dades consum'!K1137+1,0)</f>
        <v>0</v>
      </c>
      <c r="O1137" s="370" cm="1">
        <f t="array" ref="O1137">+_xlfn.SWITCH(MONTH(C1137),1,1,2,1,3,1,4,2,5,2,6,3,7,3,8,3,9,3,10,2,11,2,12,1,2)</f>
        <v>1</v>
      </c>
      <c r="P1137" s="43"/>
      <c r="AS1137" s="10"/>
      <c r="AT1137" s="10"/>
      <c r="AU1137" s="10"/>
      <c r="AV1137" s="10"/>
      <c r="AW1137" s="10"/>
      <c r="AX1137" s="10"/>
      <c r="AY1137" s="10"/>
      <c r="AZ1137" s="10"/>
      <c r="BA1137" s="10"/>
      <c r="BB1137" s="10"/>
      <c r="BC1137" s="10"/>
      <c r="BD1137" s="10"/>
      <c r="BE1137" s="10"/>
      <c r="BF1137" s="10"/>
      <c r="BG1137" s="10"/>
      <c r="BH1137" s="10"/>
      <c r="BI1137" s="10"/>
      <c r="BJ1137" s="10"/>
      <c r="BK1137" s="10"/>
      <c r="BL1137" s="10"/>
      <c r="BM1137" s="10"/>
      <c r="BN1137" s="10"/>
      <c r="BO1137" s="10"/>
      <c r="BP1137" s="10"/>
      <c r="BQ1137" s="10"/>
      <c r="BR1137" s="10"/>
      <c r="BS1137" s="10"/>
      <c r="BT1137" s="10"/>
      <c r="BU1137" s="10"/>
    </row>
    <row r="1138" spans="1:73" ht="18" x14ac:dyDescent="0.35">
      <c r="A1138" s="43"/>
      <c r="C1138" s="393"/>
      <c r="E1138" s="394"/>
      <c r="F1138" s="394">
        <v>0</v>
      </c>
      <c r="G1138" s="394"/>
      <c r="H1138" s="8" t="s">
        <v>235</v>
      </c>
      <c r="I1138" s="368">
        <f t="shared" si="52"/>
        <v>0</v>
      </c>
      <c r="J1138" s="365">
        <f t="shared" si="51"/>
        <v>0</v>
      </c>
      <c r="K1138" s="369">
        <f t="shared" si="53"/>
        <v>6</v>
      </c>
      <c r="L1138" s="369">
        <f>+IF((C1138&gt;='Resultats - informe'!$E$16)*(C1138&lt;='Resultats - informe'!$G$16),1,0)</f>
        <v>1</v>
      </c>
      <c r="M1138" s="369" cm="1">
        <f t="array" ref="M1138">+_xlfn.IFS((C1138&gt;='Resultats - informe'!$D$26)*(C1138&lt;='Resultats - informe'!$E$26),0,(C1138&gt;='Resultats - informe'!$D$27)*(C1138&lt;='Resultats - informe'!$E$27),0,(C1138&gt;='Resultats - informe'!$D$28)*(C1138&lt;='Resultats - informe'!$E$28),0,(C1138&gt;='Resultats - informe'!$D$29)*(C1138&lt;='Resultats - informe'!$E$29),0,1,1)</f>
        <v>0</v>
      </c>
      <c r="N1138" s="366">
        <f>+VLOOKUP(D1138,'Resultats - informe'!$Y$18:$AG$42,'Introducció dades consum'!K1138+1,0)</f>
        <v>0</v>
      </c>
      <c r="O1138" s="370" cm="1">
        <f t="array" ref="O1138">+_xlfn.SWITCH(MONTH(C1138),1,1,2,1,3,1,4,2,5,2,6,3,7,3,8,3,9,3,10,2,11,2,12,1,2)</f>
        <v>1</v>
      </c>
      <c r="P1138" s="43"/>
      <c r="AS1138" s="10"/>
      <c r="AT1138" s="10"/>
      <c r="AU1138" s="10"/>
      <c r="AV1138" s="10"/>
      <c r="AW1138" s="10"/>
      <c r="AX1138" s="10"/>
      <c r="AY1138" s="10"/>
      <c r="AZ1138" s="10"/>
      <c r="BA1138" s="10"/>
      <c r="BB1138" s="10"/>
      <c r="BC1138" s="10"/>
      <c r="BD1138" s="10"/>
      <c r="BE1138" s="10"/>
      <c r="BF1138" s="10"/>
      <c r="BG1138" s="10"/>
      <c r="BH1138" s="10"/>
      <c r="BI1138" s="10"/>
      <c r="BJ1138" s="10"/>
      <c r="BK1138" s="10"/>
      <c r="BL1138" s="10"/>
      <c r="BM1138" s="10"/>
      <c r="BN1138" s="10"/>
      <c r="BO1138" s="10"/>
      <c r="BP1138" s="10"/>
      <c r="BQ1138" s="10"/>
      <c r="BR1138" s="10"/>
      <c r="BS1138" s="10"/>
      <c r="BT1138" s="10"/>
      <c r="BU1138" s="10"/>
    </row>
    <row r="1139" spans="1:73" ht="18" x14ac:dyDescent="0.35">
      <c r="A1139" s="43"/>
      <c r="C1139" s="393"/>
      <c r="E1139" s="394"/>
      <c r="F1139" s="394">
        <v>0</v>
      </c>
      <c r="G1139" s="394"/>
      <c r="H1139" s="8" t="s">
        <v>235</v>
      </c>
      <c r="I1139" s="368">
        <f t="shared" si="52"/>
        <v>0</v>
      </c>
      <c r="J1139" s="365">
        <f t="shared" si="51"/>
        <v>0</v>
      </c>
      <c r="K1139" s="369">
        <f t="shared" si="53"/>
        <v>6</v>
      </c>
      <c r="L1139" s="369">
        <f>+IF((C1139&gt;='Resultats - informe'!$E$16)*(C1139&lt;='Resultats - informe'!$G$16),1,0)</f>
        <v>1</v>
      </c>
      <c r="M1139" s="369" cm="1">
        <f t="array" ref="M1139">+_xlfn.IFS((C1139&gt;='Resultats - informe'!$D$26)*(C1139&lt;='Resultats - informe'!$E$26),0,(C1139&gt;='Resultats - informe'!$D$27)*(C1139&lt;='Resultats - informe'!$E$27),0,(C1139&gt;='Resultats - informe'!$D$28)*(C1139&lt;='Resultats - informe'!$E$28),0,(C1139&gt;='Resultats - informe'!$D$29)*(C1139&lt;='Resultats - informe'!$E$29),0,1,1)</f>
        <v>0</v>
      </c>
      <c r="N1139" s="366">
        <f>+VLOOKUP(D1139,'Resultats - informe'!$Y$18:$AG$42,'Introducció dades consum'!K1139+1,0)</f>
        <v>0</v>
      </c>
      <c r="O1139" s="370" cm="1">
        <f t="array" ref="O1139">+_xlfn.SWITCH(MONTH(C1139),1,1,2,1,3,1,4,2,5,2,6,3,7,3,8,3,9,3,10,2,11,2,12,1,2)</f>
        <v>1</v>
      </c>
      <c r="P1139" s="43"/>
      <c r="AS1139" s="10"/>
      <c r="AT1139" s="10"/>
      <c r="AU1139" s="10"/>
      <c r="AV1139" s="10"/>
      <c r="AW1139" s="10"/>
      <c r="AX1139" s="10"/>
      <c r="AY1139" s="10"/>
      <c r="AZ1139" s="10"/>
      <c r="BA1139" s="10"/>
      <c r="BB1139" s="10"/>
      <c r="BC1139" s="10"/>
      <c r="BD1139" s="10"/>
      <c r="BE1139" s="10"/>
      <c r="BF1139" s="10"/>
      <c r="BG1139" s="10"/>
      <c r="BH1139" s="10"/>
      <c r="BI1139" s="10"/>
      <c r="BJ1139" s="10"/>
      <c r="BK1139" s="10"/>
      <c r="BL1139" s="10"/>
      <c r="BM1139" s="10"/>
      <c r="BN1139" s="10"/>
      <c r="BO1139" s="10"/>
      <c r="BP1139" s="10"/>
      <c r="BQ1139" s="10"/>
      <c r="BR1139" s="10"/>
      <c r="BS1139" s="10"/>
      <c r="BT1139" s="10"/>
      <c r="BU1139" s="10"/>
    </row>
    <row r="1140" spans="1:73" ht="18" x14ac:dyDescent="0.35">
      <c r="A1140" s="43"/>
      <c r="C1140" s="393"/>
      <c r="E1140" s="394"/>
      <c r="F1140" s="394">
        <v>0</v>
      </c>
      <c r="G1140" s="394"/>
      <c r="H1140" s="8" t="s">
        <v>235</v>
      </c>
      <c r="I1140" s="368">
        <f t="shared" si="52"/>
        <v>0</v>
      </c>
      <c r="J1140" s="365">
        <f t="shared" si="51"/>
        <v>0</v>
      </c>
      <c r="K1140" s="369">
        <f t="shared" si="53"/>
        <v>6</v>
      </c>
      <c r="L1140" s="369">
        <f>+IF((C1140&gt;='Resultats - informe'!$E$16)*(C1140&lt;='Resultats - informe'!$G$16),1,0)</f>
        <v>1</v>
      </c>
      <c r="M1140" s="369" cm="1">
        <f t="array" ref="M1140">+_xlfn.IFS((C1140&gt;='Resultats - informe'!$D$26)*(C1140&lt;='Resultats - informe'!$E$26),0,(C1140&gt;='Resultats - informe'!$D$27)*(C1140&lt;='Resultats - informe'!$E$27),0,(C1140&gt;='Resultats - informe'!$D$28)*(C1140&lt;='Resultats - informe'!$E$28),0,(C1140&gt;='Resultats - informe'!$D$29)*(C1140&lt;='Resultats - informe'!$E$29),0,1,1)</f>
        <v>0</v>
      </c>
      <c r="N1140" s="366">
        <f>+VLOOKUP(D1140,'Resultats - informe'!$Y$18:$AG$42,'Introducció dades consum'!K1140+1,0)</f>
        <v>0</v>
      </c>
      <c r="O1140" s="370" cm="1">
        <f t="array" ref="O1140">+_xlfn.SWITCH(MONTH(C1140),1,1,2,1,3,1,4,2,5,2,6,3,7,3,8,3,9,3,10,2,11,2,12,1,2)</f>
        <v>1</v>
      </c>
      <c r="P1140" s="43"/>
      <c r="AS1140" s="10"/>
      <c r="AT1140" s="10"/>
      <c r="AU1140" s="10"/>
      <c r="AV1140" s="10"/>
      <c r="AW1140" s="10"/>
      <c r="AX1140" s="10"/>
      <c r="AY1140" s="10"/>
      <c r="AZ1140" s="10"/>
      <c r="BA1140" s="10"/>
      <c r="BB1140" s="10"/>
      <c r="BC1140" s="10"/>
      <c r="BD1140" s="10"/>
      <c r="BE1140" s="10"/>
      <c r="BF1140" s="10"/>
      <c r="BG1140" s="10"/>
      <c r="BH1140" s="10"/>
      <c r="BI1140" s="10"/>
      <c r="BJ1140" s="10"/>
      <c r="BK1140" s="10"/>
      <c r="BL1140" s="10"/>
      <c r="BM1140" s="10"/>
      <c r="BN1140" s="10"/>
      <c r="BO1140" s="10"/>
      <c r="BP1140" s="10"/>
      <c r="BQ1140" s="10"/>
      <c r="BR1140" s="10"/>
      <c r="BS1140" s="10"/>
      <c r="BT1140" s="10"/>
      <c r="BU1140" s="10"/>
    </row>
    <row r="1141" spans="1:73" ht="18" x14ac:dyDescent="0.35">
      <c r="A1141" s="43"/>
      <c r="C1141" s="393"/>
      <c r="E1141" s="394"/>
      <c r="F1141" s="394">
        <v>0</v>
      </c>
      <c r="G1141" s="394"/>
      <c r="H1141" s="8" t="s">
        <v>61</v>
      </c>
      <c r="I1141" s="368">
        <f t="shared" si="52"/>
        <v>0</v>
      </c>
      <c r="J1141" s="365">
        <f t="shared" si="51"/>
        <v>0</v>
      </c>
      <c r="K1141" s="369">
        <f t="shared" si="53"/>
        <v>6</v>
      </c>
      <c r="L1141" s="369">
        <f>+IF((C1141&gt;='Resultats - informe'!$E$16)*(C1141&lt;='Resultats - informe'!$G$16),1,0)</f>
        <v>1</v>
      </c>
      <c r="M1141" s="369" cm="1">
        <f t="array" ref="M1141">+_xlfn.IFS((C1141&gt;='Resultats - informe'!$D$26)*(C1141&lt;='Resultats - informe'!$E$26),0,(C1141&gt;='Resultats - informe'!$D$27)*(C1141&lt;='Resultats - informe'!$E$27),0,(C1141&gt;='Resultats - informe'!$D$28)*(C1141&lt;='Resultats - informe'!$E$28),0,(C1141&gt;='Resultats - informe'!$D$29)*(C1141&lt;='Resultats - informe'!$E$29),0,1,1)</f>
        <v>0</v>
      </c>
      <c r="N1141" s="366">
        <f>+VLOOKUP(D1141,'Resultats - informe'!$Y$18:$AG$42,'Introducció dades consum'!K1141+1,0)</f>
        <v>0</v>
      </c>
      <c r="O1141" s="370" cm="1">
        <f t="array" ref="O1141">+_xlfn.SWITCH(MONTH(C1141),1,1,2,1,3,1,4,2,5,2,6,3,7,3,8,3,9,3,10,2,11,2,12,1,2)</f>
        <v>1</v>
      </c>
      <c r="P1141" s="43"/>
      <c r="AS1141" s="10"/>
      <c r="AT1141" s="10"/>
      <c r="AU1141" s="10"/>
      <c r="AV1141" s="10"/>
      <c r="AW1141" s="10"/>
      <c r="AX1141" s="10"/>
      <c r="AY1141" s="10"/>
      <c r="AZ1141" s="10"/>
      <c r="BA1141" s="10"/>
      <c r="BB1141" s="10"/>
      <c r="BC1141" s="10"/>
      <c r="BD1141" s="10"/>
      <c r="BE1141" s="10"/>
      <c r="BF1141" s="10"/>
      <c r="BG1141" s="10"/>
      <c r="BH1141" s="10"/>
      <c r="BI1141" s="10"/>
      <c r="BJ1141" s="10"/>
      <c r="BK1141" s="10"/>
      <c r="BL1141" s="10"/>
      <c r="BM1141" s="10"/>
      <c r="BN1141" s="10"/>
      <c r="BO1141" s="10"/>
      <c r="BP1141" s="10"/>
      <c r="BQ1141" s="10"/>
      <c r="BR1141" s="10"/>
      <c r="BS1141" s="10"/>
      <c r="BT1141" s="10"/>
      <c r="BU1141" s="10"/>
    </row>
    <row r="1142" spans="1:73" ht="18" x14ac:dyDescent="0.35">
      <c r="A1142" s="43"/>
      <c r="C1142" s="393"/>
      <c r="E1142" s="394"/>
      <c r="F1142" s="394">
        <v>0</v>
      </c>
      <c r="G1142" s="394"/>
      <c r="H1142" s="8" t="s">
        <v>61</v>
      </c>
      <c r="I1142" s="368">
        <f t="shared" si="52"/>
        <v>0</v>
      </c>
      <c r="J1142" s="365">
        <f t="shared" si="51"/>
        <v>0</v>
      </c>
      <c r="K1142" s="369">
        <f t="shared" si="53"/>
        <v>6</v>
      </c>
      <c r="L1142" s="369">
        <f>+IF((C1142&gt;='Resultats - informe'!$E$16)*(C1142&lt;='Resultats - informe'!$G$16),1,0)</f>
        <v>1</v>
      </c>
      <c r="M1142" s="369" cm="1">
        <f t="array" ref="M1142">+_xlfn.IFS((C1142&gt;='Resultats - informe'!$D$26)*(C1142&lt;='Resultats - informe'!$E$26),0,(C1142&gt;='Resultats - informe'!$D$27)*(C1142&lt;='Resultats - informe'!$E$27),0,(C1142&gt;='Resultats - informe'!$D$28)*(C1142&lt;='Resultats - informe'!$E$28),0,(C1142&gt;='Resultats - informe'!$D$29)*(C1142&lt;='Resultats - informe'!$E$29),0,1,1)</f>
        <v>0</v>
      </c>
      <c r="N1142" s="366">
        <f>+VLOOKUP(D1142,'Resultats - informe'!$Y$18:$AG$42,'Introducció dades consum'!K1142+1,0)</f>
        <v>0</v>
      </c>
      <c r="O1142" s="370" cm="1">
        <f t="array" ref="O1142">+_xlfn.SWITCH(MONTH(C1142),1,1,2,1,3,1,4,2,5,2,6,3,7,3,8,3,9,3,10,2,11,2,12,1,2)</f>
        <v>1</v>
      </c>
      <c r="P1142" s="43"/>
      <c r="AS1142" s="10"/>
      <c r="AT1142" s="10"/>
      <c r="AU1142" s="10"/>
      <c r="AV1142" s="10"/>
      <c r="AW1142" s="10"/>
      <c r="AX1142" s="10"/>
      <c r="AY1142" s="10"/>
      <c r="AZ1142" s="10"/>
      <c r="BA1142" s="10"/>
      <c r="BB1142" s="10"/>
      <c r="BC1142" s="10"/>
      <c r="BD1142" s="10"/>
      <c r="BE1142" s="10"/>
      <c r="BF1142" s="10"/>
      <c r="BG1142" s="10"/>
      <c r="BH1142" s="10"/>
      <c r="BI1142" s="10"/>
      <c r="BJ1142" s="10"/>
      <c r="BK1142" s="10"/>
      <c r="BL1142" s="10"/>
      <c r="BM1142" s="10"/>
      <c r="BN1142" s="10"/>
      <c r="BO1142" s="10"/>
      <c r="BP1142" s="10"/>
      <c r="BQ1142" s="10"/>
      <c r="BR1142" s="10"/>
      <c r="BS1142" s="10"/>
      <c r="BT1142" s="10"/>
      <c r="BU1142" s="10"/>
    </row>
    <row r="1143" spans="1:73" ht="18" x14ac:dyDescent="0.35">
      <c r="A1143" s="43"/>
      <c r="C1143" s="393"/>
      <c r="E1143" s="394"/>
      <c r="F1143" s="394">
        <v>0</v>
      </c>
      <c r="G1143" s="394"/>
      <c r="H1143" s="8" t="s">
        <v>61</v>
      </c>
      <c r="I1143" s="368">
        <f t="shared" si="52"/>
        <v>0</v>
      </c>
      <c r="J1143" s="365">
        <f t="shared" si="51"/>
        <v>0</v>
      </c>
      <c r="K1143" s="369">
        <f t="shared" si="53"/>
        <v>6</v>
      </c>
      <c r="L1143" s="369">
        <f>+IF((C1143&gt;='Resultats - informe'!$E$16)*(C1143&lt;='Resultats - informe'!$G$16),1,0)</f>
        <v>1</v>
      </c>
      <c r="M1143" s="369" cm="1">
        <f t="array" ref="M1143">+_xlfn.IFS((C1143&gt;='Resultats - informe'!$D$26)*(C1143&lt;='Resultats - informe'!$E$26),0,(C1143&gt;='Resultats - informe'!$D$27)*(C1143&lt;='Resultats - informe'!$E$27),0,(C1143&gt;='Resultats - informe'!$D$28)*(C1143&lt;='Resultats - informe'!$E$28),0,(C1143&gt;='Resultats - informe'!$D$29)*(C1143&lt;='Resultats - informe'!$E$29),0,1,1)</f>
        <v>0</v>
      </c>
      <c r="N1143" s="366">
        <f>+VLOOKUP(D1143,'Resultats - informe'!$Y$18:$AG$42,'Introducció dades consum'!K1143+1,0)</f>
        <v>0</v>
      </c>
      <c r="O1143" s="370" cm="1">
        <f t="array" ref="O1143">+_xlfn.SWITCH(MONTH(C1143),1,1,2,1,3,1,4,2,5,2,6,3,7,3,8,3,9,3,10,2,11,2,12,1,2)</f>
        <v>1</v>
      </c>
      <c r="P1143" s="43"/>
      <c r="AS1143" s="10"/>
      <c r="AT1143" s="10"/>
      <c r="AU1143" s="10"/>
      <c r="AV1143" s="10"/>
      <c r="AW1143" s="10"/>
      <c r="AX1143" s="10"/>
      <c r="AY1143" s="10"/>
      <c r="AZ1143" s="10"/>
      <c r="BA1143" s="10"/>
      <c r="BB1143" s="10"/>
      <c r="BC1143" s="10"/>
      <c r="BD1143" s="10"/>
      <c r="BE1143" s="10"/>
      <c r="BF1143" s="10"/>
      <c r="BG1143" s="10"/>
      <c r="BH1143" s="10"/>
      <c r="BI1143" s="10"/>
      <c r="BJ1143" s="10"/>
      <c r="BK1143" s="10"/>
      <c r="BL1143" s="10"/>
      <c r="BM1143" s="10"/>
      <c r="BN1143" s="10"/>
      <c r="BO1143" s="10"/>
      <c r="BP1143" s="10"/>
      <c r="BQ1143" s="10"/>
      <c r="BR1143" s="10"/>
      <c r="BS1143" s="10"/>
      <c r="BT1143" s="10"/>
      <c r="BU1143" s="10"/>
    </row>
    <row r="1144" spans="1:73" ht="18" x14ac:dyDescent="0.35">
      <c r="A1144" s="43"/>
      <c r="C1144" s="393"/>
      <c r="E1144" s="394"/>
      <c r="F1144" s="394">
        <v>0.86</v>
      </c>
      <c r="G1144" s="394"/>
      <c r="H1144" s="8" t="s">
        <v>61</v>
      </c>
      <c r="I1144" s="368">
        <f t="shared" si="52"/>
        <v>0</v>
      </c>
      <c r="J1144" s="365">
        <f t="shared" si="51"/>
        <v>0</v>
      </c>
      <c r="K1144" s="369">
        <f t="shared" si="53"/>
        <v>6</v>
      </c>
      <c r="L1144" s="369">
        <f>+IF((C1144&gt;='Resultats - informe'!$E$16)*(C1144&lt;='Resultats - informe'!$G$16),1,0)</f>
        <v>1</v>
      </c>
      <c r="M1144" s="369" cm="1">
        <f t="array" ref="M1144">+_xlfn.IFS((C1144&gt;='Resultats - informe'!$D$26)*(C1144&lt;='Resultats - informe'!$E$26),0,(C1144&gt;='Resultats - informe'!$D$27)*(C1144&lt;='Resultats - informe'!$E$27),0,(C1144&gt;='Resultats - informe'!$D$28)*(C1144&lt;='Resultats - informe'!$E$28),0,(C1144&gt;='Resultats - informe'!$D$29)*(C1144&lt;='Resultats - informe'!$E$29),0,1,1)</f>
        <v>0</v>
      </c>
      <c r="N1144" s="366">
        <f>+VLOOKUP(D1144,'Resultats - informe'!$Y$18:$AG$42,'Introducció dades consum'!K1144+1,0)</f>
        <v>0</v>
      </c>
      <c r="O1144" s="370" cm="1">
        <f t="array" ref="O1144">+_xlfn.SWITCH(MONTH(C1144),1,1,2,1,3,1,4,2,5,2,6,3,7,3,8,3,9,3,10,2,11,2,12,1,2)</f>
        <v>1</v>
      </c>
      <c r="P1144" s="43"/>
      <c r="AS1144" s="10"/>
      <c r="AT1144" s="10"/>
      <c r="AU1144" s="10"/>
      <c r="AV1144" s="10"/>
      <c r="AW1144" s="10"/>
      <c r="AX1144" s="10"/>
      <c r="AY1144" s="10"/>
      <c r="AZ1144" s="10"/>
      <c r="BA1144" s="10"/>
      <c r="BB1144" s="10"/>
      <c r="BC1144" s="10"/>
      <c r="BD1144" s="10"/>
      <c r="BE1144" s="10"/>
      <c r="BF1144" s="10"/>
      <c r="BG1144" s="10"/>
      <c r="BH1144" s="10"/>
      <c r="BI1144" s="10"/>
      <c r="BJ1144" s="10"/>
      <c r="BK1144" s="10"/>
      <c r="BL1144" s="10"/>
      <c r="BM1144" s="10"/>
      <c r="BN1144" s="10"/>
      <c r="BO1144" s="10"/>
      <c r="BP1144" s="10"/>
      <c r="BQ1144" s="10"/>
      <c r="BR1144" s="10"/>
      <c r="BS1144" s="10"/>
      <c r="BT1144" s="10"/>
      <c r="BU1144" s="10"/>
    </row>
    <row r="1145" spans="1:73" ht="18" x14ac:dyDescent="0.35">
      <c r="A1145" s="43"/>
      <c r="C1145" s="393"/>
      <c r="E1145" s="394"/>
      <c r="F1145" s="394">
        <v>4.1239999999999997</v>
      </c>
      <c r="G1145" s="394"/>
      <c r="H1145" s="8" t="s">
        <v>61</v>
      </c>
      <c r="I1145" s="368">
        <f t="shared" si="52"/>
        <v>0</v>
      </c>
      <c r="J1145" s="365">
        <f t="shared" si="51"/>
        <v>0</v>
      </c>
      <c r="K1145" s="369">
        <f t="shared" si="53"/>
        <v>6</v>
      </c>
      <c r="L1145" s="369">
        <f>+IF((C1145&gt;='Resultats - informe'!$E$16)*(C1145&lt;='Resultats - informe'!$G$16),1,0)</f>
        <v>1</v>
      </c>
      <c r="M1145" s="369" cm="1">
        <f t="array" ref="M1145">+_xlfn.IFS((C1145&gt;='Resultats - informe'!$D$26)*(C1145&lt;='Resultats - informe'!$E$26),0,(C1145&gt;='Resultats - informe'!$D$27)*(C1145&lt;='Resultats - informe'!$E$27),0,(C1145&gt;='Resultats - informe'!$D$28)*(C1145&lt;='Resultats - informe'!$E$28),0,(C1145&gt;='Resultats - informe'!$D$29)*(C1145&lt;='Resultats - informe'!$E$29),0,1,1)</f>
        <v>0</v>
      </c>
      <c r="N1145" s="366">
        <f>+VLOOKUP(D1145,'Resultats - informe'!$Y$18:$AG$42,'Introducció dades consum'!K1145+1,0)</f>
        <v>0</v>
      </c>
      <c r="O1145" s="370" cm="1">
        <f t="array" ref="O1145">+_xlfn.SWITCH(MONTH(C1145),1,1,2,1,3,1,4,2,5,2,6,3,7,3,8,3,9,3,10,2,11,2,12,1,2)</f>
        <v>1</v>
      </c>
      <c r="P1145" s="43"/>
      <c r="AS1145" s="10"/>
      <c r="AT1145" s="10"/>
      <c r="AU1145" s="10"/>
      <c r="AV1145" s="10"/>
      <c r="AW1145" s="10"/>
      <c r="AX1145" s="10"/>
      <c r="AY1145" s="10"/>
      <c r="AZ1145" s="10"/>
      <c r="BA1145" s="10"/>
      <c r="BB1145" s="10"/>
      <c r="BC1145" s="10"/>
      <c r="BD1145" s="10"/>
      <c r="BE1145" s="10"/>
      <c r="BF1145" s="10"/>
      <c r="BG1145" s="10"/>
      <c r="BH1145" s="10"/>
      <c r="BI1145" s="10"/>
      <c r="BJ1145" s="10"/>
      <c r="BK1145" s="10"/>
      <c r="BL1145" s="10"/>
      <c r="BM1145" s="10"/>
      <c r="BN1145" s="10"/>
      <c r="BO1145" s="10"/>
      <c r="BP1145" s="10"/>
      <c r="BQ1145" s="10"/>
      <c r="BR1145" s="10"/>
      <c r="BS1145" s="10"/>
      <c r="BT1145" s="10"/>
      <c r="BU1145" s="10"/>
    </row>
    <row r="1146" spans="1:73" ht="18" x14ac:dyDescent="0.35">
      <c r="A1146" s="43"/>
      <c r="C1146" s="393"/>
      <c r="E1146" s="394"/>
      <c r="F1146" s="394">
        <v>0.56699999999999995</v>
      </c>
      <c r="G1146" s="394"/>
      <c r="H1146" s="8" t="s">
        <v>235</v>
      </c>
      <c r="I1146" s="368">
        <f t="shared" si="52"/>
        <v>0</v>
      </c>
      <c r="J1146" s="365">
        <f t="shared" si="51"/>
        <v>0</v>
      </c>
      <c r="K1146" s="369">
        <f t="shared" si="53"/>
        <v>6</v>
      </c>
      <c r="L1146" s="369">
        <f>+IF((C1146&gt;='Resultats - informe'!$E$16)*(C1146&lt;='Resultats - informe'!$G$16),1,0)</f>
        <v>1</v>
      </c>
      <c r="M1146" s="369" cm="1">
        <f t="array" ref="M1146">+_xlfn.IFS((C1146&gt;='Resultats - informe'!$D$26)*(C1146&lt;='Resultats - informe'!$E$26),0,(C1146&gt;='Resultats - informe'!$D$27)*(C1146&lt;='Resultats - informe'!$E$27),0,(C1146&gt;='Resultats - informe'!$D$28)*(C1146&lt;='Resultats - informe'!$E$28),0,(C1146&gt;='Resultats - informe'!$D$29)*(C1146&lt;='Resultats - informe'!$E$29),0,1,1)</f>
        <v>0</v>
      </c>
      <c r="N1146" s="366">
        <f>+VLOOKUP(D1146,'Resultats - informe'!$Y$18:$AG$42,'Introducció dades consum'!K1146+1,0)</f>
        <v>0</v>
      </c>
      <c r="O1146" s="370" cm="1">
        <f t="array" ref="O1146">+_xlfn.SWITCH(MONTH(C1146),1,1,2,1,3,1,4,2,5,2,6,3,7,3,8,3,9,3,10,2,11,2,12,1,2)</f>
        <v>1</v>
      </c>
      <c r="P1146" s="43"/>
      <c r="AS1146" s="10"/>
      <c r="AT1146" s="10"/>
      <c r="AU1146" s="10"/>
      <c r="AV1146" s="10"/>
      <c r="AW1146" s="10"/>
      <c r="AX1146" s="10"/>
      <c r="AY1146" s="10"/>
      <c r="AZ1146" s="10"/>
      <c r="BA1146" s="10"/>
      <c r="BB1146" s="10"/>
      <c r="BC1146" s="10"/>
      <c r="BD1146" s="10"/>
      <c r="BE1146" s="10"/>
      <c r="BF1146" s="10"/>
      <c r="BG1146" s="10"/>
      <c r="BH1146" s="10"/>
      <c r="BI1146" s="10"/>
      <c r="BJ1146" s="10"/>
      <c r="BK1146" s="10"/>
      <c r="BL1146" s="10"/>
      <c r="BM1146" s="10"/>
      <c r="BN1146" s="10"/>
      <c r="BO1146" s="10"/>
      <c r="BP1146" s="10"/>
      <c r="BQ1146" s="10"/>
      <c r="BR1146" s="10"/>
      <c r="BS1146" s="10"/>
      <c r="BT1146" s="10"/>
      <c r="BU1146" s="10"/>
    </row>
    <row r="1147" spans="1:73" ht="18" x14ac:dyDescent="0.35">
      <c r="A1147" s="43"/>
      <c r="C1147" s="393"/>
      <c r="E1147" s="394"/>
      <c r="F1147" s="394">
        <v>0.34100000000000003</v>
      </c>
      <c r="G1147" s="394"/>
      <c r="H1147" s="8" t="s">
        <v>235</v>
      </c>
      <c r="I1147" s="368">
        <f t="shared" si="52"/>
        <v>0</v>
      </c>
      <c r="J1147" s="365">
        <f t="shared" ref="J1147:J1210" si="54">+C1147</f>
        <v>0</v>
      </c>
      <c r="K1147" s="369">
        <f t="shared" si="53"/>
        <v>6</v>
      </c>
      <c r="L1147" s="369">
        <f>+IF((C1147&gt;='Resultats - informe'!$E$16)*(C1147&lt;='Resultats - informe'!$G$16),1,0)</f>
        <v>1</v>
      </c>
      <c r="M1147" s="369" cm="1">
        <f t="array" ref="M1147">+_xlfn.IFS((C1147&gt;='Resultats - informe'!$D$26)*(C1147&lt;='Resultats - informe'!$E$26),0,(C1147&gt;='Resultats - informe'!$D$27)*(C1147&lt;='Resultats - informe'!$E$27),0,(C1147&gt;='Resultats - informe'!$D$28)*(C1147&lt;='Resultats - informe'!$E$28),0,(C1147&gt;='Resultats - informe'!$D$29)*(C1147&lt;='Resultats - informe'!$E$29),0,1,1)</f>
        <v>0</v>
      </c>
      <c r="N1147" s="366">
        <f>+VLOOKUP(D1147,'Resultats - informe'!$Y$18:$AG$42,'Introducció dades consum'!K1147+1,0)</f>
        <v>0</v>
      </c>
      <c r="O1147" s="370" cm="1">
        <f t="array" ref="O1147">+_xlfn.SWITCH(MONTH(C1147),1,1,2,1,3,1,4,2,5,2,6,3,7,3,8,3,9,3,10,2,11,2,12,1,2)</f>
        <v>1</v>
      </c>
      <c r="P1147" s="43"/>
      <c r="AS1147" s="10"/>
      <c r="AT1147" s="10"/>
      <c r="AU1147" s="10"/>
      <c r="AV1147" s="10"/>
      <c r="AW1147" s="10"/>
      <c r="AX1147" s="10"/>
      <c r="AY1147" s="10"/>
      <c r="AZ1147" s="10"/>
      <c r="BA1147" s="10"/>
      <c r="BB1147" s="10"/>
      <c r="BC1147" s="10"/>
      <c r="BD1147" s="10"/>
      <c r="BE1147" s="10"/>
      <c r="BF1147" s="10"/>
      <c r="BG1147" s="10"/>
      <c r="BH1147" s="10"/>
      <c r="BI1147" s="10"/>
      <c r="BJ1147" s="10"/>
      <c r="BK1147" s="10"/>
      <c r="BL1147" s="10"/>
      <c r="BM1147" s="10"/>
      <c r="BN1147" s="10"/>
      <c r="BO1147" s="10"/>
      <c r="BP1147" s="10"/>
      <c r="BQ1147" s="10"/>
      <c r="BR1147" s="10"/>
      <c r="BS1147" s="10"/>
      <c r="BT1147" s="10"/>
      <c r="BU1147" s="10"/>
    </row>
    <row r="1148" spans="1:73" ht="18" x14ac:dyDescent="0.35">
      <c r="A1148" s="43"/>
      <c r="C1148" s="393"/>
      <c r="E1148" s="394"/>
      <c r="F1148" s="394">
        <v>0</v>
      </c>
      <c r="G1148" s="394"/>
      <c r="H1148" s="8" t="s">
        <v>235</v>
      </c>
      <c r="I1148" s="368">
        <f t="shared" si="52"/>
        <v>0</v>
      </c>
      <c r="J1148" s="365">
        <f t="shared" si="54"/>
        <v>0</v>
      </c>
      <c r="K1148" s="369">
        <f t="shared" si="53"/>
        <v>6</v>
      </c>
      <c r="L1148" s="369">
        <f>+IF((C1148&gt;='Resultats - informe'!$E$16)*(C1148&lt;='Resultats - informe'!$G$16),1,0)</f>
        <v>1</v>
      </c>
      <c r="M1148" s="369" cm="1">
        <f t="array" ref="M1148">+_xlfn.IFS((C1148&gt;='Resultats - informe'!$D$26)*(C1148&lt;='Resultats - informe'!$E$26),0,(C1148&gt;='Resultats - informe'!$D$27)*(C1148&lt;='Resultats - informe'!$E$27),0,(C1148&gt;='Resultats - informe'!$D$28)*(C1148&lt;='Resultats - informe'!$E$28),0,(C1148&gt;='Resultats - informe'!$D$29)*(C1148&lt;='Resultats - informe'!$E$29),0,1,1)</f>
        <v>0</v>
      </c>
      <c r="N1148" s="366">
        <f>+VLOOKUP(D1148,'Resultats - informe'!$Y$18:$AG$42,'Introducció dades consum'!K1148+1,0)</f>
        <v>0</v>
      </c>
      <c r="O1148" s="370" cm="1">
        <f t="array" ref="O1148">+_xlfn.SWITCH(MONTH(C1148),1,1,2,1,3,1,4,2,5,2,6,3,7,3,8,3,9,3,10,2,11,2,12,1,2)</f>
        <v>1</v>
      </c>
      <c r="P1148" s="43"/>
      <c r="AS1148" s="10"/>
      <c r="AT1148" s="10"/>
      <c r="AU1148" s="10"/>
      <c r="AV1148" s="10"/>
      <c r="AW1148" s="10"/>
      <c r="AX1148" s="10"/>
      <c r="AY1148" s="10"/>
      <c r="AZ1148" s="10"/>
      <c r="BA1148" s="10"/>
      <c r="BB1148" s="10"/>
      <c r="BC1148" s="10"/>
      <c r="BD1148" s="10"/>
      <c r="BE1148" s="10"/>
      <c r="BF1148" s="10"/>
      <c r="BG1148" s="10"/>
      <c r="BH1148" s="10"/>
      <c r="BI1148" s="10"/>
      <c r="BJ1148" s="10"/>
      <c r="BK1148" s="10"/>
      <c r="BL1148" s="10"/>
      <c r="BM1148" s="10"/>
      <c r="BN1148" s="10"/>
      <c r="BO1148" s="10"/>
      <c r="BP1148" s="10"/>
      <c r="BQ1148" s="10"/>
      <c r="BR1148" s="10"/>
      <c r="BS1148" s="10"/>
      <c r="BT1148" s="10"/>
      <c r="BU1148" s="10"/>
    </row>
    <row r="1149" spans="1:73" ht="18" x14ac:dyDescent="0.35">
      <c r="A1149" s="43"/>
      <c r="C1149" s="393"/>
      <c r="E1149" s="394"/>
      <c r="F1149" s="394">
        <v>0</v>
      </c>
      <c r="G1149" s="394"/>
      <c r="H1149" s="8" t="s">
        <v>61</v>
      </c>
      <c r="I1149" s="368">
        <f t="shared" si="52"/>
        <v>0</v>
      </c>
      <c r="J1149" s="365">
        <f t="shared" si="54"/>
        <v>0</v>
      </c>
      <c r="K1149" s="369">
        <f t="shared" si="53"/>
        <v>6</v>
      </c>
      <c r="L1149" s="369">
        <f>+IF((C1149&gt;='Resultats - informe'!$E$16)*(C1149&lt;='Resultats - informe'!$G$16),1,0)</f>
        <v>1</v>
      </c>
      <c r="M1149" s="369" cm="1">
        <f t="array" ref="M1149">+_xlfn.IFS((C1149&gt;='Resultats - informe'!$D$26)*(C1149&lt;='Resultats - informe'!$E$26),0,(C1149&gt;='Resultats - informe'!$D$27)*(C1149&lt;='Resultats - informe'!$E$27),0,(C1149&gt;='Resultats - informe'!$D$28)*(C1149&lt;='Resultats - informe'!$E$28),0,(C1149&gt;='Resultats - informe'!$D$29)*(C1149&lt;='Resultats - informe'!$E$29),0,1,1)</f>
        <v>0</v>
      </c>
      <c r="N1149" s="366">
        <f>+VLOOKUP(D1149,'Resultats - informe'!$Y$18:$AG$42,'Introducció dades consum'!K1149+1,0)</f>
        <v>0</v>
      </c>
      <c r="O1149" s="370" cm="1">
        <f t="array" ref="O1149">+_xlfn.SWITCH(MONTH(C1149),1,1,2,1,3,1,4,2,5,2,6,3,7,3,8,3,9,3,10,2,11,2,12,1,2)</f>
        <v>1</v>
      </c>
      <c r="P1149" s="43"/>
      <c r="AS1149" s="10"/>
      <c r="AT1149" s="10"/>
      <c r="AU1149" s="10"/>
      <c r="AV1149" s="10"/>
      <c r="AW1149" s="10"/>
      <c r="AX1149" s="10"/>
      <c r="AY1149" s="10"/>
      <c r="AZ1149" s="10"/>
      <c r="BA1149" s="10"/>
      <c r="BB1149" s="10"/>
      <c r="BC1149" s="10"/>
      <c r="BD1149" s="10"/>
      <c r="BE1149" s="10"/>
      <c r="BF1149" s="10"/>
      <c r="BG1149" s="10"/>
      <c r="BH1149" s="10"/>
      <c r="BI1149" s="10"/>
      <c r="BJ1149" s="10"/>
      <c r="BK1149" s="10"/>
      <c r="BL1149" s="10"/>
      <c r="BM1149" s="10"/>
      <c r="BN1149" s="10"/>
      <c r="BO1149" s="10"/>
      <c r="BP1149" s="10"/>
      <c r="BQ1149" s="10"/>
      <c r="BR1149" s="10"/>
      <c r="BS1149" s="10"/>
      <c r="BT1149" s="10"/>
      <c r="BU1149" s="10"/>
    </row>
    <row r="1150" spans="1:73" ht="18" x14ac:dyDescent="0.35">
      <c r="A1150" s="43"/>
      <c r="C1150" s="393"/>
      <c r="E1150" s="394"/>
      <c r="F1150" s="394">
        <v>0</v>
      </c>
      <c r="G1150" s="394"/>
      <c r="H1150" s="8" t="s">
        <v>61</v>
      </c>
      <c r="I1150" s="368">
        <f t="shared" si="52"/>
        <v>0</v>
      </c>
      <c r="J1150" s="365">
        <f t="shared" si="54"/>
        <v>0</v>
      </c>
      <c r="K1150" s="369">
        <f t="shared" si="53"/>
        <v>6</v>
      </c>
      <c r="L1150" s="369">
        <f>+IF((C1150&gt;='Resultats - informe'!$E$16)*(C1150&lt;='Resultats - informe'!$G$16),1,0)</f>
        <v>1</v>
      </c>
      <c r="M1150" s="369" cm="1">
        <f t="array" ref="M1150">+_xlfn.IFS((C1150&gt;='Resultats - informe'!$D$26)*(C1150&lt;='Resultats - informe'!$E$26),0,(C1150&gt;='Resultats - informe'!$D$27)*(C1150&lt;='Resultats - informe'!$E$27),0,(C1150&gt;='Resultats - informe'!$D$28)*(C1150&lt;='Resultats - informe'!$E$28),0,(C1150&gt;='Resultats - informe'!$D$29)*(C1150&lt;='Resultats - informe'!$E$29),0,1,1)</f>
        <v>0</v>
      </c>
      <c r="N1150" s="366">
        <f>+VLOOKUP(D1150,'Resultats - informe'!$Y$18:$AG$42,'Introducció dades consum'!K1150+1,0)</f>
        <v>0</v>
      </c>
      <c r="O1150" s="370" cm="1">
        <f t="array" ref="O1150">+_xlfn.SWITCH(MONTH(C1150),1,1,2,1,3,1,4,2,5,2,6,3,7,3,8,3,9,3,10,2,11,2,12,1,2)</f>
        <v>1</v>
      </c>
      <c r="P1150" s="43"/>
      <c r="AS1150" s="10"/>
      <c r="AT1150" s="10"/>
      <c r="AU1150" s="10"/>
      <c r="AV1150" s="10"/>
      <c r="AW1150" s="10"/>
      <c r="AX1150" s="10"/>
      <c r="AY1150" s="10"/>
      <c r="AZ1150" s="10"/>
      <c r="BA1150" s="10"/>
      <c r="BB1150" s="10"/>
      <c r="BC1150" s="10"/>
      <c r="BD1150" s="10"/>
      <c r="BE1150" s="10"/>
      <c r="BF1150" s="10"/>
      <c r="BG1150" s="10"/>
      <c r="BH1150" s="10"/>
      <c r="BI1150" s="10"/>
      <c r="BJ1150" s="10"/>
      <c r="BK1150" s="10"/>
      <c r="BL1150" s="10"/>
      <c r="BM1150" s="10"/>
      <c r="BN1150" s="10"/>
      <c r="BO1150" s="10"/>
      <c r="BP1150" s="10"/>
      <c r="BQ1150" s="10"/>
      <c r="BR1150" s="10"/>
      <c r="BS1150" s="10"/>
      <c r="BT1150" s="10"/>
      <c r="BU1150" s="10"/>
    </row>
    <row r="1151" spans="1:73" ht="18" x14ac:dyDescent="0.35">
      <c r="A1151" s="43"/>
      <c r="C1151" s="393"/>
      <c r="E1151" s="394"/>
      <c r="F1151" s="394">
        <v>0</v>
      </c>
      <c r="G1151" s="394"/>
      <c r="H1151" s="8" t="s">
        <v>235</v>
      </c>
      <c r="I1151" s="368">
        <f t="shared" si="52"/>
        <v>0</v>
      </c>
      <c r="J1151" s="365">
        <f t="shared" si="54"/>
        <v>0</v>
      </c>
      <c r="K1151" s="369">
        <f t="shared" si="53"/>
        <v>6</v>
      </c>
      <c r="L1151" s="369">
        <f>+IF((C1151&gt;='Resultats - informe'!$E$16)*(C1151&lt;='Resultats - informe'!$G$16),1,0)</f>
        <v>1</v>
      </c>
      <c r="M1151" s="369" cm="1">
        <f t="array" ref="M1151">+_xlfn.IFS((C1151&gt;='Resultats - informe'!$D$26)*(C1151&lt;='Resultats - informe'!$E$26),0,(C1151&gt;='Resultats - informe'!$D$27)*(C1151&lt;='Resultats - informe'!$E$27),0,(C1151&gt;='Resultats - informe'!$D$28)*(C1151&lt;='Resultats - informe'!$E$28),0,(C1151&gt;='Resultats - informe'!$D$29)*(C1151&lt;='Resultats - informe'!$E$29),0,1,1)</f>
        <v>0</v>
      </c>
      <c r="N1151" s="366">
        <f>+VLOOKUP(D1151,'Resultats - informe'!$Y$18:$AG$42,'Introducció dades consum'!K1151+1,0)</f>
        <v>0</v>
      </c>
      <c r="O1151" s="370" cm="1">
        <f t="array" ref="O1151">+_xlfn.SWITCH(MONTH(C1151),1,1,2,1,3,1,4,2,5,2,6,3,7,3,8,3,9,3,10,2,11,2,12,1,2)</f>
        <v>1</v>
      </c>
      <c r="P1151" s="43"/>
      <c r="AS1151" s="10"/>
      <c r="AT1151" s="10"/>
      <c r="AU1151" s="10"/>
      <c r="AV1151" s="10"/>
      <c r="AW1151" s="10"/>
      <c r="AX1151" s="10"/>
      <c r="AY1151" s="10"/>
      <c r="AZ1151" s="10"/>
      <c r="BA1151" s="10"/>
      <c r="BB1151" s="10"/>
      <c r="BC1151" s="10"/>
      <c r="BD1151" s="10"/>
      <c r="BE1151" s="10"/>
      <c r="BF1151" s="10"/>
      <c r="BG1151" s="10"/>
      <c r="BH1151" s="10"/>
      <c r="BI1151" s="10"/>
      <c r="BJ1151" s="10"/>
      <c r="BK1151" s="10"/>
      <c r="BL1151" s="10"/>
      <c r="BM1151" s="10"/>
      <c r="BN1151" s="10"/>
      <c r="BO1151" s="10"/>
      <c r="BP1151" s="10"/>
      <c r="BQ1151" s="10"/>
      <c r="BR1151" s="10"/>
      <c r="BS1151" s="10"/>
      <c r="BT1151" s="10"/>
      <c r="BU1151" s="10"/>
    </row>
    <row r="1152" spans="1:73" ht="18" x14ac:dyDescent="0.35">
      <c r="A1152" s="43"/>
      <c r="C1152" s="393"/>
      <c r="E1152" s="394"/>
      <c r="F1152" s="394">
        <v>0</v>
      </c>
      <c r="G1152" s="394"/>
      <c r="H1152" s="8" t="s">
        <v>235</v>
      </c>
      <c r="I1152" s="368">
        <f t="shared" si="52"/>
        <v>0</v>
      </c>
      <c r="J1152" s="365">
        <f t="shared" si="54"/>
        <v>0</v>
      </c>
      <c r="K1152" s="369">
        <f t="shared" si="53"/>
        <v>6</v>
      </c>
      <c r="L1152" s="369">
        <f>+IF((C1152&gt;='Resultats - informe'!$E$16)*(C1152&lt;='Resultats - informe'!$G$16),1,0)</f>
        <v>1</v>
      </c>
      <c r="M1152" s="369" cm="1">
        <f t="array" ref="M1152">+_xlfn.IFS((C1152&gt;='Resultats - informe'!$D$26)*(C1152&lt;='Resultats - informe'!$E$26),0,(C1152&gt;='Resultats - informe'!$D$27)*(C1152&lt;='Resultats - informe'!$E$27),0,(C1152&gt;='Resultats - informe'!$D$28)*(C1152&lt;='Resultats - informe'!$E$28),0,(C1152&gt;='Resultats - informe'!$D$29)*(C1152&lt;='Resultats - informe'!$E$29),0,1,1)</f>
        <v>0</v>
      </c>
      <c r="N1152" s="366">
        <f>+VLOOKUP(D1152,'Resultats - informe'!$Y$18:$AG$42,'Introducció dades consum'!K1152+1,0)</f>
        <v>0</v>
      </c>
      <c r="O1152" s="370" cm="1">
        <f t="array" ref="O1152">+_xlfn.SWITCH(MONTH(C1152),1,1,2,1,3,1,4,2,5,2,6,3,7,3,8,3,9,3,10,2,11,2,12,1,2)</f>
        <v>1</v>
      </c>
      <c r="P1152" s="43"/>
      <c r="AS1152" s="10"/>
      <c r="AT1152" s="10"/>
      <c r="AU1152" s="10"/>
      <c r="AV1152" s="10"/>
      <c r="AW1152" s="10"/>
      <c r="AX1152" s="10"/>
      <c r="AY1152" s="10"/>
      <c r="AZ1152" s="10"/>
      <c r="BA1152" s="10"/>
      <c r="BB1152" s="10"/>
      <c r="BC1152" s="10"/>
      <c r="BD1152" s="10"/>
      <c r="BE1152" s="10"/>
      <c r="BF1152" s="10"/>
      <c r="BG1152" s="10"/>
      <c r="BH1152" s="10"/>
      <c r="BI1152" s="10"/>
      <c r="BJ1152" s="10"/>
      <c r="BK1152" s="10"/>
      <c r="BL1152" s="10"/>
      <c r="BM1152" s="10"/>
      <c r="BN1152" s="10"/>
      <c r="BO1152" s="10"/>
      <c r="BP1152" s="10"/>
      <c r="BQ1152" s="10"/>
      <c r="BR1152" s="10"/>
      <c r="BS1152" s="10"/>
      <c r="BT1152" s="10"/>
      <c r="BU1152" s="10"/>
    </row>
    <row r="1153" spans="1:73" ht="18" x14ac:dyDescent="0.35">
      <c r="A1153" s="43"/>
      <c r="C1153" s="393"/>
      <c r="E1153" s="394"/>
      <c r="F1153" s="394">
        <v>0</v>
      </c>
      <c r="G1153" s="394"/>
      <c r="H1153" s="8" t="s">
        <v>235</v>
      </c>
      <c r="I1153" s="368">
        <f t="shared" si="52"/>
        <v>0</v>
      </c>
      <c r="J1153" s="365">
        <f t="shared" si="54"/>
        <v>0</v>
      </c>
      <c r="K1153" s="369">
        <f t="shared" si="53"/>
        <v>6</v>
      </c>
      <c r="L1153" s="369">
        <f>+IF((C1153&gt;='Resultats - informe'!$E$16)*(C1153&lt;='Resultats - informe'!$G$16),1,0)</f>
        <v>1</v>
      </c>
      <c r="M1153" s="369" cm="1">
        <f t="array" ref="M1153">+_xlfn.IFS((C1153&gt;='Resultats - informe'!$D$26)*(C1153&lt;='Resultats - informe'!$E$26),0,(C1153&gt;='Resultats - informe'!$D$27)*(C1153&lt;='Resultats - informe'!$E$27),0,(C1153&gt;='Resultats - informe'!$D$28)*(C1153&lt;='Resultats - informe'!$E$28),0,(C1153&gt;='Resultats - informe'!$D$29)*(C1153&lt;='Resultats - informe'!$E$29),0,1,1)</f>
        <v>0</v>
      </c>
      <c r="N1153" s="366">
        <f>+VLOOKUP(D1153,'Resultats - informe'!$Y$18:$AG$42,'Introducció dades consum'!K1153+1,0)</f>
        <v>0</v>
      </c>
      <c r="O1153" s="370" cm="1">
        <f t="array" ref="O1153">+_xlfn.SWITCH(MONTH(C1153),1,1,2,1,3,1,4,2,5,2,6,3,7,3,8,3,9,3,10,2,11,2,12,1,2)</f>
        <v>1</v>
      </c>
      <c r="P1153" s="43"/>
      <c r="AS1153" s="10"/>
      <c r="AT1153" s="10"/>
      <c r="AU1153" s="10"/>
      <c r="AV1153" s="10"/>
      <c r="AW1153" s="10"/>
      <c r="AX1153" s="10"/>
      <c r="AY1153" s="10"/>
      <c r="AZ1153" s="10"/>
      <c r="BA1153" s="10"/>
      <c r="BB1153" s="10"/>
      <c r="BC1153" s="10"/>
      <c r="BD1153" s="10"/>
      <c r="BE1153" s="10"/>
      <c r="BF1153" s="10"/>
      <c r="BG1153" s="10"/>
      <c r="BH1153" s="10"/>
      <c r="BI1153" s="10"/>
      <c r="BJ1153" s="10"/>
      <c r="BK1153" s="10"/>
      <c r="BL1153" s="10"/>
      <c r="BM1153" s="10"/>
      <c r="BN1153" s="10"/>
      <c r="BO1153" s="10"/>
      <c r="BP1153" s="10"/>
      <c r="BQ1153" s="10"/>
      <c r="BR1153" s="10"/>
      <c r="BS1153" s="10"/>
      <c r="BT1153" s="10"/>
      <c r="BU1153" s="10"/>
    </row>
    <row r="1154" spans="1:73" ht="18" x14ac:dyDescent="0.35">
      <c r="A1154" s="43"/>
      <c r="C1154" s="393"/>
      <c r="E1154" s="394"/>
      <c r="F1154" s="394">
        <v>0</v>
      </c>
      <c r="G1154" s="394"/>
      <c r="H1154" s="8" t="s">
        <v>235</v>
      </c>
      <c r="I1154" s="368">
        <f t="shared" si="52"/>
        <v>0</v>
      </c>
      <c r="J1154" s="365">
        <f t="shared" si="54"/>
        <v>0</v>
      </c>
      <c r="K1154" s="369">
        <f t="shared" si="53"/>
        <v>6</v>
      </c>
      <c r="L1154" s="369">
        <f>+IF((C1154&gt;='Resultats - informe'!$E$16)*(C1154&lt;='Resultats - informe'!$G$16),1,0)</f>
        <v>1</v>
      </c>
      <c r="M1154" s="369" cm="1">
        <f t="array" ref="M1154">+_xlfn.IFS((C1154&gt;='Resultats - informe'!$D$26)*(C1154&lt;='Resultats - informe'!$E$26),0,(C1154&gt;='Resultats - informe'!$D$27)*(C1154&lt;='Resultats - informe'!$E$27),0,(C1154&gt;='Resultats - informe'!$D$28)*(C1154&lt;='Resultats - informe'!$E$28),0,(C1154&gt;='Resultats - informe'!$D$29)*(C1154&lt;='Resultats - informe'!$E$29),0,1,1)</f>
        <v>0</v>
      </c>
      <c r="N1154" s="366">
        <f>+VLOOKUP(D1154,'Resultats - informe'!$Y$18:$AG$42,'Introducció dades consum'!K1154+1,0)</f>
        <v>0</v>
      </c>
      <c r="O1154" s="370" cm="1">
        <f t="array" ref="O1154">+_xlfn.SWITCH(MONTH(C1154),1,1,2,1,3,1,4,2,5,2,6,3,7,3,8,3,9,3,10,2,11,2,12,1,2)</f>
        <v>1</v>
      </c>
      <c r="P1154" s="43"/>
      <c r="AS1154" s="10"/>
      <c r="AT1154" s="10"/>
      <c r="AU1154" s="10"/>
      <c r="AV1154" s="10"/>
      <c r="AW1154" s="10"/>
      <c r="AX1154" s="10"/>
      <c r="AY1154" s="10"/>
      <c r="AZ1154" s="10"/>
      <c r="BA1154" s="10"/>
      <c r="BB1154" s="10"/>
      <c r="BC1154" s="10"/>
      <c r="BD1154" s="10"/>
      <c r="BE1154" s="10"/>
      <c r="BF1154" s="10"/>
      <c r="BG1154" s="10"/>
      <c r="BH1154" s="10"/>
      <c r="BI1154" s="10"/>
      <c r="BJ1154" s="10"/>
      <c r="BK1154" s="10"/>
      <c r="BL1154" s="10"/>
      <c r="BM1154" s="10"/>
      <c r="BN1154" s="10"/>
      <c r="BO1154" s="10"/>
      <c r="BP1154" s="10"/>
      <c r="BQ1154" s="10"/>
      <c r="BR1154" s="10"/>
      <c r="BS1154" s="10"/>
      <c r="BT1154" s="10"/>
      <c r="BU1154" s="10"/>
    </row>
    <row r="1155" spans="1:73" ht="18" x14ac:dyDescent="0.35">
      <c r="A1155" s="43"/>
      <c r="C1155" s="393"/>
      <c r="E1155" s="394"/>
      <c r="F1155" s="394">
        <v>0</v>
      </c>
      <c r="G1155" s="394"/>
      <c r="H1155" s="8" t="s">
        <v>235</v>
      </c>
      <c r="I1155" s="368">
        <f t="shared" si="52"/>
        <v>0</v>
      </c>
      <c r="J1155" s="365">
        <f t="shared" si="54"/>
        <v>0</v>
      </c>
      <c r="K1155" s="369">
        <f t="shared" si="53"/>
        <v>6</v>
      </c>
      <c r="L1155" s="369">
        <f>+IF((C1155&gt;='Resultats - informe'!$E$16)*(C1155&lt;='Resultats - informe'!$G$16),1,0)</f>
        <v>1</v>
      </c>
      <c r="M1155" s="369" cm="1">
        <f t="array" ref="M1155">+_xlfn.IFS((C1155&gt;='Resultats - informe'!$D$26)*(C1155&lt;='Resultats - informe'!$E$26),0,(C1155&gt;='Resultats - informe'!$D$27)*(C1155&lt;='Resultats - informe'!$E$27),0,(C1155&gt;='Resultats - informe'!$D$28)*(C1155&lt;='Resultats - informe'!$E$28),0,(C1155&gt;='Resultats - informe'!$D$29)*(C1155&lt;='Resultats - informe'!$E$29),0,1,1)</f>
        <v>0</v>
      </c>
      <c r="N1155" s="366">
        <f>+VLOOKUP(D1155,'Resultats - informe'!$Y$18:$AG$42,'Introducció dades consum'!K1155+1,0)</f>
        <v>0</v>
      </c>
      <c r="O1155" s="370" cm="1">
        <f t="array" ref="O1155">+_xlfn.SWITCH(MONTH(C1155),1,1,2,1,3,1,4,2,5,2,6,3,7,3,8,3,9,3,10,2,11,2,12,1,2)</f>
        <v>1</v>
      </c>
      <c r="P1155" s="43"/>
      <c r="AS1155" s="10"/>
      <c r="AT1155" s="10"/>
      <c r="AU1155" s="10"/>
      <c r="AV1155" s="10"/>
      <c r="AW1155" s="10"/>
      <c r="AX1155" s="10"/>
      <c r="AY1155" s="10"/>
      <c r="AZ1155" s="10"/>
      <c r="BA1155" s="10"/>
      <c r="BB1155" s="10"/>
      <c r="BC1155" s="10"/>
      <c r="BD1155" s="10"/>
      <c r="BE1155" s="10"/>
      <c r="BF1155" s="10"/>
      <c r="BG1155" s="10"/>
      <c r="BH1155" s="10"/>
      <c r="BI1155" s="10"/>
      <c r="BJ1155" s="10"/>
      <c r="BK1155" s="10"/>
      <c r="BL1155" s="10"/>
      <c r="BM1155" s="10"/>
      <c r="BN1155" s="10"/>
      <c r="BO1155" s="10"/>
      <c r="BP1155" s="10"/>
      <c r="BQ1155" s="10"/>
      <c r="BR1155" s="10"/>
      <c r="BS1155" s="10"/>
      <c r="BT1155" s="10"/>
      <c r="BU1155" s="10"/>
    </row>
    <row r="1156" spans="1:73" ht="18" x14ac:dyDescent="0.35">
      <c r="A1156" s="43"/>
      <c r="C1156" s="393"/>
      <c r="E1156" s="394"/>
      <c r="F1156" s="394">
        <v>0</v>
      </c>
      <c r="G1156" s="394"/>
      <c r="H1156" s="8" t="s">
        <v>235</v>
      </c>
      <c r="I1156" s="368">
        <f t="shared" si="52"/>
        <v>0</v>
      </c>
      <c r="J1156" s="365">
        <f t="shared" si="54"/>
        <v>0</v>
      </c>
      <c r="K1156" s="369">
        <f t="shared" si="53"/>
        <v>6</v>
      </c>
      <c r="L1156" s="369">
        <f>+IF((C1156&gt;='Resultats - informe'!$E$16)*(C1156&lt;='Resultats - informe'!$G$16),1,0)</f>
        <v>1</v>
      </c>
      <c r="M1156" s="369" cm="1">
        <f t="array" ref="M1156">+_xlfn.IFS((C1156&gt;='Resultats - informe'!$D$26)*(C1156&lt;='Resultats - informe'!$E$26),0,(C1156&gt;='Resultats - informe'!$D$27)*(C1156&lt;='Resultats - informe'!$E$27),0,(C1156&gt;='Resultats - informe'!$D$28)*(C1156&lt;='Resultats - informe'!$E$28),0,(C1156&gt;='Resultats - informe'!$D$29)*(C1156&lt;='Resultats - informe'!$E$29),0,1,1)</f>
        <v>0</v>
      </c>
      <c r="N1156" s="366">
        <f>+VLOOKUP(D1156,'Resultats - informe'!$Y$18:$AG$42,'Introducció dades consum'!K1156+1,0)</f>
        <v>0</v>
      </c>
      <c r="O1156" s="370" cm="1">
        <f t="array" ref="O1156">+_xlfn.SWITCH(MONTH(C1156),1,1,2,1,3,1,4,2,5,2,6,3,7,3,8,3,9,3,10,2,11,2,12,1,2)</f>
        <v>1</v>
      </c>
      <c r="P1156" s="43"/>
      <c r="AS1156" s="10"/>
      <c r="AT1156" s="10"/>
      <c r="AU1156" s="10"/>
      <c r="AV1156" s="10"/>
      <c r="AW1156" s="10"/>
      <c r="AX1156" s="10"/>
      <c r="AY1156" s="10"/>
      <c r="AZ1156" s="10"/>
      <c r="BA1156" s="10"/>
      <c r="BB1156" s="10"/>
      <c r="BC1156" s="10"/>
      <c r="BD1156" s="10"/>
      <c r="BE1156" s="10"/>
      <c r="BF1156" s="10"/>
      <c r="BG1156" s="10"/>
      <c r="BH1156" s="10"/>
      <c r="BI1156" s="10"/>
      <c r="BJ1156" s="10"/>
      <c r="BK1156" s="10"/>
      <c r="BL1156" s="10"/>
      <c r="BM1156" s="10"/>
      <c r="BN1156" s="10"/>
      <c r="BO1156" s="10"/>
      <c r="BP1156" s="10"/>
      <c r="BQ1156" s="10"/>
      <c r="BR1156" s="10"/>
      <c r="BS1156" s="10"/>
      <c r="BT1156" s="10"/>
      <c r="BU1156" s="10"/>
    </row>
    <row r="1157" spans="1:73" ht="18" x14ac:dyDescent="0.35">
      <c r="A1157" s="43"/>
      <c r="C1157" s="393"/>
      <c r="E1157" s="394"/>
      <c r="F1157" s="394">
        <v>0</v>
      </c>
      <c r="G1157" s="394"/>
      <c r="H1157" s="8" t="s">
        <v>235</v>
      </c>
      <c r="I1157" s="368">
        <f t="shared" si="52"/>
        <v>0</v>
      </c>
      <c r="J1157" s="365">
        <f t="shared" si="54"/>
        <v>0</v>
      </c>
      <c r="K1157" s="369">
        <f t="shared" si="53"/>
        <v>6</v>
      </c>
      <c r="L1157" s="369">
        <f>+IF((C1157&gt;='Resultats - informe'!$E$16)*(C1157&lt;='Resultats - informe'!$G$16),1,0)</f>
        <v>1</v>
      </c>
      <c r="M1157" s="369" cm="1">
        <f t="array" ref="M1157">+_xlfn.IFS((C1157&gt;='Resultats - informe'!$D$26)*(C1157&lt;='Resultats - informe'!$E$26),0,(C1157&gt;='Resultats - informe'!$D$27)*(C1157&lt;='Resultats - informe'!$E$27),0,(C1157&gt;='Resultats - informe'!$D$28)*(C1157&lt;='Resultats - informe'!$E$28),0,(C1157&gt;='Resultats - informe'!$D$29)*(C1157&lt;='Resultats - informe'!$E$29),0,1,1)</f>
        <v>0</v>
      </c>
      <c r="N1157" s="366">
        <f>+VLOOKUP(D1157,'Resultats - informe'!$Y$18:$AG$42,'Introducció dades consum'!K1157+1,0)</f>
        <v>0</v>
      </c>
      <c r="O1157" s="370" cm="1">
        <f t="array" ref="O1157">+_xlfn.SWITCH(MONTH(C1157),1,1,2,1,3,1,4,2,5,2,6,3,7,3,8,3,9,3,10,2,11,2,12,1,2)</f>
        <v>1</v>
      </c>
      <c r="P1157" s="43"/>
      <c r="AS1157" s="10"/>
      <c r="AT1157" s="10"/>
      <c r="AU1157" s="10"/>
      <c r="AV1157" s="10"/>
      <c r="AW1157" s="10"/>
      <c r="AX1157" s="10"/>
      <c r="AY1157" s="10"/>
      <c r="AZ1157" s="10"/>
      <c r="BA1157" s="10"/>
      <c r="BB1157" s="10"/>
      <c r="BC1157" s="10"/>
      <c r="BD1157" s="10"/>
      <c r="BE1157" s="10"/>
      <c r="BF1157" s="10"/>
      <c r="BG1157" s="10"/>
      <c r="BH1157" s="10"/>
      <c r="BI1157" s="10"/>
      <c r="BJ1157" s="10"/>
      <c r="BK1157" s="10"/>
      <c r="BL1157" s="10"/>
      <c r="BM1157" s="10"/>
      <c r="BN1157" s="10"/>
      <c r="BO1157" s="10"/>
      <c r="BP1157" s="10"/>
      <c r="BQ1157" s="10"/>
      <c r="BR1157" s="10"/>
      <c r="BS1157" s="10"/>
      <c r="BT1157" s="10"/>
      <c r="BU1157" s="10"/>
    </row>
    <row r="1158" spans="1:73" ht="18" x14ac:dyDescent="0.35">
      <c r="A1158" s="43"/>
      <c r="C1158" s="393"/>
      <c r="E1158" s="394"/>
      <c r="F1158" s="394">
        <v>0</v>
      </c>
      <c r="G1158" s="394"/>
      <c r="H1158" s="8" t="s">
        <v>235</v>
      </c>
      <c r="I1158" s="368">
        <f t="shared" ref="I1158:I1221" si="55">+E1158+G1158</f>
        <v>0</v>
      </c>
      <c r="J1158" s="365">
        <f t="shared" si="54"/>
        <v>0</v>
      </c>
      <c r="K1158" s="369">
        <f t="shared" ref="K1158:K1221" si="56">+WEEKDAY(C1158,2)</f>
        <v>6</v>
      </c>
      <c r="L1158" s="369">
        <f>+IF((C1158&gt;='Resultats - informe'!$E$16)*(C1158&lt;='Resultats - informe'!$G$16),1,0)</f>
        <v>1</v>
      </c>
      <c r="M1158" s="369" cm="1">
        <f t="array" ref="M1158">+_xlfn.IFS((C1158&gt;='Resultats - informe'!$D$26)*(C1158&lt;='Resultats - informe'!$E$26),0,(C1158&gt;='Resultats - informe'!$D$27)*(C1158&lt;='Resultats - informe'!$E$27),0,(C1158&gt;='Resultats - informe'!$D$28)*(C1158&lt;='Resultats - informe'!$E$28),0,(C1158&gt;='Resultats - informe'!$D$29)*(C1158&lt;='Resultats - informe'!$E$29),0,1,1)</f>
        <v>0</v>
      </c>
      <c r="N1158" s="366">
        <f>+VLOOKUP(D1158,'Resultats - informe'!$Y$18:$AG$42,'Introducció dades consum'!K1158+1,0)</f>
        <v>0</v>
      </c>
      <c r="O1158" s="370" cm="1">
        <f t="array" ref="O1158">+_xlfn.SWITCH(MONTH(C1158),1,1,2,1,3,1,4,2,5,2,6,3,7,3,8,3,9,3,10,2,11,2,12,1,2)</f>
        <v>1</v>
      </c>
      <c r="P1158" s="43"/>
      <c r="AS1158" s="10"/>
      <c r="AT1158" s="10"/>
      <c r="AU1158" s="10"/>
      <c r="AV1158" s="10"/>
      <c r="AW1158" s="10"/>
      <c r="AX1158" s="10"/>
      <c r="AY1158" s="10"/>
      <c r="AZ1158" s="10"/>
      <c r="BA1158" s="10"/>
      <c r="BB1158" s="10"/>
      <c r="BC1158" s="10"/>
      <c r="BD1158" s="10"/>
      <c r="BE1158" s="10"/>
      <c r="BF1158" s="10"/>
      <c r="BG1158" s="10"/>
      <c r="BH1158" s="10"/>
      <c r="BI1158" s="10"/>
      <c r="BJ1158" s="10"/>
      <c r="BK1158" s="10"/>
      <c r="BL1158" s="10"/>
      <c r="BM1158" s="10"/>
      <c r="BN1158" s="10"/>
      <c r="BO1158" s="10"/>
      <c r="BP1158" s="10"/>
      <c r="BQ1158" s="10"/>
      <c r="BR1158" s="10"/>
      <c r="BS1158" s="10"/>
      <c r="BT1158" s="10"/>
      <c r="BU1158" s="10"/>
    </row>
    <row r="1159" spans="1:73" ht="18" x14ac:dyDescent="0.35">
      <c r="A1159" s="43"/>
      <c r="C1159" s="393"/>
      <c r="E1159" s="394"/>
      <c r="F1159" s="394">
        <v>0</v>
      </c>
      <c r="G1159" s="394"/>
      <c r="H1159" s="8" t="s">
        <v>235</v>
      </c>
      <c r="I1159" s="368">
        <f t="shared" si="55"/>
        <v>0</v>
      </c>
      <c r="J1159" s="365">
        <f t="shared" si="54"/>
        <v>0</v>
      </c>
      <c r="K1159" s="369">
        <f t="shared" si="56"/>
        <v>6</v>
      </c>
      <c r="L1159" s="369">
        <f>+IF((C1159&gt;='Resultats - informe'!$E$16)*(C1159&lt;='Resultats - informe'!$G$16),1,0)</f>
        <v>1</v>
      </c>
      <c r="M1159" s="369" cm="1">
        <f t="array" ref="M1159">+_xlfn.IFS((C1159&gt;='Resultats - informe'!$D$26)*(C1159&lt;='Resultats - informe'!$E$26),0,(C1159&gt;='Resultats - informe'!$D$27)*(C1159&lt;='Resultats - informe'!$E$27),0,(C1159&gt;='Resultats - informe'!$D$28)*(C1159&lt;='Resultats - informe'!$E$28),0,(C1159&gt;='Resultats - informe'!$D$29)*(C1159&lt;='Resultats - informe'!$E$29),0,1,1)</f>
        <v>0</v>
      </c>
      <c r="N1159" s="366">
        <f>+VLOOKUP(D1159,'Resultats - informe'!$Y$18:$AG$42,'Introducció dades consum'!K1159+1,0)</f>
        <v>0</v>
      </c>
      <c r="O1159" s="370" cm="1">
        <f t="array" ref="O1159">+_xlfn.SWITCH(MONTH(C1159),1,1,2,1,3,1,4,2,5,2,6,3,7,3,8,3,9,3,10,2,11,2,12,1,2)</f>
        <v>1</v>
      </c>
      <c r="P1159" s="43"/>
      <c r="AS1159" s="10"/>
      <c r="AT1159" s="10"/>
      <c r="AU1159" s="10"/>
      <c r="AV1159" s="10"/>
      <c r="AW1159" s="10"/>
      <c r="AX1159" s="10"/>
      <c r="AY1159" s="10"/>
      <c r="AZ1159" s="10"/>
      <c r="BA1159" s="10"/>
      <c r="BB1159" s="10"/>
      <c r="BC1159" s="10"/>
      <c r="BD1159" s="10"/>
      <c r="BE1159" s="10"/>
      <c r="BF1159" s="10"/>
      <c r="BG1159" s="10"/>
      <c r="BH1159" s="10"/>
      <c r="BI1159" s="10"/>
      <c r="BJ1159" s="10"/>
      <c r="BK1159" s="10"/>
      <c r="BL1159" s="10"/>
      <c r="BM1159" s="10"/>
      <c r="BN1159" s="10"/>
      <c r="BO1159" s="10"/>
      <c r="BP1159" s="10"/>
      <c r="BQ1159" s="10"/>
      <c r="BR1159" s="10"/>
      <c r="BS1159" s="10"/>
      <c r="BT1159" s="10"/>
      <c r="BU1159" s="10"/>
    </row>
    <row r="1160" spans="1:73" ht="18" x14ac:dyDescent="0.35">
      <c r="A1160" s="43"/>
      <c r="C1160" s="393"/>
      <c r="E1160" s="394"/>
      <c r="F1160" s="394">
        <v>0</v>
      </c>
      <c r="G1160" s="394"/>
      <c r="H1160" s="8" t="s">
        <v>235</v>
      </c>
      <c r="I1160" s="368">
        <f t="shared" si="55"/>
        <v>0</v>
      </c>
      <c r="J1160" s="365">
        <f t="shared" si="54"/>
        <v>0</v>
      </c>
      <c r="K1160" s="369">
        <f t="shared" si="56"/>
        <v>6</v>
      </c>
      <c r="L1160" s="369">
        <f>+IF((C1160&gt;='Resultats - informe'!$E$16)*(C1160&lt;='Resultats - informe'!$G$16),1,0)</f>
        <v>1</v>
      </c>
      <c r="M1160" s="369" cm="1">
        <f t="array" ref="M1160">+_xlfn.IFS((C1160&gt;='Resultats - informe'!$D$26)*(C1160&lt;='Resultats - informe'!$E$26),0,(C1160&gt;='Resultats - informe'!$D$27)*(C1160&lt;='Resultats - informe'!$E$27),0,(C1160&gt;='Resultats - informe'!$D$28)*(C1160&lt;='Resultats - informe'!$E$28),0,(C1160&gt;='Resultats - informe'!$D$29)*(C1160&lt;='Resultats - informe'!$E$29),0,1,1)</f>
        <v>0</v>
      </c>
      <c r="N1160" s="366">
        <f>+VLOOKUP(D1160,'Resultats - informe'!$Y$18:$AG$42,'Introducció dades consum'!K1160+1,0)</f>
        <v>0</v>
      </c>
      <c r="O1160" s="370" cm="1">
        <f t="array" ref="O1160">+_xlfn.SWITCH(MONTH(C1160),1,1,2,1,3,1,4,2,5,2,6,3,7,3,8,3,9,3,10,2,11,2,12,1,2)</f>
        <v>1</v>
      </c>
      <c r="P1160" s="43"/>
      <c r="AS1160" s="10"/>
      <c r="AT1160" s="10"/>
      <c r="AU1160" s="10"/>
      <c r="AV1160" s="10"/>
      <c r="AW1160" s="10"/>
      <c r="AX1160" s="10"/>
      <c r="AY1160" s="10"/>
      <c r="AZ1160" s="10"/>
      <c r="BA1160" s="10"/>
      <c r="BB1160" s="10"/>
      <c r="BC1160" s="10"/>
      <c r="BD1160" s="10"/>
      <c r="BE1160" s="10"/>
      <c r="BF1160" s="10"/>
      <c r="BG1160" s="10"/>
      <c r="BH1160" s="10"/>
      <c r="BI1160" s="10"/>
      <c r="BJ1160" s="10"/>
      <c r="BK1160" s="10"/>
      <c r="BL1160" s="10"/>
      <c r="BM1160" s="10"/>
      <c r="BN1160" s="10"/>
      <c r="BO1160" s="10"/>
      <c r="BP1160" s="10"/>
      <c r="BQ1160" s="10"/>
      <c r="BR1160" s="10"/>
      <c r="BS1160" s="10"/>
      <c r="BT1160" s="10"/>
      <c r="BU1160" s="10"/>
    </row>
    <row r="1161" spans="1:73" ht="18" x14ac:dyDescent="0.35">
      <c r="A1161" s="43"/>
      <c r="C1161" s="393"/>
      <c r="E1161" s="394"/>
      <c r="F1161" s="394">
        <v>0</v>
      </c>
      <c r="G1161" s="394"/>
      <c r="H1161" s="8" t="s">
        <v>235</v>
      </c>
      <c r="I1161" s="368">
        <f t="shared" si="55"/>
        <v>0</v>
      </c>
      <c r="J1161" s="365">
        <f t="shared" si="54"/>
        <v>0</v>
      </c>
      <c r="K1161" s="369">
        <f t="shared" si="56"/>
        <v>6</v>
      </c>
      <c r="L1161" s="369">
        <f>+IF((C1161&gt;='Resultats - informe'!$E$16)*(C1161&lt;='Resultats - informe'!$G$16),1,0)</f>
        <v>1</v>
      </c>
      <c r="M1161" s="369" cm="1">
        <f t="array" ref="M1161">+_xlfn.IFS((C1161&gt;='Resultats - informe'!$D$26)*(C1161&lt;='Resultats - informe'!$E$26),0,(C1161&gt;='Resultats - informe'!$D$27)*(C1161&lt;='Resultats - informe'!$E$27),0,(C1161&gt;='Resultats - informe'!$D$28)*(C1161&lt;='Resultats - informe'!$E$28),0,(C1161&gt;='Resultats - informe'!$D$29)*(C1161&lt;='Resultats - informe'!$E$29),0,1,1)</f>
        <v>0</v>
      </c>
      <c r="N1161" s="366">
        <f>+VLOOKUP(D1161,'Resultats - informe'!$Y$18:$AG$42,'Introducció dades consum'!K1161+1,0)</f>
        <v>0</v>
      </c>
      <c r="O1161" s="370" cm="1">
        <f t="array" ref="O1161">+_xlfn.SWITCH(MONTH(C1161),1,1,2,1,3,1,4,2,5,2,6,3,7,3,8,3,9,3,10,2,11,2,12,1,2)</f>
        <v>1</v>
      </c>
      <c r="P1161" s="43"/>
      <c r="AS1161" s="10"/>
      <c r="AT1161" s="10"/>
      <c r="AU1161" s="10"/>
      <c r="AV1161" s="10"/>
      <c r="AW1161" s="10"/>
      <c r="AX1161" s="10"/>
      <c r="AY1161" s="10"/>
      <c r="AZ1161" s="10"/>
      <c r="BA1161" s="10"/>
      <c r="BB1161" s="10"/>
      <c r="BC1161" s="10"/>
      <c r="BD1161" s="10"/>
      <c r="BE1161" s="10"/>
      <c r="BF1161" s="10"/>
      <c r="BG1161" s="10"/>
      <c r="BH1161" s="10"/>
      <c r="BI1161" s="10"/>
      <c r="BJ1161" s="10"/>
      <c r="BK1161" s="10"/>
      <c r="BL1161" s="10"/>
      <c r="BM1161" s="10"/>
      <c r="BN1161" s="10"/>
      <c r="BO1161" s="10"/>
      <c r="BP1161" s="10"/>
      <c r="BQ1161" s="10"/>
      <c r="BR1161" s="10"/>
      <c r="BS1161" s="10"/>
      <c r="BT1161" s="10"/>
      <c r="BU1161" s="10"/>
    </row>
    <row r="1162" spans="1:73" ht="18" x14ac:dyDescent="0.35">
      <c r="A1162" s="43"/>
      <c r="C1162" s="393"/>
      <c r="E1162" s="394"/>
      <c r="F1162" s="394">
        <v>0</v>
      </c>
      <c r="G1162" s="394"/>
      <c r="H1162" s="8" t="s">
        <v>235</v>
      </c>
      <c r="I1162" s="368">
        <f t="shared" si="55"/>
        <v>0</v>
      </c>
      <c r="J1162" s="365">
        <f t="shared" si="54"/>
        <v>0</v>
      </c>
      <c r="K1162" s="369">
        <f t="shared" si="56"/>
        <v>6</v>
      </c>
      <c r="L1162" s="369">
        <f>+IF((C1162&gt;='Resultats - informe'!$E$16)*(C1162&lt;='Resultats - informe'!$G$16),1,0)</f>
        <v>1</v>
      </c>
      <c r="M1162" s="369" cm="1">
        <f t="array" ref="M1162">+_xlfn.IFS((C1162&gt;='Resultats - informe'!$D$26)*(C1162&lt;='Resultats - informe'!$E$26),0,(C1162&gt;='Resultats - informe'!$D$27)*(C1162&lt;='Resultats - informe'!$E$27),0,(C1162&gt;='Resultats - informe'!$D$28)*(C1162&lt;='Resultats - informe'!$E$28),0,(C1162&gt;='Resultats - informe'!$D$29)*(C1162&lt;='Resultats - informe'!$E$29),0,1,1)</f>
        <v>0</v>
      </c>
      <c r="N1162" s="366">
        <f>+VLOOKUP(D1162,'Resultats - informe'!$Y$18:$AG$42,'Introducció dades consum'!K1162+1,0)</f>
        <v>0</v>
      </c>
      <c r="O1162" s="370" cm="1">
        <f t="array" ref="O1162">+_xlfn.SWITCH(MONTH(C1162),1,1,2,1,3,1,4,2,5,2,6,3,7,3,8,3,9,3,10,2,11,2,12,1,2)</f>
        <v>1</v>
      </c>
      <c r="P1162" s="43"/>
      <c r="AS1162" s="10"/>
      <c r="AT1162" s="10"/>
      <c r="AU1162" s="10"/>
      <c r="AV1162" s="10"/>
      <c r="AW1162" s="10"/>
      <c r="AX1162" s="10"/>
      <c r="AY1162" s="10"/>
      <c r="AZ1162" s="10"/>
      <c r="BA1162" s="10"/>
      <c r="BB1162" s="10"/>
      <c r="BC1162" s="10"/>
      <c r="BD1162" s="10"/>
      <c r="BE1162" s="10"/>
      <c r="BF1162" s="10"/>
      <c r="BG1162" s="10"/>
      <c r="BH1162" s="10"/>
      <c r="BI1162" s="10"/>
      <c r="BJ1162" s="10"/>
      <c r="BK1162" s="10"/>
      <c r="BL1162" s="10"/>
      <c r="BM1162" s="10"/>
      <c r="BN1162" s="10"/>
      <c r="BO1162" s="10"/>
      <c r="BP1162" s="10"/>
      <c r="BQ1162" s="10"/>
      <c r="BR1162" s="10"/>
      <c r="BS1162" s="10"/>
      <c r="BT1162" s="10"/>
      <c r="BU1162" s="10"/>
    </row>
    <row r="1163" spans="1:73" ht="18" x14ac:dyDescent="0.35">
      <c r="A1163" s="43"/>
      <c r="C1163" s="393"/>
      <c r="E1163" s="394"/>
      <c r="F1163" s="394">
        <v>0</v>
      </c>
      <c r="G1163" s="394"/>
      <c r="H1163" s="8" t="s">
        <v>235</v>
      </c>
      <c r="I1163" s="368">
        <f t="shared" si="55"/>
        <v>0</v>
      </c>
      <c r="J1163" s="365">
        <f t="shared" si="54"/>
        <v>0</v>
      </c>
      <c r="K1163" s="369">
        <f t="shared" si="56"/>
        <v>6</v>
      </c>
      <c r="L1163" s="369">
        <f>+IF((C1163&gt;='Resultats - informe'!$E$16)*(C1163&lt;='Resultats - informe'!$G$16),1,0)</f>
        <v>1</v>
      </c>
      <c r="M1163" s="369" cm="1">
        <f t="array" ref="M1163">+_xlfn.IFS((C1163&gt;='Resultats - informe'!$D$26)*(C1163&lt;='Resultats - informe'!$E$26),0,(C1163&gt;='Resultats - informe'!$D$27)*(C1163&lt;='Resultats - informe'!$E$27),0,(C1163&gt;='Resultats - informe'!$D$28)*(C1163&lt;='Resultats - informe'!$E$28),0,(C1163&gt;='Resultats - informe'!$D$29)*(C1163&lt;='Resultats - informe'!$E$29),0,1,1)</f>
        <v>0</v>
      </c>
      <c r="N1163" s="366">
        <f>+VLOOKUP(D1163,'Resultats - informe'!$Y$18:$AG$42,'Introducció dades consum'!K1163+1,0)</f>
        <v>0</v>
      </c>
      <c r="O1163" s="370" cm="1">
        <f t="array" ref="O1163">+_xlfn.SWITCH(MONTH(C1163),1,1,2,1,3,1,4,2,5,2,6,3,7,3,8,3,9,3,10,2,11,2,12,1,2)</f>
        <v>1</v>
      </c>
      <c r="P1163" s="43"/>
      <c r="AS1163" s="10"/>
      <c r="AT1163" s="10"/>
      <c r="AU1163" s="10"/>
      <c r="AV1163" s="10"/>
      <c r="AW1163" s="10"/>
      <c r="AX1163" s="10"/>
      <c r="AY1163" s="10"/>
      <c r="AZ1163" s="10"/>
      <c r="BA1163" s="10"/>
      <c r="BB1163" s="10"/>
      <c r="BC1163" s="10"/>
      <c r="BD1163" s="10"/>
      <c r="BE1163" s="10"/>
      <c r="BF1163" s="10"/>
      <c r="BG1163" s="10"/>
      <c r="BH1163" s="10"/>
      <c r="BI1163" s="10"/>
      <c r="BJ1163" s="10"/>
      <c r="BK1163" s="10"/>
      <c r="BL1163" s="10"/>
      <c r="BM1163" s="10"/>
      <c r="BN1163" s="10"/>
      <c r="BO1163" s="10"/>
      <c r="BP1163" s="10"/>
      <c r="BQ1163" s="10"/>
      <c r="BR1163" s="10"/>
      <c r="BS1163" s="10"/>
      <c r="BT1163" s="10"/>
      <c r="BU1163" s="10"/>
    </row>
    <row r="1164" spans="1:73" ht="18" x14ac:dyDescent="0.35">
      <c r="A1164" s="43"/>
      <c r="C1164" s="393"/>
      <c r="E1164" s="394"/>
      <c r="F1164" s="394">
        <v>6.3E-2</v>
      </c>
      <c r="G1164" s="394"/>
      <c r="H1164" s="8" t="s">
        <v>235</v>
      </c>
      <c r="I1164" s="368">
        <f t="shared" si="55"/>
        <v>0</v>
      </c>
      <c r="J1164" s="365">
        <f t="shared" si="54"/>
        <v>0</v>
      </c>
      <c r="K1164" s="369">
        <f t="shared" si="56"/>
        <v>6</v>
      </c>
      <c r="L1164" s="369">
        <f>+IF((C1164&gt;='Resultats - informe'!$E$16)*(C1164&lt;='Resultats - informe'!$G$16),1,0)</f>
        <v>1</v>
      </c>
      <c r="M1164" s="369" cm="1">
        <f t="array" ref="M1164">+_xlfn.IFS((C1164&gt;='Resultats - informe'!$D$26)*(C1164&lt;='Resultats - informe'!$E$26),0,(C1164&gt;='Resultats - informe'!$D$27)*(C1164&lt;='Resultats - informe'!$E$27),0,(C1164&gt;='Resultats - informe'!$D$28)*(C1164&lt;='Resultats - informe'!$E$28),0,(C1164&gt;='Resultats - informe'!$D$29)*(C1164&lt;='Resultats - informe'!$E$29),0,1,1)</f>
        <v>0</v>
      </c>
      <c r="N1164" s="366">
        <f>+VLOOKUP(D1164,'Resultats - informe'!$Y$18:$AG$42,'Introducció dades consum'!K1164+1,0)</f>
        <v>0</v>
      </c>
      <c r="O1164" s="370" cm="1">
        <f t="array" ref="O1164">+_xlfn.SWITCH(MONTH(C1164),1,1,2,1,3,1,4,2,5,2,6,3,7,3,8,3,9,3,10,2,11,2,12,1,2)</f>
        <v>1</v>
      </c>
      <c r="P1164" s="43"/>
      <c r="AS1164" s="10"/>
      <c r="AT1164" s="10"/>
      <c r="AU1164" s="10"/>
      <c r="AV1164" s="10"/>
      <c r="AW1164" s="10"/>
      <c r="AX1164" s="10"/>
      <c r="AY1164" s="10"/>
      <c r="AZ1164" s="10"/>
      <c r="BA1164" s="10"/>
      <c r="BB1164" s="10"/>
      <c r="BC1164" s="10"/>
      <c r="BD1164" s="10"/>
      <c r="BE1164" s="10"/>
      <c r="BF1164" s="10"/>
      <c r="BG1164" s="10"/>
      <c r="BH1164" s="10"/>
      <c r="BI1164" s="10"/>
      <c r="BJ1164" s="10"/>
      <c r="BK1164" s="10"/>
      <c r="BL1164" s="10"/>
      <c r="BM1164" s="10"/>
      <c r="BN1164" s="10"/>
      <c r="BO1164" s="10"/>
      <c r="BP1164" s="10"/>
      <c r="BQ1164" s="10"/>
      <c r="BR1164" s="10"/>
      <c r="BS1164" s="10"/>
      <c r="BT1164" s="10"/>
      <c r="BU1164" s="10"/>
    </row>
    <row r="1165" spans="1:73" ht="18" x14ac:dyDescent="0.35">
      <c r="A1165" s="43"/>
      <c r="C1165" s="393"/>
      <c r="E1165" s="394"/>
      <c r="F1165" s="394">
        <v>0</v>
      </c>
      <c r="G1165" s="394"/>
      <c r="H1165" s="8" t="s">
        <v>235</v>
      </c>
      <c r="I1165" s="368">
        <f t="shared" si="55"/>
        <v>0</v>
      </c>
      <c r="J1165" s="365">
        <f t="shared" si="54"/>
        <v>0</v>
      </c>
      <c r="K1165" s="369">
        <f t="shared" si="56"/>
        <v>6</v>
      </c>
      <c r="L1165" s="369">
        <f>+IF((C1165&gt;='Resultats - informe'!$E$16)*(C1165&lt;='Resultats - informe'!$G$16),1,0)</f>
        <v>1</v>
      </c>
      <c r="M1165" s="369" cm="1">
        <f t="array" ref="M1165">+_xlfn.IFS((C1165&gt;='Resultats - informe'!$D$26)*(C1165&lt;='Resultats - informe'!$E$26),0,(C1165&gt;='Resultats - informe'!$D$27)*(C1165&lt;='Resultats - informe'!$E$27),0,(C1165&gt;='Resultats - informe'!$D$28)*(C1165&lt;='Resultats - informe'!$E$28),0,(C1165&gt;='Resultats - informe'!$D$29)*(C1165&lt;='Resultats - informe'!$E$29),0,1,1)</f>
        <v>0</v>
      </c>
      <c r="N1165" s="366">
        <f>+VLOOKUP(D1165,'Resultats - informe'!$Y$18:$AG$42,'Introducció dades consum'!K1165+1,0)</f>
        <v>0</v>
      </c>
      <c r="O1165" s="370" cm="1">
        <f t="array" ref="O1165">+_xlfn.SWITCH(MONTH(C1165),1,1,2,1,3,1,4,2,5,2,6,3,7,3,8,3,9,3,10,2,11,2,12,1,2)</f>
        <v>1</v>
      </c>
      <c r="P1165" s="43"/>
      <c r="AS1165" s="10"/>
      <c r="AT1165" s="10"/>
      <c r="AU1165" s="10"/>
      <c r="AV1165" s="10"/>
      <c r="AW1165" s="10"/>
      <c r="AX1165" s="10"/>
      <c r="AY1165" s="10"/>
      <c r="AZ1165" s="10"/>
      <c r="BA1165" s="10"/>
      <c r="BB1165" s="10"/>
      <c r="BC1165" s="10"/>
      <c r="BD1165" s="10"/>
      <c r="BE1165" s="10"/>
      <c r="BF1165" s="10"/>
      <c r="BG1165" s="10"/>
      <c r="BH1165" s="10"/>
      <c r="BI1165" s="10"/>
      <c r="BJ1165" s="10"/>
      <c r="BK1165" s="10"/>
      <c r="BL1165" s="10"/>
      <c r="BM1165" s="10"/>
      <c r="BN1165" s="10"/>
      <c r="BO1165" s="10"/>
      <c r="BP1165" s="10"/>
      <c r="BQ1165" s="10"/>
      <c r="BR1165" s="10"/>
      <c r="BS1165" s="10"/>
      <c r="BT1165" s="10"/>
      <c r="BU1165" s="10"/>
    </row>
    <row r="1166" spans="1:73" ht="18" x14ac:dyDescent="0.35">
      <c r="A1166" s="43"/>
      <c r="C1166" s="393"/>
      <c r="E1166" s="394"/>
      <c r="F1166" s="394">
        <v>0</v>
      </c>
      <c r="G1166" s="394"/>
      <c r="H1166" s="8" t="s">
        <v>61</v>
      </c>
      <c r="I1166" s="368">
        <f t="shared" si="55"/>
        <v>0</v>
      </c>
      <c r="J1166" s="365">
        <f t="shared" si="54"/>
        <v>0</v>
      </c>
      <c r="K1166" s="369">
        <f t="shared" si="56"/>
        <v>6</v>
      </c>
      <c r="L1166" s="369">
        <f>+IF((C1166&gt;='Resultats - informe'!$E$16)*(C1166&lt;='Resultats - informe'!$G$16),1,0)</f>
        <v>1</v>
      </c>
      <c r="M1166" s="369" cm="1">
        <f t="array" ref="M1166">+_xlfn.IFS((C1166&gt;='Resultats - informe'!$D$26)*(C1166&lt;='Resultats - informe'!$E$26),0,(C1166&gt;='Resultats - informe'!$D$27)*(C1166&lt;='Resultats - informe'!$E$27),0,(C1166&gt;='Resultats - informe'!$D$28)*(C1166&lt;='Resultats - informe'!$E$28),0,(C1166&gt;='Resultats - informe'!$D$29)*(C1166&lt;='Resultats - informe'!$E$29),0,1,1)</f>
        <v>0</v>
      </c>
      <c r="N1166" s="366">
        <f>+VLOOKUP(D1166,'Resultats - informe'!$Y$18:$AG$42,'Introducció dades consum'!K1166+1,0)</f>
        <v>0</v>
      </c>
      <c r="O1166" s="370" cm="1">
        <f t="array" ref="O1166">+_xlfn.SWITCH(MONTH(C1166),1,1,2,1,3,1,4,2,5,2,6,3,7,3,8,3,9,3,10,2,11,2,12,1,2)</f>
        <v>1</v>
      </c>
      <c r="P1166" s="43"/>
      <c r="AS1166" s="10"/>
      <c r="AT1166" s="10"/>
      <c r="AU1166" s="10"/>
      <c r="AV1166" s="10"/>
      <c r="AW1166" s="10"/>
      <c r="AX1166" s="10"/>
      <c r="AY1166" s="10"/>
      <c r="AZ1166" s="10"/>
      <c r="BA1166" s="10"/>
      <c r="BB1166" s="10"/>
      <c r="BC1166" s="10"/>
      <c r="BD1166" s="10"/>
      <c r="BE1166" s="10"/>
      <c r="BF1166" s="10"/>
      <c r="BG1166" s="10"/>
      <c r="BH1166" s="10"/>
      <c r="BI1166" s="10"/>
      <c r="BJ1166" s="10"/>
      <c r="BK1166" s="10"/>
      <c r="BL1166" s="10"/>
      <c r="BM1166" s="10"/>
      <c r="BN1166" s="10"/>
      <c r="BO1166" s="10"/>
      <c r="BP1166" s="10"/>
      <c r="BQ1166" s="10"/>
      <c r="BR1166" s="10"/>
      <c r="BS1166" s="10"/>
      <c r="BT1166" s="10"/>
      <c r="BU1166" s="10"/>
    </row>
    <row r="1167" spans="1:73" ht="18" x14ac:dyDescent="0.35">
      <c r="A1167" s="43"/>
      <c r="C1167" s="393"/>
      <c r="E1167" s="394"/>
      <c r="F1167" s="394">
        <v>0.17399999999999999</v>
      </c>
      <c r="G1167" s="394"/>
      <c r="H1167" s="8" t="s">
        <v>61</v>
      </c>
      <c r="I1167" s="368">
        <f t="shared" si="55"/>
        <v>0</v>
      </c>
      <c r="J1167" s="365">
        <f t="shared" si="54"/>
        <v>0</v>
      </c>
      <c r="K1167" s="369">
        <f t="shared" si="56"/>
        <v>6</v>
      </c>
      <c r="L1167" s="369">
        <f>+IF((C1167&gt;='Resultats - informe'!$E$16)*(C1167&lt;='Resultats - informe'!$G$16),1,0)</f>
        <v>1</v>
      </c>
      <c r="M1167" s="369" cm="1">
        <f t="array" ref="M1167">+_xlfn.IFS((C1167&gt;='Resultats - informe'!$D$26)*(C1167&lt;='Resultats - informe'!$E$26),0,(C1167&gt;='Resultats - informe'!$D$27)*(C1167&lt;='Resultats - informe'!$E$27),0,(C1167&gt;='Resultats - informe'!$D$28)*(C1167&lt;='Resultats - informe'!$E$28),0,(C1167&gt;='Resultats - informe'!$D$29)*(C1167&lt;='Resultats - informe'!$E$29),0,1,1)</f>
        <v>0</v>
      </c>
      <c r="N1167" s="366">
        <f>+VLOOKUP(D1167,'Resultats - informe'!$Y$18:$AG$42,'Introducció dades consum'!K1167+1,0)</f>
        <v>0</v>
      </c>
      <c r="O1167" s="370" cm="1">
        <f t="array" ref="O1167">+_xlfn.SWITCH(MONTH(C1167),1,1,2,1,3,1,4,2,5,2,6,3,7,3,8,3,9,3,10,2,11,2,12,1,2)</f>
        <v>1</v>
      </c>
      <c r="P1167" s="43"/>
      <c r="AS1167" s="10"/>
      <c r="AT1167" s="10"/>
      <c r="AU1167" s="10"/>
      <c r="AV1167" s="10"/>
      <c r="AW1167" s="10"/>
      <c r="AX1167" s="10"/>
      <c r="AY1167" s="10"/>
      <c r="AZ1167" s="10"/>
      <c r="BA1167" s="10"/>
      <c r="BB1167" s="10"/>
      <c r="BC1167" s="10"/>
      <c r="BD1167" s="10"/>
      <c r="BE1167" s="10"/>
      <c r="BF1167" s="10"/>
      <c r="BG1167" s="10"/>
      <c r="BH1167" s="10"/>
      <c r="BI1167" s="10"/>
      <c r="BJ1167" s="10"/>
      <c r="BK1167" s="10"/>
      <c r="BL1167" s="10"/>
      <c r="BM1167" s="10"/>
      <c r="BN1167" s="10"/>
      <c r="BO1167" s="10"/>
      <c r="BP1167" s="10"/>
      <c r="BQ1167" s="10"/>
      <c r="BR1167" s="10"/>
      <c r="BS1167" s="10"/>
      <c r="BT1167" s="10"/>
      <c r="BU1167" s="10"/>
    </row>
    <row r="1168" spans="1:73" ht="18" x14ac:dyDescent="0.35">
      <c r="A1168" s="43"/>
      <c r="C1168" s="393"/>
      <c r="E1168" s="394"/>
      <c r="F1168" s="394">
        <v>0.371</v>
      </c>
      <c r="G1168" s="394"/>
      <c r="H1168" s="8" t="s">
        <v>235</v>
      </c>
      <c r="I1168" s="368">
        <f t="shared" si="55"/>
        <v>0</v>
      </c>
      <c r="J1168" s="365">
        <f t="shared" si="54"/>
        <v>0</v>
      </c>
      <c r="K1168" s="369">
        <f t="shared" si="56"/>
        <v>6</v>
      </c>
      <c r="L1168" s="369">
        <f>+IF((C1168&gt;='Resultats - informe'!$E$16)*(C1168&lt;='Resultats - informe'!$G$16),1,0)</f>
        <v>1</v>
      </c>
      <c r="M1168" s="369" cm="1">
        <f t="array" ref="M1168">+_xlfn.IFS((C1168&gt;='Resultats - informe'!$D$26)*(C1168&lt;='Resultats - informe'!$E$26),0,(C1168&gt;='Resultats - informe'!$D$27)*(C1168&lt;='Resultats - informe'!$E$27),0,(C1168&gt;='Resultats - informe'!$D$28)*(C1168&lt;='Resultats - informe'!$E$28),0,(C1168&gt;='Resultats - informe'!$D$29)*(C1168&lt;='Resultats - informe'!$E$29),0,1,1)</f>
        <v>0</v>
      </c>
      <c r="N1168" s="366">
        <f>+VLOOKUP(D1168,'Resultats - informe'!$Y$18:$AG$42,'Introducció dades consum'!K1168+1,0)</f>
        <v>0</v>
      </c>
      <c r="O1168" s="370" cm="1">
        <f t="array" ref="O1168">+_xlfn.SWITCH(MONTH(C1168),1,1,2,1,3,1,4,2,5,2,6,3,7,3,8,3,9,3,10,2,11,2,12,1,2)</f>
        <v>1</v>
      </c>
      <c r="P1168" s="43"/>
      <c r="AS1168" s="10"/>
      <c r="AT1168" s="10"/>
      <c r="AU1168" s="10"/>
      <c r="AV1168" s="10"/>
      <c r="AW1168" s="10"/>
      <c r="AX1168" s="10"/>
      <c r="AY1168" s="10"/>
      <c r="AZ1168" s="10"/>
      <c r="BA1168" s="10"/>
      <c r="BB1168" s="10"/>
      <c r="BC1168" s="10"/>
      <c r="BD1168" s="10"/>
      <c r="BE1168" s="10"/>
      <c r="BF1168" s="10"/>
      <c r="BG1168" s="10"/>
      <c r="BH1168" s="10"/>
      <c r="BI1168" s="10"/>
      <c r="BJ1168" s="10"/>
      <c r="BK1168" s="10"/>
      <c r="BL1168" s="10"/>
      <c r="BM1168" s="10"/>
      <c r="BN1168" s="10"/>
      <c r="BO1168" s="10"/>
      <c r="BP1168" s="10"/>
      <c r="BQ1168" s="10"/>
      <c r="BR1168" s="10"/>
      <c r="BS1168" s="10"/>
      <c r="BT1168" s="10"/>
      <c r="BU1168" s="10"/>
    </row>
    <row r="1169" spans="1:73" ht="18" x14ac:dyDescent="0.35">
      <c r="A1169" s="43"/>
      <c r="C1169" s="393"/>
      <c r="E1169" s="394"/>
      <c r="F1169" s="394">
        <v>1.421</v>
      </c>
      <c r="G1169" s="394"/>
      <c r="H1169" s="8" t="s">
        <v>235</v>
      </c>
      <c r="I1169" s="368">
        <f t="shared" si="55"/>
        <v>0</v>
      </c>
      <c r="J1169" s="365">
        <f t="shared" si="54"/>
        <v>0</v>
      </c>
      <c r="K1169" s="369">
        <f t="shared" si="56"/>
        <v>6</v>
      </c>
      <c r="L1169" s="369">
        <f>+IF((C1169&gt;='Resultats - informe'!$E$16)*(C1169&lt;='Resultats - informe'!$G$16),1,0)</f>
        <v>1</v>
      </c>
      <c r="M1169" s="369" cm="1">
        <f t="array" ref="M1169">+_xlfn.IFS((C1169&gt;='Resultats - informe'!$D$26)*(C1169&lt;='Resultats - informe'!$E$26),0,(C1169&gt;='Resultats - informe'!$D$27)*(C1169&lt;='Resultats - informe'!$E$27),0,(C1169&gt;='Resultats - informe'!$D$28)*(C1169&lt;='Resultats - informe'!$E$28),0,(C1169&gt;='Resultats - informe'!$D$29)*(C1169&lt;='Resultats - informe'!$E$29),0,1,1)</f>
        <v>0</v>
      </c>
      <c r="N1169" s="366">
        <f>+VLOOKUP(D1169,'Resultats - informe'!$Y$18:$AG$42,'Introducció dades consum'!K1169+1,0)</f>
        <v>0</v>
      </c>
      <c r="O1169" s="370" cm="1">
        <f t="array" ref="O1169">+_xlfn.SWITCH(MONTH(C1169),1,1,2,1,3,1,4,2,5,2,6,3,7,3,8,3,9,3,10,2,11,2,12,1,2)</f>
        <v>1</v>
      </c>
      <c r="P1169" s="43"/>
      <c r="AS1169" s="10"/>
      <c r="AT1169" s="10"/>
      <c r="AU1169" s="10"/>
      <c r="AV1169" s="10"/>
      <c r="AW1169" s="10"/>
      <c r="AX1169" s="10"/>
      <c r="AY1169" s="10"/>
      <c r="AZ1169" s="10"/>
      <c r="BA1169" s="10"/>
      <c r="BB1169" s="10"/>
      <c r="BC1169" s="10"/>
      <c r="BD1169" s="10"/>
      <c r="BE1169" s="10"/>
      <c r="BF1169" s="10"/>
      <c r="BG1169" s="10"/>
      <c r="BH1169" s="10"/>
      <c r="BI1169" s="10"/>
      <c r="BJ1169" s="10"/>
      <c r="BK1169" s="10"/>
      <c r="BL1169" s="10"/>
      <c r="BM1169" s="10"/>
      <c r="BN1169" s="10"/>
      <c r="BO1169" s="10"/>
      <c r="BP1169" s="10"/>
      <c r="BQ1169" s="10"/>
      <c r="BR1169" s="10"/>
      <c r="BS1169" s="10"/>
      <c r="BT1169" s="10"/>
      <c r="BU1169" s="10"/>
    </row>
    <row r="1170" spans="1:73" ht="18" x14ac:dyDescent="0.35">
      <c r="A1170" s="43"/>
      <c r="C1170" s="393"/>
      <c r="E1170" s="394"/>
      <c r="F1170" s="394">
        <v>0.99</v>
      </c>
      <c r="G1170" s="394"/>
      <c r="H1170" s="8" t="s">
        <v>235</v>
      </c>
      <c r="I1170" s="368">
        <f t="shared" si="55"/>
        <v>0</v>
      </c>
      <c r="J1170" s="365">
        <f t="shared" si="54"/>
        <v>0</v>
      </c>
      <c r="K1170" s="369">
        <f t="shared" si="56"/>
        <v>6</v>
      </c>
      <c r="L1170" s="369">
        <f>+IF((C1170&gt;='Resultats - informe'!$E$16)*(C1170&lt;='Resultats - informe'!$G$16),1,0)</f>
        <v>1</v>
      </c>
      <c r="M1170" s="369" cm="1">
        <f t="array" ref="M1170">+_xlfn.IFS((C1170&gt;='Resultats - informe'!$D$26)*(C1170&lt;='Resultats - informe'!$E$26),0,(C1170&gt;='Resultats - informe'!$D$27)*(C1170&lt;='Resultats - informe'!$E$27),0,(C1170&gt;='Resultats - informe'!$D$28)*(C1170&lt;='Resultats - informe'!$E$28),0,(C1170&gt;='Resultats - informe'!$D$29)*(C1170&lt;='Resultats - informe'!$E$29),0,1,1)</f>
        <v>0</v>
      </c>
      <c r="N1170" s="366">
        <f>+VLOOKUP(D1170,'Resultats - informe'!$Y$18:$AG$42,'Introducció dades consum'!K1170+1,0)</f>
        <v>0</v>
      </c>
      <c r="O1170" s="370" cm="1">
        <f t="array" ref="O1170">+_xlfn.SWITCH(MONTH(C1170),1,1,2,1,3,1,4,2,5,2,6,3,7,3,8,3,9,3,10,2,11,2,12,1,2)</f>
        <v>1</v>
      </c>
      <c r="P1170" s="43"/>
      <c r="AS1170" s="10"/>
      <c r="AT1170" s="10"/>
      <c r="AU1170" s="10"/>
      <c r="AV1170" s="10"/>
      <c r="AW1170" s="10"/>
      <c r="AX1170" s="10"/>
      <c r="AY1170" s="10"/>
      <c r="AZ1170" s="10"/>
      <c r="BA1170" s="10"/>
      <c r="BB1170" s="10"/>
      <c r="BC1170" s="10"/>
      <c r="BD1170" s="10"/>
      <c r="BE1170" s="10"/>
      <c r="BF1170" s="10"/>
      <c r="BG1170" s="10"/>
      <c r="BH1170" s="10"/>
      <c r="BI1170" s="10"/>
      <c r="BJ1170" s="10"/>
      <c r="BK1170" s="10"/>
      <c r="BL1170" s="10"/>
      <c r="BM1170" s="10"/>
      <c r="BN1170" s="10"/>
      <c r="BO1170" s="10"/>
      <c r="BP1170" s="10"/>
      <c r="BQ1170" s="10"/>
      <c r="BR1170" s="10"/>
      <c r="BS1170" s="10"/>
      <c r="BT1170" s="10"/>
      <c r="BU1170" s="10"/>
    </row>
    <row r="1171" spans="1:73" ht="18" x14ac:dyDescent="0.35">
      <c r="A1171" s="43"/>
      <c r="C1171" s="393"/>
      <c r="E1171" s="394"/>
      <c r="F1171" s="394">
        <v>6.9000000000000006E-2</v>
      </c>
      <c r="G1171" s="394"/>
      <c r="H1171" s="8" t="s">
        <v>235</v>
      </c>
      <c r="I1171" s="368">
        <f t="shared" si="55"/>
        <v>0</v>
      </c>
      <c r="J1171" s="365">
        <f t="shared" si="54"/>
        <v>0</v>
      </c>
      <c r="K1171" s="369">
        <f t="shared" si="56"/>
        <v>6</v>
      </c>
      <c r="L1171" s="369">
        <f>+IF((C1171&gt;='Resultats - informe'!$E$16)*(C1171&lt;='Resultats - informe'!$G$16),1,0)</f>
        <v>1</v>
      </c>
      <c r="M1171" s="369" cm="1">
        <f t="array" ref="M1171">+_xlfn.IFS((C1171&gt;='Resultats - informe'!$D$26)*(C1171&lt;='Resultats - informe'!$E$26),0,(C1171&gt;='Resultats - informe'!$D$27)*(C1171&lt;='Resultats - informe'!$E$27),0,(C1171&gt;='Resultats - informe'!$D$28)*(C1171&lt;='Resultats - informe'!$E$28),0,(C1171&gt;='Resultats - informe'!$D$29)*(C1171&lt;='Resultats - informe'!$E$29),0,1,1)</f>
        <v>0</v>
      </c>
      <c r="N1171" s="366">
        <f>+VLOOKUP(D1171,'Resultats - informe'!$Y$18:$AG$42,'Introducció dades consum'!K1171+1,0)</f>
        <v>0</v>
      </c>
      <c r="O1171" s="370" cm="1">
        <f t="array" ref="O1171">+_xlfn.SWITCH(MONTH(C1171),1,1,2,1,3,1,4,2,5,2,6,3,7,3,8,3,9,3,10,2,11,2,12,1,2)</f>
        <v>1</v>
      </c>
      <c r="P1171" s="43"/>
      <c r="AS1171" s="10"/>
      <c r="AT1171" s="10"/>
      <c r="AU1171" s="10"/>
      <c r="AV1171" s="10"/>
      <c r="AW1171" s="10"/>
      <c r="AX1171" s="10"/>
      <c r="AY1171" s="10"/>
      <c r="AZ1171" s="10"/>
      <c r="BA1171" s="10"/>
      <c r="BB1171" s="10"/>
      <c r="BC1171" s="10"/>
      <c r="BD1171" s="10"/>
      <c r="BE1171" s="10"/>
      <c r="BF1171" s="10"/>
      <c r="BG1171" s="10"/>
      <c r="BH1171" s="10"/>
      <c r="BI1171" s="10"/>
      <c r="BJ1171" s="10"/>
      <c r="BK1171" s="10"/>
      <c r="BL1171" s="10"/>
      <c r="BM1171" s="10"/>
      <c r="BN1171" s="10"/>
      <c r="BO1171" s="10"/>
      <c r="BP1171" s="10"/>
      <c r="BQ1171" s="10"/>
      <c r="BR1171" s="10"/>
      <c r="BS1171" s="10"/>
      <c r="BT1171" s="10"/>
      <c r="BU1171" s="10"/>
    </row>
    <row r="1172" spans="1:73" ht="18" x14ac:dyDescent="0.35">
      <c r="A1172" s="43"/>
      <c r="C1172" s="393"/>
      <c r="E1172" s="394"/>
      <c r="F1172" s="394">
        <v>0</v>
      </c>
      <c r="G1172" s="394"/>
      <c r="H1172" s="8" t="s">
        <v>235</v>
      </c>
      <c r="I1172" s="368">
        <f t="shared" si="55"/>
        <v>0</v>
      </c>
      <c r="J1172" s="365">
        <f t="shared" si="54"/>
        <v>0</v>
      </c>
      <c r="K1172" s="369">
        <f t="shared" si="56"/>
        <v>6</v>
      </c>
      <c r="L1172" s="369">
        <f>+IF((C1172&gt;='Resultats - informe'!$E$16)*(C1172&lt;='Resultats - informe'!$G$16),1,0)</f>
        <v>1</v>
      </c>
      <c r="M1172" s="369" cm="1">
        <f t="array" ref="M1172">+_xlfn.IFS((C1172&gt;='Resultats - informe'!$D$26)*(C1172&lt;='Resultats - informe'!$E$26),0,(C1172&gt;='Resultats - informe'!$D$27)*(C1172&lt;='Resultats - informe'!$E$27),0,(C1172&gt;='Resultats - informe'!$D$28)*(C1172&lt;='Resultats - informe'!$E$28),0,(C1172&gt;='Resultats - informe'!$D$29)*(C1172&lt;='Resultats - informe'!$E$29),0,1,1)</f>
        <v>0</v>
      </c>
      <c r="N1172" s="366">
        <f>+VLOOKUP(D1172,'Resultats - informe'!$Y$18:$AG$42,'Introducció dades consum'!K1172+1,0)</f>
        <v>0</v>
      </c>
      <c r="O1172" s="370" cm="1">
        <f t="array" ref="O1172">+_xlfn.SWITCH(MONTH(C1172),1,1,2,1,3,1,4,2,5,2,6,3,7,3,8,3,9,3,10,2,11,2,12,1,2)</f>
        <v>1</v>
      </c>
      <c r="P1172" s="43"/>
      <c r="AS1172" s="10"/>
      <c r="AT1172" s="10"/>
      <c r="AU1172" s="10"/>
      <c r="AV1172" s="10"/>
      <c r="AW1172" s="10"/>
      <c r="AX1172" s="10"/>
      <c r="AY1172" s="10"/>
      <c r="AZ1172" s="10"/>
      <c r="BA1172" s="10"/>
      <c r="BB1172" s="10"/>
      <c r="BC1172" s="10"/>
      <c r="BD1172" s="10"/>
      <c r="BE1172" s="10"/>
      <c r="BF1172" s="10"/>
      <c r="BG1172" s="10"/>
      <c r="BH1172" s="10"/>
      <c r="BI1172" s="10"/>
      <c r="BJ1172" s="10"/>
      <c r="BK1172" s="10"/>
      <c r="BL1172" s="10"/>
      <c r="BM1172" s="10"/>
      <c r="BN1172" s="10"/>
      <c r="BO1172" s="10"/>
      <c r="BP1172" s="10"/>
      <c r="BQ1172" s="10"/>
      <c r="BR1172" s="10"/>
      <c r="BS1172" s="10"/>
      <c r="BT1172" s="10"/>
      <c r="BU1172" s="10"/>
    </row>
    <row r="1173" spans="1:73" ht="18" x14ac:dyDescent="0.35">
      <c r="A1173" s="43"/>
      <c r="C1173" s="393"/>
      <c r="E1173" s="394"/>
      <c r="F1173" s="394">
        <v>0.29799999999999999</v>
      </c>
      <c r="G1173" s="394"/>
      <c r="H1173" s="8" t="s">
        <v>61</v>
      </c>
      <c r="I1173" s="368">
        <f t="shared" si="55"/>
        <v>0</v>
      </c>
      <c r="J1173" s="365">
        <f t="shared" si="54"/>
        <v>0</v>
      </c>
      <c r="K1173" s="369">
        <f t="shared" si="56"/>
        <v>6</v>
      </c>
      <c r="L1173" s="369">
        <f>+IF((C1173&gt;='Resultats - informe'!$E$16)*(C1173&lt;='Resultats - informe'!$G$16),1,0)</f>
        <v>1</v>
      </c>
      <c r="M1173" s="369" cm="1">
        <f t="array" ref="M1173">+_xlfn.IFS((C1173&gt;='Resultats - informe'!$D$26)*(C1173&lt;='Resultats - informe'!$E$26),0,(C1173&gt;='Resultats - informe'!$D$27)*(C1173&lt;='Resultats - informe'!$E$27),0,(C1173&gt;='Resultats - informe'!$D$28)*(C1173&lt;='Resultats - informe'!$E$28),0,(C1173&gt;='Resultats - informe'!$D$29)*(C1173&lt;='Resultats - informe'!$E$29),0,1,1)</f>
        <v>0</v>
      </c>
      <c r="N1173" s="366">
        <f>+VLOOKUP(D1173,'Resultats - informe'!$Y$18:$AG$42,'Introducció dades consum'!K1173+1,0)</f>
        <v>0</v>
      </c>
      <c r="O1173" s="370" cm="1">
        <f t="array" ref="O1173">+_xlfn.SWITCH(MONTH(C1173),1,1,2,1,3,1,4,2,5,2,6,3,7,3,8,3,9,3,10,2,11,2,12,1,2)</f>
        <v>1</v>
      </c>
      <c r="P1173" s="43"/>
      <c r="AS1173" s="10"/>
      <c r="AT1173" s="10"/>
      <c r="AU1173" s="10"/>
      <c r="AV1173" s="10"/>
      <c r="AW1173" s="10"/>
      <c r="AX1173" s="10"/>
      <c r="AY1173" s="10"/>
      <c r="AZ1173" s="10"/>
      <c r="BA1173" s="10"/>
      <c r="BB1173" s="10"/>
      <c r="BC1173" s="10"/>
      <c r="BD1173" s="10"/>
      <c r="BE1173" s="10"/>
      <c r="BF1173" s="10"/>
      <c r="BG1173" s="10"/>
      <c r="BH1173" s="10"/>
      <c r="BI1173" s="10"/>
      <c r="BJ1173" s="10"/>
      <c r="BK1173" s="10"/>
      <c r="BL1173" s="10"/>
      <c r="BM1173" s="10"/>
      <c r="BN1173" s="10"/>
      <c r="BO1173" s="10"/>
      <c r="BP1173" s="10"/>
      <c r="BQ1173" s="10"/>
      <c r="BR1173" s="10"/>
      <c r="BS1173" s="10"/>
      <c r="BT1173" s="10"/>
      <c r="BU1173" s="10"/>
    </row>
    <row r="1174" spans="1:73" ht="18" x14ac:dyDescent="0.35">
      <c r="A1174" s="43"/>
      <c r="C1174" s="393"/>
      <c r="E1174" s="394"/>
      <c r="F1174" s="394">
        <v>0</v>
      </c>
      <c r="G1174" s="394"/>
      <c r="H1174" s="8" t="s">
        <v>61</v>
      </c>
      <c r="I1174" s="368">
        <f t="shared" si="55"/>
        <v>0</v>
      </c>
      <c r="J1174" s="365">
        <f t="shared" si="54"/>
        <v>0</v>
      </c>
      <c r="K1174" s="369">
        <f t="shared" si="56"/>
        <v>6</v>
      </c>
      <c r="L1174" s="369">
        <f>+IF((C1174&gt;='Resultats - informe'!$E$16)*(C1174&lt;='Resultats - informe'!$G$16),1,0)</f>
        <v>1</v>
      </c>
      <c r="M1174" s="369" cm="1">
        <f t="array" ref="M1174">+_xlfn.IFS((C1174&gt;='Resultats - informe'!$D$26)*(C1174&lt;='Resultats - informe'!$E$26),0,(C1174&gt;='Resultats - informe'!$D$27)*(C1174&lt;='Resultats - informe'!$E$27),0,(C1174&gt;='Resultats - informe'!$D$28)*(C1174&lt;='Resultats - informe'!$E$28),0,(C1174&gt;='Resultats - informe'!$D$29)*(C1174&lt;='Resultats - informe'!$E$29),0,1,1)</f>
        <v>0</v>
      </c>
      <c r="N1174" s="366">
        <f>+VLOOKUP(D1174,'Resultats - informe'!$Y$18:$AG$42,'Introducció dades consum'!K1174+1,0)</f>
        <v>0</v>
      </c>
      <c r="O1174" s="370" cm="1">
        <f t="array" ref="O1174">+_xlfn.SWITCH(MONTH(C1174),1,1,2,1,3,1,4,2,5,2,6,3,7,3,8,3,9,3,10,2,11,2,12,1,2)</f>
        <v>1</v>
      </c>
      <c r="P1174" s="43"/>
      <c r="AS1174" s="10"/>
      <c r="AT1174" s="10"/>
      <c r="AU1174" s="10"/>
      <c r="AV1174" s="10"/>
      <c r="AW1174" s="10"/>
      <c r="AX1174" s="10"/>
      <c r="AY1174" s="10"/>
      <c r="AZ1174" s="10"/>
      <c r="BA1174" s="10"/>
      <c r="BB1174" s="10"/>
      <c r="BC1174" s="10"/>
      <c r="BD1174" s="10"/>
      <c r="BE1174" s="10"/>
      <c r="BF1174" s="10"/>
      <c r="BG1174" s="10"/>
      <c r="BH1174" s="10"/>
      <c r="BI1174" s="10"/>
      <c r="BJ1174" s="10"/>
      <c r="BK1174" s="10"/>
      <c r="BL1174" s="10"/>
      <c r="BM1174" s="10"/>
      <c r="BN1174" s="10"/>
      <c r="BO1174" s="10"/>
      <c r="BP1174" s="10"/>
      <c r="BQ1174" s="10"/>
      <c r="BR1174" s="10"/>
      <c r="BS1174" s="10"/>
      <c r="BT1174" s="10"/>
      <c r="BU1174" s="10"/>
    </row>
    <row r="1175" spans="1:73" ht="18" x14ac:dyDescent="0.35">
      <c r="A1175" s="43"/>
      <c r="C1175" s="393"/>
      <c r="E1175" s="394"/>
      <c r="F1175" s="394">
        <v>0</v>
      </c>
      <c r="G1175" s="394"/>
      <c r="H1175" s="8" t="s">
        <v>235</v>
      </c>
      <c r="I1175" s="368">
        <f t="shared" si="55"/>
        <v>0</v>
      </c>
      <c r="J1175" s="365">
        <f t="shared" si="54"/>
        <v>0</v>
      </c>
      <c r="K1175" s="369">
        <f t="shared" si="56"/>
        <v>6</v>
      </c>
      <c r="L1175" s="369">
        <f>+IF((C1175&gt;='Resultats - informe'!$E$16)*(C1175&lt;='Resultats - informe'!$G$16),1,0)</f>
        <v>1</v>
      </c>
      <c r="M1175" s="369" cm="1">
        <f t="array" ref="M1175">+_xlfn.IFS((C1175&gt;='Resultats - informe'!$D$26)*(C1175&lt;='Resultats - informe'!$E$26),0,(C1175&gt;='Resultats - informe'!$D$27)*(C1175&lt;='Resultats - informe'!$E$27),0,(C1175&gt;='Resultats - informe'!$D$28)*(C1175&lt;='Resultats - informe'!$E$28),0,(C1175&gt;='Resultats - informe'!$D$29)*(C1175&lt;='Resultats - informe'!$E$29),0,1,1)</f>
        <v>0</v>
      </c>
      <c r="N1175" s="366">
        <f>+VLOOKUP(D1175,'Resultats - informe'!$Y$18:$AG$42,'Introducció dades consum'!K1175+1,0)</f>
        <v>0</v>
      </c>
      <c r="O1175" s="370" cm="1">
        <f t="array" ref="O1175">+_xlfn.SWITCH(MONTH(C1175),1,1,2,1,3,1,4,2,5,2,6,3,7,3,8,3,9,3,10,2,11,2,12,1,2)</f>
        <v>1</v>
      </c>
      <c r="P1175" s="43"/>
      <c r="AS1175" s="10"/>
      <c r="AT1175" s="10"/>
      <c r="AU1175" s="10"/>
      <c r="AV1175" s="10"/>
      <c r="AW1175" s="10"/>
      <c r="AX1175" s="10"/>
      <c r="AY1175" s="10"/>
      <c r="AZ1175" s="10"/>
      <c r="BA1175" s="10"/>
      <c r="BB1175" s="10"/>
      <c r="BC1175" s="10"/>
      <c r="BD1175" s="10"/>
      <c r="BE1175" s="10"/>
      <c r="BF1175" s="10"/>
      <c r="BG1175" s="10"/>
      <c r="BH1175" s="10"/>
      <c r="BI1175" s="10"/>
      <c r="BJ1175" s="10"/>
      <c r="BK1175" s="10"/>
      <c r="BL1175" s="10"/>
      <c r="BM1175" s="10"/>
      <c r="BN1175" s="10"/>
      <c r="BO1175" s="10"/>
      <c r="BP1175" s="10"/>
      <c r="BQ1175" s="10"/>
      <c r="BR1175" s="10"/>
      <c r="BS1175" s="10"/>
      <c r="BT1175" s="10"/>
      <c r="BU1175" s="10"/>
    </row>
    <row r="1176" spans="1:73" ht="18" x14ac:dyDescent="0.35">
      <c r="A1176" s="43"/>
      <c r="C1176" s="393"/>
      <c r="E1176" s="394"/>
      <c r="F1176" s="394">
        <v>0</v>
      </c>
      <c r="G1176" s="394"/>
      <c r="H1176" s="8" t="s">
        <v>235</v>
      </c>
      <c r="I1176" s="368">
        <f t="shared" si="55"/>
        <v>0</v>
      </c>
      <c r="J1176" s="365">
        <f t="shared" si="54"/>
        <v>0</v>
      </c>
      <c r="K1176" s="369">
        <f t="shared" si="56"/>
        <v>6</v>
      </c>
      <c r="L1176" s="369">
        <f>+IF((C1176&gt;='Resultats - informe'!$E$16)*(C1176&lt;='Resultats - informe'!$G$16),1,0)</f>
        <v>1</v>
      </c>
      <c r="M1176" s="369" cm="1">
        <f t="array" ref="M1176">+_xlfn.IFS((C1176&gt;='Resultats - informe'!$D$26)*(C1176&lt;='Resultats - informe'!$E$26),0,(C1176&gt;='Resultats - informe'!$D$27)*(C1176&lt;='Resultats - informe'!$E$27),0,(C1176&gt;='Resultats - informe'!$D$28)*(C1176&lt;='Resultats - informe'!$E$28),0,(C1176&gt;='Resultats - informe'!$D$29)*(C1176&lt;='Resultats - informe'!$E$29),0,1,1)</f>
        <v>0</v>
      </c>
      <c r="N1176" s="366">
        <f>+VLOOKUP(D1176,'Resultats - informe'!$Y$18:$AG$42,'Introducció dades consum'!K1176+1,0)</f>
        <v>0</v>
      </c>
      <c r="O1176" s="370" cm="1">
        <f t="array" ref="O1176">+_xlfn.SWITCH(MONTH(C1176),1,1,2,1,3,1,4,2,5,2,6,3,7,3,8,3,9,3,10,2,11,2,12,1,2)</f>
        <v>1</v>
      </c>
      <c r="P1176" s="43"/>
      <c r="AS1176" s="10"/>
      <c r="AT1176" s="10"/>
      <c r="AU1176" s="10"/>
      <c r="AV1176" s="10"/>
      <c r="AW1176" s="10"/>
      <c r="AX1176" s="10"/>
      <c r="AY1176" s="10"/>
      <c r="AZ1176" s="10"/>
      <c r="BA1176" s="10"/>
      <c r="BB1176" s="10"/>
      <c r="BC1176" s="10"/>
      <c r="BD1176" s="10"/>
      <c r="BE1176" s="10"/>
      <c r="BF1176" s="10"/>
      <c r="BG1176" s="10"/>
      <c r="BH1176" s="10"/>
      <c r="BI1176" s="10"/>
      <c r="BJ1176" s="10"/>
      <c r="BK1176" s="10"/>
      <c r="BL1176" s="10"/>
      <c r="BM1176" s="10"/>
      <c r="BN1176" s="10"/>
      <c r="BO1176" s="10"/>
      <c r="BP1176" s="10"/>
      <c r="BQ1176" s="10"/>
      <c r="BR1176" s="10"/>
      <c r="BS1176" s="10"/>
      <c r="BT1176" s="10"/>
      <c r="BU1176" s="10"/>
    </row>
    <row r="1177" spans="1:73" ht="18" x14ac:dyDescent="0.35">
      <c r="A1177" s="43"/>
      <c r="C1177" s="393"/>
      <c r="E1177" s="394"/>
      <c r="F1177" s="394">
        <v>0</v>
      </c>
      <c r="G1177" s="394"/>
      <c r="H1177" s="8" t="s">
        <v>235</v>
      </c>
      <c r="I1177" s="368">
        <f t="shared" si="55"/>
        <v>0</v>
      </c>
      <c r="J1177" s="365">
        <f t="shared" si="54"/>
        <v>0</v>
      </c>
      <c r="K1177" s="369">
        <f t="shared" si="56"/>
        <v>6</v>
      </c>
      <c r="L1177" s="369">
        <f>+IF((C1177&gt;='Resultats - informe'!$E$16)*(C1177&lt;='Resultats - informe'!$G$16),1,0)</f>
        <v>1</v>
      </c>
      <c r="M1177" s="369" cm="1">
        <f t="array" ref="M1177">+_xlfn.IFS((C1177&gt;='Resultats - informe'!$D$26)*(C1177&lt;='Resultats - informe'!$E$26),0,(C1177&gt;='Resultats - informe'!$D$27)*(C1177&lt;='Resultats - informe'!$E$27),0,(C1177&gt;='Resultats - informe'!$D$28)*(C1177&lt;='Resultats - informe'!$E$28),0,(C1177&gt;='Resultats - informe'!$D$29)*(C1177&lt;='Resultats - informe'!$E$29),0,1,1)</f>
        <v>0</v>
      </c>
      <c r="N1177" s="366">
        <f>+VLOOKUP(D1177,'Resultats - informe'!$Y$18:$AG$42,'Introducció dades consum'!K1177+1,0)</f>
        <v>0</v>
      </c>
      <c r="O1177" s="370" cm="1">
        <f t="array" ref="O1177">+_xlfn.SWITCH(MONTH(C1177),1,1,2,1,3,1,4,2,5,2,6,3,7,3,8,3,9,3,10,2,11,2,12,1,2)</f>
        <v>1</v>
      </c>
      <c r="P1177" s="43"/>
      <c r="AS1177" s="10"/>
      <c r="AT1177" s="10"/>
      <c r="AU1177" s="10"/>
      <c r="AV1177" s="10"/>
      <c r="AW1177" s="10"/>
      <c r="AX1177" s="10"/>
      <c r="AY1177" s="10"/>
      <c r="AZ1177" s="10"/>
      <c r="BA1177" s="10"/>
      <c r="BB1177" s="10"/>
      <c r="BC1177" s="10"/>
      <c r="BD1177" s="10"/>
      <c r="BE1177" s="10"/>
      <c r="BF1177" s="10"/>
      <c r="BG1177" s="10"/>
      <c r="BH1177" s="10"/>
      <c r="BI1177" s="10"/>
      <c r="BJ1177" s="10"/>
      <c r="BK1177" s="10"/>
      <c r="BL1177" s="10"/>
      <c r="BM1177" s="10"/>
      <c r="BN1177" s="10"/>
      <c r="BO1177" s="10"/>
      <c r="BP1177" s="10"/>
      <c r="BQ1177" s="10"/>
      <c r="BR1177" s="10"/>
      <c r="BS1177" s="10"/>
      <c r="BT1177" s="10"/>
      <c r="BU1177" s="10"/>
    </row>
    <row r="1178" spans="1:73" ht="18" x14ac:dyDescent="0.35">
      <c r="A1178" s="43"/>
      <c r="C1178" s="393"/>
      <c r="E1178" s="394"/>
      <c r="F1178" s="394">
        <v>0</v>
      </c>
      <c r="G1178" s="394"/>
      <c r="H1178" s="8" t="s">
        <v>235</v>
      </c>
      <c r="I1178" s="368">
        <f t="shared" si="55"/>
        <v>0</v>
      </c>
      <c r="J1178" s="365">
        <f t="shared" si="54"/>
        <v>0</v>
      </c>
      <c r="K1178" s="369">
        <f t="shared" si="56"/>
        <v>6</v>
      </c>
      <c r="L1178" s="369">
        <f>+IF((C1178&gt;='Resultats - informe'!$E$16)*(C1178&lt;='Resultats - informe'!$G$16),1,0)</f>
        <v>1</v>
      </c>
      <c r="M1178" s="369" cm="1">
        <f t="array" ref="M1178">+_xlfn.IFS((C1178&gt;='Resultats - informe'!$D$26)*(C1178&lt;='Resultats - informe'!$E$26),0,(C1178&gt;='Resultats - informe'!$D$27)*(C1178&lt;='Resultats - informe'!$E$27),0,(C1178&gt;='Resultats - informe'!$D$28)*(C1178&lt;='Resultats - informe'!$E$28),0,(C1178&gt;='Resultats - informe'!$D$29)*(C1178&lt;='Resultats - informe'!$E$29),0,1,1)</f>
        <v>0</v>
      </c>
      <c r="N1178" s="366">
        <f>+VLOOKUP(D1178,'Resultats - informe'!$Y$18:$AG$42,'Introducció dades consum'!K1178+1,0)</f>
        <v>0</v>
      </c>
      <c r="O1178" s="370" cm="1">
        <f t="array" ref="O1178">+_xlfn.SWITCH(MONTH(C1178),1,1,2,1,3,1,4,2,5,2,6,3,7,3,8,3,9,3,10,2,11,2,12,1,2)</f>
        <v>1</v>
      </c>
      <c r="P1178" s="43"/>
      <c r="AS1178" s="10"/>
      <c r="AT1178" s="10"/>
      <c r="AU1178" s="10"/>
      <c r="AV1178" s="10"/>
      <c r="AW1178" s="10"/>
      <c r="AX1178" s="10"/>
      <c r="AY1178" s="10"/>
      <c r="AZ1178" s="10"/>
      <c r="BA1178" s="10"/>
      <c r="BB1178" s="10"/>
      <c r="BC1178" s="10"/>
      <c r="BD1178" s="10"/>
      <c r="BE1178" s="10"/>
      <c r="BF1178" s="10"/>
      <c r="BG1178" s="10"/>
      <c r="BH1178" s="10"/>
      <c r="BI1178" s="10"/>
      <c r="BJ1178" s="10"/>
      <c r="BK1178" s="10"/>
      <c r="BL1178" s="10"/>
      <c r="BM1178" s="10"/>
      <c r="BN1178" s="10"/>
      <c r="BO1178" s="10"/>
      <c r="BP1178" s="10"/>
      <c r="BQ1178" s="10"/>
      <c r="BR1178" s="10"/>
      <c r="BS1178" s="10"/>
      <c r="BT1178" s="10"/>
      <c r="BU1178" s="10"/>
    </row>
    <row r="1179" spans="1:73" ht="18" x14ac:dyDescent="0.35">
      <c r="A1179" s="43"/>
      <c r="C1179" s="393"/>
      <c r="E1179" s="394"/>
      <c r="F1179" s="394">
        <v>0</v>
      </c>
      <c r="G1179" s="394"/>
      <c r="H1179" s="8" t="s">
        <v>235</v>
      </c>
      <c r="I1179" s="368">
        <f t="shared" si="55"/>
        <v>0</v>
      </c>
      <c r="J1179" s="365">
        <f t="shared" si="54"/>
        <v>0</v>
      </c>
      <c r="K1179" s="369">
        <f t="shared" si="56"/>
        <v>6</v>
      </c>
      <c r="L1179" s="369">
        <f>+IF((C1179&gt;='Resultats - informe'!$E$16)*(C1179&lt;='Resultats - informe'!$G$16),1,0)</f>
        <v>1</v>
      </c>
      <c r="M1179" s="369" cm="1">
        <f t="array" ref="M1179">+_xlfn.IFS((C1179&gt;='Resultats - informe'!$D$26)*(C1179&lt;='Resultats - informe'!$E$26),0,(C1179&gt;='Resultats - informe'!$D$27)*(C1179&lt;='Resultats - informe'!$E$27),0,(C1179&gt;='Resultats - informe'!$D$28)*(C1179&lt;='Resultats - informe'!$E$28),0,(C1179&gt;='Resultats - informe'!$D$29)*(C1179&lt;='Resultats - informe'!$E$29),0,1,1)</f>
        <v>0</v>
      </c>
      <c r="N1179" s="366">
        <f>+VLOOKUP(D1179,'Resultats - informe'!$Y$18:$AG$42,'Introducció dades consum'!K1179+1,0)</f>
        <v>0</v>
      </c>
      <c r="O1179" s="370" cm="1">
        <f t="array" ref="O1179">+_xlfn.SWITCH(MONTH(C1179),1,1,2,1,3,1,4,2,5,2,6,3,7,3,8,3,9,3,10,2,11,2,12,1,2)</f>
        <v>1</v>
      </c>
      <c r="P1179" s="43"/>
      <c r="AS1179" s="10"/>
      <c r="AT1179" s="10"/>
      <c r="AU1179" s="10"/>
      <c r="AV1179" s="10"/>
      <c r="AW1179" s="10"/>
      <c r="AX1179" s="10"/>
      <c r="AY1179" s="10"/>
      <c r="AZ1179" s="10"/>
      <c r="BA1179" s="10"/>
      <c r="BB1179" s="10"/>
      <c r="BC1179" s="10"/>
      <c r="BD1179" s="10"/>
      <c r="BE1179" s="10"/>
      <c r="BF1179" s="10"/>
      <c r="BG1179" s="10"/>
      <c r="BH1179" s="10"/>
      <c r="BI1179" s="10"/>
      <c r="BJ1179" s="10"/>
      <c r="BK1179" s="10"/>
      <c r="BL1179" s="10"/>
      <c r="BM1179" s="10"/>
      <c r="BN1179" s="10"/>
      <c r="BO1179" s="10"/>
      <c r="BP1179" s="10"/>
      <c r="BQ1179" s="10"/>
      <c r="BR1179" s="10"/>
      <c r="BS1179" s="10"/>
      <c r="BT1179" s="10"/>
      <c r="BU1179" s="10"/>
    </row>
    <row r="1180" spans="1:73" ht="18" x14ac:dyDescent="0.35">
      <c r="A1180" s="43"/>
      <c r="C1180" s="393"/>
      <c r="E1180" s="394"/>
      <c r="F1180" s="394">
        <v>0</v>
      </c>
      <c r="G1180" s="394"/>
      <c r="H1180" s="8" t="s">
        <v>235</v>
      </c>
      <c r="I1180" s="368">
        <f t="shared" si="55"/>
        <v>0</v>
      </c>
      <c r="J1180" s="365">
        <f t="shared" si="54"/>
        <v>0</v>
      </c>
      <c r="K1180" s="369">
        <f t="shared" si="56"/>
        <v>6</v>
      </c>
      <c r="L1180" s="369">
        <f>+IF((C1180&gt;='Resultats - informe'!$E$16)*(C1180&lt;='Resultats - informe'!$G$16),1,0)</f>
        <v>1</v>
      </c>
      <c r="M1180" s="369" cm="1">
        <f t="array" ref="M1180">+_xlfn.IFS((C1180&gt;='Resultats - informe'!$D$26)*(C1180&lt;='Resultats - informe'!$E$26),0,(C1180&gt;='Resultats - informe'!$D$27)*(C1180&lt;='Resultats - informe'!$E$27),0,(C1180&gt;='Resultats - informe'!$D$28)*(C1180&lt;='Resultats - informe'!$E$28),0,(C1180&gt;='Resultats - informe'!$D$29)*(C1180&lt;='Resultats - informe'!$E$29),0,1,1)</f>
        <v>0</v>
      </c>
      <c r="N1180" s="366">
        <f>+VLOOKUP(D1180,'Resultats - informe'!$Y$18:$AG$42,'Introducció dades consum'!K1180+1,0)</f>
        <v>0</v>
      </c>
      <c r="O1180" s="370" cm="1">
        <f t="array" ref="O1180">+_xlfn.SWITCH(MONTH(C1180),1,1,2,1,3,1,4,2,5,2,6,3,7,3,8,3,9,3,10,2,11,2,12,1,2)</f>
        <v>1</v>
      </c>
      <c r="P1180" s="43"/>
      <c r="AS1180" s="10"/>
      <c r="AT1180" s="10"/>
      <c r="AU1180" s="10"/>
      <c r="AV1180" s="10"/>
      <c r="AW1180" s="10"/>
      <c r="AX1180" s="10"/>
      <c r="AY1180" s="10"/>
      <c r="AZ1180" s="10"/>
      <c r="BA1180" s="10"/>
      <c r="BB1180" s="10"/>
      <c r="BC1180" s="10"/>
      <c r="BD1180" s="10"/>
      <c r="BE1180" s="10"/>
      <c r="BF1180" s="10"/>
      <c r="BG1180" s="10"/>
      <c r="BH1180" s="10"/>
      <c r="BI1180" s="10"/>
      <c r="BJ1180" s="10"/>
      <c r="BK1180" s="10"/>
      <c r="BL1180" s="10"/>
      <c r="BM1180" s="10"/>
      <c r="BN1180" s="10"/>
      <c r="BO1180" s="10"/>
      <c r="BP1180" s="10"/>
      <c r="BQ1180" s="10"/>
      <c r="BR1180" s="10"/>
      <c r="BS1180" s="10"/>
      <c r="BT1180" s="10"/>
      <c r="BU1180" s="10"/>
    </row>
    <row r="1181" spans="1:73" ht="18" x14ac:dyDescent="0.35">
      <c r="A1181" s="43"/>
      <c r="C1181" s="393"/>
      <c r="E1181" s="394"/>
      <c r="F1181" s="394">
        <v>0</v>
      </c>
      <c r="G1181" s="394"/>
      <c r="H1181" s="8" t="s">
        <v>235</v>
      </c>
      <c r="I1181" s="368">
        <f t="shared" si="55"/>
        <v>0</v>
      </c>
      <c r="J1181" s="365">
        <f t="shared" si="54"/>
        <v>0</v>
      </c>
      <c r="K1181" s="369">
        <f t="shared" si="56"/>
        <v>6</v>
      </c>
      <c r="L1181" s="369">
        <f>+IF((C1181&gt;='Resultats - informe'!$E$16)*(C1181&lt;='Resultats - informe'!$G$16),1,0)</f>
        <v>1</v>
      </c>
      <c r="M1181" s="369" cm="1">
        <f t="array" ref="M1181">+_xlfn.IFS((C1181&gt;='Resultats - informe'!$D$26)*(C1181&lt;='Resultats - informe'!$E$26),0,(C1181&gt;='Resultats - informe'!$D$27)*(C1181&lt;='Resultats - informe'!$E$27),0,(C1181&gt;='Resultats - informe'!$D$28)*(C1181&lt;='Resultats - informe'!$E$28),0,(C1181&gt;='Resultats - informe'!$D$29)*(C1181&lt;='Resultats - informe'!$E$29),0,1,1)</f>
        <v>0</v>
      </c>
      <c r="N1181" s="366">
        <f>+VLOOKUP(D1181,'Resultats - informe'!$Y$18:$AG$42,'Introducció dades consum'!K1181+1,0)</f>
        <v>0</v>
      </c>
      <c r="O1181" s="370" cm="1">
        <f t="array" ref="O1181">+_xlfn.SWITCH(MONTH(C1181),1,1,2,1,3,1,4,2,5,2,6,3,7,3,8,3,9,3,10,2,11,2,12,1,2)</f>
        <v>1</v>
      </c>
      <c r="P1181" s="43"/>
      <c r="AS1181" s="10"/>
      <c r="AT1181" s="10"/>
      <c r="AU1181" s="10"/>
      <c r="AV1181" s="10"/>
      <c r="AW1181" s="10"/>
      <c r="AX1181" s="10"/>
      <c r="AY1181" s="10"/>
      <c r="AZ1181" s="10"/>
      <c r="BA1181" s="10"/>
      <c r="BB1181" s="10"/>
      <c r="BC1181" s="10"/>
      <c r="BD1181" s="10"/>
      <c r="BE1181" s="10"/>
      <c r="BF1181" s="10"/>
      <c r="BG1181" s="10"/>
      <c r="BH1181" s="10"/>
      <c r="BI1181" s="10"/>
      <c r="BJ1181" s="10"/>
      <c r="BK1181" s="10"/>
      <c r="BL1181" s="10"/>
      <c r="BM1181" s="10"/>
      <c r="BN1181" s="10"/>
      <c r="BO1181" s="10"/>
      <c r="BP1181" s="10"/>
      <c r="BQ1181" s="10"/>
      <c r="BR1181" s="10"/>
      <c r="BS1181" s="10"/>
      <c r="BT1181" s="10"/>
      <c r="BU1181" s="10"/>
    </row>
    <row r="1182" spans="1:73" ht="18" x14ac:dyDescent="0.35">
      <c r="A1182" s="43"/>
      <c r="C1182" s="393"/>
      <c r="E1182" s="394"/>
      <c r="F1182" s="394">
        <v>0</v>
      </c>
      <c r="G1182" s="394"/>
      <c r="H1182" s="8" t="s">
        <v>235</v>
      </c>
      <c r="I1182" s="368">
        <f t="shared" si="55"/>
        <v>0</v>
      </c>
      <c r="J1182" s="365">
        <f t="shared" si="54"/>
        <v>0</v>
      </c>
      <c r="K1182" s="369">
        <f t="shared" si="56"/>
        <v>6</v>
      </c>
      <c r="L1182" s="369">
        <f>+IF((C1182&gt;='Resultats - informe'!$E$16)*(C1182&lt;='Resultats - informe'!$G$16),1,0)</f>
        <v>1</v>
      </c>
      <c r="M1182" s="369" cm="1">
        <f t="array" ref="M1182">+_xlfn.IFS((C1182&gt;='Resultats - informe'!$D$26)*(C1182&lt;='Resultats - informe'!$E$26),0,(C1182&gt;='Resultats - informe'!$D$27)*(C1182&lt;='Resultats - informe'!$E$27),0,(C1182&gt;='Resultats - informe'!$D$28)*(C1182&lt;='Resultats - informe'!$E$28),0,(C1182&gt;='Resultats - informe'!$D$29)*(C1182&lt;='Resultats - informe'!$E$29),0,1,1)</f>
        <v>0</v>
      </c>
      <c r="N1182" s="366">
        <f>+VLOOKUP(D1182,'Resultats - informe'!$Y$18:$AG$42,'Introducció dades consum'!K1182+1,0)</f>
        <v>0</v>
      </c>
      <c r="O1182" s="370" cm="1">
        <f t="array" ref="O1182">+_xlfn.SWITCH(MONTH(C1182),1,1,2,1,3,1,4,2,5,2,6,3,7,3,8,3,9,3,10,2,11,2,12,1,2)</f>
        <v>1</v>
      </c>
      <c r="P1182" s="43"/>
      <c r="AS1182" s="10"/>
      <c r="AT1182" s="10"/>
      <c r="AU1182" s="10"/>
      <c r="AV1182" s="10"/>
      <c r="AW1182" s="10"/>
      <c r="AX1182" s="10"/>
      <c r="AY1182" s="10"/>
      <c r="AZ1182" s="10"/>
      <c r="BA1182" s="10"/>
      <c r="BB1182" s="10"/>
      <c r="BC1182" s="10"/>
      <c r="BD1182" s="10"/>
      <c r="BE1182" s="10"/>
      <c r="BF1182" s="10"/>
      <c r="BG1182" s="10"/>
      <c r="BH1182" s="10"/>
      <c r="BI1182" s="10"/>
      <c r="BJ1182" s="10"/>
      <c r="BK1182" s="10"/>
      <c r="BL1182" s="10"/>
      <c r="BM1182" s="10"/>
      <c r="BN1182" s="10"/>
      <c r="BO1182" s="10"/>
      <c r="BP1182" s="10"/>
      <c r="BQ1182" s="10"/>
      <c r="BR1182" s="10"/>
      <c r="BS1182" s="10"/>
      <c r="BT1182" s="10"/>
      <c r="BU1182" s="10"/>
    </row>
    <row r="1183" spans="1:73" ht="18" x14ac:dyDescent="0.35">
      <c r="A1183" s="43"/>
      <c r="C1183" s="393"/>
      <c r="E1183" s="394"/>
      <c r="F1183" s="394">
        <v>0</v>
      </c>
      <c r="G1183" s="394"/>
      <c r="H1183" s="8" t="s">
        <v>235</v>
      </c>
      <c r="I1183" s="368">
        <f t="shared" si="55"/>
        <v>0</v>
      </c>
      <c r="J1183" s="365">
        <f t="shared" si="54"/>
        <v>0</v>
      </c>
      <c r="K1183" s="369">
        <f t="shared" si="56"/>
        <v>6</v>
      </c>
      <c r="L1183" s="369">
        <f>+IF((C1183&gt;='Resultats - informe'!$E$16)*(C1183&lt;='Resultats - informe'!$G$16),1,0)</f>
        <v>1</v>
      </c>
      <c r="M1183" s="369" cm="1">
        <f t="array" ref="M1183">+_xlfn.IFS((C1183&gt;='Resultats - informe'!$D$26)*(C1183&lt;='Resultats - informe'!$E$26),0,(C1183&gt;='Resultats - informe'!$D$27)*(C1183&lt;='Resultats - informe'!$E$27),0,(C1183&gt;='Resultats - informe'!$D$28)*(C1183&lt;='Resultats - informe'!$E$28),0,(C1183&gt;='Resultats - informe'!$D$29)*(C1183&lt;='Resultats - informe'!$E$29),0,1,1)</f>
        <v>0</v>
      </c>
      <c r="N1183" s="366">
        <f>+VLOOKUP(D1183,'Resultats - informe'!$Y$18:$AG$42,'Introducció dades consum'!K1183+1,0)</f>
        <v>0</v>
      </c>
      <c r="O1183" s="370" cm="1">
        <f t="array" ref="O1183">+_xlfn.SWITCH(MONTH(C1183),1,1,2,1,3,1,4,2,5,2,6,3,7,3,8,3,9,3,10,2,11,2,12,1,2)</f>
        <v>1</v>
      </c>
      <c r="P1183" s="43"/>
      <c r="AS1183" s="10"/>
      <c r="AT1183" s="10"/>
      <c r="AU1183" s="10"/>
      <c r="AV1183" s="10"/>
      <c r="AW1183" s="10"/>
      <c r="AX1183" s="10"/>
      <c r="AY1183" s="10"/>
      <c r="AZ1183" s="10"/>
      <c r="BA1183" s="10"/>
      <c r="BB1183" s="10"/>
      <c r="BC1183" s="10"/>
      <c r="BD1183" s="10"/>
      <c r="BE1183" s="10"/>
      <c r="BF1183" s="10"/>
      <c r="BG1183" s="10"/>
      <c r="BH1183" s="10"/>
      <c r="BI1183" s="10"/>
      <c r="BJ1183" s="10"/>
      <c r="BK1183" s="10"/>
      <c r="BL1183" s="10"/>
      <c r="BM1183" s="10"/>
      <c r="BN1183" s="10"/>
      <c r="BO1183" s="10"/>
      <c r="BP1183" s="10"/>
      <c r="BQ1183" s="10"/>
      <c r="BR1183" s="10"/>
      <c r="BS1183" s="10"/>
      <c r="BT1183" s="10"/>
      <c r="BU1183" s="10"/>
    </row>
    <row r="1184" spans="1:73" ht="18" x14ac:dyDescent="0.35">
      <c r="A1184" s="43"/>
      <c r="C1184" s="393"/>
      <c r="E1184" s="394"/>
      <c r="F1184" s="394">
        <v>0</v>
      </c>
      <c r="G1184" s="394"/>
      <c r="H1184" s="8" t="s">
        <v>235</v>
      </c>
      <c r="I1184" s="368">
        <f t="shared" si="55"/>
        <v>0</v>
      </c>
      <c r="J1184" s="365">
        <f t="shared" si="54"/>
        <v>0</v>
      </c>
      <c r="K1184" s="369">
        <f t="shared" si="56"/>
        <v>6</v>
      </c>
      <c r="L1184" s="369">
        <f>+IF((C1184&gt;='Resultats - informe'!$E$16)*(C1184&lt;='Resultats - informe'!$G$16),1,0)</f>
        <v>1</v>
      </c>
      <c r="M1184" s="369" cm="1">
        <f t="array" ref="M1184">+_xlfn.IFS((C1184&gt;='Resultats - informe'!$D$26)*(C1184&lt;='Resultats - informe'!$E$26),0,(C1184&gt;='Resultats - informe'!$D$27)*(C1184&lt;='Resultats - informe'!$E$27),0,(C1184&gt;='Resultats - informe'!$D$28)*(C1184&lt;='Resultats - informe'!$E$28),0,(C1184&gt;='Resultats - informe'!$D$29)*(C1184&lt;='Resultats - informe'!$E$29),0,1,1)</f>
        <v>0</v>
      </c>
      <c r="N1184" s="366">
        <f>+VLOOKUP(D1184,'Resultats - informe'!$Y$18:$AG$42,'Introducció dades consum'!K1184+1,0)</f>
        <v>0</v>
      </c>
      <c r="O1184" s="370" cm="1">
        <f t="array" ref="O1184">+_xlfn.SWITCH(MONTH(C1184),1,1,2,1,3,1,4,2,5,2,6,3,7,3,8,3,9,3,10,2,11,2,12,1,2)</f>
        <v>1</v>
      </c>
      <c r="P1184" s="43"/>
      <c r="AS1184" s="10"/>
      <c r="AT1184" s="10"/>
      <c r="AU1184" s="10"/>
      <c r="AV1184" s="10"/>
      <c r="AW1184" s="10"/>
      <c r="AX1184" s="10"/>
      <c r="AY1184" s="10"/>
      <c r="AZ1184" s="10"/>
      <c r="BA1184" s="10"/>
      <c r="BB1184" s="10"/>
      <c r="BC1184" s="10"/>
      <c r="BD1184" s="10"/>
      <c r="BE1184" s="10"/>
      <c r="BF1184" s="10"/>
      <c r="BG1184" s="10"/>
      <c r="BH1184" s="10"/>
      <c r="BI1184" s="10"/>
      <c r="BJ1184" s="10"/>
      <c r="BK1184" s="10"/>
      <c r="BL1184" s="10"/>
      <c r="BM1184" s="10"/>
      <c r="BN1184" s="10"/>
      <c r="BO1184" s="10"/>
      <c r="BP1184" s="10"/>
      <c r="BQ1184" s="10"/>
      <c r="BR1184" s="10"/>
      <c r="BS1184" s="10"/>
      <c r="BT1184" s="10"/>
      <c r="BU1184" s="10"/>
    </row>
    <row r="1185" spans="1:73" ht="18" x14ac:dyDescent="0.35">
      <c r="A1185" s="43"/>
      <c r="C1185" s="393"/>
      <c r="E1185" s="394"/>
      <c r="F1185" s="394">
        <v>0</v>
      </c>
      <c r="G1185" s="394"/>
      <c r="H1185" s="8" t="s">
        <v>235</v>
      </c>
      <c r="I1185" s="368">
        <f t="shared" si="55"/>
        <v>0</v>
      </c>
      <c r="J1185" s="365">
        <f t="shared" si="54"/>
        <v>0</v>
      </c>
      <c r="K1185" s="369">
        <f t="shared" si="56"/>
        <v>6</v>
      </c>
      <c r="L1185" s="369">
        <f>+IF((C1185&gt;='Resultats - informe'!$E$16)*(C1185&lt;='Resultats - informe'!$G$16),1,0)</f>
        <v>1</v>
      </c>
      <c r="M1185" s="369" cm="1">
        <f t="array" ref="M1185">+_xlfn.IFS((C1185&gt;='Resultats - informe'!$D$26)*(C1185&lt;='Resultats - informe'!$E$26),0,(C1185&gt;='Resultats - informe'!$D$27)*(C1185&lt;='Resultats - informe'!$E$27),0,(C1185&gt;='Resultats - informe'!$D$28)*(C1185&lt;='Resultats - informe'!$E$28),0,(C1185&gt;='Resultats - informe'!$D$29)*(C1185&lt;='Resultats - informe'!$E$29),0,1,1)</f>
        <v>0</v>
      </c>
      <c r="N1185" s="366">
        <f>+VLOOKUP(D1185,'Resultats - informe'!$Y$18:$AG$42,'Introducció dades consum'!K1185+1,0)</f>
        <v>0</v>
      </c>
      <c r="O1185" s="370" cm="1">
        <f t="array" ref="O1185">+_xlfn.SWITCH(MONTH(C1185),1,1,2,1,3,1,4,2,5,2,6,3,7,3,8,3,9,3,10,2,11,2,12,1,2)</f>
        <v>1</v>
      </c>
      <c r="P1185" s="43"/>
      <c r="AS1185" s="10"/>
      <c r="AT1185" s="10"/>
      <c r="AU1185" s="10"/>
      <c r="AV1185" s="10"/>
      <c r="AW1185" s="10"/>
      <c r="AX1185" s="10"/>
      <c r="AY1185" s="10"/>
      <c r="AZ1185" s="10"/>
      <c r="BA1185" s="10"/>
      <c r="BB1185" s="10"/>
      <c r="BC1185" s="10"/>
      <c r="BD1185" s="10"/>
      <c r="BE1185" s="10"/>
      <c r="BF1185" s="10"/>
      <c r="BG1185" s="10"/>
      <c r="BH1185" s="10"/>
      <c r="BI1185" s="10"/>
      <c r="BJ1185" s="10"/>
      <c r="BK1185" s="10"/>
      <c r="BL1185" s="10"/>
      <c r="BM1185" s="10"/>
      <c r="BN1185" s="10"/>
      <c r="BO1185" s="10"/>
      <c r="BP1185" s="10"/>
      <c r="BQ1185" s="10"/>
      <c r="BR1185" s="10"/>
      <c r="BS1185" s="10"/>
      <c r="BT1185" s="10"/>
      <c r="BU1185" s="10"/>
    </row>
    <row r="1186" spans="1:73" ht="18" x14ac:dyDescent="0.35">
      <c r="A1186" s="43"/>
      <c r="C1186" s="393"/>
      <c r="E1186" s="394"/>
      <c r="F1186" s="394">
        <v>0</v>
      </c>
      <c r="G1186" s="394"/>
      <c r="H1186" s="8" t="s">
        <v>235</v>
      </c>
      <c r="I1186" s="368">
        <f t="shared" si="55"/>
        <v>0</v>
      </c>
      <c r="J1186" s="365">
        <f t="shared" si="54"/>
        <v>0</v>
      </c>
      <c r="K1186" s="369">
        <f t="shared" si="56"/>
        <v>6</v>
      </c>
      <c r="L1186" s="369">
        <f>+IF((C1186&gt;='Resultats - informe'!$E$16)*(C1186&lt;='Resultats - informe'!$G$16),1,0)</f>
        <v>1</v>
      </c>
      <c r="M1186" s="369" cm="1">
        <f t="array" ref="M1186">+_xlfn.IFS((C1186&gt;='Resultats - informe'!$D$26)*(C1186&lt;='Resultats - informe'!$E$26),0,(C1186&gt;='Resultats - informe'!$D$27)*(C1186&lt;='Resultats - informe'!$E$27),0,(C1186&gt;='Resultats - informe'!$D$28)*(C1186&lt;='Resultats - informe'!$E$28),0,(C1186&gt;='Resultats - informe'!$D$29)*(C1186&lt;='Resultats - informe'!$E$29),0,1,1)</f>
        <v>0</v>
      </c>
      <c r="N1186" s="366">
        <f>+VLOOKUP(D1186,'Resultats - informe'!$Y$18:$AG$42,'Introducció dades consum'!K1186+1,0)</f>
        <v>0</v>
      </c>
      <c r="O1186" s="370" cm="1">
        <f t="array" ref="O1186">+_xlfn.SWITCH(MONTH(C1186),1,1,2,1,3,1,4,2,5,2,6,3,7,3,8,3,9,3,10,2,11,2,12,1,2)</f>
        <v>1</v>
      </c>
      <c r="P1186" s="43"/>
      <c r="AS1186" s="10"/>
      <c r="AT1186" s="10"/>
      <c r="AU1186" s="10"/>
      <c r="AV1186" s="10"/>
      <c r="AW1186" s="10"/>
      <c r="AX1186" s="10"/>
      <c r="AY1186" s="10"/>
      <c r="AZ1186" s="10"/>
      <c r="BA1186" s="10"/>
      <c r="BB1186" s="10"/>
      <c r="BC1186" s="10"/>
      <c r="BD1186" s="10"/>
      <c r="BE1186" s="10"/>
      <c r="BF1186" s="10"/>
      <c r="BG1186" s="10"/>
      <c r="BH1186" s="10"/>
      <c r="BI1186" s="10"/>
      <c r="BJ1186" s="10"/>
      <c r="BK1186" s="10"/>
      <c r="BL1186" s="10"/>
      <c r="BM1186" s="10"/>
      <c r="BN1186" s="10"/>
      <c r="BO1186" s="10"/>
      <c r="BP1186" s="10"/>
      <c r="BQ1186" s="10"/>
      <c r="BR1186" s="10"/>
      <c r="BS1186" s="10"/>
      <c r="BT1186" s="10"/>
      <c r="BU1186" s="10"/>
    </row>
    <row r="1187" spans="1:73" ht="18" x14ac:dyDescent="0.35">
      <c r="A1187" s="43"/>
      <c r="C1187" s="393"/>
      <c r="E1187" s="394"/>
      <c r="F1187" s="394">
        <v>0</v>
      </c>
      <c r="G1187" s="394"/>
      <c r="H1187" s="8" t="s">
        <v>235</v>
      </c>
      <c r="I1187" s="368">
        <f t="shared" si="55"/>
        <v>0</v>
      </c>
      <c r="J1187" s="365">
        <f t="shared" si="54"/>
        <v>0</v>
      </c>
      <c r="K1187" s="369">
        <f t="shared" si="56"/>
        <v>6</v>
      </c>
      <c r="L1187" s="369">
        <f>+IF((C1187&gt;='Resultats - informe'!$E$16)*(C1187&lt;='Resultats - informe'!$G$16),1,0)</f>
        <v>1</v>
      </c>
      <c r="M1187" s="369" cm="1">
        <f t="array" ref="M1187">+_xlfn.IFS((C1187&gt;='Resultats - informe'!$D$26)*(C1187&lt;='Resultats - informe'!$E$26),0,(C1187&gt;='Resultats - informe'!$D$27)*(C1187&lt;='Resultats - informe'!$E$27),0,(C1187&gt;='Resultats - informe'!$D$28)*(C1187&lt;='Resultats - informe'!$E$28),0,(C1187&gt;='Resultats - informe'!$D$29)*(C1187&lt;='Resultats - informe'!$E$29),0,1,1)</f>
        <v>0</v>
      </c>
      <c r="N1187" s="366">
        <f>+VLOOKUP(D1187,'Resultats - informe'!$Y$18:$AG$42,'Introducció dades consum'!K1187+1,0)</f>
        <v>0</v>
      </c>
      <c r="O1187" s="370" cm="1">
        <f t="array" ref="O1187">+_xlfn.SWITCH(MONTH(C1187),1,1,2,1,3,1,4,2,5,2,6,3,7,3,8,3,9,3,10,2,11,2,12,1,2)</f>
        <v>1</v>
      </c>
      <c r="P1187" s="43"/>
      <c r="AS1187" s="10"/>
      <c r="AT1187" s="10"/>
      <c r="AU1187" s="10"/>
      <c r="AV1187" s="10"/>
      <c r="AW1187" s="10"/>
      <c r="AX1187" s="10"/>
      <c r="AY1187" s="10"/>
      <c r="AZ1187" s="10"/>
      <c r="BA1187" s="10"/>
      <c r="BB1187" s="10"/>
      <c r="BC1187" s="10"/>
      <c r="BD1187" s="10"/>
      <c r="BE1187" s="10"/>
      <c r="BF1187" s="10"/>
      <c r="BG1187" s="10"/>
      <c r="BH1187" s="10"/>
      <c r="BI1187" s="10"/>
      <c r="BJ1187" s="10"/>
      <c r="BK1187" s="10"/>
      <c r="BL1187" s="10"/>
      <c r="BM1187" s="10"/>
      <c r="BN1187" s="10"/>
      <c r="BO1187" s="10"/>
      <c r="BP1187" s="10"/>
      <c r="BQ1187" s="10"/>
      <c r="BR1187" s="10"/>
      <c r="BS1187" s="10"/>
      <c r="BT1187" s="10"/>
      <c r="BU1187" s="10"/>
    </row>
    <row r="1188" spans="1:73" ht="18" x14ac:dyDescent="0.35">
      <c r="A1188" s="43"/>
      <c r="C1188" s="393"/>
      <c r="E1188" s="394"/>
      <c r="F1188" s="394">
        <v>0.17199999999999999</v>
      </c>
      <c r="G1188" s="394"/>
      <c r="H1188" s="8" t="s">
        <v>235</v>
      </c>
      <c r="I1188" s="368">
        <f t="shared" si="55"/>
        <v>0</v>
      </c>
      <c r="J1188" s="365">
        <f t="shared" si="54"/>
        <v>0</v>
      </c>
      <c r="K1188" s="369">
        <f t="shared" si="56"/>
        <v>6</v>
      </c>
      <c r="L1188" s="369">
        <f>+IF((C1188&gt;='Resultats - informe'!$E$16)*(C1188&lt;='Resultats - informe'!$G$16),1,0)</f>
        <v>1</v>
      </c>
      <c r="M1188" s="369" cm="1">
        <f t="array" ref="M1188">+_xlfn.IFS((C1188&gt;='Resultats - informe'!$D$26)*(C1188&lt;='Resultats - informe'!$E$26),0,(C1188&gt;='Resultats - informe'!$D$27)*(C1188&lt;='Resultats - informe'!$E$27),0,(C1188&gt;='Resultats - informe'!$D$28)*(C1188&lt;='Resultats - informe'!$E$28),0,(C1188&gt;='Resultats - informe'!$D$29)*(C1188&lt;='Resultats - informe'!$E$29),0,1,1)</f>
        <v>0</v>
      </c>
      <c r="N1188" s="366">
        <f>+VLOOKUP(D1188,'Resultats - informe'!$Y$18:$AG$42,'Introducció dades consum'!K1188+1,0)</f>
        <v>0</v>
      </c>
      <c r="O1188" s="370" cm="1">
        <f t="array" ref="O1188">+_xlfn.SWITCH(MONTH(C1188),1,1,2,1,3,1,4,2,5,2,6,3,7,3,8,3,9,3,10,2,11,2,12,1,2)</f>
        <v>1</v>
      </c>
      <c r="P1188" s="43"/>
      <c r="AS1188" s="10"/>
      <c r="AT1188" s="10"/>
      <c r="AU1188" s="10"/>
      <c r="AV1188" s="10"/>
      <c r="AW1188" s="10"/>
      <c r="AX1188" s="10"/>
      <c r="AY1188" s="10"/>
      <c r="AZ1188" s="10"/>
      <c r="BA1188" s="10"/>
      <c r="BB1188" s="10"/>
      <c r="BC1188" s="10"/>
      <c r="BD1188" s="10"/>
      <c r="BE1188" s="10"/>
      <c r="BF1188" s="10"/>
      <c r="BG1188" s="10"/>
      <c r="BH1188" s="10"/>
      <c r="BI1188" s="10"/>
      <c r="BJ1188" s="10"/>
      <c r="BK1188" s="10"/>
      <c r="BL1188" s="10"/>
      <c r="BM1188" s="10"/>
      <c r="BN1188" s="10"/>
      <c r="BO1188" s="10"/>
      <c r="BP1188" s="10"/>
      <c r="BQ1188" s="10"/>
      <c r="BR1188" s="10"/>
      <c r="BS1188" s="10"/>
      <c r="BT1188" s="10"/>
      <c r="BU1188" s="10"/>
    </row>
    <row r="1189" spans="1:73" ht="18" x14ac:dyDescent="0.35">
      <c r="A1189" s="43"/>
      <c r="C1189" s="393"/>
      <c r="E1189" s="394"/>
      <c r="F1189" s="394">
        <v>0</v>
      </c>
      <c r="G1189" s="394"/>
      <c r="H1189" s="8" t="s">
        <v>61</v>
      </c>
      <c r="I1189" s="368">
        <f t="shared" si="55"/>
        <v>0</v>
      </c>
      <c r="J1189" s="365">
        <f t="shared" si="54"/>
        <v>0</v>
      </c>
      <c r="K1189" s="369">
        <f t="shared" si="56"/>
        <v>6</v>
      </c>
      <c r="L1189" s="369">
        <f>+IF((C1189&gt;='Resultats - informe'!$E$16)*(C1189&lt;='Resultats - informe'!$G$16),1,0)</f>
        <v>1</v>
      </c>
      <c r="M1189" s="369" cm="1">
        <f t="array" ref="M1189">+_xlfn.IFS((C1189&gt;='Resultats - informe'!$D$26)*(C1189&lt;='Resultats - informe'!$E$26),0,(C1189&gt;='Resultats - informe'!$D$27)*(C1189&lt;='Resultats - informe'!$E$27),0,(C1189&gt;='Resultats - informe'!$D$28)*(C1189&lt;='Resultats - informe'!$E$28),0,(C1189&gt;='Resultats - informe'!$D$29)*(C1189&lt;='Resultats - informe'!$E$29),0,1,1)</f>
        <v>0</v>
      </c>
      <c r="N1189" s="366">
        <f>+VLOOKUP(D1189,'Resultats - informe'!$Y$18:$AG$42,'Introducció dades consum'!K1189+1,0)</f>
        <v>0</v>
      </c>
      <c r="O1189" s="370" cm="1">
        <f t="array" ref="O1189">+_xlfn.SWITCH(MONTH(C1189),1,1,2,1,3,1,4,2,5,2,6,3,7,3,8,3,9,3,10,2,11,2,12,1,2)</f>
        <v>1</v>
      </c>
      <c r="P1189" s="43"/>
      <c r="AS1189" s="10"/>
      <c r="AT1189" s="10"/>
      <c r="AU1189" s="10"/>
      <c r="AV1189" s="10"/>
      <c r="AW1189" s="10"/>
      <c r="AX1189" s="10"/>
      <c r="AY1189" s="10"/>
      <c r="AZ1189" s="10"/>
      <c r="BA1189" s="10"/>
      <c r="BB1189" s="10"/>
      <c r="BC1189" s="10"/>
      <c r="BD1189" s="10"/>
      <c r="BE1189" s="10"/>
      <c r="BF1189" s="10"/>
      <c r="BG1189" s="10"/>
      <c r="BH1189" s="10"/>
      <c r="BI1189" s="10"/>
      <c r="BJ1189" s="10"/>
      <c r="BK1189" s="10"/>
      <c r="BL1189" s="10"/>
      <c r="BM1189" s="10"/>
      <c r="BN1189" s="10"/>
      <c r="BO1189" s="10"/>
      <c r="BP1189" s="10"/>
      <c r="BQ1189" s="10"/>
      <c r="BR1189" s="10"/>
      <c r="BS1189" s="10"/>
      <c r="BT1189" s="10"/>
      <c r="BU1189" s="10"/>
    </row>
    <row r="1190" spans="1:73" ht="18" x14ac:dyDescent="0.35">
      <c r="A1190" s="43"/>
      <c r="C1190" s="393"/>
      <c r="E1190" s="394"/>
      <c r="F1190" s="394">
        <v>0</v>
      </c>
      <c r="G1190" s="394"/>
      <c r="H1190" s="8" t="s">
        <v>61</v>
      </c>
      <c r="I1190" s="368">
        <f t="shared" si="55"/>
        <v>0</v>
      </c>
      <c r="J1190" s="365">
        <f t="shared" si="54"/>
        <v>0</v>
      </c>
      <c r="K1190" s="369">
        <f t="shared" si="56"/>
        <v>6</v>
      </c>
      <c r="L1190" s="369">
        <f>+IF((C1190&gt;='Resultats - informe'!$E$16)*(C1190&lt;='Resultats - informe'!$G$16),1,0)</f>
        <v>1</v>
      </c>
      <c r="M1190" s="369" cm="1">
        <f t="array" ref="M1190">+_xlfn.IFS((C1190&gt;='Resultats - informe'!$D$26)*(C1190&lt;='Resultats - informe'!$E$26),0,(C1190&gt;='Resultats - informe'!$D$27)*(C1190&lt;='Resultats - informe'!$E$27),0,(C1190&gt;='Resultats - informe'!$D$28)*(C1190&lt;='Resultats - informe'!$E$28),0,(C1190&gt;='Resultats - informe'!$D$29)*(C1190&lt;='Resultats - informe'!$E$29),0,1,1)</f>
        <v>0</v>
      </c>
      <c r="N1190" s="366">
        <f>+VLOOKUP(D1190,'Resultats - informe'!$Y$18:$AG$42,'Introducció dades consum'!K1190+1,0)</f>
        <v>0</v>
      </c>
      <c r="O1190" s="370" cm="1">
        <f t="array" ref="O1190">+_xlfn.SWITCH(MONTH(C1190),1,1,2,1,3,1,4,2,5,2,6,3,7,3,8,3,9,3,10,2,11,2,12,1,2)</f>
        <v>1</v>
      </c>
      <c r="P1190" s="43"/>
      <c r="AS1190" s="10"/>
      <c r="AT1190" s="10"/>
      <c r="AU1190" s="10"/>
      <c r="AV1190" s="10"/>
      <c r="AW1190" s="10"/>
      <c r="AX1190" s="10"/>
      <c r="AY1190" s="10"/>
      <c r="AZ1190" s="10"/>
      <c r="BA1190" s="10"/>
      <c r="BB1190" s="10"/>
      <c r="BC1190" s="10"/>
      <c r="BD1190" s="10"/>
      <c r="BE1190" s="10"/>
      <c r="BF1190" s="10"/>
      <c r="BG1190" s="10"/>
      <c r="BH1190" s="10"/>
      <c r="BI1190" s="10"/>
      <c r="BJ1190" s="10"/>
      <c r="BK1190" s="10"/>
      <c r="BL1190" s="10"/>
      <c r="BM1190" s="10"/>
      <c r="BN1190" s="10"/>
      <c r="BO1190" s="10"/>
      <c r="BP1190" s="10"/>
      <c r="BQ1190" s="10"/>
      <c r="BR1190" s="10"/>
      <c r="BS1190" s="10"/>
      <c r="BT1190" s="10"/>
      <c r="BU1190" s="10"/>
    </row>
    <row r="1191" spans="1:73" ht="18" x14ac:dyDescent="0.35">
      <c r="A1191" s="43"/>
      <c r="C1191" s="393"/>
      <c r="E1191" s="394"/>
      <c r="F1191" s="394">
        <v>0</v>
      </c>
      <c r="G1191" s="394"/>
      <c r="H1191" s="8" t="s">
        <v>61</v>
      </c>
      <c r="I1191" s="368">
        <f t="shared" si="55"/>
        <v>0</v>
      </c>
      <c r="J1191" s="365">
        <f t="shared" si="54"/>
        <v>0</v>
      </c>
      <c r="K1191" s="369">
        <f t="shared" si="56"/>
        <v>6</v>
      </c>
      <c r="L1191" s="369">
        <f>+IF((C1191&gt;='Resultats - informe'!$E$16)*(C1191&lt;='Resultats - informe'!$G$16),1,0)</f>
        <v>1</v>
      </c>
      <c r="M1191" s="369" cm="1">
        <f t="array" ref="M1191">+_xlfn.IFS((C1191&gt;='Resultats - informe'!$D$26)*(C1191&lt;='Resultats - informe'!$E$26),0,(C1191&gt;='Resultats - informe'!$D$27)*(C1191&lt;='Resultats - informe'!$E$27),0,(C1191&gt;='Resultats - informe'!$D$28)*(C1191&lt;='Resultats - informe'!$E$28),0,(C1191&gt;='Resultats - informe'!$D$29)*(C1191&lt;='Resultats - informe'!$E$29),0,1,1)</f>
        <v>0</v>
      </c>
      <c r="N1191" s="366">
        <f>+VLOOKUP(D1191,'Resultats - informe'!$Y$18:$AG$42,'Introducció dades consum'!K1191+1,0)</f>
        <v>0</v>
      </c>
      <c r="O1191" s="370" cm="1">
        <f t="array" ref="O1191">+_xlfn.SWITCH(MONTH(C1191),1,1,2,1,3,1,4,2,5,2,6,3,7,3,8,3,9,3,10,2,11,2,12,1,2)</f>
        <v>1</v>
      </c>
      <c r="P1191" s="43"/>
      <c r="AS1191" s="10"/>
      <c r="AT1191" s="10"/>
      <c r="AU1191" s="10"/>
      <c r="AV1191" s="10"/>
      <c r="AW1191" s="10"/>
      <c r="AX1191" s="10"/>
      <c r="AY1191" s="10"/>
      <c r="AZ1191" s="10"/>
      <c r="BA1191" s="10"/>
      <c r="BB1191" s="10"/>
      <c r="BC1191" s="10"/>
      <c r="BD1191" s="10"/>
      <c r="BE1191" s="10"/>
      <c r="BF1191" s="10"/>
      <c r="BG1191" s="10"/>
      <c r="BH1191" s="10"/>
      <c r="BI1191" s="10"/>
      <c r="BJ1191" s="10"/>
      <c r="BK1191" s="10"/>
      <c r="BL1191" s="10"/>
      <c r="BM1191" s="10"/>
      <c r="BN1191" s="10"/>
      <c r="BO1191" s="10"/>
      <c r="BP1191" s="10"/>
      <c r="BQ1191" s="10"/>
      <c r="BR1191" s="10"/>
      <c r="BS1191" s="10"/>
      <c r="BT1191" s="10"/>
      <c r="BU1191" s="10"/>
    </row>
    <row r="1192" spans="1:73" ht="18" x14ac:dyDescent="0.35">
      <c r="A1192" s="43"/>
      <c r="C1192" s="393"/>
      <c r="E1192" s="394"/>
      <c r="F1192" s="394">
        <v>8.1000000000000003E-2</v>
      </c>
      <c r="G1192" s="394"/>
      <c r="H1192" s="8" t="s">
        <v>61</v>
      </c>
      <c r="I1192" s="368">
        <f t="shared" si="55"/>
        <v>0</v>
      </c>
      <c r="J1192" s="365">
        <f t="shared" si="54"/>
        <v>0</v>
      </c>
      <c r="K1192" s="369">
        <f t="shared" si="56"/>
        <v>6</v>
      </c>
      <c r="L1192" s="369">
        <f>+IF((C1192&gt;='Resultats - informe'!$E$16)*(C1192&lt;='Resultats - informe'!$G$16),1,0)</f>
        <v>1</v>
      </c>
      <c r="M1192" s="369" cm="1">
        <f t="array" ref="M1192">+_xlfn.IFS((C1192&gt;='Resultats - informe'!$D$26)*(C1192&lt;='Resultats - informe'!$E$26),0,(C1192&gt;='Resultats - informe'!$D$27)*(C1192&lt;='Resultats - informe'!$E$27),0,(C1192&gt;='Resultats - informe'!$D$28)*(C1192&lt;='Resultats - informe'!$E$28),0,(C1192&gt;='Resultats - informe'!$D$29)*(C1192&lt;='Resultats - informe'!$E$29),0,1,1)</f>
        <v>0</v>
      </c>
      <c r="N1192" s="366">
        <f>+VLOOKUP(D1192,'Resultats - informe'!$Y$18:$AG$42,'Introducció dades consum'!K1192+1,0)</f>
        <v>0</v>
      </c>
      <c r="O1192" s="370" cm="1">
        <f t="array" ref="O1192">+_xlfn.SWITCH(MONTH(C1192),1,1,2,1,3,1,4,2,5,2,6,3,7,3,8,3,9,3,10,2,11,2,12,1,2)</f>
        <v>1</v>
      </c>
      <c r="P1192" s="43"/>
      <c r="AS1192" s="10"/>
      <c r="AT1192" s="10"/>
      <c r="AU1192" s="10"/>
      <c r="AV1192" s="10"/>
      <c r="AW1192" s="10"/>
      <c r="AX1192" s="10"/>
      <c r="AY1192" s="10"/>
      <c r="AZ1192" s="10"/>
      <c r="BA1192" s="10"/>
      <c r="BB1192" s="10"/>
      <c r="BC1192" s="10"/>
      <c r="BD1192" s="10"/>
      <c r="BE1192" s="10"/>
      <c r="BF1192" s="10"/>
      <c r="BG1192" s="10"/>
      <c r="BH1192" s="10"/>
      <c r="BI1192" s="10"/>
      <c r="BJ1192" s="10"/>
      <c r="BK1192" s="10"/>
      <c r="BL1192" s="10"/>
      <c r="BM1192" s="10"/>
      <c r="BN1192" s="10"/>
      <c r="BO1192" s="10"/>
      <c r="BP1192" s="10"/>
      <c r="BQ1192" s="10"/>
      <c r="BR1192" s="10"/>
      <c r="BS1192" s="10"/>
      <c r="BT1192" s="10"/>
      <c r="BU1192" s="10"/>
    </row>
    <row r="1193" spans="1:73" ht="18" x14ac:dyDescent="0.35">
      <c r="A1193" s="43"/>
      <c r="C1193" s="393"/>
      <c r="E1193" s="394"/>
      <c r="F1193" s="394">
        <v>1.47</v>
      </c>
      <c r="G1193" s="394"/>
      <c r="H1193" s="8" t="s">
        <v>61</v>
      </c>
      <c r="I1193" s="368">
        <f t="shared" si="55"/>
        <v>0</v>
      </c>
      <c r="J1193" s="365">
        <f t="shared" si="54"/>
        <v>0</v>
      </c>
      <c r="K1193" s="369">
        <f t="shared" si="56"/>
        <v>6</v>
      </c>
      <c r="L1193" s="369">
        <f>+IF((C1193&gt;='Resultats - informe'!$E$16)*(C1193&lt;='Resultats - informe'!$G$16),1,0)</f>
        <v>1</v>
      </c>
      <c r="M1193" s="369" cm="1">
        <f t="array" ref="M1193">+_xlfn.IFS((C1193&gt;='Resultats - informe'!$D$26)*(C1193&lt;='Resultats - informe'!$E$26),0,(C1193&gt;='Resultats - informe'!$D$27)*(C1193&lt;='Resultats - informe'!$E$27),0,(C1193&gt;='Resultats - informe'!$D$28)*(C1193&lt;='Resultats - informe'!$E$28),0,(C1193&gt;='Resultats - informe'!$D$29)*(C1193&lt;='Resultats - informe'!$E$29),0,1,1)</f>
        <v>0</v>
      </c>
      <c r="N1193" s="366">
        <f>+VLOOKUP(D1193,'Resultats - informe'!$Y$18:$AG$42,'Introducció dades consum'!K1193+1,0)</f>
        <v>0</v>
      </c>
      <c r="O1193" s="370" cm="1">
        <f t="array" ref="O1193">+_xlfn.SWITCH(MONTH(C1193),1,1,2,1,3,1,4,2,5,2,6,3,7,3,8,3,9,3,10,2,11,2,12,1,2)</f>
        <v>1</v>
      </c>
      <c r="P1193" s="43"/>
      <c r="AS1193" s="10"/>
      <c r="AT1193" s="10"/>
      <c r="AU1193" s="10"/>
      <c r="AV1193" s="10"/>
      <c r="AW1193" s="10"/>
      <c r="AX1193" s="10"/>
      <c r="AY1193" s="10"/>
      <c r="AZ1193" s="10"/>
      <c r="BA1193" s="10"/>
      <c r="BB1193" s="10"/>
      <c r="BC1193" s="10"/>
      <c r="BD1193" s="10"/>
      <c r="BE1193" s="10"/>
      <c r="BF1193" s="10"/>
      <c r="BG1193" s="10"/>
      <c r="BH1193" s="10"/>
      <c r="BI1193" s="10"/>
      <c r="BJ1193" s="10"/>
      <c r="BK1193" s="10"/>
      <c r="BL1193" s="10"/>
      <c r="BM1193" s="10"/>
      <c r="BN1193" s="10"/>
      <c r="BO1193" s="10"/>
      <c r="BP1193" s="10"/>
      <c r="BQ1193" s="10"/>
      <c r="BR1193" s="10"/>
      <c r="BS1193" s="10"/>
      <c r="BT1193" s="10"/>
      <c r="BU1193" s="10"/>
    </row>
    <row r="1194" spans="1:73" ht="18" x14ac:dyDescent="0.35">
      <c r="A1194" s="43"/>
      <c r="C1194" s="393"/>
      <c r="E1194" s="394"/>
      <c r="F1194" s="394">
        <v>0.13400000000000001</v>
      </c>
      <c r="G1194" s="394"/>
      <c r="H1194" s="8" t="s">
        <v>235</v>
      </c>
      <c r="I1194" s="368">
        <f t="shared" si="55"/>
        <v>0</v>
      </c>
      <c r="J1194" s="365">
        <f t="shared" si="54"/>
        <v>0</v>
      </c>
      <c r="K1194" s="369">
        <f t="shared" si="56"/>
        <v>6</v>
      </c>
      <c r="L1194" s="369">
        <f>+IF((C1194&gt;='Resultats - informe'!$E$16)*(C1194&lt;='Resultats - informe'!$G$16),1,0)</f>
        <v>1</v>
      </c>
      <c r="M1194" s="369" cm="1">
        <f t="array" ref="M1194">+_xlfn.IFS((C1194&gt;='Resultats - informe'!$D$26)*(C1194&lt;='Resultats - informe'!$E$26),0,(C1194&gt;='Resultats - informe'!$D$27)*(C1194&lt;='Resultats - informe'!$E$27),0,(C1194&gt;='Resultats - informe'!$D$28)*(C1194&lt;='Resultats - informe'!$E$28),0,(C1194&gt;='Resultats - informe'!$D$29)*(C1194&lt;='Resultats - informe'!$E$29),0,1,1)</f>
        <v>0</v>
      </c>
      <c r="N1194" s="366">
        <f>+VLOOKUP(D1194,'Resultats - informe'!$Y$18:$AG$42,'Introducció dades consum'!K1194+1,0)</f>
        <v>0</v>
      </c>
      <c r="O1194" s="370" cm="1">
        <f t="array" ref="O1194">+_xlfn.SWITCH(MONTH(C1194),1,1,2,1,3,1,4,2,5,2,6,3,7,3,8,3,9,3,10,2,11,2,12,1,2)</f>
        <v>1</v>
      </c>
      <c r="P1194" s="43"/>
      <c r="AS1194" s="10"/>
      <c r="AT1194" s="10"/>
      <c r="AU1194" s="10"/>
      <c r="AV1194" s="10"/>
      <c r="AW1194" s="10"/>
      <c r="AX1194" s="10"/>
      <c r="AY1194" s="10"/>
      <c r="AZ1194" s="10"/>
      <c r="BA1194" s="10"/>
      <c r="BB1194" s="10"/>
      <c r="BC1194" s="10"/>
      <c r="BD1194" s="10"/>
      <c r="BE1194" s="10"/>
      <c r="BF1194" s="10"/>
      <c r="BG1194" s="10"/>
      <c r="BH1194" s="10"/>
      <c r="BI1194" s="10"/>
      <c r="BJ1194" s="10"/>
      <c r="BK1194" s="10"/>
      <c r="BL1194" s="10"/>
      <c r="BM1194" s="10"/>
      <c r="BN1194" s="10"/>
      <c r="BO1194" s="10"/>
      <c r="BP1194" s="10"/>
      <c r="BQ1194" s="10"/>
      <c r="BR1194" s="10"/>
      <c r="BS1194" s="10"/>
      <c r="BT1194" s="10"/>
      <c r="BU1194" s="10"/>
    </row>
    <row r="1195" spans="1:73" ht="18" x14ac:dyDescent="0.35">
      <c r="A1195" s="43"/>
      <c r="C1195" s="393"/>
      <c r="E1195" s="394"/>
      <c r="F1195" s="394">
        <v>0.317</v>
      </c>
      <c r="G1195" s="394"/>
      <c r="H1195" s="8" t="s">
        <v>235</v>
      </c>
      <c r="I1195" s="368">
        <f t="shared" si="55"/>
        <v>0</v>
      </c>
      <c r="J1195" s="365">
        <f t="shared" si="54"/>
        <v>0</v>
      </c>
      <c r="K1195" s="369">
        <f t="shared" si="56"/>
        <v>6</v>
      </c>
      <c r="L1195" s="369">
        <f>+IF((C1195&gt;='Resultats - informe'!$E$16)*(C1195&lt;='Resultats - informe'!$G$16),1,0)</f>
        <v>1</v>
      </c>
      <c r="M1195" s="369" cm="1">
        <f t="array" ref="M1195">+_xlfn.IFS((C1195&gt;='Resultats - informe'!$D$26)*(C1195&lt;='Resultats - informe'!$E$26),0,(C1195&gt;='Resultats - informe'!$D$27)*(C1195&lt;='Resultats - informe'!$E$27),0,(C1195&gt;='Resultats - informe'!$D$28)*(C1195&lt;='Resultats - informe'!$E$28),0,(C1195&gt;='Resultats - informe'!$D$29)*(C1195&lt;='Resultats - informe'!$E$29),0,1,1)</f>
        <v>0</v>
      </c>
      <c r="N1195" s="366">
        <f>+VLOOKUP(D1195,'Resultats - informe'!$Y$18:$AG$42,'Introducció dades consum'!K1195+1,0)</f>
        <v>0</v>
      </c>
      <c r="O1195" s="370" cm="1">
        <f t="array" ref="O1195">+_xlfn.SWITCH(MONTH(C1195),1,1,2,1,3,1,4,2,5,2,6,3,7,3,8,3,9,3,10,2,11,2,12,1,2)</f>
        <v>1</v>
      </c>
      <c r="P1195" s="43"/>
      <c r="AS1195" s="10"/>
      <c r="AT1195" s="10"/>
      <c r="AU1195" s="10"/>
      <c r="AV1195" s="10"/>
      <c r="AW1195" s="10"/>
      <c r="AX1195" s="10"/>
      <c r="AY1195" s="10"/>
      <c r="AZ1195" s="10"/>
      <c r="BA1195" s="10"/>
      <c r="BB1195" s="10"/>
      <c r="BC1195" s="10"/>
      <c r="BD1195" s="10"/>
      <c r="BE1195" s="10"/>
      <c r="BF1195" s="10"/>
      <c r="BG1195" s="10"/>
      <c r="BH1195" s="10"/>
      <c r="BI1195" s="10"/>
      <c r="BJ1195" s="10"/>
      <c r="BK1195" s="10"/>
      <c r="BL1195" s="10"/>
      <c r="BM1195" s="10"/>
      <c r="BN1195" s="10"/>
      <c r="BO1195" s="10"/>
      <c r="BP1195" s="10"/>
      <c r="BQ1195" s="10"/>
      <c r="BR1195" s="10"/>
      <c r="BS1195" s="10"/>
      <c r="BT1195" s="10"/>
      <c r="BU1195" s="10"/>
    </row>
    <row r="1196" spans="1:73" ht="18" x14ac:dyDescent="0.35">
      <c r="A1196" s="43"/>
      <c r="C1196" s="393"/>
      <c r="E1196" s="394"/>
      <c r="F1196" s="394">
        <v>0.504</v>
      </c>
      <c r="G1196" s="394"/>
      <c r="H1196" s="8" t="s">
        <v>235</v>
      </c>
      <c r="I1196" s="368">
        <f t="shared" si="55"/>
        <v>0</v>
      </c>
      <c r="J1196" s="365">
        <f t="shared" si="54"/>
        <v>0</v>
      </c>
      <c r="K1196" s="369">
        <f t="shared" si="56"/>
        <v>6</v>
      </c>
      <c r="L1196" s="369">
        <f>+IF((C1196&gt;='Resultats - informe'!$E$16)*(C1196&lt;='Resultats - informe'!$G$16),1,0)</f>
        <v>1</v>
      </c>
      <c r="M1196" s="369" cm="1">
        <f t="array" ref="M1196">+_xlfn.IFS((C1196&gt;='Resultats - informe'!$D$26)*(C1196&lt;='Resultats - informe'!$E$26),0,(C1196&gt;='Resultats - informe'!$D$27)*(C1196&lt;='Resultats - informe'!$E$27),0,(C1196&gt;='Resultats - informe'!$D$28)*(C1196&lt;='Resultats - informe'!$E$28),0,(C1196&gt;='Resultats - informe'!$D$29)*(C1196&lt;='Resultats - informe'!$E$29),0,1,1)</f>
        <v>0</v>
      </c>
      <c r="N1196" s="366">
        <f>+VLOOKUP(D1196,'Resultats - informe'!$Y$18:$AG$42,'Introducció dades consum'!K1196+1,0)</f>
        <v>0</v>
      </c>
      <c r="O1196" s="370" cm="1">
        <f t="array" ref="O1196">+_xlfn.SWITCH(MONTH(C1196),1,1,2,1,3,1,4,2,5,2,6,3,7,3,8,3,9,3,10,2,11,2,12,1,2)</f>
        <v>1</v>
      </c>
      <c r="P1196" s="43"/>
      <c r="AS1196" s="10"/>
      <c r="AT1196" s="10"/>
      <c r="AU1196" s="10"/>
      <c r="AV1196" s="10"/>
      <c r="AW1196" s="10"/>
      <c r="AX1196" s="10"/>
      <c r="AY1196" s="10"/>
      <c r="AZ1196" s="10"/>
      <c r="BA1196" s="10"/>
      <c r="BB1196" s="10"/>
      <c r="BC1196" s="10"/>
      <c r="BD1196" s="10"/>
      <c r="BE1196" s="10"/>
      <c r="BF1196" s="10"/>
      <c r="BG1196" s="10"/>
      <c r="BH1196" s="10"/>
      <c r="BI1196" s="10"/>
      <c r="BJ1196" s="10"/>
      <c r="BK1196" s="10"/>
      <c r="BL1196" s="10"/>
      <c r="BM1196" s="10"/>
      <c r="BN1196" s="10"/>
      <c r="BO1196" s="10"/>
      <c r="BP1196" s="10"/>
      <c r="BQ1196" s="10"/>
      <c r="BR1196" s="10"/>
      <c r="BS1196" s="10"/>
      <c r="BT1196" s="10"/>
      <c r="BU1196" s="10"/>
    </row>
    <row r="1197" spans="1:73" ht="18" x14ac:dyDescent="0.35">
      <c r="A1197" s="43"/>
      <c r="C1197" s="393"/>
      <c r="E1197" s="394"/>
      <c r="F1197" s="394">
        <v>0</v>
      </c>
      <c r="G1197" s="394"/>
      <c r="H1197" s="8" t="s">
        <v>235</v>
      </c>
      <c r="I1197" s="368">
        <f t="shared" si="55"/>
        <v>0</v>
      </c>
      <c r="J1197" s="365">
        <f t="shared" si="54"/>
        <v>0</v>
      </c>
      <c r="K1197" s="369">
        <f t="shared" si="56"/>
        <v>6</v>
      </c>
      <c r="L1197" s="369">
        <f>+IF((C1197&gt;='Resultats - informe'!$E$16)*(C1197&lt;='Resultats - informe'!$G$16),1,0)</f>
        <v>1</v>
      </c>
      <c r="M1197" s="369" cm="1">
        <f t="array" ref="M1197">+_xlfn.IFS((C1197&gt;='Resultats - informe'!$D$26)*(C1197&lt;='Resultats - informe'!$E$26),0,(C1197&gt;='Resultats - informe'!$D$27)*(C1197&lt;='Resultats - informe'!$E$27),0,(C1197&gt;='Resultats - informe'!$D$28)*(C1197&lt;='Resultats - informe'!$E$28),0,(C1197&gt;='Resultats - informe'!$D$29)*(C1197&lt;='Resultats - informe'!$E$29),0,1,1)</f>
        <v>0</v>
      </c>
      <c r="N1197" s="366">
        <f>+VLOOKUP(D1197,'Resultats - informe'!$Y$18:$AG$42,'Introducció dades consum'!K1197+1,0)</f>
        <v>0</v>
      </c>
      <c r="O1197" s="370" cm="1">
        <f t="array" ref="O1197">+_xlfn.SWITCH(MONTH(C1197),1,1,2,1,3,1,4,2,5,2,6,3,7,3,8,3,9,3,10,2,11,2,12,1,2)</f>
        <v>1</v>
      </c>
      <c r="P1197" s="43"/>
      <c r="AS1197" s="10"/>
      <c r="AT1197" s="10"/>
      <c r="AU1197" s="10"/>
      <c r="AV1197" s="10"/>
      <c r="AW1197" s="10"/>
      <c r="AX1197" s="10"/>
      <c r="AY1197" s="10"/>
      <c r="AZ1197" s="10"/>
      <c r="BA1197" s="10"/>
      <c r="BB1197" s="10"/>
      <c r="BC1197" s="10"/>
      <c r="BD1197" s="10"/>
      <c r="BE1197" s="10"/>
      <c r="BF1197" s="10"/>
      <c r="BG1197" s="10"/>
      <c r="BH1197" s="10"/>
      <c r="BI1197" s="10"/>
      <c r="BJ1197" s="10"/>
      <c r="BK1197" s="10"/>
      <c r="BL1197" s="10"/>
      <c r="BM1197" s="10"/>
      <c r="BN1197" s="10"/>
      <c r="BO1197" s="10"/>
      <c r="BP1197" s="10"/>
      <c r="BQ1197" s="10"/>
      <c r="BR1197" s="10"/>
      <c r="BS1197" s="10"/>
      <c r="BT1197" s="10"/>
      <c r="BU1197" s="10"/>
    </row>
    <row r="1198" spans="1:73" ht="18" x14ac:dyDescent="0.35">
      <c r="A1198" s="43"/>
      <c r="C1198" s="393"/>
      <c r="E1198" s="394"/>
      <c r="F1198" s="394">
        <v>0</v>
      </c>
      <c r="G1198" s="394"/>
      <c r="H1198" s="8" t="s">
        <v>235</v>
      </c>
      <c r="I1198" s="368">
        <f t="shared" si="55"/>
        <v>0</v>
      </c>
      <c r="J1198" s="365">
        <f t="shared" si="54"/>
        <v>0</v>
      </c>
      <c r="K1198" s="369">
        <f t="shared" si="56"/>
        <v>6</v>
      </c>
      <c r="L1198" s="369">
        <f>+IF((C1198&gt;='Resultats - informe'!$E$16)*(C1198&lt;='Resultats - informe'!$G$16),1,0)</f>
        <v>1</v>
      </c>
      <c r="M1198" s="369" cm="1">
        <f t="array" ref="M1198">+_xlfn.IFS((C1198&gt;='Resultats - informe'!$D$26)*(C1198&lt;='Resultats - informe'!$E$26),0,(C1198&gt;='Resultats - informe'!$D$27)*(C1198&lt;='Resultats - informe'!$E$27),0,(C1198&gt;='Resultats - informe'!$D$28)*(C1198&lt;='Resultats - informe'!$E$28),0,(C1198&gt;='Resultats - informe'!$D$29)*(C1198&lt;='Resultats - informe'!$E$29),0,1,1)</f>
        <v>0</v>
      </c>
      <c r="N1198" s="366">
        <f>+VLOOKUP(D1198,'Resultats - informe'!$Y$18:$AG$42,'Introducció dades consum'!K1198+1,0)</f>
        <v>0</v>
      </c>
      <c r="O1198" s="370" cm="1">
        <f t="array" ref="O1198">+_xlfn.SWITCH(MONTH(C1198),1,1,2,1,3,1,4,2,5,2,6,3,7,3,8,3,9,3,10,2,11,2,12,1,2)</f>
        <v>1</v>
      </c>
      <c r="P1198" s="43"/>
      <c r="AS1198" s="10"/>
      <c r="AT1198" s="10"/>
      <c r="AU1198" s="10"/>
      <c r="AV1198" s="10"/>
      <c r="AW1198" s="10"/>
      <c r="AX1198" s="10"/>
      <c r="AY1198" s="10"/>
      <c r="AZ1198" s="10"/>
      <c r="BA1198" s="10"/>
      <c r="BB1198" s="10"/>
      <c r="BC1198" s="10"/>
      <c r="BD1198" s="10"/>
      <c r="BE1198" s="10"/>
      <c r="BF1198" s="10"/>
      <c r="BG1198" s="10"/>
      <c r="BH1198" s="10"/>
      <c r="BI1198" s="10"/>
      <c r="BJ1198" s="10"/>
      <c r="BK1198" s="10"/>
      <c r="BL1198" s="10"/>
      <c r="BM1198" s="10"/>
      <c r="BN1198" s="10"/>
      <c r="BO1198" s="10"/>
      <c r="BP1198" s="10"/>
      <c r="BQ1198" s="10"/>
      <c r="BR1198" s="10"/>
      <c r="BS1198" s="10"/>
      <c r="BT1198" s="10"/>
      <c r="BU1198" s="10"/>
    </row>
    <row r="1199" spans="1:73" ht="18" x14ac:dyDescent="0.35">
      <c r="A1199" s="43"/>
      <c r="C1199" s="393"/>
      <c r="E1199" s="394"/>
      <c r="F1199" s="394">
        <v>0</v>
      </c>
      <c r="G1199" s="394"/>
      <c r="H1199" s="8" t="s">
        <v>235</v>
      </c>
      <c r="I1199" s="368">
        <f t="shared" si="55"/>
        <v>0</v>
      </c>
      <c r="J1199" s="365">
        <f t="shared" si="54"/>
        <v>0</v>
      </c>
      <c r="K1199" s="369">
        <f t="shared" si="56"/>
        <v>6</v>
      </c>
      <c r="L1199" s="369">
        <f>+IF((C1199&gt;='Resultats - informe'!$E$16)*(C1199&lt;='Resultats - informe'!$G$16),1,0)</f>
        <v>1</v>
      </c>
      <c r="M1199" s="369" cm="1">
        <f t="array" ref="M1199">+_xlfn.IFS((C1199&gt;='Resultats - informe'!$D$26)*(C1199&lt;='Resultats - informe'!$E$26),0,(C1199&gt;='Resultats - informe'!$D$27)*(C1199&lt;='Resultats - informe'!$E$27),0,(C1199&gt;='Resultats - informe'!$D$28)*(C1199&lt;='Resultats - informe'!$E$28),0,(C1199&gt;='Resultats - informe'!$D$29)*(C1199&lt;='Resultats - informe'!$E$29),0,1,1)</f>
        <v>0</v>
      </c>
      <c r="N1199" s="366">
        <f>+VLOOKUP(D1199,'Resultats - informe'!$Y$18:$AG$42,'Introducció dades consum'!K1199+1,0)</f>
        <v>0</v>
      </c>
      <c r="O1199" s="370" cm="1">
        <f t="array" ref="O1199">+_xlfn.SWITCH(MONTH(C1199),1,1,2,1,3,1,4,2,5,2,6,3,7,3,8,3,9,3,10,2,11,2,12,1,2)</f>
        <v>1</v>
      </c>
      <c r="P1199" s="43"/>
      <c r="AS1199" s="10"/>
      <c r="AT1199" s="10"/>
      <c r="AU1199" s="10"/>
      <c r="AV1199" s="10"/>
      <c r="AW1199" s="10"/>
      <c r="AX1199" s="10"/>
      <c r="AY1199" s="10"/>
      <c r="AZ1199" s="10"/>
      <c r="BA1199" s="10"/>
      <c r="BB1199" s="10"/>
      <c r="BC1199" s="10"/>
      <c r="BD1199" s="10"/>
      <c r="BE1199" s="10"/>
      <c r="BF1199" s="10"/>
      <c r="BG1199" s="10"/>
      <c r="BH1199" s="10"/>
      <c r="BI1199" s="10"/>
      <c r="BJ1199" s="10"/>
      <c r="BK1199" s="10"/>
      <c r="BL1199" s="10"/>
      <c r="BM1199" s="10"/>
      <c r="BN1199" s="10"/>
      <c r="BO1199" s="10"/>
      <c r="BP1199" s="10"/>
      <c r="BQ1199" s="10"/>
      <c r="BR1199" s="10"/>
      <c r="BS1199" s="10"/>
      <c r="BT1199" s="10"/>
      <c r="BU1199" s="10"/>
    </row>
    <row r="1200" spans="1:73" ht="18" x14ac:dyDescent="0.35">
      <c r="A1200" s="43"/>
      <c r="C1200" s="393"/>
      <c r="E1200" s="394"/>
      <c r="F1200" s="394">
        <v>0</v>
      </c>
      <c r="G1200" s="394"/>
      <c r="H1200" s="8" t="s">
        <v>235</v>
      </c>
      <c r="I1200" s="368">
        <f t="shared" si="55"/>
        <v>0</v>
      </c>
      <c r="J1200" s="365">
        <f t="shared" si="54"/>
        <v>0</v>
      </c>
      <c r="K1200" s="369">
        <f t="shared" si="56"/>
        <v>6</v>
      </c>
      <c r="L1200" s="369">
        <f>+IF((C1200&gt;='Resultats - informe'!$E$16)*(C1200&lt;='Resultats - informe'!$G$16),1,0)</f>
        <v>1</v>
      </c>
      <c r="M1200" s="369" cm="1">
        <f t="array" ref="M1200">+_xlfn.IFS((C1200&gt;='Resultats - informe'!$D$26)*(C1200&lt;='Resultats - informe'!$E$26),0,(C1200&gt;='Resultats - informe'!$D$27)*(C1200&lt;='Resultats - informe'!$E$27),0,(C1200&gt;='Resultats - informe'!$D$28)*(C1200&lt;='Resultats - informe'!$E$28),0,(C1200&gt;='Resultats - informe'!$D$29)*(C1200&lt;='Resultats - informe'!$E$29),0,1,1)</f>
        <v>0</v>
      </c>
      <c r="N1200" s="366">
        <f>+VLOOKUP(D1200,'Resultats - informe'!$Y$18:$AG$42,'Introducció dades consum'!K1200+1,0)</f>
        <v>0</v>
      </c>
      <c r="O1200" s="370" cm="1">
        <f t="array" ref="O1200">+_xlfn.SWITCH(MONTH(C1200),1,1,2,1,3,1,4,2,5,2,6,3,7,3,8,3,9,3,10,2,11,2,12,1,2)</f>
        <v>1</v>
      </c>
      <c r="P1200" s="43"/>
      <c r="AS1200" s="10"/>
      <c r="AT1200" s="10"/>
      <c r="AU1200" s="10"/>
      <c r="AV1200" s="10"/>
      <c r="AW1200" s="10"/>
      <c r="AX1200" s="10"/>
      <c r="AY1200" s="10"/>
      <c r="AZ1200" s="10"/>
      <c r="BA1200" s="10"/>
      <c r="BB1200" s="10"/>
      <c r="BC1200" s="10"/>
      <c r="BD1200" s="10"/>
      <c r="BE1200" s="10"/>
      <c r="BF1200" s="10"/>
      <c r="BG1200" s="10"/>
      <c r="BH1200" s="10"/>
      <c r="BI1200" s="10"/>
      <c r="BJ1200" s="10"/>
      <c r="BK1200" s="10"/>
      <c r="BL1200" s="10"/>
      <c r="BM1200" s="10"/>
      <c r="BN1200" s="10"/>
      <c r="BO1200" s="10"/>
      <c r="BP1200" s="10"/>
      <c r="BQ1200" s="10"/>
      <c r="BR1200" s="10"/>
      <c r="BS1200" s="10"/>
      <c r="BT1200" s="10"/>
      <c r="BU1200" s="10"/>
    </row>
    <row r="1201" spans="1:73" ht="18" x14ac:dyDescent="0.35">
      <c r="A1201" s="43"/>
      <c r="C1201" s="393"/>
      <c r="E1201" s="394"/>
      <c r="F1201" s="394">
        <v>0</v>
      </c>
      <c r="G1201" s="394"/>
      <c r="H1201" s="8" t="s">
        <v>235</v>
      </c>
      <c r="I1201" s="368">
        <f t="shared" si="55"/>
        <v>0</v>
      </c>
      <c r="J1201" s="365">
        <f t="shared" si="54"/>
        <v>0</v>
      </c>
      <c r="K1201" s="369">
        <f t="shared" si="56"/>
        <v>6</v>
      </c>
      <c r="L1201" s="369">
        <f>+IF((C1201&gt;='Resultats - informe'!$E$16)*(C1201&lt;='Resultats - informe'!$G$16),1,0)</f>
        <v>1</v>
      </c>
      <c r="M1201" s="369" cm="1">
        <f t="array" ref="M1201">+_xlfn.IFS((C1201&gt;='Resultats - informe'!$D$26)*(C1201&lt;='Resultats - informe'!$E$26),0,(C1201&gt;='Resultats - informe'!$D$27)*(C1201&lt;='Resultats - informe'!$E$27),0,(C1201&gt;='Resultats - informe'!$D$28)*(C1201&lt;='Resultats - informe'!$E$28),0,(C1201&gt;='Resultats - informe'!$D$29)*(C1201&lt;='Resultats - informe'!$E$29),0,1,1)</f>
        <v>0</v>
      </c>
      <c r="N1201" s="366">
        <f>+VLOOKUP(D1201,'Resultats - informe'!$Y$18:$AG$42,'Introducció dades consum'!K1201+1,0)</f>
        <v>0</v>
      </c>
      <c r="O1201" s="370" cm="1">
        <f t="array" ref="O1201">+_xlfn.SWITCH(MONTH(C1201),1,1,2,1,3,1,4,2,5,2,6,3,7,3,8,3,9,3,10,2,11,2,12,1,2)</f>
        <v>1</v>
      </c>
      <c r="P1201" s="43"/>
      <c r="AS1201" s="10"/>
      <c r="AT1201" s="10"/>
      <c r="AU1201" s="10"/>
      <c r="AV1201" s="10"/>
      <c r="AW1201" s="10"/>
      <c r="AX1201" s="10"/>
      <c r="AY1201" s="10"/>
      <c r="AZ1201" s="10"/>
      <c r="BA1201" s="10"/>
      <c r="BB1201" s="10"/>
      <c r="BC1201" s="10"/>
      <c r="BD1201" s="10"/>
      <c r="BE1201" s="10"/>
      <c r="BF1201" s="10"/>
      <c r="BG1201" s="10"/>
      <c r="BH1201" s="10"/>
      <c r="BI1201" s="10"/>
      <c r="BJ1201" s="10"/>
      <c r="BK1201" s="10"/>
      <c r="BL1201" s="10"/>
      <c r="BM1201" s="10"/>
      <c r="BN1201" s="10"/>
      <c r="BO1201" s="10"/>
      <c r="BP1201" s="10"/>
      <c r="BQ1201" s="10"/>
      <c r="BR1201" s="10"/>
      <c r="BS1201" s="10"/>
      <c r="BT1201" s="10"/>
      <c r="BU1201" s="10"/>
    </row>
    <row r="1202" spans="1:73" ht="18" x14ac:dyDescent="0.35">
      <c r="A1202" s="43"/>
      <c r="C1202" s="393"/>
      <c r="E1202" s="394"/>
      <c r="F1202" s="394">
        <v>0</v>
      </c>
      <c r="G1202" s="394"/>
      <c r="H1202" s="8" t="s">
        <v>235</v>
      </c>
      <c r="I1202" s="368">
        <f t="shared" si="55"/>
        <v>0</v>
      </c>
      <c r="J1202" s="365">
        <f t="shared" si="54"/>
        <v>0</v>
      </c>
      <c r="K1202" s="369">
        <f t="shared" si="56"/>
        <v>6</v>
      </c>
      <c r="L1202" s="369">
        <f>+IF((C1202&gt;='Resultats - informe'!$E$16)*(C1202&lt;='Resultats - informe'!$G$16),1,0)</f>
        <v>1</v>
      </c>
      <c r="M1202" s="369" cm="1">
        <f t="array" ref="M1202">+_xlfn.IFS((C1202&gt;='Resultats - informe'!$D$26)*(C1202&lt;='Resultats - informe'!$E$26),0,(C1202&gt;='Resultats - informe'!$D$27)*(C1202&lt;='Resultats - informe'!$E$27),0,(C1202&gt;='Resultats - informe'!$D$28)*(C1202&lt;='Resultats - informe'!$E$28),0,(C1202&gt;='Resultats - informe'!$D$29)*(C1202&lt;='Resultats - informe'!$E$29),0,1,1)</f>
        <v>0</v>
      </c>
      <c r="N1202" s="366">
        <f>+VLOOKUP(D1202,'Resultats - informe'!$Y$18:$AG$42,'Introducció dades consum'!K1202+1,0)</f>
        <v>0</v>
      </c>
      <c r="O1202" s="370" cm="1">
        <f t="array" ref="O1202">+_xlfn.SWITCH(MONTH(C1202),1,1,2,1,3,1,4,2,5,2,6,3,7,3,8,3,9,3,10,2,11,2,12,1,2)</f>
        <v>1</v>
      </c>
      <c r="P1202" s="43"/>
      <c r="AS1202" s="10"/>
      <c r="AT1202" s="10"/>
      <c r="AU1202" s="10"/>
      <c r="AV1202" s="10"/>
      <c r="AW1202" s="10"/>
      <c r="AX1202" s="10"/>
      <c r="AY1202" s="10"/>
      <c r="AZ1202" s="10"/>
      <c r="BA1202" s="10"/>
      <c r="BB1202" s="10"/>
      <c r="BC1202" s="10"/>
      <c r="BD1202" s="10"/>
      <c r="BE1202" s="10"/>
      <c r="BF1202" s="10"/>
      <c r="BG1202" s="10"/>
      <c r="BH1202" s="10"/>
      <c r="BI1202" s="10"/>
      <c r="BJ1202" s="10"/>
      <c r="BK1202" s="10"/>
      <c r="BL1202" s="10"/>
      <c r="BM1202" s="10"/>
      <c r="BN1202" s="10"/>
      <c r="BO1202" s="10"/>
      <c r="BP1202" s="10"/>
      <c r="BQ1202" s="10"/>
      <c r="BR1202" s="10"/>
      <c r="BS1202" s="10"/>
      <c r="BT1202" s="10"/>
      <c r="BU1202" s="10"/>
    </row>
    <row r="1203" spans="1:73" ht="18" x14ac:dyDescent="0.35">
      <c r="A1203" s="43"/>
      <c r="C1203" s="393"/>
      <c r="E1203" s="394"/>
      <c r="F1203" s="394">
        <v>0</v>
      </c>
      <c r="G1203" s="394"/>
      <c r="H1203" s="8" t="s">
        <v>235</v>
      </c>
      <c r="I1203" s="368">
        <f t="shared" si="55"/>
        <v>0</v>
      </c>
      <c r="J1203" s="365">
        <f t="shared" si="54"/>
        <v>0</v>
      </c>
      <c r="K1203" s="369">
        <f t="shared" si="56"/>
        <v>6</v>
      </c>
      <c r="L1203" s="369">
        <f>+IF((C1203&gt;='Resultats - informe'!$E$16)*(C1203&lt;='Resultats - informe'!$G$16),1,0)</f>
        <v>1</v>
      </c>
      <c r="M1203" s="369" cm="1">
        <f t="array" ref="M1203">+_xlfn.IFS((C1203&gt;='Resultats - informe'!$D$26)*(C1203&lt;='Resultats - informe'!$E$26),0,(C1203&gt;='Resultats - informe'!$D$27)*(C1203&lt;='Resultats - informe'!$E$27),0,(C1203&gt;='Resultats - informe'!$D$28)*(C1203&lt;='Resultats - informe'!$E$28),0,(C1203&gt;='Resultats - informe'!$D$29)*(C1203&lt;='Resultats - informe'!$E$29),0,1,1)</f>
        <v>0</v>
      </c>
      <c r="N1203" s="366">
        <f>+VLOOKUP(D1203,'Resultats - informe'!$Y$18:$AG$42,'Introducció dades consum'!K1203+1,0)</f>
        <v>0</v>
      </c>
      <c r="O1203" s="370" cm="1">
        <f t="array" ref="O1203">+_xlfn.SWITCH(MONTH(C1203),1,1,2,1,3,1,4,2,5,2,6,3,7,3,8,3,9,3,10,2,11,2,12,1,2)</f>
        <v>1</v>
      </c>
      <c r="P1203" s="43"/>
      <c r="AS1203" s="10"/>
      <c r="AT1203" s="10"/>
      <c r="AU1203" s="10"/>
      <c r="AV1203" s="10"/>
      <c r="AW1203" s="10"/>
      <c r="AX1203" s="10"/>
      <c r="AY1203" s="10"/>
      <c r="AZ1203" s="10"/>
      <c r="BA1203" s="10"/>
      <c r="BB1203" s="10"/>
      <c r="BC1203" s="10"/>
      <c r="BD1203" s="10"/>
      <c r="BE1203" s="10"/>
      <c r="BF1203" s="10"/>
      <c r="BG1203" s="10"/>
      <c r="BH1203" s="10"/>
      <c r="BI1203" s="10"/>
      <c r="BJ1203" s="10"/>
      <c r="BK1203" s="10"/>
      <c r="BL1203" s="10"/>
      <c r="BM1203" s="10"/>
      <c r="BN1203" s="10"/>
      <c r="BO1203" s="10"/>
      <c r="BP1203" s="10"/>
      <c r="BQ1203" s="10"/>
      <c r="BR1203" s="10"/>
      <c r="BS1203" s="10"/>
      <c r="BT1203" s="10"/>
      <c r="BU1203" s="10"/>
    </row>
    <row r="1204" spans="1:73" ht="18" x14ac:dyDescent="0.35">
      <c r="A1204" s="43"/>
      <c r="C1204" s="393"/>
      <c r="E1204" s="394"/>
      <c r="F1204" s="394">
        <v>0</v>
      </c>
      <c r="G1204" s="394"/>
      <c r="H1204" s="8" t="s">
        <v>235</v>
      </c>
      <c r="I1204" s="368">
        <f t="shared" si="55"/>
        <v>0</v>
      </c>
      <c r="J1204" s="365">
        <f t="shared" si="54"/>
        <v>0</v>
      </c>
      <c r="K1204" s="369">
        <f t="shared" si="56"/>
        <v>6</v>
      </c>
      <c r="L1204" s="369">
        <f>+IF((C1204&gt;='Resultats - informe'!$E$16)*(C1204&lt;='Resultats - informe'!$G$16),1,0)</f>
        <v>1</v>
      </c>
      <c r="M1204" s="369" cm="1">
        <f t="array" ref="M1204">+_xlfn.IFS((C1204&gt;='Resultats - informe'!$D$26)*(C1204&lt;='Resultats - informe'!$E$26),0,(C1204&gt;='Resultats - informe'!$D$27)*(C1204&lt;='Resultats - informe'!$E$27),0,(C1204&gt;='Resultats - informe'!$D$28)*(C1204&lt;='Resultats - informe'!$E$28),0,(C1204&gt;='Resultats - informe'!$D$29)*(C1204&lt;='Resultats - informe'!$E$29),0,1,1)</f>
        <v>0</v>
      </c>
      <c r="N1204" s="366">
        <f>+VLOOKUP(D1204,'Resultats - informe'!$Y$18:$AG$42,'Introducció dades consum'!K1204+1,0)</f>
        <v>0</v>
      </c>
      <c r="O1204" s="370" cm="1">
        <f t="array" ref="O1204">+_xlfn.SWITCH(MONTH(C1204),1,1,2,1,3,1,4,2,5,2,6,3,7,3,8,3,9,3,10,2,11,2,12,1,2)</f>
        <v>1</v>
      </c>
      <c r="P1204" s="43"/>
      <c r="AS1204" s="10"/>
      <c r="AT1204" s="10"/>
      <c r="AU1204" s="10"/>
      <c r="AV1204" s="10"/>
      <c r="AW1204" s="10"/>
      <c r="AX1204" s="10"/>
      <c r="AY1204" s="10"/>
      <c r="AZ1204" s="10"/>
      <c r="BA1204" s="10"/>
      <c r="BB1204" s="10"/>
      <c r="BC1204" s="10"/>
      <c r="BD1204" s="10"/>
      <c r="BE1204" s="10"/>
      <c r="BF1204" s="10"/>
      <c r="BG1204" s="10"/>
      <c r="BH1204" s="10"/>
      <c r="BI1204" s="10"/>
      <c r="BJ1204" s="10"/>
      <c r="BK1204" s="10"/>
      <c r="BL1204" s="10"/>
      <c r="BM1204" s="10"/>
      <c r="BN1204" s="10"/>
      <c r="BO1204" s="10"/>
      <c r="BP1204" s="10"/>
      <c r="BQ1204" s="10"/>
      <c r="BR1204" s="10"/>
      <c r="BS1204" s="10"/>
      <c r="BT1204" s="10"/>
      <c r="BU1204" s="10"/>
    </row>
    <row r="1205" spans="1:73" ht="18" x14ac:dyDescent="0.35">
      <c r="A1205" s="43"/>
      <c r="C1205" s="393"/>
      <c r="E1205" s="394"/>
      <c r="F1205" s="394">
        <v>0</v>
      </c>
      <c r="G1205" s="394"/>
      <c r="H1205" s="8" t="s">
        <v>235</v>
      </c>
      <c r="I1205" s="368">
        <f t="shared" si="55"/>
        <v>0</v>
      </c>
      <c r="J1205" s="365">
        <f t="shared" si="54"/>
        <v>0</v>
      </c>
      <c r="K1205" s="369">
        <f t="shared" si="56"/>
        <v>6</v>
      </c>
      <c r="L1205" s="369">
        <f>+IF((C1205&gt;='Resultats - informe'!$E$16)*(C1205&lt;='Resultats - informe'!$G$16),1,0)</f>
        <v>1</v>
      </c>
      <c r="M1205" s="369" cm="1">
        <f t="array" ref="M1205">+_xlfn.IFS((C1205&gt;='Resultats - informe'!$D$26)*(C1205&lt;='Resultats - informe'!$E$26),0,(C1205&gt;='Resultats - informe'!$D$27)*(C1205&lt;='Resultats - informe'!$E$27),0,(C1205&gt;='Resultats - informe'!$D$28)*(C1205&lt;='Resultats - informe'!$E$28),0,(C1205&gt;='Resultats - informe'!$D$29)*(C1205&lt;='Resultats - informe'!$E$29),0,1,1)</f>
        <v>0</v>
      </c>
      <c r="N1205" s="366">
        <f>+VLOOKUP(D1205,'Resultats - informe'!$Y$18:$AG$42,'Introducció dades consum'!K1205+1,0)</f>
        <v>0</v>
      </c>
      <c r="O1205" s="370" cm="1">
        <f t="array" ref="O1205">+_xlfn.SWITCH(MONTH(C1205),1,1,2,1,3,1,4,2,5,2,6,3,7,3,8,3,9,3,10,2,11,2,12,1,2)</f>
        <v>1</v>
      </c>
      <c r="P1205" s="43"/>
      <c r="AS1205" s="10"/>
      <c r="AT1205" s="10"/>
      <c r="AU1205" s="10"/>
      <c r="AV1205" s="10"/>
      <c r="AW1205" s="10"/>
      <c r="AX1205" s="10"/>
      <c r="AY1205" s="10"/>
      <c r="AZ1205" s="10"/>
      <c r="BA1205" s="10"/>
      <c r="BB1205" s="10"/>
      <c r="BC1205" s="10"/>
      <c r="BD1205" s="10"/>
      <c r="BE1205" s="10"/>
      <c r="BF1205" s="10"/>
      <c r="BG1205" s="10"/>
      <c r="BH1205" s="10"/>
      <c r="BI1205" s="10"/>
      <c r="BJ1205" s="10"/>
      <c r="BK1205" s="10"/>
      <c r="BL1205" s="10"/>
      <c r="BM1205" s="10"/>
      <c r="BN1205" s="10"/>
      <c r="BO1205" s="10"/>
      <c r="BP1205" s="10"/>
      <c r="BQ1205" s="10"/>
      <c r="BR1205" s="10"/>
      <c r="BS1205" s="10"/>
      <c r="BT1205" s="10"/>
      <c r="BU1205" s="10"/>
    </row>
    <row r="1206" spans="1:73" ht="18" x14ac:dyDescent="0.35">
      <c r="A1206" s="43"/>
      <c r="C1206" s="393"/>
      <c r="E1206" s="394"/>
      <c r="F1206" s="394">
        <v>0</v>
      </c>
      <c r="G1206" s="394"/>
      <c r="H1206" s="8" t="s">
        <v>235</v>
      </c>
      <c r="I1206" s="368">
        <f t="shared" si="55"/>
        <v>0</v>
      </c>
      <c r="J1206" s="365">
        <f t="shared" si="54"/>
        <v>0</v>
      </c>
      <c r="K1206" s="369">
        <f t="shared" si="56"/>
        <v>6</v>
      </c>
      <c r="L1206" s="369">
        <f>+IF((C1206&gt;='Resultats - informe'!$E$16)*(C1206&lt;='Resultats - informe'!$G$16),1,0)</f>
        <v>1</v>
      </c>
      <c r="M1206" s="369" cm="1">
        <f t="array" ref="M1206">+_xlfn.IFS((C1206&gt;='Resultats - informe'!$D$26)*(C1206&lt;='Resultats - informe'!$E$26),0,(C1206&gt;='Resultats - informe'!$D$27)*(C1206&lt;='Resultats - informe'!$E$27),0,(C1206&gt;='Resultats - informe'!$D$28)*(C1206&lt;='Resultats - informe'!$E$28),0,(C1206&gt;='Resultats - informe'!$D$29)*(C1206&lt;='Resultats - informe'!$E$29),0,1,1)</f>
        <v>0</v>
      </c>
      <c r="N1206" s="366">
        <f>+VLOOKUP(D1206,'Resultats - informe'!$Y$18:$AG$42,'Introducció dades consum'!K1206+1,0)</f>
        <v>0</v>
      </c>
      <c r="O1206" s="370" cm="1">
        <f t="array" ref="O1206">+_xlfn.SWITCH(MONTH(C1206),1,1,2,1,3,1,4,2,5,2,6,3,7,3,8,3,9,3,10,2,11,2,12,1,2)</f>
        <v>1</v>
      </c>
      <c r="P1206" s="43"/>
      <c r="AS1206" s="10"/>
      <c r="AT1206" s="10"/>
      <c r="AU1206" s="10"/>
      <c r="AV1206" s="10"/>
      <c r="AW1206" s="10"/>
      <c r="AX1206" s="10"/>
      <c r="AY1206" s="10"/>
      <c r="AZ1206" s="10"/>
      <c r="BA1206" s="10"/>
      <c r="BB1206" s="10"/>
      <c r="BC1206" s="10"/>
      <c r="BD1206" s="10"/>
      <c r="BE1206" s="10"/>
      <c r="BF1206" s="10"/>
      <c r="BG1206" s="10"/>
      <c r="BH1206" s="10"/>
      <c r="BI1206" s="10"/>
      <c r="BJ1206" s="10"/>
      <c r="BK1206" s="10"/>
      <c r="BL1206" s="10"/>
      <c r="BM1206" s="10"/>
      <c r="BN1206" s="10"/>
      <c r="BO1206" s="10"/>
      <c r="BP1206" s="10"/>
      <c r="BQ1206" s="10"/>
      <c r="BR1206" s="10"/>
      <c r="BS1206" s="10"/>
      <c r="BT1206" s="10"/>
      <c r="BU1206" s="10"/>
    </row>
    <row r="1207" spans="1:73" ht="18" x14ac:dyDescent="0.35">
      <c r="A1207" s="43"/>
      <c r="C1207" s="393"/>
      <c r="E1207" s="394"/>
      <c r="F1207" s="394">
        <v>0</v>
      </c>
      <c r="G1207" s="394"/>
      <c r="H1207" s="8" t="s">
        <v>235</v>
      </c>
      <c r="I1207" s="368">
        <f t="shared" si="55"/>
        <v>0</v>
      </c>
      <c r="J1207" s="365">
        <f t="shared" si="54"/>
        <v>0</v>
      </c>
      <c r="K1207" s="369">
        <f t="shared" si="56"/>
        <v>6</v>
      </c>
      <c r="L1207" s="369">
        <f>+IF((C1207&gt;='Resultats - informe'!$E$16)*(C1207&lt;='Resultats - informe'!$G$16),1,0)</f>
        <v>1</v>
      </c>
      <c r="M1207" s="369" cm="1">
        <f t="array" ref="M1207">+_xlfn.IFS((C1207&gt;='Resultats - informe'!$D$26)*(C1207&lt;='Resultats - informe'!$E$26),0,(C1207&gt;='Resultats - informe'!$D$27)*(C1207&lt;='Resultats - informe'!$E$27),0,(C1207&gt;='Resultats - informe'!$D$28)*(C1207&lt;='Resultats - informe'!$E$28),0,(C1207&gt;='Resultats - informe'!$D$29)*(C1207&lt;='Resultats - informe'!$E$29),0,1,1)</f>
        <v>0</v>
      </c>
      <c r="N1207" s="366">
        <f>+VLOOKUP(D1207,'Resultats - informe'!$Y$18:$AG$42,'Introducció dades consum'!K1207+1,0)</f>
        <v>0</v>
      </c>
      <c r="O1207" s="370" cm="1">
        <f t="array" ref="O1207">+_xlfn.SWITCH(MONTH(C1207),1,1,2,1,3,1,4,2,5,2,6,3,7,3,8,3,9,3,10,2,11,2,12,1,2)</f>
        <v>1</v>
      </c>
      <c r="P1207" s="43"/>
      <c r="AS1207" s="10"/>
      <c r="AT1207" s="10"/>
      <c r="AU1207" s="10"/>
      <c r="AV1207" s="10"/>
      <c r="AW1207" s="10"/>
      <c r="AX1207" s="10"/>
      <c r="AY1207" s="10"/>
      <c r="AZ1207" s="10"/>
      <c r="BA1207" s="10"/>
      <c r="BB1207" s="10"/>
      <c r="BC1207" s="10"/>
      <c r="BD1207" s="10"/>
      <c r="BE1207" s="10"/>
      <c r="BF1207" s="10"/>
      <c r="BG1207" s="10"/>
      <c r="BH1207" s="10"/>
      <c r="BI1207" s="10"/>
      <c r="BJ1207" s="10"/>
      <c r="BK1207" s="10"/>
      <c r="BL1207" s="10"/>
      <c r="BM1207" s="10"/>
      <c r="BN1207" s="10"/>
      <c r="BO1207" s="10"/>
      <c r="BP1207" s="10"/>
      <c r="BQ1207" s="10"/>
      <c r="BR1207" s="10"/>
      <c r="BS1207" s="10"/>
      <c r="BT1207" s="10"/>
      <c r="BU1207" s="10"/>
    </row>
    <row r="1208" spans="1:73" ht="18" x14ac:dyDescent="0.35">
      <c r="A1208" s="43"/>
      <c r="C1208" s="393"/>
      <c r="E1208" s="394"/>
      <c r="F1208" s="394">
        <v>0</v>
      </c>
      <c r="G1208" s="394"/>
      <c r="H1208" s="8" t="s">
        <v>235</v>
      </c>
      <c r="I1208" s="368">
        <f t="shared" si="55"/>
        <v>0</v>
      </c>
      <c r="J1208" s="365">
        <f t="shared" si="54"/>
        <v>0</v>
      </c>
      <c r="K1208" s="369">
        <f t="shared" si="56"/>
        <v>6</v>
      </c>
      <c r="L1208" s="369">
        <f>+IF((C1208&gt;='Resultats - informe'!$E$16)*(C1208&lt;='Resultats - informe'!$G$16),1,0)</f>
        <v>1</v>
      </c>
      <c r="M1208" s="369" cm="1">
        <f t="array" ref="M1208">+_xlfn.IFS((C1208&gt;='Resultats - informe'!$D$26)*(C1208&lt;='Resultats - informe'!$E$26),0,(C1208&gt;='Resultats - informe'!$D$27)*(C1208&lt;='Resultats - informe'!$E$27),0,(C1208&gt;='Resultats - informe'!$D$28)*(C1208&lt;='Resultats - informe'!$E$28),0,(C1208&gt;='Resultats - informe'!$D$29)*(C1208&lt;='Resultats - informe'!$E$29),0,1,1)</f>
        <v>0</v>
      </c>
      <c r="N1208" s="366">
        <f>+VLOOKUP(D1208,'Resultats - informe'!$Y$18:$AG$42,'Introducció dades consum'!K1208+1,0)</f>
        <v>0</v>
      </c>
      <c r="O1208" s="370" cm="1">
        <f t="array" ref="O1208">+_xlfn.SWITCH(MONTH(C1208),1,1,2,1,3,1,4,2,5,2,6,3,7,3,8,3,9,3,10,2,11,2,12,1,2)</f>
        <v>1</v>
      </c>
      <c r="P1208" s="43"/>
      <c r="AS1208" s="10"/>
      <c r="AT1208" s="10"/>
      <c r="AU1208" s="10"/>
      <c r="AV1208" s="10"/>
      <c r="AW1208" s="10"/>
      <c r="AX1208" s="10"/>
      <c r="AY1208" s="10"/>
      <c r="AZ1208" s="10"/>
      <c r="BA1208" s="10"/>
      <c r="BB1208" s="10"/>
      <c r="BC1208" s="10"/>
      <c r="BD1208" s="10"/>
      <c r="BE1208" s="10"/>
      <c r="BF1208" s="10"/>
      <c r="BG1208" s="10"/>
      <c r="BH1208" s="10"/>
      <c r="BI1208" s="10"/>
      <c r="BJ1208" s="10"/>
      <c r="BK1208" s="10"/>
      <c r="BL1208" s="10"/>
      <c r="BM1208" s="10"/>
      <c r="BN1208" s="10"/>
      <c r="BO1208" s="10"/>
      <c r="BP1208" s="10"/>
      <c r="BQ1208" s="10"/>
      <c r="BR1208" s="10"/>
      <c r="BS1208" s="10"/>
      <c r="BT1208" s="10"/>
      <c r="BU1208" s="10"/>
    </row>
    <row r="1209" spans="1:73" ht="18" x14ac:dyDescent="0.35">
      <c r="A1209" s="43"/>
      <c r="C1209" s="393"/>
      <c r="E1209" s="394"/>
      <c r="F1209" s="394">
        <v>0</v>
      </c>
      <c r="G1209" s="394"/>
      <c r="H1209" s="8" t="s">
        <v>235</v>
      </c>
      <c r="I1209" s="368">
        <f t="shared" si="55"/>
        <v>0</v>
      </c>
      <c r="J1209" s="365">
        <f t="shared" si="54"/>
        <v>0</v>
      </c>
      <c r="K1209" s="369">
        <f t="shared" si="56"/>
        <v>6</v>
      </c>
      <c r="L1209" s="369">
        <f>+IF((C1209&gt;='Resultats - informe'!$E$16)*(C1209&lt;='Resultats - informe'!$G$16),1,0)</f>
        <v>1</v>
      </c>
      <c r="M1209" s="369" cm="1">
        <f t="array" ref="M1209">+_xlfn.IFS((C1209&gt;='Resultats - informe'!$D$26)*(C1209&lt;='Resultats - informe'!$E$26),0,(C1209&gt;='Resultats - informe'!$D$27)*(C1209&lt;='Resultats - informe'!$E$27),0,(C1209&gt;='Resultats - informe'!$D$28)*(C1209&lt;='Resultats - informe'!$E$28),0,(C1209&gt;='Resultats - informe'!$D$29)*(C1209&lt;='Resultats - informe'!$E$29),0,1,1)</f>
        <v>0</v>
      </c>
      <c r="N1209" s="366">
        <f>+VLOOKUP(D1209,'Resultats - informe'!$Y$18:$AG$42,'Introducció dades consum'!K1209+1,0)</f>
        <v>0</v>
      </c>
      <c r="O1209" s="370" cm="1">
        <f t="array" ref="O1209">+_xlfn.SWITCH(MONTH(C1209),1,1,2,1,3,1,4,2,5,2,6,3,7,3,8,3,9,3,10,2,11,2,12,1,2)</f>
        <v>1</v>
      </c>
      <c r="P1209" s="43"/>
      <c r="AS1209" s="10"/>
      <c r="AT1209" s="10"/>
      <c r="AU1209" s="10"/>
      <c r="AV1209" s="10"/>
      <c r="AW1209" s="10"/>
      <c r="AX1209" s="10"/>
      <c r="AY1209" s="10"/>
      <c r="AZ1209" s="10"/>
      <c r="BA1209" s="10"/>
      <c r="BB1209" s="10"/>
      <c r="BC1209" s="10"/>
      <c r="BD1209" s="10"/>
      <c r="BE1209" s="10"/>
      <c r="BF1209" s="10"/>
      <c r="BG1209" s="10"/>
      <c r="BH1209" s="10"/>
      <c r="BI1209" s="10"/>
      <c r="BJ1209" s="10"/>
      <c r="BK1209" s="10"/>
      <c r="BL1209" s="10"/>
      <c r="BM1209" s="10"/>
      <c r="BN1209" s="10"/>
      <c r="BO1209" s="10"/>
      <c r="BP1209" s="10"/>
      <c r="BQ1209" s="10"/>
      <c r="BR1209" s="10"/>
      <c r="BS1209" s="10"/>
      <c r="BT1209" s="10"/>
      <c r="BU1209" s="10"/>
    </row>
    <row r="1210" spans="1:73" ht="18" x14ac:dyDescent="0.35">
      <c r="A1210" s="43"/>
      <c r="C1210" s="393"/>
      <c r="E1210" s="394"/>
      <c r="F1210" s="394">
        <v>0</v>
      </c>
      <c r="G1210" s="394"/>
      <c r="H1210" s="8" t="s">
        <v>235</v>
      </c>
      <c r="I1210" s="368">
        <f t="shared" si="55"/>
        <v>0</v>
      </c>
      <c r="J1210" s="365">
        <f t="shared" si="54"/>
        <v>0</v>
      </c>
      <c r="K1210" s="369">
        <f t="shared" si="56"/>
        <v>6</v>
      </c>
      <c r="L1210" s="369">
        <f>+IF((C1210&gt;='Resultats - informe'!$E$16)*(C1210&lt;='Resultats - informe'!$G$16),1,0)</f>
        <v>1</v>
      </c>
      <c r="M1210" s="369" cm="1">
        <f t="array" ref="M1210">+_xlfn.IFS((C1210&gt;='Resultats - informe'!$D$26)*(C1210&lt;='Resultats - informe'!$E$26),0,(C1210&gt;='Resultats - informe'!$D$27)*(C1210&lt;='Resultats - informe'!$E$27),0,(C1210&gt;='Resultats - informe'!$D$28)*(C1210&lt;='Resultats - informe'!$E$28),0,(C1210&gt;='Resultats - informe'!$D$29)*(C1210&lt;='Resultats - informe'!$E$29),0,1,1)</f>
        <v>0</v>
      </c>
      <c r="N1210" s="366">
        <f>+VLOOKUP(D1210,'Resultats - informe'!$Y$18:$AG$42,'Introducció dades consum'!K1210+1,0)</f>
        <v>0</v>
      </c>
      <c r="O1210" s="370" cm="1">
        <f t="array" ref="O1210">+_xlfn.SWITCH(MONTH(C1210),1,1,2,1,3,1,4,2,5,2,6,3,7,3,8,3,9,3,10,2,11,2,12,1,2)</f>
        <v>1</v>
      </c>
      <c r="P1210" s="43"/>
      <c r="AS1210" s="10"/>
      <c r="AT1210" s="10"/>
      <c r="AU1210" s="10"/>
      <c r="AV1210" s="10"/>
      <c r="AW1210" s="10"/>
      <c r="AX1210" s="10"/>
      <c r="AY1210" s="10"/>
      <c r="AZ1210" s="10"/>
      <c r="BA1210" s="10"/>
      <c r="BB1210" s="10"/>
      <c r="BC1210" s="10"/>
      <c r="BD1210" s="10"/>
      <c r="BE1210" s="10"/>
      <c r="BF1210" s="10"/>
      <c r="BG1210" s="10"/>
      <c r="BH1210" s="10"/>
      <c r="BI1210" s="10"/>
      <c r="BJ1210" s="10"/>
      <c r="BK1210" s="10"/>
      <c r="BL1210" s="10"/>
      <c r="BM1210" s="10"/>
      <c r="BN1210" s="10"/>
      <c r="BO1210" s="10"/>
      <c r="BP1210" s="10"/>
      <c r="BQ1210" s="10"/>
      <c r="BR1210" s="10"/>
      <c r="BS1210" s="10"/>
      <c r="BT1210" s="10"/>
      <c r="BU1210" s="10"/>
    </row>
    <row r="1211" spans="1:73" ht="18" x14ac:dyDescent="0.35">
      <c r="A1211" s="43"/>
      <c r="C1211" s="393"/>
      <c r="E1211" s="394"/>
      <c r="F1211" s="394">
        <v>0</v>
      </c>
      <c r="G1211" s="394"/>
      <c r="H1211" s="8" t="s">
        <v>235</v>
      </c>
      <c r="I1211" s="368">
        <f t="shared" si="55"/>
        <v>0</v>
      </c>
      <c r="J1211" s="365">
        <f t="shared" ref="J1211:J1274" si="57">+C1211</f>
        <v>0</v>
      </c>
      <c r="K1211" s="369">
        <f t="shared" si="56"/>
        <v>6</v>
      </c>
      <c r="L1211" s="369">
        <f>+IF((C1211&gt;='Resultats - informe'!$E$16)*(C1211&lt;='Resultats - informe'!$G$16),1,0)</f>
        <v>1</v>
      </c>
      <c r="M1211" s="369" cm="1">
        <f t="array" ref="M1211">+_xlfn.IFS((C1211&gt;='Resultats - informe'!$D$26)*(C1211&lt;='Resultats - informe'!$E$26),0,(C1211&gt;='Resultats - informe'!$D$27)*(C1211&lt;='Resultats - informe'!$E$27),0,(C1211&gt;='Resultats - informe'!$D$28)*(C1211&lt;='Resultats - informe'!$E$28),0,(C1211&gt;='Resultats - informe'!$D$29)*(C1211&lt;='Resultats - informe'!$E$29),0,1,1)</f>
        <v>0</v>
      </c>
      <c r="N1211" s="366">
        <f>+VLOOKUP(D1211,'Resultats - informe'!$Y$18:$AG$42,'Introducció dades consum'!K1211+1,0)</f>
        <v>0</v>
      </c>
      <c r="O1211" s="370" cm="1">
        <f t="array" ref="O1211">+_xlfn.SWITCH(MONTH(C1211),1,1,2,1,3,1,4,2,5,2,6,3,7,3,8,3,9,3,10,2,11,2,12,1,2)</f>
        <v>1</v>
      </c>
      <c r="P1211" s="43"/>
      <c r="AS1211" s="10"/>
      <c r="AT1211" s="10"/>
      <c r="AU1211" s="10"/>
      <c r="AV1211" s="10"/>
      <c r="AW1211" s="10"/>
      <c r="AX1211" s="10"/>
      <c r="AY1211" s="10"/>
      <c r="AZ1211" s="10"/>
      <c r="BA1211" s="10"/>
      <c r="BB1211" s="10"/>
      <c r="BC1211" s="10"/>
      <c r="BD1211" s="10"/>
      <c r="BE1211" s="10"/>
      <c r="BF1211" s="10"/>
      <c r="BG1211" s="10"/>
      <c r="BH1211" s="10"/>
      <c r="BI1211" s="10"/>
      <c r="BJ1211" s="10"/>
      <c r="BK1211" s="10"/>
      <c r="BL1211" s="10"/>
      <c r="BM1211" s="10"/>
      <c r="BN1211" s="10"/>
      <c r="BO1211" s="10"/>
      <c r="BP1211" s="10"/>
      <c r="BQ1211" s="10"/>
      <c r="BR1211" s="10"/>
      <c r="BS1211" s="10"/>
      <c r="BT1211" s="10"/>
      <c r="BU1211" s="10"/>
    </row>
    <row r="1212" spans="1:73" ht="18" x14ac:dyDescent="0.35">
      <c r="A1212" s="43"/>
      <c r="C1212" s="393"/>
      <c r="E1212" s="394"/>
      <c r="F1212" s="394">
        <v>0.19500000000000001</v>
      </c>
      <c r="G1212" s="394"/>
      <c r="H1212" s="8" t="s">
        <v>235</v>
      </c>
      <c r="I1212" s="368">
        <f t="shared" si="55"/>
        <v>0</v>
      </c>
      <c r="J1212" s="365">
        <f t="shared" si="57"/>
        <v>0</v>
      </c>
      <c r="K1212" s="369">
        <f t="shared" si="56"/>
        <v>6</v>
      </c>
      <c r="L1212" s="369">
        <f>+IF((C1212&gt;='Resultats - informe'!$E$16)*(C1212&lt;='Resultats - informe'!$G$16),1,0)</f>
        <v>1</v>
      </c>
      <c r="M1212" s="369" cm="1">
        <f t="array" ref="M1212">+_xlfn.IFS((C1212&gt;='Resultats - informe'!$D$26)*(C1212&lt;='Resultats - informe'!$E$26),0,(C1212&gt;='Resultats - informe'!$D$27)*(C1212&lt;='Resultats - informe'!$E$27),0,(C1212&gt;='Resultats - informe'!$D$28)*(C1212&lt;='Resultats - informe'!$E$28),0,(C1212&gt;='Resultats - informe'!$D$29)*(C1212&lt;='Resultats - informe'!$E$29),0,1,1)</f>
        <v>0</v>
      </c>
      <c r="N1212" s="366">
        <f>+VLOOKUP(D1212,'Resultats - informe'!$Y$18:$AG$42,'Introducció dades consum'!K1212+1,0)</f>
        <v>0</v>
      </c>
      <c r="O1212" s="370" cm="1">
        <f t="array" ref="O1212">+_xlfn.SWITCH(MONTH(C1212),1,1,2,1,3,1,4,2,5,2,6,3,7,3,8,3,9,3,10,2,11,2,12,1,2)</f>
        <v>1</v>
      </c>
      <c r="P1212" s="43"/>
      <c r="AS1212" s="10"/>
      <c r="AT1212" s="10"/>
      <c r="AU1212" s="10"/>
      <c r="AV1212" s="10"/>
      <c r="AW1212" s="10"/>
      <c r="AX1212" s="10"/>
      <c r="AY1212" s="10"/>
      <c r="AZ1212" s="10"/>
      <c r="BA1212" s="10"/>
      <c r="BB1212" s="10"/>
      <c r="BC1212" s="10"/>
      <c r="BD1212" s="10"/>
      <c r="BE1212" s="10"/>
      <c r="BF1212" s="10"/>
      <c r="BG1212" s="10"/>
      <c r="BH1212" s="10"/>
      <c r="BI1212" s="10"/>
      <c r="BJ1212" s="10"/>
      <c r="BK1212" s="10"/>
      <c r="BL1212" s="10"/>
      <c r="BM1212" s="10"/>
      <c r="BN1212" s="10"/>
      <c r="BO1212" s="10"/>
      <c r="BP1212" s="10"/>
      <c r="BQ1212" s="10"/>
      <c r="BR1212" s="10"/>
      <c r="BS1212" s="10"/>
      <c r="BT1212" s="10"/>
      <c r="BU1212" s="10"/>
    </row>
    <row r="1213" spans="1:73" ht="18" x14ac:dyDescent="0.35">
      <c r="A1213" s="43"/>
      <c r="C1213" s="393"/>
      <c r="E1213" s="394"/>
      <c r="F1213" s="394">
        <v>0</v>
      </c>
      <c r="G1213" s="394"/>
      <c r="H1213" s="8" t="s">
        <v>61</v>
      </c>
      <c r="I1213" s="368">
        <f t="shared" si="55"/>
        <v>0</v>
      </c>
      <c r="J1213" s="365">
        <f t="shared" si="57"/>
        <v>0</v>
      </c>
      <c r="K1213" s="369">
        <f t="shared" si="56"/>
        <v>6</v>
      </c>
      <c r="L1213" s="369">
        <f>+IF((C1213&gt;='Resultats - informe'!$E$16)*(C1213&lt;='Resultats - informe'!$G$16),1,0)</f>
        <v>1</v>
      </c>
      <c r="M1213" s="369" cm="1">
        <f t="array" ref="M1213">+_xlfn.IFS((C1213&gt;='Resultats - informe'!$D$26)*(C1213&lt;='Resultats - informe'!$E$26),0,(C1213&gt;='Resultats - informe'!$D$27)*(C1213&lt;='Resultats - informe'!$E$27),0,(C1213&gt;='Resultats - informe'!$D$28)*(C1213&lt;='Resultats - informe'!$E$28),0,(C1213&gt;='Resultats - informe'!$D$29)*(C1213&lt;='Resultats - informe'!$E$29),0,1,1)</f>
        <v>0</v>
      </c>
      <c r="N1213" s="366">
        <f>+VLOOKUP(D1213,'Resultats - informe'!$Y$18:$AG$42,'Introducció dades consum'!K1213+1,0)</f>
        <v>0</v>
      </c>
      <c r="O1213" s="370" cm="1">
        <f t="array" ref="O1213">+_xlfn.SWITCH(MONTH(C1213),1,1,2,1,3,1,4,2,5,2,6,3,7,3,8,3,9,3,10,2,11,2,12,1,2)</f>
        <v>1</v>
      </c>
      <c r="P1213" s="43"/>
      <c r="AS1213" s="10"/>
      <c r="AT1213" s="10"/>
      <c r="AU1213" s="10"/>
      <c r="AV1213" s="10"/>
      <c r="AW1213" s="10"/>
      <c r="AX1213" s="10"/>
      <c r="AY1213" s="10"/>
      <c r="AZ1213" s="10"/>
      <c r="BA1213" s="10"/>
      <c r="BB1213" s="10"/>
      <c r="BC1213" s="10"/>
      <c r="BD1213" s="10"/>
      <c r="BE1213" s="10"/>
      <c r="BF1213" s="10"/>
      <c r="BG1213" s="10"/>
      <c r="BH1213" s="10"/>
      <c r="BI1213" s="10"/>
      <c r="BJ1213" s="10"/>
      <c r="BK1213" s="10"/>
      <c r="BL1213" s="10"/>
      <c r="BM1213" s="10"/>
      <c r="BN1213" s="10"/>
      <c r="BO1213" s="10"/>
      <c r="BP1213" s="10"/>
      <c r="BQ1213" s="10"/>
      <c r="BR1213" s="10"/>
      <c r="BS1213" s="10"/>
      <c r="BT1213" s="10"/>
      <c r="BU1213" s="10"/>
    </row>
    <row r="1214" spans="1:73" ht="18" x14ac:dyDescent="0.35">
      <c r="A1214" s="43"/>
      <c r="C1214" s="393"/>
      <c r="E1214" s="394"/>
      <c r="F1214" s="394">
        <v>0</v>
      </c>
      <c r="G1214" s="394"/>
      <c r="H1214" s="8" t="s">
        <v>61</v>
      </c>
      <c r="I1214" s="368">
        <f t="shared" si="55"/>
        <v>0</v>
      </c>
      <c r="J1214" s="365">
        <f t="shared" si="57"/>
        <v>0</v>
      </c>
      <c r="K1214" s="369">
        <f t="shared" si="56"/>
        <v>6</v>
      </c>
      <c r="L1214" s="369">
        <f>+IF((C1214&gt;='Resultats - informe'!$E$16)*(C1214&lt;='Resultats - informe'!$G$16),1,0)</f>
        <v>1</v>
      </c>
      <c r="M1214" s="369" cm="1">
        <f t="array" ref="M1214">+_xlfn.IFS((C1214&gt;='Resultats - informe'!$D$26)*(C1214&lt;='Resultats - informe'!$E$26),0,(C1214&gt;='Resultats - informe'!$D$27)*(C1214&lt;='Resultats - informe'!$E$27),0,(C1214&gt;='Resultats - informe'!$D$28)*(C1214&lt;='Resultats - informe'!$E$28),0,(C1214&gt;='Resultats - informe'!$D$29)*(C1214&lt;='Resultats - informe'!$E$29),0,1,1)</f>
        <v>0</v>
      </c>
      <c r="N1214" s="366">
        <f>+VLOOKUP(D1214,'Resultats - informe'!$Y$18:$AG$42,'Introducció dades consum'!K1214+1,0)</f>
        <v>0</v>
      </c>
      <c r="O1214" s="370" cm="1">
        <f t="array" ref="O1214">+_xlfn.SWITCH(MONTH(C1214),1,1,2,1,3,1,4,2,5,2,6,3,7,3,8,3,9,3,10,2,11,2,12,1,2)</f>
        <v>1</v>
      </c>
      <c r="P1214" s="43"/>
      <c r="AS1214" s="10"/>
      <c r="AT1214" s="10"/>
      <c r="AU1214" s="10"/>
      <c r="AV1214" s="10"/>
      <c r="AW1214" s="10"/>
      <c r="AX1214" s="10"/>
      <c r="AY1214" s="10"/>
      <c r="AZ1214" s="10"/>
      <c r="BA1214" s="10"/>
      <c r="BB1214" s="10"/>
      <c r="BC1214" s="10"/>
      <c r="BD1214" s="10"/>
      <c r="BE1214" s="10"/>
      <c r="BF1214" s="10"/>
      <c r="BG1214" s="10"/>
      <c r="BH1214" s="10"/>
      <c r="BI1214" s="10"/>
      <c r="BJ1214" s="10"/>
      <c r="BK1214" s="10"/>
      <c r="BL1214" s="10"/>
      <c r="BM1214" s="10"/>
      <c r="BN1214" s="10"/>
      <c r="BO1214" s="10"/>
      <c r="BP1214" s="10"/>
      <c r="BQ1214" s="10"/>
      <c r="BR1214" s="10"/>
      <c r="BS1214" s="10"/>
      <c r="BT1214" s="10"/>
      <c r="BU1214" s="10"/>
    </row>
    <row r="1215" spans="1:73" ht="18" x14ac:dyDescent="0.35">
      <c r="A1215" s="43"/>
      <c r="C1215" s="393"/>
      <c r="E1215" s="394"/>
      <c r="F1215" s="394">
        <v>0</v>
      </c>
      <c r="G1215" s="394"/>
      <c r="H1215" s="8" t="s">
        <v>61</v>
      </c>
      <c r="I1215" s="368">
        <f t="shared" si="55"/>
        <v>0</v>
      </c>
      <c r="J1215" s="365">
        <f t="shared" si="57"/>
        <v>0</v>
      </c>
      <c r="K1215" s="369">
        <f t="shared" si="56"/>
        <v>6</v>
      </c>
      <c r="L1215" s="369">
        <f>+IF((C1215&gt;='Resultats - informe'!$E$16)*(C1215&lt;='Resultats - informe'!$G$16),1,0)</f>
        <v>1</v>
      </c>
      <c r="M1215" s="369" cm="1">
        <f t="array" ref="M1215">+_xlfn.IFS((C1215&gt;='Resultats - informe'!$D$26)*(C1215&lt;='Resultats - informe'!$E$26),0,(C1215&gt;='Resultats - informe'!$D$27)*(C1215&lt;='Resultats - informe'!$E$27),0,(C1215&gt;='Resultats - informe'!$D$28)*(C1215&lt;='Resultats - informe'!$E$28),0,(C1215&gt;='Resultats - informe'!$D$29)*(C1215&lt;='Resultats - informe'!$E$29),0,1,1)</f>
        <v>0</v>
      </c>
      <c r="N1215" s="366">
        <f>+VLOOKUP(D1215,'Resultats - informe'!$Y$18:$AG$42,'Introducció dades consum'!K1215+1,0)</f>
        <v>0</v>
      </c>
      <c r="O1215" s="370" cm="1">
        <f t="array" ref="O1215">+_xlfn.SWITCH(MONTH(C1215),1,1,2,1,3,1,4,2,5,2,6,3,7,3,8,3,9,3,10,2,11,2,12,1,2)</f>
        <v>1</v>
      </c>
      <c r="P1215" s="43"/>
      <c r="AS1215" s="10"/>
      <c r="AT1215" s="10"/>
      <c r="AU1215" s="10"/>
      <c r="AV1215" s="10"/>
      <c r="AW1215" s="10"/>
      <c r="AX1215" s="10"/>
      <c r="AY1215" s="10"/>
      <c r="AZ1215" s="10"/>
      <c r="BA1215" s="10"/>
      <c r="BB1215" s="10"/>
      <c r="BC1215" s="10"/>
      <c r="BD1215" s="10"/>
      <c r="BE1215" s="10"/>
      <c r="BF1215" s="10"/>
      <c r="BG1215" s="10"/>
      <c r="BH1215" s="10"/>
      <c r="BI1215" s="10"/>
      <c r="BJ1215" s="10"/>
      <c r="BK1215" s="10"/>
      <c r="BL1215" s="10"/>
      <c r="BM1215" s="10"/>
      <c r="BN1215" s="10"/>
      <c r="BO1215" s="10"/>
      <c r="BP1215" s="10"/>
      <c r="BQ1215" s="10"/>
      <c r="BR1215" s="10"/>
      <c r="BS1215" s="10"/>
      <c r="BT1215" s="10"/>
      <c r="BU1215" s="10"/>
    </row>
    <row r="1216" spans="1:73" ht="18" x14ac:dyDescent="0.35">
      <c r="A1216" s="43"/>
      <c r="C1216" s="393"/>
      <c r="E1216" s="394"/>
      <c r="F1216" s="394">
        <v>0</v>
      </c>
      <c r="G1216" s="394"/>
      <c r="H1216" s="8" t="s">
        <v>61</v>
      </c>
      <c r="I1216" s="368">
        <f t="shared" si="55"/>
        <v>0</v>
      </c>
      <c r="J1216" s="365">
        <f t="shared" si="57"/>
        <v>0</v>
      </c>
      <c r="K1216" s="369">
        <f t="shared" si="56"/>
        <v>6</v>
      </c>
      <c r="L1216" s="369">
        <f>+IF((C1216&gt;='Resultats - informe'!$E$16)*(C1216&lt;='Resultats - informe'!$G$16),1,0)</f>
        <v>1</v>
      </c>
      <c r="M1216" s="369" cm="1">
        <f t="array" ref="M1216">+_xlfn.IFS((C1216&gt;='Resultats - informe'!$D$26)*(C1216&lt;='Resultats - informe'!$E$26),0,(C1216&gt;='Resultats - informe'!$D$27)*(C1216&lt;='Resultats - informe'!$E$27),0,(C1216&gt;='Resultats - informe'!$D$28)*(C1216&lt;='Resultats - informe'!$E$28),0,(C1216&gt;='Resultats - informe'!$D$29)*(C1216&lt;='Resultats - informe'!$E$29),0,1,1)</f>
        <v>0</v>
      </c>
      <c r="N1216" s="366">
        <f>+VLOOKUP(D1216,'Resultats - informe'!$Y$18:$AG$42,'Introducció dades consum'!K1216+1,0)</f>
        <v>0</v>
      </c>
      <c r="O1216" s="370" cm="1">
        <f t="array" ref="O1216">+_xlfn.SWITCH(MONTH(C1216),1,1,2,1,3,1,4,2,5,2,6,3,7,3,8,3,9,3,10,2,11,2,12,1,2)</f>
        <v>1</v>
      </c>
      <c r="P1216" s="43"/>
      <c r="AS1216" s="10"/>
      <c r="AT1216" s="10"/>
      <c r="AU1216" s="10"/>
      <c r="AV1216" s="10"/>
      <c r="AW1216" s="10"/>
      <c r="AX1216" s="10"/>
      <c r="AY1216" s="10"/>
      <c r="AZ1216" s="10"/>
      <c r="BA1216" s="10"/>
      <c r="BB1216" s="10"/>
      <c r="BC1216" s="10"/>
      <c r="BD1216" s="10"/>
      <c r="BE1216" s="10"/>
      <c r="BF1216" s="10"/>
      <c r="BG1216" s="10"/>
      <c r="BH1216" s="10"/>
      <c r="BI1216" s="10"/>
      <c r="BJ1216" s="10"/>
      <c r="BK1216" s="10"/>
      <c r="BL1216" s="10"/>
      <c r="BM1216" s="10"/>
      <c r="BN1216" s="10"/>
      <c r="BO1216" s="10"/>
      <c r="BP1216" s="10"/>
      <c r="BQ1216" s="10"/>
      <c r="BR1216" s="10"/>
      <c r="BS1216" s="10"/>
      <c r="BT1216" s="10"/>
      <c r="BU1216" s="10"/>
    </row>
    <row r="1217" spans="1:73" ht="18" x14ac:dyDescent="0.35">
      <c r="A1217" s="43"/>
      <c r="C1217" s="393"/>
      <c r="E1217" s="394"/>
      <c r="F1217" s="394">
        <v>0.61899999999999999</v>
      </c>
      <c r="G1217" s="394"/>
      <c r="H1217" s="8" t="s">
        <v>235</v>
      </c>
      <c r="I1217" s="368">
        <f t="shared" si="55"/>
        <v>0</v>
      </c>
      <c r="J1217" s="365">
        <f t="shared" si="57"/>
        <v>0</v>
      </c>
      <c r="K1217" s="369">
        <f t="shared" si="56"/>
        <v>6</v>
      </c>
      <c r="L1217" s="369">
        <f>+IF((C1217&gt;='Resultats - informe'!$E$16)*(C1217&lt;='Resultats - informe'!$G$16),1,0)</f>
        <v>1</v>
      </c>
      <c r="M1217" s="369" cm="1">
        <f t="array" ref="M1217">+_xlfn.IFS((C1217&gt;='Resultats - informe'!$D$26)*(C1217&lt;='Resultats - informe'!$E$26),0,(C1217&gt;='Resultats - informe'!$D$27)*(C1217&lt;='Resultats - informe'!$E$27),0,(C1217&gt;='Resultats - informe'!$D$28)*(C1217&lt;='Resultats - informe'!$E$28),0,(C1217&gt;='Resultats - informe'!$D$29)*(C1217&lt;='Resultats - informe'!$E$29),0,1,1)</f>
        <v>0</v>
      </c>
      <c r="N1217" s="366">
        <f>+VLOOKUP(D1217,'Resultats - informe'!$Y$18:$AG$42,'Introducció dades consum'!K1217+1,0)</f>
        <v>0</v>
      </c>
      <c r="O1217" s="370" cm="1">
        <f t="array" ref="O1217">+_xlfn.SWITCH(MONTH(C1217),1,1,2,1,3,1,4,2,5,2,6,3,7,3,8,3,9,3,10,2,11,2,12,1,2)</f>
        <v>1</v>
      </c>
      <c r="P1217" s="43"/>
      <c r="AS1217" s="10"/>
      <c r="AT1217" s="10"/>
      <c r="AU1217" s="10"/>
      <c r="AV1217" s="10"/>
      <c r="AW1217" s="10"/>
      <c r="AX1217" s="10"/>
      <c r="AY1217" s="10"/>
      <c r="AZ1217" s="10"/>
      <c r="BA1217" s="10"/>
      <c r="BB1217" s="10"/>
      <c r="BC1217" s="10"/>
      <c r="BD1217" s="10"/>
      <c r="BE1217" s="10"/>
      <c r="BF1217" s="10"/>
      <c r="BG1217" s="10"/>
      <c r="BH1217" s="10"/>
      <c r="BI1217" s="10"/>
      <c r="BJ1217" s="10"/>
      <c r="BK1217" s="10"/>
      <c r="BL1217" s="10"/>
      <c r="BM1217" s="10"/>
      <c r="BN1217" s="10"/>
      <c r="BO1217" s="10"/>
      <c r="BP1217" s="10"/>
      <c r="BQ1217" s="10"/>
      <c r="BR1217" s="10"/>
      <c r="BS1217" s="10"/>
      <c r="BT1217" s="10"/>
      <c r="BU1217" s="10"/>
    </row>
    <row r="1218" spans="1:73" ht="18" x14ac:dyDescent="0.35">
      <c r="A1218" s="43"/>
      <c r="C1218" s="393"/>
      <c r="E1218" s="394"/>
      <c r="F1218" s="394">
        <v>0.30299999999999999</v>
      </c>
      <c r="G1218" s="394"/>
      <c r="H1218" s="8" t="s">
        <v>235</v>
      </c>
      <c r="I1218" s="368">
        <f t="shared" si="55"/>
        <v>0</v>
      </c>
      <c r="J1218" s="365">
        <f t="shared" si="57"/>
        <v>0</v>
      </c>
      <c r="K1218" s="369">
        <f t="shared" si="56"/>
        <v>6</v>
      </c>
      <c r="L1218" s="369">
        <f>+IF((C1218&gt;='Resultats - informe'!$E$16)*(C1218&lt;='Resultats - informe'!$G$16),1,0)</f>
        <v>1</v>
      </c>
      <c r="M1218" s="369" cm="1">
        <f t="array" ref="M1218">+_xlfn.IFS((C1218&gt;='Resultats - informe'!$D$26)*(C1218&lt;='Resultats - informe'!$E$26),0,(C1218&gt;='Resultats - informe'!$D$27)*(C1218&lt;='Resultats - informe'!$E$27),0,(C1218&gt;='Resultats - informe'!$D$28)*(C1218&lt;='Resultats - informe'!$E$28),0,(C1218&gt;='Resultats - informe'!$D$29)*(C1218&lt;='Resultats - informe'!$E$29),0,1,1)</f>
        <v>0</v>
      </c>
      <c r="N1218" s="366">
        <f>+VLOOKUP(D1218,'Resultats - informe'!$Y$18:$AG$42,'Introducció dades consum'!K1218+1,0)</f>
        <v>0</v>
      </c>
      <c r="O1218" s="370" cm="1">
        <f t="array" ref="O1218">+_xlfn.SWITCH(MONTH(C1218),1,1,2,1,3,1,4,2,5,2,6,3,7,3,8,3,9,3,10,2,11,2,12,1,2)</f>
        <v>1</v>
      </c>
      <c r="P1218" s="43"/>
      <c r="AS1218" s="10"/>
      <c r="AT1218" s="10"/>
      <c r="AU1218" s="10"/>
      <c r="AV1218" s="10"/>
      <c r="AW1218" s="10"/>
      <c r="AX1218" s="10"/>
      <c r="AY1218" s="10"/>
      <c r="AZ1218" s="10"/>
      <c r="BA1218" s="10"/>
      <c r="BB1218" s="10"/>
      <c r="BC1218" s="10"/>
      <c r="BD1218" s="10"/>
      <c r="BE1218" s="10"/>
      <c r="BF1218" s="10"/>
      <c r="BG1218" s="10"/>
      <c r="BH1218" s="10"/>
      <c r="BI1218" s="10"/>
      <c r="BJ1218" s="10"/>
      <c r="BK1218" s="10"/>
      <c r="BL1218" s="10"/>
      <c r="BM1218" s="10"/>
      <c r="BN1218" s="10"/>
      <c r="BO1218" s="10"/>
      <c r="BP1218" s="10"/>
      <c r="BQ1218" s="10"/>
      <c r="BR1218" s="10"/>
      <c r="BS1218" s="10"/>
      <c r="BT1218" s="10"/>
      <c r="BU1218" s="10"/>
    </row>
    <row r="1219" spans="1:73" ht="18" x14ac:dyDescent="0.35">
      <c r="A1219" s="43"/>
      <c r="C1219" s="393"/>
      <c r="E1219" s="394"/>
      <c r="F1219" s="394">
        <v>1.1850000000000001</v>
      </c>
      <c r="G1219" s="394"/>
      <c r="H1219" s="8" t="s">
        <v>235</v>
      </c>
      <c r="I1219" s="368">
        <f t="shared" si="55"/>
        <v>0</v>
      </c>
      <c r="J1219" s="365">
        <f t="shared" si="57"/>
        <v>0</v>
      </c>
      <c r="K1219" s="369">
        <f t="shared" si="56"/>
        <v>6</v>
      </c>
      <c r="L1219" s="369">
        <f>+IF((C1219&gt;='Resultats - informe'!$E$16)*(C1219&lt;='Resultats - informe'!$G$16),1,0)</f>
        <v>1</v>
      </c>
      <c r="M1219" s="369" cm="1">
        <f t="array" ref="M1219">+_xlfn.IFS((C1219&gt;='Resultats - informe'!$D$26)*(C1219&lt;='Resultats - informe'!$E$26),0,(C1219&gt;='Resultats - informe'!$D$27)*(C1219&lt;='Resultats - informe'!$E$27),0,(C1219&gt;='Resultats - informe'!$D$28)*(C1219&lt;='Resultats - informe'!$E$28),0,(C1219&gt;='Resultats - informe'!$D$29)*(C1219&lt;='Resultats - informe'!$E$29),0,1,1)</f>
        <v>0</v>
      </c>
      <c r="N1219" s="366">
        <f>+VLOOKUP(D1219,'Resultats - informe'!$Y$18:$AG$42,'Introducció dades consum'!K1219+1,0)</f>
        <v>0</v>
      </c>
      <c r="O1219" s="370" cm="1">
        <f t="array" ref="O1219">+_xlfn.SWITCH(MONTH(C1219),1,1,2,1,3,1,4,2,5,2,6,3,7,3,8,3,9,3,10,2,11,2,12,1,2)</f>
        <v>1</v>
      </c>
      <c r="P1219" s="43"/>
      <c r="AS1219" s="10"/>
      <c r="AT1219" s="10"/>
      <c r="AU1219" s="10"/>
      <c r="AV1219" s="10"/>
      <c r="AW1219" s="10"/>
      <c r="AX1219" s="10"/>
      <c r="AY1219" s="10"/>
      <c r="AZ1219" s="10"/>
      <c r="BA1219" s="10"/>
      <c r="BB1219" s="10"/>
      <c r="BC1219" s="10"/>
      <c r="BD1219" s="10"/>
      <c r="BE1219" s="10"/>
      <c r="BF1219" s="10"/>
      <c r="BG1219" s="10"/>
      <c r="BH1219" s="10"/>
      <c r="BI1219" s="10"/>
      <c r="BJ1219" s="10"/>
      <c r="BK1219" s="10"/>
      <c r="BL1219" s="10"/>
      <c r="BM1219" s="10"/>
      <c r="BN1219" s="10"/>
      <c r="BO1219" s="10"/>
      <c r="BP1219" s="10"/>
      <c r="BQ1219" s="10"/>
      <c r="BR1219" s="10"/>
      <c r="BS1219" s="10"/>
      <c r="BT1219" s="10"/>
      <c r="BU1219" s="10"/>
    </row>
    <row r="1220" spans="1:73" ht="18" x14ac:dyDescent="0.35">
      <c r="A1220" s="43"/>
      <c r="C1220" s="393"/>
      <c r="E1220" s="394"/>
      <c r="F1220" s="394">
        <v>0.67700000000000005</v>
      </c>
      <c r="G1220" s="394"/>
      <c r="H1220" s="8" t="s">
        <v>235</v>
      </c>
      <c r="I1220" s="368">
        <f t="shared" si="55"/>
        <v>0</v>
      </c>
      <c r="J1220" s="365">
        <f t="shared" si="57"/>
        <v>0</v>
      </c>
      <c r="K1220" s="369">
        <f t="shared" si="56"/>
        <v>6</v>
      </c>
      <c r="L1220" s="369">
        <f>+IF((C1220&gt;='Resultats - informe'!$E$16)*(C1220&lt;='Resultats - informe'!$G$16),1,0)</f>
        <v>1</v>
      </c>
      <c r="M1220" s="369" cm="1">
        <f t="array" ref="M1220">+_xlfn.IFS((C1220&gt;='Resultats - informe'!$D$26)*(C1220&lt;='Resultats - informe'!$E$26),0,(C1220&gt;='Resultats - informe'!$D$27)*(C1220&lt;='Resultats - informe'!$E$27),0,(C1220&gt;='Resultats - informe'!$D$28)*(C1220&lt;='Resultats - informe'!$E$28),0,(C1220&gt;='Resultats - informe'!$D$29)*(C1220&lt;='Resultats - informe'!$E$29),0,1,1)</f>
        <v>0</v>
      </c>
      <c r="N1220" s="366">
        <f>+VLOOKUP(D1220,'Resultats - informe'!$Y$18:$AG$42,'Introducció dades consum'!K1220+1,0)</f>
        <v>0</v>
      </c>
      <c r="O1220" s="370" cm="1">
        <f t="array" ref="O1220">+_xlfn.SWITCH(MONTH(C1220),1,1,2,1,3,1,4,2,5,2,6,3,7,3,8,3,9,3,10,2,11,2,12,1,2)</f>
        <v>1</v>
      </c>
      <c r="P1220" s="43"/>
      <c r="AS1220" s="10"/>
      <c r="AT1220" s="10"/>
      <c r="AU1220" s="10"/>
      <c r="AV1220" s="10"/>
      <c r="AW1220" s="10"/>
      <c r="AX1220" s="10"/>
      <c r="AY1220" s="10"/>
      <c r="AZ1220" s="10"/>
      <c r="BA1220" s="10"/>
      <c r="BB1220" s="10"/>
      <c r="BC1220" s="10"/>
      <c r="BD1220" s="10"/>
      <c r="BE1220" s="10"/>
      <c r="BF1220" s="10"/>
      <c r="BG1220" s="10"/>
      <c r="BH1220" s="10"/>
      <c r="BI1220" s="10"/>
      <c r="BJ1220" s="10"/>
      <c r="BK1220" s="10"/>
      <c r="BL1220" s="10"/>
      <c r="BM1220" s="10"/>
      <c r="BN1220" s="10"/>
      <c r="BO1220" s="10"/>
      <c r="BP1220" s="10"/>
      <c r="BQ1220" s="10"/>
      <c r="BR1220" s="10"/>
      <c r="BS1220" s="10"/>
      <c r="BT1220" s="10"/>
      <c r="BU1220" s="10"/>
    </row>
    <row r="1221" spans="1:73" ht="18" x14ac:dyDescent="0.35">
      <c r="A1221" s="43"/>
      <c r="C1221" s="393"/>
      <c r="E1221" s="394"/>
      <c r="F1221" s="394">
        <v>0</v>
      </c>
      <c r="G1221" s="394"/>
      <c r="H1221" s="8" t="s">
        <v>235</v>
      </c>
      <c r="I1221" s="368">
        <f t="shared" si="55"/>
        <v>0</v>
      </c>
      <c r="J1221" s="365">
        <f t="shared" si="57"/>
        <v>0</v>
      </c>
      <c r="K1221" s="369">
        <f t="shared" si="56"/>
        <v>6</v>
      </c>
      <c r="L1221" s="369">
        <f>+IF((C1221&gt;='Resultats - informe'!$E$16)*(C1221&lt;='Resultats - informe'!$G$16),1,0)</f>
        <v>1</v>
      </c>
      <c r="M1221" s="369" cm="1">
        <f t="array" ref="M1221">+_xlfn.IFS((C1221&gt;='Resultats - informe'!$D$26)*(C1221&lt;='Resultats - informe'!$E$26),0,(C1221&gt;='Resultats - informe'!$D$27)*(C1221&lt;='Resultats - informe'!$E$27),0,(C1221&gt;='Resultats - informe'!$D$28)*(C1221&lt;='Resultats - informe'!$E$28),0,(C1221&gt;='Resultats - informe'!$D$29)*(C1221&lt;='Resultats - informe'!$E$29),0,1,1)</f>
        <v>0</v>
      </c>
      <c r="N1221" s="366">
        <f>+VLOOKUP(D1221,'Resultats - informe'!$Y$18:$AG$42,'Introducció dades consum'!K1221+1,0)</f>
        <v>0</v>
      </c>
      <c r="O1221" s="370" cm="1">
        <f t="array" ref="O1221">+_xlfn.SWITCH(MONTH(C1221),1,1,2,1,3,1,4,2,5,2,6,3,7,3,8,3,9,3,10,2,11,2,12,1,2)</f>
        <v>1</v>
      </c>
      <c r="P1221" s="43"/>
      <c r="AS1221" s="10"/>
      <c r="AT1221" s="10"/>
      <c r="AU1221" s="10"/>
      <c r="AV1221" s="10"/>
      <c r="AW1221" s="10"/>
      <c r="AX1221" s="10"/>
      <c r="AY1221" s="10"/>
      <c r="AZ1221" s="10"/>
      <c r="BA1221" s="10"/>
      <c r="BB1221" s="10"/>
      <c r="BC1221" s="10"/>
      <c r="BD1221" s="10"/>
      <c r="BE1221" s="10"/>
      <c r="BF1221" s="10"/>
      <c r="BG1221" s="10"/>
      <c r="BH1221" s="10"/>
      <c r="BI1221" s="10"/>
      <c r="BJ1221" s="10"/>
      <c r="BK1221" s="10"/>
      <c r="BL1221" s="10"/>
      <c r="BM1221" s="10"/>
      <c r="BN1221" s="10"/>
      <c r="BO1221" s="10"/>
      <c r="BP1221" s="10"/>
      <c r="BQ1221" s="10"/>
      <c r="BR1221" s="10"/>
      <c r="BS1221" s="10"/>
      <c r="BT1221" s="10"/>
      <c r="BU1221" s="10"/>
    </row>
    <row r="1222" spans="1:73" ht="18" x14ac:dyDescent="0.35">
      <c r="A1222" s="43"/>
      <c r="C1222" s="393"/>
      <c r="E1222" s="394"/>
      <c r="F1222" s="394">
        <v>0</v>
      </c>
      <c r="G1222" s="394"/>
      <c r="H1222" s="8" t="s">
        <v>235</v>
      </c>
      <c r="I1222" s="368">
        <f t="shared" ref="I1222:I1285" si="58">+E1222+G1222</f>
        <v>0</v>
      </c>
      <c r="J1222" s="365">
        <f t="shared" si="57"/>
        <v>0</v>
      </c>
      <c r="K1222" s="369">
        <f t="shared" ref="K1222:K1285" si="59">+WEEKDAY(C1222,2)</f>
        <v>6</v>
      </c>
      <c r="L1222" s="369">
        <f>+IF((C1222&gt;='Resultats - informe'!$E$16)*(C1222&lt;='Resultats - informe'!$G$16),1,0)</f>
        <v>1</v>
      </c>
      <c r="M1222" s="369" cm="1">
        <f t="array" ref="M1222">+_xlfn.IFS((C1222&gt;='Resultats - informe'!$D$26)*(C1222&lt;='Resultats - informe'!$E$26),0,(C1222&gt;='Resultats - informe'!$D$27)*(C1222&lt;='Resultats - informe'!$E$27),0,(C1222&gt;='Resultats - informe'!$D$28)*(C1222&lt;='Resultats - informe'!$E$28),0,(C1222&gt;='Resultats - informe'!$D$29)*(C1222&lt;='Resultats - informe'!$E$29),0,1,1)</f>
        <v>0</v>
      </c>
      <c r="N1222" s="366">
        <f>+VLOOKUP(D1222,'Resultats - informe'!$Y$18:$AG$42,'Introducció dades consum'!K1222+1,0)</f>
        <v>0</v>
      </c>
      <c r="O1222" s="370" cm="1">
        <f t="array" ref="O1222">+_xlfn.SWITCH(MONTH(C1222),1,1,2,1,3,1,4,2,5,2,6,3,7,3,8,3,9,3,10,2,11,2,12,1,2)</f>
        <v>1</v>
      </c>
      <c r="P1222" s="43"/>
      <c r="AS1222" s="10"/>
      <c r="AT1222" s="10"/>
      <c r="AU1222" s="10"/>
      <c r="AV1222" s="10"/>
      <c r="AW1222" s="10"/>
      <c r="AX1222" s="10"/>
      <c r="AY1222" s="10"/>
      <c r="AZ1222" s="10"/>
      <c r="BA1222" s="10"/>
      <c r="BB1222" s="10"/>
      <c r="BC1222" s="10"/>
      <c r="BD1222" s="10"/>
      <c r="BE1222" s="10"/>
      <c r="BF1222" s="10"/>
      <c r="BG1222" s="10"/>
      <c r="BH1222" s="10"/>
      <c r="BI1222" s="10"/>
      <c r="BJ1222" s="10"/>
      <c r="BK1222" s="10"/>
      <c r="BL1222" s="10"/>
      <c r="BM1222" s="10"/>
      <c r="BN1222" s="10"/>
      <c r="BO1222" s="10"/>
      <c r="BP1222" s="10"/>
      <c r="BQ1222" s="10"/>
      <c r="BR1222" s="10"/>
      <c r="BS1222" s="10"/>
      <c r="BT1222" s="10"/>
      <c r="BU1222" s="10"/>
    </row>
    <row r="1223" spans="1:73" ht="18" x14ac:dyDescent="0.35">
      <c r="A1223" s="43"/>
      <c r="C1223" s="393"/>
      <c r="E1223" s="394"/>
      <c r="F1223" s="394">
        <v>0</v>
      </c>
      <c r="G1223" s="394"/>
      <c r="H1223" s="8" t="s">
        <v>235</v>
      </c>
      <c r="I1223" s="368">
        <f t="shared" si="58"/>
        <v>0</v>
      </c>
      <c r="J1223" s="365">
        <f t="shared" si="57"/>
        <v>0</v>
      </c>
      <c r="K1223" s="369">
        <f t="shared" si="59"/>
        <v>6</v>
      </c>
      <c r="L1223" s="369">
        <f>+IF((C1223&gt;='Resultats - informe'!$E$16)*(C1223&lt;='Resultats - informe'!$G$16),1,0)</f>
        <v>1</v>
      </c>
      <c r="M1223" s="369" cm="1">
        <f t="array" ref="M1223">+_xlfn.IFS((C1223&gt;='Resultats - informe'!$D$26)*(C1223&lt;='Resultats - informe'!$E$26),0,(C1223&gt;='Resultats - informe'!$D$27)*(C1223&lt;='Resultats - informe'!$E$27),0,(C1223&gt;='Resultats - informe'!$D$28)*(C1223&lt;='Resultats - informe'!$E$28),0,(C1223&gt;='Resultats - informe'!$D$29)*(C1223&lt;='Resultats - informe'!$E$29),0,1,1)</f>
        <v>0</v>
      </c>
      <c r="N1223" s="366">
        <f>+VLOOKUP(D1223,'Resultats - informe'!$Y$18:$AG$42,'Introducció dades consum'!K1223+1,0)</f>
        <v>0</v>
      </c>
      <c r="O1223" s="370" cm="1">
        <f t="array" ref="O1223">+_xlfn.SWITCH(MONTH(C1223),1,1,2,1,3,1,4,2,5,2,6,3,7,3,8,3,9,3,10,2,11,2,12,1,2)</f>
        <v>1</v>
      </c>
      <c r="P1223" s="43"/>
      <c r="AS1223" s="10"/>
      <c r="AT1223" s="10"/>
      <c r="AU1223" s="10"/>
      <c r="AV1223" s="10"/>
      <c r="AW1223" s="10"/>
      <c r="AX1223" s="10"/>
      <c r="AY1223" s="10"/>
      <c r="AZ1223" s="10"/>
      <c r="BA1223" s="10"/>
      <c r="BB1223" s="10"/>
      <c r="BC1223" s="10"/>
      <c r="BD1223" s="10"/>
      <c r="BE1223" s="10"/>
      <c r="BF1223" s="10"/>
      <c r="BG1223" s="10"/>
      <c r="BH1223" s="10"/>
      <c r="BI1223" s="10"/>
      <c r="BJ1223" s="10"/>
      <c r="BK1223" s="10"/>
      <c r="BL1223" s="10"/>
      <c r="BM1223" s="10"/>
      <c r="BN1223" s="10"/>
      <c r="BO1223" s="10"/>
      <c r="BP1223" s="10"/>
      <c r="BQ1223" s="10"/>
      <c r="BR1223" s="10"/>
      <c r="BS1223" s="10"/>
      <c r="BT1223" s="10"/>
      <c r="BU1223" s="10"/>
    </row>
    <row r="1224" spans="1:73" ht="18" x14ac:dyDescent="0.35">
      <c r="A1224" s="43"/>
      <c r="C1224" s="393"/>
      <c r="E1224" s="394"/>
      <c r="F1224" s="394">
        <v>0</v>
      </c>
      <c r="G1224" s="394"/>
      <c r="H1224" s="8" t="s">
        <v>235</v>
      </c>
      <c r="I1224" s="368">
        <f t="shared" si="58"/>
        <v>0</v>
      </c>
      <c r="J1224" s="365">
        <f t="shared" si="57"/>
        <v>0</v>
      </c>
      <c r="K1224" s="369">
        <f t="shared" si="59"/>
        <v>6</v>
      </c>
      <c r="L1224" s="369">
        <f>+IF((C1224&gt;='Resultats - informe'!$E$16)*(C1224&lt;='Resultats - informe'!$G$16),1,0)</f>
        <v>1</v>
      </c>
      <c r="M1224" s="369" cm="1">
        <f t="array" ref="M1224">+_xlfn.IFS((C1224&gt;='Resultats - informe'!$D$26)*(C1224&lt;='Resultats - informe'!$E$26),0,(C1224&gt;='Resultats - informe'!$D$27)*(C1224&lt;='Resultats - informe'!$E$27),0,(C1224&gt;='Resultats - informe'!$D$28)*(C1224&lt;='Resultats - informe'!$E$28),0,(C1224&gt;='Resultats - informe'!$D$29)*(C1224&lt;='Resultats - informe'!$E$29),0,1,1)</f>
        <v>0</v>
      </c>
      <c r="N1224" s="366">
        <f>+VLOOKUP(D1224,'Resultats - informe'!$Y$18:$AG$42,'Introducció dades consum'!K1224+1,0)</f>
        <v>0</v>
      </c>
      <c r="O1224" s="370" cm="1">
        <f t="array" ref="O1224">+_xlfn.SWITCH(MONTH(C1224),1,1,2,1,3,1,4,2,5,2,6,3,7,3,8,3,9,3,10,2,11,2,12,1,2)</f>
        <v>1</v>
      </c>
      <c r="P1224" s="43"/>
      <c r="AS1224" s="10"/>
      <c r="AT1224" s="10"/>
      <c r="AU1224" s="10"/>
      <c r="AV1224" s="10"/>
      <c r="AW1224" s="10"/>
      <c r="AX1224" s="10"/>
      <c r="AY1224" s="10"/>
      <c r="AZ1224" s="10"/>
      <c r="BA1224" s="10"/>
      <c r="BB1224" s="10"/>
      <c r="BC1224" s="10"/>
      <c r="BD1224" s="10"/>
      <c r="BE1224" s="10"/>
      <c r="BF1224" s="10"/>
      <c r="BG1224" s="10"/>
      <c r="BH1224" s="10"/>
      <c r="BI1224" s="10"/>
      <c r="BJ1224" s="10"/>
      <c r="BK1224" s="10"/>
      <c r="BL1224" s="10"/>
      <c r="BM1224" s="10"/>
      <c r="BN1224" s="10"/>
      <c r="BO1224" s="10"/>
      <c r="BP1224" s="10"/>
      <c r="BQ1224" s="10"/>
      <c r="BR1224" s="10"/>
      <c r="BS1224" s="10"/>
      <c r="BT1224" s="10"/>
      <c r="BU1224" s="10"/>
    </row>
    <row r="1225" spans="1:73" ht="18" x14ac:dyDescent="0.35">
      <c r="A1225" s="43"/>
      <c r="C1225" s="393"/>
      <c r="E1225" s="394"/>
      <c r="F1225" s="394">
        <v>0</v>
      </c>
      <c r="G1225" s="394"/>
      <c r="H1225" s="8" t="s">
        <v>235</v>
      </c>
      <c r="I1225" s="368">
        <f t="shared" si="58"/>
        <v>0</v>
      </c>
      <c r="J1225" s="365">
        <f t="shared" si="57"/>
        <v>0</v>
      </c>
      <c r="K1225" s="369">
        <f t="shared" si="59"/>
        <v>6</v>
      </c>
      <c r="L1225" s="369">
        <f>+IF((C1225&gt;='Resultats - informe'!$E$16)*(C1225&lt;='Resultats - informe'!$G$16),1,0)</f>
        <v>1</v>
      </c>
      <c r="M1225" s="369" cm="1">
        <f t="array" ref="M1225">+_xlfn.IFS((C1225&gt;='Resultats - informe'!$D$26)*(C1225&lt;='Resultats - informe'!$E$26),0,(C1225&gt;='Resultats - informe'!$D$27)*(C1225&lt;='Resultats - informe'!$E$27),0,(C1225&gt;='Resultats - informe'!$D$28)*(C1225&lt;='Resultats - informe'!$E$28),0,(C1225&gt;='Resultats - informe'!$D$29)*(C1225&lt;='Resultats - informe'!$E$29),0,1,1)</f>
        <v>0</v>
      </c>
      <c r="N1225" s="366">
        <f>+VLOOKUP(D1225,'Resultats - informe'!$Y$18:$AG$42,'Introducció dades consum'!K1225+1,0)</f>
        <v>0</v>
      </c>
      <c r="O1225" s="370" cm="1">
        <f t="array" ref="O1225">+_xlfn.SWITCH(MONTH(C1225),1,1,2,1,3,1,4,2,5,2,6,3,7,3,8,3,9,3,10,2,11,2,12,1,2)</f>
        <v>1</v>
      </c>
      <c r="P1225" s="43"/>
      <c r="AS1225" s="10"/>
      <c r="AT1225" s="10"/>
      <c r="AU1225" s="10"/>
      <c r="AV1225" s="10"/>
      <c r="AW1225" s="10"/>
      <c r="AX1225" s="10"/>
      <c r="AY1225" s="10"/>
      <c r="AZ1225" s="10"/>
      <c r="BA1225" s="10"/>
      <c r="BB1225" s="10"/>
      <c r="BC1225" s="10"/>
      <c r="BD1225" s="10"/>
      <c r="BE1225" s="10"/>
      <c r="BF1225" s="10"/>
      <c r="BG1225" s="10"/>
      <c r="BH1225" s="10"/>
      <c r="BI1225" s="10"/>
      <c r="BJ1225" s="10"/>
      <c r="BK1225" s="10"/>
      <c r="BL1225" s="10"/>
      <c r="BM1225" s="10"/>
      <c r="BN1225" s="10"/>
      <c r="BO1225" s="10"/>
      <c r="BP1225" s="10"/>
      <c r="BQ1225" s="10"/>
      <c r="BR1225" s="10"/>
      <c r="BS1225" s="10"/>
      <c r="BT1225" s="10"/>
      <c r="BU1225" s="10"/>
    </row>
    <row r="1226" spans="1:73" ht="18" x14ac:dyDescent="0.35">
      <c r="A1226" s="43"/>
      <c r="C1226" s="393"/>
      <c r="E1226" s="394"/>
      <c r="F1226" s="394">
        <v>0</v>
      </c>
      <c r="G1226" s="394"/>
      <c r="H1226" s="8" t="s">
        <v>235</v>
      </c>
      <c r="I1226" s="368">
        <f t="shared" si="58"/>
        <v>0</v>
      </c>
      <c r="J1226" s="365">
        <f t="shared" si="57"/>
        <v>0</v>
      </c>
      <c r="K1226" s="369">
        <f t="shared" si="59"/>
        <v>6</v>
      </c>
      <c r="L1226" s="369">
        <f>+IF((C1226&gt;='Resultats - informe'!$E$16)*(C1226&lt;='Resultats - informe'!$G$16),1,0)</f>
        <v>1</v>
      </c>
      <c r="M1226" s="369" cm="1">
        <f t="array" ref="M1226">+_xlfn.IFS((C1226&gt;='Resultats - informe'!$D$26)*(C1226&lt;='Resultats - informe'!$E$26),0,(C1226&gt;='Resultats - informe'!$D$27)*(C1226&lt;='Resultats - informe'!$E$27),0,(C1226&gt;='Resultats - informe'!$D$28)*(C1226&lt;='Resultats - informe'!$E$28),0,(C1226&gt;='Resultats - informe'!$D$29)*(C1226&lt;='Resultats - informe'!$E$29),0,1,1)</f>
        <v>0</v>
      </c>
      <c r="N1226" s="366">
        <f>+VLOOKUP(D1226,'Resultats - informe'!$Y$18:$AG$42,'Introducció dades consum'!K1226+1,0)</f>
        <v>0</v>
      </c>
      <c r="O1226" s="370" cm="1">
        <f t="array" ref="O1226">+_xlfn.SWITCH(MONTH(C1226),1,1,2,1,3,1,4,2,5,2,6,3,7,3,8,3,9,3,10,2,11,2,12,1,2)</f>
        <v>1</v>
      </c>
      <c r="P1226" s="43"/>
      <c r="AS1226" s="10"/>
      <c r="AT1226" s="10"/>
      <c r="AU1226" s="10"/>
      <c r="AV1226" s="10"/>
      <c r="AW1226" s="10"/>
      <c r="AX1226" s="10"/>
      <c r="AY1226" s="10"/>
      <c r="AZ1226" s="10"/>
      <c r="BA1226" s="10"/>
      <c r="BB1226" s="10"/>
      <c r="BC1226" s="10"/>
      <c r="BD1226" s="10"/>
      <c r="BE1226" s="10"/>
      <c r="BF1226" s="10"/>
      <c r="BG1226" s="10"/>
      <c r="BH1226" s="10"/>
      <c r="BI1226" s="10"/>
      <c r="BJ1226" s="10"/>
      <c r="BK1226" s="10"/>
      <c r="BL1226" s="10"/>
      <c r="BM1226" s="10"/>
      <c r="BN1226" s="10"/>
      <c r="BO1226" s="10"/>
      <c r="BP1226" s="10"/>
      <c r="BQ1226" s="10"/>
      <c r="BR1226" s="10"/>
      <c r="BS1226" s="10"/>
      <c r="BT1226" s="10"/>
      <c r="BU1226" s="10"/>
    </row>
    <row r="1227" spans="1:73" ht="18" x14ac:dyDescent="0.35">
      <c r="A1227" s="43"/>
      <c r="C1227" s="393"/>
      <c r="E1227" s="394"/>
      <c r="F1227" s="394">
        <v>0</v>
      </c>
      <c r="G1227" s="394"/>
      <c r="H1227" s="8" t="s">
        <v>235</v>
      </c>
      <c r="I1227" s="368">
        <f t="shared" si="58"/>
        <v>0</v>
      </c>
      <c r="J1227" s="365">
        <f t="shared" si="57"/>
        <v>0</v>
      </c>
      <c r="K1227" s="369">
        <f t="shared" si="59"/>
        <v>6</v>
      </c>
      <c r="L1227" s="369">
        <f>+IF((C1227&gt;='Resultats - informe'!$E$16)*(C1227&lt;='Resultats - informe'!$G$16),1,0)</f>
        <v>1</v>
      </c>
      <c r="M1227" s="369" cm="1">
        <f t="array" ref="M1227">+_xlfn.IFS((C1227&gt;='Resultats - informe'!$D$26)*(C1227&lt;='Resultats - informe'!$E$26),0,(C1227&gt;='Resultats - informe'!$D$27)*(C1227&lt;='Resultats - informe'!$E$27),0,(C1227&gt;='Resultats - informe'!$D$28)*(C1227&lt;='Resultats - informe'!$E$28),0,(C1227&gt;='Resultats - informe'!$D$29)*(C1227&lt;='Resultats - informe'!$E$29),0,1,1)</f>
        <v>0</v>
      </c>
      <c r="N1227" s="366">
        <f>+VLOOKUP(D1227,'Resultats - informe'!$Y$18:$AG$42,'Introducció dades consum'!K1227+1,0)</f>
        <v>0</v>
      </c>
      <c r="O1227" s="370" cm="1">
        <f t="array" ref="O1227">+_xlfn.SWITCH(MONTH(C1227),1,1,2,1,3,1,4,2,5,2,6,3,7,3,8,3,9,3,10,2,11,2,12,1,2)</f>
        <v>1</v>
      </c>
      <c r="P1227" s="43"/>
      <c r="AS1227" s="10"/>
      <c r="AT1227" s="10"/>
      <c r="AU1227" s="10"/>
      <c r="AV1227" s="10"/>
      <c r="AW1227" s="10"/>
      <c r="AX1227" s="10"/>
      <c r="AY1227" s="10"/>
      <c r="AZ1227" s="10"/>
      <c r="BA1227" s="10"/>
      <c r="BB1227" s="10"/>
      <c r="BC1227" s="10"/>
      <c r="BD1227" s="10"/>
      <c r="BE1227" s="10"/>
      <c r="BF1227" s="10"/>
      <c r="BG1227" s="10"/>
      <c r="BH1227" s="10"/>
      <c r="BI1227" s="10"/>
      <c r="BJ1227" s="10"/>
      <c r="BK1227" s="10"/>
      <c r="BL1227" s="10"/>
      <c r="BM1227" s="10"/>
      <c r="BN1227" s="10"/>
      <c r="BO1227" s="10"/>
      <c r="BP1227" s="10"/>
      <c r="BQ1227" s="10"/>
      <c r="BR1227" s="10"/>
      <c r="BS1227" s="10"/>
      <c r="BT1227" s="10"/>
      <c r="BU1227" s="10"/>
    </row>
    <row r="1228" spans="1:73" ht="18" x14ac:dyDescent="0.35">
      <c r="A1228" s="43"/>
      <c r="C1228" s="393"/>
      <c r="E1228" s="394"/>
      <c r="F1228" s="394">
        <v>0</v>
      </c>
      <c r="G1228" s="394"/>
      <c r="H1228" s="8" t="s">
        <v>235</v>
      </c>
      <c r="I1228" s="368">
        <f t="shared" si="58"/>
        <v>0</v>
      </c>
      <c r="J1228" s="365">
        <f t="shared" si="57"/>
        <v>0</v>
      </c>
      <c r="K1228" s="369">
        <f t="shared" si="59"/>
        <v>6</v>
      </c>
      <c r="L1228" s="369">
        <f>+IF((C1228&gt;='Resultats - informe'!$E$16)*(C1228&lt;='Resultats - informe'!$G$16),1,0)</f>
        <v>1</v>
      </c>
      <c r="M1228" s="369" cm="1">
        <f t="array" ref="M1228">+_xlfn.IFS((C1228&gt;='Resultats - informe'!$D$26)*(C1228&lt;='Resultats - informe'!$E$26),0,(C1228&gt;='Resultats - informe'!$D$27)*(C1228&lt;='Resultats - informe'!$E$27),0,(C1228&gt;='Resultats - informe'!$D$28)*(C1228&lt;='Resultats - informe'!$E$28),0,(C1228&gt;='Resultats - informe'!$D$29)*(C1228&lt;='Resultats - informe'!$E$29),0,1,1)</f>
        <v>0</v>
      </c>
      <c r="N1228" s="366">
        <f>+VLOOKUP(D1228,'Resultats - informe'!$Y$18:$AG$42,'Introducció dades consum'!K1228+1,0)</f>
        <v>0</v>
      </c>
      <c r="O1228" s="370" cm="1">
        <f t="array" ref="O1228">+_xlfn.SWITCH(MONTH(C1228),1,1,2,1,3,1,4,2,5,2,6,3,7,3,8,3,9,3,10,2,11,2,12,1,2)</f>
        <v>1</v>
      </c>
      <c r="P1228" s="43"/>
      <c r="AS1228" s="10"/>
      <c r="AT1228" s="10"/>
      <c r="AU1228" s="10"/>
      <c r="AV1228" s="10"/>
      <c r="AW1228" s="10"/>
      <c r="AX1228" s="10"/>
      <c r="AY1228" s="10"/>
      <c r="AZ1228" s="10"/>
      <c r="BA1228" s="10"/>
      <c r="BB1228" s="10"/>
      <c r="BC1228" s="10"/>
      <c r="BD1228" s="10"/>
      <c r="BE1228" s="10"/>
      <c r="BF1228" s="10"/>
      <c r="BG1228" s="10"/>
      <c r="BH1228" s="10"/>
      <c r="BI1228" s="10"/>
      <c r="BJ1228" s="10"/>
      <c r="BK1228" s="10"/>
      <c r="BL1228" s="10"/>
      <c r="BM1228" s="10"/>
      <c r="BN1228" s="10"/>
      <c r="BO1228" s="10"/>
      <c r="BP1228" s="10"/>
      <c r="BQ1228" s="10"/>
      <c r="BR1228" s="10"/>
      <c r="BS1228" s="10"/>
      <c r="BT1228" s="10"/>
      <c r="BU1228" s="10"/>
    </row>
    <row r="1229" spans="1:73" ht="18" x14ac:dyDescent="0.35">
      <c r="A1229" s="43"/>
      <c r="C1229" s="393"/>
      <c r="E1229" s="394"/>
      <c r="F1229" s="394">
        <v>0</v>
      </c>
      <c r="G1229" s="394"/>
      <c r="H1229" s="8" t="s">
        <v>235</v>
      </c>
      <c r="I1229" s="368">
        <f t="shared" si="58"/>
        <v>0</v>
      </c>
      <c r="J1229" s="365">
        <f t="shared" si="57"/>
        <v>0</v>
      </c>
      <c r="K1229" s="369">
        <f t="shared" si="59"/>
        <v>6</v>
      </c>
      <c r="L1229" s="369">
        <f>+IF((C1229&gt;='Resultats - informe'!$E$16)*(C1229&lt;='Resultats - informe'!$G$16),1,0)</f>
        <v>1</v>
      </c>
      <c r="M1229" s="369" cm="1">
        <f t="array" ref="M1229">+_xlfn.IFS((C1229&gt;='Resultats - informe'!$D$26)*(C1229&lt;='Resultats - informe'!$E$26),0,(C1229&gt;='Resultats - informe'!$D$27)*(C1229&lt;='Resultats - informe'!$E$27),0,(C1229&gt;='Resultats - informe'!$D$28)*(C1229&lt;='Resultats - informe'!$E$28),0,(C1229&gt;='Resultats - informe'!$D$29)*(C1229&lt;='Resultats - informe'!$E$29),0,1,1)</f>
        <v>0</v>
      </c>
      <c r="N1229" s="366">
        <f>+VLOOKUP(D1229,'Resultats - informe'!$Y$18:$AG$42,'Introducció dades consum'!K1229+1,0)</f>
        <v>0</v>
      </c>
      <c r="O1229" s="370" cm="1">
        <f t="array" ref="O1229">+_xlfn.SWITCH(MONTH(C1229),1,1,2,1,3,1,4,2,5,2,6,3,7,3,8,3,9,3,10,2,11,2,12,1,2)</f>
        <v>1</v>
      </c>
      <c r="P1229" s="43"/>
      <c r="AS1229" s="10"/>
      <c r="AT1229" s="10"/>
      <c r="AU1229" s="10"/>
      <c r="AV1229" s="10"/>
      <c r="AW1229" s="10"/>
      <c r="AX1229" s="10"/>
      <c r="AY1229" s="10"/>
      <c r="AZ1229" s="10"/>
      <c r="BA1229" s="10"/>
      <c r="BB1229" s="10"/>
      <c r="BC1229" s="10"/>
      <c r="BD1229" s="10"/>
      <c r="BE1229" s="10"/>
      <c r="BF1229" s="10"/>
      <c r="BG1229" s="10"/>
      <c r="BH1229" s="10"/>
      <c r="BI1229" s="10"/>
      <c r="BJ1229" s="10"/>
      <c r="BK1229" s="10"/>
      <c r="BL1229" s="10"/>
      <c r="BM1229" s="10"/>
      <c r="BN1229" s="10"/>
      <c r="BO1229" s="10"/>
      <c r="BP1229" s="10"/>
      <c r="BQ1229" s="10"/>
      <c r="BR1229" s="10"/>
      <c r="BS1229" s="10"/>
      <c r="BT1229" s="10"/>
      <c r="BU1229" s="10"/>
    </row>
    <row r="1230" spans="1:73" ht="18" x14ac:dyDescent="0.35">
      <c r="A1230" s="43"/>
      <c r="C1230" s="393"/>
      <c r="E1230" s="394"/>
      <c r="F1230" s="394">
        <v>0</v>
      </c>
      <c r="G1230" s="394"/>
      <c r="H1230" s="8" t="s">
        <v>235</v>
      </c>
      <c r="I1230" s="368">
        <f t="shared" si="58"/>
        <v>0</v>
      </c>
      <c r="J1230" s="365">
        <f t="shared" si="57"/>
        <v>0</v>
      </c>
      <c r="K1230" s="369">
        <f t="shared" si="59"/>
        <v>6</v>
      </c>
      <c r="L1230" s="369">
        <f>+IF((C1230&gt;='Resultats - informe'!$E$16)*(C1230&lt;='Resultats - informe'!$G$16),1,0)</f>
        <v>1</v>
      </c>
      <c r="M1230" s="369" cm="1">
        <f t="array" ref="M1230">+_xlfn.IFS((C1230&gt;='Resultats - informe'!$D$26)*(C1230&lt;='Resultats - informe'!$E$26),0,(C1230&gt;='Resultats - informe'!$D$27)*(C1230&lt;='Resultats - informe'!$E$27),0,(C1230&gt;='Resultats - informe'!$D$28)*(C1230&lt;='Resultats - informe'!$E$28),0,(C1230&gt;='Resultats - informe'!$D$29)*(C1230&lt;='Resultats - informe'!$E$29),0,1,1)</f>
        <v>0</v>
      </c>
      <c r="N1230" s="366">
        <f>+VLOOKUP(D1230,'Resultats - informe'!$Y$18:$AG$42,'Introducció dades consum'!K1230+1,0)</f>
        <v>0</v>
      </c>
      <c r="O1230" s="370" cm="1">
        <f t="array" ref="O1230">+_xlfn.SWITCH(MONTH(C1230),1,1,2,1,3,1,4,2,5,2,6,3,7,3,8,3,9,3,10,2,11,2,12,1,2)</f>
        <v>1</v>
      </c>
      <c r="P1230" s="43"/>
      <c r="AS1230" s="10"/>
      <c r="AT1230" s="10"/>
      <c r="AU1230" s="10"/>
      <c r="AV1230" s="10"/>
      <c r="AW1230" s="10"/>
      <c r="AX1230" s="10"/>
      <c r="AY1230" s="10"/>
      <c r="AZ1230" s="10"/>
      <c r="BA1230" s="10"/>
      <c r="BB1230" s="10"/>
      <c r="BC1230" s="10"/>
      <c r="BD1230" s="10"/>
      <c r="BE1230" s="10"/>
      <c r="BF1230" s="10"/>
      <c r="BG1230" s="10"/>
      <c r="BH1230" s="10"/>
      <c r="BI1230" s="10"/>
      <c r="BJ1230" s="10"/>
      <c r="BK1230" s="10"/>
      <c r="BL1230" s="10"/>
      <c r="BM1230" s="10"/>
      <c r="BN1230" s="10"/>
      <c r="BO1230" s="10"/>
      <c r="BP1230" s="10"/>
      <c r="BQ1230" s="10"/>
      <c r="BR1230" s="10"/>
      <c r="BS1230" s="10"/>
      <c r="BT1230" s="10"/>
      <c r="BU1230" s="10"/>
    </row>
    <row r="1231" spans="1:73" ht="18" x14ac:dyDescent="0.35">
      <c r="A1231" s="43"/>
      <c r="C1231" s="393"/>
      <c r="E1231" s="394"/>
      <c r="F1231" s="394">
        <v>0</v>
      </c>
      <c r="G1231" s="394"/>
      <c r="H1231" s="8" t="s">
        <v>235</v>
      </c>
      <c r="I1231" s="368">
        <f t="shared" si="58"/>
        <v>0</v>
      </c>
      <c r="J1231" s="365">
        <f t="shared" si="57"/>
        <v>0</v>
      </c>
      <c r="K1231" s="369">
        <f t="shared" si="59"/>
        <v>6</v>
      </c>
      <c r="L1231" s="369">
        <f>+IF((C1231&gt;='Resultats - informe'!$E$16)*(C1231&lt;='Resultats - informe'!$G$16),1,0)</f>
        <v>1</v>
      </c>
      <c r="M1231" s="369" cm="1">
        <f t="array" ref="M1231">+_xlfn.IFS((C1231&gt;='Resultats - informe'!$D$26)*(C1231&lt;='Resultats - informe'!$E$26),0,(C1231&gt;='Resultats - informe'!$D$27)*(C1231&lt;='Resultats - informe'!$E$27),0,(C1231&gt;='Resultats - informe'!$D$28)*(C1231&lt;='Resultats - informe'!$E$28),0,(C1231&gt;='Resultats - informe'!$D$29)*(C1231&lt;='Resultats - informe'!$E$29),0,1,1)</f>
        <v>0</v>
      </c>
      <c r="N1231" s="366">
        <f>+VLOOKUP(D1231,'Resultats - informe'!$Y$18:$AG$42,'Introducció dades consum'!K1231+1,0)</f>
        <v>0</v>
      </c>
      <c r="O1231" s="370" cm="1">
        <f t="array" ref="O1231">+_xlfn.SWITCH(MONTH(C1231),1,1,2,1,3,1,4,2,5,2,6,3,7,3,8,3,9,3,10,2,11,2,12,1,2)</f>
        <v>1</v>
      </c>
      <c r="P1231" s="43"/>
      <c r="AS1231" s="10"/>
      <c r="AT1231" s="10"/>
      <c r="AU1231" s="10"/>
      <c r="AV1231" s="10"/>
      <c r="AW1231" s="10"/>
      <c r="AX1231" s="10"/>
      <c r="AY1231" s="10"/>
      <c r="AZ1231" s="10"/>
      <c r="BA1231" s="10"/>
      <c r="BB1231" s="10"/>
      <c r="BC1231" s="10"/>
      <c r="BD1231" s="10"/>
      <c r="BE1231" s="10"/>
      <c r="BF1231" s="10"/>
      <c r="BG1231" s="10"/>
      <c r="BH1231" s="10"/>
      <c r="BI1231" s="10"/>
      <c r="BJ1231" s="10"/>
      <c r="BK1231" s="10"/>
      <c r="BL1231" s="10"/>
      <c r="BM1231" s="10"/>
      <c r="BN1231" s="10"/>
      <c r="BO1231" s="10"/>
      <c r="BP1231" s="10"/>
      <c r="BQ1231" s="10"/>
      <c r="BR1231" s="10"/>
      <c r="BS1231" s="10"/>
      <c r="BT1231" s="10"/>
      <c r="BU1231" s="10"/>
    </row>
    <row r="1232" spans="1:73" ht="18" x14ac:dyDescent="0.35">
      <c r="A1232" s="43"/>
      <c r="C1232" s="393"/>
      <c r="E1232" s="394"/>
      <c r="F1232" s="394">
        <v>0</v>
      </c>
      <c r="G1232" s="394"/>
      <c r="H1232" s="8" t="s">
        <v>235</v>
      </c>
      <c r="I1232" s="368">
        <f t="shared" si="58"/>
        <v>0</v>
      </c>
      <c r="J1232" s="365">
        <f t="shared" si="57"/>
        <v>0</v>
      </c>
      <c r="K1232" s="369">
        <f t="shared" si="59"/>
        <v>6</v>
      </c>
      <c r="L1232" s="369">
        <f>+IF((C1232&gt;='Resultats - informe'!$E$16)*(C1232&lt;='Resultats - informe'!$G$16),1,0)</f>
        <v>1</v>
      </c>
      <c r="M1232" s="369" cm="1">
        <f t="array" ref="M1232">+_xlfn.IFS((C1232&gt;='Resultats - informe'!$D$26)*(C1232&lt;='Resultats - informe'!$E$26),0,(C1232&gt;='Resultats - informe'!$D$27)*(C1232&lt;='Resultats - informe'!$E$27),0,(C1232&gt;='Resultats - informe'!$D$28)*(C1232&lt;='Resultats - informe'!$E$28),0,(C1232&gt;='Resultats - informe'!$D$29)*(C1232&lt;='Resultats - informe'!$E$29),0,1,1)</f>
        <v>0</v>
      </c>
      <c r="N1232" s="366">
        <f>+VLOOKUP(D1232,'Resultats - informe'!$Y$18:$AG$42,'Introducció dades consum'!K1232+1,0)</f>
        <v>0</v>
      </c>
      <c r="O1232" s="370" cm="1">
        <f t="array" ref="O1232">+_xlfn.SWITCH(MONTH(C1232),1,1,2,1,3,1,4,2,5,2,6,3,7,3,8,3,9,3,10,2,11,2,12,1,2)</f>
        <v>1</v>
      </c>
      <c r="P1232" s="43"/>
      <c r="AS1232" s="10"/>
      <c r="AT1232" s="10"/>
      <c r="AU1232" s="10"/>
      <c r="AV1232" s="10"/>
      <c r="AW1232" s="10"/>
      <c r="AX1232" s="10"/>
      <c r="AY1232" s="10"/>
      <c r="AZ1232" s="10"/>
      <c r="BA1232" s="10"/>
      <c r="BB1232" s="10"/>
      <c r="BC1232" s="10"/>
      <c r="BD1232" s="10"/>
      <c r="BE1232" s="10"/>
      <c r="BF1232" s="10"/>
      <c r="BG1232" s="10"/>
      <c r="BH1232" s="10"/>
      <c r="BI1232" s="10"/>
      <c r="BJ1232" s="10"/>
      <c r="BK1232" s="10"/>
      <c r="BL1232" s="10"/>
      <c r="BM1232" s="10"/>
      <c r="BN1232" s="10"/>
      <c r="BO1232" s="10"/>
      <c r="BP1232" s="10"/>
      <c r="BQ1232" s="10"/>
      <c r="BR1232" s="10"/>
      <c r="BS1232" s="10"/>
      <c r="BT1232" s="10"/>
      <c r="BU1232" s="10"/>
    </row>
    <row r="1233" spans="1:73" ht="18" x14ac:dyDescent="0.35">
      <c r="A1233" s="43"/>
      <c r="C1233" s="393"/>
      <c r="E1233" s="394"/>
      <c r="F1233" s="394">
        <v>0</v>
      </c>
      <c r="G1233" s="394"/>
      <c r="H1233" s="8" t="s">
        <v>235</v>
      </c>
      <c r="I1233" s="368">
        <f t="shared" si="58"/>
        <v>0</v>
      </c>
      <c r="J1233" s="365">
        <f t="shared" si="57"/>
        <v>0</v>
      </c>
      <c r="K1233" s="369">
        <f t="shared" si="59"/>
        <v>6</v>
      </c>
      <c r="L1233" s="369">
        <f>+IF((C1233&gt;='Resultats - informe'!$E$16)*(C1233&lt;='Resultats - informe'!$G$16),1,0)</f>
        <v>1</v>
      </c>
      <c r="M1233" s="369" cm="1">
        <f t="array" ref="M1233">+_xlfn.IFS((C1233&gt;='Resultats - informe'!$D$26)*(C1233&lt;='Resultats - informe'!$E$26),0,(C1233&gt;='Resultats - informe'!$D$27)*(C1233&lt;='Resultats - informe'!$E$27),0,(C1233&gt;='Resultats - informe'!$D$28)*(C1233&lt;='Resultats - informe'!$E$28),0,(C1233&gt;='Resultats - informe'!$D$29)*(C1233&lt;='Resultats - informe'!$E$29),0,1,1)</f>
        <v>0</v>
      </c>
      <c r="N1233" s="366">
        <f>+VLOOKUP(D1233,'Resultats - informe'!$Y$18:$AG$42,'Introducció dades consum'!K1233+1,0)</f>
        <v>0</v>
      </c>
      <c r="O1233" s="370" cm="1">
        <f t="array" ref="O1233">+_xlfn.SWITCH(MONTH(C1233),1,1,2,1,3,1,4,2,5,2,6,3,7,3,8,3,9,3,10,2,11,2,12,1,2)</f>
        <v>1</v>
      </c>
      <c r="P1233" s="43"/>
      <c r="AS1233" s="10"/>
      <c r="AT1233" s="10"/>
      <c r="AU1233" s="10"/>
      <c r="AV1233" s="10"/>
      <c r="AW1233" s="10"/>
      <c r="AX1233" s="10"/>
      <c r="AY1233" s="10"/>
      <c r="AZ1233" s="10"/>
      <c r="BA1233" s="10"/>
      <c r="BB1233" s="10"/>
      <c r="BC1233" s="10"/>
      <c r="BD1233" s="10"/>
      <c r="BE1233" s="10"/>
      <c r="BF1233" s="10"/>
      <c r="BG1233" s="10"/>
      <c r="BH1233" s="10"/>
      <c r="BI1233" s="10"/>
      <c r="BJ1233" s="10"/>
      <c r="BK1233" s="10"/>
      <c r="BL1233" s="10"/>
      <c r="BM1233" s="10"/>
      <c r="BN1233" s="10"/>
      <c r="BO1233" s="10"/>
      <c r="BP1233" s="10"/>
      <c r="BQ1233" s="10"/>
      <c r="BR1233" s="10"/>
      <c r="BS1233" s="10"/>
      <c r="BT1233" s="10"/>
      <c r="BU1233" s="10"/>
    </row>
    <row r="1234" spans="1:73" ht="18" x14ac:dyDescent="0.35">
      <c r="A1234" s="43"/>
      <c r="C1234" s="393"/>
      <c r="E1234" s="394"/>
      <c r="F1234" s="394">
        <v>0</v>
      </c>
      <c r="G1234" s="394"/>
      <c r="H1234" s="8" t="s">
        <v>235</v>
      </c>
      <c r="I1234" s="368">
        <f t="shared" si="58"/>
        <v>0</v>
      </c>
      <c r="J1234" s="365">
        <f t="shared" si="57"/>
        <v>0</v>
      </c>
      <c r="K1234" s="369">
        <f t="shared" si="59"/>
        <v>6</v>
      </c>
      <c r="L1234" s="369">
        <f>+IF((C1234&gt;='Resultats - informe'!$E$16)*(C1234&lt;='Resultats - informe'!$G$16),1,0)</f>
        <v>1</v>
      </c>
      <c r="M1234" s="369" cm="1">
        <f t="array" ref="M1234">+_xlfn.IFS((C1234&gt;='Resultats - informe'!$D$26)*(C1234&lt;='Resultats - informe'!$E$26),0,(C1234&gt;='Resultats - informe'!$D$27)*(C1234&lt;='Resultats - informe'!$E$27),0,(C1234&gt;='Resultats - informe'!$D$28)*(C1234&lt;='Resultats - informe'!$E$28),0,(C1234&gt;='Resultats - informe'!$D$29)*(C1234&lt;='Resultats - informe'!$E$29),0,1,1)</f>
        <v>0</v>
      </c>
      <c r="N1234" s="366">
        <f>+VLOOKUP(D1234,'Resultats - informe'!$Y$18:$AG$42,'Introducció dades consum'!K1234+1,0)</f>
        <v>0</v>
      </c>
      <c r="O1234" s="370" cm="1">
        <f t="array" ref="O1234">+_xlfn.SWITCH(MONTH(C1234),1,1,2,1,3,1,4,2,5,2,6,3,7,3,8,3,9,3,10,2,11,2,12,1,2)</f>
        <v>1</v>
      </c>
      <c r="P1234" s="43"/>
      <c r="AS1234" s="10"/>
      <c r="AT1234" s="10"/>
      <c r="AU1234" s="10"/>
      <c r="AV1234" s="10"/>
      <c r="AW1234" s="10"/>
      <c r="AX1234" s="10"/>
      <c r="AY1234" s="10"/>
      <c r="AZ1234" s="10"/>
      <c r="BA1234" s="10"/>
      <c r="BB1234" s="10"/>
      <c r="BC1234" s="10"/>
      <c r="BD1234" s="10"/>
      <c r="BE1234" s="10"/>
      <c r="BF1234" s="10"/>
      <c r="BG1234" s="10"/>
      <c r="BH1234" s="10"/>
      <c r="BI1234" s="10"/>
      <c r="BJ1234" s="10"/>
      <c r="BK1234" s="10"/>
      <c r="BL1234" s="10"/>
      <c r="BM1234" s="10"/>
      <c r="BN1234" s="10"/>
      <c r="BO1234" s="10"/>
      <c r="BP1234" s="10"/>
      <c r="BQ1234" s="10"/>
      <c r="BR1234" s="10"/>
      <c r="BS1234" s="10"/>
      <c r="BT1234" s="10"/>
      <c r="BU1234" s="10"/>
    </row>
    <row r="1235" spans="1:73" ht="18" x14ac:dyDescent="0.35">
      <c r="A1235" s="43"/>
      <c r="C1235" s="393"/>
      <c r="E1235" s="394"/>
      <c r="F1235" s="394">
        <v>0</v>
      </c>
      <c r="G1235" s="394"/>
      <c r="H1235" s="8" t="s">
        <v>235</v>
      </c>
      <c r="I1235" s="368">
        <f t="shared" si="58"/>
        <v>0</v>
      </c>
      <c r="J1235" s="365">
        <f t="shared" si="57"/>
        <v>0</v>
      </c>
      <c r="K1235" s="369">
        <f t="shared" si="59"/>
        <v>6</v>
      </c>
      <c r="L1235" s="369">
        <f>+IF((C1235&gt;='Resultats - informe'!$E$16)*(C1235&lt;='Resultats - informe'!$G$16),1,0)</f>
        <v>1</v>
      </c>
      <c r="M1235" s="369" cm="1">
        <f t="array" ref="M1235">+_xlfn.IFS((C1235&gt;='Resultats - informe'!$D$26)*(C1235&lt;='Resultats - informe'!$E$26),0,(C1235&gt;='Resultats - informe'!$D$27)*(C1235&lt;='Resultats - informe'!$E$27),0,(C1235&gt;='Resultats - informe'!$D$28)*(C1235&lt;='Resultats - informe'!$E$28),0,(C1235&gt;='Resultats - informe'!$D$29)*(C1235&lt;='Resultats - informe'!$E$29),0,1,1)</f>
        <v>0</v>
      </c>
      <c r="N1235" s="366">
        <f>+VLOOKUP(D1235,'Resultats - informe'!$Y$18:$AG$42,'Introducció dades consum'!K1235+1,0)</f>
        <v>0</v>
      </c>
      <c r="O1235" s="370" cm="1">
        <f t="array" ref="O1235">+_xlfn.SWITCH(MONTH(C1235),1,1,2,1,3,1,4,2,5,2,6,3,7,3,8,3,9,3,10,2,11,2,12,1,2)</f>
        <v>1</v>
      </c>
      <c r="P1235" s="43"/>
      <c r="AS1235" s="10"/>
      <c r="AT1235" s="10"/>
      <c r="AU1235" s="10"/>
      <c r="AV1235" s="10"/>
      <c r="AW1235" s="10"/>
      <c r="AX1235" s="10"/>
      <c r="AY1235" s="10"/>
      <c r="AZ1235" s="10"/>
      <c r="BA1235" s="10"/>
      <c r="BB1235" s="10"/>
      <c r="BC1235" s="10"/>
      <c r="BD1235" s="10"/>
      <c r="BE1235" s="10"/>
      <c r="BF1235" s="10"/>
      <c r="BG1235" s="10"/>
      <c r="BH1235" s="10"/>
      <c r="BI1235" s="10"/>
      <c r="BJ1235" s="10"/>
      <c r="BK1235" s="10"/>
      <c r="BL1235" s="10"/>
      <c r="BM1235" s="10"/>
      <c r="BN1235" s="10"/>
      <c r="BO1235" s="10"/>
      <c r="BP1235" s="10"/>
      <c r="BQ1235" s="10"/>
      <c r="BR1235" s="10"/>
      <c r="BS1235" s="10"/>
      <c r="BT1235" s="10"/>
      <c r="BU1235" s="10"/>
    </row>
    <row r="1236" spans="1:73" ht="18" x14ac:dyDescent="0.35">
      <c r="A1236" s="43"/>
      <c r="C1236" s="393"/>
      <c r="E1236" s="394"/>
      <c r="F1236" s="394">
        <v>0</v>
      </c>
      <c r="G1236" s="394"/>
      <c r="H1236" s="8" t="s">
        <v>235</v>
      </c>
      <c r="I1236" s="368">
        <f t="shared" si="58"/>
        <v>0</v>
      </c>
      <c r="J1236" s="365">
        <f t="shared" si="57"/>
        <v>0</v>
      </c>
      <c r="K1236" s="369">
        <f t="shared" si="59"/>
        <v>6</v>
      </c>
      <c r="L1236" s="369">
        <f>+IF((C1236&gt;='Resultats - informe'!$E$16)*(C1236&lt;='Resultats - informe'!$G$16),1,0)</f>
        <v>1</v>
      </c>
      <c r="M1236" s="369" cm="1">
        <f t="array" ref="M1236">+_xlfn.IFS((C1236&gt;='Resultats - informe'!$D$26)*(C1236&lt;='Resultats - informe'!$E$26),0,(C1236&gt;='Resultats - informe'!$D$27)*(C1236&lt;='Resultats - informe'!$E$27),0,(C1236&gt;='Resultats - informe'!$D$28)*(C1236&lt;='Resultats - informe'!$E$28),0,(C1236&gt;='Resultats - informe'!$D$29)*(C1236&lt;='Resultats - informe'!$E$29),0,1,1)</f>
        <v>0</v>
      </c>
      <c r="N1236" s="366">
        <f>+VLOOKUP(D1236,'Resultats - informe'!$Y$18:$AG$42,'Introducció dades consum'!K1236+1,0)</f>
        <v>0</v>
      </c>
      <c r="O1236" s="370" cm="1">
        <f t="array" ref="O1236">+_xlfn.SWITCH(MONTH(C1236),1,1,2,1,3,1,4,2,5,2,6,3,7,3,8,3,9,3,10,2,11,2,12,1,2)</f>
        <v>1</v>
      </c>
      <c r="P1236" s="43"/>
      <c r="AS1236" s="10"/>
      <c r="AT1236" s="10"/>
      <c r="AU1236" s="10"/>
      <c r="AV1236" s="10"/>
      <c r="AW1236" s="10"/>
      <c r="AX1236" s="10"/>
      <c r="AY1236" s="10"/>
      <c r="AZ1236" s="10"/>
      <c r="BA1236" s="10"/>
      <c r="BB1236" s="10"/>
      <c r="BC1236" s="10"/>
      <c r="BD1236" s="10"/>
      <c r="BE1236" s="10"/>
      <c r="BF1236" s="10"/>
      <c r="BG1236" s="10"/>
      <c r="BH1236" s="10"/>
      <c r="BI1236" s="10"/>
      <c r="BJ1236" s="10"/>
      <c r="BK1236" s="10"/>
      <c r="BL1236" s="10"/>
      <c r="BM1236" s="10"/>
      <c r="BN1236" s="10"/>
      <c r="BO1236" s="10"/>
      <c r="BP1236" s="10"/>
      <c r="BQ1236" s="10"/>
      <c r="BR1236" s="10"/>
      <c r="BS1236" s="10"/>
      <c r="BT1236" s="10"/>
      <c r="BU1236" s="10"/>
    </row>
    <row r="1237" spans="1:73" ht="18" x14ac:dyDescent="0.35">
      <c r="A1237" s="43"/>
      <c r="C1237" s="393"/>
      <c r="E1237" s="394"/>
      <c r="F1237" s="394">
        <v>0</v>
      </c>
      <c r="G1237" s="394"/>
      <c r="H1237" s="8" t="s">
        <v>235</v>
      </c>
      <c r="I1237" s="368">
        <f t="shared" si="58"/>
        <v>0</v>
      </c>
      <c r="J1237" s="365">
        <f t="shared" si="57"/>
        <v>0</v>
      </c>
      <c r="K1237" s="369">
        <f t="shared" si="59"/>
        <v>6</v>
      </c>
      <c r="L1237" s="369">
        <f>+IF((C1237&gt;='Resultats - informe'!$E$16)*(C1237&lt;='Resultats - informe'!$G$16),1,0)</f>
        <v>1</v>
      </c>
      <c r="M1237" s="369" cm="1">
        <f t="array" ref="M1237">+_xlfn.IFS((C1237&gt;='Resultats - informe'!$D$26)*(C1237&lt;='Resultats - informe'!$E$26),0,(C1237&gt;='Resultats - informe'!$D$27)*(C1237&lt;='Resultats - informe'!$E$27),0,(C1237&gt;='Resultats - informe'!$D$28)*(C1237&lt;='Resultats - informe'!$E$28),0,(C1237&gt;='Resultats - informe'!$D$29)*(C1237&lt;='Resultats - informe'!$E$29),0,1,1)</f>
        <v>0</v>
      </c>
      <c r="N1237" s="366">
        <f>+VLOOKUP(D1237,'Resultats - informe'!$Y$18:$AG$42,'Introducció dades consum'!K1237+1,0)</f>
        <v>0</v>
      </c>
      <c r="O1237" s="370" cm="1">
        <f t="array" ref="O1237">+_xlfn.SWITCH(MONTH(C1237),1,1,2,1,3,1,4,2,5,2,6,3,7,3,8,3,9,3,10,2,11,2,12,1,2)</f>
        <v>1</v>
      </c>
      <c r="P1237" s="43"/>
      <c r="AS1237" s="10"/>
      <c r="AT1237" s="10"/>
      <c r="AU1237" s="10"/>
      <c r="AV1237" s="10"/>
      <c r="AW1237" s="10"/>
      <c r="AX1237" s="10"/>
      <c r="AY1237" s="10"/>
      <c r="AZ1237" s="10"/>
      <c r="BA1237" s="10"/>
      <c r="BB1237" s="10"/>
      <c r="BC1237" s="10"/>
      <c r="BD1237" s="10"/>
      <c r="BE1237" s="10"/>
      <c r="BF1237" s="10"/>
      <c r="BG1237" s="10"/>
      <c r="BH1237" s="10"/>
      <c r="BI1237" s="10"/>
      <c r="BJ1237" s="10"/>
      <c r="BK1237" s="10"/>
      <c r="BL1237" s="10"/>
      <c r="BM1237" s="10"/>
      <c r="BN1237" s="10"/>
      <c r="BO1237" s="10"/>
      <c r="BP1237" s="10"/>
      <c r="BQ1237" s="10"/>
      <c r="BR1237" s="10"/>
      <c r="BS1237" s="10"/>
      <c r="BT1237" s="10"/>
      <c r="BU1237" s="10"/>
    </row>
    <row r="1238" spans="1:73" ht="18" x14ac:dyDescent="0.35">
      <c r="A1238" s="43"/>
      <c r="C1238" s="393"/>
      <c r="E1238" s="394"/>
      <c r="F1238" s="394">
        <v>1.222</v>
      </c>
      <c r="G1238" s="394"/>
      <c r="H1238" s="8" t="s">
        <v>235</v>
      </c>
      <c r="I1238" s="368">
        <f t="shared" si="58"/>
        <v>0</v>
      </c>
      <c r="J1238" s="365">
        <f t="shared" si="57"/>
        <v>0</v>
      </c>
      <c r="K1238" s="369">
        <f t="shared" si="59"/>
        <v>6</v>
      </c>
      <c r="L1238" s="369">
        <f>+IF((C1238&gt;='Resultats - informe'!$E$16)*(C1238&lt;='Resultats - informe'!$G$16),1,0)</f>
        <v>1</v>
      </c>
      <c r="M1238" s="369" cm="1">
        <f t="array" ref="M1238">+_xlfn.IFS((C1238&gt;='Resultats - informe'!$D$26)*(C1238&lt;='Resultats - informe'!$E$26),0,(C1238&gt;='Resultats - informe'!$D$27)*(C1238&lt;='Resultats - informe'!$E$27),0,(C1238&gt;='Resultats - informe'!$D$28)*(C1238&lt;='Resultats - informe'!$E$28),0,(C1238&gt;='Resultats - informe'!$D$29)*(C1238&lt;='Resultats - informe'!$E$29),0,1,1)</f>
        <v>0</v>
      </c>
      <c r="N1238" s="366">
        <f>+VLOOKUP(D1238,'Resultats - informe'!$Y$18:$AG$42,'Introducció dades consum'!K1238+1,0)</f>
        <v>0</v>
      </c>
      <c r="O1238" s="370" cm="1">
        <f t="array" ref="O1238">+_xlfn.SWITCH(MONTH(C1238),1,1,2,1,3,1,4,2,5,2,6,3,7,3,8,3,9,3,10,2,11,2,12,1,2)</f>
        <v>1</v>
      </c>
      <c r="P1238" s="43"/>
      <c r="AS1238" s="10"/>
      <c r="AT1238" s="10"/>
      <c r="AU1238" s="10"/>
      <c r="AV1238" s="10"/>
      <c r="AW1238" s="10"/>
      <c r="AX1238" s="10"/>
      <c r="AY1238" s="10"/>
      <c r="AZ1238" s="10"/>
      <c r="BA1238" s="10"/>
      <c r="BB1238" s="10"/>
      <c r="BC1238" s="10"/>
      <c r="BD1238" s="10"/>
      <c r="BE1238" s="10"/>
      <c r="BF1238" s="10"/>
      <c r="BG1238" s="10"/>
      <c r="BH1238" s="10"/>
      <c r="BI1238" s="10"/>
      <c r="BJ1238" s="10"/>
      <c r="BK1238" s="10"/>
      <c r="BL1238" s="10"/>
      <c r="BM1238" s="10"/>
      <c r="BN1238" s="10"/>
      <c r="BO1238" s="10"/>
      <c r="BP1238" s="10"/>
      <c r="BQ1238" s="10"/>
      <c r="BR1238" s="10"/>
      <c r="BS1238" s="10"/>
      <c r="BT1238" s="10"/>
      <c r="BU1238" s="10"/>
    </row>
    <row r="1239" spans="1:73" ht="18" x14ac:dyDescent="0.35">
      <c r="A1239" s="43"/>
      <c r="C1239" s="393"/>
      <c r="E1239" s="394"/>
      <c r="F1239" s="394">
        <v>0.32200000000000001</v>
      </c>
      <c r="G1239" s="394"/>
      <c r="H1239" s="8" t="s">
        <v>235</v>
      </c>
      <c r="I1239" s="368">
        <f t="shared" si="58"/>
        <v>0</v>
      </c>
      <c r="J1239" s="365">
        <f t="shared" si="57"/>
        <v>0</v>
      </c>
      <c r="K1239" s="369">
        <f t="shared" si="59"/>
        <v>6</v>
      </c>
      <c r="L1239" s="369">
        <f>+IF((C1239&gt;='Resultats - informe'!$E$16)*(C1239&lt;='Resultats - informe'!$G$16),1,0)</f>
        <v>1</v>
      </c>
      <c r="M1239" s="369" cm="1">
        <f t="array" ref="M1239">+_xlfn.IFS((C1239&gt;='Resultats - informe'!$D$26)*(C1239&lt;='Resultats - informe'!$E$26),0,(C1239&gt;='Resultats - informe'!$D$27)*(C1239&lt;='Resultats - informe'!$E$27),0,(C1239&gt;='Resultats - informe'!$D$28)*(C1239&lt;='Resultats - informe'!$E$28),0,(C1239&gt;='Resultats - informe'!$D$29)*(C1239&lt;='Resultats - informe'!$E$29),0,1,1)</f>
        <v>0</v>
      </c>
      <c r="N1239" s="366">
        <f>+VLOOKUP(D1239,'Resultats - informe'!$Y$18:$AG$42,'Introducció dades consum'!K1239+1,0)</f>
        <v>0</v>
      </c>
      <c r="O1239" s="370" cm="1">
        <f t="array" ref="O1239">+_xlfn.SWITCH(MONTH(C1239),1,1,2,1,3,1,4,2,5,2,6,3,7,3,8,3,9,3,10,2,11,2,12,1,2)</f>
        <v>1</v>
      </c>
      <c r="P1239" s="43"/>
      <c r="AS1239" s="10"/>
      <c r="AT1239" s="10"/>
      <c r="AU1239" s="10"/>
      <c r="AV1239" s="10"/>
      <c r="AW1239" s="10"/>
      <c r="AX1239" s="10"/>
      <c r="AY1239" s="10"/>
      <c r="AZ1239" s="10"/>
      <c r="BA1239" s="10"/>
      <c r="BB1239" s="10"/>
      <c r="BC1239" s="10"/>
      <c r="BD1239" s="10"/>
      <c r="BE1239" s="10"/>
      <c r="BF1239" s="10"/>
      <c r="BG1239" s="10"/>
      <c r="BH1239" s="10"/>
      <c r="BI1239" s="10"/>
      <c r="BJ1239" s="10"/>
      <c r="BK1239" s="10"/>
      <c r="BL1239" s="10"/>
      <c r="BM1239" s="10"/>
      <c r="BN1239" s="10"/>
      <c r="BO1239" s="10"/>
      <c r="BP1239" s="10"/>
      <c r="BQ1239" s="10"/>
      <c r="BR1239" s="10"/>
      <c r="BS1239" s="10"/>
      <c r="BT1239" s="10"/>
      <c r="BU1239" s="10"/>
    </row>
    <row r="1240" spans="1:73" ht="18" x14ac:dyDescent="0.35">
      <c r="A1240" s="43"/>
      <c r="C1240" s="393"/>
      <c r="E1240" s="394"/>
      <c r="F1240" s="394">
        <v>0.38200000000000001</v>
      </c>
      <c r="G1240" s="394"/>
      <c r="H1240" s="8" t="s">
        <v>235</v>
      </c>
      <c r="I1240" s="368">
        <f t="shared" si="58"/>
        <v>0</v>
      </c>
      <c r="J1240" s="365">
        <f t="shared" si="57"/>
        <v>0</v>
      </c>
      <c r="K1240" s="369">
        <f t="shared" si="59"/>
        <v>6</v>
      </c>
      <c r="L1240" s="369">
        <f>+IF((C1240&gt;='Resultats - informe'!$E$16)*(C1240&lt;='Resultats - informe'!$G$16),1,0)</f>
        <v>1</v>
      </c>
      <c r="M1240" s="369" cm="1">
        <f t="array" ref="M1240">+_xlfn.IFS((C1240&gt;='Resultats - informe'!$D$26)*(C1240&lt;='Resultats - informe'!$E$26),0,(C1240&gt;='Resultats - informe'!$D$27)*(C1240&lt;='Resultats - informe'!$E$27),0,(C1240&gt;='Resultats - informe'!$D$28)*(C1240&lt;='Resultats - informe'!$E$28),0,(C1240&gt;='Resultats - informe'!$D$29)*(C1240&lt;='Resultats - informe'!$E$29),0,1,1)</f>
        <v>0</v>
      </c>
      <c r="N1240" s="366">
        <f>+VLOOKUP(D1240,'Resultats - informe'!$Y$18:$AG$42,'Introducció dades consum'!K1240+1,0)</f>
        <v>0</v>
      </c>
      <c r="O1240" s="370" cm="1">
        <f t="array" ref="O1240">+_xlfn.SWITCH(MONTH(C1240),1,1,2,1,3,1,4,2,5,2,6,3,7,3,8,3,9,3,10,2,11,2,12,1,2)</f>
        <v>1</v>
      </c>
      <c r="P1240" s="43"/>
      <c r="AS1240" s="10"/>
      <c r="AT1240" s="10"/>
      <c r="AU1240" s="10"/>
      <c r="AV1240" s="10"/>
      <c r="AW1240" s="10"/>
      <c r="AX1240" s="10"/>
      <c r="AY1240" s="10"/>
      <c r="AZ1240" s="10"/>
      <c r="BA1240" s="10"/>
      <c r="BB1240" s="10"/>
      <c r="BC1240" s="10"/>
      <c r="BD1240" s="10"/>
      <c r="BE1240" s="10"/>
      <c r="BF1240" s="10"/>
      <c r="BG1240" s="10"/>
      <c r="BH1240" s="10"/>
      <c r="BI1240" s="10"/>
      <c r="BJ1240" s="10"/>
      <c r="BK1240" s="10"/>
      <c r="BL1240" s="10"/>
      <c r="BM1240" s="10"/>
      <c r="BN1240" s="10"/>
      <c r="BO1240" s="10"/>
      <c r="BP1240" s="10"/>
      <c r="BQ1240" s="10"/>
      <c r="BR1240" s="10"/>
      <c r="BS1240" s="10"/>
      <c r="BT1240" s="10"/>
      <c r="BU1240" s="10"/>
    </row>
    <row r="1241" spans="1:73" ht="18" x14ac:dyDescent="0.35">
      <c r="A1241" s="43"/>
      <c r="C1241" s="393"/>
      <c r="E1241" s="394"/>
      <c r="F1241" s="394">
        <v>1.444</v>
      </c>
      <c r="G1241" s="394"/>
      <c r="H1241" s="8" t="s">
        <v>61</v>
      </c>
      <c r="I1241" s="368">
        <f t="shared" si="58"/>
        <v>0</v>
      </c>
      <c r="J1241" s="365">
        <f t="shared" si="57"/>
        <v>0</v>
      </c>
      <c r="K1241" s="369">
        <f t="shared" si="59"/>
        <v>6</v>
      </c>
      <c r="L1241" s="369">
        <f>+IF((C1241&gt;='Resultats - informe'!$E$16)*(C1241&lt;='Resultats - informe'!$G$16),1,0)</f>
        <v>1</v>
      </c>
      <c r="M1241" s="369" cm="1">
        <f t="array" ref="M1241">+_xlfn.IFS((C1241&gt;='Resultats - informe'!$D$26)*(C1241&lt;='Resultats - informe'!$E$26),0,(C1241&gt;='Resultats - informe'!$D$27)*(C1241&lt;='Resultats - informe'!$E$27),0,(C1241&gt;='Resultats - informe'!$D$28)*(C1241&lt;='Resultats - informe'!$E$28),0,(C1241&gt;='Resultats - informe'!$D$29)*(C1241&lt;='Resultats - informe'!$E$29),0,1,1)</f>
        <v>0</v>
      </c>
      <c r="N1241" s="366">
        <f>+VLOOKUP(D1241,'Resultats - informe'!$Y$18:$AG$42,'Introducció dades consum'!K1241+1,0)</f>
        <v>0</v>
      </c>
      <c r="O1241" s="370" cm="1">
        <f t="array" ref="O1241">+_xlfn.SWITCH(MONTH(C1241),1,1,2,1,3,1,4,2,5,2,6,3,7,3,8,3,9,3,10,2,11,2,12,1,2)</f>
        <v>1</v>
      </c>
      <c r="P1241" s="43"/>
      <c r="AS1241" s="10"/>
      <c r="AT1241" s="10"/>
      <c r="AU1241" s="10"/>
      <c r="AV1241" s="10"/>
      <c r="AW1241" s="10"/>
      <c r="AX1241" s="10"/>
      <c r="AY1241" s="10"/>
      <c r="AZ1241" s="10"/>
      <c r="BA1241" s="10"/>
      <c r="BB1241" s="10"/>
      <c r="BC1241" s="10"/>
      <c r="BD1241" s="10"/>
      <c r="BE1241" s="10"/>
      <c r="BF1241" s="10"/>
      <c r="BG1241" s="10"/>
      <c r="BH1241" s="10"/>
      <c r="BI1241" s="10"/>
      <c r="BJ1241" s="10"/>
      <c r="BK1241" s="10"/>
      <c r="BL1241" s="10"/>
      <c r="BM1241" s="10"/>
      <c r="BN1241" s="10"/>
      <c r="BO1241" s="10"/>
      <c r="BP1241" s="10"/>
      <c r="BQ1241" s="10"/>
      <c r="BR1241" s="10"/>
      <c r="BS1241" s="10"/>
      <c r="BT1241" s="10"/>
      <c r="BU1241" s="10"/>
    </row>
    <row r="1242" spans="1:73" ht="18" x14ac:dyDescent="0.35">
      <c r="A1242" s="43"/>
      <c r="C1242" s="393"/>
      <c r="E1242" s="394"/>
      <c r="F1242" s="394">
        <v>0.79700000000000004</v>
      </c>
      <c r="G1242" s="394"/>
      <c r="H1242" s="8" t="s">
        <v>235</v>
      </c>
      <c r="I1242" s="368">
        <f t="shared" si="58"/>
        <v>0</v>
      </c>
      <c r="J1242" s="365">
        <f t="shared" si="57"/>
        <v>0</v>
      </c>
      <c r="K1242" s="369">
        <f t="shared" si="59"/>
        <v>6</v>
      </c>
      <c r="L1242" s="369">
        <f>+IF((C1242&gt;='Resultats - informe'!$E$16)*(C1242&lt;='Resultats - informe'!$G$16),1,0)</f>
        <v>1</v>
      </c>
      <c r="M1242" s="369" cm="1">
        <f t="array" ref="M1242">+_xlfn.IFS((C1242&gt;='Resultats - informe'!$D$26)*(C1242&lt;='Resultats - informe'!$E$26),0,(C1242&gt;='Resultats - informe'!$D$27)*(C1242&lt;='Resultats - informe'!$E$27),0,(C1242&gt;='Resultats - informe'!$D$28)*(C1242&lt;='Resultats - informe'!$E$28),0,(C1242&gt;='Resultats - informe'!$D$29)*(C1242&lt;='Resultats - informe'!$E$29),0,1,1)</f>
        <v>0</v>
      </c>
      <c r="N1242" s="366">
        <f>+VLOOKUP(D1242,'Resultats - informe'!$Y$18:$AG$42,'Introducció dades consum'!K1242+1,0)</f>
        <v>0</v>
      </c>
      <c r="O1242" s="370" cm="1">
        <f t="array" ref="O1242">+_xlfn.SWITCH(MONTH(C1242),1,1,2,1,3,1,4,2,5,2,6,3,7,3,8,3,9,3,10,2,11,2,12,1,2)</f>
        <v>1</v>
      </c>
      <c r="P1242" s="43"/>
      <c r="AS1242" s="10"/>
      <c r="AT1242" s="10"/>
      <c r="AU1242" s="10"/>
      <c r="AV1242" s="10"/>
      <c r="AW1242" s="10"/>
      <c r="AX1242" s="10"/>
      <c r="AY1242" s="10"/>
      <c r="AZ1242" s="10"/>
      <c r="BA1242" s="10"/>
      <c r="BB1242" s="10"/>
      <c r="BC1242" s="10"/>
      <c r="BD1242" s="10"/>
      <c r="BE1242" s="10"/>
      <c r="BF1242" s="10"/>
      <c r="BG1242" s="10"/>
      <c r="BH1242" s="10"/>
      <c r="BI1242" s="10"/>
      <c r="BJ1242" s="10"/>
      <c r="BK1242" s="10"/>
      <c r="BL1242" s="10"/>
      <c r="BM1242" s="10"/>
      <c r="BN1242" s="10"/>
      <c r="BO1242" s="10"/>
      <c r="BP1242" s="10"/>
      <c r="BQ1242" s="10"/>
      <c r="BR1242" s="10"/>
      <c r="BS1242" s="10"/>
      <c r="BT1242" s="10"/>
      <c r="BU1242" s="10"/>
    </row>
    <row r="1243" spans="1:73" ht="18" x14ac:dyDescent="0.35">
      <c r="A1243" s="43"/>
      <c r="C1243" s="393"/>
      <c r="E1243" s="394"/>
      <c r="F1243" s="394">
        <v>0.79300000000000004</v>
      </c>
      <c r="G1243" s="394"/>
      <c r="H1243" s="8" t="s">
        <v>235</v>
      </c>
      <c r="I1243" s="368">
        <f t="shared" si="58"/>
        <v>0</v>
      </c>
      <c r="J1243" s="365">
        <f t="shared" si="57"/>
        <v>0</v>
      </c>
      <c r="K1243" s="369">
        <f t="shared" si="59"/>
        <v>6</v>
      </c>
      <c r="L1243" s="369">
        <f>+IF((C1243&gt;='Resultats - informe'!$E$16)*(C1243&lt;='Resultats - informe'!$G$16),1,0)</f>
        <v>1</v>
      </c>
      <c r="M1243" s="369" cm="1">
        <f t="array" ref="M1243">+_xlfn.IFS((C1243&gt;='Resultats - informe'!$D$26)*(C1243&lt;='Resultats - informe'!$E$26),0,(C1243&gt;='Resultats - informe'!$D$27)*(C1243&lt;='Resultats - informe'!$E$27),0,(C1243&gt;='Resultats - informe'!$D$28)*(C1243&lt;='Resultats - informe'!$E$28),0,(C1243&gt;='Resultats - informe'!$D$29)*(C1243&lt;='Resultats - informe'!$E$29),0,1,1)</f>
        <v>0</v>
      </c>
      <c r="N1243" s="366">
        <f>+VLOOKUP(D1243,'Resultats - informe'!$Y$18:$AG$42,'Introducció dades consum'!K1243+1,0)</f>
        <v>0</v>
      </c>
      <c r="O1243" s="370" cm="1">
        <f t="array" ref="O1243">+_xlfn.SWITCH(MONTH(C1243),1,1,2,1,3,1,4,2,5,2,6,3,7,3,8,3,9,3,10,2,11,2,12,1,2)</f>
        <v>1</v>
      </c>
      <c r="P1243" s="43"/>
      <c r="AS1243" s="10"/>
      <c r="AT1243" s="10"/>
      <c r="AU1243" s="10"/>
      <c r="AV1243" s="10"/>
      <c r="AW1243" s="10"/>
      <c r="AX1243" s="10"/>
      <c r="AY1243" s="10"/>
      <c r="AZ1243" s="10"/>
      <c r="BA1243" s="10"/>
      <c r="BB1243" s="10"/>
      <c r="BC1243" s="10"/>
      <c r="BD1243" s="10"/>
      <c r="BE1243" s="10"/>
      <c r="BF1243" s="10"/>
      <c r="BG1243" s="10"/>
      <c r="BH1243" s="10"/>
      <c r="BI1243" s="10"/>
      <c r="BJ1243" s="10"/>
      <c r="BK1243" s="10"/>
      <c r="BL1243" s="10"/>
      <c r="BM1243" s="10"/>
      <c r="BN1243" s="10"/>
      <c r="BO1243" s="10"/>
      <c r="BP1243" s="10"/>
      <c r="BQ1243" s="10"/>
      <c r="BR1243" s="10"/>
      <c r="BS1243" s="10"/>
      <c r="BT1243" s="10"/>
      <c r="BU1243" s="10"/>
    </row>
    <row r="1244" spans="1:73" ht="18" x14ac:dyDescent="0.35">
      <c r="A1244" s="43"/>
      <c r="C1244" s="393"/>
      <c r="E1244" s="394"/>
      <c r="F1244" s="394">
        <v>0.439</v>
      </c>
      <c r="G1244" s="394"/>
      <c r="H1244" s="8" t="s">
        <v>61</v>
      </c>
      <c r="I1244" s="368">
        <f t="shared" si="58"/>
        <v>0</v>
      </c>
      <c r="J1244" s="365">
        <f t="shared" si="57"/>
        <v>0</v>
      </c>
      <c r="K1244" s="369">
        <f t="shared" si="59"/>
        <v>6</v>
      </c>
      <c r="L1244" s="369">
        <f>+IF((C1244&gt;='Resultats - informe'!$E$16)*(C1244&lt;='Resultats - informe'!$G$16),1,0)</f>
        <v>1</v>
      </c>
      <c r="M1244" s="369" cm="1">
        <f t="array" ref="M1244">+_xlfn.IFS((C1244&gt;='Resultats - informe'!$D$26)*(C1244&lt;='Resultats - informe'!$E$26),0,(C1244&gt;='Resultats - informe'!$D$27)*(C1244&lt;='Resultats - informe'!$E$27),0,(C1244&gt;='Resultats - informe'!$D$28)*(C1244&lt;='Resultats - informe'!$E$28),0,(C1244&gt;='Resultats - informe'!$D$29)*(C1244&lt;='Resultats - informe'!$E$29),0,1,1)</f>
        <v>0</v>
      </c>
      <c r="N1244" s="366">
        <f>+VLOOKUP(D1244,'Resultats - informe'!$Y$18:$AG$42,'Introducció dades consum'!K1244+1,0)</f>
        <v>0</v>
      </c>
      <c r="O1244" s="370" cm="1">
        <f t="array" ref="O1244">+_xlfn.SWITCH(MONTH(C1244),1,1,2,1,3,1,4,2,5,2,6,3,7,3,8,3,9,3,10,2,11,2,12,1,2)</f>
        <v>1</v>
      </c>
      <c r="P1244" s="43"/>
      <c r="AS1244" s="10"/>
      <c r="AT1244" s="10"/>
      <c r="AU1244" s="10"/>
      <c r="AV1244" s="10"/>
      <c r="AW1244" s="10"/>
      <c r="AX1244" s="10"/>
      <c r="AY1244" s="10"/>
      <c r="AZ1244" s="10"/>
      <c r="BA1244" s="10"/>
      <c r="BB1244" s="10"/>
      <c r="BC1244" s="10"/>
      <c r="BD1244" s="10"/>
      <c r="BE1244" s="10"/>
      <c r="BF1244" s="10"/>
      <c r="BG1244" s="10"/>
      <c r="BH1244" s="10"/>
      <c r="BI1244" s="10"/>
      <c r="BJ1244" s="10"/>
      <c r="BK1244" s="10"/>
      <c r="BL1244" s="10"/>
      <c r="BM1244" s="10"/>
      <c r="BN1244" s="10"/>
      <c r="BO1244" s="10"/>
      <c r="BP1244" s="10"/>
      <c r="BQ1244" s="10"/>
      <c r="BR1244" s="10"/>
      <c r="BS1244" s="10"/>
      <c r="BT1244" s="10"/>
      <c r="BU1244" s="10"/>
    </row>
    <row r="1245" spans="1:73" ht="18" x14ac:dyDescent="0.35">
      <c r="A1245" s="43"/>
      <c r="C1245" s="393"/>
      <c r="E1245" s="394"/>
      <c r="F1245" s="394">
        <v>0</v>
      </c>
      <c r="G1245" s="394"/>
      <c r="H1245" s="8" t="s">
        <v>235</v>
      </c>
      <c r="I1245" s="368">
        <f t="shared" si="58"/>
        <v>0</v>
      </c>
      <c r="J1245" s="365">
        <f t="shared" si="57"/>
        <v>0</v>
      </c>
      <c r="K1245" s="369">
        <f t="shared" si="59"/>
        <v>6</v>
      </c>
      <c r="L1245" s="369">
        <f>+IF((C1245&gt;='Resultats - informe'!$E$16)*(C1245&lt;='Resultats - informe'!$G$16),1,0)</f>
        <v>1</v>
      </c>
      <c r="M1245" s="369" cm="1">
        <f t="array" ref="M1245">+_xlfn.IFS((C1245&gt;='Resultats - informe'!$D$26)*(C1245&lt;='Resultats - informe'!$E$26),0,(C1245&gt;='Resultats - informe'!$D$27)*(C1245&lt;='Resultats - informe'!$E$27),0,(C1245&gt;='Resultats - informe'!$D$28)*(C1245&lt;='Resultats - informe'!$E$28),0,(C1245&gt;='Resultats - informe'!$D$29)*(C1245&lt;='Resultats - informe'!$E$29),0,1,1)</f>
        <v>0</v>
      </c>
      <c r="N1245" s="366">
        <f>+VLOOKUP(D1245,'Resultats - informe'!$Y$18:$AG$42,'Introducció dades consum'!K1245+1,0)</f>
        <v>0</v>
      </c>
      <c r="O1245" s="370" cm="1">
        <f t="array" ref="O1245">+_xlfn.SWITCH(MONTH(C1245),1,1,2,1,3,1,4,2,5,2,6,3,7,3,8,3,9,3,10,2,11,2,12,1,2)</f>
        <v>1</v>
      </c>
      <c r="P1245" s="43"/>
      <c r="AS1245" s="10"/>
      <c r="AT1245" s="10"/>
      <c r="AU1245" s="10"/>
      <c r="AV1245" s="10"/>
      <c r="AW1245" s="10"/>
      <c r="AX1245" s="10"/>
      <c r="AY1245" s="10"/>
      <c r="AZ1245" s="10"/>
      <c r="BA1245" s="10"/>
      <c r="BB1245" s="10"/>
      <c r="BC1245" s="10"/>
      <c r="BD1245" s="10"/>
      <c r="BE1245" s="10"/>
      <c r="BF1245" s="10"/>
      <c r="BG1245" s="10"/>
      <c r="BH1245" s="10"/>
      <c r="BI1245" s="10"/>
      <c r="BJ1245" s="10"/>
      <c r="BK1245" s="10"/>
      <c r="BL1245" s="10"/>
      <c r="BM1245" s="10"/>
      <c r="BN1245" s="10"/>
      <c r="BO1245" s="10"/>
      <c r="BP1245" s="10"/>
      <c r="BQ1245" s="10"/>
      <c r="BR1245" s="10"/>
      <c r="BS1245" s="10"/>
      <c r="BT1245" s="10"/>
      <c r="BU1245" s="10"/>
    </row>
    <row r="1246" spans="1:73" ht="18" x14ac:dyDescent="0.35">
      <c r="A1246" s="43"/>
      <c r="C1246" s="393"/>
      <c r="E1246" s="394"/>
      <c r="F1246" s="394">
        <v>0</v>
      </c>
      <c r="G1246" s="394"/>
      <c r="H1246" s="8" t="s">
        <v>235</v>
      </c>
      <c r="I1246" s="368">
        <f t="shared" si="58"/>
        <v>0</v>
      </c>
      <c r="J1246" s="365">
        <f t="shared" si="57"/>
        <v>0</v>
      </c>
      <c r="K1246" s="369">
        <f t="shared" si="59"/>
        <v>6</v>
      </c>
      <c r="L1246" s="369">
        <f>+IF((C1246&gt;='Resultats - informe'!$E$16)*(C1246&lt;='Resultats - informe'!$G$16),1,0)</f>
        <v>1</v>
      </c>
      <c r="M1246" s="369" cm="1">
        <f t="array" ref="M1246">+_xlfn.IFS((C1246&gt;='Resultats - informe'!$D$26)*(C1246&lt;='Resultats - informe'!$E$26),0,(C1246&gt;='Resultats - informe'!$D$27)*(C1246&lt;='Resultats - informe'!$E$27),0,(C1246&gt;='Resultats - informe'!$D$28)*(C1246&lt;='Resultats - informe'!$E$28),0,(C1246&gt;='Resultats - informe'!$D$29)*(C1246&lt;='Resultats - informe'!$E$29),0,1,1)</f>
        <v>0</v>
      </c>
      <c r="N1246" s="366">
        <f>+VLOOKUP(D1246,'Resultats - informe'!$Y$18:$AG$42,'Introducció dades consum'!K1246+1,0)</f>
        <v>0</v>
      </c>
      <c r="O1246" s="370" cm="1">
        <f t="array" ref="O1246">+_xlfn.SWITCH(MONTH(C1246),1,1,2,1,3,1,4,2,5,2,6,3,7,3,8,3,9,3,10,2,11,2,12,1,2)</f>
        <v>1</v>
      </c>
      <c r="P1246" s="43"/>
      <c r="AS1246" s="10"/>
      <c r="AT1246" s="10"/>
      <c r="AU1246" s="10"/>
      <c r="AV1246" s="10"/>
      <c r="AW1246" s="10"/>
      <c r="AX1246" s="10"/>
      <c r="AY1246" s="10"/>
      <c r="AZ1246" s="10"/>
      <c r="BA1246" s="10"/>
      <c r="BB1246" s="10"/>
      <c r="BC1246" s="10"/>
      <c r="BD1246" s="10"/>
      <c r="BE1246" s="10"/>
      <c r="BF1246" s="10"/>
      <c r="BG1246" s="10"/>
      <c r="BH1246" s="10"/>
      <c r="BI1246" s="10"/>
      <c r="BJ1246" s="10"/>
      <c r="BK1246" s="10"/>
      <c r="BL1246" s="10"/>
      <c r="BM1246" s="10"/>
      <c r="BN1246" s="10"/>
      <c r="BO1246" s="10"/>
      <c r="BP1246" s="10"/>
      <c r="BQ1246" s="10"/>
      <c r="BR1246" s="10"/>
      <c r="BS1246" s="10"/>
      <c r="BT1246" s="10"/>
      <c r="BU1246" s="10"/>
    </row>
    <row r="1247" spans="1:73" ht="18" x14ac:dyDescent="0.35">
      <c r="A1247" s="43"/>
      <c r="C1247" s="393"/>
      <c r="E1247" s="394"/>
      <c r="F1247" s="394">
        <v>0</v>
      </c>
      <c r="G1247" s="394"/>
      <c r="H1247" s="8" t="s">
        <v>235</v>
      </c>
      <c r="I1247" s="368">
        <f t="shared" si="58"/>
        <v>0</v>
      </c>
      <c r="J1247" s="365">
        <f t="shared" si="57"/>
        <v>0</v>
      </c>
      <c r="K1247" s="369">
        <f t="shared" si="59"/>
        <v>6</v>
      </c>
      <c r="L1247" s="369">
        <f>+IF((C1247&gt;='Resultats - informe'!$E$16)*(C1247&lt;='Resultats - informe'!$G$16),1,0)</f>
        <v>1</v>
      </c>
      <c r="M1247" s="369" cm="1">
        <f t="array" ref="M1247">+_xlfn.IFS((C1247&gt;='Resultats - informe'!$D$26)*(C1247&lt;='Resultats - informe'!$E$26),0,(C1247&gt;='Resultats - informe'!$D$27)*(C1247&lt;='Resultats - informe'!$E$27),0,(C1247&gt;='Resultats - informe'!$D$28)*(C1247&lt;='Resultats - informe'!$E$28),0,(C1247&gt;='Resultats - informe'!$D$29)*(C1247&lt;='Resultats - informe'!$E$29),0,1,1)</f>
        <v>0</v>
      </c>
      <c r="N1247" s="366">
        <f>+VLOOKUP(D1247,'Resultats - informe'!$Y$18:$AG$42,'Introducció dades consum'!K1247+1,0)</f>
        <v>0</v>
      </c>
      <c r="O1247" s="370" cm="1">
        <f t="array" ref="O1247">+_xlfn.SWITCH(MONTH(C1247),1,1,2,1,3,1,4,2,5,2,6,3,7,3,8,3,9,3,10,2,11,2,12,1,2)</f>
        <v>1</v>
      </c>
      <c r="P1247" s="43"/>
      <c r="AS1247" s="10"/>
      <c r="AT1247" s="10"/>
      <c r="AU1247" s="10"/>
      <c r="AV1247" s="10"/>
      <c r="AW1247" s="10"/>
      <c r="AX1247" s="10"/>
      <c r="AY1247" s="10"/>
      <c r="AZ1247" s="10"/>
      <c r="BA1247" s="10"/>
      <c r="BB1247" s="10"/>
      <c r="BC1247" s="10"/>
      <c r="BD1247" s="10"/>
      <c r="BE1247" s="10"/>
      <c r="BF1247" s="10"/>
      <c r="BG1247" s="10"/>
      <c r="BH1247" s="10"/>
      <c r="BI1247" s="10"/>
      <c r="BJ1247" s="10"/>
      <c r="BK1247" s="10"/>
      <c r="BL1247" s="10"/>
      <c r="BM1247" s="10"/>
      <c r="BN1247" s="10"/>
      <c r="BO1247" s="10"/>
      <c r="BP1247" s="10"/>
      <c r="BQ1247" s="10"/>
      <c r="BR1247" s="10"/>
      <c r="BS1247" s="10"/>
      <c r="BT1247" s="10"/>
      <c r="BU1247" s="10"/>
    </row>
    <row r="1248" spans="1:73" ht="18" x14ac:dyDescent="0.35">
      <c r="A1248" s="43"/>
      <c r="C1248" s="393"/>
      <c r="E1248" s="394"/>
      <c r="F1248" s="394">
        <v>0</v>
      </c>
      <c r="G1248" s="394"/>
      <c r="H1248" s="8" t="s">
        <v>235</v>
      </c>
      <c r="I1248" s="368">
        <f t="shared" si="58"/>
        <v>0</v>
      </c>
      <c r="J1248" s="365">
        <f t="shared" si="57"/>
        <v>0</v>
      </c>
      <c r="K1248" s="369">
        <f t="shared" si="59"/>
        <v>6</v>
      </c>
      <c r="L1248" s="369">
        <f>+IF((C1248&gt;='Resultats - informe'!$E$16)*(C1248&lt;='Resultats - informe'!$G$16),1,0)</f>
        <v>1</v>
      </c>
      <c r="M1248" s="369" cm="1">
        <f t="array" ref="M1248">+_xlfn.IFS((C1248&gt;='Resultats - informe'!$D$26)*(C1248&lt;='Resultats - informe'!$E$26),0,(C1248&gt;='Resultats - informe'!$D$27)*(C1248&lt;='Resultats - informe'!$E$27),0,(C1248&gt;='Resultats - informe'!$D$28)*(C1248&lt;='Resultats - informe'!$E$28),0,(C1248&gt;='Resultats - informe'!$D$29)*(C1248&lt;='Resultats - informe'!$E$29),0,1,1)</f>
        <v>0</v>
      </c>
      <c r="N1248" s="366">
        <f>+VLOOKUP(D1248,'Resultats - informe'!$Y$18:$AG$42,'Introducció dades consum'!K1248+1,0)</f>
        <v>0</v>
      </c>
      <c r="O1248" s="370" cm="1">
        <f t="array" ref="O1248">+_xlfn.SWITCH(MONTH(C1248),1,1,2,1,3,1,4,2,5,2,6,3,7,3,8,3,9,3,10,2,11,2,12,1,2)</f>
        <v>1</v>
      </c>
      <c r="P1248" s="43"/>
      <c r="AS1248" s="10"/>
      <c r="AT1248" s="10"/>
      <c r="AU1248" s="10"/>
      <c r="AV1248" s="10"/>
      <c r="AW1248" s="10"/>
      <c r="AX1248" s="10"/>
      <c r="AY1248" s="10"/>
      <c r="AZ1248" s="10"/>
      <c r="BA1248" s="10"/>
      <c r="BB1248" s="10"/>
      <c r="BC1248" s="10"/>
      <c r="BD1248" s="10"/>
      <c r="BE1248" s="10"/>
      <c r="BF1248" s="10"/>
      <c r="BG1248" s="10"/>
      <c r="BH1248" s="10"/>
      <c r="BI1248" s="10"/>
      <c r="BJ1248" s="10"/>
      <c r="BK1248" s="10"/>
      <c r="BL1248" s="10"/>
      <c r="BM1248" s="10"/>
      <c r="BN1248" s="10"/>
      <c r="BO1248" s="10"/>
      <c r="BP1248" s="10"/>
      <c r="BQ1248" s="10"/>
      <c r="BR1248" s="10"/>
      <c r="BS1248" s="10"/>
      <c r="BT1248" s="10"/>
      <c r="BU1248" s="10"/>
    </row>
    <row r="1249" spans="1:73" ht="18" x14ac:dyDescent="0.35">
      <c r="A1249" s="43"/>
      <c r="C1249" s="393"/>
      <c r="E1249" s="394"/>
      <c r="F1249" s="394">
        <v>0</v>
      </c>
      <c r="G1249" s="394"/>
      <c r="H1249" s="8" t="s">
        <v>235</v>
      </c>
      <c r="I1249" s="368">
        <f t="shared" si="58"/>
        <v>0</v>
      </c>
      <c r="J1249" s="365">
        <f t="shared" si="57"/>
        <v>0</v>
      </c>
      <c r="K1249" s="369">
        <f t="shared" si="59"/>
        <v>6</v>
      </c>
      <c r="L1249" s="369">
        <f>+IF((C1249&gt;='Resultats - informe'!$E$16)*(C1249&lt;='Resultats - informe'!$G$16),1,0)</f>
        <v>1</v>
      </c>
      <c r="M1249" s="369" cm="1">
        <f t="array" ref="M1249">+_xlfn.IFS((C1249&gt;='Resultats - informe'!$D$26)*(C1249&lt;='Resultats - informe'!$E$26),0,(C1249&gt;='Resultats - informe'!$D$27)*(C1249&lt;='Resultats - informe'!$E$27),0,(C1249&gt;='Resultats - informe'!$D$28)*(C1249&lt;='Resultats - informe'!$E$28),0,(C1249&gt;='Resultats - informe'!$D$29)*(C1249&lt;='Resultats - informe'!$E$29),0,1,1)</f>
        <v>0</v>
      </c>
      <c r="N1249" s="366">
        <f>+VLOOKUP(D1249,'Resultats - informe'!$Y$18:$AG$42,'Introducció dades consum'!K1249+1,0)</f>
        <v>0</v>
      </c>
      <c r="O1249" s="370" cm="1">
        <f t="array" ref="O1249">+_xlfn.SWITCH(MONTH(C1249),1,1,2,1,3,1,4,2,5,2,6,3,7,3,8,3,9,3,10,2,11,2,12,1,2)</f>
        <v>1</v>
      </c>
      <c r="P1249" s="43"/>
      <c r="AS1249" s="10"/>
      <c r="AT1249" s="10"/>
      <c r="AU1249" s="10"/>
      <c r="AV1249" s="10"/>
      <c r="AW1249" s="10"/>
      <c r="AX1249" s="10"/>
      <c r="AY1249" s="10"/>
      <c r="AZ1249" s="10"/>
      <c r="BA1249" s="10"/>
      <c r="BB1249" s="10"/>
      <c r="BC1249" s="10"/>
      <c r="BD1249" s="10"/>
      <c r="BE1249" s="10"/>
      <c r="BF1249" s="10"/>
      <c r="BG1249" s="10"/>
      <c r="BH1249" s="10"/>
      <c r="BI1249" s="10"/>
      <c r="BJ1249" s="10"/>
      <c r="BK1249" s="10"/>
      <c r="BL1249" s="10"/>
      <c r="BM1249" s="10"/>
      <c r="BN1249" s="10"/>
      <c r="BO1249" s="10"/>
      <c r="BP1249" s="10"/>
      <c r="BQ1249" s="10"/>
      <c r="BR1249" s="10"/>
      <c r="BS1249" s="10"/>
      <c r="BT1249" s="10"/>
      <c r="BU1249" s="10"/>
    </row>
    <row r="1250" spans="1:73" ht="18" x14ac:dyDescent="0.35">
      <c r="A1250" s="43"/>
      <c r="C1250" s="393"/>
      <c r="E1250" s="394"/>
      <c r="F1250" s="394">
        <v>0</v>
      </c>
      <c r="G1250" s="394"/>
      <c r="H1250" s="8" t="s">
        <v>235</v>
      </c>
      <c r="I1250" s="368">
        <f t="shared" si="58"/>
        <v>0</v>
      </c>
      <c r="J1250" s="365">
        <f t="shared" si="57"/>
        <v>0</v>
      </c>
      <c r="K1250" s="369">
        <f t="shared" si="59"/>
        <v>6</v>
      </c>
      <c r="L1250" s="369">
        <f>+IF((C1250&gt;='Resultats - informe'!$E$16)*(C1250&lt;='Resultats - informe'!$G$16),1,0)</f>
        <v>1</v>
      </c>
      <c r="M1250" s="369" cm="1">
        <f t="array" ref="M1250">+_xlfn.IFS((C1250&gt;='Resultats - informe'!$D$26)*(C1250&lt;='Resultats - informe'!$E$26),0,(C1250&gt;='Resultats - informe'!$D$27)*(C1250&lt;='Resultats - informe'!$E$27),0,(C1250&gt;='Resultats - informe'!$D$28)*(C1250&lt;='Resultats - informe'!$E$28),0,(C1250&gt;='Resultats - informe'!$D$29)*(C1250&lt;='Resultats - informe'!$E$29),0,1,1)</f>
        <v>0</v>
      </c>
      <c r="N1250" s="366">
        <f>+VLOOKUP(D1250,'Resultats - informe'!$Y$18:$AG$42,'Introducció dades consum'!K1250+1,0)</f>
        <v>0</v>
      </c>
      <c r="O1250" s="370" cm="1">
        <f t="array" ref="O1250">+_xlfn.SWITCH(MONTH(C1250),1,1,2,1,3,1,4,2,5,2,6,3,7,3,8,3,9,3,10,2,11,2,12,1,2)</f>
        <v>1</v>
      </c>
      <c r="P1250" s="43"/>
      <c r="AS1250" s="10"/>
      <c r="AT1250" s="10"/>
      <c r="AU1250" s="10"/>
      <c r="AV1250" s="10"/>
      <c r="AW1250" s="10"/>
      <c r="AX1250" s="10"/>
      <c r="AY1250" s="10"/>
      <c r="AZ1250" s="10"/>
      <c r="BA1250" s="10"/>
      <c r="BB1250" s="10"/>
      <c r="BC1250" s="10"/>
      <c r="BD1250" s="10"/>
      <c r="BE1250" s="10"/>
      <c r="BF1250" s="10"/>
      <c r="BG1250" s="10"/>
      <c r="BH1250" s="10"/>
      <c r="BI1250" s="10"/>
      <c r="BJ1250" s="10"/>
      <c r="BK1250" s="10"/>
      <c r="BL1250" s="10"/>
      <c r="BM1250" s="10"/>
      <c r="BN1250" s="10"/>
      <c r="BO1250" s="10"/>
      <c r="BP1250" s="10"/>
      <c r="BQ1250" s="10"/>
      <c r="BR1250" s="10"/>
      <c r="BS1250" s="10"/>
      <c r="BT1250" s="10"/>
      <c r="BU1250" s="10"/>
    </row>
    <row r="1251" spans="1:73" ht="18" x14ac:dyDescent="0.35">
      <c r="A1251" s="43"/>
      <c r="C1251" s="393"/>
      <c r="E1251" s="394"/>
      <c r="F1251" s="394">
        <v>0</v>
      </c>
      <c r="G1251" s="394"/>
      <c r="H1251" s="8" t="s">
        <v>235</v>
      </c>
      <c r="I1251" s="368">
        <f t="shared" si="58"/>
        <v>0</v>
      </c>
      <c r="J1251" s="365">
        <f t="shared" si="57"/>
        <v>0</v>
      </c>
      <c r="K1251" s="369">
        <f t="shared" si="59"/>
        <v>6</v>
      </c>
      <c r="L1251" s="369">
        <f>+IF((C1251&gt;='Resultats - informe'!$E$16)*(C1251&lt;='Resultats - informe'!$G$16),1,0)</f>
        <v>1</v>
      </c>
      <c r="M1251" s="369" cm="1">
        <f t="array" ref="M1251">+_xlfn.IFS((C1251&gt;='Resultats - informe'!$D$26)*(C1251&lt;='Resultats - informe'!$E$26),0,(C1251&gt;='Resultats - informe'!$D$27)*(C1251&lt;='Resultats - informe'!$E$27),0,(C1251&gt;='Resultats - informe'!$D$28)*(C1251&lt;='Resultats - informe'!$E$28),0,(C1251&gt;='Resultats - informe'!$D$29)*(C1251&lt;='Resultats - informe'!$E$29),0,1,1)</f>
        <v>0</v>
      </c>
      <c r="N1251" s="366">
        <f>+VLOOKUP(D1251,'Resultats - informe'!$Y$18:$AG$42,'Introducció dades consum'!K1251+1,0)</f>
        <v>0</v>
      </c>
      <c r="O1251" s="370" cm="1">
        <f t="array" ref="O1251">+_xlfn.SWITCH(MONTH(C1251),1,1,2,1,3,1,4,2,5,2,6,3,7,3,8,3,9,3,10,2,11,2,12,1,2)</f>
        <v>1</v>
      </c>
      <c r="P1251" s="43"/>
      <c r="AS1251" s="10"/>
      <c r="AT1251" s="10"/>
      <c r="AU1251" s="10"/>
      <c r="AV1251" s="10"/>
      <c r="AW1251" s="10"/>
      <c r="AX1251" s="10"/>
      <c r="AY1251" s="10"/>
      <c r="AZ1251" s="10"/>
      <c r="BA1251" s="10"/>
      <c r="BB1251" s="10"/>
      <c r="BC1251" s="10"/>
      <c r="BD1251" s="10"/>
      <c r="BE1251" s="10"/>
      <c r="BF1251" s="10"/>
      <c r="BG1251" s="10"/>
      <c r="BH1251" s="10"/>
      <c r="BI1251" s="10"/>
      <c r="BJ1251" s="10"/>
      <c r="BK1251" s="10"/>
      <c r="BL1251" s="10"/>
      <c r="BM1251" s="10"/>
      <c r="BN1251" s="10"/>
      <c r="BO1251" s="10"/>
      <c r="BP1251" s="10"/>
      <c r="BQ1251" s="10"/>
      <c r="BR1251" s="10"/>
      <c r="BS1251" s="10"/>
      <c r="BT1251" s="10"/>
      <c r="BU1251" s="10"/>
    </row>
    <row r="1252" spans="1:73" ht="18" x14ac:dyDescent="0.35">
      <c r="A1252" s="43"/>
      <c r="C1252" s="393"/>
      <c r="E1252" s="394"/>
      <c r="F1252" s="394">
        <v>0</v>
      </c>
      <c r="G1252" s="394"/>
      <c r="H1252" s="8" t="s">
        <v>235</v>
      </c>
      <c r="I1252" s="368">
        <f t="shared" si="58"/>
        <v>0</v>
      </c>
      <c r="J1252" s="365">
        <f t="shared" si="57"/>
        <v>0</v>
      </c>
      <c r="K1252" s="369">
        <f t="shared" si="59"/>
        <v>6</v>
      </c>
      <c r="L1252" s="369">
        <f>+IF((C1252&gt;='Resultats - informe'!$E$16)*(C1252&lt;='Resultats - informe'!$G$16),1,0)</f>
        <v>1</v>
      </c>
      <c r="M1252" s="369" cm="1">
        <f t="array" ref="M1252">+_xlfn.IFS((C1252&gt;='Resultats - informe'!$D$26)*(C1252&lt;='Resultats - informe'!$E$26),0,(C1252&gt;='Resultats - informe'!$D$27)*(C1252&lt;='Resultats - informe'!$E$27),0,(C1252&gt;='Resultats - informe'!$D$28)*(C1252&lt;='Resultats - informe'!$E$28),0,(C1252&gt;='Resultats - informe'!$D$29)*(C1252&lt;='Resultats - informe'!$E$29),0,1,1)</f>
        <v>0</v>
      </c>
      <c r="N1252" s="366">
        <f>+VLOOKUP(D1252,'Resultats - informe'!$Y$18:$AG$42,'Introducció dades consum'!K1252+1,0)</f>
        <v>0</v>
      </c>
      <c r="O1252" s="370" cm="1">
        <f t="array" ref="O1252">+_xlfn.SWITCH(MONTH(C1252),1,1,2,1,3,1,4,2,5,2,6,3,7,3,8,3,9,3,10,2,11,2,12,1,2)</f>
        <v>1</v>
      </c>
      <c r="P1252" s="43"/>
      <c r="AS1252" s="10"/>
      <c r="AT1252" s="10"/>
      <c r="AU1252" s="10"/>
      <c r="AV1252" s="10"/>
      <c r="AW1252" s="10"/>
      <c r="AX1252" s="10"/>
      <c r="AY1252" s="10"/>
      <c r="AZ1252" s="10"/>
      <c r="BA1252" s="10"/>
      <c r="BB1252" s="10"/>
      <c r="BC1252" s="10"/>
      <c r="BD1252" s="10"/>
      <c r="BE1252" s="10"/>
      <c r="BF1252" s="10"/>
      <c r="BG1252" s="10"/>
      <c r="BH1252" s="10"/>
      <c r="BI1252" s="10"/>
      <c r="BJ1252" s="10"/>
      <c r="BK1252" s="10"/>
      <c r="BL1252" s="10"/>
      <c r="BM1252" s="10"/>
      <c r="BN1252" s="10"/>
      <c r="BO1252" s="10"/>
      <c r="BP1252" s="10"/>
      <c r="BQ1252" s="10"/>
      <c r="BR1252" s="10"/>
      <c r="BS1252" s="10"/>
      <c r="BT1252" s="10"/>
      <c r="BU1252" s="10"/>
    </row>
    <row r="1253" spans="1:73" ht="18" x14ac:dyDescent="0.35">
      <c r="A1253" s="43"/>
      <c r="C1253" s="393"/>
      <c r="E1253" s="394"/>
      <c r="F1253" s="394">
        <v>0</v>
      </c>
      <c r="G1253" s="394"/>
      <c r="H1253" s="8" t="s">
        <v>235</v>
      </c>
      <c r="I1253" s="368">
        <f t="shared" si="58"/>
        <v>0</v>
      </c>
      <c r="J1253" s="365">
        <f t="shared" si="57"/>
        <v>0</v>
      </c>
      <c r="K1253" s="369">
        <f t="shared" si="59"/>
        <v>6</v>
      </c>
      <c r="L1253" s="369">
        <f>+IF((C1253&gt;='Resultats - informe'!$E$16)*(C1253&lt;='Resultats - informe'!$G$16),1,0)</f>
        <v>1</v>
      </c>
      <c r="M1253" s="369" cm="1">
        <f t="array" ref="M1253">+_xlfn.IFS((C1253&gt;='Resultats - informe'!$D$26)*(C1253&lt;='Resultats - informe'!$E$26),0,(C1253&gt;='Resultats - informe'!$D$27)*(C1253&lt;='Resultats - informe'!$E$27),0,(C1253&gt;='Resultats - informe'!$D$28)*(C1253&lt;='Resultats - informe'!$E$28),0,(C1253&gt;='Resultats - informe'!$D$29)*(C1253&lt;='Resultats - informe'!$E$29),0,1,1)</f>
        <v>0</v>
      </c>
      <c r="N1253" s="366">
        <f>+VLOOKUP(D1253,'Resultats - informe'!$Y$18:$AG$42,'Introducció dades consum'!K1253+1,0)</f>
        <v>0</v>
      </c>
      <c r="O1253" s="370" cm="1">
        <f t="array" ref="O1253">+_xlfn.SWITCH(MONTH(C1253),1,1,2,1,3,1,4,2,5,2,6,3,7,3,8,3,9,3,10,2,11,2,12,1,2)</f>
        <v>1</v>
      </c>
      <c r="P1253" s="43"/>
      <c r="AS1253" s="10"/>
      <c r="AT1253" s="10"/>
      <c r="AU1253" s="10"/>
      <c r="AV1253" s="10"/>
      <c r="AW1253" s="10"/>
      <c r="AX1253" s="10"/>
      <c r="AY1253" s="10"/>
      <c r="AZ1253" s="10"/>
      <c r="BA1253" s="10"/>
      <c r="BB1253" s="10"/>
      <c r="BC1253" s="10"/>
      <c r="BD1253" s="10"/>
      <c r="BE1253" s="10"/>
      <c r="BF1253" s="10"/>
      <c r="BG1253" s="10"/>
      <c r="BH1253" s="10"/>
      <c r="BI1253" s="10"/>
      <c r="BJ1253" s="10"/>
      <c r="BK1253" s="10"/>
      <c r="BL1253" s="10"/>
      <c r="BM1253" s="10"/>
      <c r="BN1253" s="10"/>
      <c r="BO1253" s="10"/>
      <c r="BP1253" s="10"/>
      <c r="BQ1253" s="10"/>
      <c r="BR1253" s="10"/>
      <c r="BS1253" s="10"/>
      <c r="BT1253" s="10"/>
      <c r="BU1253" s="10"/>
    </row>
    <row r="1254" spans="1:73" ht="18" x14ac:dyDescent="0.35">
      <c r="A1254" s="43"/>
      <c r="C1254" s="393"/>
      <c r="E1254" s="394"/>
      <c r="F1254" s="394">
        <v>0</v>
      </c>
      <c r="G1254" s="394"/>
      <c r="H1254" s="8" t="s">
        <v>235</v>
      </c>
      <c r="I1254" s="368">
        <f t="shared" si="58"/>
        <v>0</v>
      </c>
      <c r="J1254" s="365">
        <f t="shared" si="57"/>
        <v>0</v>
      </c>
      <c r="K1254" s="369">
        <f t="shared" si="59"/>
        <v>6</v>
      </c>
      <c r="L1254" s="369">
        <f>+IF((C1254&gt;='Resultats - informe'!$E$16)*(C1254&lt;='Resultats - informe'!$G$16),1,0)</f>
        <v>1</v>
      </c>
      <c r="M1254" s="369" cm="1">
        <f t="array" ref="M1254">+_xlfn.IFS((C1254&gt;='Resultats - informe'!$D$26)*(C1254&lt;='Resultats - informe'!$E$26),0,(C1254&gt;='Resultats - informe'!$D$27)*(C1254&lt;='Resultats - informe'!$E$27),0,(C1254&gt;='Resultats - informe'!$D$28)*(C1254&lt;='Resultats - informe'!$E$28),0,(C1254&gt;='Resultats - informe'!$D$29)*(C1254&lt;='Resultats - informe'!$E$29),0,1,1)</f>
        <v>0</v>
      </c>
      <c r="N1254" s="366">
        <f>+VLOOKUP(D1254,'Resultats - informe'!$Y$18:$AG$42,'Introducció dades consum'!K1254+1,0)</f>
        <v>0</v>
      </c>
      <c r="O1254" s="370" cm="1">
        <f t="array" ref="O1254">+_xlfn.SWITCH(MONTH(C1254),1,1,2,1,3,1,4,2,5,2,6,3,7,3,8,3,9,3,10,2,11,2,12,1,2)</f>
        <v>1</v>
      </c>
      <c r="P1254" s="43"/>
      <c r="AS1254" s="10"/>
      <c r="AT1254" s="10"/>
      <c r="AU1254" s="10"/>
      <c r="AV1254" s="10"/>
      <c r="AW1254" s="10"/>
      <c r="AX1254" s="10"/>
      <c r="AY1254" s="10"/>
      <c r="AZ1254" s="10"/>
      <c r="BA1254" s="10"/>
      <c r="BB1254" s="10"/>
      <c r="BC1254" s="10"/>
      <c r="BD1254" s="10"/>
      <c r="BE1254" s="10"/>
      <c r="BF1254" s="10"/>
      <c r="BG1254" s="10"/>
      <c r="BH1254" s="10"/>
      <c r="BI1254" s="10"/>
      <c r="BJ1254" s="10"/>
      <c r="BK1254" s="10"/>
      <c r="BL1254" s="10"/>
      <c r="BM1254" s="10"/>
      <c r="BN1254" s="10"/>
      <c r="BO1254" s="10"/>
      <c r="BP1254" s="10"/>
      <c r="BQ1254" s="10"/>
      <c r="BR1254" s="10"/>
      <c r="BS1254" s="10"/>
      <c r="BT1254" s="10"/>
      <c r="BU1254" s="10"/>
    </row>
    <row r="1255" spans="1:73" ht="18" x14ac:dyDescent="0.35">
      <c r="A1255" s="43"/>
      <c r="C1255" s="393"/>
      <c r="E1255" s="394"/>
      <c r="F1255" s="394">
        <v>0</v>
      </c>
      <c r="G1255" s="394"/>
      <c r="H1255" s="8" t="s">
        <v>235</v>
      </c>
      <c r="I1255" s="368">
        <f t="shared" si="58"/>
        <v>0</v>
      </c>
      <c r="J1255" s="365">
        <f t="shared" si="57"/>
        <v>0</v>
      </c>
      <c r="K1255" s="369">
        <f t="shared" si="59"/>
        <v>6</v>
      </c>
      <c r="L1255" s="369">
        <f>+IF((C1255&gt;='Resultats - informe'!$E$16)*(C1255&lt;='Resultats - informe'!$G$16),1,0)</f>
        <v>1</v>
      </c>
      <c r="M1255" s="369" cm="1">
        <f t="array" ref="M1255">+_xlfn.IFS((C1255&gt;='Resultats - informe'!$D$26)*(C1255&lt;='Resultats - informe'!$E$26),0,(C1255&gt;='Resultats - informe'!$D$27)*(C1255&lt;='Resultats - informe'!$E$27),0,(C1255&gt;='Resultats - informe'!$D$28)*(C1255&lt;='Resultats - informe'!$E$28),0,(C1255&gt;='Resultats - informe'!$D$29)*(C1255&lt;='Resultats - informe'!$E$29),0,1,1)</f>
        <v>0</v>
      </c>
      <c r="N1255" s="366">
        <f>+VLOOKUP(D1255,'Resultats - informe'!$Y$18:$AG$42,'Introducció dades consum'!K1255+1,0)</f>
        <v>0</v>
      </c>
      <c r="O1255" s="370" cm="1">
        <f t="array" ref="O1255">+_xlfn.SWITCH(MONTH(C1255),1,1,2,1,3,1,4,2,5,2,6,3,7,3,8,3,9,3,10,2,11,2,12,1,2)</f>
        <v>1</v>
      </c>
      <c r="P1255" s="43"/>
      <c r="AS1255" s="10"/>
      <c r="AT1255" s="10"/>
      <c r="AU1255" s="10"/>
      <c r="AV1255" s="10"/>
      <c r="AW1255" s="10"/>
      <c r="AX1255" s="10"/>
      <c r="AY1255" s="10"/>
      <c r="AZ1255" s="10"/>
      <c r="BA1255" s="10"/>
      <c r="BB1255" s="10"/>
      <c r="BC1255" s="10"/>
      <c r="BD1255" s="10"/>
      <c r="BE1255" s="10"/>
      <c r="BF1255" s="10"/>
      <c r="BG1255" s="10"/>
      <c r="BH1255" s="10"/>
      <c r="BI1255" s="10"/>
      <c r="BJ1255" s="10"/>
      <c r="BK1255" s="10"/>
      <c r="BL1255" s="10"/>
      <c r="BM1255" s="10"/>
      <c r="BN1255" s="10"/>
      <c r="BO1255" s="10"/>
      <c r="BP1255" s="10"/>
      <c r="BQ1255" s="10"/>
      <c r="BR1255" s="10"/>
      <c r="BS1255" s="10"/>
      <c r="BT1255" s="10"/>
      <c r="BU1255" s="10"/>
    </row>
    <row r="1256" spans="1:73" ht="18" x14ac:dyDescent="0.35">
      <c r="A1256" s="43"/>
      <c r="C1256" s="393"/>
      <c r="E1256" s="394"/>
      <c r="F1256" s="394">
        <v>0</v>
      </c>
      <c r="G1256" s="394"/>
      <c r="H1256" s="8" t="s">
        <v>235</v>
      </c>
      <c r="I1256" s="368">
        <f t="shared" si="58"/>
        <v>0</v>
      </c>
      <c r="J1256" s="365">
        <f t="shared" si="57"/>
        <v>0</v>
      </c>
      <c r="K1256" s="369">
        <f t="shared" si="59"/>
        <v>6</v>
      </c>
      <c r="L1256" s="369">
        <f>+IF((C1256&gt;='Resultats - informe'!$E$16)*(C1256&lt;='Resultats - informe'!$G$16),1,0)</f>
        <v>1</v>
      </c>
      <c r="M1256" s="369" cm="1">
        <f t="array" ref="M1256">+_xlfn.IFS((C1256&gt;='Resultats - informe'!$D$26)*(C1256&lt;='Resultats - informe'!$E$26),0,(C1256&gt;='Resultats - informe'!$D$27)*(C1256&lt;='Resultats - informe'!$E$27),0,(C1256&gt;='Resultats - informe'!$D$28)*(C1256&lt;='Resultats - informe'!$E$28),0,(C1256&gt;='Resultats - informe'!$D$29)*(C1256&lt;='Resultats - informe'!$E$29),0,1,1)</f>
        <v>0</v>
      </c>
      <c r="N1256" s="366">
        <f>+VLOOKUP(D1256,'Resultats - informe'!$Y$18:$AG$42,'Introducció dades consum'!K1256+1,0)</f>
        <v>0</v>
      </c>
      <c r="O1256" s="370" cm="1">
        <f t="array" ref="O1256">+_xlfn.SWITCH(MONTH(C1256),1,1,2,1,3,1,4,2,5,2,6,3,7,3,8,3,9,3,10,2,11,2,12,1,2)</f>
        <v>1</v>
      </c>
      <c r="P1256" s="43"/>
      <c r="AS1256" s="10"/>
      <c r="AT1256" s="10"/>
      <c r="AU1256" s="10"/>
      <c r="AV1256" s="10"/>
      <c r="AW1256" s="10"/>
      <c r="AX1256" s="10"/>
      <c r="AY1256" s="10"/>
      <c r="AZ1256" s="10"/>
      <c r="BA1256" s="10"/>
      <c r="BB1256" s="10"/>
      <c r="BC1256" s="10"/>
      <c r="BD1256" s="10"/>
      <c r="BE1256" s="10"/>
      <c r="BF1256" s="10"/>
      <c r="BG1256" s="10"/>
      <c r="BH1256" s="10"/>
      <c r="BI1256" s="10"/>
      <c r="BJ1256" s="10"/>
      <c r="BK1256" s="10"/>
      <c r="BL1256" s="10"/>
      <c r="BM1256" s="10"/>
      <c r="BN1256" s="10"/>
      <c r="BO1256" s="10"/>
      <c r="BP1256" s="10"/>
      <c r="BQ1256" s="10"/>
      <c r="BR1256" s="10"/>
      <c r="BS1256" s="10"/>
      <c r="BT1256" s="10"/>
      <c r="BU1256" s="10"/>
    </row>
    <row r="1257" spans="1:73" ht="18" x14ac:dyDescent="0.35">
      <c r="A1257" s="43"/>
      <c r="C1257" s="393"/>
      <c r="E1257" s="394"/>
      <c r="F1257" s="394">
        <v>0</v>
      </c>
      <c r="G1257" s="394"/>
      <c r="H1257" s="8" t="s">
        <v>235</v>
      </c>
      <c r="I1257" s="368">
        <f t="shared" si="58"/>
        <v>0</v>
      </c>
      <c r="J1257" s="365">
        <f t="shared" si="57"/>
        <v>0</v>
      </c>
      <c r="K1257" s="369">
        <f t="shared" si="59"/>
        <v>6</v>
      </c>
      <c r="L1257" s="369">
        <f>+IF((C1257&gt;='Resultats - informe'!$E$16)*(C1257&lt;='Resultats - informe'!$G$16),1,0)</f>
        <v>1</v>
      </c>
      <c r="M1257" s="369" cm="1">
        <f t="array" ref="M1257">+_xlfn.IFS((C1257&gt;='Resultats - informe'!$D$26)*(C1257&lt;='Resultats - informe'!$E$26),0,(C1257&gt;='Resultats - informe'!$D$27)*(C1257&lt;='Resultats - informe'!$E$27),0,(C1257&gt;='Resultats - informe'!$D$28)*(C1257&lt;='Resultats - informe'!$E$28),0,(C1257&gt;='Resultats - informe'!$D$29)*(C1257&lt;='Resultats - informe'!$E$29),0,1,1)</f>
        <v>0</v>
      </c>
      <c r="N1257" s="366">
        <f>+VLOOKUP(D1257,'Resultats - informe'!$Y$18:$AG$42,'Introducció dades consum'!K1257+1,0)</f>
        <v>0</v>
      </c>
      <c r="O1257" s="370" cm="1">
        <f t="array" ref="O1257">+_xlfn.SWITCH(MONTH(C1257),1,1,2,1,3,1,4,2,5,2,6,3,7,3,8,3,9,3,10,2,11,2,12,1,2)</f>
        <v>1</v>
      </c>
      <c r="P1257" s="43"/>
      <c r="AS1257" s="10"/>
      <c r="AT1257" s="10"/>
      <c r="AU1257" s="10"/>
      <c r="AV1257" s="10"/>
      <c r="AW1257" s="10"/>
      <c r="AX1257" s="10"/>
      <c r="AY1257" s="10"/>
      <c r="AZ1257" s="10"/>
      <c r="BA1257" s="10"/>
      <c r="BB1257" s="10"/>
      <c r="BC1257" s="10"/>
      <c r="BD1257" s="10"/>
      <c r="BE1257" s="10"/>
      <c r="BF1257" s="10"/>
      <c r="BG1257" s="10"/>
      <c r="BH1257" s="10"/>
      <c r="BI1257" s="10"/>
      <c r="BJ1257" s="10"/>
      <c r="BK1257" s="10"/>
      <c r="BL1257" s="10"/>
      <c r="BM1257" s="10"/>
      <c r="BN1257" s="10"/>
      <c r="BO1257" s="10"/>
      <c r="BP1257" s="10"/>
      <c r="BQ1257" s="10"/>
      <c r="BR1257" s="10"/>
      <c r="BS1257" s="10"/>
      <c r="BT1257" s="10"/>
      <c r="BU1257" s="10"/>
    </row>
    <row r="1258" spans="1:73" ht="18" x14ac:dyDescent="0.35">
      <c r="A1258" s="43"/>
      <c r="C1258" s="393"/>
      <c r="E1258" s="394"/>
      <c r="F1258" s="394">
        <v>0</v>
      </c>
      <c r="G1258" s="394"/>
      <c r="H1258" s="8" t="s">
        <v>235</v>
      </c>
      <c r="I1258" s="368">
        <f t="shared" si="58"/>
        <v>0</v>
      </c>
      <c r="J1258" s="365">
        <f t="shared" si="57"/>
        <v>0</v>
      </c>
      <c r="K1258" s="369">
        <f t="shared" si="59"/>
        <v>6</v>
      </c>
      <c r="L1258" s="369">
        <f>+IF((C1258&gt;='Resultats - informe'!$E$16)*(C1258&lt;='Resultats - informe'!$G$16),1,0)</f>
        <v>1</v>
      </c>
      <c r="M1258" s="369" cm="1">
        <f t="array" ref="M1258">+_xlfn.IFS((C1258&gt;='Resultats - informe'!$D$26)*(C1258&lt;='Resultats - informe'!$E$26),0,(C1258&gt;='Resultats - informe'!$D$27)*(C1258&lt;='Resultats - informe'!$E$27),0,(C1258&gt;='Resultats - informe'!$D$28)*(C1258&lt;='Resultats - informe'!$E$28),0,(C1258&gt;='Resultats - informe'!$D$29)*(C1258&lt;='Resultats - informe'!$E$29),0,1,1)</f>
        <v>0</v>
      </c>
      <c r="N1258" s="366">
        <f>+VLOOKUP(D1258,'Resultats - informe'!$Y$18:$AG$42,'Introducció dades consum'!K1258+1,0)</f>
        <v>0</v>
      </c>
      <c r="O1258" s="370" cm="1">
        <f t="array" ref="O1258">+_xlfn.SWITCH(MONTH(C1258),1,1,2,1,3,1,4,2,5,2,6,3,7,3,8,3,9,3,10,2,11,2,12,1,2)</f>
        <v>1</v>
      </c>
      <c r="P1258" s="43"/>
      <c r="AS1258" s="10"/>
      <c r="AT1258" s="10"/>
      <c r="AU1258" s="10"/>
      <c r="AV1258" s="10"/>
      <c r="AW1258" s="10"/>
      <c r="AX1258" s="10"/>
      <c r="AY1258" s="10"/>
      <c r="AZ1258" s="10"/>
      <c r="BA1258" s="10"/>
      <c r="BB1258" s="10"/>
      <c r="BC1258" s="10"/>
      <c r="BD1258" s="10"/>
      <c r="BE1258" s="10"/>
      <c r="BF1258" s="10"/>
      <c r="BG1258" s="10"/>
      <c r="BH1258" s="10"/>
      <c r="BI1258" s="10"/>
      <c r="BJ1258" s="10"/>
      <c r="BK1258" s="10"/>
      <c r="BL1258" s="10"/>
      <c r="BM1258" s="10"/>
      <c r="BN1258" s="10"/>
      <c r="BO1258" s="10"/>
      <c r="BP1258" s="10"/>
      <c r="BQ1258" s="10"/>
      <c r="BR1258" s="10"/>
      <c r="BS1258" s="10"/>
      <c r="BT1258" s="10"/>
      <c r="BU1258" s="10"/>
    </row>
    <row r="1259" spans="1:73" ht="18" x14ac:dyDescent="0.35">
      <c r="A1259" s="43"/>
      <c r="C1259" s="393"/>
      <c r="E1259" s="394"/>
      <c r="F1259" s="394">
        <v>0</v>
      </c>
      <c r="G1259" s="394"/>
      <c r="H1259" s="8" t="s">
        <v>235</v>
      </c>
      <c r="I1259" s="368">
        <f t="shared" si="58"/>
        <v>0</v>
      </c>
      <c r="J1259" s="365">
        <f t="shared" si="57"/>
        <v>0</v>
      </c>
      <c r="K1259" s="369">
        <f t="shared" si="59"/>
        <v>6</v>
      </c>
      <c r="L1259" s="369">
        <f>+IF((C1259&gt;='Resultats - informe'!$E$16)*(C1259&lt;='Resultats - informe'!$G$16),1,0)</f>
        <v>1</v>
      </c>
      <c r="M1259" s="369" cm="1">
        <f t="array" ref="M1259">+_xlfn.IFS((C1259&gt;='Resultats - informe'!$D$26)*(C1259&lt;='Resultats - informe'!$E$26),0,(C1259&gt;='Resultats - informe'!$D$27)*(C1259&lt;='Resultats - informe'!$E$27),0,(C1259&gt;='Resultats - informe'!$D$28)*(C1259&lt;='Resultats - informe'!$E$28),0,(C1259&gt;='Resultats - informe'!$D$29)*(C1259&lt;='Resultats - informe'!$E$29),0,1,1)</f>
        <v>0</v>
      </c>
      <c r="N1259" s="366">
        <f>+VLOOKUP(D1259,'Resultats - informe'!$Y$18:$AG$42,'Introducció dades consum'!K1259+1,0)</f>
        <v>0</v>
      </c>
      <c r="O1259" s="370" cm="1">
        <f t="array" ref="O1259">+_xlfn.SWITCH(MONTH(C1259),1,1,2,1,3,1,4,2,5,2,6,3,7,3,8,3,9,3,10,2,11,2,12,1,2)</f>
        <v>1</v>
      </c>
      <c r="P1259" s="43"/>
      <c r="AS1259" s="10"/>
      <c r="AT1259" s="10"/>
      <c r="AU1259" s="10"/>
      <c r="AV1259" s="10"/>
      <c r="AW1259" s="10"/>
      <c r="AX1259" s="10"/>
      <c r="AY1259" s="10"/>
      <c r="AZ1259" s="10"/>
      <c r="BA1259" s="10"/>
      <c r="BB1259" s="10"/>
      <c r="BC1259" s="10"/>
      <c r="BD1259" s="10"/>
      <c r="BE1259" s="10"/>
      <c r="BF1259" s="10"/>
      <c r="BG1259" s="10"/>
      <c r="BH1259" s="10"/>
      <c r="BI1259" s="10"/>
      <c r="BJ1259" s="10"/>
      <c r="BK1259" s="10"/>
      <c r="BL1259" s="10"/>
      <c r="BM1259" s="10"/>
      <c r="BN1259" s="10"/>
      <c r="BO1259" s="10"/>
      <c r="BP1259" s="10"/>
      <c r="BQ1259" s="10"/>
      <c r="BR1259" s="10"/>
      <c r="BS1259" s="10"/>
      <c r="BT1259" s="10"/>
      <c r="BU1259" s="10"/>
    </row>
    <row r="1260" spans="1:73" ht="18" x14ac:dyDescent="0.35">
      <c r="A1260" s="43"/>
      <c r="C1260" s="393"/>
      <c r="E1260" s="394"/>
      <c r="F1260" s="394">
        <v>0</v>
      </c>
      <c r="G1260" s="394"/>
      <c r="H1260" s="8" t="s">
        <v>235</v>
      </c>
      <c r="I1260" s="368">
        <f t="shared" si="58"/>
        <v>0</v>
      </c>
      <c r="J1260" s="365">
        <f t="shared" si="57"/>
        <v>0</v>
      </c>
      <c r="K1260" s="369">
        <f t="shared" si="59"/>
        <v>6</v>
      </c>
      <c r="L1260" s="369">
        <f>+IF((C1260&gt;='Resultats - informe'!$E$16)*(C1260&lt;='Resultats - informe'!$G$16),1,0)</f>
        <v>1</v>
      </c>
      <c r="M1260" s="369" cm="1">
        <f t="array" ref="M1260">+_xlfn.IFS((C1260&gt;='Resultats - informe'!$D$26)*(C1260&lt;='Resultats - informe'!$E$26),0,(C1260&gt;='Resultats - informe'!$D$27)*(C1260&lt;='Resultats - informe'!$E$27),0,(C1260&gt;='Resultats - informe'!$D$28)*(C1260&lt;='Resultats - informe'!$E$28),0,(C1260&gt;='Resultats - informe'!$D$29)*(C1260&lt;='Resultats - informe'!$E$29),0,1,1)</f>
        <v>0</v>
      </c>
      <c r="N1260" s="366">
        <f>+VLOOKUP(D1260,'Resultats - informe'!$Y$18:$AG$42,'Introducció dades consum'!K1260+1,0)</f>
        <v>0</v>
      </c>
      <c r="O1260" s="370" cm="1">
        <f t="array" ref="O1260">+_xlfn.SWITCH(MONTH(C1260),1,1,2,1,3,1,4,2,5,2,6,3,7,3,8,3,9,3,10,2,11,2,12,1,2)</f>
        <v>1</v>
      </c>
      <c r="P1260" s="43"/>
      <c r="AS1260" s="10"/>
      <c r="AT1260" s="10"/>
      <c r="AU1260" s="10"/>
      <c r="AV1260" s="10"/>
      <c r="AW1260" s="10"/>
      <c r="AX1260" s="10"/>
      <c r="AY1260" s="10"/>
      <c r="AZ1260" s="10"/>
      <c r="BA1260" s="10"/>
      <c r="BB1260" s="10"/>
      <c r="BC1260" s="10"/>
      <c r="BD1260" s="10"/>
      <c r="BE1260" s="10"/>
      <c r="BF1260" s="10"/>
      <c r="BG1260" s="10"/>
      <c r="BH1260" s="10"/>
      <c r="BI1260" s="10"/>
      <c r="BJ1260" s="10"/>
      <c r="BK1260" s="10"/>
      <c r="BL1260" s="10"/>
      <c r="BM1260" s="10"/>
      <c r="BN1260" s="10"/>
      <c r="BO1260" s="10"/>
      <c r="BP1260" s="10"/>
      <c r="BQ1260" s="10"/>
      <c r="BR1260" s="10"/>
      <c r="BS1260" s="10"/>
      <c r="BT1260" s="10"/>
      <c r="BU1260" s="10"/>
    </row>
    <row r="1261" spans="1:73" ht="18" x14ac:dyDescent="0.35">
      <c r="A1261" s="43"/>
      <c r="C1261" s="393"/>
      <c r="E1261" s="394"/>
      <c r="F1261" s="394">
        <v>0.91900000000000004</v>
      </c>
      <c r="G1261" s="394"/>
      <c r="H1261" s="8" t="s">
        <v>235</v>
      </c>
      <c r="I1261" s="368">
        <f t="shared" si="58"/>
        <v>0</v>
      </c>
      <c r="J1261" s="365">
        <f t="shared" si="57"/>
        <v>0</v>
      </c>
      <c r="K1261" s="369">
        <f t="shared" si="59"/>
        <v>6</v>
      </c>
      <c r="L1261" s="369">
        <f>+IF((C1261&gt;='Resultats - informe'!$E$16)*(C1261&lt;='Resultats - informe'!$G$16),1,0)</f>
        <v>1</v>
      </c>
      <c r="M1261" s="369" cm="1">
        <f t="array" ref="M1261">+_xlfn.IFS((C1261&gt;='Resultats - informe'!$D$26)*(C1261&lt;='Resultats - informe'!$E$26),0,(C1261&gt;='Resultats - informe'!$D$27)*(C1261&lt;='Resultats - informe'!$E$27),0,(C1261&gt;='Resultats - informe'!$D$28)*(C1261&lt;='Resultats - informe'!$E$28),0,(C1261&gt;='Resultats - informe'!$D$29)*(C1261&lt;='Resultats - informe'!$E$29),0,1,1)</f>
        <v>0</v>
      </c>
      <c r="N1261" s="366">
        <f>+VLOOKUP(D1261,'Resultats - informe'!$Y$18:$AG$42,'Introducció dades consum'!K1261+1,0)</f>
        <v>0</v>
      </c>
      <c r="O1261" s="370" cm="1">
        <f t="array" ref="O1261">+_xlfn.SWITCH(MONTH(C1261),1,1,2,1,3,1,4,2,5,2,6,3,7,3,8,3,9,3,10,2,11,2,12,1,2)</f>
        <v>1</v>
      </c>
      <c r="P1261" s="43"/>
      <c r="AS1261" s="10"/>
      <c r="AT1261" s="10"/>
      <c r="AU1261" s="10"/>
      <c r="AV1261" s="10"/>
      <c r="AW1261" s="10"/>
      <c r="AX1261" s="10"/>
      <c r="AY1261" s="10"/>
      <c r="AZ1261" s="10"/>
      <c r="BA1261" s="10"/>
      <c r="BB1261" s="10"/>
      <c r="BC1261" s="10"/>
      <c r="BD1261" s="10"/>
      <c r="BE1261" s="10"/>
      <c r="BF1261" s="10"/>
      <c r="BG1261" s="10"/>
      <c r="BH1261" s="10"/>
      <c r="BI1261" s="10"/>
      <c r="BJ1261" s="10"/>
      <c r="BK1261" s="10"/>
      <c r="BL1261" s="10"/>
      <c r="BM1261" s="10"/>
      <c r="BN1261" s="10"/>
      <c r="BO1261" s="10"/>
      <c r="BP1261" s="10"/>
      <c r="BQ1261" s="10"/>
      <c r="BR1261" s="10"/>
      <c r="BS1261" s="10"/>
      <c r="BT1261" s="10"/>
      <c r="BU1261" s="10"/>
    </row>
    <row r="1262" spans="1:73" ht="18" x14ac:dyDescent="0.35">
      <c r="A1262" s="43"/>
      <c r="C1262" s="393"/>
      <c r="E1262" s="394"/>
      <c r="F1262" s="394">
        <v>1.1879999999999999</v>
      </c>
      <c r="G1262" s="394"/>
      <c r="H1262" s="8" t="s">
        <v>235</v>
      </c>
      <c r="I1262" s="368">
        <f t="shared" si="58"/>
        <v>0</v>
      </c>
      <c r="J1262" s="365">
        <f t="shared" si="57"/>
        <v>0</v>
      </c>
      <c r="K1262" s="369">
        <f t="shared" si="59"/>
        <v>6</v>
      </c>
      <c r="L1262" s="369">
        <f>+IF((C1262&gt;='Resultats - informe'!$E$16)*(C1262&lt;='Resultats - informe'!$G$16),1,0)</f>
        <v>1</v>
      </c>
      <c r="M1262" s="369" cm="1">
        <f t="array" ref="M1262">+_xlfn.IFS((C1262&gt;='Resultats - informe'!$D$26)*(C1262&lt;='Resultats - informe'!$E$26),0,(C1262&gt;='Resultats - informe'!$D$27)*(C1262&lt;='Resultats - informe'!$E$27),0,(C1262&gt;='Resultats - informe'!$D$28)*(C1262&lt;='Resultats - informe'!$E$28),0,(C1262&gt;='Resultats - informe'!$D$29)*(C1262&lt;='Resultats - informe'!$E$29),0,1,1)</f>
        <v>0</v>
      </c>
      <c r="N1262" s="366">
        <f>+VLOOKUP(D1262,'Resultats - informe'!$Y$18:$AG$42,'Introducció dades consum'!K1262+1,0)</f>
        <v>0</v>
      </c>
      <c r="O1262" s="370" cm="1">
        <f t="array" ref="O1262">+_xlfn.SWITCH(MONTH(C1262),1,1,2,1,3,1,4,2,5,2,6,3,7,3,8,3,9,3,10,2,11,2,12,1,2)</f>
        <v>1</v>
      </c>
      <c r="P1262" s="43"/>
      <c r="AS1262" s="10"/>
      <c r="AT1262" s="10"/>
      <c r="AU1262" s="10"/>
      <c r="AV1262" s="10"/>
      <c r="AW1262" s="10"/>
      <c r="AX1262" s="10"/>
      <c r="AY1262" s="10"/>
      <c r="AZ1262" s="10"/>
      <c r="BA1262" s="10"/>
      <c r="BB1262" s="10"/>
      <c r="BC1262" s="10"/>
      <c r="BD1262" s="10"/>
      <c r="BE1262" s="10"/>
      <c r="BF1262" s="10"/>
      <c r="BG1262" s="10"/>
      <c r="BH1262" s="10"/>
      <c r="BI1262" s="10"/>
      <c r="BJ1262" s="10"/>
      <c r="BK1262" s="10"/>
      <c r="BL1262" s="10"/>
      <c r="BM1262" s="10"/>
      <c r="BN1262" s="10"/>
      <c r="BO1262" s="10"/>
      <c r="BP1262" s="10"/>
      <c r="BQ1262" s="10"/>
      <c r="BR1262" s="10"/>
      <c r="BS1262" s="10"/>
      <c r="BT1262" s="10"/>
      <c r="BU1262" s="10"/>
    </row>
    <row r="1263" spans="1:73" ht="18" x14ac:dyDescent="0.35">
      <c r="A1263" s="43"/>
      <c r="C1263" s="393"/>
      <c r="E1263" s="394"/>
      <c r="F1263" s="394">
        <v>1.1499999999999999</v>
      </c>
      <c r="G1263" s="394"/>
      <c r="H1263" s="8" t="s">
        <v>235</v>
      </c>
      <c r="I1263" s="368">
        <f t="shared" si="58"/>
        <v>0</v>
      </c>
      <c r="J1263" s="365">
        <f t="shared" si="57"/>
        <v>0</v>
      </c>
      <c r="K1263" s="369">
        <f t="shared" si="59"/>
        <v>6</v>
      </c>
      <c r="L1263" s="369">
        <f>+IF((C1263&gt;='Resultats - informe'!$E$16)*(C1263&lt;='Resultats - informe'!$G$16),1,0)</f>
        <v>1</v>
      </c>
      <c r="M1263" s="369" cm="1">
        <f t="array" ref="M1263">+_xlfn.IFS((C1263&gt;='Resultats - informe'!$D$26)*(C1263&lt;='Resultats - informe'!$E$26),0,(C1263&gt;='Resultats - informe'!$D$27)*(C1263&lt;='Resultats - informe'!$E$27),0,(C1263&gt;='Resultats - informe'!$D$28)*(C1263&lt;='Resultats - informe'!$E$28),0,(C1263&gt;='Resultats - informe'!$D$29)*(C1263&lt;='Resultats - informe'!$E$29),0,1,1)</f>
        <v>0</v>
      </c>
      <c r="N1263" s="366">
        <f>+VLOOKUP(D1263,'Resultats - informe'!$Y$18:$AG$42,'Introducció dades consum'!K1263+1,0)</f>
        <v>0</v>
      </c>
      <c r="O1263" s="370" cm="1">
        <f t="array" ref="O1263">+_xlfn.SWITCH(MONTH(C1263),1,1,2,1,3,1,4,2,5,2,6,3,7,3,8,3,9,3,10,2,11,2,12,1,2)</f>
        <v>1</v>
      </c>
      <c r="P1263" s="43"/>
      <c r="AS1263" s="10"/>
      <c r="AT1263" s="10"/>
      <c r="AU1263" s="10"/>
      <c r="AV1263" s="10"/>
      <c r="AW1263" s="10"/>
      <c r="AX1263" s="10"/>
      <c r="AY1263" s="10"/>
      <c r="AZ1263" s="10"/>
      <c r="BA1263" s="10"/>
      <c r="BB1263" s="10"/>
      <c r="BC1263" s="10"/>
      <c r="BD1263" s="10"/>
      <c r="BE1263" s="10"/>
      <c r="BF1263" s="10"/>
      <c r="BG1263" s="10"/>
      <c r="BH1263" s="10"/>
      <c r="BI1263" s="10"/>
      <c r="BJ1263" s="10"/>
      <c r="BK1263" s="10"/>
      <c r="BL1263" s="10"/>
      <c r="BM1263" s="10"/>
      <c r="BN1263" s="10"/>
      <c r="BO1263" s="10"/>
      <c r="BP1263" s="10"/>
      <c r="BQ1263" s="10"/>
      <c r="BR1263" s="10"/>
      <c r="BS1263" s="10"/>
      <c r="BT1263" s="10"/>
      <c r="BU1263" s="10"/>
    </row>
    <row r="1264" spans="1:73" ht="18" x14ac:dyDescent="0.35">
      <c r="A1264" s="43"/>
      <c r="C1264" s="393"/>
      <c r="E1264" s="394"/>
      <c r="F1264" s="394">
        <v>0</v>
      </c>
      <c r="G1264" s="394"/>
      <c r="H1264" s="8" t="s">
        <v>235</v>
      </c>
      <c r="I1264" s="368">
        <f t="shared" si="58"/>
        <v>0</v>
      </c>
      <c r="J1264" s="365">
        <f t="shared" si="57"/>
        <v>0</v>
      </c>
      <c r="K1264" s="369">
        <f t="shared" si="59"/>
        <v>6</v>
      </c>
      <c r="L1264" s="369">
        <f>+IF((C1264&gt;='Resultats - informe'!$E$16)*(C1264&lt;='Resultats - informe'!$G$16),1,0)</f>
        <v>1</v>
      </c>
      <c r="M1264" s="369" cm="1">
        <f t="array" ref="M1264">+_xlfn.IFS((C1264&gt;='Resultats - informe'!$D$26)*(C1264&lt;='Resultats - informe'!$E$26),0,(C1264&gt;='Resultats - informe'!$D$27)*(C1264&lt;='Resultats - informe'!$E$27),0,(C1264&gt;='Resultats - informe'!$D$28)*(C1264&lt;='Resultats - informe'!$E$28),0,(C1264&gt;='Resultats - informe'!$D$29)*(C1264&lt;='Resultats - informe'!$E$29),0,1,1)</f>
        <v>0</v>
      </c>
      <c r="N1264" s="366">
        <f>+VLOOKUP(D1264,'Resultats - informe'!$Y$18:$AG$42,'Introducció dades consum'!K1264+1,0)</f>
        <v>0</v>
      </c>
      <c r="O1264" s="370" cm="1">
        <f t="array" ref="O1264">+_xlfn.SWITCH(MONTH(C1264),1,1,2,1,3,1,4,2,5,2,6,3,7,3,8,3,9,3,10,2,11,2,12,1,2)</f>
        <v>1</v>
      </c>
      <c r="P1264" s="43"/>
      <c r="AS1264" s="10"/>
      <c r="AT1264" s="10"/>
      <c r="AU1264" s="10"/>
      <c r="AV1264" s="10"/>
      <c r="AW1264" s="10"/>
      <c r="AX1264" s="10"/>
      <c r="AY1264" s="10"/>
      <c r="AZ1264" s="10"/>
      <c r="BA1264" s="10"/>
      <c r="BB1264" s="10"/>
      <c r="BC1264" s="10"/>
      <c r="BD1264" s="10"/>
      <c r="BE1264" s="10"/>
      <c r="BF1264" s="10"/>
      <c r="BG1264" s="10"/>
      <c r="BH1264" s="10"/>
      <c r="BI1264" s="10"/>
      <c r="BJ1264" s="10"/>
      <c r="BK1264" s="10"/>
      <c r="BL1264" s="10"/>
      <c r="BM1264" s="10"/>
      <c r="BN1264" s="10"/>
      <c r="BO1264" s="10"/>
      <c r="BP1264" s="10"/>
      <c r="BQ1264" s="10"/>
      <c r="BR1264" s="10"/>
      <c r="BS1264" s="10"/>
      <c r="BT1264" s="10"/>
      <c r="BU1264" s="10"/>
    </row>
    <row r="1265" spans="1:73" ht="18" x14ac:dyDescent="0.35">
      <c r="A1265" s="43"/>
      <c r="C1265" s="393"/>
      <c r="E1265" s="394"/>
      <c r="F1265" s="394">
        <v>0.35699999999999998</v>
      </c>
      <c r="G1265" s="394"/>
      <c r="H1265" s="8" t="s">
        <v>235</v>
      </c>
      <c r="I1265" s="368">
        <f t="shared" si="58"/>
        <v>0</v>
      </c>
      <c r="J1265" s="365">
        <f t="shared" si="57"/>
        <v>0</v>
      </c>
      <c r="K1265" s="369">
        <f t="shared" si="59"/>
        <v>6</v>
      </c>
      <c r="L1265" s="369">
        <f>+IF((C1265&gt;='Resultats - informe'!$E$16)*(C1265&lt;='Resultats - informe'!$G$16),1,0)</f>
        <v>1</v>
      </c>
      <c r="M1265" s="369" cm="1">
        <f t="array" ref="M1265">+_xlfn.IFS((C1265&gt;='Resultats - informe'!$D$26)*(C1265&lt;='Resultats - informe'!$E$26),0,(C1265&gt;='Resultats - informe'!$D$27)*(C1265&lt;='Resultats - informe'!$E$27),0,(C1265&gt;='Resultats - informe'!$D$28)*(C1265&lt;='Resultats - informe'!$E$28),0,(C1265&gt;='Resultats - informe'!$D$29)*(C1265&lt;='Resultats - informe'!$E$29),0,1,1)</f>
        <v>0</v>
      </c>
      <c r="N1265" s="366">
        <f>+VLOOKUP(D1265,'Resultats - informe'!$Y$18:$AG$42,'Introducció dades consum'!K1265+1,0)</f>
        <v>0</v>
      </c>
      <c r="O1265" s="370" cm="1">
        <f t="array" ref="O1265">+_xlfn.SWITCH(MONTH(C1265),1,1,2,1,3,1,4,2,5,2,6,3,7,3,8,3,9,3,10,2,11,2,12,1,2)</f>
        <v>1</v>
      </c>
      <c r="P1265" s="43"/>
      <c r="AS1265" s="10"/>
      <c r="AT1265" s="10"/>
      <c r="AU1265" s="10"/>
      <c r="AV1265" s="10"/>
      <c r="AW1265" s="10"/>
      <c r="AX1265" s="10"/>
      <c r="AY1265" s="10"/>
      <c r="AZ1265" s="10"/>
      <c r="BA1265" s="10"/>
      <c r="BB1265" s="10"/>
      <c r="BC1265" s="10"/>
      <c r="BD1265" s="10"/>
      <c r="BE1265" s="10"/>
      <c r="BF1265" s="10"/>
      <c r="BG1265" s="10"/>
      <c r="BH1265" s="10"/>
      <c r="BI1265" s="10"/>
      <c r="BJ1265" s="10"/>
      <c r="BK1265" s="10"/>
      <c r="BL1265" s="10"/>
      <c r="BM1265" s="10"/>
      <c r="BN1265" s="10"/>
      <c r="BO1265" s="10"/>
      <c r="BP1265" s="10"/>
      <c r="BQ1265" s="10"/>
      <c r="BR1265" s="10"/>
      <c r="BS1265" s="10"/>
      <c r="BT1265" s="10"/>
      <c r="BU1265" s="10"/>
    </row>
    <row r="1266" spans="1:73" ht="18" x14ac:dyDescent="0.35">
      <c r="A1266" s="43"/>
      <c r="C1266" s="393"/>
      <c r="E1266" s="394"/>
      <c r="F1266" s="394">
        <v>0</v>
      </c>
      <c r="G1266" s="394"/>
      <c r="H1266" s="8" t="s">
        <v>61</v>
      </c>
      <c r="I1266" s="368">
        <f t="shared" si="58"/>
        <v>0</v>
      </c>
      <c r="J1266" s="365">
        <f t="shared" si="57"/>
        <v>0</v>
      </c>
      <c r="K1266" s="369">
        <f t="shared" si="59"/>
        <v>6</v>
      </c>
      <c r="L1266" s="369">
        <f>+IF((C1266&gt;='Resultats - informe'!$E$16)*(C1266&lt;='Resultats - informe'!$G$16),1,0)</f>
        <v>1</v>
      </c>
      <c r="M1266" s="369" cm="1">
        <f t="array" ref="M1266">+_xlfn.IFS((C1266&gt;='Resultats - informe'!$D$26)*(C1266&lt;='Resultats - informe'!$E$26),0,(C1266&gt;='Resultats - informe'!$D$27)*(C1266&lt;='Resultats - informe'!$E$27),0,(C1266&gt;='Resultats - informe'!$D$28)*(C1266&lt;='Resultats - informe'!$E$28),0,(C1266&gt;='Resultats - informe'!$D$29)*(C1266&lt;='Resultats - informe'!$E$29),0,1,1)</f>
        <v>0</v>
      </c>
      <c r="N1266" s="366">
        <f>+VLOOKUP(D1266,'Resultats - informe'!$Y$18:$AG$42,'Introducció dades consum'!K1266+1,0)</f>
        <v>0</v>
      </c>
      <c r="O1266" s="370" cm="1">
        <f t="array" ref="O1266">+_xlfn.SWITCH(MONTH(C1266),1,1,2,1,3,1,4,2,5,2,6,3,7,3,8,3,9,3,10,2,11,2,12,1,2)</f>
        <v>1</v>
      </c>
      <c r="P1266" s="43"/>
      <c r="AS1266" s="10"/>
      <c r="AT1266" s="10"/>
      <c r="AU1266" s="10"/>
      <c r="AV1266" s="10"/>
      <c r="AW1266" s="10"/>
      <c r="AX1266" s="10"/>
      <c r="AY1266" s="10"/>
      <c r="AZ1266" s="10"/>
      <c r="BA1266" s="10"/>
      <c r="BB1266" s="10"/>
      <c r="BC1266" s="10"/>
      <c r="BD1266" s="10"/>
      <c r="BE1266" s="10"/>
      <c r="BF1266" s="10"/>
      <c r="BG1266" s="10"/>
      <c r="BH1266" s="10"/>
      <c r="BI1266" s="10"/>
      <c r="BJ1266" s="10"/>
      <c r="BK1266" s="10"/>
      <c r="BL1266" s="10"/>
      <c r="BM1266" s="10"/>
      <c r="BN1266" s="10"/>
      <c r="BO1266" s="10"/>
      <c r="BP1266" s="10"/>
      <c r="BQ1266" s="10"/>
      <c r="BR1266" s="10"/>
      <c r="BS1266" s="10"/>
      <c r="BT1266" s="10"/>
      <c r="BU1266" s="10"/>
    </row>
    <row r="1267" spans="1:73" ht="18" x14ac:dyDescent="0.35">
      <c r="A1267" s="43"/>
      <c r="C1267" s="393"/>
      <c r="E1267" s="394"/>
      <c r="F1267" s="394">
        <v>0.16400000000000001</v>
      </c>
      <c r="G1267" s="394"/>
      <c r="H1267" s="8" t="s">
        <v>61</v>
      </c>
      <c r="I1267" s="368">
        <f t="shared" si="58"/>
        <v>0</v>
      </c>
      <c r="J1267" s="365">
        <f t="shared" si="57"/>
        <v>0</v>
      </c>
      <c r="K1267" s="369">
        <f t="shared" si="59"/>
        <v>6</v>
      </c>
      <c r="L1267" s="369">
        <f>+IF((C1267&gt;='Resultats - informe'!$E$16)*(C1267&lt;='Resultats - informe'!$G$16),1,0)</f>
        <v>1</v>
      </c>
      <c r="M1267" s="369" cm="1">
        <f t="array" ref="M1267">+_xlfn.IFS((C1267&gt;='Resultats - informe'!$D$26)*(C1267&lt;='Resultats - informe'!$E$26),0,(C1267&gt;='Resultats - informe'!$D$27)*(C1267&lt;='Resultats - informe'!$E$27),0,(C1267&gt;='Resultats - informe'!$D$28)*(C1267&lt;='Resultats - informe'!$E$28),0,(C1267&gt;='Resultats - informe'!$D$29)*(C1267&lt;='Resultats - informe'!$E$29),0,1,1)</f>
        <v>0</v>
      </c>
      <c r="N1267" s="366">
        <f>+VLOOKUP(D1267,'Resultats - informe'!$Y$18:$AG$42,'Introducció dades consum'!K1267+1,0)</f>
        <v>0</v>
      </c>
      <c r="O1267" s="370" cm="1">
        <f t="array" ref="O1267">+_xlfn.SWITCH(MONTH(C1267),1,1,2,1,3,1,4,2,5,2,6,3,7,3,8,3,9,3,10,2,11,2,12,1,2)</f>
        <v>1</v>
      </c>
      <c r="P1267" s="43"/>
      <c r="AS1267" s="10"/>
      <c r="AT1267" s="10"/>
      <c r="AU1267" s="10"/>
      <c r="AV1267" s="10"/>
      <c r="AW1267" s="10"/>
      <c r="AX1267" s="10"/>
      <c r="AY1267" s="10"/>
      <c r="AZ1267" s="10"/>
      <c r="BA1267" s="10"/>
      <c r="BB1267" s="10"/>
      <c r="BC1267" s="10"/>
      <c r="BD1267" s="10"/>
      <c r="BE1267" s="10"/>
      <c r="BF1267" s="10"/>
      <c r="BG1267" s="10"/>
      <c r="BH1267" s="10"/>
      <c r="BI1267" s="10"/>
      <c r="BJ1267" s="10"/>
      <c r="BK1267" s="10"/>
      <c r="BL1267" s="10"/>
      <c r="BM1267" s="10"/>
      <c r="BN1267" s="10"/>
      <c r="BO1267" s="10"/>
      <c r="BP1267" s="10"/>
      <c r="BQ1267" s="10"/>
      <c r="BR1267" s="10"/>
      <c r="BS1267" s="10"/>
      <c r="BT1267" s="10"/>
      <c r="BU1267" s="10"/>
    </row>
    <row r="1268" spans="1:73" ht="18" x14ac:dyDescent="0.35">
      <c r="A1268" s="43"/>
      <c r="C1268" s="393"/>
      <c r="E1268" s="394"/>
      <c r="F1268" s="394">
        <v>0</v>
      </c>
      <c r="G1268" s="394"/>
      <c r="H1268" s="8" t="s">
        <v>61</v>
      </c>
      <c r="I1268" s="368">
        <f t="shared" si="58"/>
        <v>0</v>
      </c>
      <c r="J1268" s="365">
        <f t="shared" si="57"/>
        <v>0</v>
      </c>
      <c r="K1268" s="369">
        <f t="shared" si="59"/>
        <v>6</v>
      </c>
      <c r="L1268" s="369">
        <f>+IF((C1268&gt;='Resultats - informe'!$E$16)*(C1268&lt;='Resultats - informe'!$G$16),1,0)</f>
        <v>1</v>
      </c>
      <c r="M1268" s="369" cm="1">
        <f t="array" ref="M1268">+_xlfn.IFS((C1268&gt;='Resultats - informe'!$D$26)*(C1268&lt;='Resultats - informe'!$E$26),0,(C1268&gt;='Resultats - informe'!$D$27)*(C1268&lt;='Resultats - informe'!$E$27),0,(C1268&gt;='Resultats - informe'!$D$28)*(C1268&lt;='Resultats - informe'!$E$28),0,(C1268&gt;='Resultats - informe'!$D$29)*(C1268&lt;='Resultats - informe'!$E$29),0,1,1)</f>
        <v>0</v>
      </c>
      <c r="N1268" s="366">
        <f>+VLOOKUP(D1268,'Resultats - informe'!$Y$18:$AG$42,'Introducció dades consum'!K1268+1,0)</f>
        <v>0</v>
      </c>
      <c r="O1268" s="370" cm="1">
        <f t="array" ref="O1268">+_xlfn.SWITCH(MONTH(C1268),1,1,2,1,3,1,4,2,5,2,6,3,7,3,8,3,9,3,10,2,11,2,12,1,2)</f>
        <v>1</v>
      </c>
      <c r="P1268" s="43"/>
      <c r="AS1268" s="10"/>
      <c r="AT1268" s="10"/>
      <c r="AU1268" s="10"/>
      <c r="AV1268" s="10"/>
      <c r="AW1268" s="10"/>
      <c r="AX1268" s="10"/>
      <c r="AY1268" s="10"/>
      <c r="AZ1268" s="10"/>
      <c r="BA1268" s="10"/>
      <c r="BB1268" s="10"/>
      <c r="BC1268" s="10"/>
      <c r="BD1268" s="10"/>
      <c r="BE1268" s="10"/>
      <c r="BF1268" s="10"/>
      <c r="BG1268" s="10"/>
      <c r="BH1268" s="10"/>
      <c r="BI1268" s="10"/>
      <c r="BJ1268" s="10"/>
      <c r="BK1268" s="10"/>
      <c r="BL1268" s="10"/>
      <c r="BM1268" s="10"/>
      <c r="BN1268" s="10"/>
      <c r="BO1268" s="10"/>
      <c r="BP1268" s="10"/>
      <c r="BQ1268" s="10"/>
      <c r="BR1268" s="10"/>
      <c r="BS1268" s="10"/>
      <c r="BT1268" s="10"/>
      <c r="BU1268" s="10"/>
    </row>
    <row r="1269" spans="1:73" ht="18" x14ac:dyDescent="0.35">
      <c r="A1269" s="43"/>
      <c r="C1269" s="393"/>
      <c r="E1269" s="394"/>
      <c r="F1269" s="394">
        <v>0</v>
      </c>
      <c r="G1269" s="394"/>
      <c r="H1269" s="8" t="s">
        <v>61</v>
      </c>
      <c r="I1269" s="368">
        <f t="shared" si="58"/>
        <v>0</v>
      </c>
      <c r="J1269" s="365">
        <f t="shared" si="57"/>
        <v>0</v>
      </c>
      <c r="K1269" s="369">
        <f t="shared" si="59"/>
        <v>6</v>
      </c>
      <c r="L1269" s="369">
        <f>+IF((C1269&gt;='Resultats - informe'!$E$16)*(C1269&lt;='Resultats - informe'!$G$16),1,0)</f>
        <v>1</v>
      </c>
      <c r="M1269" s="369" cm="1">
        <f t="array" ref="M1269">+_xlfn.IFS((C1269&gt;='Resultats - informe'!$D$26)*(C1269&lt;='Resultats - informe'!$E$26),0,(C1269&gt;='Resultats - informe'!$D$27)*(C1269&lt;='Resultats - informe'!$E$27),0,(C1269&gt;='Resultats - informe'!$D$28)*(C1269&lt;='Resultats - informe'!$E$28),0,(C1269&gt;='Resultats - informe'!$D$29)*(C1269&lt;='Resultats - informe'!$E$29),0,1,1)</f>
        <v>0</v>
      </c>
      <c r="N1269" s="366">
        <f>+VLOOKUP(D1269,'Resultats - informe'!$Y$18:$AG$42,'Introducció dades consum'!K1269+1,0)</f>
        <v>0</v>
      </c>
      <c r="O1269" s="370" cm="1">
        <f t="array" ref="O1269">+_xlfn.SWITCH(MONTH(C1269),1,1,2,1,3,1,4,2,5,2,6,3,7,3,8,3,9,3,10,2,11,2,12,1,2)</f>
        <v>1</v>
      </c>
      <c r="P1269" s="43"/>
      <c r="AS1269" s="10"/>
      <c r="AT1269" s="10"/>
      <c r="AU1269" s="10"/>
      <c r="AV1269" s="10"/>
      <c r="AW1269" s="10"/>
      <c r="AX1269" s="10"/>
      <c r="AY1269" s="10"/>
      <c r="AZ1269" s="10"/>
      <c r="BA1269" s="10"/>
      <c r="BB1269" s="10"/>
      <c r="BC1269" s="10"/>
      <c r="BD1269" s="10"/>
      <c r="BE1269" s="10"/>
      <c r="BF1269" s="10"/>
      <c r="BG1269" s="10"/>
      <c r="BH1269" s="10"/>
      <c r="BI1269" s="10"/>
      <c r="BJ1269" s="10"/>
      <c r="BK1269" s="10"/>
      <c r="BL1269" s="10"/>
      <c r="BM1269" s="10"/>
      <c r="BN1269" s="10"/>
      <c r="BO1269" s="10"/>
      <c r="BP1269" s="10"/>
      <c r="BQ1269" s="10"/>
      <c r="BR1269" s="10"/>
      <c r="BS1269" s="10"/>
      <c r="BT1269" s="10"/>
      <c r="BU1269" s="10"/>
    </row>
    <row r="1270" spans="1:73" ht="18" x14ac:dyDescent="0.35">
      <c r="A1270" s="43"/>
      <c r="C1270" s="393"/>
      <c r="E1270" s="394"/>
      <c r="F1270" s="394">
        <v>0</v>
      </c>
      <c r="G1270" s="394"/>
      <c r="H1270" s="8" t="s">
        <v>61</v>
      </c>
      <c r="I1270" s="368">
        <f t="shared" si="58"/>
        <v>0</v>
      </c>
      <c r="J1270" s="365">
        <f t="shared" si="57"/>
        <v>0</v>
      </c>
      <c r="K1270" s="369">
        <f t="shared" si="59"/>
        <v>6</v>
      </c>
      <c r="L1270" s="369">
        <f>+IF((C1270&gt;='Resultats - informe'!$E$16)*(C1270&lt;='Resultats - informe'!$G$16),1,0)</f>
        <v>1</v>
      </c>
      <c r="M1270" s="369" cm="1">
        <f t="array" ref="M1270">+_xlfn.IFS((C1270&gt;='Resultats - informe'!$D$26)*(C1270&lt;='Resultats - informe'!$E$26),0,(C1270&gt;='Resultats - informe'!$D$27)*(C1270&lt;='Resultats - informe'!$E$27),0,(C1270&gt;='Resultats - informe'!$D$28)*(C1270&lt;='Resultats - informe'!$E$28),0,(C1270&gt;='Resultats - informe'!$D$29)*(C1270&lt;='Resultats - informe'!$E$29),0,1,1)</f>
        <v>0</v>
      </c>
      <c r="N1270" s="366">
        <f>+VLOOKUP(D1270,'Resultats - informe'!$Y$18:$AG$42,'Introducció dades consum'!K1270+1,0)</f>
        <v>0</v>
      </c>
      <c r="O1270" s="370" cm="1">
        <f t="array" ref="O1270">+_xlfn.SWITCH(MONTH(C1270),1,1,2,1,3,1,4,2,5,2,6,3,7,3,8,3,9,3,10,2,11,2,12,1,2)</f>
        <v>1</v>
      </c>
      <c r="P1270" s="43"/>
      <c r="AS1270" s="10"/>
      <c r="AT1270" s="10"/>
      <c r="AU1270" s="10"/>
      <c r="AV1270" s="10"/>
      <c r="AW1270" s="10"/>
      <c r="AX1270" s="10"/>
      <c r="AY1270" s="10"/>
      <c r="AZ1270" s="10"/>
      <c r="BA1270" s="10"/>
      <c r="BB1270" s="10"/>
      <c r="BC1270" s="10"/>
      <c r="BD1270" s="10"/>
      <c r="BE1270" s="10"/>
      <c r="BF1270" s="10"/>
      <c r="BG1270" s="10"/>
      <c r="BH1270" s="10"/>
      <c r="BI1270" s="10"/>
      <c r="BJ1270" s="10"/>
      <c r="BK1270" s="10"/>
      <c r="BL1270" s="10"/>
      <c r="BM1270" s="10"/>
      <c r="BN1270" s="10"/>
      <c r="BO1270" s="10"/>
      <c r="BP1270" s="10"/>
      <c r="BQ1270" s="10"/>
      <c r="BR1270" s="10"/>
      <c r="BS1270" s="10"/>
      <c r="BT1270" s="10"/>
      <c r="BU1270" s="10"/>
    </row>
    <row r="1271" spans="1:73" ht="18" x14ac:dyDescent="0.35">
      <c r="A1271" s="43"/>
      <c r="C1271" s="393"/>
      <c r="E1271" s="394"/>
      <c r="F1271" s="394">
        <v>0</v>
      </c>
      <c r="G1271" s="394"/>
      <c r="H1271" s="8" t="s">
        <v>235</v>
      </c>
      <c r="I1271" s="368">
        <f t="shared" si="58"/>
        <v>0</v>
      </c>
      <c r="J1271" s="365">
        <f t="shared" si="57"/>
        <v>0</v>
      </c>
      <c r="K1271" s="369">
        <f t="shared" si="59"/>
        <v>6</v>
      </c>
      <c r="L1271" s="369">
        <f>+IF((C1271&gt;='Resultats - informe'!$E$16)*(C1271&lt;='Resultats - informe'!$G$16),1,0)</f>
        <v>1</v>
      </c>
      <c r="M1271" s="369" cm="1">
        <f t="array" ref="M1271">+_xlfn.IFS((C1271&gt;='Resultats - informe'!$D$26)*(C1271&lt;='Resultats - informe'!$E$26),0,(C1271&gt;='Resultats - informe'!$D$27)*(C1271&lt;='Resultats - informe'!$E$27),0,(C1271&gt;='Resultats - informe'!$D$28)*(C1271&lt;='Resultats - informe'!$E$28),0,(C1271&gt;='Resultats - informe'!$D$29)*(C1271&lt;='Resultats - informe'!$E$29),0,1,1)</f>
        <v>0</v>
      </c>
      <c r="N1271" s="366">
        <f>+VLOOKUP(D1271,'Resultats - informe'!$Y$18:$AG$42,'Introducció dades consum'!K1271+1,0)</f>
        <v>0</v>
      </c>
      <c r="O1271" s="370" cm="1">
        <f t="array" ref="O1271">+_xlfn.SWITCH(MONTH(C1271),1,1,2,1,3,1,4,2,5,2,6,3,7,3,8,3,9,3,10,2,11,2,12,1,2)</f>
        <v>1</v>
      </c>
      <c r="P1271" s="43"/>
      <c r="AS1271" s="10"/>
      <c r="AT1271" s="10"/>
      <c r="AU1271" s="10"/>
      <c r="AV1271" s="10"/>
      <c r="AW1271" s="10"/>
      <c r="AX1271" s="10"/>
      <c r="AY1271" s="10"/>
      <c r="AZ1271" s="10"/>
      <c r="BA1271" s="10"/>
      <c r="BB1271" s="10"/>
      <c r="BC1271" s="10"/>
      <c r="BD1271" s="10"/>
      <c r="BE1271" s="10"/>
      <c r="BF1271" s="10"/>
      <c r="BG1271" s="10"/>
      <c r="BH1271" s="10"/>
      <c r="BI1271" s="10"/>
      <c r="BJ1271" s="10"/>
      <c r="BK1271" s="10"/>
      <c r="BL1271" s="10"/>
      <c r="BM1271" s="10"/>
      <c r="BN1271" s="10"/>
      <c r="BO1271" s="10"/>
      <c r="BP1271" s="10"/>
      <c r="BQ1271" s="10"/>
      <c r="BR1271" s="10"/>
      <c r="BS1271" s="10"/>
      <c r="BT1271" s="10"/>
      <c r="BU1271" s="10"/>
    </row>
    <row r="1272" spans="1:73" ht="18" x14ac:dyDescent="0.35">
      <c r="A1272" s="43"/>
      <c r="C1272" s="393"/>
      <c r="E1272" s="394"/>
      <c r="F1272" s="394">
        <v>0</v>
      </c>
      <c r="G1272" s="394"/>
      <c r="H1272" s="8" t="s">
        <v>235</v>
      </c>
      <c r="I1272" s="368">
        <f t="shared" si="58"/>
        <v>0</v>
      </c>
      <c r="J1272" s="365">
        <f t="shared" si="57"/>
        <v>0</v>
      </c>
      <c r="K1272" s="369">
        <f t="shared" si="59"/>
        <v>6</v>
      </c>
      <c r="L1272" s="369">
        <f>+IF((C1272&gt;='Resultats - informe'!$E$16)*(C1272&lt;='Resultats - informe'!$G$16),1,0)</f>
        <v>1</v>
      </c>
      <c r="M1272" s="369" cm="1">
        <f t="array" ref="M1272">+_xlfn.IFS((C1272&gt;='Resultats - informe'!$D$26)*(C1272&lt;='Resultats - informe'!$E$26),0,(C1272&gt;='Resultats - informe'!$D$27)*(C1272&lt;='Resultats - informe'!$E$27),0,(C1272&gt;='Resultats - informe'!$D$28)*(C1272&lt;='Resultats - informe'!$E$28),0,(C1272&gt;='Resultats - informe'!$D$29)*(C1272&lt;='Resultats - informe'!$E$29),0,1,1)</f>
        <v>0</v>
      </c>
      <c r="N1272" s="366">
        <f>+VLOOKUP(D1272,'Resultats - informe'!$Y$18:$AG$42,'Introducció dades consum'!K1272+1,0)</f>
        <v>0</v>
      </c>
      <c r="O1272" s="370" cm="1">
        <f t="array" ref="O1272">+_xlfn.SWITCH(MONTH(C1272),1,1,2,1,3,1,4,2,5,2,6,3,7,3,8,3,9,3,10,2,11,2,12,1,2)</f>
        <v>1</v>
      </c>
      <c r="P1272" s="43"/>
      <c r="AS1272" s="10"/>
      <c r="AT1272" s="10"/>
      <c r="AU1272" s="10"/>
      <c r="AV1272" s="10"/>
      <c r="AW1272" s="10"/>
      <c r="AX1272" s="10"/>
      <c r="AY1272" s="10"/>
      <c r="AZ1272" s="10"/>
      <c r="BA1272" s="10"/>
      <c r="BB1272" s="10"/>
      <c r="BC1272" s="10"/>
      <c r="BD1272" s="10"/>
      <c r="BE1272" s="10"/>
      <c r="BF1272" s="10"/>
      <c r="BG1272" s="10"/>
      <c r="BH1272" s="10"/>
      <c r="BI1272" s="10"/>
      <c r="BJ1272" s="10"/>
      <c r="BK1272" s="10"/>
      <c r="BL1272" s="10"/>
      <c r="BM1272" s="10"/>
      <c r="BN1272" s="10"/>
      <c r="BO1272" s="10"/>
      <c r="BP1272" s="10"/>
      <c r="BQ1272" s="10"/>
      <c r="BR1272" s="10"/>
      <c r="BS1272" s="10"/>
      <c r="BT1272" s="10"/>
      <c r="BU1272" s="10"/>
    </row>
    <row r="1273" spans="1:73" ht="18" x14ac:dyDescent="0.35">
      <c r="A1273" s="43"/>
      <c r="C1273" s="393"/>
      <c r="E1273" s="394"/>
      <c r="F1273" s="394">
        <v>0</v>
      </c>
      <c r="G1273" s="394"/>
      <c r="H1273" s="8" t="s">
        <v>235</v>
      </c>
      <c r="I1273" s="368">
        <f t="shared" si="58"/>
        <v>0</v>
      </c>
      <c r="J1273" s="365">
        <f t="shared" si="57"/>
        <v>0</v>
      </c>
      <c r="K1273" s="369">
        <f t="shared" si="59"/>
        <v>6</v>
      </c>
      <c r="L1273" s="369">
        <f>+IF((C1273&gt;='Resultats - informe'!$E$16)*(C1273&lt;='Resultats - informe'!$G$16),1,0)</f>
        <v>1</v>
      </c>
      <c r="M1273" s="369" cm="1">
        <f t="array" ref="M1273">+_xlfn.IFS((C1273&gt;='Resultats - informe'!$D$26)*(C1273&lt;='Resultats - informe'!$E$26),0,(C1273&gt;='Resultats - informe'!$D$27)*(C1273&lt;='Resultats - informe'!$E$27),0,(C1273&gt;='Resultats - informe'!$D$28)*(C1273&lt;='Resultats - informe'!$E$28),0,(C1273&gt;='Resultats - informe'!$D$29)*(C1273&lt;='Resultats - informe'!$E$29),0,1,1)</f>
        <v>0</v>
      </c>
      <c r="N1273" s="366">
        <f>+VLOOKUP(D1273,'Resultats - informe'!$Y$18:$AG$42,'Introducció dades consum'!K1273+1,0)</f>
        <v>0</v>
      </c>
      <c r="O1273" s="370" cm="1">
        <f t="array" ref="O1273">+_xlfn.SWITCH(MONTH(C1273),1,1,2,1,3,1,4,2,5,2,6,3,7,3,8,3,9,3,10,2,11,2,12,1,2)</f>
        <v>1</v>
      </c>
      <c r="P1273" s="43"/>
      <c r="AS1273" s="10"/>
      <c r="AT1273" s="10"/>
      <c r="AU1273" s="10"/>
      <c r="AV1273" s="10"/>
      <c r="AW1273" s="10"/>
      <c r="AX1273" s="10"/>
      <c r="AY1273" s="10"/>
      <c r="AZ1273" s="10"/>
      <c r="BA1273" s="10"/>
      <c r="BB1273" s="10"/>
      <c r="BC1273" s="10"/>
      <c r="BD1273" s="10"/>
      <c r="BE1273" s="10"/>
      <c r="BF1273" s="10"/>
      <c r="BG1273" s="10"/>
      <c r="BH1273" s="10"/>
      <c r="BI1273" s="10"/>
      <c r="BJ1273" s="10"/>
      <c r="BK1273" s="10"/>
      <c r="BL1273" s="10"/>
      <c r="BM1273" s="10"/>
      <c r="BN1273" s="10"/>
      <c r="BO1273" s="10"/>
      <c r="BP1273" s="10"/>
      <c r="BQ1273" s="10"/>
      <c r="BR1273" s="10"/>
      <c r="BS1273" s="10"/>
      <c r="BT1273" s="10"/>
      <c r="BU1273" s="10"/>
    </row>
    <row r="1274" spans="1:73" ht="18" x14ac:dyDescent="0.35">
      <c r="A1274" s="43"/>
      <c r="C1274" s="393"/>
      <c r="E1274" s="394"/>
      <c r="F1274" s="394">
        <v>0</v>
      </c>
      <c r="G1274" s="394"/>
      <c r="H1274" s="8" t="s">
        <v>235</v>
      </c>
      <c r="I1274" s="368">
        <f t="shared" si="58"/>
        <v>0</v>
      </c>
      <c r="J1274" s="365">
        <f t="shared" si="57"/>
        <v>0</v>
      </c>
      <c r="K1274" s="369">
        <f t="shared" si="59"/>
        <v>6</v>
      </c>
      <c r="L1274" s="369">
        <f>+IF((C1274&gt;='Resultats - informe'!$E$16)*(C1274&lt;='Resultats - informe'!$G$16),1,0)</f>
        <v>1</v>
      </c>
      <c r="M1274" s="369" cm="1">
        <f t="array" ref="M1274">+_xlfn.IFS((C1274&gt;='Resultats - informe'!$D$26)*(C1274&lt;='Resultats - informe'!$E$26),0,(C1274&gt;='Resultats - informe'!$D$27)*(C1274&lt;='Resultats - informe'!$E$27),0,(C1274&gt;='Resultats - informe'!$D$28)*(C1274&lt;='Resultats - informe'!$E$28),0,(C1274&gt;='Resultats - informe'!$D$29)*(C1274&lt;='Resultats - informe'!$E$29),0,1,1)</f>
        <v>0</v>
      </c>
      <c r="N1274" s="366">
        <f>+VLOOKUP(D1274,'Resultats - informe'!$Y$18:$AG$42,'Introducció dades consum'!K1274+1,0)</f>
        <v>0</v>
      </c>
      <c r="O1274" s="370" cm="1">
        <f t="array" ref="O1274">+_xlfn.SWITCH(MONTH(C1274),1,1,2,1,3,1,4,2,5,2,6,3,7,3,8,3,9,3,10,2,11,2,12,1,2)</f>
        <v>1</v>
      </c>
      <c r="P1274" s="43"/>
      <c r="AS1274" s="10"/>
      <c r="AT1274" s="10"/>
      <c r="AU1274" s="10"/>
      <c r="AV1274" s="10"/>
      <c r="AW1274" s="10"/>
      <c r="AX1274" s="10"/>
      <c r="AY1274" s="10"/>
      <c r="AZ1274" s="10"/>
      <c r="BA1274" s="10"/>
      <c r="BB1274" s="10"/>
      <c r="BC1274" s="10"/>
      <c r="BD1274" s="10"/>
      <c r="BE1274" s="10"/>
      <c r="BF1274" s="10"/>
      <c r="BG1274" s="10"/>
      <c r="BH1274" s="10"/>
      <c r="BI1274" s="10"/>
      <c r="BJ1274" s="10"/>
      <c r="BK1274" s="10"/>
      <c r="BL1274" s="10"/>
      <c r="BM1274" s="10"/>
      <c r="BN1274" s="10"/>
      <c r="BO1274" s="10"/>
      <c r="BP1274" s="10"/>
      <c r="BQ1274" s="10"/>
      <c r="BR1274" s="10"/>
      <c r="BS1274" s="10"/>
      <c r="BT1274" s="10"/>
      <c r="BU1274" s="10"/>
    </row>
    <row r="1275" spans="1:73" ht="18" x14ac:dyDescent="0.35">
      <c r="A1275" s="43"/>
      <c r="C1275" s="393"/>
      <c r="E1275" s="394"/>
      <c r="F1275" s="394">
        <v>0</v>
      </c>
      <c r="G1275" s="394"/>
      <c r="H1275" s="8" t="s">
        <v>235</v>
      </c>
      <c r="I1275" s="368">
        <f t="shared" si="58"/>
        <v>0</v>
      </c>
      <c r="J1275" s="365">
        <f t="shared" ref="J1275:J1338" si="60">+C1275</f>
        <v>0</v>
      </c>
      <c r="K1275" s="369">
        <f t="shared" si="59"/>
        <v>6</v>
      </c>
      <c r="L1275" s="369">
        <f>+IF((C1275&gt;='Resultats - informe'!$E$16)*(C1275&lt;='Resultats - informe'!$G$16),1,0)</f>
        <v>1</v>
      </c>
      <c r="M1275" s="369" cm="1">
        <f t="array" ref="M1275">+_xlfn.IFS((C1275&gt;='Resultats - informe'!$D$26)*(C1275&lt;='Resultats - informe'!$E$26),0,(C1275&gt;='Resultats - informe'!$D$27)*(C1275&lt;='Resultats - informe'!$E$27),0,(C1275&gt;='Resultats - informe'!$D$28)*(C1275&lt;='Resultats - informe'!$E$28),0,(C1275&gt;='Resultats - informe'!$D$29)*(C1275&lt;='Resultats - informe'!$E$29),0,1,1)</f>
        <v>0</v>
      </c>
      <c r="N1275" s="366">
        <f>+VLOOKUP(D1275,'Resultats - informe'!$Y$18:$AG$42,'Introducció dades consum'!K1275+1,0)</f>
        <v>0</v>
      </c>
      <c r="O1275" s="370" cm="1">
        <f t="array" ref="O1275">+_xlfn.SWITCH(MONTH(C1275),1,1,2,1,3,1,4,2,5,2,6,3,7,3,8,3,9,3,10,2,11,2,12,1,2)</f>
        <v>1</v>
      </c>
      <c r="P1275" s="43"/>
      <c r="AS1275" s="10"/>
      <c r="AT1275" s="10"/>
      <c r="AU1275" s="10"/>
      <c r="AV1275" s="10"/>
      <c r="AW1275" s="10"/>
      <c r="AX1275" s="10"/>
      <c r="AY1275" s="10"/>
      <c r="AZ1275" s="10"/>
      <c r="BA1275" s="10"/>
      <c r="BB1275" s="10"/>
      <c r="BC1275" s="10"/>
      <c r="BD1275" s="10"/>
      <c r="BE1275" s="10"/>
      <c r="BF1275" s="10"/>
      <c r="BG1275" s="10"/>
      <c r="BH1275" s="10"/>
      <c r="BI1275" s="10"/>
      <c r="BJ1275" s="10"/>
      <c r="BK1275" s="10"/>
      <c r="BL1275" s="10"/>
      <c r="BM1275" s="10"/>
      <c r="BN1275" s="10"/>
      <c r="BO1275" s="10"/>
      <c r="BP1275" s="10"/>
      <c r="BQ1275" s="10"/>
      <c r="BR1275" s="10"/>
      <c r="BS1275" s="10"/>
      <c r="BT1275" s="10"/>
      <c r="BU1275" s="10"/>
    </row>
    <row r="1276" spans="1:73" ht="18" x14ac:dyDescent="0.35">
      <c r="A1276" s="43"/>
      <c r="C1276" s="393"/>
      <c r="E1276" s="394"/>
      <c r="F1276" s="394">
        <v>0</v>
      </c>
      <c r="G1276" s="394"/>
      <c r="H1276" s="8" t="s">
        <v>235</v>
      </c>
      <c r="I1276" s="368">
        <f t="shared" si="58"/>
        <v>0</v>
      </c>
      <c r="J1276" s="365">
        <f t="shared" si="60"/>
        <v>0</v>
      </c>
      <c r="K1276" s="369">
        <f t="shared" si="59"/>
        <v>6</v>
      </c>
      <c r="L1276" s="369">
        <f>+IF((C1276&gt;='Resultats - informe'!$E$16)*(C1276&lt;='Resultats - informe'!$G$16),1,0)</f>
        <v>1</v>
      </c>
      <c r="M1276" s="369" cm="1">
        <f t="array" ref="M1276">+_xlfn.IFS((C1276&gt;='Resultats - informe'!$D$26)*(C1276&lt;='Resultats - informe'!$E$26),0,(C1276&gt;='Resultats - informe'!$D$27)*(C1276&lt;='Resultats - informe'!$E$27),0,(C1276&gt;='Resultats - informe'!$D$28)*(C1276&lt;='Resultats - informe'!$E$28),0,(C1276&gt;='Resultats - informe'!$D$29)*(C1276&lt;='Resultats - informe'!$E$29),0,1,1)</f>
        <v>0</v>
      </c>
      <c r="N1276" s="366">
        <f>+VLOOKUP(D1276,'Resultats - informe'!$Y$18:$AG$42,'Introducció dades consum'!K1276+1,0)</f>
        <v>0</v>
      </c>
      <c r="O1276" s="370" cm="1">
        <f t="array" ref="O1276">+_xlfn.SWITCH(MONTH(C1276),1,1,2,1,3,1,4,2,5,2,6,3,7,3,8,3,9,3,10,2,11,2,12,1,2)</f>
        <v>1</v>
      </c>
      <c r="P1276" s="43"/>
      <c r="AS1276" s="10"/>
      <c r="AT1276" s="10"/>
      <c r="AU1276" s="10"/>
      <c r="AV1276" s="10"/>
      <c r="AW1276" s="10"/>
      <c r="AX1276" s="10"/>
      <c r="AY1276" s="10"/>
      <c r="AZ1276" s="10"/>
      <c r="BA1276" s="10"/>
      <c r="BB1276" s="10"/>
      <c r="BC1276" s="10"/>
      <c r="BD1276" s="10"/>
      <c r="BE1276" s="10"/>
      <c r="BF1276" s="10"/>
      <c r="BG1276" s="10"/>
      <c r="BH1276" s="10"/>
      <c r="BI1276" s="10"/>
      <c r="BJ1276" s="10"/>
      <c r="BK1276" s="10"/>
      <c r="BL1276" s="10"/>
      <c r="BM1276" s="10"/>
      <c r="BN1276" s="10"/>
      <c r="BO1276" s="10"/>
      <c r="BP1276" s="10"/>
      <c r="BQ1276" s="10"/>
      <c r="BR1276" s="10"/>
      <c r="BS1276" s="10"/>
      <c r="BT1276" s="10"/>
      <c r="BU1276" s="10"/>
    </row>
    <row r="1277" spans="1:73" ht="18" x14ac:dyDescent="0.35">
      <c r="A1277" s="43"/>
      <c r="C1277" s="393"/>
      <c r="E1277" s="394"/>
      <c r="F1277" s="394">
        <v>0</v>
      </c>
      <c r="G1277" s="394"/>
      <c r="H1277" s="8" t="s">
        <v>235</v>
      </c>
      <c r="I1277" s="368">
        <f t="shared" si="58"/>
        <v>0</v>
      </c>
      <c r="J1277" s="365">
        <f t="shared" si="60"/>
        <v>0</v>
      </c>
      <c r="K1277" s="369">
        <f t="shared" si="59"/>
        <v>6</v>
      </c>
      <c r="L1277" s="369">
        <f>+IF((C1277&gt;='Resultats - informe'!$E$16)*(C1277&lt;='Resultats - informe'!$G$16),1,0)</f>
        <v>1</v>
      </c>
      <c r="M1277" s="369" cm="1">
        <f t="array" ref="M1277">+_xlfn.IFS((C1277&gt;='Resultats - informe'!$D$26)*(C1277&lt;='Resultats - informe'!$E$26),0,(C1277&gt;='Resultats - informe'!$D$27)*(C1277&lt;='Resultats - informe'!$E$27),0,(C1277&gt;='Resultats - informe'!$D$28)*(C1277&lt;='Resultats - informe'!$E$28),0,(C1277&gt;='Resultats - informe'!$D$29)*(C1277&lt;='Resultats - informe'!$E$29),0,1,1)</f>
        <v>0</v>
      </c>
      <c r="N1277" s="366">
        <f>+VLOOKUP(D1277,'Resultats - informe'!$Y$18:$AG$42,'Introducció dades consum'!K1277+1,0)</f>
        <v>0</v>
      </c>
      <c r="O1277" s="370" cm="1">
        <f t="array" ref="O1277">+_xlfn.SWITCH(MONTH(C1277),1,1,2,1,3,1,4,2,5,2,6,3,7,3,8,3,9,3,10,2,11,2,12,1,2)</f>
        <v>1</v>
      </c>
      <c r="P1277" s="43"/>
      <c r="AS1277" s="10"/>
      <c r="AT1277" s="10"/>
      <c r="AU1277" s="10"/>
      <c r="AV1277" s="10"/>
      <c r="AW1277" s="10"/>
      <c r="AX1277" s="10"/>
      <c r="AY1277" s="10"/>
      <c r="AZ1277" s="10"/>
      <c r="BA1277" s="10"/>
      <c r="BB1277" s="10"/>
      <c r="BC1277" s="10"/>
      <c r="BD1277" s="10"/>
      <c r="BE1277" s="10"/>
      <c r="BF1277" s="10"/>
      <c r="BG1277" s="10"/>
      <c r="BH1277" s="10"/>
      <c r="BI1277" s="10"/>
      <c r="BJ1277" s="10"/>
      <c r="BK1277" s="10"/>
      <c r="BL1277" s="10"/>
      <c r="BM1277" s="10"/>
      <c r="BN1277" s="10"/>
      <c r="BO1277" s="10"/>
      <c r="BP1277" s="10"/>
      <c r="BQ1277" s="10"/>
      <c r="BR1277" s="10"/>
      <c r="BS1277" s="10"/>
      <c r="BT1277" s="10"/>
      <c r="BU1277" s="10"/>
    </row>
    <row r="1278" spans="1:73" ht="18" x14ac:dyDescent="0.35">
      <c r="A1278" s="43"/>
      <c r="C1278" s="393"/>
      <c r="E1278" s="394"/>
      <c r="F1278" s="394">
        <v>0</v>
      </c>
      <c r="G1278" s="394"/>
      <c r="H1278" s="8" t="s">
        <v>235</v>
      </c>
      <c r="I1278" s="368">
        <f t="shared" si="58"/>
        <v>0</v>
      </c>
      <c r="J1278" s="365">
        <f t="shared" si="60"/>
        <v>0</v>
      </c>
      <c r="K1278" s="369">
        <f t="shared" si="59"/>
        <v>6</v>
      </c>
      <c r="L1278" s="369">
        <f>+IF((C1278&gt;='Resultats - informe'!$E$16)*(C1278&lt;='Resultats - informe'!$G$16),1,0)</f>
        <v>1</v>
      </c>
      <c r="M1278" s="369" cm="1">
        <f t="array" ref="M1278">+_xlfn.IFS((C1278&gt;='Resultats - informe'!$D$26)*(C1278&lt;='Resultats - informe'!$E$26),0,(C1278&gt;='Resultats - informe'!$D$27)*(C1278&lt;='Resultats - informe'!$E$27),0,(C1278&gt;='Resultats - informe'!$D$28)*(C1278&lt;='Resultats - informe'!$E$28),0,(C1278&gt;='Resultats - informe'!$D$29)*(C1278&lt;='Resultats - informe'!$E$29),0,1,1)</f>
        <v>0</v>
      </c>
      <c r="N1278" s="366">
        <f>+VLOOKUP(D1278,'Resultats - informe'!$Y$18:$AG$42,'Introducció dades consum'!K1278+1,0)</f>
        <v>0</v>
      </c>
      <c r="O1278" s="370" cm="1">
        <f t="array" ref="O1278">+_xlfn.SWITCH(MONTH(C1278),1,1,2,1,3,1,4,2,5,2,6,3,7,3,8,3,9,3,10,2,11,2,12,1,2)</f>
        <v>1</v>
      </c>
      <c r="P1278" s="43"/>
      <c r="AS1278" s="10"/>
      <c r="AT1278" s="10"/>
      <c r="AU1278" s="10"/>
      <c r="AV1278" s="10"/>
      <c r="AW1278" s="10"/>
      <c r="AX1278" s="10"/>
      <c r="AY1278" s="10"/>
      <c r="AZ1278" s="10"/>
      <c r="BA1278" s="10"/>
      <c r="BB1278" s="10"/>
      <c r="BC1278" s="10"/>
      <c r="BD1278" s="10"/>
      <c r="BE1278" s="10"/>
      <c r="BF1278" s="10"/>
      <c r="BG1278" s="10"/>
      <c r="BH1278" s="10"/>
      <c r="BI1278" s="10"/>
      <c r="BJ1278" s="10"/>
      <c r="BK1278" s="10"/>
      <c r="BL1278" s="10"/>
      <c r="BM1278" s="10"/>
      <c r="BN1278" s="10"/>
      <c r="BO1278" s="10"/>
      <c r="BP1278" s="10"/>
      <c r="BQ1278" s="10"/>
      <c r="BR1278" s="10"/>
      <c r="BS1278" s="10"/>
      <c r="BT1278" s="10"/>
      <c r="BU1278" s="10"/>
    </row>
    <row r="1279" spans="1:73" ht="18" x14ac:dyDescent="0.35">
      <c r="A1279" s="43"/>
      <c r="C1279" s="393"/>
      <c r="E1279" s="394"/>
      <c r="F1279" s="394">
        <v>0</v>
      </c>
      <c r="G1279" s="394"/>
      <c r="H1279" s="8" t="s">
        <v>235</v>
      </c>
      <c r="I1279" s="368">
        <f t="shared" si="58"/>
        <v>0</v>
      </c>
      <c r="J1279" s="365">
        <f t="shared" si="60"/>
        <v>0</v>
      </c>
      <c r="K1279" s="369">
        <f t="shared" si="59"/>
        <v>6</v>
      </c>
      <c r="L1279" s="369">
        <f>+IF((C1279&gt;='Resultats - informe'!$E$16)*(C1279&lt;='Resultats - informe'!$G$16),1,0)</f>
        <v>1</v>
      </c>
      <c r="M1279" s="369" cm="1">
        <f t="array" ref="M1279">+_xlfn.IFS((C1279&gt;='Resultats - informe'!$D$26)*(C1279&lt;='Resultats - informe'!$E$26),0,(C1279&gt;='Resultats - informe'!$D$27)*(C1279&lt;='Resultats - informe'!$E$27),0,(C1279&gt;='Resultats - informe'!$D$28)*(C1279&lt;='Resultats - informe'!$E$28),0,(C1279&gt;='Resultats - informe'!$D$29)*(C1279&lt;='Resultats - informe'!$E$29),0,1,1)</f>
        <v>0</v>
      </c>
      <c r="N1279" s="366">
        <f>+VLOOKUP(D1279,'Resultats - informe'!$Y$18:$AG$42,'Introducció dades consum'!K1279+1,0)</f>
        <v>0</v>
      </c>
      <c r="O1279" s="370" cm="1">
        <f t="array" ref="O1279">+_xlfn.SWITCH(MONTH(C1279),1,1,2,1,3,1,4,2,5,2,6,3,7,3,8,3,9,3,10,2,11,2,12,1,2)</f>
        <v>1</v>
      </c>
      <c r="P1279" s="43"/>
      <c r="AS1279" s="10"/>
      <c r="AT1279" s="10"/>
      <c r="AU1279" s="10"/>
      <c r="AV1279" s="10"/>
      <c r="AW1279" s="10"/>
      <c r="AX1279" s="10"/>
      <c r="AY1279" s="10"/>
      <c r="AZ1279" s="10"/>
      <c r="BA1279" s="10"/>
      <c r="BB1279" s="10"/>
      <c r="BC1279" s="10"/>
      <c r="BD1279" s="10"/>
      <c r="BE1279" s="10"/>
      <c r="BF1279" s="10"/>
      <c r="BG1279" s="10"/>
      <c r="BH1279" s="10"/>
      <c r="BI1279" s="10"/>
      <c r="BJ1279" s="10"/>
      <c r="BK1279" s="10"/>
      <c r="BL1279" s="10"/>
      <c r="BM1279" s="10"/>
      <c r="BN1279" s="10"/>
      <c r="BO1279" s="10"/>
      <c r="BP1279" s="10"/>
      <c r="BQ1279" s="10"/>
      <c r="BR1279" s="10"/>
      <c r="BS1279" s="10"/>
      <c r="BT1279" s="10"/>
      <c r="BU1279" s="10"/>
    </row>
    <row r="1280" spans="1:73" ht="18" x14ac:dyDescent="0.35">
      <c r="A1280" s="43"/>
      <c r="C1280" s="393"/>
      <c r="E1280" s="394"/>
      <c r="F1280" s="394">
        <v>0</v>
      </c>
      <c r="G1280" s="394"/>
      <c r="H1280" s="8" t="s">
        <v>235</v>
      </c>
      <c r="I1280" s="368">
        <f t="shared" si="58"/>
        <v>0</v>
      </c>
      <c r="J1280" s="365">
        <f t="shared" si="60"/>
        <v>0</v>
      </c>
      <c r="K1280" s="369">
        <f t="shared" si="59"/>
        <v>6</v>
      </c>
      <c r="L1280" s="369">
        <f>+IF((C1280&gt;='Resultats - informe'!$E$16)*(C1280&lt;='Resultats - informe'!$G$16),1,0)</f>
        <v>1</v>
      </c>
      <c r="M1280" s="369" cm="1">
        <f t="array" ref="M1280">+_xlfn.IFS((C1280&gt;='Resultats - informe'!$D$26)*(C1280&lt;='Resultats - informe'!$E$26),0,(C1280&gt;='Resultats - informe'!$D$27)*(C1280&lt;='Resultats - informe'!$E$27),0,(C1280&gt;='Resultats - informe'!$D$28)*(C1280&lt;='Resultats - informe'!$E$28),0,(C1280&gt;='Resultats - informe'!$D$29)*(C1280&lt;='Resultats - informe'!$E$29),0,1,1)</f>
        <v>0</v>
      </c>
      <c r="N1280" s="366">
        <f>+VLOOKUP(D1280,'Resultats - informe'!$Y$18:$AG$42,'Introducció dades consum'!K1280+1,0)</f>
        <v>0</v>
      </c>
      <c r="O1280" s="370" cm="1">
        <f t="array" ref="O1280">+_xlfn.SWITCH(MONTH(C1280),1,1,2,1,3,1,4,2,5,2,6,3,7,3,8,3,9,3,10,2,11,2,12,1,2)</f>
        <v>1</v>
      </c>
      <c r="P1280" s="43"/>
      <c r="AS1280" s="10"/>
      <c r="AT1280" s="10"/>
      <c r="AU1280" s="10"/>
      <c r="AV1280" s="10"/>
      <c r="AW1280" s="10"/>
      <c r="AX1280" s="10"/>
      <c r="AY1280" s="10"/>
      <c r="AZ1280" s="10"/>
      <c r="BA1280" s="10"/>
      <c r="BB1280" s="10"/>
      <c r="BC1280" s="10"/>
      <c r="BD1280" s="10"/>
      <c r="BE1280" s="10"/>
      <c r="BF1280" s="10"/>
      <c r="BG1280" s="10"/>
      <c r="BH1280" s="10"/>
      <c r="BI1280" s="10"/>
      <c r="BJ1280" s="10"/>
      <c r="BK1280" s="10"/>
      <c r="BL1280" s="10"/>
      <c r="BM1280" s="10"/>
      <c r="BN1280" s="10"/>
      <c r="BO1280" s="10"/>
      <c r="BP1280" s="10"/>
      <c r="BQ1280" s="10"/>
      <c r="BR1280" s="10"/>
      <c r="BS1280" s="10"/>
      <c r="BT1280" s="10"/>
      <c r="BU1280" s="10"/>
    </row>
    <row r="1281" spans="1:73" ht="18" x14ac:dyDescent="0.35">
      <c r="A1281" s="43"/>
      <c r="C1281" s="393"/>
      <c r="E1281" s="394"/>
      <c r="F1281" s="394">
        <v>0</v>
      </c>
      <c r="G1281" s="394"/>
      <c r="H1281" s="8" t="s">
        <v>235</v>
      </c>
      <c r="I1281" s="368">
        <f t="shared" si="58"/>
        <v>0</v>
      </c>
      <c r="J1281" s="365">
        <f t="shared" si="60"/>
        <v>0</v>
      </c>
      <c r="K1281" s="369">
        <f t="shared" si="59"/>
        <v>6</v>
      </c>
      <c r="L1281" s="369">
        <f>+IF((C1281&gt;='Resultats - informe'!$E$16)*(C1281&lt;='Resultats - informe'!$G$16),1,0)</f>
        <v>1</v>
      </c>
      <c r="M1281" s="369" cm="1">
        <f t="array" ref="M1281">+_xlfn.IFS((C1281&gt;='Resultats - informe'!$D$26)*(C1281&lt;='Resultats - informe'!$E$26),0,(C1281&gt;='Resultats - informe'!$D$27)*(C1281&lt;='Resultats - informe'!$E$27),0,(C1281&gt;='Resultats - informe'!$D$28)*(C1281&lt;='Resultats - informe'!$E$28),0,(C1281&gt;='Resultats - informe'!$D$29)*(C1281&lt;='Resultats - informe'!$E$29),0,1,1)</f>
        <v>0</v>
      </c>
      <c r="N1281" s="366">
        <f>+VLOOKUP(D1281,'Resultats - informe'!$Y$18:$AG$42,'Introducció dades consum'!K1281+1,0)</f>
        <v>0</v>
      </c>
      <c r="O1281" s="370" cm="1">
        <f t="array" ref="O1281">+_xlfn.SWITCH(MONTH(C1281),1,1,2,1,3,1,4,2,5,2,6,3,7,3,8,3,9,3,10,2,11,2,12,1,2)</f>
        <v>1</v>
      </c>
      <c r="P1281" s="43"/>
      <c r="AS1281" s="10"/>
      <c r="AT1281" s="10"/>
      <c r="AU1281" s="10"/>
      <c r="AV1281" s="10"/>
      <c r="AW1281" s="10"/>
      <c r="AX1281" s="10"/>
      <c r="AY1281" s="10"/>
      <c r="AZ1281" s="10"/>
      <c r="BA1281" s="10"/>
      <c r="BB1281" s="10"/>
      <c r="BC1281" s="10"/>
      <c r="BD1281" s="10"/>
      <c r="BE1281" s="10"/>
      <c r="BF1281" s="10"/>
      <c r="BG1281" s="10"/>
      <c r="BH1281" s="10"/>
      <c r="BI1281" s="10"/>
      <c r="BJ1281" s="10"/>
      <c r="BK1281" s="10"/>
      <c r="BL1281" s="10"/>
      <c r="BM1281" s="10"/>
      <c r="BN1281" s="10"/>
      <c r="BO1281" s="10"/>
      <c r="BP1281" s="10"/>
      <c r="BQ1281" s="10"/>
      <c r="BR1281" s="10"/>
      <c r="BS1281" s="10"/>
      <c r="BT1281" s="10"/>
      <c r="BU1281" s="10"/>
    </row>
    <row r="1282" spans="1:73" ht="18" x14ac:dyDescent="0.35">
      <c r="A1282" s="43"/>
      <c r="C1282" s="393"/>
      <c r="E1282" s="394"/>
      <c r="F1282" s="394">
        <v>0</v>
      </c>
      <c r="G1282" s="394"/>
      <c r="H1282" s="8" t="s">
        <v>235</v>
      </c>
      <c r="I1282" s="368">
        <f t="shared" si="58"/>
        <v>0</v>
      </c>
      <c r="J1282" s="365">
        <f t="shared" si="60"/>
        <v>0</v>
      </c>
      <c r="K1282" s="369">
        <f t="shared" si="59"/>
        <v>6</v>
      </c>
      <c r="L1282" s="369">
        <f>+IF((C1282&gt;='Resultats - informe'!$E$16)*(C1282&lt;='Resultats - informe'!$G$16),1,0)</f>
        <v>1</v>
      </c>
      <c r="M1282" s="369" cm="1">
        <f t="array" ref="M1282">+_xlfn.IFS((C1282&gt;='Resultats - informe'!$D$26)*(C1282&lt;='Resultats - informe'!$E$26),0,(C1282&gt;='Resultats - informe'!$D$27)*(C1282&lt;='Resultats - informe'!$E$27),0,(C1282&gt;='Resultats - informe'!$D$28)*(C1282&lt;='Resultats - informe'!$E$28),0,(C1282&gt;='Resultats - informe'!$D$29)*(C1282&lt;='Resultats - informe'!$E$29),0,1,1)</f>
        <v>0</v>
      </c>
      <c r="N1282" s="366">
        <f>+VLOOKUP(D1282,'Resultats - informe'!$Y$18:$AG$42,'Introducció dades consum'!K1282+1,0)</f>
        <v>0</v>
      </c>
      <c r="O1282" s="370" cm="1">
        <f t="array" ref="O1282">+_xlfn.SWITCH(MONTH(C1282),1,1,2,1,3,1,4,2,5,2,6,3,7,3,8,3,9,3,10,2,11,2,12,1,2)</f>
        <v>1</v>
      </c>
      <c r="P1282" s="43"/>
      <c r="AS1282" s="10"/>
      <c r="AT1282" s="10"/>
      <c r="AU1282" s="10"/>
      <c r="AV1282" s="10"/>
      <c r="AW1282" s="10"/>
      <c r="AX1282" s="10"/>
      <c r="AY1282" s="10"/>
      <c r="AZ1282" s="10"/>
      <c r="BA1282" s="10"/>
      <c r="BB1282" s="10"/>
      <c r="BC1282" s="10"/>
      <c r="BD1282" s="10"/>
      <c r="BE1282" s="10"/>
      <c r="BF1282" s="10"/>
      <c r="BG1282" s="10"/>
      <c r="BH1282" s="10"/>
      <c r="BI1282" s="10"/>
      <c r="BJ1282" s="10"/>
      <c r="BK1282" s="10"/>
      <c r="BL1282" s="10"/>
      <c r="BM1282" s="10"/>
      <c r="BN1282" s="10"/>
      <c r="BO1282" s="10"/>
      <c r="BP1282" s="10"/>
      <c r="BQ1282" s="10"/>
      <c r="BR1282" s="10"/>
      <c r="BS1282" s="10"/>
      <c r="BT1282" s="10"/>
      <c r="BU1282" s="10"/>
    </row>
    <row r="1283" spans="1:73" ht="18" x14ac:dyDescent="0.35">
      <c r="A1283" s="43"/>
      <c r="C1283" s="393"/>
      <c r="E1283" s="394"/>
      <c r="F1283" s="394">
        <v>0</v>
      </c>
      <c r="G1283" s="394"/>
      <c r="H1283" s="8" t="s">
        <v>235</v>
      </c>
      <c r="I1283" s="368">
        <f t="shared" si="58"/>
        <v>0</v>
      </c>
      <c r="J1283" s="365">
        <f t="shared" si="60"/>
        <v>0</v>
      </c>
      <c r="K1283" s="369">
        <f t="shared" si="59"/>
        <v>6</v>
      </c>
      <c r="L1283" s="369">
        <f>+IF((C1283&gt;='Resultats - informe'!$E$16)*(C1283&lt;='Resultats - informe'!$G$16),1,0)</f>
        <v>1</v>
      </c>
      <c r="M1283" s="369" cm="1">
        <f t="array" ref="M1283">+_xlfn.IFS((C1283&gt;='Resultats - informe'!$D$26)*(C1283&lt;='Resultats - informe'!$E$26),0,(C1283&gt;='Resultats - informe'!$D$27)*(C1283&lt;='Resultats - informe'!$E$27),0,(C1283&gt;='Resultats - informe'!$D$28)*(C1283&lt;='Resultats - informe'!$E$28),0,(C1283&gt;='Resultats - informe'!$D$29)*(C1283&lt;='Resultats - informe'!$E$29),0,1,1)</f>
        <v>0</v>
      </c>
      <c r="N1283" s="366">
        <f>+VLOOKUP(D1283,'Resultats - informe'!$Y$18:$AG$42,'Introducció dades consum'!K1283+1,0)</f>
        <v>0</v>
      </c>
      <c r="O1283" s="370" cm="1">
        <f t="array" ref="O1283">+_xlfn.SWITCH(MONTH(C1283),1,1,2,1,3,1,4,2,5,2,6,3,7,3,8,3,9,3,10,2,11,2,12,1,2)</f>
        <v>1</v>
      </c>
      <c r="P1283" s="43"/>
      <c r="AS1283" s="10"/>
      <c r="AT1283" s="10"/>
      <c r="AU1283" s="10"/>
      <c r="AV1283" s="10"/>
      <c r="AW1283" s="10"/>
      <c r="AX1283" s="10"/>
      <c r="AY1283" s="10"/>
      <c r="AZ1283" s="10"/>
      <c r="BA1283" s="10"/>
      <c r="BB1283" s="10"/>
      <c r="BC1283" s="10"/>
      <c r="BD1283" s="10"/>
      <c r="BE1283" s="10"/>
      <c r="BF1283" s="10"/>
      <c r="BG1283" s="10"/>
      <c r="BH1283" s="10"/>
      <c r="BI1283" s="10"/>
      <c r="BJ1283" s="10"/>
      <c r="BK1283" s="10"/>
      <c r="BL1283" s="10"/>
      <c r="BM1283" s="10"/>
      <c r="BN1283" s="10"/>
      <c r="BO1283" s="10"/>
      <c r="BP1283" s="10"/>
      <c r="BQ1283" s="10"/>
      <c r="BR1283" s="10"/>
      <c r="BS1283" s="10"/>
      <c r="BT1283" s="10"/>
      <c r="BU1283" s="10"/>
    </row>
    <row r="1284" spans="1:73" ht="18" x14ac:dyDescent="0.35">
      <c r="A1284" s="43"/>
      <c r="C1284" s="393"/>
      <c r="E1284" s="394"/>
      <c r="F1284" s="394">
        <v>0</v>
      </c>
      <c r="G1284" s="394"/>
      <c r="H1284" s="8" t="s">
        <v>235</v>
      </c>
      <c r="I1284" s="368">
        <f t="shared" si="58"/>
        <v>0</v>
      </c>
      <c r="J1284" s="365">
        <f t="shared" si="60"/>
        <v>0</v>
      </c>
      <c r="K1284" s="369">
        <f t="shared" si="59"/>
        <v>6</v>
      </c>
      <c r="L1284" s="369">
        <f>+IF((C1284&gt;='Resultats - informe'!$E$16)*(C1284&lt;='Resultats - informe'!$G$16),1,0)</f>
        <v>1</v>
      </c>
      <c r="M1284" s="369" cm="1">
        <f t="array" ref="M1284">+_xlfn.IFS((C1284&gt;='Resultats - informe'!$D$26)*(C1284&lt;='Resultats - informe'!$E$26),0,(C1284&gt;='Resultats - informe'!$D$27)*(C1284&lt;='Resultats - informe'!$E$27),0,(C1284&gt;='Resultats - informe'!$D$28)*(C1284&lt;='Resultats - informe'!$E$28),0,(C1284&gt;='Resultats - informe'!$D$29)*(C1284&lt;='Resultats - informe'!$E$29),0,1,1)</f>
        <v>0</v>
      </c>
      <c r="N1284" s="366">
        <f>+VLOOKUP(D1284,'Resultats - informe'!$Y$18:$AG$42,'Introducció dades consum'!K1284+1,0)</f>
        <v>0</v>
      </c>
      <c r="O1284" s="370" cm="1">
        <f t="array" ref="O1284">+_xlfn.SWITCH(MONTH(C1284),1,1,2,1,3,1,4,2,5,2,6,3,7,3,8,3,9,3,10,2,11,2,12,1,2)</f>
        <v>1</v>
      </c>
      <c r="P1284" s="43"/>
      <c r="AS1284" s="10"/>
      <c r="AT1284" s="10"/>
      <c r="AU1284" s="10"/>
      <c r="AV1284" s="10"/>
      <c r="AW1284" s="10"/>
      <c r="AX1284" s="10"/>
      <c r="AY1284" s="10"/>
      <c r="AZ1284" s="10"/>
      <c r="BA1284" s="10"/>
      <c r="BB1284" s="10"/>
      <c r="BC1284" s="10"/>
      <c r="BD1284" s="10"/>
      <c r="BE1284" s="10"/>
      <c r="BF1284" s="10"/>
      <c r="BG1284" s="10"/>
      <c r="BH1284" s="10"/>
      <c r="BI1284" s="10"/>
      <c r="BJ1284" s="10"/>
      <c r="BK1284" s="10"/>
      <c r="BL1284" s="10"/>
      <c r="BM1284" s="10"/>
      <c r="BN1284" s="10"/>
      <c r="BO1284" s="10"/>
      <c r="BP1284" s="10"/>
      <c r="BQ1284" s="10"/>
      <c r="BR1284" s="10"/>
      <c r="BS1284" s="10"/>
      <c r="BT1284" s="10"/>
      <c r="BU1284" s="10"/>
    </row>
    <row r="1285" spans="1:73" ht="18" x14ac:dyDescent="0.35">
      <c r="A1285" s="43"/>
      <c r="C1285" s="393"/>
      <c r="E1285" s="394"/>
      <c r="F1285" s="394">
        <v>0.85199999999999998</v>
      </c>
      <c r="G1285" s="394"/>
      <c r="H1285" s="8" t="s">
        <v>235</v>
      </c>
      <c r="I1285" s="368">
        <f t="shared" si="58"/>
        <v>0</v>
      </c>
      <c r="J1285" s="365">
        <f t="shared" si="60"/>
        <v>0</v>
      </c>
      <c r="K1285" s="369">
        <f t="shared" si="59"/>
        <v>6</v>
      </c>
      <c r="L1285" s="369">
        <f>+IF((C1285&gt;='Resultats - informe'!$E$16)*(C1285&lt;='Resultats - informe'!$G$16),1,0)</f>
        <v>1</v>
      </c>
      <c r="M1285" s="369" cm="1">
        <f t="array" ref="M1285">+_xlfn.IFS((C1285&gt;='Resultats - informe'!$D$26)*(C1285&lt;='Resultats - informe'!$E$26),0,(C1285&gt;='Resultats - informe'!$D$27)*(C1285&lt;='Resultats - informe'!$E$27),0,(C1285&gt;='Resultats - informe'!$D$28)*(C1285&lt;='Resultats - informe'!$E$28),0,(C1285&gt;='Resultats - informe'!$D$29)*(C1285&lt;='Resultats - informe'!$E$29),0,1,1)</f>
        <v>0</v>
      </c>
      <c r="N1285" s="366">
        <f>+VLOOKUP(D1285,'Resultats - informe'!$Y$18:$AG$42,'Introducció dades consum'!K1285+1,0)</f>
        <v>0</v>
      </c>
      <c r="O1285" s="370" cm="1">
        <f t="array" ref="O1285">+_xlfn.SWITCH(MONTH(C1285),1,1,2,1,3,1,4,2,5,2,6,3,7,3,8,3,9,3,10,2,11,2,12,1,2)</f>
        <v>1</v>
      </c>
      <c r="P1285" s="43"/>
      <c r="AS1285" s="10"/>
      <c r="AT1285" s="10"/>
      <c r="AU1285" s="10"/>
      <c r="AV1285" s="10"/>
      <c r="AW1285" s="10"/>
      <c r="AX1285" s="10"/>
      <c r="AY1285" s="10"/>
      <c r="AZ1285" s="10"/>
      <c r="BA1285" s="10"/>
      <c r="BB1285" s="10"/>
      <c r="BC1285" s="10"/>
      <c r="BD1285" s="10"/>
      <c r="BE1285" s="10"/>
      <c r="BF1285" s="10"/>
      <c r="BG1285" s="10"/>
      <c r="BH1285" s="10"/>
      <c r="BI1285" s="10"/>
      <c r="BJ1285" s="10"/>
      <c r="BK1285" s="10"/>
      <c r="BL1285" s="10"/>
      <c r="BM1285" s="10"/>
      <c r="BN1285" s="10"/>
      <c r="BO1285" s="10"/>
      <c r="BP1285" s="10"/>
      <c r="BQ1285" s="10"/>
      <c r="BR1285" s="10"/>
      <c r="BS1285" s="10"/>
      <c r="BT1285" s="10"/>
      <c r="BU1285" s="10"/>
    </row>
    <row r="1286" spans="1:73" ht="18" x14ac:dyDescent="0.35">
      <c r="A1286" s="43"/>
      <c r="C1286" s="393"/>
      <c r="E1286" s="394"/>
      <c r="F1286" s="394">
        <v>1.4359999999999999</v>
      </c>
      <c r="G1286" s="394"/>
      <c r="H1286" s="8" t="s">
        <v>235</v>
      </c>
      <c r="I1286" s="368">
        <f t="shared" ref="I1286:I1349" si="61">+E1286+G1286</f>
        <v>0</v>
      </c>
      <c r="J1286" s="365">
        <f t="shared" si="60"/>
        <v>0</v>
      </c>
      <c r="K1286" s="369">
        <f t="shared" ref="K1286:K1349" si="62">+WEEKDAY(C1286,2)</f>
        <v>6</v>
      </c>
      <c r="L1286" s="369">
        <f>+IF((C1286&gt;='Resultats - informe'!$E$16)*(C1286&lt;='Resultats - informe'!$G$16),1,0)</f>
        <v>1</v>
      </c>
      <c r="M1286" s="369" cm="1">
        <f t="array" ref="M1286">+_xlfn.IFS((C1286&gt;='Resultats - informe'!$D$26)*(C1286&lt;='Resultats - informe'!$E$26),0,(C1286&gt;='Resultats - informe'!$D$27)*(C1286&lt;='Resultats - informe'!$E$27),0,(C1286&gt;='Resultats - informe'!$D$28)*(C1286&lt;='Resultats - informe'!$E$28),0,(C1286&gt;='Resultats - informe'!$D$29)*(C1286&lt;='Resultats - informe'!$E$29),0,1,1)</f>
        <v>0</v>
      </c>
      <c r="N1286" s="366">
        <f>+VLOOKUP(D1286,'Resultats - informe'!$Y$18:$AG$42,'Introducció dades consum'!K1286+1,0)</f>
        <v>0</v>
      </c>
      <c r="O1286" s="370" cm="1">
        <f t="array" ref="O1286">+_xlfn.SWITCH(MONTH(C1286),1,1,2,1,3,1,4,2,5,2,6,3,7,3,8,3,9,3,10,2,11,2,12,1,2)</f>
        <v>1</v>
      </c>
      <c r="P1286" s="43"/>
      <c r="AS1286" s="10"/>
      <c r="AT1286" s="10"/>
      <c r="AU1286" s="10"/>
      <c r="AV1286" s="10"/>
      <c r="AW1286" s="10"/>
      <c r="AX1286" s="10"/>
      <c r="AY1286" s="10"/>
      <c r="AZ1286" s="10"/>
      <c r="BA1286" s="10"/>
      <c r="BB1286" s="10"/>
      <c r="BC1286" s="10"/>
      <c r="BD1286" s="10"/>
      <c r="BE1286" s="10"/>
      <c r="BF1286" s="10"/>
      <c r="BG1286" s="10"/>
      <c r="BH1286" s="10"/>
      <c r="BI1286" s="10"/>
      <c r="BJ1286" s="10"/>
      <c r="BK1286" s="10"/>
      <c r="BL1286" s="10"/>
      <c r="BM1286" s="10"/>
      <c r="BN1286" s="10"/>
      <c r="BO1286" s="10"/>
      <c r="BP1286" s="10"/>
      <c r="BQ1286" s="10"/>
      <c r="BR1286" s="10"/>
      <c r="BS1286" s="10"/>
      <c r="BT1286" s="10"/>
      <c r="BU1286" s="10"/>
    </row>
    <row r="1287" spans="1:73" ht="18" x14ac:dyDescent="0.35">
      <c r="A1287" s="43"/>
      <c r="C1287" s="393"/>
      <c r="E1287" s="394"/>
      <c r="F1287" s="394">
        <v>2.5150000000000001</v>
      </c>
      <c r="G1287" s="394"/>
      <c r="H1287" s="8" t="s">
        <v>61</v>
      </c>
      <c r="I1287" s="368">
        <f t="shared" si="61"/>
        <v>0</v>
      </c>
      <c r="J1287" s="365">
        <f t="shared" si="60"/>
        <v>0</v>
      </c>
      <c r="K1287" s="369">
        <f t="shared" si="62"/>
        <v>6</v>
      </c>
      <c r="L1287" s="369">
        <f>+IF((C1287&gt;='Resultats - informe'!$E$16)*(C1287&lt;='Resultats - informe'!$G$16),1,0)</f>
        <v>1</v>
      </c>
      <c r="M1287" s="369" cm="1">
        <f t="array" ref="M1287">+_xlfn.IFS((C1287&gt;='Resultats - informe'!$D$26)*(C1287&lt;='Resultats - informe'!$E$26),0,(C1287&gt;='Resultats - informe'!$D$27)*(C1287&lt;='Resultats - informe'!$E$27),0,(C1287&gt;='Resultats - informe'!$D$28)*(C1287&lt;='Resultats - informe'!$E$28),0,(C1287&gt;='Resultats - informe'!$D$29)*(C1287&lt;='Resultats - informe'!$E$29),0,1,1)</f>
        <v>0</v>
      </c>
      <c r="N1287" s="366">
        <f>+VLOOKUP(D1287,'Resultats - informe'!$Y$18:$AG$42,'Introducció dades consum'!K1287+1,0)</f>
        <v>0</v>
      </c>
      <c r="O1287" s="370" cm="1">
        <f t="array" ref="O1287">+_xlfn.SWITCH(MONTH(C1287),1,1,2,1,3,1,4,2,5,2,6,3,7,3,8,3,9,3,10,2,11,2,12,1,2)</f>
        <v>1</v>
      </c>
      <c r="P1287" s="43"/>
      <c r="AS1287" s="10"/>
      <c r="AT1287" s="10"/>
      <c r="AU1287" s="10"/>
      <c r="AV1287" s="10"/>
      <c r="AW1287" s="10"/>
      <c r="AX1287" s="10"/>
      <c r="AY1287" s="10"/>
      <c r="AZ1287" s="10"/>
      <c r="BA1287" s="10"/>
      <c r="BB1287" s="10"/>
      <c r="BC1287" s="10"/>
      <c r="BD1287" s="10"/>
      <c r="BE1287" s="10"/>
      <c r="BF1287" s="10"/>
      <c r="BG1287" s="10"/>
      <c r="BH1287" s="10"/>
      <c r="BI1287" s="10"/>
      <c r="BJ1287" s="10"/>
      <c r="BK1287" s="10"/>
      <c r="BL1287" s="10"/>
      <c r="BM1287" s="10"/>
      <c r="BN1287" s="10"/>
      <c r="BO1287" s="10"/>
      <c r="BP1287" s="10"/>
      <c r="BQ1287" s="10"/>
      <c r="BR1287" s="10"/>
      <c r="BS1287" s="10"/>
      <c r="BT1287" s="10"/>
      <c r="BU1287" s="10"/>
    </row>
    <row r="1288" spans="1:73" ht="18" x14ac:dyDescent="0.35">
      <c r="A1288" s="43"/>
      <c r="C1288" s="393"/>
      <c r="E1288" s="394"/>
      <c r="F1288" s="394">
        <v>3.9209999999999998</v>
      </c>
      <c r="G1288" s="394"/>
      <c r="H1288" s="8" t="s">
        <v>61</v>
      </c>
      <c r="I1288" s="368">
        <f t="shared" si="61"/>
        <v>0</v>
      </c>
      <c r="J1288" s="365">
        <f t="shared" si="60"/>
        <v>0</v>
      </c>
      <c r="K1288" s="369">
        <f t="shared" si="62"/>
        <v>6</v>
      </c>
      <c r="L1288" s="369">
        <f>+IF((C1288&gt;='Resultats - informe'!$E$16)*(C1288&lt;='Resultats - informe'!$G$16),1,0)</f>
        <v>1</v>
      </c>
      <c r="M1288" s="369" cm="1">
        <f t="array" ref="M1288">+_xlfn.IFS((C1288&gt;='Resultats - informe'!$D$26)*(C1288&lt;='Resultats - informe'!$E$26),0,(C1288&gt;='Resultats - informe'!$D$27)*(C1288&lt;='Resultats - informe'!$E$27),0,(C1288&gt;='Resultats - informe'!$D$28)*(C1288&lt;='Resultats - informe'!$E$28),0,(C1288&gt;='Resultats - informe'!$D$29)*(C1288&lt;='Resultats - informe'!$E$29),0,1,1)</f>
        <v>0</v>
      </c>
      <c r="N1288" s="366">
        <f>+VLOOKUP(D1288,'Resultats - informe'!$Y$18:$AG$42,'Introducció dades consum'!K1288+1,0)</f>
        <v>0</v>
      </c>
      <c r="O1288" s="370" cm="1">
        <f t="array" ref="O1288">+_xlfn.SWITCH(MONTH(C1288),1,1,2,1,3,1,4,2,5,2,6,3,7,3,8,3,9,3,10,2,11,2,12,1,2)</f>
        <v>1</v>
      </c>
      <c r="P1288" s="43"/>
      <c r="AS1288" s="10"/>
      <c r="AT1288" s="10"/>
      <c r="AU1288" s="10"/>
      <c r="AV1288" s="10"/>
      <c r="AW1288" s="10"/>
      <c r="AX1288" s="10"/>
      <c r="AY1288" s="10"/>
      <c r="AZ1288" s="10"/>
      <c r="BA1288" s="10"/>
      <c r="BB1288" s="10"/>
      <c r="BC1288" s="10"/>
      <c r="BD1288" s="10"/>
      <c r="BE1288" s="10"/>
      <c r="BF1288" s="10"/>
      <c r="BG1288" s="10"/>
      <c r="BH1288" s="10"/>
      <c r="BI1288" s="10"/>
      <c r="BJ1288" s="10"/>
      <c r="BK1288" s="10"/>
      <c r="BL1288" s="10"/>
      <c r="BM1288" s="10"/>
      <c r="BN1288" s="10"/>
      <c r="BO1288" s="10"/>
      <c r="BP1288" s="10"/>
      <c r="BQ1288" s="10"/>
      <c r="BR1288" s="10"/>
      <c r="BS1288" s="10"/>
      <c r="BT1288" s="10"/>
      <c r="BU1288" s="10"/>
    </row>
    <row r="1289" spans="1:73" ht="18" x14ac:dyDescent="0.35">
      <c r="A1289" s="43"/>
      <c r="C1289" s="393"/>
      <c r="E1289" s="394"/>
      <c r="F1289" s="394">
        <v>5.57</v>
      </c>
      <c r="G1289" s="394"/>
      <c r="H1289" s="8" t="s">
        <v>61</v>
      </c>
      <c r="I1289" s="368">
        <f t="shared" si="61"/>
        <v>0</v>
      </c>
      <c r="J1289" s="365">
        <f t="shared" si="60"/>
        <v>0</v>
      </c>
      <c r="K1289" s="369">
        <f t="shared" si="62"/>
        <v>6</v>
      </c>
      <c r="L1289" s="369">
        <f>+IF((C1289&gt;='Resultats - informe'!$E$16)*(C1289&lt;='Resultats - informe'!$G$16),1,0)</f>
        <v>1</v>
      </c>
      <c r="M1289" s="369" cm="1">
        <f t="array" ref="M1289">+_xlfn.IFS((C1289&gt;='Resultats - informe'!$D$26)*(C1289&lt;='Resultats - informe'!$E$26),0,(C1289&gt;='Resultats - informe'!$D$27)*(C1289&lt;='Resultats - informe'!$E$27),0,(C1289&gt;='Resultats - informe'!$D$28)*(C1289&lt;='Resultats - informe'!$E$28),0,(C1289&gt;='Resultats - informe'!$D$29)*(C1289&lt;='Resultats - informe'!$E$29),0,1,1)</f>
        <v>0</v>
      </c>
      <c r="N1289" s="366">
        <f>+VLOOKUP(D1289,'Resultats - informe'!$Y$18:$AG$42,'Introducció dades consum'!K1289+1,0)</f>
        <v>0</v>
      </c>
      <c r="O1289" s="370" cm="1">
        <f t="array" ref="O1289">+_xlfn.SWITCH(MONTH(C1289),1,1,2,1,3,1,4,2,5,2,6,3,7,3,8,3,9,3,10,2,11,2,12,1,2)</f>
        <v>1</v>
      </c>
      <c r="P1289" s="43"/>
      <c r="AS1289" s="10"/>
      <c r="AT1289" s="10"/>
      <c r="AU1289" s="10"/>
      <c r="AV1289" s="10"/>
      <c r="AW1289" s="10"/>
      <c r="AX1289" s="10"/>
      <c r="AY1289" s="10"/>
      <c r="AZ1289" s="10"/>
      <c r="BA1289" s="10"/>
      <c r="BB1289" s="10"/>
      <c r="BC1289" s="10"/>
      <c r="BD1289" s="10"/>
      <c r="BE1289" s="10"/>
      <c r="BF1289" s="10"/>
      <c r="BG1289" s="10"/>
      <c r="BH1289" s="10"/>
      <c r="BI1289" s="10"/>
      <c r="BJ1289" s="10"/>
      <c r="BK1289" s="10"/>
      <c r="BL1289" s="10"/>
      <c r="BM1289" s="10"/>
      <c r="BN1289" s="10"/>
      <c r="BO1289" s="10"/>
      <c r="BP1289" s="10"/>
      <c r="BQ1289" s="10"/>
      <c r="BR1289" s="10"/>
      <c r="BS1289" s="10"/>
      <c r="BT1289" s="10"/>
      <c r="BU1289" s="10"/>
    </row>
    <row r="1290" spans="1:73" ht="18" x14ac:dyDescent="0.35">
      <c r="A1290" s="43"/>
      <c r="C1290" s="393"/>
      <c r="E1290" s="394"/>
      <c r="F1290" s="394">
        <v>5.5449999999999999</v>
      </c>
      <c r="G1290" s="394"/>
      <c r="H1290" s="8" t="s">
        <v>61</v>
      </c>
      <c r="I1290" s="368">
        <f t="shared" si="61"/>
        <v>0</v>
      </c>
      <c r="J1290" s="365">
        <f t="shared" si="60"/>
        <v>0</v>
      </c>
      <c r="K1290" s="369">
        <f t="shared" si="62"/>
        <v>6</v>
      </c>
      <c r="L1290" s="369">
        <f>+IF((C1290&gt;='Resultats - informe'!$E$16)*(C1290&lt;='Resultats - informe'!$G$16),1,0)</f>
        <v>1</v>
      </c>
      <c r="M1290" s="369" cm="1">
        <f t="array" ref="M1290">+_xlfn.IFS((C1290&gt;='Resultats - informe'!$D$26)*(C1290&lt;='Resultats - informe'!$E$26),0,(C1290&gt;='Resultats - informe'!$D$27)*(C1290&lt;='Resultats - informe'!$E$27),0,(C1290&gt;='Resultats - informe'!$D$28)*(C1290&lt;='Resultats - informe'!$E$28),0,(C1290&gt;='Resultats - informe'!$D$29)*(C1290&lt;='Resultats - informe'!$E$29),0,1,1)</f>
        <v>0</v>
      </c>
      <c r="N1290" s="366">
        <f>+VLOOKUP(D1290,'Resultats - informe'!$Y$18:$AG$42,'Introducció dades consum'!K1290+1,0)</f>
        <v>0</v>
      </c>
      <c r="O1290" s="370" cm="1">
        <f t="array" ref="O1290">+_xlfn.SWITCH(MONTH(C1290),1,1,2,1,3,1,4,2,5,2,6,3,7,3,8,3,9,3,10,2,11,2,12,1,2)</f>
        <v>1</v>
      </c>
      <c r="P1290" s="43"/>
      <c r="AS1290" s="10"/>
      <c r="AT1290" s="10"/>
      <c r="AU1290" s="10"/>
      <c r="AV1290" s="10"/>
      <c r="AW1290" s="10"/>
      <c r="AX1290" s="10"/>
      <c r="AY1290" s="10"/>
      <c r="AZ1290" s="10"/>
      <c r="BA1290" s="10"/>
      <c r="BB1290" s="10"/>
      <c r="BC1290" s="10"/>
      <c r="BD1290" s="10"/>
      <c r="BE1290" s="10"/>
      <c r="BF1290" s="10"/>
      <c r="BG1290" s="10"/>
      <c r="BH1290" s="10"/>
      <c r="BI1290" s="10"/>
      <c r="BJ1290" s="10"/>
      <c r="BK1290" s="10"/>
      <c r="BL1290" s="10"/>
      <c r="BM1290" s="10"/>
      <c r="BN1290" s="10"/>
      <c r="BO1290" s="10"/>
      <c r="BP1290" s="10"/>
      <c r="BQ1290" s="10"/>
      <c r="BR1290" s="10"/>
      <c r="BS1290" s="10"/>
      <c r="BT1290" s="10"/>
      <c r="BU1290" s="10"/>
    </row>
    <row r="1291" spans="1:73" ht="18" x14ac:dyDescent="0.35">
      <c r="A1291" s="43"/>
      <c r="C1291" s="393"/>
      <c r="E1291" s="394"/>
      <c r="F1291" s="394">
        <v>0.89500000000000002</v>
      </c>
      <c r="G1291" s="394"/>
      <c r="H1291" s="8" t="s">
        <v>235</v>
      </c>
      <c r="I1291" s="368">
        <f t="shared" si="61"/>
        <v>0</v>
      </c>
      <c r="J1291" s="365">
        <f t="shared" si="60"/>
        <v>0</v>
      </c>
      <c r="K1291" s="369">
        <f t="shared" si="62"/>
        <v>6</v>
      </c>
      <c r="L1291" s="369">
        <f>+IF((C1291&gt;='Resultats - informe'!$E$16)*(C1291&lt;='Resultats - informe'!$G$16),1,0)</f>
        <v>1</v>
      </c>
      <c r="M1291" s="369" cm="1">
        <f t="array" ref="M1291">+_xlfn.IFS((C1291&gt;='Resultats - informe'!$D$26)*(C1291&lt;='Resultats - informe'!$E$26),0,(C1291&gt;='Resultats - informe'!$D$27)*(C1291&lt;='Resultats - informe'!$E$27),0,(C1291&gt;='Resultats - informe'!$D$28)*(C1291&lt;='Resultats - informe'!$E$28),0,(C1291&gt;='Resultats - informe'!$D$29)*(C1291&lt;='Resultats - informe'!$E$29),0,1,1)</f>
        <v>0</v>
      </c>
      <c r="N1291" s="366">
        <f>+VLOOKUP(D1291,'Resultats - informe'!$Y$18:$AG$42,'Introducció dades consum'!K1291+1,0)</f>
        <v>0</v>
      </c>
      <c r="O1291" s="370" cm="1">
        <f t="array" ref="O1291">+_xlfn.SWITCH(MONTH(C1291),1,1,2,1,3,1,4,2,5,2,6,3,7,3,8,3,9,3,10,2,11,2,12,1,2)</f>
        <v>1</v>
      </c>
      <c r="P1291" s="43"/>
      <c r="AS1291" s="10"/>
      <c r="AT1291" s="10"/>
      <c r="AU1291" s="10"/>
      <c r="AV1291" s="10"/>
      <c r="AW1291" s="10"/>
      <c r="AX1291" s="10"/>
      <c r="AY1291" s="10"/>
      <c r="AZ1291" s="10"/>
      <c r="BA1291" s="10"/>
      <c r="BB1291" s="10"/>
      <c r="BC1291" s="10"/>
      <c r="BD1291" s="10"/>
      <c r="BE1291" s="10"/>
      <c r="BF1291" s="10"/>
      <c r="BG1291" s="10"/>
      <c r="BH1291" s="10"/>
      <c r="BI1291" s="10"/>
      <c r="BJ1291" s="10"/>
      <c r="BK1291" s="10"/>
      <c r="BL1291" s="10"/>
      <c r="BM1291" s="10"/>
      <c r="BN1291" s="10"/>
      <c r="BO1291" s="10"/>
      <c r="BP1291" s="10"/>
      <c r="BQ1291" s="10"/>
      <c r="BR1291" s="10"/>
      <c r="BS1291" s="10"/>
      <c r="BT1291" s="10"/>
      <c r="BU1291" s="10"/>
    </row>
    <row r="1292" spans="1:73" ht="18" x14ac:dyDescent="0.35">
      <c r="A1292" s="43"/>
      <c r="C1292" s="393"/>
      <c r="E1292" s="394"/>
      <c r="F1292" s="394">
        <v>0.22500000000000001</v>
      </c>
      <c r="G1292" s="394"/>
      <c r="H1292" s="8" t="s">
        <v>235</v>
      </c>
      <c r="I1292" s="368">
        <f t="shared" si="61"/>
        <v>0</v>
      </c>
      <c r="J1292" s="365">
        <f t="shared" si="60"/>
        <v>0</v>
      </c>
      <c r="K1292" s="369">
        <f t="shared" si="62"/>
        <v>6</v>
      </c>
      <c r="L1292" s="369">
        <f>+IF((C1292&gt;='Resultats - informe'!$E$16)*(C1292&lt;='Resultats - informe'!$G$16),1,0)</f>
        <v>1</v>
      </c>
      <c r="M1292" s="369" cm="1">
        <f t="array" ref="M1292">+_xlfn.IFS((C1292&gt;='Resultats - informe'!$D$26)*(C1292&lt;='Resultats - informe'!$E$26),0,(C1292&gt;='Resultats - informe'!$D$27)*(C1292&lt;='Resultats - informe'!$E$27),0,(C1292&gt;='Resultats - informe'!$D$28)*(C1292&lt;='Resultats - informe'!$E$28),0,(C1292&gt;='Resultats - informe'!$D$29)*(C1292&lt;='Resultats - informe'!$E$29),0,1,1)</f>
        <v>0</v>
      </c>
      <c r="N1292" s="366">
        <f>+VLOOKUP(D1292,'Resultats - informe'!$Y$18:$AG$42,'Introducció dades consum'!K1292+1,0)</f>
        <v>0</v>
      </c>
      <c r="O1292" s="370" cm="1">
        <f t="array" ref="O1292">+_xlfn.SWITCH(MONTH(C1292),1,1,2,1,3,1,4,2,5,2,6,3,7,3,8,3,9,3,10,2,11,2,12,1,2)</f>
        <v>1</v>
      </c>
      <c r="P1292" s="43"/>
      <c r="AS1292" s="10"/>
      <c r="AT1292" s="10"/>
      <c r="AU1292" s="10"/>
      <c r="AV1292" s="10"/>
      <c r="AW1292" s="10"/>
      <c r="AX1292" s="10"/>
      <c r="AY1292" s="10"/>
      <c r="AZ1292" s="10"/>
      <c r="BA1292" s="10"/>
      <c r="BB1292" s="10"/>
      <c r="BC1292" s="10"/>
      <c r="BD1292" s="10"/>
      <c r="BE1292" s="10"/>
      <c r="BF1292" s="10"/>
      <c r="BG1292" s="10"/>
      <c r="BH1292" s="10"/>
      <c r="BI1292" s="10"/>
      <c r="BJ1292" s="10"/>
      <c r="BK1292" s="10"/>
      <c r="BL1292" s="10"/>
      <c r="BM1292" s="10"/>
      <c r="BN1292" s="10"/>
      <c r="BO1292" s="10"/>
      <c r="BP1292" s="10"/>
      <c r="BQ1292" s="10"/>
      <c r="BR1292" s="10"/>
      <c r="BS1292" s="10"/>
      <c r="BT1292" s="10"/>
      <c r="BU1292" s="10"/>
    </row>
    <row r="1293" spans="1:73" ht="18" x14ac:dyDescent="0.35">
      <c r="A1293" s="43"/>
      <c r="C1293" s="393"/>
      <c r="E1293" s="394"/>
      <c r="F1293" s="394">
        <v>0</v>
      </c>
      <c r="G1293" s="394"/>
      <c r="H1293" s="8" t="s">
        <v>235</v>
      </c>
      <c r="I1293" s="368">
        <f t="shared" si="61"/>
        <v>0</v>
      </c>
      <c r="J1293" s="365">
        <f t="shared" si="60"/>
        <v>0</v>
      </c>
      <c r="K1293" s="369">
        <f t="shared" si="62"/>
        <v>6</v>
      </c>
      <c r="L1293" s="369">
        <f>+IF((C1293&gt;='Resultats - informe'!$E$16)*(C1293&lt;='Resultats - informe'!$G$16),1,0)</f>
        <v>1</v>
      </c>
      <c r="M1293" s="369" cm="1">
        <f t="array" ref="M1293">+_xlfn.IFS((C1293&gt;='Resultats - informe'!$D$26)*(C1293&lt;='Resultats - informe'!$E$26),0,(C1293&gt;='Resultats - informe'!$D$27)*(C1293&lt;='Resultats - informe'!$E$27),0,(C1293&gt;='Resultats - informe'!$D$28)*(C1293&lt;='Resultats - informe'!$E$28),0,(C1293&gt;='Resultats - informe'!$D$29)*(C1293&lt;='Resultats - informe'!$E$29),0,1,1)</f>
        <v>0</v>
      </c>
      <c r="N1293" s="366">
        <f>+VLOOKUP(D1293,'Resultats - informe'!$Y$18:$AG$42,'Introducció dades consum'!K1293+1,0)</f>
        <v>0</v>
      </c>
      <c r="O1293" s="370" cm="1">
        <f t="array" ref="O1293">+_xlfn.SWITCH(MONTH(C1293),1,1,2,1,3,1,4,2,5,2,6,3,7,3,8,3,9,3,10,2,11,2,12,1,2)</f>
        <v>1</v>
      </c>
      <c r="P1293" s="43"/>
      <c r="AS1293" s="10"/>
      <c r="AT1293" s="10"/>
      <c r="AU1293" s="10"/>
      <c r="AV1293" s="10"/>
      <c r="AW1293" s="10"/>
      <c r="AX1293" s="10"/>
      <c r="AY1293" s="10"/>
      <c r="AZ1293" s="10"/>
      <c r="BA1293" s="10"/>
      <c r="BB1293" s="10"/>
      <c r="BC1293" s="10"/>
      <c r="BD1293" s="10"/>
      <c r="BE1293" s="10"/>
      <c r="BF1293" s="10"/>
      <c r="BG1293" s="10"/>
      <c r="BH1293" s="10"/>
      <c r="BI1293" s="10"/>
      <c r="BJ1293" s="10"/>
      <c r="BK1293" s="10"/>
      <c r="BL1293" s="10"/>
      <c r="BM1293" s="10"/>
      <c r="BN1293" s="10"/>
      <c r="BO1293" s="10"/>
      <c r="BP1293" s="10"/>
      <c r="BQ1293" s="10"/>
      <c r="BR1293" s="10"/>
      <c r="BS1293" s="10"/>
      <c r="BT1293" s="10"/>
      <c r="BU1293" s="10"/>
    </row>
    <row r="1294" spans="1:73" ht="18" x14ac:dyDescent="0.35">
      <c r="A1294" s="43"/>
      <c r="C1294" s="393"/>
      <c r="E1294" s="394"/>
      <c r="F1294" s="394">
        <v>0</v>
      </c>
      <c r="G1294" s="394"/>
      <c r="H1294" s="8" t="s">
        <v>235</v>
      </c>
      <c r="I1294" s="368">
        <f t="shared" si="61"/>
        <v>0</v>
      </c>
      <c r="J1294" s="365">
        <f t="shared" si="60"/>
        <v>0</v>
      </c>
      <c r="K1294" s="369">
        <f t="shared" si="62"/>
        <v>6</v>
      </c>
      <c r="L1294" s="369">
        <f>+IF((C1294&gt;='Resultats - informe'!$E$16)*(C1294&lt;='Resultats - informe'!$G$16),1,0)</f>
        <v>1</v>
      </c>
      <c r="M1294" s="369" cm="1">
        <f t="array" ref="M1294">+_xlfn.IFS((C1294&gt;='Resultats - informe'!$D$26)*(C1294&lt;='Resultats - informe'!$E$26),0,(C1294&gt;='Resultats - informe'!$D$27)*(C1294&lt;='Resultats - informe'!$E$27),0,(C1294&gt;='Resultats - informe'!$D$28)*(C1294&lt;='Resultats - informe'!$E$28),0,(C1294&gt;='Resultats - informe'!$D$29)*(C1294&lt;='Resultats - informe'!$E$29),0,1,1)</f>
        <v>0</v>
      </c>
      <c r="N1294" s="366">
        <f>+VLOOKUP(D1294,'Resultats - informe'!$Y$18:$AG$42,'Introducció dades consum'!K1294+1,0)</f>
        <v>0</v>
      </c>
      <c r="O1294" s="370" cm="1">
        <f t="array" ref="O1294">+_xlfn.SWITCH(MONTH(C1294),1,1,2,1,3,1,4,2,5,2,6,3,7,3,8,3,9,3,10,2,11,2,12,1,2)</f>
        <v>1</v>
      </c>
      <c r="P1294" s="43"/>
      <c r="AS1294" s="10"/>
      <c r="AT1294" s="10"/>
      <c r="AU1294" s="10"/>
      <c r="AV1294" s="10"/>
      <c r="AW1294" s="10"/>
      <c r="AX1294" s="10"/>
      <c r="AY1294" s="10"/>
      <c r="AZ1294" s="10"/>
      <c r="BA1294" s="10"/>
      <c r="BB1294" s="10"/>
      <c r="BC1294" s="10"/>
      <c r="BD1294" s="10"/>
      <c r="BE1294" s="10"/>
      <c r="BF1294" s="10"/>
      <c r="BG1294" s="10"/>
      <c r="BH1294" s="10"/>
      <c r="BI1294" s="10"/>
      <c r="BJ1294" s="10"/>
      <c r="BK1294" s="10"/>
      <c r="BL1294" s="10"/>
      <c r="BM1294" s="10"/>
      <c r="BN1294" s="10"/>
      <c r="BO1294" s="10"/>
      <c r="BP1294" s="10"/>
      <c r="BQ1294" s="10"/>
      <c r="BR1294" s="10"/>
      <c r="BS1294" s="10"/>
      <c r="BT1294" s="10"/>
      <c r="BU1294" s="10"/>
    </row>
    <row r="1295" spans="1:73" ht="18" x14ac:dyDescent="0.35">
      <c r="A1295" s="43"/>
      <c r="C1295" s="393"/>
      <c r="E1295" s="394"/>
      <c r="F1295" s="394">
        <v>0</v>
      </c>
      <c r="G1295" s="394"/>
      <c r="H1295" s="8" t="s">
        <v>235</v>
      </c>
      <c r="I1295" s="368">
        <f t="shared" si="61"/>
        <v>0</v>
      </c>
      <c r="J1295" s="365">
        <f t="shared" si="60"/>
        <v>0</v>
      </c>
      <c r="K1295" s="369">
        <f t="shared" si="62"/>
        <v>6</v>
      </c>
      <c r="L1295" s="369">
        <f>+IF((C1295&gt;='Resultats - informe'!$E$16)*(C1295&lt;='Resultats - informe'!$G$16),1,0)</f>
        <v>1</v>
      </c>
      <c r="M1295" s="369" cm="1">
        <f t="array" ref="M1295">+_xlfn.IFS((C1295&gt;='Resultats - informe'!$D$26)*(C1295&lt;='Resultats - informe'!$E$26),0,(C1295&gt;='Resultats - informe'!$D$27)*(C1295&lt;='Resultats - informe'!$E$27),0,(C1295&gt;='Resultats - informe'!$D$28)*(C1295&lt;='Resultats - informe'!$E$28),0,(C1295&gt;='Resultats - informe'!$D$29)*(C1295&lt;='Resultats - informe'!$E$29),0,1,1)</f>
        <v>0</v>
      </c>
      <c r="N1295" s="366">
        <f>+VLOOKUP(D1295,'Resultats - informe'!$Y$18:$AG$42,'Introducció dades consum'!K1295+1,0)</f>
        <v>0</v>
      </c>
      <c r="O1295" s="370" cm="1">
        <f t="array" ref="O1295">+_xlfn.SWITCH(MONTH(C1295),1,1,2,1,3,1,4,2,5,2,6,3,7,3,8,3,9,3,10,2,11,2,12,1,2)</f>
        <v>1</v>
      </c>
      <c r="P1295" s="43"/>
      <c r="AS1295" s="10"/>
      <c r="AT1295" s="10"/>
      <c r="AU1295" s="10"/>
      <c r="AV1295" s="10"/>
      <c r="AW1295" s="10"/>
      <c r="AX1295" s="10"/>
      <c r="AY1295" s="10"/>
      <c r="AZ1295" s="10"/>
      <c r="BA1295" s="10"/>
      <c r="BB1295" s="10"/>
      <c r="BC1295" s="10"/>
      <c r="BD1295" s="10"/>
      <c r="BE1295" s="10"/>
      <c r="BF1295" s="10"/>
      <c r="BG1295" s="10"/>
      <c r="BH1295" s="10"/>
      <c r="BI1295" s="10"/>
      <c r="BJ1295" s="10"/>
      <c r="BK1295" s="10"/>
      <c r="BL1295" s="10"/>
      <c r="BM1295" s="10"/>
      <c r="BN1295" s="10"/>
      <c r="BO1295" s="10"/>
      <c r="BP1295" s="10"/>
      <c r="BQ1295" s="10"/>
      <c r="BR1295" s="10"/>
      <c r="BS1295" s="10"/>
      <c r="BT1295" s="10"/>
      <c r="BU1295" s="10"/>
    </row>
    <row r="1296" spans="1:73" ht="18" x14ac:dyDescent="0.35">
      <c r="A1296" s="43"/>
      <c r="C1296" s="393"/>
      <c r="E1296" s="394"/>
      <c r="F1296" s="394">
        <v>0</v>
      </c>
      <c r="G1296" s="394"/>
      <c r="H1296" s="8" t="s">
        <v>235</v>
      </c>
      <c r="I1296" s="368">
        <f t="shared" si="61"/>
        <v>0</v>
      </c>
      <c r="J1296" s="365">
        <f t="shared" si="60"/>
        <v>0</v>
      </c>
      <c r="K1296" s="369">
        <f t="shared" si="62"/>
        <v>6</v>
      </c>
      <c r="L1296" s="369">
        <f>+IF((C1296&gt;='Resultats - informe'!$E$16)*(C1296&lt;='Resultats - informe'!$G$16),1,0)</f>
        <v>1</v>
      </c>
      <c r="M1296" s="369" cm="1">
        <f t="array" ref="M1296">+_xlfn.IFS((C1296&gt;='Resultats - informe'!$D$26)*(C1296&lt;='Resultats - informe'!$E$26),0,(C1296&gt;='Resultats - informe'!$D$27)*(C1296&lt;='Resultats - informe'!$E$27),0,(C1296&gt;='Resultats - informe'!$D$28)*(C1296&lt;='Resultats - informe'!$E$28),0,(C1296&gt;='Resultats - informe'!$D$29)*(C1296&lt;='Resultats - informe'!$E$29),0,1,1)</f>
        <v>0</v>
      </c>
      <c r="N1296" s="366">
        <f>+VLOOKUP(D1296,'Resultats - informe'!$Y$18:$AG$42,'Introducció dades consum'!K1296+1,0)</f>
        <v>0</v>
      </c>
      <c r="O1296" s="370" cm="1">
        <f t="array" ref="O1296">+_xlfn.SWITCH(MONTH(C1296),1,1,2,1,3,1,4,2,5,2,6,3,7,3,8,3,9,3,10,2,11,2,12,1,2)</f>
        <v>1</v>
      </c>
      <c r="P1296" s="43"/>
      <c r="AS1296" s="10"/>
      <c r="AT1296" s="10"/>
      <c r="AU1296" s="10"/>
      <c r="AV1296" s="10"/>
      <c r="AW1296" s="10"/>
      <c r="AX1296" s="10"/>
      <c r="AY1296" s="10"/>
      <c r="AZ1296" s="10"/>
      <c r="BA1296" s="10"/>
      <c r="BB1296" s="10"/>
      <c r="BC1296" s="10"/>
      <c r="BD1296" s="10"/>
      <c r="BE1296" s="10"/>
      <c r="BF1296" s="10"/>
      <c r="BG1296" s="10"/>
      <c r="BH1296" s="10"/>
      <c r="BI1296" s="10"/>
      <c r="BJ1296" s="10"/>
      <c r="BK1296" s="10"/>
      <c r="BL1296" s="10"/>
      <c r="BM1296" s="10"/>
      <c r="BN1296" s="10"/>
      <c r="BO1296" s="10"/>
      <c r="BP1296" s="10"/>
      <c r="BQ1296" s="10"/>
      <c r="BR1296" s="10"/>
      <c r="BS1296" s="10"/>
      <c r="BT1296" s="10"/>
      <c r="BU1296" s="10"/>
    </row>
    <row r="1297" spans="1:73" ht="18" x14ac:dyDescent="0.35">
      <c r="A1297" s="43"/>
      <c r="C1297" s="393"/>
      <c r="E1297" s="394"/>
      <c r="F1297" s="394">
        <v>0</v>
      </c>
      <c r="G1297" s="394"/>
      <c r="H1297" s="8" t="s">
        <v>235</v>
      </c>
      <c r="I1297" s="368">
        <f t="shared" si="61"/>
        <v>0</v>
      </c>
      <c r="J1297" s="365">
        <f t="shared" si="60"/>
        <v>0</v>
      </c>
      <c r="K1297" s="369">
        <f t="shared" si="62"/>
        <v>6</v>
      </c>
      <c r="L1297" s="369">
        <f>+IF((C1297&gt;='Resultats - informe'!$E$16)*(C1297&lt;='Resultats - informe'!$G$16),1,0)</f>
        <v>1</v>
      </c>
      <c r="M1297" s="369" cm="1">
        <f t="array" ref="M1297">+_xlfn.IFS((C1297&gt;='Resultats - informe'!$D$26)*(C1297&lt;='Resultats - informe'!$E$26),0,(C1297&gt;='Resultats - informe'!$D$27)*(C1297&lt;='Resultats - informe'!$E$27),0,(C1297&gt;='Resultats - informe'!$D$28)*(C1297&lt;='Resultats - informe'!$E$28),0,(C1297&gt;='Resultats - informe'!$D$29)*(C1297&lt;='Resultats - informe'!$E$29),0,1,1)</f>
        <v>0</v>
      </c>
      <c r="N1297" s="366">
        <f>+VLOOKUP(D1297,'Resultats - informe'!$Y$18:$AG$42,'Introducció dades consum'!K1297+1,0)</f>
        <v>0</v>
      </c>
      <c r="O1297" s="370" cm="1">
        <f t="array" ref="O1297">+_xlfn.SWITCH(MONTH(C1297),1,1,2,1,3,1,4,2,5,2,6,3,7,3,8,3,9,3,10,2,11,2,12,1,2)</f>
        <v>1</v>
      </c>
      <c r="P1297" s="43"/>
      <c r="AS1297" s="10"/>
      <c r="AT1297" s="10"/>
      <c r="AU1297" s="10"/>
      <c r="AV1297" s="10"/>
      <c r="AW1297" s="10"/>
      <c r="AX1297" s="10"/>
      <c r="AY1297" s="10"/>
      <c r="AZ1297" s="10"/>
      <c r="BA1297" s="10"/>
      <c r="BB1297" s="10"/>
      <c r="BC1297" s="10"/>
      <c r="BD1297" s="10"/>
      <c r="BE1297" s="10"/>
      <c r="BF1297" s="10"/>
      <c r="BG1297" s="10"/>
      <c r="BH1297" s="10"/>
      <c r="BI1297" s="10"/>
      <c r="BJ1297" s="10"/>
      <c r="BK1297" s="10"/>
      <c r="BL1297" s="10"/>
      <c r="BM1297" s="10"/>
      <c r="BN1297" s="10"/>
      <c r="BO1297" s="10"/>
      <c r="BP1297" s="10"/>
      <c r="BQ1297" s="10"/>
      <c r="BR1297" s="10"/>
      <c r="BS1297" s="10"/>
      <c r="BT1297" s="10"/>
      <c r="BU1297" s="10"/>
    </row>
    <row r="1298" spans="1:73" ht="18" x14ac:dyDescent="0.35">
      <c r="A1298" s="43"/>
      <c r="C1298" s="393"/>
      <c r="E1298" s="394"/>
      <c r="F1298" s="394">
        <v>0</v>
      </c>
      <c r="G1298" s="394"/>
      <c r="H1298" s="8" t="s">
        <v>235</v>
      </c>
      <c r="I1298" s="368">
        <f t="shared" si="61"/>
        <v>0</v>
      </c>
      <c r="J1298" s="365">
        <f t="shared" si="60"/>
        <v>0</v>
      </c>
      <c r="K1298" s="369">
        <f t="shared" si="62"/>
        <v>6</v>
      </c>
      <c r="L1298" s="369">
        <f>+IF((C1298&gt;='Resultats - informe'!$E$16)*(C1298&lt;='Resultats - informe'!$G$16),1,0)</f>
        <v>1</v>
      </c>
      <c r="M1298" s="369" cm="1">
        <f t="array" ref="M1298">+_xlfn.IFS((C1298&gt;='Resultats - informe'!$D$26)*(C1298&lt;='Resultats - informe'!$E$26),0,(C1298&gt;='Resultats - informe'!$D$27)*(C1298&lt;='Resultats - informe'!$E$27),0,(C1298&gt;='Resultats - informe'!$D$28)*(C1298&lt;='Resultats - informe'!$E$28),0,(C1298&gt;='Resultats - informe'!$D$29)*(C1298&lt;='Resultats - informe'!$E$29),0,1,1)</f>
        <v>0</v>
      </c>
      <c r="N1298" s="366">
        <f>+VLOOKUP(D1298,'Resultats - informe'!$Y$18:$AG$42,'Introducció dades consum'!K1298+1,0)</f>
        <v>0</v>
      </c>
      <c r="O1298" s="370" cm="1">
        <f t="array" ref="O1298">+_xlfn.SWITCH(MONTH(C1298),1,1,2,1,3,1,4,2,5,2,6,3,7,3,8,3,9,3,10,2,11,2,12,1,2)</f>
        <v>1</v>
      </c>
      <c r="P1298" s="43"/>
      <c r="AS1298" s="10"/>
      <c r="AT1298" s="10"/>
      <c r="AU1298" s="10"/>
      <c r="AV1298" s="10"/>
      <c r="AW1298" s="10"/>
      <c r="AX1298" s="10"/>
      <c r="AY1298" s="10"/>
      <c r="AZ1298" s="10"/>
      <c r="BA1298" s="10"/>
      <c r="BB1298" s="10"/>
      <c r="BC1298" s="10"/>
      <c r="BD1298" s="10"/>
      <c r="BE1298" s="10"/>
      <c r="BF1298" s="10"/>
      <c r="BG1298" s="10"/>
      <c r="BH1298" s="10"/>
      <c r="BI1298" s="10"/>
      <c r="BJ1298" s="10"/>
      <c r="BK1298" s="10"/>
      <c r="BL1298" s="10"/>
      <c r="BM1298" s="10"/>
      <c r="BN1298" s="10"/>
      <c r="BO1298" s="10"/>
      <c r="BP1298" s="10"/>
      <c r="BQ1298" s="10"/>
      <c r="BR1298" s="10"/>
      <c r="BS1298" s="10"/>
      <c r="BT1298" s="10"/>
      <c r="BU1298" s="10"/>
    </row>
    <row r="1299" spans="1:73" ht="18" x14ac:dyDescent="0.35">
      <c r="A1299" s="43"/>
      <c r="C1299" s="393"/>
      <c r="E1299" s="394"/>
      <c r="F1299" s="394">
        <v>0</v>
      </c>
      <c r="G1299" s="394"/>
      <c r="H1299" s="8" t="s">
        <v>235</v>
      </c>
      <c r="I1299" s="368">
        <f t="shared" si="61"/>
        <v>0</v>
      </c>
      <c r="J1299" s="365">
        <f t="shared" si="60"/>
        <v>0</v>
      </c>
      <c r="K1299" s="369">
        <f t="shared" si="62"/>
        <v>6</v>
      </c>
      <c r="L1299" s="369">
        <f>+IF((C1299&gt;='Resultats - informe'!$E$16)*(C1299&lt;='Resultats - informe'!$G$16),1,0)</f>
        <v>1</v>
      </c>
      <c r="M1299" s="369" cm="1">
        <f t="array" ref="M1299">+_xlfn.IFS((C1299&gt;='Resultats - informe'!$D$26)*(C1299&lt;='Resultats - informe'!$E$26),0,(C1299&gt;='Resultats - informe'!$D$27)*(C1299&lt;='Resultats - informe'!$E$27),0,(C1299&gt;='Resultats - informe'!$D$28)*(C1299&lt;='Resultats - informe'!$E$28),0,(C1299&gt;='Resultats - informe'!$D$29)*(C1299&lt;='Resultats - informe'!$E$29),0,1,1)</f>
        <v>0</v>
      </c>
      <c r="N1299" s="366">
        <f>+VLOOKUP(D1299,'Resultats - informe'!$Y$18:$AG$42,'Introducció dades consum'!K1299+1,0)</f>
        <v>0</v>
      </c>
      <c r="O1299" s="370" cm="1">
        <f t="array" ref="O1299">+_xlfn.SWITCH(MONTH(C1299),1,1,2,1,3,1,4,2,5,2,6,3,7,3,8,3,9,3,10,2,11,2,12,1,2)</f>
        <v>1</v>
      </c>
      <c r="P1299" s="43"/>
      <c r="AS1299" s="10"/>
      <c r="AT1299" s="10"/>
      <c r="AU1299" s="10"/>
      <c r="AV1299" s="10"/>
      <c r="AW1299" s="10"/>
      <c r="AX1299" s="10"/>
      <c r="AY1299" s="10"/>
      <c r="AZ1299" s="10"/>
      <c r="BA1299" s="10"/>
      <c r="BB1299" s="10"/>
      <c r="BC1299" s="10"/>
      <c r="BD1299" s="10"/>
      <c r="BE1299" s="10"/>
      <c r="BF1299" s="10"/>
      <c r="BG1299" s="10"/>
      <c r="BH1299" s="10"/>
      <c r="BI1299" s="10"/>
      <c r="BJ1299" s="10"/>
      <c r="BK1299" s="10"/>
      <c r="BL1299" s="10"/>
      <c r="BM1299" s="10"/>
      <c r="BN1299" s="10"/>
      <c r="BO1299" s="10"/>
      <c r="BP1299" s="10"/>
      <c r="BQ1299" s="10"/>
      <c r="BR1299" s="10"/>
      <c r="BS1299" s="10"/>
      <c r="BT1299" s="10"/>
      <c r="BU1299" s="10"/>
    </row>
    <row r="1300" spans="1:73" ht="18" x14ac:dyDescent="0.35">
      <c r="A1300" s="43"/>
      <c r="C1300" s="393"/>
      <c r="E1300" s="394"/>
      <c r="F1300" s="394">
        <v>0</v>
      </c>
      <c r="G1300" s="394"/>
      <c r="H1300" s="8" t="s">
        <v>235</v>
      </c>
      <c r="I1300" s="368">
        <f t="shared" si="61"/>
        <v>0</v>
      </c>
      <c r="J1300" s="365">
        <f t="shared" si="60"/>
        <v>0</v>
      </c>
      <c r="K1300" s="369">
        <f t="shared" si="62"/>
        <v>6</v>
      </c>
      <c r="L1300" s="369">
        <f>+IF((C1300&gt;='Resultats - informe'!$E$16)*(C1300&lt;='Resultats - informe'!$G$16),1,0)</f>
        <v>1</v>
      </c>
      <c r="M1300" s="369" cm="1">
        <f t="array" ref="M1300">+_xlfn.IFS((C1300&gt;='Resultats - informe'!$D$26)*(C1300&lt;='Resultats - informe'!$E$26),0,(C1300&gt;='Resultats - informe'!$D$27)*(C1300&lt;='Resultats - informe'!$E$27),0,(C1300&gt;='Resultats - informe'!$D$28)*(C1300&lt;='Resultats - informe'!$E$28),0,(C1300&gt;='Resultats - informe'!$D$29)*(C1300&lt;='Resultats - informe'!$E$29),0,1,1)</f>
        <v>0</v>
      </c>
      <c r="N1300" s="366">
        <f>+VLOOKUP(D1300,'Resultats - informe'!$Y$18:$AG$42,'Introducció dades consum'!K1300+1,0)</f>
        <v>0</v>
      </c>
      <c r="O1300" s="370" cm="1">
        <f t="array" ref="O1300">+_xlfn.SWITCH(MONTH(C1300),1,1,2,1,3,1,4,2,5,2,6,3,7,3,8,3,9,3,10,2,11,2,12,1,2)</f>
        <v>1</v>
      </c>
      <c r="P1300" s="43"/>
      <c r="AS1300" s="10"/>
      <c r="AT1300" s="10"/>
      <c r="AU1300" s="10"/>
      <c r="AV1300" s="10"/>
      <c r="AW1300" s="10"/>
      <c r="AX1300" s="10"/>
      <c r="AY1300" s="10"/>
      <c r="AZ1300" s="10"/>
      <c r="BA1300" s="10"/>
      <c r="BB1300" s="10"/>
      <c r="BC1300" s="10"/>
      <c r="BD1300" s="10"/>
      <c r="BE1300" s="10"/>
      <c r="BF1300" s="10"/>
      <c r="BG1300" s="10"/>
      <c r="BH1300" s="10"/>
      <c r="BI1300" s="10"/>
      <c r="BJ1300" s="10"/>
      <c r="BK1300" s="10"/>
      <c r="BL1300" s="10"/>
      <c r="BM1300" s="10"/>
      <c r="BN1300" s="10"/>
      <c r="BO1300" s="10"/>
      <c r="BP1300" s="10"/>
      <c r="BQ1300" s="10"/>
      <c r="BR1300" s="10"/>
      <c r="BS1300" s="10"/>
      <c r="BT1300" s="10"/>
      <c r="BU1300" s="10"/>
    </row>
    <row r="1301" spans="1:73" ht="18" x14ac:dyDescent="0.35">
      <c r="A1301" s="43"/>
      <c r="C1301" s="393"/>
      <c r="E1301" s="394"/>
      <c r="F1301" s="394">
        <v>0</v>
      </c>
      <c r="G1301" s="394"/>
      <c r="H1301" s="8" t="s">
        <v>235</v>
      </c>
      <c r="I1301" s="368">
        <f t="shared" si="61"/>
        <v>0</v>
      </c>
      <c r="J1301" s="365">
        <f t="shared" si="60"/>
        <v>0</v>
      </c>
      <c r="K1301" s="369">
        <f t="shared" si="62"/>
        <v>6</v>
      </c>
      <c r="L1301" s="369">
        <f>+IF((C1301&gt;='Resultats - informe'!$E$16)*(C1301&lt;='Resultats - informe'!$G$16),1,0)</f>
        <v>1</v>
      </c>
      <c r="M1301" s="369" cm="1">
        <f t="array" ref="M1301">+_xlfn.IFS((C1301&gt;='Resultats - informe'!$D$26)*(C1301&lt;='Resultats - informe'!$E$26),0,(C1301&gt;='Resultats - informe'!$D$27)*(C1301&lt;='Resultats - informe'!$E$27),0,(C1301&gt;='Resultats - informe'!$D$28)*(C1301&lt;='Resultats - informe'!$E$28),0,(C1301&gt;='Resultats - informe'!$D$29)*(C1301&lt;='Resultats - informe'!$E$29),0,1,1)</f>
        <v>0</v>
      </c>
      <c r="N1301" s="366">
        <f>+VLOOKUP(D1301,'Resultats - informe'!$Y$18:$AG$42,'Introducció dades consum'!K1301+1,0)</f>
        <v>0</v>
      </c>
      <c r="O1301" s="370" cm="1">
        <f t="array" ref="O1301">+_xlfn.SWITCH(MONTH(C1301),1,1,2,1,3,1,4,2,5,2,6,3,7,3,8,3,9,3,10,2,11,2,12,1,2)</f>
        <v>1</v>
      </c>
      <c r="P1301" s="43"/>
      <c r="AS1301" s="10"/>
      <c r="AT1301" s="10"/>
      <c r="AU1301" s="10"/>
      <c r="AV1301" s="10"/>
      <c r="AW1301" s="10"/>
      <c r="AX1301" s="10"/>
      <c r="AY1301" s="10"/>
      <c r="AZ1301" s="10"/>
      <c r="BA1301" s="10"/>
      <c r="BB1301" s="10"/>
      <c r="BC1301" s="10"/>
      <c r="BD1301" s="10"/>
      <c r="BE1301" s="10"/>
      <c r="BF1301" s="10"/>
      <c r="BG1301" s="10"/>
      <c r="BH1301" s="10"/>
      <c r="BI1301" s="10"/>
      <c r="BJ1301" s="10"/>
      <c r="BK1301" s="10"/>
      <c r="BL1301" s="10"/>
      <c r="BM1301" s="10"/>
      <c r="BN1301" s="10"/>
      <c r="BO1301" s="10"/>
      <c r="BP1301" s="10"/>
      <c r="BQ1301" s="10"/>
      <c r="BR1301" s="10"/>
      <c r="BS1301" s="10"/>
      <c r="BT1301" s="10"/>
      <c r="BU1301" s="10"/>
    </row>
    <row r="1302" spans="1:73" ht="18" x14ac:dyDescent="0.35">
      <c r="A1302" s="43"/>
      <c r="C1302" s="393"/>
      <c r="E1302" s="394"/>
      <c r="F1302" s="394">
        <v>0</v>
      </c>
      <c r="G1302" s="394"/>
      <c r="H1302" s="8" t="s">
        <v>235</v>
      </c>
      <c r="I1302" s="368">
        <f t="shared" si="61"/>
        <v>0</v>
      </c>
      <c r="J1302" s="365">
        <f t="shared" si="60"/>
        <v>0</v>
      </c>
      <c r="K1302" s="369">
        <f t="shared" si="62"/>
        <v>6</v>
      </c>
      <c r="L1302" s="369">
        <f>+IF((C1302&gt;='Resultats - informe'!$E$16)*(C1302&lt;='Resultats - informe'!$G$16),1,0)</f>
        <v>1</v>
      </c>
      <c r="M1302" s="369" cm="1">
        <f t="array" ref="M1302">+_xlfn.IFS((C1302&gt;='Resultats - informe'!$D$26)*(C1302&lt;='Resultats - informe'!$E$26),0,(C1302&gt;='Resultats - informe'!$D$27)*(C1302&lt;='Resultats - informe'!$E$27),0,(C1302&gt;='Resultats - informe'!$D$28)*(C1302&lt;='Resultats - informe'!$E$28),0,(C1302&gt;='Resultats - informe'!$D$29)*(C1302&lt;='Resultats - informe'!$E$29),0,1,1)</f>
        <v>0</v>
      </c>
      <c r="N1302" s="366">
        <f>+VLOOKUP(D1302,'Resultats - informe'!$Y$18:$AG$42,'Introducció dades consum'!K1302+1,0)</f>
        <v>0</v>
      </c>
      <c r="O1302" s="370" cm="1">
        <f t="array" ref="O1302">+_xlfn.SWITCH(MONTH(C1302),1,1,2,1,3,1,4,2,5,2,6,3,7,3,8,3,9,3,10,2,11,2,12,1,2)</f>
        <v>1</v>
      </c>
      <c r="P1302" s="43"/>
      <c r="AS1302" s="10"/>
      <c r="AT1302" s="10"/>
      <c r="AU1302" s="10"/>
      <c r="AV1302" s="10"/>
      <c r="AW1302" s="10"/>
      <c r="AX1302" s="10"/>
      <c r="AY1302" s="10"/>
      <c r="AZ1302" s="10"/>
      <c r="BA1302" s="10"/>
      <c r="BB1302" s="10"/>
      <c r="BC1302" s="10"/>
      <c r="BD1302" s="10"/>
      <c r="BE1302" s="10"/>
      <c r="BF1302" s="10"/>
      <c r="BG1302" s="10"/>
      <c r="BH1302" s="10"/>
      <c r="BI1302" s="10"/>
      <c r="BJ1302" s="10"/>
      <c r="BK1302" s="10"/>
      <c r="BL1302" s="10"/>
      <c r="BM1302" s="10"/>
      <c r="BN1302" s="10"/>
      <c r="BO1302" s="10"/>
      <c r="BP1302" s="10"/>
      <c r="BQ1302" s="10"/>
      <c r="BR1302" s="10"/>
      <c r="BS1302" s="10"/>
      <c r="BT1302" s="10"/>
      <c r="BU1302" s="10"/>
    </row>
    <row r="1303" spans="1:73" ht="18" x14ac:dyDescent="0.35">
      <c r="A1303" s="43"/>
      <c r="C1303" s="393"/>
      <c r="E1303" s="394"/>
      <c r="F1303" s="394">
        <v>0</v>
      </c>
      <c r="G1303" s="394"/>
      <c r="H1303" s="8" t="s">
        <v>235</v>
      </c>
      <c r="I1303" s="368">
        <f t="shared" si="61"/>
        <v>0</v>
      </c>
      <c r="J1303" s="365">
        <f t="shared" si="60"/>
        <v>0</v>
      </c>
      <c r="K1303" s="369">
        <f t="shared" si="62"/>
        <v>6</v>
      </c>
      <c r="L1303" s="369">
        <f>+IF((C1303&gt;='Resultats - informe'!$E$16)*(C1303&lt;='Resultats - informe'!$G$16),1,0)</f>
        <v>1</v>
      </c>
      <c r="M1303" s="369" cm="1">
        <f t="array" ref="M1303">+_xlfn.IFS((C1303&gt;='Resultats - informe'!$D$26)*(C1303&lt;='Resultats - informe'!$E$26),0,(C1303&gt;='Resultats - informe'!$D$27)*(C1303&lt;='Resultats - informe'!$E$27),0,(C1303&gt;='Resultats - informe'!$D$28)*(C1303&lt;='Resultats - informe'!$E$28),0,(C1303&gt;='Resultats - informe'!$D$29)*(C1303&lt;='Resultats - informe'!$E$29),0,1,1)</f>
        <v>0</v>
      </c>
      <c r="N1303" s="366">
        <f>+VLOOKUP(D1303,'Resultats - informe'!$Y$18:$AG$42,'Introducció dades consum'!K1303+1,0)</f>
        <v>0</v>
      </c>
      <c r="O1303" s="370" cm="1">
        <f t="array" ref="O1303">+_xlfn.SWITCH(MONTH(C1303),1,1,2,1,3,1,4,2,5,2,6,3,7,3,8,3,9,3,10,2,11,2,12,1,2)</f>
        <v>1</v>
      </c>
      <c r="P1303" s="43"/>
      <c r="AS1303" s="10"/>
      <c r="AT1303" s="10"/>
      <c r="AU1303" s="10"/>
      <c r="AV1303" s="10"/>
      <c r="AW1303" s="10"/>
      <c r="AX1303" s="10"/>
      <c r="AY1303" s="10"/>
      <c r="AZ1303" s="10"/>
      <c r="BA1303" s="10"/>
      <c r="BB1303" s="10"/>
      <c r="BC1303" s="10"/>
      <c r="BD1303" s="10"/>
      <c r="BE1303" s="10"/>
      <c r="BF1303" s="10"/>
      <c r="BG1303" s="10"/>
      <c r="BH1303" s="10"/>
      <c r="BI1303" s="10"/>
      <c r="BJ1303" s="10"/>
      <c r="BK1303" s="10"/>
      <c r="BL1303" s="10"/>
      <c r="BM1303" s="10"/>
      <c r="BN1303" s="10"/>
      <c r="BO1303" s="10"/>
      <c r="BP1303" s="10"/>
      <c r="BQ1303" s="10"/>
      <c r="BR1303" s="10"/>
      <c r="BS1303" s="10"/>
      <c r="BT1303" s="10"/>
      <c r="BU1303" s="10"/>
    </row>
    <row r="1304" spans="1:73" ht="18" x14ac:dyDescent="0.35">
      <c r="A1304" s="43"/>
      <c r="C1304" s="393"/>
      <c r="E1304" s="394"/>
      <c r="F1304" s="394">
        <v>0</v>
      </c>
      <c r="G1304" s="394"/>
      <c r="H1304" s="8" t="s">
        <v>235</v>
      </c>
      <c r="I1304" s="368">
        <f t="shared" si="61"/>
        <v>0</v>
      </c>
      <c r="J1304" s="365">
        <f t="shared" si="60"/>
        <v>0</v>
      </c>
      <c r="K1304" s="369">
        <f t="shared" si="62"/>
        <v>6</v>
      </c>
      <c r="L1304" s="369">
        <f>+IF((C1304&gt;='Resultats - informe'!$E$16)*(C1304&lt;='Resultats - informe'!$G$16),1,0)</f>
        <v>1</v>
      </c>
      <c r="M1304" s="369" cm="1">
        <f t="array" ref="M1304">+_xlfn.IFS((C1304&gt;='Resultats - informe'!$D$26)*(C1304&lt;='Resultats - informe'!$E$26),0,(C1304&gt;='Resultats - informe'!$D$27)*(C1304&lt;='Resultats - informe'!$E$27),0,(C1304&gt;='Resultats - informe'!$D$28)*(C1304&lt;='Resultats - informe'!$E$28),0,(C1304&gt;='Resultats - informe'!$D$29)*(C1304&lt;='Resultats - informe'!$E$29),0,1,1)</f>
        <v>0</v>
      </c>
      <c r="N1304" s="366">
        <f>+VLOOKUP(D1304,'Resultats - informe'!$Y$18:$AG$42,'Introducció dades consum'!K1304+1,0)</f>
        <v>0</v>
      </c>
      <c r="O1304" s="370" cm="1">
        <f t="array" ref="O1304">+_xlfn.SWITCH(MONTH(C1304),1,1,2,1,3,1,4,2,5,2,6,3,7,3,8,3,9,3,10,2,11,2,12,1,2)</f>
        <v>1</v>
      </c>
      <c r="P1304" s="43"/>
      <c r="AS1304" s="10"/>
      <c r="AT1304" s="10"/>
      <c r="AU1304" s="10"/>
      <c r="AV1304" s="10"/>
      <c r="AW1304" s="10"/>
      <c r="AX1304" s="10"/>
      <c r="AY1304" s="10"/>
      <c r="AZ1304" s="10"/>
      <c r="BA1304" s="10"/>
      <c r="BB1304" s="10"/>
      <c r="BC1304" s="10"/>
      <c r="BD1304" s="10"/>
      <c r="BE1304" s="10"/>
      <c r="BF1304" s="10"/>
      <c r="BG1304" s="10"/>
      <c r="BH1304" s="10"/>
      <c r="BI1304" s="10"/>
      <c r="BJ1304" s="10"/>
      <c r="BK1304" s="10"/>
      <c r="BL1304" s="10"/>
      <c r="BM1304" s="10"/>
      <c r="BN1304" s="10"/>
      <c r="BO1304" s="10"/>
      <c r="BP1304" s="10"/>
      <c r="BQ1304" s="10"/>
      <c r="BR1304" s="10"/>
      <c r="BS1304" s="10"/>
      <c r="BT1304" s="10"/>
      <c r="BU1304" s="10"/>
    </row>
    <row r="1305" spans="1:73" ht="18" x14ac:dyDescent="0.35">
      <c r="A1305" s="43"/>
      <c r="C1305" s="393"/>
      <c r="E1305" s="394"/>
      <c r="F1305" s="394">
        <v>0</v>
      </c>
      <c r="G1305" s="394"/>
      <c r="H1305" s="8" t="s">
        <v>235</v>
      </c>
      <c r="I1305" s="368">
        <f t="shared" si="61"/>
        <v>0</v>
      </c>
      <c r="J1305" s="365">
        <f t="shared" si="60"/>
        <v>0</v>
      </c>
      <c r="K1305" s="369">
        <f t="shared" si="62"/>
        <v>6</v>
      </c>
      <c r="L1305" s="369">
        <f>+IF((C1305&gt;='Resultats - informe'!$E$16)*(C1305&lt;='Resultats - informe'!$G$16),1,0)</f>
        <v>1</v>
      </c>
      <c r="M1305" s="369" cm="1">
        <f t="array" ref="M1305">+_xlfn.IFS((C1305&gt;='Resultats - informe'!$D$26)*(C1305&lt;='Resultats - informe'!$E$26),0,(C1305&gt;='Resultats - informe'!$D$27)*(C1305&lt;='Resultats - informe'!$E$27),0,(C1305&gt;='Resultats - informe'!$D$28)*(C1305&lt;='Resultats - informe'!$E$28),0,(C1305&gt;='Resultats - informe'!$D$29)*(C1305&lt;='Resultats - informe'!$E$29),0,1,1)</f>
        <v>0</v>
      </c>
      <c r="N1305" s="366">
        <f>+VLOOKUP(D1305,'Resultats - informe'!$Y$18:$AG$42,'Introducció dades consum'!K1305+1,0)</f>
        <v>0</v>
      </c>
      <c r="O1305" s="370" cm="1">
        <f t="array" ref="O1305">+_xlfn.SWITCH(MONTH(C1305),1,1,2,1,3,1,4,2,5,2,6,3,7,3,8,3,9,3,10,2,11,2,12,1,2)</f>
        <v>1</v>
      </c>
      <c r="P1305" s="43"/>
      <c r="AS1305" s="10"/>
      <c r="AT1305" s="10"/>
      <c r="AU1305" s="10"/>
      <c r="AV1305" s="10"/>
      <c r="AW1305" s="10"/>
      <c r="AX1305" s="10"/>
      <c r="AY1305" s="10"/>
      <c r="AZ1305" s="10"/>
      <c r="BA1305" s="10"/>
      <c r="BB1305" s="10"/>
      <c r="BC1305" s="10"/>
      <c r="BD1305" s="10"/>
      <c r="BE1305" s="10"/>
      <c r="BF1305" s="10"/>
      <c r="BG1305" s="10"/>
      <c r="BH1305" s="10"/>
      <c r="BI1305" s="10"/>
      <c r="BJ1305" s="10"/>
      <c r="BK1305" s="10"/>
      <c r="BL1305" s="10"/>
      <c r="BM1305" s="10"/>
      <c r="BN1305" s="10"/>
      <c r="BO1305" s="10"/>
      <c r="BP1305" s="10"/>
      <c r="BQ1305" s="10"/>
      <c r="BR1305" s="10"/>
      <c r="BS1305" s="10"/>
      <c r="BT1305" s="10"/>
      <c r="BU1305" s="10"/>
    </row>
    <row r="1306" spans="1:73" ht="18" x14ac:dyDescent="0.35">
      <c r="A1306" s="43"/>
      <c r="C1306" s="393"/>
      <c r="E1306" s="394"/>
      <c r="F1306" s="394">
        <v>0</v>
      </c>
      <c r="G1306" s="394"/>
      <c r="H1306" s="8" t="s">
        <v>235</v>
      </c>
      <c r="I1306" s="368">
        <f t="shared" si="61"/>
        <v>0</v>
      </c>
      <c r="J1306" s="365">
        <f t="shared" si="60"/>
        <v>0</v>
      </c>
      <c r="K1306" s="369">
        <f t="shared" si="62"/>
        <v>6</v>
      </c>
      <c r="L1306" s="369">
        <f>+IF((C1306&gt;='Resultats - informe'!$E$16)*(C1306&lt;='Resultats - informe'!$G$16),1,0)</f>
        <v>1</v>
      </c>
      <c r="M1306" s="369" cm="1">
        <f t="array" ref="M1306">+_xlfn.IFS((C1306&gt;='Resultats - informe'!$D$26)*(C1306&lt;='Resultats - informe'!$E$26),0,(C1306&gt;='Resultats - informe'!$D$27)*(C1306&lt;='Resultats - informe'!$E$27),0,(C1306&gt;='Resultats - informe'!$D$28)*(C1306&lt;='Resultats - informe'!$E$28),0,(C1306&gt;='Resultats - informe'!$D$29)*(C1306&lt;='Resultats - informe'!$E$29),0,1,1)</f>
        <v>0</v>
      </c>
      <c r="N1306" s="366">
        <f>+VLOOKUP(D1306,'Resultats - informe'!$Y$18:$AG$42,'Introducció dades consum'!K1306+1,0)</f>
        <v>0</v>
      </c>
      <c r="O1306" s="370" cm="1">
        <f t="array" ref="O1306">+_xlfn.SWITCH(MONTH(C1306),1,1,2,1,3,1,4,2,5,2,6,3,7,3,8,3,9,3,10,2,11,2,12,1,2)</f>
        <v>1</v>
      </c>
      <c r="P1306" s="43"/>
      <c r="AS1306" s="10"/>
      <c r="AT1306" s="10"/>
      <c r="AU1306" s="10"/>
      <c r="AV1306" s="10"/>
      <c r="AW1306" s="10"/>
      <c r="AX1306" s="10"/>
      <c r="AY1306" s="10"/>
      <c r="AZ1306" s="10"/>
      <c r="BA1306" s="10"/>
      <c r="BB1306" s="10"/>
      <c r="BC1306" s="10"/>
      <c r="BD1306" s="10"/>
      <c r="BE1306" s="10"/>
      <c r="BF1306" s="10"/>
      <c r="BG1306" s="10"/>
      <c r="BH1306" s="10"/>
      <c r="BI1306" s="10"/>
      <c r="BJ1306" s="10"/>
      <c r="BK1306" s="10"/>
      <c r="BL1306" s="10"/>
      <c r="BM1306" s="10"/>
      <c r="BN1306" s="10"/>
      <c r="BO1306" s="10"/>
      <c r="BP1306" s="10"/>
      <c r="BQ1306" s="10"/>
      <c r="BR1306" s="10"/>
      <c r="BS1306" s="10"/>
      <c r="BT1306" s="10"/>
      <c r="BU1306" s="10"/>
    </row>
    <row r="1307" spans="1:73" ht="18" x14ac:dyDescent="0.35">
      <c r="A1307" s="43"/>
      <c r="C1307" s="393"/>
      <c r="E1307" s="394"/>
      <c r="F1307" s="394">
        <v>0</v>
      </c>
      <c r="G1307" s="394"/>
      <c r="H1307" s="8" t="s">
        <v>235</v>
      </c>
      <c r="I1307" s="368">
        <f t="shared" si="61"/>
        <v>0</v>
      </c>
      <c r="J1307" s="365">
        <f t="shared" si="60"/>
        <v>0</v>
      </c>
      <c r="K1307" s="369">
        <f t="shared" si="62"/>
        <v>6</v>
      </c>
      <c r="L1307" s="369">
        <f>+IF((C1307&gt;='Resultats - informe'!$E$16)*(C1307&lt;='Resultats - informe'!$G$16),1,0)</f>
        <v>1</v>
      </c>
      <c r="M1307" s="369" cm="1">
        <f t="array" ref="M1307">+_xlfn.IFS((C1307&gt;='Resultats - informe'!$D$26)*(C1307&lt;='Resultats - informe'!$E$26),0,(C1307&gt;='Resultats - informe'!$D$27)*(C1307&lt;='Resultats - informe'!$E$27),0,(C1307&gt;='Resultats - informe'!$D$28)*(C1307&lt;='Resultats - informe'!$E$28),0,(C1307&gt;='Resultats - informe'!$D$29)*(C1307&lt;='Resultats - informe'!$E$29),0,1,1)</f>
        <v>0</v>
      </c>
      <c r="N1307" s="366">
        <f>+VLOOKUP(D1307,'Resultats - informe'!$Y$18:$AG$42,'Introducció dades consum'!K1307+1,0)</f>
        <v>0</v>
      </c>
      <c r="O1307" s="370" cm="1">
        <f t="array" ref="O1307">+_xlfn.SWITCH(MONTH(C1307),1,1,2,1,3,1,4,2,5,2,6,3,7,3,8,3,9,3,10,2,11,2,12,1,2)</f>
        <v>1</v>
      </c>
      <c r="P1307" s="43"/>
      <c r="AS1307" s="10"/>
      <c r="AT1307" s="10"/>
      <c r="AU1307" s="10"/>
      <c r="AV1307" s="10"/>
      <c r="AW1307" s="10"/>
      <c r="AX1307" s="10"/>
      <c r="AY1307" s="10"/>
      <c r="AZ1307" s="10"/>
      <c r="BA1307" s="10"/>
      <c r="BB1307" s="10"/>
      <c r="BC1307" s="10"/>
      <c r="BD1307" s="10"/>
      <c r="BE1307" s="10"/>
      <c r="BF1307" s="10"/>
      <c r="BG1307" s="10"/>
      <c r="BH1307" s="10"/>
      <c r="BI1307" s="10"/>
      <c r="BJ1307" s="10"/>
      <c r="BK1307" s="10"/>
      <c r="BL1307" s="10"/>
      <c r="BM1307" s="10"/>
      <c r="BN1307" s="10"/>
      <c r="BO1307" s="10"/>
      <c r="BP1307" s="10"/>
      <c r="BQ1307" s="10"/>
      <c r="BR1307" s="10"/>
      <c r="BS1307" s="10"/>
      <c r="BT1307" s="10"/>
      <c r="BU1307" s="10"/>
    </row>
    <row r="1308" spans="1:73" ht="18" x14ac:dyDescent="0.35">
      <c r="A1308" s="43"/>
      <c r="C1308" s="393"/>
      <c r="E1308" s="394"/>
      <c r="F1308" s="394">
        <v>0</v>
      </c>
      <c r="G1308" s="394"/>
      <c r="H1308" s="8" t="s">
        <v>235</v>
      </c>
      <c r="I1308" s="368">
        <f t="shared" si="61"/>
        <v>0</v>
      </c>
      <c r="J1308" s="365">
        <f t="shared" si="60"/>
        <v>0</v>
      </c>
      <c r="K1308" s="369">
        <f t="shared" si="62"/>
        <v>6</v>
      </c>
      <c r="L1308" s="369">
        <f>+IF((C1308&gt;='Resultats - informe'!$E$16)*(C1308&lt;='Resultats - informe'!$G$16),1,0)</f>
        <v>1</v>
      </c>
      <c r="M1308" s="369" cm="1">
        <f t="array" ref="M1308">+_xlfn.IFS((C1308&gt;='Resultats - informe'!$D$26)*(C1308&lt;='Resultats - informe'!$E$26),0,(C1308&gt;='Resultats - informe'!$D$27)*(C1308&lt;='Resultats - informe'!$E$27),0,(C1308&gt;='Resultats - informe'!$D$28)*(C1308&lt;='Resultats - informe'!$E$28),0,(C1308&gt;='Resultats - informe'!$D$29)*(C1308&lt;='Resultats - informe'!$E$29),0,1,1)</f>
        <v>0</v>
      </c>
      <c r="N1308" s="366">
        <f>+VLOOKUP(D1308,'Resultats - informe'!$Y$18:$AG$42,'Introducció dades consum'!K1308+1,0)</f>
        <v>0</v>
      </c>
      <c r="O1308" s="370" cm="1">
        <f t="array" ref="O1308">+_xlfn.SWITCH(MONTH(C1308),1,1,2,1,3,1,4,2,5,2,6,3,7,3,8,3,9,3,10,2,11,2,12,1,2)</f>
        <v>1</v>
      </c>
      <c r="P1308" s="43"/>
      <c r="AS1308" s="10"/>
      <c r="AT1308" s="10"/>
      <c r="AU1308" s="10"/>
      <c r="AV1308" s="10"/>
      <c r="AW1308" s="10"/>
      <c r="AX1308" s="10"/>
      <c r="AY1308" s="10"/>
      <c r="AZ1308" s="10"/>
      <c r="BA1308" s="10"/>
      <c r="BB1308" s="10"/>
      <c r="BC1308" s="10"/>
      <c r="BD1308" s="10"/>
      <c r="BE1308" s="10"/>
      <c r="BF1308" s="10"/>
      <c r="BG1308" s="10"/>
      <c r="BH1308" s="10"/>
      <c r="BI1308" s="10"/>
      <c r="BJ1308" s="10"/>
      <c r="BK1308" s="10"/>
      <c r="BL1308" s="10"/>
      <c r="BM1308" s="10"/>
      <c r="BN1308" s="10"/>
      <c r="BO1308" s="10"/>
      <c r="BP1308" s="10"/>
      <c r="BQ1308" s="10"/>
      <c r="BR1308" s="10"/>
      <c r="BS1308" s="10"/>
      <c r="BT1308" s="10"/>
      <c r="BU1308" s="10"/>
    </row>
    <row r="1309" spans="1:73" ht="18" x14ac:dyDescent="0.35">
      <c r="A1309" s="43"/>
      <c r="C1309" s="393"/>
      <c r="E1309" s="394"/>
      <c r="F1309" s="394">
        <v>0</v>
      </c>
      <c r="G1309" s="394"/>
      <c r="H1309" s="8" t="s">
        <v>61</v>
      </c>
      <c r="I1309" s="368">
        <f t="shared" si="61"/>
        <v>0</v>
      </c>
      <c r="J1309" s="365">
        <f t="shared" si="60"/>
        <v>0</v>
      </c>
      <c r="K1309" s="369">
        <f t="shared" si="62"/>
        <v>6</v>
      </c>
      <c r="L1309" s="369">
        <f>+IF((C1309&gt;='Resultats - informe'!$E$16)*(C1309&lt;='Resultats - informe'!$G$16),1,0)</f>
        <v>1</v>
      </c>
      <c r="M1309" s="369" cm="1">
        <f t="array" ref="M1309">+_xlfn.IFS((C1309&gt;='Resultats - informe'!$D$26)*(C1309&lt;='Resultats - informe'!$E$26),0,(C1309&gt;='Resultats - informe'!$D$27)*(C1309&lt;='Resultats - informe'!$E$27),0,(C1309&gt;='Resultats - informe'!$D$28)*(C1309&lt;='Resultats - informe'!$E$28),0,(C1309&gt;='Resultats - informe'!$D$29)*(C1309&lt;='Resultats - informe'!$E$29),0,1,1)</f>
        <v>0</v>
      </c>
      <c r="N1309" s="366">
        <f>+VLOOKUP(D1309,'Resultats - informe'!$Y$18:$AG$42,'Introducció dades consum'!K1309+1,0)</f>
        <v>0</v>
      </c>
      <c r="O1309" s="370" cm="1">
        <f t="array" ref="O1309">+_xlfn.SWITCH(MONTH(C1309),1,1,2,1,3,1,4,2,5,2,6,3,7,3,8,3,9,3,10,2,11,2,12,1,2)</f>
        <v>1</v>
      </c>
      <c r="P1309" s="43"/>
      <c r="AS1309" s="10"/>
      <c r="AT1309" s="10"/>
      <c r="AU1309" s="10"/>
      <c r="AV1309" s="10"/>
      <c r="AW1309" s="10"/>
      <c r="AX1309" s="10"/>
      <c r="AY1309" s="10"/>
      <c r="AZ1309" s="10"/>
      <c r="BA1309" s="10"/>
      <c r="BB1309" s="10"/>
      <c r="BC1309" s="10"/>
      <c r="BD1309" s="10"/>
      <c r="BE1309" s="10"/>
      <c r="BF1309" s="10"/>
      <c r="BG1309" s="10"/>
      <c r="BH1309" s="10"/>
      <c r="BI1309" s="10"/>
      <c r="BJ1309" s="10"/>
      <c r="BK1309" s="10"/>
      <c r="BL1309" s="10"/>
      <c r="BM1309" s="10"/>
      <c r="BN1309" s="10"/>
      <c r="BO1309" s="10"/>
      <c r="BP1309" s="10"/>
      <c r="BQ1309" s="10"/>
      <c r="BR1309" s="10"/>
      <c r="BS1309" s="10"/>
      <c r="BT1309" s="10"/>
      <c r="BU1309" s="10"/>
    </row>
    <row r="1310" spans="1:73" ht="18" x14ac:dyDescent="0.35">
      <c r="A1310" s="43"/>
      <c r="C1310" s="393"/>
      <c r="E1310" s="394"/>
      <c r="F1310" s="394">
        <v>0.88500000000000001</v>
      </c>
      <c r="G1310" s="394"/>
      <c r="H1310" s="8" t="s">
        <v>235</v>
      </c>
      <c r="I1310" s="368">
        <f t="shared" si="61"/>
        <v>0</v>
      </c>
      <c r="J1310" s="365">
        <f t="shared" si="60"/>
        <v>0</v>
      </c>
      <c r="K1310" s="369">
        <f t="shared" si="62"/>
        <v>6</v>
      </c>
      <c r="L1310" s="369">
        <f>+IF((C1310&gt;='Resultats - informe'!$E$16)*(C1310&lt;='Resultats - informe'!$G$16),1,0)</f>
        <v>1</v>
      </c>
      <c r="M1310" s="369" cm="1">
        <f t="array" ref="M1310">+_xlfn.IFS((C1310&gt;='Resultats - informe'!$D$26)*(C1310&lt;='Resultats - informe'!$E$26),0,(C1310&gt;='Resultats - informe'!$D$27)*(C1310&lt;='Resultats - informe'!$E$27),0,(C1310&gt;='Resultats - informe'!$D$28)*(C1310&lt;='Resultats - informe'!$E$28),0,(C1310&gt;='Resultats - informe'!$D$29)*(C1310&lt;='Resultats - informe'!$E$29),0,1,1)</f>
        <v>0</v>
      </c>
      <c r="N1310" s="366">
        <f>+VLOOKUP(D1310,'Resultats - informe'!$Y$18:$AG$42,'Introducció dades consum'!K1310+1,0)</f>
        <v>0</v>
      </c>
      <c r="O1310" s="370" cm="1">
        <f t="array" ref="O1310">+_xlfn.SWITCH(MONTH(C1310),1,1,2,1,3,1,4,2,5,2,6,3,7,3,8,3,9,3,10,2,11,2,12,1,2)</f>
        <v>1</v>
      </c>
      <c r="P1310" s="43"/>
      <c r="AS1310" s="10"/>
      <c r="AT1310" s="10"/>
      <c r="AU1310" s="10"/>
      <c r="AV1310" s="10"/>
      <c r="AW1310" s="10"/>
      <c r="AX1310" s="10"/>
      <c r="AY1310" s="10"/>
      <c r="AZ1310" s="10"/>
      <c r="BA1310" s="10"/>
      <c r="BB1310" s="10"/>
      <c r="BC1310" s="10"/>
      <c r="BD1310" s="10"/>
      <c r="BE1310" s="10"/>
      <c r="BF1310" s="10"/>
      <c r="BG1310" s="10"/>
      <c r="BH1310" s="10"/>
      <c r="BI1310" s="10"/>
      <c r="BJ1310" s="10"/>
      <c r="BK1310" s="10"/>
      <c r="BL1310" s="10"/>
      <c r="BM1310" s="10"/>
      <c r="BN1310" s="10"/>
      <c r="BO1310" s="10"/>
      <c r="BP1310" s="10"/>
      <c r="BQ1310" s="10"/>
      <c r="BR1310" s="10"/>
      <c r="BS1310" s="10"/>
      <c r="BT1310" s="10"/>
      <c r="BU1310" s="10"/>
    </row>
    <row r="1311" spans="1:73" ht="18" x14ac:dyDescent="0.35">
      <c r="A1311" s="43"/>
      <c r="C1311" s="393"/>
      <c r="E1311" s="394"/>
      <c r="F1311" s="394">
        <v>0.39700000000000002</v>
      </c>
      <c r="G1311" s="394"/>
      <c r="H1311" s="8" t="s">
        <v>235</v>
      </c>
      <c r="I1311" s="368">
        <f t="shared" si="61"/>
        <v>0</v>
      </c>
      <c r="J1311" s="365">
        <f t="shared" si="60"/>
        <v>0</v>
      </c>
      <c r="K1311" s="369">
        <f t="shared" si="62"/>
        <v>6</v>
      </c>
      <c r="L1311" s="369">
        <f>+IF((C1311&gt;='Resultats - informe'!$E$16)*(C1311&lt;='Resultats - informe'!$G$16),1,0)</f>
        <v>1</v>
      </c>
      <c r="M1311" s="369" cm="1">
        <f t="array" ref="M1311">+_xlfn.IFS((C1311&gt;='Resultats - informe'!$D$26)*(C1311&lt;='Resultats - informe'!$E$26),0,(C1311&gt;='Resultats - informe'!$D$27)*(C1311&lt;='Resultats - informe'!$E$27),0,(C1311&gt;='Resultats - informe'!$D$28)*(C1311&lt;='Resultats - informe'!$E$28),0,(C1311&gt;='Resultats - informe'!$D$29)*(C1311&lt;='Resultats - informe'!$E$29),0,1,1)</f>
        <v>0</v>
      </c>
      <c r="N1311" s="366">
        <f>+VLOOKUP(D1311,'Resultats - informe'!$Y$18:$AG$42,'Introducció dades consum'!K1311+1,0)</f>
        <v>0</v>
      </c>
      <c r="O1311" s="370" cm="1">
        <f t="array" ref="O1311">+_xlfn.SWITCH(MONTH(C1311),1,1,2,1,3,1,4,2,5,2,6,3,7,3,8,3,9,3,10,2,11,2,12,1,2)</f>
        <v>1</v>
      </c>
      <c r="P1311" s="43"/>
      <c r="AS1311" s="10"/>
      <c r="AT1311" s="10"/>
      <c r="AU1311" s="10"/>
      <c r="AV1311" s="10"/>
      <c r="AW1311" s="10"/>
      <c r="AX1311" s="10"/>
      <c r="AY1311" s="10"/>
      <c r="AZ1311" s="10"/>
      <c r="BA1311" s="10"/>
      <c r="BB1311" s="10"/>
      <c r="BC1311" s="10"/>
      <c r="BD1311" s="10"/>
      <c r="BE1311" s="10"/>
      <c r="BF1311" s="10"/>
      <c r="BG1311" s="10"/>
      <c r="BH1311" s="10"/>
      <c r="BI1311" s="10"/>
      <c r="BJ1311" s="10"/>
      <c r="BK1311" s="10"/>
      <c r="BL1311" s="10"/>
      <c r="BM1311" s="10"/>
      <c r="BN1311" s="10"/>
      <c r="BO1311" s="10"/>
      <c r="BP1311" s="10"/>
      <c r="BQ1311" s="10"/>
      <c r="BR1311" s="10"/>
      <c r="BS1311" s="10"/>
      <c r="BT1311" s="10"/>
      <c r="BU1311" s="10"/>
    </row>
    <row r="1312" spans="1:73" ht="18" x14ac:dyDescent="0.35">
      <c r="A1312" s="43"/>
      <c r="C1312" s="393"/>
      <c r="E1312" s="394"/>
      <c r="F1312" s="394">
        <v>0.82199999999999995</v>
      </c>
      <c r="G1312" s="394"/>
      <c r="H1312" s="8" t="s">
        <v>235</v>
      </c>
      <c r="I1312" s="368">
        <f t="shared" si="61"/>
        <v>0</v>
      </c>
      <c r="J1312" s="365">
        <f t="shared" si="60"/>
        <v>0</v>
      </c>
      <c r="K1312" s="369">
        <f t="shared" si="62"/>
        <v>6</v>
      </c>
      <c r="L1312" s="369">
        <f>+IF((C1312&gt;='Resultats - informe'!$E$16)*(C1312&lt;='Resultats - informe'!$G$16),1,0)</f>
        <v>1</v>
      </c>
      <c r="M1312" s="369" cm="1">
        <f t="array" ref="M1312">+_xlfn.IFS((C1312&gt;='Resultats - informe'!$D$26)*(C1312&lt;='Resultats - informe'!$E$26),0,(C1312&gt;='Resultats - informe'!$D$27)*(C1312&lt;='Resultats - informe'!$E$27),0,(C1312&gt;='Resultats - informe'!$D$28)*(C1312&lt;='Resultats - informe'!$E$28),0,(C1312&gt;='Resultats - informe'!$D$29)*(C1312&lt;='Resultats - informe'!$E$29),0,1,1)</f>
        <v>0</v>
      </c>
      <c r="N1312" s="366">
        <f>+VLOOKUP(D1312,'Resultats - informe'!$Y$18:$AG$42,'Introducció dades consum'!K1312+1,0)</f>
        <v>0</v>
      </c>
      <c r="O1312" s="370" cm="1">
        <f t="array" ref="O1312">+_xlfn.SWITCH(MONTH(C1312),1,1,2,1,3,1,4,2,5,2,6,3,7,3,8,3,9,3,10,2,11,2,12,1,2)</f>
        <v>1</v>
      </c>
      <c r="P1312" s="43"/>
      <c r="AS1312" s="10"/>
      <c r="AT1312" s="10"/>
      <c r="AU1312" s="10"/>
      <c r="AV1312" s="10"/>
      <c r="AW1312" s="10"/>
      <c r="AX1312" s="10"/>
      <c r="AY1312" s="10"/>
      <c r="AZ1312" s="10"/>
      <c r="BA1312" s="10"/>
      <c r="BB1312" s="10"/>
      <c r="BC1312" s="10"/>
      <c r="BD1312" s="10"/>
      <c r="BE1312" s="10"/>
      <c r="BF1312" s="10"/>
      <c r="BG1312" s="10"/>
      <c r="BH1312" s="10"/>
      <c r="BI1312" s="10"/>
      <c r="BJ1312" s="10"/>
      <c r="BK1312" s="10"/>
      <c r="BL1312" s="10"/>
      <c r="BM1312" s="10"/>
      <c r="BN1312" s="10"/>
      <c r="BO1312" s="10"/>
      <c r="BP1312" s="10"/>
      <c r="BQ1312" s="10"/>
      <c r="BR1312" s="10"/>
      <c r="BS1312" s="10"/>
      <c r="BT1312" s="10"/>
      <c r="BU1312" s="10"/>
    </row>
    <row r="1313" spans="1:73" ht="18" x14ac:dyDescent="0.35">
      <c r="A1313" s="43"/>
      <c r="C1313" s="393"/>
      <c r="E1313" s="394"/>
      <c r="F1313" s="394">
        <v>0.59099999999999997</v>
      </c>
      <c r="G1313" s="394"/>
      <c r="H1313" s="8" t="s">
        <v>235</v>
      </c>
      <c r="I1313" s="368">
        <f t="shared" si="61"/>
        <v>0</v>
      </c>
      <c r="J1313" s="365">
        <f t="shared" si="60"/>
        <v>0</v>
      </c>
      <c r="K1313" s="369">
        <f t="shared" si="62"/>
        <v>6</v>
      </c>
      <c r="L1313" s="369">
        <f>+IF((C1313&gt;='Resultats - informe'!$E$16)*(C1313&lt;='Resultats - informe'!$G$16),1,0)</f>
        <v>1</v>
      </c>
      <c r="M1313" s="369" cm="1">
        <f t="array" ref="M1313">+_xlfn.IFS((C1313&gt;='Resultats - informe'!$D$26)*(C1313&lt;='Resultats - informe'!$E$26),0,(C1313&gt;='Resultats - informe'!$D$27)*(C1313&lt;='Resultats - informe'!$E$27),0,(C1313&gt;='Resultats - informe'!$D$28)*(C1313&lt;='Resultats - informe'!$E$28),0,(C1313&gt;='Resultats - informe'!$D$29)*(C1313&lt;='Resultats - informe'!$E$29),0,1,1)</f>
        <v>0</v>
      </c>
      <c r="N1313" s="366">
        <f>+VLOOKUP(D1313,'Resultats - informe'!$Y$18:$AG$42,'Introducció dades consum'!K1313+1,0)</f>
        <v>0</v>
      </c>
      <c r="O1313" s="370" cm="1">
        <f t="array" ref="O1313">+_xlfn.SWITCH(MONTH(C1313),1,1,2,1,3,1,4,2,5,2,6,3,7,3,8,3,9,3,10,2,11,2,12,1,2)</f>
        <v>1</v>
      </c>
      <c r="P1313" s="43"/>
      <c r="AS1313" s="10"/>
      <c r="AT1313" s="10"/>
      <c r="AU1313" s="10"/>
      <c r="AV1313" s="10"/>
      <c r="AW1313" s="10"/>
      <c r="AX1313" s="10"/>
      <c r="AY1313" s="10"/>
      <c r="AZ1313" s="10"/>
      <c r="BA1313" s="10"/>
      <c r="BB1313" s="10"/>
      <c r="BC1313" s="10"/>
      <c r="BD1313" s="10"/>
      <c r="BE1313" s="10"/>
      <c r="BF1313" s="10"/>
      <c r="BG1313" s="10"/>
      <c r="BH1313" s="10"/>
      <c r="BI1313" s="10"/>
      <c r="BJ1313" s="10"/>
      <c r="BK1313" s="10"/>
      <c r="BL1313" s="10"/>
      <c r="BM1313" s="10"/>
      <c r="BN1313" s="10"/>
      <c r="BO1313" s="10"/>
      <c r="BP1313" s="10"/>
      <c r="BQ1313" s="10"/>
      <c r="BR1313" s="10"/>
      <c r="BS1313" s="10"/>
      <c r="BT1313" s="10"/>
      <c r="BU1313" s="10"/>
    </row>
    <row r="1314" spans="1:73" ht="18" x14ac:dyDescent="0.35">
      <c r="A1314" s="43"/>
      <c r="C1314" s="393"/>
      <c r="E1314" s="394"/>
      <c r="F1314" s="394">
        <v>1.284</v>
      </c>
      <c r="G1314" s="394"/>
      <c r="H1314" s="8" t="s">
        <v>61</v>
      </c>
      <c r="I1314" s="368">
        <f t="shared" si="61"/>
        <v>0</v>
      </c>
      <c r="J1314" s="365">
        <f t="shared" si="60"/>
        <v>0</v>
      </c>
      <c r="K1314" s="369">
        <f t="shared" si="62"/>
        <v>6</v>
      </c>
      <c r="L1314" s="369">
        <f>+IF((C1314&gt;='Resultats - informe'!$E$16)*(C1314&lt;='Resultats - informe'!$G$16),1,0)</f>
        <v>1</v>
      </c>
      <c r="M1314" s="369" cm="1">
        <f t="array" ref="M1314">+_xlfn.IFS((C1314&gt;='Resultats - informe'!$D$26)*(C1314&lt;='Resultats - informe'!$E$26),0,(C1314&gt;='Resultats - informe'!$D$27)*(C1314&lt;='Resultats - informe'!$E$27),0,(C1314&gt;='Resultats - informe'!$D$28)*(C1314&lt;='Resultats - informe'!$E$28),0,(C1314&gt;='Resultats - informe'!$D$29)*(C1314&lt;='Resultats - informe'!$E$29),0,1,1)</f>
        <v>0</v>
      </c>
      <c r="N1314" s="366">
        <f>+VLOOKUP(D1314,'Resultats - informe'!$Y$18:$AG$42,'Introducció dades consum'!K1314+1,0)</f>
        <v>0</v>
      </c>
      <c r="O1314" s="370" cm="1">
        <f t="array" ref="O1314">+_xlfn.SWITCH(MONTH(C1314),1,1,2,1,3,1,4,2,5,2,6,3,7,3,8,3,9,3,10,2,11,2,12,1,2)</f>
        <v>1</v>
      </c>
      <c r="P1314" s="43"/>
      <c r="AS1314" s="10"/>
      <c r="AT1314" s="10"/>
      <c r="AU1314" s="10"/>
      <c r="AV1314" s="10"/>
      <c r="AW1314" s="10"/>
      <c r="AX1314" s="10"/>
      <c r="AY1314" s="10"/>
      <c r="AZ1314" s="10"/>
      <c r="BA1314" s="10"/>
      <c r="BB1314" s="10"/>
      <c r="BC1314" s="10"/>
      <c r="BD1314" s="10"/>
      <c r="BE1314" s="10"/>
      <c r="BF1314" s="10"/>
      <c r="BG1314" s="10"/>
      <c r="BH1314" s="10"/>
      <c r="BI1314" s="10"/>
      <c r="BJ1314" s="10"/>
      <c r="BK1314" s="10"/>
      <c r="BL1314" s="10"/>
      <c r="BM1314" s="10"/>
      <c r="BN1314" s="10"/>
      <c r="BO1314" s="10"/>
      <c r="BP1314" s="10"/>
      <c r="BQ1314" s="10"/>
      <c r="BR1314" s="10"/>
      <c r="BS1314" s="10"/>
      <c r="BT1314" s="10"/>
      <c r="BU1314" s="10"/>
    </row>
    <row r="1315" spans="1:73" ht="18" x14ac:dyDescent="0.35">
      <c r="A1315" s="43"/>
      <c r="C1315" s="393"/>
      <c r="E1315" s="394"/>
      <c r="F1315" s="394">
        <v>0.35699999999999998</v>
      </c>
      <c r="G1315" s="394"/>
      <c r="H1315" s="8" t="s">
        <v>61</v>
      </c>
      <c r="I1315" s="368">
        <f t="shared" si="61"/>
        <v>0</v>
      </c>
      <c r="J1315" s="365">
        <f t="shared" si="60"/>
        <v>0</v>
      </c>
      <c r="K1315" s="369">
        <f t="shared" si="62"/>
        <v>6</v>
      </c>
      <c r="L1315" s="369">
        <f>+IF((C1315&gt;='Resultats - informe'!$E$16)*(C1315&lt;='Resultats - informe'!$G$16),1,0)</f>
        <v>1</v>
      </c>
      <c r="M1315" s="369" cm="1">
        <f t="array" ref="M1315">+_xlfn.IFS((C1315&gt;='Resultats - informe'!$D$26)*(C1315&lt;='Resultats - informe'!$E$26),0,(C1315&gt;='Resultats - informe'!$D$27)*(C1315&lt;='Resultats - informe'!$E$27),0,(C1315&gt;='Resultats - informe'!$D$28)*(C1315&lt;='Resultats - informe'!$E$28),0,(C1315&gt;='Resultats - informe'!$D$29)*(C1315&lt;='Resultats - informe'!$E$29),0,1,1)</f>
        <v>0</v>
      </c>
      <c r="N1315" s="366">
        <f>+VLOOKUP(D1315,'Resultats - informe'!$Y$18:$AG$42,'Introducció dades consum'!K1315+1,0)</f>
        <v>0</v>
      </c>
      <c r="O1315" s="370" cm="1">
        <f t="array" ref="O1315">+_xlfn.SWITCH(MONTH(C1315),1,1,2,1,3,1,4,2,5,2,6,3,7,3,8,3,9,3,10,2,11,2,12,1,2)</f>
        <v>1</v>
      </c>
      <c r="P1315" s="43"/>
      <c r="AS1315" s="10"/>
      <c r="AT1315" s="10"/>
      <c r="AU1315" s="10"/>
      <c r="AV1315" s="10"/>
      <c r="AW1315" s="10"/>
      <c r="AX1315" s="10"/>
      <c r="AY1315" s="10"/>
      <c r="AZ1315" s="10"/>
      <c r="BA1315" s="10"/>
      <c r="BB1315" s="10"/>
      <c r="BC1315" s="10"/>
      <c r="BD1315" s="10"/>
      <c r="BE1315" s="10"/>
      <c r="BF1315" s="10"/>
      <c r="BG1315" s="10"/>
      <c r="BH1315" s="10"/>
      <c r="BI1315" s="10"/>
      <c r="BJ1315" s="10"/>
      <c r="BK1315" s="10"/>
      <c r="BL1315" s="10"/>
      <c r="BM1315" s="10"/>
      <c r="BN1315" s="10"/>
      <c r="BO1315" s="10"/>
      <c r="BP1315" s="10"/>
      <c r="BQ1315" s="10"/>
      <c r="BR1315" s="10"/>
      <c r="BS1315" s="10"/>
      <c r="BT1315" s="10"/>
      <c r="BU1315" s="10"/>
    </row>
    <row r="1316" spans="1:73" ht="18" x14ac:dyDescent="0.35">
      <c r="A1316" s="43"/>
      <c r="C1316" s="393"/>
      <c r="E1316" s="394"/>
      <c r="F1316" s="394">
        <v>0</v>
      </c>
      <c r="G1316" s="394"/>
      <c r="H1316" s="8" t="s">
        <v>235</v>
      </c>
      <c r="I1316" s="368">
        <f t="shared" si="61"/>
        <v>0</v>
      </c>
      <c r="J1316" s="365">
        <f t="shared" si="60"/>
        <v>0</v>
      </c>
      <c r="K1316" s="369">
        <f t="shared" si="62"/>
        <v>6</v>
      </c>
      <c r="L1316" s="369">
        <f>+IF((C1316&gt;='Resultats - informe'!$E$16)*(C1316&lt;='Resultats - informe'!$G$16),1,0)</f>
        <v>1</v>
      </c>
      <c r="M1316" s="369" cm="1">
        <f t="array" ref="M1316">+_xlfn.IFS((C1316&gt;='Resultats - informe'!$D$26)*(C1316&lt;='Resultats - informe'!$E$26),0,(C1316&gt;='Resultats - informe'!$D$27)*(C1316&lt;='Resultats - informe'!$E$27),0,(C1316&gt;='Resultats - informe'!$D$28)*(C1316&lt;='Resultats - informe'!$E$28),0,(C1316&gt;='Resultats - informe'!$D$29)*(C1316&lt;='Resultats - informe'!$E$29),0,1,1)</f>
        <v>0</v>
      </c>
      <c r="N1316" s="366">
        <f>+VLOOKUP(D1316,'Resultats - informe'!$Y$18:$AG$42,'Introducció dades consum'!K1316+1,0)</f>
        <v>0</v>
      </c>
      <c r="O1316" s="370" cm="1">
        <f t="array" ref="O1316">+_xlfn.SWITCH(MONTH(C1316),1,1,2,1,3,1,4,2,5,2,6,3,7,3,8,3,9,3,10,2,11,2,12,1,2)</f>
        <v>1</v>
      </c>
      <c r="P1316" s="43"/>
      <c r="AS1316" s="10"/>
      <c r="AT1316" s="10"/>
      <c r="AU1316" s="10"/>
      <c r="AV1316" s="10"/>
      <c r="AW1316" s="10"/>
      <c r="AX1316" s="10"/>
      <c r="AY1316" s="10"/>
      <c r="AZ1316" s="10"/>
      <c r="BA1316" s="10"/>
      <c r="BB1316" s="10"/>
      <c r="BC1316" s="10"/>
      <c r="BD1316" s="10"/>
      <c r="BE1316" s="10"/>
      <c r="BF1316" s="10"/>
      <c r="BG1316" s="10"/>
      <c r="BH1316" s="10"/>
      <c r="BI1316" s="10"/>
      <c r="BJ1316" s="10"/>
      <c r="BK1316" s="10"/>
      <c r="BL1316" s="10"/>
      <c r="BM1316" s="10"/>
      <c r="BN1316" s="10"/>
      <c r="BO1316" s="10"/>
      <c r="BP1316" s="10"/>
      <c r="BQ1316" s="10"/>
      <c r="BR1316" s="10"/>
      <c r="BS1316" s="10"/>
      <c r="BT1316" s="10"/>
      <c r="BU1316" s="10"/>
    </row>
    <row r="1317" spans="1:73" ht="18" x14ac:dyDescent="0.35">
      <c r="A1317" s="43"/>
      <c r="C1317" s="393"/>
      <c r="E1317" s="394"/>
      <c r="F1317" s="394">
        <v>0</v>
      </c>
      <c r="G1317" s="394"/>
      <c r="H1317" s="8" t="s">
        <v>235</v>
      </c>
      <c r="I1317" s="368">
        <f t="shared" si="61"/>
        <v>0</v>
      </c>
      <c r="J1317" s="365">
        <f t="shared" si="60"/>
        <v>0</v>
      </c>
      <c r="K1317" s="369">
        <f t="shared" si="62"/>
        <v>6</v>
      </c>
      <c r="L1317" s="369">
        <f>+IF((C1317&gt;='Resultats - informe'!$E$16)*(C1317&lt;='Resultats - informe'!$G$16),1,0)</f>
        <v>1</v>
      </c>
      <c r="M1317" s="369" cm="1">
        <f t="array" ref="M1317">+_xlfn.IFS((C1317&gt;='Resultats - informe'!$D$26)*(C1317&lt;='Resultats - informe'!$E$26),0,(C1317&gt;='Resultats - informe'!$D$27)*(C1317&lt;='Resultats - informe'!$E$27),0,(C1317&gt;='Resultats - informe'!$D$28)*(C1317&lt;='Resultats - informe'!$E$28),0,(C1317&gt;='Resultats - informe'!$D$29)*(C1317&lt;='Resultats - informe'!$E$29),0,1,1)</f>
        <v>0</v>
      </c>
      <c r="N1317" s="366">
        <f>+VLOOKUP(D1317,'Resultats - informe'!$Y$18:$AG$42,'Introducció dades consum'!K1317+1,0)</f>
        <v>0</v>
      </c>
      <c r="O1317" s="370" cm="1">
        <f t="array" ref="O1317">+_xlfn.SWITCH(MONTH(C1317),1,1,2,1,3,1,4,2,5,2,6,3,7,3,8,3,9,3,10,2,11,2,12,1,2)</f>
        <v>1</v>
      </c>
      <c r="P1317" s="43"/>
      <c r="AS1317" s="10"/>
      <c r="AT1317" s="10"/>
      <c r="AU1317" s="10"/>
      <c r="AV1317" s="10"/>
      <c r="AW1317" s="10"/>
      <c r="AX1317" s="10"/>
      <c r="AY1317" s="10"/>
      <c r="AZ1317" s="10"/>
      <c r="BA1317" s="10"/>
      <c r="BB1317" s="10"/>
      <c r="BC1317" s="10"/>
      <c r="BD1317" s="10"/>
      <c r="BE1317" s="10"/>
      <c r="BF1317" s="10"/>
      <c r="BG1317" s="10"/>
      <c r="BH1317" s="10"/>
      <c r="BI1317" s="10"/>
      <c r="BJ1317" s="10"/>
      <c r="BK1317" s="10"/>
      <c r="BL1317" s="10"/>
      <c r="BM1317" s="10"/>
      <c r="BN1317" s="10"/>
      <c r="BO1317" s="10"/>
      <c r="BP1317" s="10"/>
      <c r="BQ1317" s="10"/>
      <c r="BR1317" s="10"/>
      <c r="BS1317" s="10"/>
      <c r="BT1317" s="10"/>
      <c r="BU1317" s="10"/>
    </row>
    <row r="1318" spans="1:73" ht="18" x14ac:dyDescent="0.35">
      <c r="A1318" s="43"/>
      <c r="C1318" s="393"/>
      <c r="E1318" s="394"/>
      <c r="F1318" s="394">
        <v>0</v>
      </c>
      <c r="G1318" s="394"/>
      <c r="H1318" s="8" t="s">
        <v>235</v>
      </c>
      <c r="I1318" s="368">
        <f t="shared" si="61"/>
        <v>0</v>
      </c>
      <c r="J1318" s="365">
        <f t="shared" si="60"/>
        <v>0</v>
      </c>
      <c r="K1318" s="369">
        <f t="shared" si="62"/>
        <v>6</v>
      </c>
      <c r="L1318" s="369">
        <f>+IF((C1318&gt;='Resultats - informe'!$E$16)*(C1318&lt;='Resultats - informe'!$G$16),1,0)</f>
        <v>1</v>
      </c>
      <c r="M1318" s="369" cm="1">
        <f t="array" ref="M1318">+_xlfn.IFS((C1318&gt;='Resultats - informe'!$D$26)*(C1318&lt;='Resultats - informe'!$E$26),0,(C1318&gt;='Resultats - informe'!$D$27)*(C1318&lt;='Resultats - informe'!$E$27),0,(C1318&gt;='Resultats - informe'!$D$28)*(C1318&lt;='Resultats - informe'!$E$28),0,(C1318&gt;='Resultats - informe'!$D$29)*(C1318&lt;='Resultats - informe'!$E$29),0,1,1)</f>
        <v>0</v>
      </c>
      <c r="N1318" s="366">
        <f>+VLOOKUP(D1318,'Resultats - informe'!$Y$18:$AG$42,'Introducció dades consum'!K1318+1,0)</f>
        <v>0</v>
      </c>
      <c r="O1318" s="370" cm="1">
        <f t="array" ref="O1318">+_xlfn.SWITCH(MONTH(C1318),1,1,2,1,3,1,4,2,5,2,6,3,7,3,8,3,9,3,10,2,11,2,12,1,2)</f>
        <v>1</v>
      </c>
      <c r="P1318" s="43"/>
      <c r="AS1318" s="10"/>
      <c r="AT1318" s="10"/>
      <c r="AU1318" s="10"/>
      <c r="AV1318" s="10"/>
      <c r="AW1318" s="10"/>
      <c r="AX1318" s="10"/>
      <c r="AY1318" s="10"/>
      <c r="AZ1318" s="10"/>
      <c r="BA1318" s="10"/>
      <c r="BB1318" s="10"/>
      <c r="BC1318" s="10"/>
      <c r="BD1318" s="10"/>
      <c r="BE1318" s="10"/>
      <c r="BF1318" s="10"/>
      <c r="BG1318" s="10"/>
      <c r="BH1318" s="10"/>
      <c r="BI1318" s="10"/>
      <c r="BJ1318" s="10"/>
      <c r="BK1318" s="10"/>
      <c r="BL1318" s="10"/>
      <c r="BM1318" s="10"/>
      <c r="BN1318" s="10"/>
      <c r="BO1318" s="10"/>
      <c r="BP1318" s="10"/>
      <c r="BQ1318" s="10"/>
      <c r="BR1318" s="10"/>
      <c r="BS1318" s="10"/>
      <c r="BT1318" s="10"/>
      <c r="BU1318" s="10"/>
    </row>
    <row r="1319" spans="1:73" ht="18" x14ac:dyDescent="0.35">
      <c r="A1319" s="43"/>
      <c r="C1319" s="393"/>
      <c r="E1319" s="394"/>
      <c r="F1319" s="394">
        <v>0</v>
      </c>
      <c r="G1319" s="394"/>
      <c r="H1319" s="8" t="s">
        <v>235</v>
      </c>
      <c r="I1319" s="368">
        <f t="shared" si="61"/>
        <v>0</v>
      </c>
      <c r="J1319" s="365">
        <f t="shared" si="60"/>
        <v>0</v>
      </c>
      <c r="K1319" s="369">
        <f t="shared" si="62"/>
        <v>6</v>
      </c>
      <c r="L1319" s="369">
        <f>+IF((C1319&gt;='Resultats - informe'!$E$16)*(C1319&lt;='Resultats - informe'!$G$16),1,0)</f>
        <v>1</v>
      </c>
      <c r="M1319" s="369" cm="1">
        <f t="array" ref="M1319">+_xlfn.IFS((C1319&gt;='Resultats - informe'!$D$26)*(C1319&lt;='Resultats - informe'!$E$26),0,(C1319&gt;='Resultats - informe'!$D$27)*(C1319&lt;='Resultats - informe'!$E$27),0,(C1319&gt;='Resultats - informe'!$D$28)*(C1319&lt;='Resultats - informe'!$E$28),0,(C1319&gt;='Resultats - informe'!$D$29)*(C1319&lt;='Resultats - informe'!$E$29),0,1,1)</f>
        <v>0</v>
      </c>
      <c r="N1319" s="366">
        <f>+VLOOKUP(D1319,'Resultats - informe'!$Y$18:$AG$42,'Introducció dades consum'!K1319+1,0)</f>
        <v>0</v>
      </c>
      <c r="O1319" s="370" cm="1">
        <f t="array" ref="O1319">+_xlfn.SWITCH(MONTH(C1319),1,1,2,1,3,1,4,2,5,2,6,3,7,3,8,3,9,3,10,2,11,2,12,1,2)</f>
        <v>1</v>
      </c>
      <c r="P1319" s="43"/>
      <c r="AS1319" s="10"/>
      <c r="AT1319" s="10"/>
      <c r="AU1319" s="10"/>
      <c r="AV1319" s="10"/>
      <c r="AW1319" s="10"/>
      <c r="AX1319" s="10"/>
      <c r="AY1319" s="10"/>
      <c r="AZ1319" s="10"/>
      <c r="BA1319" s="10"/>
      <c r="BB1319" s="10"/>
      <c r="BC1319" s="10"/>
      <c r="BD1319" s="10"/>
      <c r="BE1319" s="10"/>
      <c r="BF1319" s="10"/>
      <c r="BG1319" s="10"/>
      <c r="BH1319" s="10"/>
      <c r="BI1319" s="10"/>
      <c r="BJ1319" s="10"/>
      <c r="BK1319" s="10"/>
      <c r="BL1319" s="10"/>
      <c r="BM1319" s="10"/>
      <c r="BN1319" s="10"/>
      <c r="BO1319" s="10"/>
      <c r="BP1319" s="10"/>
      <c r="BQ1319" s="10"/>
      <c r="BR1319" s="10"/>
      <c r="BS1319" s="10"/>
      <c r="BT1319" s="10"/>
      <c r="BU1319" s="10"/>
    </row>
    <row r="1320" spans="1:73" ht="18" x14ac:dyDescent="0.35">
      <c r="A1320" s="43"/>
      <c r="C1320" s="393"/>
      <c r="E1320" s="394"/>
      <c r="F1320" s="394">
        <v>0</v>
      </c>
      <c r="G1320" s="394"/>
      <c r="H1320" s="8" t="s">
        <v>235</v>
      </c>
      <c r="I1320" s="368">
        <f t="shared" si="61"/>
        <v>0</v>
      </c>
      <c r="J1320" s="365">
        <f t="shared" si="60"/>
        <v>0</v>
      </c>
      <c r="K1320" s="369">
        <f t="shared" si="62"/>
        <v>6</v>
      </c>
      <c r="L1320" s="369">
        <f>+IF((C1320&gt;='Resultats - informe'!$E$16)*(C1320&lt;='Resultats - informe'!$G$16),1,0)</f>
        <v>1</v>
      </c>
      <c r="M1320" s="369" cm="1">
        <f t="array" ref="M1320">+_xlfn.IFS((C1320&gt;='Resultats - informe'!$D$26)*(C1320&lt;='Resultats - informe'!$E$26),0,(C1320&gt;='Resultats - informe'!$D$27)*(C1320&lt;='Resultats - informe'!$E$27),0,(C1320&gt;='Resultats - informe'!$D$28)*(C1320&lt;='Resultats - informe'!$E$28),0,(C1320&gt;='Resultats - informe'!$D$29)*(C1320&lt;='Resultats - informe'!$E$29),0,1,1)</f>
        <v>0</v>
      </c>
      <c r="N1320" s="366">
        <f>+VLOOKUP(D1320,'Resultats - informe'!$Y$18:$AG$42,'Introducció dades consum'!K1320+1,0)</f>
        <v>0</v>
      </c>
      <c r="O1320" s="370" cm="1">
        <f t="array" ref="O1320">+_xlfn.SWITCH(MONTH(C1320),1,1,2,1,3,1,4,2,5,2,6,3,7,3,8,3,9,3,10,2,11,2,12,1,2)</f>
        <v>1</v>
      </c>
      <c r="P1320" s="43"/>
      <c r="AS1320" s="10"/>
      <c r="AT1320" s="10"/>
      <c r="AU1320" s="10"/>
      <c r="AV1320" s="10"/>
      <c r="AW1320" s="10"/>
      <c r="AX1320" s="10"/>
      <c r="AY1320" s="10"/>
      <c r="AZ1320" s="10"/>
      <c r="BA1320" s="10"/>
      <c r="BB1320" s="10"/>
      <c r="BC1320" s="10"/>
      <c r="BD1320" s="10"/>
      <c r="BE1320" s="10"/>
      <c r="BF1320" s="10"/>
      <c r="BG1320" s="10"/>
      <c r="BH1320" s="10"/>
      <c r="BI1320" s="10"/>
      <c r="BJ1320" s="10"/>
      <c r="BK1320" s="10"/>
      <c r="BL1320" s="10"/>
      <c r="BM1320" s="10"/>
      <c r="BN1320" s="10"/>
      <c r="BO1320" s="10"/>
      <c r="BP1320" s="10"/>
      <c r="BQ1320" s="10"/>
      <c r="BR1320" s="10"/>
      <c r="BS1320" s="10"/>
      <c r="BT1320" s="10"/>
      <c r="BU1320" s="10"/>
    </row>
    <row r="1321" spans="1:73" ht="18" x14ac:dyDescent="0.35">
      <c r="A1321" s="43"/>
      <c r="C1321" s="393"/>
      <c r="E1321" s="394"/>
      <c r="F1321" s="394">
        <v>0</v>
      </c>
      <c r="G1321" s="394"/>
      <c r="H1321" s="8" t="s">
        <v>235</v>
      </c>
      <c r="I1321" s="368">
        <f t="shared" si="61"/>
        <v>0</v>
      </c>
      <c r="J1321" s="365">
        <f t="shared" si="60"/>
        <v>0</v>
      </c>
      <c r="K1321" s="369">
        <f t="shared" si="62"/>
        <v>6</v>
      </c>
      <c r="L1321" s="369">
        <f>+IF((C1321&gt;='Resultats - informe'!$E$16)*(C1321&lt;='Resultats - informe'!$G$16),1,0)</f>
        <v>1</v>
      </c>
      <c r="M1321" s="369" cm="1">
        <f t="array" ref="M1321">+_xlfn.IFS((C1321&gt;='Resultats - informe'!$D$26)*(C1321&lt;='Resultats - informe'!$E$26),0,(C1321&gt;='Resultats - informe'!$D$27)*(C1321&lt;='Resultats - informe'!$E$27),0,(C1321&gt;='Resultats - informe'!$D$28)*(C1321&lt;='Resultats - informe'!$E$28),0,(C1321&gt;='Resultats - informe'!$D$29)*(C1321&lt;='Resultats - informe'!$E$29),0,1,1)</f>
        <v>0</v>
      </c>
      <c r="N1321" s="366">
        <f>+VLOOKUP(D1321,'Resultats - informe'!$Y$18:$AG$42,'Introducció dades consum'!K1321+1,0)</f>
        <v>0</v>
      </c>
      <c r="O1321" s="370" cm="1">
        <f t="array" ref="O1321">+_xlfn.SWITCH(MONTH(C1321),1,1,2,1,3,1,4,2,5,2,6,3,7,3,8,3,9,3,10,2,11,2,12,1,2)</f>
        <v>1</v>
      </c>
      <c r="P1321" s="43"/>
      <c r="AS1321" s="10"/>
      <c r="AT1321" s="10"/>
      <c r="AU1321" s="10"/>
      <c r="AV1321" s="10"/>
      <c r="AW1321" s="10"/>
      <c r="AX1321" s="10"/>
      <c r="AY1321" s="10"/>
      <c r="AZ1321" s="10"/>
      <c r="BA1321" s="10"/>
      <c r="BB1321" s="10"/>
      <c r="BC1321" s="10"/>
      <c r="BD1321" s="10"/>
      <c r="BE1321" s="10"/>
      <c r="BF1321" s="10"/>
      <c r="BG1321" s="10"/>
      <c r="BH1321" s="10"/>
      <c r="BI1321" s="10"/>
      <c r="BJ1321" s="10"/>
      <c r="BK1321" s="10"/>
      <c r="BL1321" s="10"/>
      <c r="BM1321" s="10"/>
      <c r="BN1321" s="10"/>
      <c r="BO1321" s="10"/>
      <c r="BP1321" s="10"/>
      <c r="BQ1321" s="10"/>
      <c r="BR1321" s="10"/>
      <c r="BS1321" s="10"/>
      <c r="BT1321" s="10"/>
      <c r="BU1321" s="10"/>
    </row>
    <row r="1322" spans="1:73" ht="18" x14ac:dyDescent="0.35">
      <c r="A1322" s="43"/>
      <c r="C1322" s="393"/>
      <c r="E1322" s="394"/>
      <c r="F1322" s="394">
        <v>0</v>
      </c>
      <c r="G1322" s="394"/>
      <c r="H1322" s="8" t="s">
        <v>235</v>
      </c>
      <c r="I1322" s="368">
        <f t="shared" si="61"/>
        <v>0</v>
      </c>
      <c r="J1322" s="365">
        <f t="shared" si="60"/>
        <v>0</v>
      </c>
      <c r="K1322" s="369">
        <f t="shared" si="62"/>
        <v>6</v>
      </c>
      <c r="L1322" s="369">
        <f>+IF((C1322&gt;='Resultats - informe'!$E$16)*(C1322&lt;='Resultats - informe'!$G$16),1,0)</f>
        <v>1</v>
      </c>
      <c r="M1322" s="369" cm="1">
        <f t="array" ref="M1322">+_xlfn.IFS((C1322&gt;='Resultats - informe'!$D$26)*(C1322&lt;='Resultats - informe'!$E$26),0,(C1322&gt;='Resultats - informe'!$D$27)*(C1322&lt;='Resultats - informe'!$E$27),0,(C1322&gt;='Resultats - informe'!$D$28)*(C1322&lt;='Resultats - informe'!$E$28),0,(C1322&gt;='Resultats - informe'!$D$29)*(C1322&lt;='Resultats - informe'!$E$29),0,1,1)</f>
        <v>0</v>
      </c>
      <c r="N1322" s="366">
        <f>+VLOOKUP(D1322,'Resultats - informe'!$Y$18:$AG$42,'Introducció dades consum'!K1322+1,0)</f>
        <v>0</v>
      </c>
      <c r="O1322" s="370" cm="1">
        <f t="array" ref="O1322">+_xlfn.SWITCH(MONTH(C1322),1,1,2,1,3,1,4,2,5,2,6,3,7,3,8,3,9,3,10,2,11,2,12,1,2)</f>
        <v>1</v>
      </c>
      <c r="P1322" s="43"/>
      <c r="AS1322" s="10"/>
      <c r="AT1322" s="10"/>
      <c r="AU1322" s="10"/>
      <c r="AV1322" s="10"/>
      <c r="AW1322" s="10"/>
      <c r="AX1322" s="10"/>
      <c r="AY1322" s="10"/>
      <c r="AZ1322" s="10"/>
      <c r="BA1322" s="10"/>
      <c r="BB1322" s="10"/>
      <c r="BC1322" s="10"/>
      <c r="BD1322" s="10"/>
      <c r="BE1322" s="10"/>
      <c r="BF1322" s="10"/>
      <c r="BG1322" s="10"/>
      <c r="BH1322" s="10"/>
      <c r="BI1322" s="10"/>
      <c r="BJ1322" s="10"/>
      <c r="BK1322" s="10"/>
      <c r="BL1322" s="10"/>
      <c r="BM1322" s="10"/>
      <c r="BN1322" s="10"/>
      <c r="BO1322" s="10"/>
      <c r="BP1322" s="10"/>
      <c r="BQ1322" s="10"/>
      <c r="BR1322" s="10"/>
      <c r="BS1322" s="10"/>
      <c r="BT1322" s="10"/>
      <c r="BU1322" s="10"/>
    </row>
    <row r="1323" spans="1:73" ht="18" x14ac:dyDescent="0.35">
      <c r="A1323" s="43"/>
      <c r="C1323" s="393"/>
      <c r="E1323" s="394"/>
      <c r="F1323" s="394">
        <v>0</v>
      </c>
      <c r="G1323" s="394"/>
      <c r="H1323" s="8" t="s">
        <v>235</v>
      </c>
      <c r="I1323" s="368">
        <f t="shared" si="61"/>
        <v>0</v>
      </c>
      <c r="J1323" s="365">
        <f t="shared" si="60"/>
        <v>0</v>
      </c>
      <c r="K1323" s="369">
        <f t="shared" si="62"/>
        <v>6</v>
      </c>
      <c r="L1323" s="369">
        <f>+IF((C1323&gt;='Resultats - informe'!$E$16)*(C1323&lt;='Resultats - informe'!$G$16),1,0)</f>
        <v>1</v>
      </c>
      <c r="M1323" s="369" cm="1">
        <f t="array" ref="M1323">+_xlfn.IFS((C1323&gt;='Resultats - informe'!$D$26)*(C1323&lt;='Resultats - informe'!$E$26),0,(C1323&gt;='Resultats - informe'!$D$27)*(C1323&lt;='Resultats - informe'!$E$27),0,(C1323&gt;='Resultats - informe'!$D$28)*(C1323&lt;='Resultats - informe'!$E$28),0,(C1323&gt;='Resultats - informe'!$D$29)*(C1323&lt;='Resultats - informe'!$E$29),0,1,1)</f>
        <v>0</v>
      </c>
      <c r="N1323" s="366">
        <f>+VLOOKUP(D1323,'Resultats - informe'!$Y$18:$AG$42,'Introducció dades consum'!K1323+1,0)</f>
        <v>0</v>
      </c>
      <c r="O1323" s="370" cm="1">
        <f t="array" ref="O1323">+_xlfn.SWITCH(MONTH(C1323),1,1,2,1,3,1,4,2,5,2,6,3,7,3,8,3,9,3,10,2,11,2,12,1,2)</f>
        <v>1</v>
      </c>
      <c r="P1323" s="43"/>
      <c r="AS1323" s="10"/>
      <c r="AT1323" s="10"/>
      <c r="AU1323" s="10"/>
      <c r="AV1323" s="10"/>
      <c r="AW1323" s="10"/>
      <c r="AX1323" s="10"/>
      <c r="AY1323" s="10"/>
      <c r="AZ1323" s="10"/>
      <c r="BA1323" s="10"/>
      <c r="BB1323" s="10"/>
      <c r="BC1323" s="10"/>
      <c r="BD1323" s="10"/>
      <c r="BE1323" s="10"/>
      <c r="BF1323" s="10"/>
      <c r="BG1323" s="10"/>
      <c r="BH1323" s="10"/>
      <c r="BI1323" s="10"/>
      <c r="BJ1323" s="10"/>
      <c r="BK1323" s="10"/>
      <c r="BL1323" s="10"/>
      <c r="BM1323" s="10"/>
      <c r="BN1323" s="10"/>
      <c r="BO1323" s="10"/>
      <c r="BP1323" s="10"/>
      <c r="BQ1323" s="10"/>
      <c r="BR1323" s="10"/>
      <c r="BS1323" s="10"/>
      <c r="BT1323" s="10"/>
      <c r="BU1323" s="10"/>
    </row>
    <row r="1324" spans="1:73" ht="18" x14ac:dyDescent="0.35">
      <c r="A1324" s="43"/>
      <c r="C1324" s="393"/>
      <c r="E1324" s="394"/>
      <c r="F1324" s="394">
        <v>0</v>
      </c>
      <c r="G1324" s="394"/>
      <c r="H1324" s="8" t="s">
        <v>235</v>
      </c>
      <c r="I1324" s="368">
        <f t="shared" si="61"/>
        <v>0</v>
      </c>
      <c r="J1324" s="365">
        <f t="shared" si="60"/>
        <v>0</v>
      </c>
      <c r="K1324" s="369">
        <f t="shared" si="62"/>
        <v>6</v>
      </c>
      <c r="L1324" s="369">
        <f>+IF((C1324&gt;='Resultats - informe'!$E$16)*(C1324&lt;='Resultats - informe'!$G$16),1,0)</f>
        <v>1</v>
      </c>
      <c r="M1324" s="369" cm="1">
        <f t="array" ref="M1324">+_xlfn.IFS((C1324&gt;='Resultats - informe'!$D$26)*(C1324&lt;='Resultats - informe'!$E$26),0,(C1324&gt;='Resultats - informe'!$D$27)*(C1324&lt;='Resultats - informe'!$E$27),0,(C1324&gt;='Resultats - informe'!$D$28)*(C1324&lt;='Resultats - informe'!$E$28),0,(C1324&gt;='Resultats - informe'!$D$29)*(C1324&lt;='Resultats - informe'!$E$29),0,1,1)</f>
        <v>0</v>
      </c>
      <c r="N1324" s="366">
        <f>+VLOOKUP(D1324,'Resultats - informe'!$Y$18:$AG$42,'Introducció dades consum'!K1324+1,0)</f>
        <v>0</v>
      </c>
      <c r="O1324" s="370" cm="1">
        <f t="array" ref="O1324">+_xlfn.SWITCH(MONTH(C1324),1,1,2,1,3,1,4,2,5,2,6,3,7,3,8,3,9,3,10,2,11,2,12,1,2)</f>
        <v>1</v>
      </c>
      <c r="P1324" s="43"/>
      <c r="AS1324" s="10"/>
      <c r="AT1324" s="10"/>
      <c r="AU1324" s="10"/>
      <c r="AV1324" s="10"/>
      <c r="AW1324" s="10"/>
      <c r="AX1324" s="10"/>
      <c r="AY1324" s="10"/>
      <c r="AZ1324" s="10"/>
      <c r="BA1324" s="10"/>
      <c r="BB1324" s="10"/>
      <c r="BC1324" s="10"/>
      <c r="BD1324" s="10"/>
      <c r="BE1324" s="10"/>
      <c r="BF1324" s="10"/>
      <c r="BG1324" s="10"/>
      <c r="BH1324" s="10"/>
      <c r="BI1324" s="10"/>
      <c r="BJ1324" s="10"/>
      <c r="BK1324" s="10"/>
      <c r="BL1324" s="10"/>
      <c r="BM1324" s="10"/>
      <c r="BN1324" s="10"/>
      <c r="BO1324" s="10"/>
      <c r="BP1324" s="10"/>
      <c r="BQ1324" s="10"/>
      <c r="BR1324" s="10"/>
      <c r="BS1324" s="10"/>
      <c r="BT1324" s="10"/>
      <c r="BU1324" s="10"/>
    </row>
    <row r="1325" spans="1:73" ht="18" x14ac:dyDescent="0.35">
      <c r="A1325" s="43"/>
      <c r="C1325" s="393"/>
      <c r="E1325" s="394"/>
      <c r="F1325" s="394">
        <v>0</v>
      </c>
      <c r="G1325" s="394"/>
      <c r="H1325" s="8" t="s">
        <v>235</v>
      </c>
      <c r="I1325" s="368">
        <f t="shared" si="61"/>
        <v>0</v>
      </c>
      <c r="J1325" s="365">
        <f t="shared" si="60"/>
        <v>0</v>
      </c>
      <c r="K1325" s="369">
        <f t="shared" si="62"/>
        <v>6</v>
      </c>
      <c r="L1325" s="369">
        <f>+IF((C1325&gt;='Resultats - informe'!$E$16)*(C1325&lt;='Resultats - informe'!$G$16),1,0)</f>
        <v>1</v>
      </c>
      <c r="M1325" s="369" cm="1">
        <f t="array" ref="M1325">+_xlfn.IFS((C1325&gt;='Resultats - informe'!$D$26)*(C1325&lt;='Resultats - informe'!$E$26),0,(C1325&gt;='Resultats - informe'!$D$27)*(C1325&lt;='Resultats - informe'!$E$27),0,(C1325&gt;='Resultats - informe'!$D$28)*(C1325&lt;='Resultats - informe'!$E$28),0,(C1325&gt;='Resultats - informe'!$D$29)*(C1325&lt;='Resultats - informe'!$E$29),0,1,1)</f>
        <v>0</v>
      </c>
      <c r="N1325" s="366">
        <f>+VLOOKUP(D1325,'Resultats - informe'!$Y$18:$AG$42,'Introducció dades consum'!K1325+1,0)</f>
        <v>0</v>
      </c>
      <c r="O1325" s="370" cm="1">
        <f t="array" ref="O1325">+_xlfn.SWITCH(MONTH(C1325),1,1,2,1,3,1,4,2,5,2,6,3,7,3,8,3,9,3,10,2,11,2,12,1,2)</f>
        <v>1</v>
      </c>
      <c r="P1325" s="43"/>
      <c r="AS1325" s="10"/>
      <c r="AT1325" s="10"/>
      <c r="AU1325" s="10"/>
      <c r="AV1325" s="10"/>
      <c r="AW1325" s="10"/>
      <c r="AX1325" s="10"/>
      <c r="AY1325" s="10"/>
      <c r="AZ1325" s="10"/>
      <c r="BA1325" s="10"/>
      <c r="BB1325" s="10"/>
      <c r="BC1325" s="10"/>
      <c r="BD1325" s="10"/>
      <c r="BE1325" s="10"/>
      <c r="BF1325" s="10"/>
      <c r="BG1325" s="10"/>
      <c r="BH1325" s="10"/>
      <c r="BI1325" s="10"/>
      <c r="BJ1325" s="10"/>
      <c r="BK1325" s="10"/>
      <c r="BL1325" s="10"/>
      <c r="BM1325" s="10"/>
      <c r="BN1325" s="10"/>
      <c r="BO1325" s="10"/>
      <c r="BP1325" s="10"/>
      <c r="BQ1325" s="10"/>
      <c r="BR1325" s="10"/>
      <c r="BS1325" s="10"/>
      <c r="BT1325" s="10"/>
      <c r="BU1325" s="10"/>
    </row>
    <row r="1326" spans="1:73" ht="18" x14ac:dyDescent="0.35">
      <c r="A1326" s="43"/>
      <c r="C1326" s="393"/>
      <c r="E1326" s="394"/>
      <c r="F1326" s="394">
        <v>0</v>
      </c>
      <c r="G1326" s="394"/>
      <c r="H1326" s="8" t="s">
        <v>235</v>
      </c>
      <c r="I1326" s="368">
        <f t="shared" si="61"/>
        <v>0</v>
      </c>
      <c r="J1326" s="365">
        <f t="shared" si="60"/>
        <v>0</v>
      </c>
      <c r="K1326" s="369">
        <f t="shared" si="62"/>
        <v>6</v>
      </c>
      <c r="L1326" s="369">
        <f>+IF((C1326&gt;='Resultats - informe'!$E$16)*(C1326&lt;='Resultats - informe'!$G$16),1,0)</f>
        <v>1</v>
      </c>
      <c r="M1326" s="369" cm="1">
        <f t="array" ref="M1326">+_xlfn.IFS((C1326&gt;='Resultats - informe'!$D$26)*(C1326&lt;='Resultats - informe'!$E$26),0,(C1326&gt;='Resultats - informe'!$D$27)*(C1326&lt;='Resultats - informe'!$E$27),0,(C1326&gt;='Resultats - informe'!$D$28)*(C1326&lt;='Resultats - informe'!$E$28),0,(C1326&gt;='Resultats - informe'!$D$29)*(C1326&lt;='Resultats - informe'!$E$29),0,1,1)</f>
        <v>0</v>
      </c>
      <c r="N1326" s="366">
        <f>+VLOOKUP(D1326,'Resultats - informe'!$Y$18:$AG$42,'Introducció dades consum'!K1326+1,0)</f>
        <v>0</v>
      </c>
      <c r="O1326" s="370" cm="1">
        <f t="array" ref="O1326">+_xlfn.SWITCH(MONTH(C1326),1,1,2,1,3,1,4,2,5,2,6,3,7,3,8,3,9,3,10,2,11,2,12,1,2)</f>
        <v>1</v>
      </c>
      <c r="P1326" s="43"/>
      <c r="AS1326" s="10"/>
      <c r="AT1326" s="10"/>
      <c r="AU1326" s="10"/>
      <c r="AV1326" s="10"/>
      <c r="AW1326" s="10"/>
      <c r="AX1326" s="10"/>
      <c r="AY1326" s="10"/>
      <c r="AZ1326" s="10"/>
      <c r="BA1326" s="10"/>
      <c r="BB1326" s="10"/>
      <c r="BC1326" s="10"/>
      <c r="BD1326" s="10"/>
      <c r="BE1326" s="10"/>
      <c r="BF1326" s="10"/>
      <c r="BG1326" s="10"/>
      <c r="BH1326" s="10"/>
      <c r="BI1326" s="10"/>
      <c r="BJ1326" s="10"/>
      <c r="BK1326" s="10"/>
      <c r="BL1326" s="10"/>
      <c r="BM1326" s="10"/>
      <c r="BN1326" s="10"/>
      <c r="BO1326" s="10"/>
      <c r="BP1326" s="10"/>
      <c r="BQ1326" s="10"/>
      <c r="BR1326" s="10"/>
      <c r="BS1326" s="10"/>
      <c r="BT1326" s="10"/>
      <c r="BU1326" s="10"/>
    </row>
    <row r="1327" spans="1:73" ht="18" x14ac:dyDescent="0.35">
      <c r="A1327" s="43"/>
      <c r="C1327" s="393"/>
      <c r="E1327" s="394"/>
      <c r="F1327" s="394">
        <v>0</v>
      </c>
      <c r="G1327" s="394"/>
      <c r="H1327" s="8" t="s">
        <v>235</v>
      </c>
      <c r="I1327" s="368">
        <f t="shared" si="61"/>
        <v>0</v>
      </c>
      <c r="J1327" s="365">
        <f t="shared" si="60"/>
        <v>0</v>
      </c>
      <c r="K1327" s="369">
        <f t="shared" si="62"/>
        <v>6</v>
      </c>
      <c r="L1327" s="369">
        <f>+IF((C1327&gt;='Resultats - informe'!$E$16)*(C1327&lt;='Resultats - informe'!$G$16),1,0)</f>
        <v>1</v>
      </c>
      <c r="M1327" s="369" cm="1">
        <f t="array" ref="M1327">+_xlfn.IFS((C1327&gt;='Resultats - informe'!$D$26)*(C1327&lt;='Resultats - informe'!$E$26),0,(C1327&gt;='Resultats - informe'!$D$27)*(C1327&lt;='Resultats - informe'!$E$27),0,(C1327&gt;='Resultats - informe'!$D$28)*(C1327&lt;='Resultats - informe'!$E$28),0,(C1327&gt;='Resultats - informe'!$D$29)*(C1327&lt;='Resultats - informe'!$E$29),0,1,1)</f>
        <v>0</v>
      </c>
      <c r="N1327" s="366">
        <f>+VLOOKUP(D1327,'Resultats - informe'!$Y$18:$AG$42,'Introducció dades consum'!K1327+1,0)</f>
        <v>0</v>
      </c>
      <c r="O1327" s="370" cm="1">
        <f t="array" ref="O1327">+_xlfn.SWITCH(MONTH(C1327),1,1,2,1,3,1,4,2,5,2,6,3,7,3,8,3,9,3,10,2,11,2,12,1,2)</f>
        <v>1</v>
      </c>
      <c r="P1327" s="43"/>
      <c r="AS1327" s="10"/>
      <c r="AT1327" s="10"/>
      <c r="AU1327" s="10"/>
      <c r="AV1327" s="10"/>
      <c r="AW1327" s="10"/>
      <c r="AX1327" s="10"/>
      <c r="AY1327" s="10"/>
      <c r="AZ1327" s="10"/>
      <c r="BA1327" s="10"/>
      <c r="BB1327" s="10"/>
      <c r="BC1327" s="10"/>
      <c r="BD1327" s="10"/>
      <c r="BE1327" s="10"/>
      <c r="BF1327" s="10"/>
      <c r="BG1327" s="10"/>
      <c r="BH1327" s="10"/>
      <c r="BI1327" s="10"/>
      <c r="BJ1327" s="10"/>
      <c r="BK1327" s="10"/>
      <c r="BL1327" s="10"/>
      <c r="BM1327" s="10"/>
      <c r="BN1327" s="10"/>
      <c r="BO1327" s="10"/>
      <c r="BP1327" s="10"/>
      <c r="BQ1327" s="10"/>
      <c r="BR1327" s="10"/>
      <c r="BS1327" s="10"/>
      <c r="BT1327" s="10"/>
      <c r="BU1327" s="10"/>
    </row>
    <row r="1328" spans="1:73" ht="18" x14ac:dyDescent="0.35">
      <c r="A1328" s="43"/>
      <c r="C1328" s="393"/>
      <c r="E1328" s="394"/>
      <c r="F1328" s="394">
        <v>0</v>
      </c>
      <c r="G1328" s="394"/>
      <c r="H1328" s="8" t="s">
        <v>235</v>
      </c>
      <c r="I1328" s="368">
        <f t="shared" si="61"/>
        <v>0</v>
      </c>
      <c r="J1328" s="365">
        <f t="shared" si="60"/>
        <v>0</v>
      </c>
      <c r="K1328" s="369">
        <f t="shared" si="62"/>
        <v>6</v>
      </c>
      <c r="L1328" s="369">
        <f>+IF((C1328&gt;='Resultats - informe'!$E$16)*(C1328&lt;='Resultats - informe'!$G$16),1,0)</f>
        <v>1</v>
      </c>
      <c r="M1328" s="369" cm="1">
        <f t="array" ref="M1328">+_xlfn.IFS((C1328&gt;='Resultats - informe'!$D$26)*(C1328&lt;='Resultats - informe'!$E$26),0,(C1328&gt;='Resultats - informe'!$D$27)*(C1328&lt;='Resultats - informe'!$E$27),0,(C1328&gt;='Resultats - informe'!$D$28)*(C1328&lt;='Resultats - informe'!$E$28),0,(C1328&gt;='Resultats - informe'!$D$29)*(C1328&lt;='Resultats - informe'!$E$29),0,1,1)</f>
        <v>0</v>
      </c>
      <c r="N1328" s="366">
        <f>+VLOOKUP(D1328,'Resultats - informe'!$Y$18:$AG$42,'Introducció dades consum'!K1328+1,0)</f>
        <v>0</v>
      </c>
      <c r="O1328" s="370" cm="1">
        <f t="array" ref="O1328">+_xlfn.SWITCH(MONTH(C1328),1,1,2,1,3,1,4,2,5,2,6,3,7,3,8,3,9,3,10,2,11,2,12,1,2)</f>
        <v>1</v>
      </c>
      <c r="P1328" s="43"/>
      <c r="AS1328" s="10"/>
      <c r="AT1328" s="10"/>
      <c r="AU1328" s="10"/>
      <c r="AV1328" s="10"/>
      <c r="AW1328" s="10"/>
      <c r="AX1328" s="10"/>
      <c r="AY1328" s="10"/>
      <c r="AZ1328" s="10"/>
      <c r="BA1328" s="10"/>
      <c r="BB1328" s="10"/>
      <c r="BC1328" s="10"/>
      <c r="BD1328" s="10"/>
      <c r="BE1328" s="10"/>
      <c r="BF1328" s="10"/>
      <c r="BG1328" s="10"/>
      <c r="BH1328" s="10"/>
      <c r="BI1328" s="10"/>
      <c r="BJ1328" s="10"/>
      <c r="BK1328" s="10"/>
      <c r="BL1328" s="10"/>
      <c r="BM1328" s="10"/>
      <c r="BN1328" s="10"/>
      <c r="BO1328" s="10"/>
      <c r="BP1328" s="10"/>
      <c r="BQ1328" s="10"/>
      <c r="BR1328" s="10"/>
      <c r="BS1328" s="10"/>
      <c r="BT1328" s="10"/>
      <c r="BU1328" s="10"/>
    </row>
    <row r="1329" spans="1:73" ht="18" x14ac:dyDescent="0.35">
      <c r="A1329" s="43"/>
      <c r="C1329" s="393"/>
      <c r="E1329" s="394"/>
      <c r="F1329" s="394">
        <v>0</v>
      </c>
      <c r="G1329" s="394"/>
      <c r="H1329" s="8" t="s">
        <v>235</v>
      </c>
      <c r="I1329" s="368">
        <f t="shared" si="61"/>
        <v>0</v>
      </c>
      <c r="J1329" s="365">
        <f t="shared" si="60"/>
        <v>0</v>
      </c>
      <c r="K1329" s="369">
        <f t="shared" si="62"/>
        <v>6</v>
      </c>
      <c r="L1329" s="369">
        <f>+IF((C1329&gt;='Resultats - informe'!$E$16)*(C1329&lt;='Resultats - informe'!$G$16),1,0)</f>
        <v>1</v>
      </c>
      <c r="M1329" s="369" cm="1">
        <f t="array" ref="M1329">+_xlfn.IFS((C1329&gt;='Resultats - informe'!$D$26)*(C1329&lt;='Resultats - informe'!$E$26),0,(C1329&gt;='Resultats - informe'!$D$27)*(C1329&lt;='Resultats - informe'!$E$27),0,(C1329&gt;='Resultats - informe'!$D$28)*(C1329&lt;='Resultats - informe'!$E$28),0,(C1329&gt;='Resultats - informe'!$D$29)*(C1329&lt;='Resultats - informe'!$E$29),0,1,1)</f>
        <v>0</v>
      </c>
      <c r="N1329" s="366">
        <f>+VLOOKUP(D1329,'Resultats - informe'!$Y$18:$AG$42,'Introducció dades consum'!K1329+1,0)</f>
        <v>0</v>
      </c>
      <c r="O1329" s="370" cm="1">
        <f t="array" ref="O1329">+_xlfn.SWITCH(MONTH(C1329),1,1,2,1,3,1,4,2,5,2,6,3,7,3,8,3,9,3,10,2,11,2,12,1,2)</f>
        <v>1</v>
      </c>
      <c r="P1329" s="43"/>
      <c r="AS1329" s="10"/>
      <c r="AT1329" s="10"/>
      <c r="AU1329" s="10"/>
      <c r="AV1329" s="10"/>
      <c r="AW1329" s="10"/>
      <c r="AX1329" s="10"/>
      <c r="AY1329" s="10"/>
      <c r="AZ1329" s="10"/>
      <c r="BA1329" s="10"/>
      <c r="BB1329" s="10"/>
      <c r="BC1329" s="10"/>
      <c r="BD1329" s="10"/>
      <c r="BE1329" s="10"/>
      <c r="BF1329" s="10"/>
      <c r="BG1329" s="10"/>
      <c r="BH1329" s="10"/>
      <c r="BI1329" s="10"/>
      <c r="BJ1329" s="10"/>
      <c r="BK1329" s="10"/>
      <c r="BL1329" s="10"/>
      <c r="BM1329" s="10"/>
      <c r="BN1329" s="10"/>
      <c r="BO1329" s="10"/>
      <c r="BP1329" s="10"/>
      <c r="BQ1329" s="10"/>
      <c r="BR1329" s="10"/>
      <c r="BS1329" s="10"/>
      <c r="BT1329" s="10"/>
      <c r="BU1329" s="10"/>
    </row>
    <row r="1330" spans="1:73" ht="18" x14ac:dyDescent="0.35">
      <c r="A1330" s="43"/>
      <c r="C1330" s="393"/>
      <c r="E1330" s="394"/>
      <c r="F1330" s="394">
        <v>0</v>
      </c>
      <c r="G1330" s="394"/>
      <c r="H1330" s="8" t="s">
        <v>235</v>
      </c>
      <c r="I1330" s="368">
        <f t="shared" si="61"/>
        <v>0</v>
      </c>
      <c r="J1330" s="365">
        <f t="shared" si="60"/>
        <v>0</v>
      </c>
      <c r="K1330" s="369">
        <f t="shared" si="62"/>
        <v>6</v>
      </c>
      <c r="L1330" s="369">
        <f>+IF((C1330&gt;='Resultats - informe'!$E$16)*(C1330&lt;='Resultats - informe'!$G$16),1,0)</f>
        <v>1</v>
      </c>
      <c r="M1330" s="369" cm="1">
        <f t="array" ref="M1330">+_xlfn.IFS((C1330&gt;='Resultats - informe'!$D$26)*(C1330&lt;='Resultats - informe'!$E$26),0,(C1330&gt;='Resultats - informe'!$D$27)*(C1330&lt;='Resultats - informe'!$E$27),0,(C1330&gt;='Resultats - informe'!$D$28)*(C1330&lt;='Resultats - informe'!$E$28),0,(C1330&gt;='Resultats - informe'!$D$29)*(C1330&lt;='Resultats - informe'!$E$29),0,1,1)</f>
        <v>0</v>
      </c>
      <c r="N1330" s="366">
        <f>+VLOOKUP(D1330,'Resultats - informe'!$Y$18:$AG$42,'Introducció dades consum'!K1330+1,0)</f>
        <v>0</v>
      </c>
      <c r="O1330" s="370" cm="1">
        <f t="array" ref="O1330">+_xlfn.SWITCH(MONTH(C1330),1,1,2,1,3,1,4,2,5,2,6,3,7,3,8,3,9,3,10,2,11,2,12,1,2)</f>
        <v>1</v>
      </c>
      <c r="P1330" s="43"/>
      <c r="AS1330" s="10"/>
      <c r="AT1330" s="10"/>
      <c r="AU1330" s="10"/>
      <c r="AV1330" s="10"/>
      <c r="AW1330" s="10"/>
      <c r="AX1330" s="10"/>
      <c r="AY1330" s="10"/>
      <c r="AZ1330" s="10"/>
      <c r="BA1330" s="10"/>
      <c r="BB1330" s="10"/>
      <c r="BC1330" s="10"/>
      <c r="BD1330" s="10"/>
      <c r="BE1330" s="10"/>
      <c r="BF1330" s="10"/>
      <c r="BG1330" s="10"/>
      <c r="BH1330" s="10"/>
      <c r="BI1330" s="10"/>
      <c r="BJ1330" s="10"/>
      <c r="BK1330" s="10"/>
      <c r="BL1330" s="10"/>
      <c r="BM1330" s="10"/>
      <c r="BN1330" s="10"/>
      <c r="BO1330" s="10"/>
      <c r="BP1330" s="10"/>
      <c r="BQ1330" s="10"/>
      <c r="BR1330" s="10"/>
      <c r="BS1330" s="10"/>
      <c r="BT1330" s="10"/>
      <c r="BU1330" s="10"/>
    </row>
    <row r="1331" spans="1:73" ht="18" x14ac:dyDescent="0.35">
      <c r="A1331" s="43"/>
      <c r="C1331" s="393"/>
      <c r="E1331" s="394"/>
      <c r="F1331" s="394">
        <v>0</v>
      </c>
      <c r="G1331" s="394"/>
      <c r="H1331" s="8" t="s">
        <v>235</v>
      </c>
      <c r="I1331" s="368">
        <f t="shared" si="61"/>
        <v>0</v>
      </c>
      <c r="J1331" s="365">
        <f t="shared" si="60"/>
        <v>0</v>
      </c>
      <c r="K1331" s="369">
        <f t="shared" si="62"/>
        <v>6</v>
      </c>
      <c r="L1331" s="369">
        <f>+IF((C1331&gt;='Resultats - informe'!$E$16)*(C1331&lt;='Resultats - informe'!$G$16),1,0)</f>
        <v>1</v>
      </c>
      <c r="M1331" s="369" cm="1">
        <f t="array" ref="M1331">+_xlfn.IFS((C1331&gt;='Resultats - informe'!$D$26)*(C1331&lt;='Resultats - informe'!$E$26),0,(C1331&gt;='Resultats - informe'!$D$27)*(C1331&lt;='Resultats - informe'!$E$27),0,(C1331&gt;='Resultats - informe'!$D$28)*(C1331&lt;='Resultats - informe'!$E$28),0,(C1331&gt;='Resultats - informe'!$D$29)*(C1331&lt;='Resultats - informe'!$E$29),0,1,1)</f>
        <v>0</v>
      </c>
      <c r="N1331" s="366">
        <f>+VLOOKUP(D1331,'Resultats - informe'!$Y$18:$AG$42,'Introducció dades consum'!K1331+1,0)</f>
        <v>0</v>
      </c>
      <c r="O1331" s="370" cm="1">
        <f t="array" ref="O1331">+_xlfn.SWITCH(MONTH(C1331),1,1,2,1,3,1,4,2,5,2,6,3,7,3,8,3,9,3,10,2,11,2,12,1,2)</f>
        <v>1</v>
      </c>
      <c r="P1331" s="43"/>
      <c r="AS1331" s="10"/>
      <c r="AT1331" s="10"/>
      <c r="AU1331" s="10"/>
      <c r="AV1331" s="10"/>
      <c r="AW1331" s="10"/>
      <c r="AX1331" s="10"/>
      <c r="AY1331" s="10"/>
      <c r="AZ1331" s="10"/>
      <c r="BA1331" s="10"/>
      <c r="BB1331" s="10"/>
      <c r="BC1331" s="10"/>
      <c r="BD1331" s="10"/>
      <c r="BE1331" s="10"/>
      <c r="BF1331" s="10"/>
      <c r="BG1331" s="10"/>
      <c r="BH1331" s="10"/>
      <c r="BI1331" s="10"/>
      <c r="BJ1331" s="10"/>
      <c r="BK1331" s="10"/>
      <c r="BL1331" s="10"/>
      <c r="BM1331" s="10"/>
      <c r="BN1331" s="10"/>
      <c r="BO1331" s="10"/>
      <c r="BP1331" s="10"/>
      <c r="BQ1331" s="10"/>
      <c r="BR1331" s="10"/>
      <c r="BS1331" s="10"/>
      <c r="BT1331" s="10"/>
      <c r="BU1331" s="10"/>
    </row>
    <row r="1332" spans="1:73" ht="18" x14ac:dyDescent="0.35">
      <c r="A1332" s="43"/>
      <c r="C1332" s="393"/>
      <c r="E1332" s="394"/>
      <c r="F1332" s="394">
        <v>0.17399999999999999</v>
      </c>
      <c r="G1332" s="394"/>
      <c r="H1332" s="8" t="s">
        <v>235</v>
      </c>
      <c r="I1332" s="368">
        <f t="shared" si="61"/>
        <v>0</v>
      </c>
      <c r="J1332" s="365">
        <f t="shared" si="60"/>
        <v>0</v>
      </c>
      <c r="K1332" s="369">
        <f t="shared" si="62"/>
        <v>6</v>
      </c>
      <c r="L1332" s="369">
        <f>+IF((C1332&gt;='Resultats - informe'!$E$16)*(C1332&lt;='Resultats - informe'!$G$16),1,0)</f>
        <v>1</v>
      </c>
      <c r="M1332" s="369" cm="1">
        <f t="array" ref="M1332">+_xlfn.IFS((C1332&gt;='Resultats - informe'!$D$26)*(C1332&lt;='Resultats - informe'!$E$26),0,(C1332&gt;='Resultats - informe'!$D$27)*(C1332&lt;='Resultats - informe'!$E$27),0,(C1332&gt;='Resultats - informe'!$D$28)*(C1332&lt;='Resultats - informe'!$E$28),0,(C1332&gt;='Resultats - informe'!$D$29)*(C1332&lt;='Resultats - informe'!$E$29),0,1,1)</f>
        <v>0</v>
      </c>
      <c r="N1332" s="366">
        <f>+VLOOKUP(D1332,'Resultats - informe'!$Y$18:$AG$42,'Introducció dades consum'!K1332+1,0)</f>
        <v>0</v>
      </c>
      <c r="O1332" s="370" cm="1">
        <f t="array" ref="O1332">+_xlfn.SWITCH(MONTH(C1332),1,1,2,1,3,1,4,2,5,2,6,3,7,3,8,3,9,3,10,2,11,2,12,1,2)</f>
        <v>1</v>
      </c>
      <c r="P1332" s="43"/>
      <c r="AS1332" s="10"/>
      <c r="AT1332" s="10"/>
      <c r="AU1332" s="10"/>
      <c r="AV1332" s="10"/>
      <c r="AW1332" s="10"/>
      <c r="AX1332" s="10"/>
      <c r="AY1332" s="10"/>
      <c r="AZ1332" s="10"/>
      <c r="BA1332" s="10"/>
      <c r="BB1332" s="10"/>
      <c r="BC1332" s="10"/>
      <c r="BD1332" s="10"/>
      <c r="BE1332" s="10"/>
      <c r="BF1332" s="10"/>
      <c r="BG1332" s="10"/>
      <c r="BH1332" s="10"/>
      <c r="BI1332" s="10"/>
      <c r="BJ1332" s="10"/>
      <c r="BK1332" s="10"/>
      <c r="BL1332" s="10"/>
      <c r="BM1332" s="10"/>
      <c r="BN1332" s="10"/>
      <c r="BO1332" s="10"/>
      <c r="BP1332" s="10"/>
      <c r="BQ1332" s="10"/>
      <c r="BR1332" s="10"/>
      <c r="BS1332" s="10"/>
      <c r="BT1332" s="10"/>
      <c r="BU1332" s="10"/>
    </row>
    <row r="1333" spans="1:73" ht="18" x14ac:dyDescent="0.35">
      <c r="A1333" s="43"/>
      <c r="C1333" s="393"/>
      <c r="E1333" s="394"/>
      <c r="F1333" s="394">
        <v>0</v>
      </c>
      <c r="G1333" s="394"/>
      <c r="H1333" s="8" t="s">
        <v>235</v>
      </c>
      <c r="I1333" s="368">
        <f t="shared" si="61"/>
        <v>0</v>
      </c>
      <c r="J1333" s="365">
        <f t="shared" si="60"/>
        <v>0</v>
      </c>
      <c r="K1333" s="369">
        <f t="shared" si="62"/>
        <v>6</v>
      </c>
      <c r="L1333" s="369">
        <f>+IF((C1333&gt;='Resultats - informe'!$E$16)*(C1333&lt;='Resultats - informe'!$G$16),1,0)</f>
        <v>1</v>
      </c>
      <c r="M1333" s="369" cm="1">
        <f t="array" ref="M1333">+_xlfn.IFS((C1333&gt;='Resultats - informe'!$D$26)*(C1333&lt;='Resultats - informe'!$E$26),0,(C1333&gt;='Resultats - informe'!$D$27)*(C1333&lt;='Resultats - informe'!$E$27),0,(C1333&gt;='Resultats - informe'!$D$28)*(C1333&lt;='Resultats - informe'!$E$28),0,(C1333&gt;='Resultats - informe'!$D$29)*(C1333&lt;='Resultats - informe'!$E$29),0,1,1)</f>
        <v>0</v>
      </c>
      <c r="N1333" s="366">
        <f>+VLOOKUP(D1333,'Resultats - informe'!$Y$18:$AG$42,'Introducció dades consum'!K1333+1,0)</f>
        <v>0</v>
      </c>
      <c r="O1333" s="370" cm="1">
        <f t="array" ref="O1333">+_xlfn.SWITCH(MONTH(C1333),1,1,2,1,3,1,4,2,5,2,6,3,7,3,8,3,9,3,10,2,11,2,12,1,2)</f>
        <v>1</v>
      </c>
      <c r="P1333" s="43"/>
      <c r="AS1333" s="10"/>
      <c r="AT1333" s="10"/>
      <c r="AU1333" s="10"/>
      <c r="AV1333" s="10"/>
      <c r="AW1333" s="10"/>
      <c r="AX1333" s="10"/>
      <c r="AY1333" s="10"/>
      <c r="AZ1333" s="10"/>
      <c r="BA1333" s="10"/>
      <c r="BB1333" s="10"/>
      <c r="BC1333" s="10"/>
      <c r="BD1333" s="10"/>
      <c r="BE1333" s="10"/>
      <c r="BF1333" s="10"/>
      <c r="BG1333" s="10"/>
      <c r="BH1333" s="10"/>
      <c r="BI1333" s="10"/>
      <c r="BJ1333" s="10"/>
      <c r="BK1333" s="10"/>
      <c r="BL1333" s="10"/>
      <c r="BM1333" s="10"/>
      <c r="BN1333" s="10"/>
      <c r="BO1333" s="10"/>
      <c r="BP1333" s="10"/>
      <c r="BQ1333" s="10"/>
      <c r="BR1333" s="10"/>
      <c r="BS1333" s="10"/>
      <c r="BT1333" s="10"/>
      <c r="BU1333" s="10"/>
    </row>
    <row r="1334" spans="1:73" ht="18" x14ac:dyDescent="0.35">
      <c r="A1334" s="43"/>
      <c r="C1334" s="393"/>
      <c r="E1334" s="394"/>
      <c r="F1334" s="394">
        <v>0</v>
      </c>
      <c r="G1334" s="394"/>
      <c r="H1334" s="8" t="s">
        <v>61</v>
      </c>
      <c r="I1334" s="368">
        <f t="shared" si="61"/>
        <v>0</v>
      </c>
      <c r="J1334" s="365">
        <f t="shared" si="60"/>
        <v>0</v>
      </c>
      <c r="K1334" s="369">
        <f t="shared" si="62"/>
        <v>6</v>
      </c>
      <c r="L1334" s="369">
        <f>+IF((C1334&gt;='Resultats - informe'!$E$16)*(C1334&lt;='Resultats - informe'!$G$16),1,0)</f>
        <v>1</v>
      </c>
      <c r="M1334" s="369" cm="1">
        <f t="array" ref="M1334">+_xlfn.IFS((C1334&gt;='Resultats - informe'!$D$26)*(C1334&lt;='Resultats - informe'!$E$26),0,(C1334&gt;='Resultats - informe'!$D$27)*(C1334&lt;='Resultats - informe'!$E$27),0,(C1334&gt;='Resultats - informe'!$D$28)*(C1334&lt;='Resultats - informe'!$E$28),0,(C1334&gt;='Resultats - informe'!$D$29)*(C1334&lt;='Resultats - informe'!$E$29),0,1,1)</f>
        <v>0</v>
      </c>
      <c r="N1334" s="366">
        <f>+VLOOKUP(D1334,'Resultats - informe'!$Y$18:$AG$42,'Introducció dades consum'!K1334+1,0)</f>
        <v>0</v>
      </c>
      <c r="O1334" s="370" cm="1">
        <f t="array" ref="O1334">+_xlfn.SWITCH(MONTH(C1334),1,1,2,1,3,1,4,2,5,2,6,3,7,3,8,3,9,3,10,2,11,2,12,1,2)</f>
        <v>1</v>
      </c>
      <c r="P1334" s="43"/>
      <c r="AS1334" s="10"/>
      <c r="AT1334" s="10"/>
      <c r="AU1334" s="10"/>
      <c r="AV1334" s="10"/>
      <c r="AW1334" s="10"/>
      <c r="AX1334" s="10"/>
      <c r="AY1334" s="10"/>
      <c r="AZ1334" s="10"/>
      <c r="BA1334" s="10"/>
      <c r="BB1334" s="10"/>
      <c r="BC1334" s="10"/>
      <c r="BD1334" s="10"/>
      <c r="BE1334" s="10"/>
      <c r="BF1334" s="10"/>
      <c r="BG1334" s="10"/>
      <c r="BH1334" s="10"/>
      <c r="BI1334" s="10"/>
      <c r="BJ1334" s="10"/>
      <c r="BK1334" s="10"/>
      <c r="BL1334" s="10"/>
      <c r="BM1334" s="10"/>
      <c r="BN1334" s="10"/>
      <c r="BO1334" s="10"/>
      <c r="BP1334" s="10"/>
      <c r="BQ1334" s="10"/>
      <c r="BR1334" s="10"/>
      <c r="BS1334" s="10"/>
      <c r="BT1334" s="10"/>
      <c r="BU1334" s="10"/>
    </row>
    <row r="1335" spans="1:73" ht="18" x14ac:dyDescent="0.35">
      <c r="A1335" s="43"/>
      <c r="C1335" s="393"/>
      <c r="E1335" s="394"/>
      <c r="F1335" s="394">
        <v>0</v>
      </c>
      <c r="G1335" s="394"/>
      <c r="H1335" s="8" t="s">
        <v>61</v>
      </c>
      <c r="I1335" s="368">
        <f t="shared" si="61"/>
        <v>0</v>
      </c>
      <c r="J1335" s="365">
        <f t="shared" si="60"/>
        <v>0</v>
      </c>
      <c r="K1335" s="369">
        <f t="shared" si="62"/>
        <v>6</v>
      </c>
      <c r="L1335" s="369">
        <f>+IF((C1335&gt;='Resultats - informe'!$E$16)*(C1335&lt;='Resultats - informe'!$G$16),1,0)</f>
        <v>1</v>
      </c>
      <c r="M1335" s="369" cm="1">
        <f t="array" ref="M1335">+_xlfn.IFS((C1335&gt;='Resultats - informe'!$D$26)*(C1335&lt;='Resultats - informe'!$E$26),0,(C1335&gt;='Resultats - informe'!$D$27)*(C1335&lt;='Resultats - informe'!$E$27),0,(C1335&gt;='Resultats - informe'!$D$28)*(C1335&lt;='Resultats - informe'!$E$28),0,(C1335&gt;='Resultats - informe'!$D$29)*(C1335&lt;='Resultats - informe'!$E$29),0,1,1)</f>
        <v>0</v>
      </c>
      <c r="N1335" s="366">
        <f>+VLOOKUP(D1335,'Resultats - informe'!$Y$18:$AG$42,'Introducció dades consum'!K1335+1,0)</f>
        <v>0</v>
      </c>
      <c r="O1335" s="370" cm="1">
        <f t="array" ref="O1335">+_xlfn.SWITCH(MONTH(C1335),1,1,2,1,3,1,4,2,5,2,6,3,7,3,8,3,9,3,10,2,11,2,12,1,2)</f>
        <v>1</v>
      </c>
      <c r="P1335" s="43"/>
      <c r="AS1335" s="10"/>
      <c r="AT1335" s="10"/>
      <c r="AU1335" s="10"/>
      <c r="AV1335" s="10"/>
      <c r="AW1335" s="10"/>
      <c r="AX1335" s="10"/>
      <c r="AY1335" s="10"/>
      <c r="AZ1335" s="10"/>
      <c r="BA1335" s="10"/>
      <c r="BB1335" s="10"/>
      <c r="BC1335" s="10"/>
      <c r="BD1335" s="10"/>
      <c r="BE1335" s="10"/>
      <c r="BF1335" s="10"/>
      <c r="BG1335" s="10"/>
      <c r="BH1335" s="10"/>
      <c r="BI1335" s="10"/>
      <c r="BJ1335" s="10"/>
      <c r="BK1335" s="10"/>
      <c r="BL1335" s="10"/>
      <c r="BM1335" s="10"/>
      <c r="BN1335" s="10"/>
      <c r="BO1335" s="10"/>
      <c r="BP1335" s="10"/>
      <c r="BQ1335" s="10"/>
      <c r="BR1335" s="10"/>
      <c r="BS1335" s="10"/>
      <c r="BT1335" s="10"/>
      <c r="BU1335" s="10"/>
    </row>
    <row r="1336" spans="1:73" ht="18" x14ac:dyDescent="0.35">
      <c r="A1336" s="43"/>
      <c r="C1336" s="393"/>
      <c r="E1336" s="394"/>
      <c r="F1336" s="394">
        <v>0.873</v>
      </c>
      <c r="G1336" s="394"/>
      <c r="H1336" s="8" t="s">
        <v>235</v>
      </c>
      <c r="I1336" s="368">
        <f t="shared" si="61"/>
        <v>0</v>
      </c>
      <c r="J1336" s="365">
        <f t="shared" si="60"/>
        <v>0</v>
      </c>
      <c r="K1336" s="369">
        <f t="shared" si="62"/>
        <v>6</v>
      </c>
      <c r="L1336" s="369">
        <f>+IF((C1336&gt;='Resultats - informe'!$E$16)*(C1336&lt;='Resultats - informe'!$G$16),1,0)</f>
        <v>1</v>
      </c>
      <c r="M1336" s="369" cm="1">
        <f t="array" ref="M1336">+_xlfn.IFS((C1336&gt;='Resultats - informe'!$D$26)*(C1336&lt;='Resultats - informe'!$E$26),0,(C1336&gt;='Resultats - informe'!$D$27)*(C1336&lt;='Resultats - informe'!$E$27),0,(C1336&gt;='Resultats - informe'!$D$28)*(C1336&lt;='Resultats - informe'!$E$28),0,(C1336&gt;='Resultats - informe'!$D$29)*(C1336&lt;='Resultats - informe'!$E$29),0,1,1)</f>
        <v>0</v>
      </c>
      <c r="N1336" s="366">
        <f>+VLOOKUP(D1336,'Resultats - informe'!$Y$18:$AG$42,'Introducció dades consum'!K1336+1,0)</f>
        <v>0</v>
      </c>
      <c r="O1336" s="370" cm="1">
        <f t="array" ref="O1336">+_xlfn.SWITCH(MONTH(C1336),1,1,2,1,3,1,4,2,5,2,6,3,7,3,8,3,9,3,10,2,11,2,12,1,2)</f>
        <v>1</v>
      </c>
      <c r="P1336" s="43"/>
      <c r="AS1336" s="10"/>
      <c r="AT1336" s="10"/>
      <c r="AU1336" s="10"/>
      <c r="AV1336" s="10"/>
      <c r="AW1336" s="10"/>
      <c r="AX1336" s="10"/>
      <c r="AY1336" s="10"/>
      <c r="AZ1336" s="10"/>
      <c r="BA1336" s="10"/>
      <c r="BB1336" s="10"/>
      <c r="BC1336" s="10"/>
      <c r="BD1336" s="10"/>
      <c r="BE1336" s="10"/>
      <c r="BF1336" s="10"/>
      <c r="BG1336" s="10"/>
      <c r="BH1336" s="10"/>
      <c r="BI1336" s="10"/>
      <c r="BJ1336" s="10"/>
      <c r="BK1336" s="10"/>
      <c r="BL1336" s="10"/>
      <c r="BM1336" s="10"/>
      <c r="BN1336" s="10"/>
      <c r="BO1336" s="10"/>
      <c r="BP1336" s="10"/>
      <c r="BQ1336" s="10"/>
      <c r="BR1336" s="10"/>
      <c r="BS1336" s="10"/>
      <c r="BT1336" s="10"/>
      <c r="BU1336" s="10"/>
    </row>
    <row r="1337" spans="1:73" ht="18" x14ac:dyDescent="0.35">
      <c r="A1337" s="43"/>
      <c r="C1337" s="393"/>
      <c r="E1337" s="394"/>
      <c r="F1337" s="394">
        <v>0.218</v>
      </c>
      <c r="G1337" s="394"/>
      <c r="H1337" s="8" t="s">
        <v>235</v>
      </c>
      <c r="I1337" s="368">
        <f t="shared" si="61"/>
        <v>0</v>
      </c>
      <c r="J1337" s="365">
        <f t="shared" si="60"/>
        <v>0</v>
      </c>
      <c r="K1337" s="369">
        <f t="shared" si="62"/>
        <v>6</v>
      </c>
      <c r="L1337" s="369">
        <f>+IF((C1337&gt;='Resultats - informe'!$E$16)*(C1337&lt;='Resultats - informe'!$G$16),1,0)</f>
        <v>1</v>
      </c>
      <c r="M1337" s="369" cm="1">
        <f t="array" ref="M1337">+_xlfn.IFS((C1337&gt;='Resultats - informe'!$D$26)*(C1337&lt;='Resultats - informe'!$E$26),0,(C1337&gt;='Resultats - informe'!$D$27)*(C1337&lt;='Resultats - informe'!$E$27),0,(C1337&gt;='Resultats - informe'!$D$28)*(C1337&lt;='Resultats - informe'!$E$28),0,(C1337&gt;='Resultats - informe'!$D$29)*(C1337&lt;='Resultats - informe'!$E$29),0,1,1)</f>
        <v>0</v>
      </c>
      <c r="N1337" s="366">
        <f>+VLOOKUP(D1337,'Resultats - informe'!$Y$18:$AG$42,'Introducció dades consum'!K1337+1,0)</f>
        <v>0</v>
      </c>
      <c r="O1337" s="370" cm="1">
        <f t="array" ref="O1337">+_xlfn.SWITCH(MONTH(C1337),1,1,2,1,3,1,4,2,5,2,6,3,7,3,8,3,9,3,10,2,11,2,12,1,2)</f>
        <v>1</v>
      </c>
      <c r="P1337" s="43"/>
      <c r="AS1337" s="10"/>
      <c r="AT1337" s="10"/>
      <c r="AU1337" s="10"/>
      <c r="AV1337" s="10"/>
      <c r="AW1337" s="10"/>
      <c r="AX1337" s="10"/>
      <c r="AY1337" s="10"/>
      <c r="AZ1337" s="10"/>
      <c r="BA1337" s="10"/>
      <c r="BB1337" s="10"/>
      <c r="BC1337" s="10"/>
      <c r="BD1337" s="10"/>
      <c r="BE1337" s="10"/>
      <c r="BF1337" s="10"/>
      <c r="BG1337" s="10"/>
      <c r="BH1337" s="10"/>
      <c r="BI1337" s="10"/>
      <c r="BJ1337" s="10"/>
      <c r="BK1337" s="10"/>
      <c r="BL1337" s="10"/>
      <c r="BM1337" s="10"/>
      <c r="BN1337" s="10"/>
      <c r="BO1337" s="10"/>
      <c r="BP1337" s="10"/>
      <c r="BQ1337" s="10"/>
      <c r="BR1337" s="10"/>
      <c r="BS1337" s="10"/>
      <c r="BT1337" s="10"/>
      <c r="BU1337" s="10"/>
    </row>
    <row r="1338" spans="1:73" ht="18" x14ac:dyDescent="0.35">
      <c r="A1338" s="43"/>
      <c r="C1338" s="393"/>
      <c r="E1338" s="394"/>
      <c r="F1338" s="394">
        <v>0</v>
      </c>
      <c r="G1338" s="394"/>
      <c r="H1338" s="8" t="s">
        <v>235</v>
      </c>
      <c r="I1338" s="368">
        <f t="shared" si="61"/>
        <v>0</v>
      </c>
      <c r="J1338" s="365">
        <f t="shared" si="60"/>
        <v>0</v>
      </c>
      <c r="K1338" s="369">
        <f t="shared" si="62"/>
        <v>6</v>
      </c>
      <c r="L1338" s="369">
        <f>+IF((C1338&gt;='Resultats - informe'!$E$16)*(C1338&lt;='Resultats - informe'!$G$16),1,0)</f>
        <v>1</v>
      </c>
      <c r="M1338" s="369" cm="1">
        <f t="array" ref="M1338">+_xlfn.IFS((C1338&gt;='Resultats - informe'!$D$26)*(C1338&lt;='Resultats - informe'!$E$26),0,(C1338&gt;='Resultats - informe'!$D$27)*(C1338&lt;='Resultats - informe'!$E$27),0,(C1338&gt;='Resultats - informe'!$D$28)*(C1338&lt;='Resultats - informe'!$E$28),0,(C1338&gt;='Resultats - informe'!$D$29)*(C1338&lt;='Resultats - informe'!$E$29),0,1,1)</f>
        <v>0</v>
      </c>
      <c r="N1338" s="366">
        <f>+VLOOKUP(D1338,'Resultats - informe'!$Y$18:$AG$42,'Introducció dades consum'!K1338+1,0)</f>
        <v>0</v>
      </c>
      <c r="O1338" s="370" cm="1">
        <f t="array" ref="O1338">+_xlfn.SWITCH(MONTH(C1338),1,1,2,1,3,1,4,2,5,2,6,3,7,3,8,3,9,3,10,2,11,2,12,1,2)</f>
        <v>1</v>
      </c>
      <c r="P1338" s="43"/>
      <c r="AS1338" s="10"/>
      <c r="AT1338" s="10"/>
      <c r="AU1338" s="10"/>
      <c r="AV1338" s="10"/>
      <c r="AW1338" s="10"/>
      <c r="AX1338" s="10"/>
      <c r="AY1338" s="10"/>
      <c r="AZ1338" s="10"/>
      <c r="BA1338" s="10"/>
      <c r="BB1338" s="10"/>
      <c r="BC1338" s="10"/>
      <c r="BD1338" s="10"/>
      <c r="BE1338" s="10"/>
      <c r="BF1338" s="10"/>
      <c r="BG1338" s="10"/>
      <c r="BH1338" s="10"/>
      <c r="BI1338" s="10"/>
      <c r="BJ1338" s="10"/>
      <c r="BK1338" s="10"/>
      <c r="BL1338" s="10"/>
      <c r="BM1338" s="10"/>
      <c r="BN1338" s="10"/>
      <c r="BO1338" s="10"/>
      <c r="BP1338" s="10"/>
      <c r="BQ1338" s="10"/>
      <c r="BR1338" s="10"/>
      <c r="BS1338" s="10"/>
      <c r="BT1338" s="10"/>
      <c r="BU1338" s="10"/>
    </row>
    <row r="1339" spans="1:73" ht="18" x14ac:dyDescent="0.35">
      <c r="A1339" s="43"/>
      <c r="C1339" s="393"/>
      <c r="E1339" s="394"/>
      <c r="F1339" s="394">
        <v>0.13700000000000001</v>
      </c>
      <c r="G1339" s="394"/>
      <c r="H1339" s="8" t="s">
        <v>235</v>
      </c>
      <c r="I1339" s="368">
        <f t="shared" si="61"/>
        <v>0</v>
      </c>
      <c r="J1339" s="365">
        <f t="shared" ref="J1339:J1402" si="63">+C1339</f>
        <v>0</v>
      </c>
      <c r="K1339" s="369">
        <f t="shared" si="62"/>
        <v>6</v>
      </c>
      <c r="L1339" s="369">
        <f>+IF((C1339&gt;='Resultats - informe'!$E$16)*(C1339&lt;='Resultats - informe'!$G$16),1,0)</f>
        <v>1</v>
      </c>
      <c r="M1339" s="369" cm="1">
        <f t="array" ref="M1339">+_xlfn.IFS((C1339&gt;='Resultats - informe'!$D$26)*(C1339&lt;='Resultats - informe'!$E$26),0,(C1339&gt;='Resultats - informe'!$D$27)*(C1339&lt;='Resultats - informe'!$E$27),0,(C1339&gt;='Resultats - informe'!$D$28)*(C1339&lt;='Resultats - informe'!$E$28),0,(C1339&gt;='Resultats - informe'!$D$29)*(C1339&lt;='Resultats - informe'!$E$29),0,1,1)</f>
        <v>0</v>
      </c>
      <c r="N1339" s="366">
        <f>+VLOOKUP(D1339,'Resultats - informe'!$Y$18:$AG$42,'Introducció dades consum'!K1339+1,0)</f>
        <v>0</v>
      </c>
      <c r="O1339" s="370" cm="1">
        <f t="array" ref="O1339">+_xlfn.SWITCH(MONTH(C1339),1,1,2,1,3,1,4,2,5,2,6,3,7,3,8,3,9,3,10,2,11,2,12,1,2)</f>
        <v>1</v>
      </c>
      <c r="P1339" s="43"/>
      <c r="AS1339" s="10"/>
      <c r="AT1339" s="10"/>
      <c r="AU1339" s="10"/>
      <c r="AV1339" s="10"/>
      <c r="AW1339" s="10"/>
      <c r="AX1339" s="10"/>
      <c r="AY1339" s="10"/>
      <c r="AZ1339" s="10"/>
      <c r="BA1339" s="10"/>
      <c r="BB1339" s="10"/>
      <c r="BC1339" s="10"/>
      <c r="BD1339" s="10"/>
      <c r="BE1339" s="10"/>
      <c r="BF1339" s="10"/>
      <c r="BG1339" s="10"/>
      <c r="BH1339" s="10"/>
      <c r="BI1339" s="10"/>
      <c r="BJ1339" s="10"/>
      <c r="BK1339" s="10"/>
      <c r="BL1339" s="10"/>
      <c r="BM1339" s="10"/>
      <c r="BN1339" s="10"/>
      <c r="BO1339" s="10"/>
      <c r="BP1339" s="10"/>
      <c r="BQ1339" s="10"/>
      <c r="BR1339" s="10"/>
      <c r="BS1339" s="10"/>
      <c r="BT1339" s="10"/>
      <c r="BU1339" s="10"/>
    </row>
    <row r="1340" spans="1:73" ht="18" x14ac:dyDescent="0.35">
      <c r="A1340" s="43"/>
      <c r="C1340" s="393"/>
      <c r="E1340" s="394"/>
      <c r="F1340" s="394">
        <v>0</v>
      </c>
      <c r="G1340" s="394"/>
      <c r="H1340" s="8" t="s">
        <v>61</v>
      </c>
      <c r="I1340" s="368">
        <f t="shared" si="61"/>
        <v>0</v>
      </c>
      <c r="J1340" s="365">
        <f t="shared" si="63"/>
        <v>0</v>
      </c>
      <c r="K1340" s="369">
        <f t="shared" si="62"/>
        <v>6</v>
      </c>
      <c r="L1340" s="369">
        <f>+IF((C1340&gt;='Resultats - informe'!$E$16)*(C1340&lt;='Resultats - informe'!$G$16),1,0)</f>
        <v>1</v>
      </c>
      <c r="M1340" s="369" cm="1">
        <f t="array" ref="M1340">+_xlfn.IFS((C1340&gt;='Resultats - informe'!$D$26)*(C1340&lt;='Resultats - informe'!$E$26),0,(C1340&gt;='Resultats - informe'!$D$27)*(C1340&lt;='Resultats - informe'!$E$27),0,(C1340&gt;='Resultats - informe'!$D$28)*(C1340&lt;='Resultats - informe'!$E$28),0,(C1340&gt;='Resultats - informe'!$D$29)*(C1340&lt;='Resultats - informe'!$E$29),0,1,1)</f>
        <v>0</v>
      </c>
      <c r="N1340" s="366">
        <f>+VLOOKUP(D1340,'Resultats - informe'!$Y$18:$AG$42,'Introducció dades consum'!K1340+1,0)</f>
        <v>0</v>
      </c>
      <c r="O1340" s="370" cm="1">
        <f t="array" ref="O1340">+_xlfn.SWITCH(MONTH(C1340),1,1,2,1,3,1,4,2,5,2,6,3,7,3,8,3,9,3,10,2,11,2,12,1,2)</f>
        <v>1</v>
      </c>
      <c r="P1340" s="43"/>
      <c r="AS1340" s="10"/>
      <c r="AT1340" s="10"/>
      <c r="AU1340" s="10"/>
      <c r="AV1340" s="10"/>
      <c r="AW1340" s="10"/>
      <c r="AX1340" s="10"/>
      <c r="AY1340" s="10"/>
      <c r="AZ1340" s="10"/>
      <c r="BA1340" s="10"/>
      <c r="BB1340" s="10"/>
      <c r="BC1340" s="10"/>
      <c r="BD1340" s="10"/>
      <c r="BE1340" s="10"/>
      <c r="BF1340" s="10"/>
      <c r="BG1340" s="10"/>
      <c r="BH1340" s="10"/>
      <c r="BI1340" s="10"/>
      <c r="BJ1340" s="10"/>
      <c r="BK1340" s="10"/>
      <c r="BL1340" s="10"/>
      <c r="BM1340" s="10"/>
      <c r="BN1340" s="10"/>
      <c r="BO1340" s="10"/>
      <c r="BP1340" s="10"/>
      <c r="BQ1340" s="10"/>
      <c r="BR1340" s="10"/>
      <c r="BS1340" s="10"/>
      <c r="BT1340" s="10"/>
      <c r="BU1340" s="10"/>
    </row>
    <row r="1341" spans="1:73" ht="18" x14ac:dyDescent="0.35">
      <c r="A1341" s="43"/>
      <c r="C1341" s="393"/>
      <c r="E1341" s="394"/>
      <c r="F1341" s="394">
        <v>0</v>
      </c>
      <c r="G1341" s="394"/>
      <c r="H1341" s="8" t="s">
        <v>61</v>
      </c>
      <c r="I1341" s="368">
        <f t="shared" si="61"/>
        <v>0</v>
      </c>
      <c r="J1341" s="365">
        <f t="shared" si="63"/>
        <v>0</v>
      </c>
      <c r="K1341" s="369">
        <f t="shared" si="62"/>
        <v>6</v>
      </c>
      <c r="L1341" s="369">
        <f>+IF((C1341&gt;='Resultats - informe'!$E$16)*(C1341&lt;='Resultats - informe'!$G$16),1,0)</f>
        <v>1</v>
      </c>
      <c r="M1341" s="369" cm="1">
        <f t="array" ref="M1341">+_xlfn.IFS((C1341&gt;='Resultats - informe'!$D$26)*(C1341&lt;='Resultats - informe'!$E$26),0,(C1341&gt;='Resultats - informe'!$D$27)*(C1341&lt;='Resultats - informe'!$E$27),0,(C1341&gt;='Resultats - informe'!$D$28)*(C1341&lt;='Resultats - informe'!$E$28),0,(C1341&gt;='Resultats - informe'!$D$29)*(C1341&lt;='Resultats - informe'!$E$29),0,1,1)</f>
        <v>0</v>
      </c>
      <c r="N1341" s="366">
        <f>+VLOOKUP(D1341,'Resultats - informe'!$Y$18:$AG$42,'Introducció dades consum'!K1341+1,0)</f>
        <v>0</v>
      </c>
      <c r="O1341" s="370" cm="1">
        <f t="array" ref="O1341">+_xlfn.SWITCH(MONTH(C1341),1,1,2,1,3,1,4,2,5,2,6,3,7,3,8,3,9,3,10,2,11,2,12,1,2)</f>
        <v>1</v>
      </c>
      <c r="P1341" s="43"/>
      <c r="AS1341" s="10"/>
      <c r="AT1341" s="10"/>
      <c r="AU1341" s="10"/>
      <c r="AV1341" s="10"/>
      <c r="AW1341" s="10"/>
      <c r="AX1341" s="10"/>
      <c r="AY1341" s="10"/>
      <c r="AZ1341" s="10"/>
      <c r="BA1341" s="10"/>
      <c r="BB1341" s="10"/>
      <c r="BC1341" s="10"/>
      <c r="BD1341" s="10"/>
      <c r="BE1341" s="10"/>
      <c r="BF1341" s="10"/>
      <c r="BG1341" s="10"/>
      <c r="BH1341" s="10"/>
      <c r="BI1341" s="10"/>
      <c r="BJ1341" s="10"/>
      <c r="BK1341" s="10"/>
      <c r="BL1341" s="10"/>
      <c r="BM1341" s="10"/>
      <c r="BN1341" s="10"/>
      <c r="BO1341" s="10"/>
      <c r="BP1341" s="10"/>
      <c r="BQ1341" s="10"/>
      <c r="BR1341" s="10"/>
      <c r="BS1341" s="10"/>
      <c r="BT1341" s="10"/>
      <c r="BU1341" s="10"/>
    </row>
    <row r="1342" spans="1:73" ht="18" x14ac:dyDescent="0.35">
      <c r="A1342" s="43"/>
      <c r="C1342" s="393"/>
      <c r="E1342" s="394"/>
      <c r="F1342" s="394">
        <v>0</v>
      </c>
      <c r="G1342" s="394"/>
      <c r="H1342" s="8" t="s">
        <v>61</v>
      </c>
      <c r="I1342" s="368">
        <f t="shared" si="61"/>
        <v>0</v>
      </c>
      <c r="J1342" s="365">
        <f t="shared" si="63"/>
        <v>0</v>
      </c>
      <c r="K1342" s="369">
        <f t="shared" si="62"/>
        <v>6</v>
      </c>
      <c r="L1342" s="369">
        <f>+IF((C1342&gt;='Resultats - informe'!$E$16)*(C1342&lt;='Resultats - informe'!$G$16),1,0)</f>
        <v>1</v>
      </c>
      <c r="M1342" s="369" cm="1">
        <f t="array" ref="M1342">+_xlfn.IFS((C1342&gt;='Resultats - informe'!$D$26)*(C1342&lt;='Resultats - informe'!$E$26),0,(C1342&gt;='Resultats - informe'!$D$27)*(C1342&lt;='Resultats - informe'!$E$27),0,(C1342&gt;='Resultats - informe'!$D$28)*(C1342&lt;='Resultats - informe'!$E$28),0,(C1342&gt;='Resultats - informe'!$D$29)*(C1342&lt;='Resultats - informe'!$E$29),0,1,1)</f>
        <v>0</v>
      </c>
      <c r="N1342" s="366">
        <f>+VLOOKUP(D1342,'Resultats - informe'!$Y$18:$AG$42,'Introducció dades consum'!K1342+1,0)</f>
        <v>0</v>
      </c>
      <c r="O1342" s="370" cm="1">
        <f t="array" ref="O1342">+_xlfn.SWITCH(MONTH(C1342),1,1,2,1,3,1,4,2,5,2,6,3,7,3,8,3,9,3,10,2,11,2,12,1,2)</f>
        <v>1</v>
      </c>
      <c r="P1342" s="43"/>
      <c r="AS1342" s="10"/>
      <c r="AT1342" s="10"/>
      <c r="AU1342" s="10"/>
      <c r="AV1342" s="10"/>
      <c r="AW1342" s="10"/>
      <c r="AX1342" s="10"/>
      <c r="AY1342" s="10"/>
      <c r="AZ1342" s="10"/>
      <c r="BA1342" s="10"/>
      <c r="BB1342" s="10"/>
      <c r="BC1342" s="10"/>
      <c r="BD1342" s="10"/>
      <c r="BE1342" s="10"/>
      <c r="BF1342" s="10"/>
      <c r="BG1342" s="10"/>
      <c r="BH1342" s="10"/>
      <c r="BI1342" s="10"/>
      <c r="BJ1342" s="10"/>
      <c r="BK1342" s="10"/>
      <c r="BL1342" s="10"/>
      <c r="BM1342" s="10"/>
      <c r="BN1342" s="10"/>
      <c r="BO1342" s="10"/>
      <c r="BP1342" s="10"/>
      <c r="BQ1342" s="10"/>
      <c r="BR1342" s="10"/>
      <c r="BS1342" s="10"/>
      <c r="BT1342" s="10"/>
      <c r="BU1342" s="10"/>
    </row>
    <row r="1343" spans="1:73" ht="18" x14ac:dyDescent="0.35">
      <c r="A1343" s="43"/>
      <c r="C1343" s="393"/>
      <c r="E1343" s="394"/>
      <c r="F1343" s="394">
        <v>0</v>
      </c>
      <c r="G1343" s="394"/>
      <c r="H1343" s="8" t="s">
        <v>235</v>
      </c>
      <c r="I1343" s="368">
        <f t="shared" si="61"/>
        <v>0</v>
      </c>
      <c r="J1343" s="365">
        <f t="shared" si="63"/>
        <v>0</v>
      </c>
      <c r="K1343" s="369">
        <f t="shared" si="62"/>
        <v>6</v>
      </c>
      <c r="L1343" s="369">
        <f>+IF((C1343&gt;='Resultats - informe'!$E$16)*(C1343&lt;='Resultats - informe'!$G$16),1,0)</f>
        <v>1</v>
      </c>
      <c r="M1343" s="369" cm="1">
        <f t="array" ref="M1343">+_xlfn.IFS((C1343&gt;='Resultats - informe'!$D$26)*(C1343&lt;='Resultats - informe'!$E$26),0,(C1343&gt;='Resultats - informe'!$D$27)*(C1343&lt;='Resultats - informe'!$E$27),0,(C1343&gt;='Resultats - informe'!$D$28)*(C1343&lt;='Resultats - informe'!$E$28),0,(C1343&gt;='Resultats - informe'!$D$29)*(C1343&lt;='Resultats - informe'!$E$29),0,1,1)</f>
        <v>0</v>
      </c>
      <c r="N1343" s="366">
        <f>+VLOOKUP(D1343,'Resultats - informe'!$Y$18:$AG$42,'Introducció dades consum'!K1343+1,0)</f>
        <v>0</v>
      </c>
      <c r="O1343" s="370" cm="1">
        <f t="array" ref="O1343">+_xlfn.SWITCH(MONTH(C1343),1,1,2,1,3,1,4,2,5,2,6,3,7,3,8,3,9,3,10,2,11,2,12,1,2)</f>
        <v>1</v>
      </c>
      <c r="P1343" s="43"/>
      <c r="AS1343" s="10"/>
      <c r="AT1343" s="10"/>
      <c r="AU1343" s="10"/>
      <c r="AV1343" s="10"/>
      <c r="AW1343" s="10"/>
      <c r="AX1343" s="10"/>
      <c r="AY1343" s="10"/>
      <c r="AZ1343" s="10"/>
      <c r="BA1343" s="10"/>
      <c r="BB1343" s="10"/>
      <c r="BC1343" s="10"/>
      <c r="BD1343" s="10"/>
      <c r="BE1343" s="10"/>
      <c r="BF1343" s="10"/>
      <c r="BG1343" s="10"/>
      <c r="BH1343" s="10"/>
      <c r="BI1343" s="10"/>
      <c r="BJ1343" s="10"/>
      <c r="BK1343" s="10"/>
      <c r="BL1343" s="10"/>
      <c r="BM1343" s="10"/>
      <c r="BN1343" s="10"/>
      <c r="BO1343" s="10"/>
      <c r="BP1343" s="10"/>
      <c r="BQ1343" s="10"/>
      <c r="BR1343" s="10"/>
      <c r="BS1343" s="10"/>
      <c r="BT1343" s="10"/>
      <c r="BU1343" s="10"/>
    </row>
    <row r="1344" spans="1:73" ht="18" x14ac:dyDescent="0.35">
      <c r="A1344" s="43"/>
      <c r="C1344" s="393"/>
      <c r="E1344" s="394"/>
      <c r="F1344" s="394">
        <v>0</v>
      </c>
      <c r="G1344" s="394"/>
      <c r="H1344" s="8" t="s">
        <v>235</v>
      </c>
      <c r="I1344" s="368">
        <f t="shared" si="61"/>
        <v>0</v>
      </c>
      <c r="J1344" s="365">
        <f t="shared" si="63"/>
        <v>0</v>
      </c>
      <c r="K1344" s="369">
        <f t="shared" si="62"/>
        <v>6</v>
      </c>
      <c r="L1344" s="369">
        <f>+IF((C1344&gt;='Resultats - informe'!$E$16)*(C1344&lt;='Resultats - informe'!$G$16),1,0)</f>
        <v>1</v>
      </c>
      <c r="M1344" s="369" cm="1">
        <f t="array" ref="M1344">+_xlfn.IFS((C1344&gt;='Resultats - informe'!$D$26)*(C1344&lt;='Resultats - informe'!$E$26),0,(C1344&gt;='Resultats - informe'!$D$27)*(C1344&lt;='Resultats - informe'!$E$27),0,(C1344&gt;='Resultats - informe'!$D$28)*(C1344&lt;='Resultats - informe'!$E$28),0,(C1344&gt;='Resultats - informe'!$D$29)*(C1344&lt;='Resultats - informe'!$E$29),0,1,1)</f>
        <v>0</v>
      </c>
      <c r="N1344" s="366">
        <f>+VLOOKUP(D1344,'Resultats - informe'!$Y$18:$AG$42,'Introducció dades consum'!K1344+1,0)</f>
        <v>0</v>
      </c>
      <c r="O1344" s="370" cm="1">
        <f t="array" ref="O1344">+_xlfn.SWITCH(MONTH(C1344),1,1,2,1,3,1,4,2,5,2,6,3,7,3,8,3,9,3,10,2,11,2,12,1,2)</f>
        <v>1</v>
      </c>
      <c r="P1344" s="43"/>
      <c r="AS1344" s="10"/>
      <c r="AT1344" s="10"/>
      <c r="AU1344" s="10"/>
      <c r="AV1344" s="10"/>
      <c r="AW1344" s="10"/>
      <c r="AX1344" s="10"/>
      <c r="AY1344" s="10"/>
      <c r="AZ1344" s="10"/>
      <c r="BA1344" s="10"/>
      <c r="BB1344" s="10"/>
      <c r="BC1344" s="10"/>
      <c r="BD1344" s="10"/>
      <c r="BE1344" s="10"/>
      <c r="BF1344" s="10"/>
      <c r="BG1344" s="10"/>
      <c r="BH1344" s="10"/>
      <c r="BI1344" s="10"/>
      <c r="BJ1344" s="10"/>
      <c r="BK1344" s="10"/>
      <c r="BL1344" s="10"/>
      <c r="BM1344" s="10"/>
      <c r="BN1344" s="10"/>
      <c r="BO1344" s="10"/>
      <c r="BP1344" s="10"/>
      <c r="BQ1344" s="10"/>
      <c r="BR1344" s="10"/>
      <c r="BS1344" s="10"/>
      <c r="BT1344" s="10"/>
      <c r="BU1344" s="10"/>
    </row>
    <row r="1345" spans="1:73" ht="18" x14ac:dyDescent="0.35">
      <c r="A1345" s="43"/>
      <c r="C1345" s="393"/>
      <c r="E1345" s="394"/>
      <c r="F1345" s="394">
        <v>0</v>
      </c>
      <c r="G1345" s="394"/>
      <c r="H1345" s="8" t="s">
        <v>235</v>
      </c>
      <c r="I1345" s="368">
        <f t="shared" si="61"/>
        <v>0</v>
      </c>
      <c r="J1345" s="365">
        <f t="shared" si="63"/>
        <v>0</v>
      </c>
      <c r="K1345" s="369">
        <f t="shared" si="62"/>
        <v>6</v>
      </c>
      <c r="L1345" s="369">
        <f>+IF((C1345&gt;='Resultats - informe'!$E$16)*(C1345&lt;='Resultats - informe'!$G$16),1,0)</f>
        <v>1</v>
      </c>
      <c r="M1345" s="369" cm="1">
        <f t="array" ref="M1345">+_xlfn.IFS((C1345&gt;='Resultats - informe'!$D$26)*(C1345&lt;='Resultats - informe'!$E$26),0,(C1345&gt;='Resultats - informe'!$D$27)*(C1345&lt;='Resultats - informe'!$E$27),0,(C1345&gt;='Resultats - informe'!$D$28)*(C1345&lt;='Resultats - informe'!$E$28),0,(C1345&gt;='Resultats - informe'!$D$29)*(C1345&lt;='Resultats - informe'!$E$29),0,1,1)</f>
        <v>0</v>
      </c>
      <c r="N1345" s="366">
        <f>+VLOOKUP(D1345,'Resultats - informe'!$Y$18:$AG$42,'Introducció dades consum'!K1345+1,0)</f>
        <v>0</v>
      </c>
      <c r="O1345" s="370" cm="1">
        <f t="array" ref="O1345">+_xlfn.SWITCH(MONTH(C1345),1,1,2,1,3,1,4,2,5,2,6,3,7,3,8,3,9,3,10,2,11,2,12,1,2)</f>
        <v>1</v>
      </c>
      <c r="P1345" s="43"/>
      <c r="AS1345" s="10"/>
      <c r="AT1345" s="10"/>
      <c r="AU1345" s="10"/>
      <c r="AV1345" s="10"/>
      <c r="AW1345" s="10"/>
      <c r="AX1345" s="10"/>
      <c r="AY1345" s="10"/>
      <c r="AZ1345" s="10"/>
      <c r="BA1345" s="10"/>
      <c r="BB1345" s="10"/>
      <c r="BC1345" s="10"/>
      <c r="BD1345" s="10"/>
      <c r="BE1345" s="10"/>
      <c r="BF1345" s="10"/>
      <c r="BG1345" s="10"/>
      <c r="BH1345" s="10"/>
      <c r="BI1345" s="10"/>
      <c r="BJ1345" s="10"/>
      <c r="BK1345" s="10"/>
      <c r="BL1345" s="10"/>
      <c r="BM1345" s="10"/>
      <c r="BN1345" s="10"/>
      <c r="BO1345" s="10"/>
      <c r="BP1345" s="10"/>
      <c r="BQ1345" s="10"/>
      <c r="BR1345" s="10"/>
      <c r="BS1345" s="10"/>
      <c r="BT1345" s="10"/>
      <c r="BU1345" s="10"/>
    </row>
    <row r="1346" spans="1:73" ht="18" x14ac:dyDescent="0.35">
      <c r="A1346" s="43"/>
      <c r="C1346" s="393"/>
      <c r="E1346" s="394"/>
      <c r="F1346" s="394">
        <v>0</v>
      </c>
      <c r="G1346" s="394"/>
      <c r="H1346" s="8" t="s">
        <v>235</v>
      </c>
      <c r="I1346" s="368">
        <f t="shared" si="61"/>
        <v>0</v>
      </c>
      <c r="J1346" s="365">
        <f t="shared" si="63"/>
        <v>0</v>
      </c>
      <c r="K1346" s="369">
        <f t="shared" si="62"/>
        <v>6</v>
      </c>
      <c r="L1346" s="369">
        <f>+IF((C1346&gt;='Resultats - informe'!$E$16)*(C1346&lt;='Resultats - informe'!$G$16),1,0)</f>
        <v>1</v>
      </c>
      <c r="M1346" s="369" cm="1">
        <f t="array" ref="M1346">+_xlfn.IFS((C1346&gt;='Resultats - informe'!$D$26)*(C1346&lt;='Resultats - informe'!$E$26),0,(C1346&gt;='Resultats - informe'!$D$27)*(C1346&lt;='Resultats - informe'!$E$27),0,(C1346&gt;='Resultats - informe'!$D$28)*(C1346&lt;='Resultats - informe'!$E$28),0,(C1346&gt;='Resultats - informe'!$D$29)*(C1346&lt;='Resultats - informe'!$E$29),0,1,1)</f>
        <v>0</v>
      </c>
      <c r="N1346" s="366">
        <f>+VLOOKUP(D1346,'Resultats - informe'!$Y$18:$AG$42,'Introducció dades consum'!K1346+1,0)</f>
        <v>0</v>
      </c>
      <c r="O1346" s="370" cm="1">
        <f t="array" ref="O1346">+_xlfn.SWITCH(MONTH(C1346),1,1,2,1,3,1,4,2,5,2,6,3,7,3,8,3,9,3,10,2,11,2,12,1,2)</f>
        <v>1</v>
      </c>
      <c r="P1346" s="43"/>
      <c r="AS1346" s="10"/>
      <c r="AT1346" s="10"/>
      <c r="AU1346" s="10"/>
      <c r="AV1346" s="10"/>
      <c r="AW1346" s="10"/>
      <c r="AX1346" s="10"/>
      <c r="AY1346" s="10"/>
      <c r="AZ1346" s="10"/>
      <c r="BA1346" s="10"/>
      <c r="BB1346" s="10"/>
      <c r="BC1346" s="10"/>
      <c r="BD1346" s="10"/>
      <c r="BE1346" s="10"/>
      <c r="BF1346" s="10"/>
      <c r="BG1346" s="10"/>
      <c r="BH1346" s="10"/>
      <c r="BI1346" s="10"/>
      <c r="BJ1346" s="10"/>
      <c r="BK1346" s="10"/>
      <c r="BL1346" s="10"/>
      <c r="BM1346" s="10"/>
      <c r="BN1346" s="10"/>
      <c r="BO1346" s="10"/>
      <c r="BP1346" s="10"/>
      <c r="BQ1346" s="10"/>
      <c r="BR1346" s="10"/>
      <c r="BS1346" s="10"/>
      <c r="BT1346" s="10"/>
      <c r="BU1346" s="10"/>
    </row>
    <row r="1347" spans="1:73" ht="18" x14ac:dyDescent="0.35">
      <c r="A1347" s="43"/>
      <c r="C1347" s="393"/>
      <c r="E1347" s="394"/>
      <c r="F1347" s="394">
        <v>0</v>
      </c>
      <c r="G1347" s="394"/>
      <c r="H1347" s="8" t="s">
        <v>235</v>
      </c>
      <c r="I1347" s="368">
        <f t="shared" si="61"/>
        <v>0</v>
      </c>
      <c r="J1347" s="365">
        <f t="shared" si="63"/>
        <v>0</v>
      </c>
      <c r="K1347" s="369">
        <f t="shared" si="62"/>
        <v>6</v>
      </c>
      <c r="L1347" s="369">
        <f>+IF((C1347&gt;='Resultats - informe'!$E$16)*(C1347&lt;='Resultats - informe'!$G$16),1,0)</f>
        <v>1</v>
      </c>
      <c r="M1347" s="369" cm="1">
        <f t="array" ref="M1347">+_xlfn.IFS((C1347&gt;='Resultats - informe'!$D$26)*(C1347&lt;='Resultats - informe'!$E$26),0,(C1347&gt;='Resultats - informe'!$D$27)*(C1347&lt;='Resultats - informe'!$E$27),0,(C1347&gt;='Resultats - informe'!$D$28)*(C1347&lt;='Resultats - informe'!$E$28),0,(C1347&gt;='Resultats - informe'!$D$29)*(C1347&lt;='Resultats - informe'!$E$29),0,1,1)</f>
        <v>0</v>
      </c>
      <c r="N1347" s="366">
        <f>+VLOOKUP(D1347,'Resultats - informe'!$Y$18:$AG$42,'Introducció dades consum'!K1347+1,0)</f>
        <v>0</v>
      </c>
      <c r="O1347" s="370" cm="1">
        <f t="array" ref="O1347">+_xlfn.SWITCH(MONTH(C1347),1,1,2,1,3,1,4,2,5,2,6,3,7,3,8,3,9,3,10,2,11,2,12,1,2)</f>
        <v>1</v>
      </c>
      <c r="P1347" s="43"/>
      <c r="AS1347" s="10"/>
      <c r="AT1347" s="10"/>
      <c r="AU1347" s="10"/>
      <c r="AV1347" s="10"/>
      <c r="AW1347" s="10"/>
      <c r="AX1347" s="10"/>
      <c r="AY1347" s="10"/>
      <c r="AZ1347" s="10"/>
      <c r="BA1347" s="10"/>
      <c r="BB1347" s="10"/>
      <c r="BC1347" s="10"/>
      <c r="BD1347" s="10"/>
      <c r="BE1347" s="10"/>
      <c r="BF1347" s="10"/>
      <c r="BG1347" s="10"/>
      <c r="BH1347" s="10"/>
      <c r="BI1347" s="10"/>
      <c r="BJ1347" s="10"/>
      <c r="BK1347" s="10"/>
      <c r="BL1347" s="10"/>
      <c r="BM1347" s="10"/>
      <c r="BN1347" s="10"/>
      <c r="BO1347" s="10"/>
      <c r="BP1347" s="10"/>
      <c r="BQ1347" s="10"/>
      <c r="BR1347" s="10"/>
      <c r="BS1347" s="10"/>
      <c r="BT1347" s="10"/>
      <c r="BU1347" s="10"/>
    </row>
    <row r="1348" spans="1:73" ht="18" x14ac:dyDescent="0.35">
      <c r="A1348" s="43"/>
      <c r="C1348" s="393"/>
      <c r="E1348" s="394"/>
      <c r="F1348" s="394">
        <v>0</v>
      </c>
      <c r="G1348" s="394"/>
      <c r="H1348" s="8" t="s">
        <v>235</v>
      </c>
      <c r="I1348" s="368">
        <f t="shared" si="61"/>
        <v>0</v>
      </c>
      <c r="J1348" s="365">
        <f t="shared" si="63"/>
        <v>0</v>
      </c>
      <c r="K1348" s="369">
        <f t="shared" si="62"/>
        <v>6</v>
      </c>
      <c r="L1348" s="369">
        <f>+IF((C1348&gt;='Resultats - informe'!$E$16)*(C1348&lt;='Resultats - informe'!$G$16),1,0)</f>
        <v>1</v>
      </c>
      <c r="M1348" s="369" cm="1">
        <f t="array" ref="M1348">+_xlfn.IFS((C1348&gt;='Resultats - informe'!$D$26)*(C1348&lt;='Resultats - informe'!$E$26),0,(C1348&gt;='Resultats - informe'!$D$27)*(C1348&lt;='Resultats - informe'!$E$27),0,(C1348&gt;='Resultats - informe'!$D$28)*(C1348&lt;='Resultats - informe'!$E$28),0,(C1348&gt;='Resultats - informe'!$D$29)*(C1348&lt;='Resultats - informe'!$E$29),0,1,1)</f>
        <v>0</v>
      </c>
      <c r="N1348" s="366">
        <f>+VLOOKUP(D1348,'Resultats - informe'!$Y$18:$AG$42,'Introducció dades consum'!K1348+1,0)</f>
        <v>0</v>
      </c>
      <c r="O1348" s="370" cm="1">
        <f t="array" ref="O1348">+_xlfn.SWITCH(MONTH(C1348),1,1,2,1,3,1,4,2,5,2,6,3,7,3,8,3,9,3,10,2,11,2,12,1,2)</f>
        <v>1</v>
      </c>
      <c r="P1348" s="43"/>
      <c r="AS1348" s="10"/>
      <c r="AT1348" s="10"/>
      <c r="AU1348" s="10"/>
      <c r="AV1348" s="10"/>
      <c r="AW1348" s="10"/>
      <c r="AX1348" s="10"/>
      <c r="AY1348" s="10"/>
      <c r="AZ1348" s="10"/>
      <c r="BA1348" s="10"/>
      <c r="BB1348" s="10"/>
      <c r="BC1348" s="10"/>
      <c r="BD1348" s="10"/>
      <c r="BE1348" s="10"/>
      <c r="BF1348" s="10"/>
      <c r="BG1348" s="10"/>
      <c r="BH1348" s="10"/>
      <c r="BI1348" s="10"/>
      <c r="BJ1348" s="10"/>
      <c r="BK1348" s="10"/>
      <c r="BL1348" s="10"/>
      <c r="BM1348" s="10"/>
      <c r="BN1348" s="10"/>
      <c r="BO1348" s="10"/>
      <c r="BP1348" s="10"/>
      <c r="BQ1348" s="10"/>
      <c r="BR1348" s="10"/>
      <c r="BS1348" s="10"/>
      <c r="BT1348" s="10"/>
      <c r="BU1348" s="10"/>
    </row>
    <row r="1349" spans="1:73" ht="18" x14ac:dyDescent="0.35">
      <c r="A1349" s="43"/>
      <c r="C1349" s="393"/>
      <c r="E1349" s="394"/>
      <c r="F1349" s="394">
        <v>0</v>
      </c>
      <c r="G1349" s="394"/>
      <c r="H1349" s="8" t="s">
        <v>235</v>
      </c>
      <c r="I1349" s="368">
        <f t="shared" si="61"/>
        <v>0</v>
      </c>
      <c r="J1349" s="365">
        <f t="shared" si="63"/>
        <v>0</v>
      </c>
      <c r="K1349" s="369">
        <f t="shared" si="62"/>
        <v>6</v>
      </c>
      <c r="L1349" s="369">
        <f>+IF((C1349&gt;='Resultats - informe'!$E$16)*(C1349&lt;='Resultats - informe'!$G$16),1,0)</f>
        <v>1</v>
      </c>
      <c r="M1349" s="369" cm="1">
        <f t="array" ref="M1349">+_xlfn.IFS((C1349&gt;='Resultats - informe'!$D$26)*(C1349&lt;='Resultats - informe'!$E$26),0,(C1349&gt;='Resultats - informe'!$D$27)*(C1349&lt;='Resultats - informe'!$E$27),0,(C1349&gt;='Resultats - informe'!$D$28)*(C1349&lt;='Resultats - informe'!$E$28),0,(C1349&gt;='Resultats - informe'!$D$29)*(C1349&lt;='Resultats - informe'!$E$29),0,1,1)</f>
        <v>0</v>
      </c>
      <c r="N1349" s="366">
        <f>+VLOOKUP(D1349,'Resultats - informe'!$Y$18:$AG$42,'Introducció dades consum'!K1349+1,0)</f>
        <v>0</v>
      </c>
      <c r="O1349" s="370" cm="1">
        <f t="array" ref="O1349">+_xlfn.SWITCH(MONTH(C1349),1,1,2,1,3,1,4,2,5,2,6,3,7,3,8,3,9,3,10,2,11,2,12,1,2)</f>
        <v>1</v>
      </c>
      <c r="P1349" s="43"/>
      <c r="AS1349" s="10"/>
      <c r="AT1349" s="10"/>
      <c r="AU1349" s="10"/>
      <c r="AV1349" s="10"/>
      <c r="AW1349" s="10"/>
      <c r="AX1349" s="10"/>
      <c r="AY1349" s="10"/>
      <c r="AZ1349" s="10"/>
      <c r="BA1349" s="10"/>
      <c r="BB1349" s="10"/>
      <c r="BC1349" s="10"/>
      <c r="BD1349" s="10"/>
      <c r="BE1349" s="10"/>
      <c r="BF1349" s="10"/>
      <c r="BG1349" s="10"/>
      <c r="BH1349" s="10"/>
      <c r="BI1349" s="10"/>
      <c r="BJ1349" s="10"/>
      <c r="BK1349" s="10"/>
      <c r="BL1349" s="10"/>
      <c r="BM1349" s="10"/>
      <c r="BN1349" s="10"/>
      <c r="BO1349" s="10"/>
      <c r="BP1349" s="10"/>
      <c r="BQ1349" s="10"/>
      <c r="BR1349" s="10"/>
      <c r="BS1349" s="10"/>
      <c r="BT1349" s="10"/>
      <c r="BU1349" s="10"/>
    </row>
    <row r="1350" spans="1:73" ht="18" x14ac:dyDescent="0.35">
      <c r="A1350" s="43"/>
      <c r="C1350" s="393"/>
      <c r="E1350" s="394"/>
      <c r="F1350" s="394">
        <v>0</v>
      </c>
      <c r="G1350" s="394"/>
      <c r="H1350" s="8" t="s">
        <v>235</v>
      </c>
      <c r="I1350" s="368">
        <f t="shared" ref="I1350:I1413" si="64">+E1350+G1350</f>
        <v>0</v>
      </c>
      <c r="J1350" s="365">
        <f t="shared" si="63"/>
        <v>0</v>
      </c>
      <c r="K1350" s="369">
        <f t="shared" ref="K1350:K1413" si="65">+WEEKDAY(C1350,2)</f>
        <v>6</v>
      </c>
      <c r="L1350" s="369">
        <f>+IF((C1350&gt;='Resultats - informe'!$E$16)*(C1350&lt;='Resultats - informe'!$G$16),1,0)</f>
        <v>1</v>
      </c>
      <c r="M1350" s="369" cm="1">
        <f t="array" ref="M1350">+_xlfn.IFS((C1350&gt;='Resultats - informe'!$D$26)*(C1350&lt;='Resultats - informe'!$E$26),0,(C1350&gt;='Resultats - informe'!$D$27)*(C1350&lt;='Resultats - informe'!$E$27),0,(C1350&gt;='Resultats - informe'!$D$28)*(C1350&lt;='Resultats - informe'!$E$28),0,(C1350&gt;='Resultats - informe'!$D$29)*(C1350&lt;='Resultats - informe'!$E$29),0,1,1)</f>
        <v>0</v>
      </c>
      <c r="N1350" s="366">
        <f>+VLOOKUP(D1350,'Resultats - informe'!$Y$18:$AG$42,'Introducció dades consum'!K1350+1,0)</f>
        <v>0</v>
      </c>
      <c r="O1350" s="370" cm="1">
        <f t="array" ref="O1350">+_xlfn.SWITCH(MONTH(C1350),1,1,2,1,3,1,4,2,5,2,6,3,7,3,8,3,9,3,10,2,11,2,12,1,2)</f>
        <v>1</v>
      </c>
      <c r="P1350" s="43"/>
      <c r="AS1350" s="10"/>
      <c r="AT1350" s="10"/>
      <c r="AU1350" s="10"/>
      <c r="AV1350" s="10"/>
      <c r="AW1350" s="10"/>
      <c r="AX1350" s="10"/>
      <c r="AY1350" s="10"/>
      <c r="AZ1350" s="10"/>
      <c r="BA1350" s="10"/>
      <c r="BB1350" s="10"/>
      <c r="BC1350" s="10"/>
      <c r="BD1350" s="10"/>
      <c r="BE1350" s="10"/>
      <c r="BF1350" s="10"/>
      <c r="BG1350" s="10"/>
      <c r="BH1350" s="10"/>
      <c r="BI1350" s="10"/>
      <c r="BJ1350" s="10"/>
      <c r="BK1350" s="10"/>
      <c r="BL1350" s="10"/>
      <c r="BM1350" s="10"/>
      <c r="BN1350" s="10"/>
      <c r="BO1350" s="10"/>
      <c r="BP1350" s="10"/>
      <c r="BQ1350" s="10"/>
      <c r="BR1350" s="10"/>
      <c r="BS1350" s="10"/>
      <c r="BT1350" s="10"/>
      <c r="BU1350" s="10"/>
    </row>
    <row r="1351" spans="1:73" ht="18" x14ac:dyDescent="0.35">
      <c r="A1351" s="43"/>
      <c r="C1351" s="393"/>
      <c r="E1351" s="394"/>
      <c r="F1351" s="394">
        <v>0</v>
      </c>
      <c r="G1351" s="394"/>
      <c r="H1351" s="8" t="s">
        <v>235</v>
      </c>
      <c r="I1351" s="368">
        <f t="shared" si="64"/>
        <v>0</v>
      </c>
      <c r="J1351" s="365">
        <f t="shared" si="63"/>
        <v>0</v>
      </c>
      <c r="K1351" s="369">
        <f t="shared" si="65"/>
        <v>6</v>
      </c>
      <c r="L1351" s="369">
        <f>+IF((C1351&gt;='Resultats - informe'!$E$16)*(C1351&lt;='Resultats - informe'!$G$16),1,0)</f>
        <v>1</v>
      </c>
      <c r="M1351" s="369" cm="1">
        <f t="array" ref="M1351">+_xlfn.IFS((C1351&gt;='Resultats - informe'!$D$26)*(C1351&lt;='Resultats - informe'!$E$26),0,(C1351&gt;='Resultats - informe'!$D$27)*(C1351&lt;='Resultats - informe'!$E$27),0,(C1351&gt;='Resultats - informe'!$D$28)*(C1351&lt;='Resultats - informe'!$E$28),0,(C1351&gt;='Resultats - informe'!$D$29)*(C1351&lt;='Resultats - informe'!$E$29),0,1,1)</f>
        <v>0</v>
      </c>
      <c r="N1351" s="366">
        <f>+VLOOKUP(D1351,'Resultats - informe'!$Y$18:$AG$42,'Introducció dades consum'!K1351+1,0)</f>
        <v>0</v>
      </c>
      <c r="O1351" s="370" cm="1">
        <f t="array" ref="O1351">+_xlfn.SWITCH(MONTH(C1351),1,1,2,1,3,1,4,2,5,2,6,3,7,3,8,3,9,3,10,2,11,2,12,1,2)</f>
        <v>1</v>
      </c>
      <c r="P1351" s="43"/>
      <c r="AS1351" s="10"/>
      <c r="AT1351" s="10"/>
      <c r="AU1351" s="10"/>
      <c r="AV1351" s="10"/>
      <c r="AW1351" s="10"/>
      <c r="AX1351" s="10"/>
      <c r="AY1351" s="10"/>
      <c r="AZ1351" s="10"/>
      <c r="BA1351" s="10"/>
      <c r="BB1351" s="10"/>
      <c r="BC1351" s="10"/>
      <c r="BD1351" s="10"/>
      <c r="BE1351" s="10"/>
      <c r="BF1351" s="10"/>
      <c r="BG1351" s="10"/>
      <c r="BH1351" s="10"/>
      <c r="BI1351" s="10"/>
      <c r="BJ1351" s="10"/>
      <c r="BK1351" s="10"/>
      <c r="BL1351" s="10"/>
      <c r="BM1351" s="10"/>
      <c r="BN1351" s="10"/>
      <c r="BO1351" s="10"/>
      <c r="BP1351" s="10"/>
      <c r="BQ1351" s="10"/>
      <c r="BR1351" s="10"/>
      <c r="BS1351" s="10"/>
      <c r="BT1351" s="10"/>
      <c r="BU1351" s="10"/>
    </row>
    <row r="1352" spans="1:73" ht="18" x14ac:dyDescent="0.35">
      <c r="A1352" s="43"/>
      <c r="C1352" s="393"/>
      <c r="E1352" s="394"/>
      <c r="F1352" s="394">
        <v>0</v>
      </c>
      <c r="G1352" s="394"/>
      <c r="H1352" s="8" t="s">
        <v>235</v>
      </c>
      <c r="I1352" s="368">
        <f t="shared" si="64"/>
        <v>0</v>
      </c>
      <c r="J1352" s="365">
        <f t="shared" si="63"/>
        <v>0</v>
      </c>
      <c r="K1352" s="369">
        <f t="shared" si="65"/>
        <v>6</v>
      </c>
      <c r="L1352" s="369">
        <f>+IF((C1352&gt;='Resultats - informe'!$E$16)*(C1352&lt;='Resultats - informe'!$G$16),1,0)</f>
        <v>1</v>
      </c>
      <c r="M1352" s="369" cm="1">
        <f t="array" ref="M1352">+_xlfn.IFS((C1352&gt;='Resultats - informe'!$D$26)*(C1352&lt;='Resultats - informe'!$E$26),0,(C1352&gt;='Resultats - informe'!$D$27)*(C1352&lt;='Resultats - informe'!$E$27),0,(C1352&gt;='Resultats - informe'!$D$28)*(C1352&lt;='Resultats - informe'!$E$28),0,(C1352&gt;='Resultats - informe'!$D$29)*(C1352&lt;='Resultats - informe'!$E$29),0,1,1)</f>
        <v>0</v>
      </c>
      <c r="N1352" s="366">
        <f>+VLOOKUP(D1352,'Resultats - informe'!$Y$18:$AG$42,'Introducció dades consum'!K1352+1,0)</f>
        <v>0</v>
      </c>
      <c r="O1352" s="370" cm="1">
        <f t="array" ref="O1352">+_xlfn.SWITCH(MONTH(C1352),1,1,2,1,3,1,4,2,5,2,6,3,7,3,8,3,9,3,10,2,11,2,12,1,2)</f>
        <v>1</v>
      </c>
      <c r="P1352" s="43"/>
      <c r="AS1352" s="10"/>
      <c r="AT1352" s="10"/>
      <c r="AU1352" s="10"/>
      <c r="AV1352" s="10"/>
      <c r="AW1352" s="10"/>
      <c r="AX1352" s="10"/>
      <c r="AY1352" s="10"/>
      <c r="AZ1352" s="10"/>
      <c r="BA1352" s="10"/>
      <c r="BB1352" s="10"/>
      <c r="BC1352" s="10"/>
      <c r="BD1352" s="10"/>
      <c r="BE1352" s="10"/>
      <c r="BF1352" s="10"/>
      <c r="BG1352" s="10"/>
      <c r="BH1352" s="10"/>
      <c r="BI1352" s="10"/>
      <c r="BJ1352" s="10"/>
      <c r="BK1352" s="10"/>
      <c r="BL1352" s="10"/>
      <c r="BM1352" s="10"/>
      <c r="BN1352" s="10"/>
      <c r="BO1352" s="10"/>
      <c r="BP1352" s="10"/>
      <c r="BQ1352" s="10"/>
      <c r="BR1352" s="10"/>
      <c r="BS1352" s="10"/>
      <c r="BT1352" s="10"/>
      <c r="BU1352" s="10"/>
    </row>
    <row r="1353" spans="1:73" ht="18" x14ac:dyDescent="0.35">
      <c r="A1353" s="43"/>
      <c r="C1353" s="393"/>
      <c r="E1353" s="394"/>
      <c r="F1353" s="394">
        <v>0</v>
      </c>
      <c r="G1353" s="394"/>
      <c r="H1353" s="8" t="s">
        <v>235</v>
      </c>
      <c r="I1353" s="368">
        <f t="shared" si="64"/>
        <v>0</v>
      </c>
      <c r="J1353" s="365">
        <f t="shared" si="63"/>
        <v>0</v>
      </c>
      <c r="K1353" s="369">
        <f t="shared" si="65"/>
        <v>6</v>
      </c>
      <c r="L1353" s="369">
        <f>+IF((C1353&gt;='Resultats - informe'!$E$16)*(C1353&lt;='Resultats - informe'!$G$16),1,0)</f>
        <v>1</v>
      </c>
      <c r="M1353" s="369" cm="1">
        <f t="array" ref="M1353">+_xlfn.IFS((C1353&gt;='Resultats - informe'!$D$26)*(C1353&lt;='Resultats - informe'!$E$26),0,(C1353&gt;='Resultats - informe'!$D$27)*(C1353&lt;='Resultats - informe'!$E$27),0,(C1353&gt;='Resultats - informe'!$D$28)*(C1353&lt;='Resultats - informe'!$E$28),0,(C1353&gt;='Resultats - informe'!$D$29)*(C1353&lt;='Resultats - informe'!$E$29),0,1,1)</f>
        <v>0</v>
      </c>
      <c r="N1353" s="366">
        <f>+VLOOKUP(D1353,'Resultats - informe'!$Y$18:$AG$42,'Introducció dades consum'!K1353+1,0)</f>
        <v>0</v>
      </c>
      <c r="O1353" s="370" cm="1">
        <f t="array" ref="O1353">+_xlfn.SWITCH(MONTH(C1353),1,1,2,1,3,1,4,2,5,2,6,3,7,3,8,3,9,3,10,2,11,2,12,1,2)</f>
        <v>1</v>
      </c>
      <c r="P1353" s="43"/>
      <c r="AS1353" s="10"/>
      <c r="AT1353" s="10"/>
      <c r="AU1353" s="10"/>
      <c r="AV1353" s="10"/>
      <c r="AW1353" s="10"/>
      <c r="AX1353" s="10"/>
      <c r="AY1353" s="10"/>
      <c r="AZ1353" s="10"/>
      <c r="BA1353" s="10"/>
      <c r="BB1353" s="10"/>
      <c r="BC1353" s="10"/>
      <c r="BD1353" s="10"/>
      <c r="BE1353" s="10"/>
      <c r="BF1353" s="10"/>
      <c r="BG1353" s="10"/>
      <c r="BH1353" s="10"/>
      <c r="BI1353" s="10"/>
      <c r="BJ1353" s="10"/>
      <c r="BK1353" s="10"/>
      <c r="BL1353" s="10"/>
      <c r="BM1353" s="10"/>
      <c r="BN1353" s="10"/>
      <c r="BO1353" s="10"/>
      <c r="BP1353" s="10"/>
      <c r="BQ1353" s="10"/>
      <c r="BR1353" s="10"/>
      <c r="BS1353" s="10"/>
      <c r="BT1353" s="10"/>
      <c r="BU1353" s="10"/>
    </row>
    <row r="1354" spans="1:73" ht="18" x14ac:dyDescent="0.35">
      <c r="A1354" s="43"/>
      <c r="C1354" s="393"/>
      <c r="E1354" s="394"/>
      <c r="F1354" s="394">
        <v>0</v>
      </c>
      <c r="G1354" s="394"/>
      <c r="H1354" s="8" t="s">
        <v>235</v>
      </c>
      <c r="I1354" s="368">
        <f t="shared" si="64"/>
        <v>0</v>
      </c>
      <c r="J1354" s="365">
        <f t="shared" si="63"/>
        <v>0</v>
      </c>
      <c r="K1354" s="369">
        <f t="shared" si="65"/>
        <v>6</v>
      </c>
      <c r="L1354" s="369">
        <f>+IF((C1354&gt;='Resultats - informe'!$E$16)*(C1354&lt;='Resultats - informe'!$G$16),1,0)</f>
        <v>1</v>
      </c>
      <c r="M1354" s="369" cm="1">
        <f t="array" ref="M1354">+_xlfn.IFS((C1354&gt;='Resultats - informe'!$D$26)*(C1354&lt;='Resultats - informe'!$E$26),0,(C1354&gt;='Resultats - informe'!$D$27)*(C1354&lt;='Resultats - informe'!$E$27),0,(C1354&gt;='Resultats - informe'!$D$28)*(C1354&lt;='Resultats - informe'!$E$28),0,(C1354&gt;='Resultats - informe'!$D$29)*(C1354&lt;='Resultats - informe'!$E$29),0,1,1)</f>
        <v>0</v>
      </c>
      <c r="N1354" s="366">
        <f>+VLOOKUP(D1354,'Resultats - informe'!$Y$18:$AG$42,'Introducció dades consum'!K1354+1,0)</f>
        <v>0</v>
      </c>
      <c r="O1354" s="370" cm="1">
        <f t="array" ref="O1354">+_xlfn.SWITCH(MONTH(C1354),1,1,2,1,3,1,4,2,5,2,6,3,7,3,8,3,9,3,10,2,11,2,12,1,2)</f>
        <v>1</v>
      </c>
      <c r="P1354" s="43"/>
      <c r="AS1354" s="10"/>
      <c r="AT1354" s="10"/>
      <c r="AU1354" s="10"/>
      <c r="AV1354" s="10"/>
      <c r="AW1354" s="10"/>
      <c r="AX1354" s="10"/>
      <c r="AY1354" s="10"/>
      <c r="AZ1354" s="10"/>
      <c r="BA1354" s="10"/>
      <c r="BB1354" s="10"/>
      <c r="BC1354" s="10"/>
      <c r="BD1354" s="10"/>
      <c r="BE1354" s="10"/>
      <c r="BF1354" s="10"/>
      <c r="BG1354" s="10"/>
      <c r="BH1354" s="10"/>
      <c r="BI1354" s="10"/>
      <c r="BJ1354" s="10"/>
      <c r="BK1354" s="10"/>
      <c r="BL1354" s="10"/>
      <c r="BM1354" s="10"/>
      <c r="BN1354" s="10"/>
      <c r="BO1354" s="10"/>
      <c r="BP1354" s="10"/>
      <c r="BQ1354" s="10"/>
      <c r="BR1354" s="10"/>
      <c r="BS1354" s="10"/>
      <c r="BT1354" s="10"/>
      <c r="BU1354" s="10"/>
    </row>
    <row r="1355" spans="1:73" ht="18" x14ac:dyDescent="0.35">
      <c r="A1355" s="43"/>
      <c r="C1355" s="393"/>
      <c r="E1355" s="394"/>
      <c r="F1355" s="394">
        <v>0</v>
      </c>
      <c r="G1355" s="394"/>
      <c r="H1355" s="8" t="s">
        <v>235</v>
      </c>
      <c r="I1355" s="368">
        <f t="shared" si="64"/>
        <v>0</v>
      </c>
      <c r="J1355" s="365">
        <f t="shared" si="63"/>
        <v>0</v>
      </c>
      <c r="K1355" s="369">
        <f t="shared" si="65"/>
        <v>6</v>
      </c>
      <c r="L1355" s="369">
        <f>+IF((C1355&gt;='Resultats - informe'!$E$16)*(C1355&lt;='Resultats - informe'!$G$16),1,0)</f>
        <v>1</v>
      </c>
      <c r="M1355" s="369" cm="1">
        <f t="array" ref="M1355">+_xlfn.IFS((C1355&gt;='Resultats - informe'!$D$26)*(C1355&lt;='Resultats - informe'!$E$26),0,(C1355&gt;='Resultats - informe'!$D$27)*(C1355&lt;='Resultats - informe'!$E$27),0,(C1355&gt;='Resultats - informe'!$D$28)*(C1355&lt;='Resultats - informe'!$E$28),0,(C1355&gt;='Resultats - informe'!$D$29)*(C1355&lt;='Resultats - informe'!$E$29),0,1,1)</f>
        <v>0</v>
      </c>
      <c r="N1355" s="366">
        <f>+VLOOKUP(D1355,'Resultats - informe'!$Y$18:$AG$42,'Introducció dades consum'!K1355+1,0)</f>
        <v>0</v>
      </c>
      <c r="O1355" s="370" cm="1">
        <f t="array" ref="O1355">+_xlfn.SWITCH(MONTH(C1355),1,1,2,1,3,1,4,2,5,2,6,3,7,3,8,3,9,3,10,2,11,2,12,1,2)</f>
        <v>1</v>
      </c>
      <c r="P1355" s="43"/>
      <c r="AS1355" s="10"/>
      <c r="AT1355" s="10"/>
      <c r="AU1355" s="10"/>
      <c r="AV1355" s="10"/>
      <c r="AW1355" s="10"/>
      <c r="AX1355" s="10"/>
      <c r="AY1355" s="10"/>
      <c r="AZ1355" s="10"/>
      <c r="BA1355" s="10"/>
      <c r="BB1355" s="10"/>
      <c r="BC1355" s="10"/>
      <c r="BD1355" s="10"/>
      <c r="BE1355" s="10"/>
      <c r="BF1355" s="10"/>
      <c r="BG1355" s="10"/>
      <c r="BH1355" s="10"/>
      <c r="BI1355" s="10"/>
      <c r="BJ1355" s="10"/>
      <c r="BK1355" s="10"/>
      <c r="BL1355" s="10"/>
      <c r="BM1355" s="10"/>
      <c r="BN1355" s="10"/>
      <c r="BO1355" s="10"/>
      <c r="BP1355" s="10"/>
      <c r="BQ1355" s="10"/>
      <c r="BR1355" s="10"/>
      <c r="BS1355" s="10"/>
      <c r="BT1355" s="10"/>
      <c r="BU1355" s="10"/>
    </row>
    <row r="1356" spans="1:73" ht="18" x14ac:dyDescent="0.35">
      <c r="A1356" s="43"/>
      <c r="C1356" s="393"/>
      <c r="E1356" s="394"/>
      <c r="F1356" s="394">
        <v>0.185</v>
      </c>
      <c r="G1356" s="394"/>
      <c r="H1356" s="8" t="s">
        <v>235</v>
      </c>
      <c r="I1356" s="368">
        <f t="shared" si="64"/>
        <v>0</v>
      </c>
      <c r="J1356" s="365">
        <f t="shared" si="63"/>
        <v>0</v>
      </c>
      <c r="K1356" s="369">
        <f t="shared" si="65"/>
        <v>6</v>
      </c>
      <c r="L1356" s="369">
        <f>+IF((C1356&gt;='Resultats - informe'!$E$16)*(C1356&lt;='Resultats - informe'!$G$16),1,0)</f>
        <v>1</v>
      </c>
      <c r="M1356" s="369" cm="1">
        <f t="array" ref="M1356">+_xlfn.IFS((C1356&gt;='Resultats - informe'!$D$26)*(C1356&lt;='Resultats - informe'!$E$26),0,(C1356&gt;='Resultats - informe'!$D$27)*(C1356&lt;='Resultats - informe'!$E$27),0,(C1356&gt;='Resultats - informe'!$D$28)*(C1356&lt;='Resultats - informe'!$E$28),0,(C1356&gt;='Resultats - informe'!$D$29)*(C1356&lt;='Resultats - informe'!$E$29),0,1,1)</f>
        <v>0</v>
      </c>
      <c r="N1356" s="366">
        <f>+VLOOKUP(D1356,'Resultats - informe'!$Y$18:$AG$42,'Introducció dades consum'!K1356+1,0)</f>
        <v>0</v>
      </c>
      <c r="O1356" s="370" cm="1">
        <f t="array" ref="O1356">+_xlfn.SWITCH(MONTH(C1356),1,1,2,1,3,1,4,2,5,2,6,3,7,3,8,3,9,3,10,2,11,2,12,1,2)</f>
        <v>1</v>
      </c>
      <c r="P1356" s="43"/>
      <c r="AS1356" s="10"/>
      <c r="AT1356" s="10"/>
      <c r="AU1356" s="10"/>
      <c r="AV1356" s="10"/>
      <c r="AW1356" s="10"/>
      <c r="AX1356" s="10"/>
      <c r="AY1356" s="10"/>
      <c r="AZ1356" s="10"/>
      <c r="BA1356" s="10"/>
      <c r="BB1356" s="10"/>
      <c r="BC1356" s="10"/>
      <c r="BD1356" s="10"/>
      <c r="BE1356" s="10"/>
      <c r="BF1356" s="10"/>
      <c r="BG1356" s="10"/>
      <c r="BH1356" s="10"/>
      <c r="BI1356" s="10"/>
      <c r="BJ1356" s="10"/>
      <c r="BK1356" s="10"/>
      <c r="BL1356" s="10"/>
      <c r="BM1356" s="10"/>
      <c r="BN1356" s="10"/>
      <c r="BO1356" s="10"/>
      <c r="BP1356" s="10"/>
      <c r="BQ1356" s="10"/>
      <c r="BR1356" s="10"/>
      <c r="BS1356" s="10"/>
      <c r="BT1356" s="10"/>
      <c r="BU1356" s="10"/>
    </row>
    <row r="1357" spans="1:73" ht="18" x14ac:dyDescent="0.35">
      <c r="A1357" s="43"/>
      <c r="C1357" s="393"/>
      <c r="E1357" s="394"/>
      <c r="F1357" s="394">
        <v>0</v>
      </c>
      <c r="G1357" s="394"/>
      <c r="H1357" s="8" t="s">
        <v>235</v>
      </c>
      <c r="I1357" s="368">
        <f t="shared" si="64"/>
        <v>0</v>
      </c>
      <c r="J1357" s="365">
        <f t="shared" si="63"/>
        <v>0</v>
      </c>
      <c r="K1357" s="369">
        <f t="shared" si="65"/>
        <v>6</v>
      </c>
      <c r="L1357" s="369">
        <f>+IF((C1357&gt;='Resultats - informe'!$E$16)*(C1357&lt;='Resultats - informe'!$G$16),1,0)</f>
        <v>1</v>
      </c>
      <c r="M1357" s="369" cm="1">
        <f t="array" ref="M1357">+_xlfn.IFS((C1357&gt;='Resultats - informe'!$D$26)*(C1357&lt;='Resultats - informe'!$E$26),0,(C1357&gt;='Resultats - informe'!$D$27)*(C1357&lt;='Resultats - informe'!$E$27),0,(C1357&gt;='Resultats - informe'!$D$28)*(C1357&lt;='Resultats - informe'!$E$28),0,(C1357&gt;='Resultats - informe'!$D$29)*(C1357&lt;='Resultats - informe'!$E$29),0,1,1)</f>
        <v>0</v>
      </c>
      <c r="N1357" s="366">
        <f>+VLOOKUP(D1357,'Resultats - informe'!$Y$18:$AG$42,'Introducció dades consum'!K1357+1,0)</f>
        <v>0</v>
      </c>
      <c r="O1357" s="370" cm="1">
        <f t="array" ref="O1357">+_xlfn.SWITCH(MONTH(C1357),1,1,2,1,3,1,4,2,5,2,6,3,7,3,8,3,9,3,10,2,11,2,12,1,2)</f>
        <v>1</v>
      </c>
      <c r="P1357" s="43"/>
      <c r="AS1357" s="10"/>
      <c r="AT1357" s="10"/>
      <c r="AU1357" s="10"/>
      <c r="AV1357" s="10"/>
      <c r="AW1357" s="10"/>
      <c r="AX1357" s="10"/>
      <c r="AY1357" s="10"/>
      <c r="AZ1357" s="10"/>
      <c r="BA1357" s="10"/>
      <c r="BB1357" s="10"/>
      <c r="BC1357" s="10"/>
      <c r="BD1357" s="10"/>
      <c r="BE1357" s="10"/>
      <c r="BF1357" s="10"/>
      <c r="BG1357" s="10"/>
      <c r="BH1357" s="10"/>
      <c r="BI1357" s="10"/>
      <c r="BJ1357" s="10"/>
      <c r="BK1357" s="10"/>
      <c r="BL1357" s="10"/>
      <c r="BM1357" s="10"/>
      <c r="BN1357" s="10"/>
      <c r="BO1357" s="10"/>
      <c r="BP1357" s="10"/>
      <c r="BQ1357" s="10"/>
      <c r="BR1357" s="10"/>
      <c r="BS1357" s="10"/>
      <c r="BT1357" s="10"/>
      <c r="BU1357" s="10"/>
    </row>
    <row r="1358" spans="1:73" ht="18" x14ac:dyDescent="0.35">
      <c r="A1358" s="43"/>
      <c r="C1358" s="393"/>
      <c r="E1358" s="394"/>
      <c r="F1358" s="394">
        <v>0.40699999999999997</v>
      </c>
      <c r="G1358" s="394"/>
      <c r="H1358" s="8" t="s">
        <v>235</v>
      </c>
      <c r="I1358" s="368">
        <f t="shared" si="64"/>
        <v>0</v>
      </c>
      <c r="J1358" s="365">
        <f t="shared" si="63"/>
        <v>0</v>
      </c>
      <c r="K1358" s="369">
        <f t="shared" si="65"/>
        <v>6</v>
      </c>
      <c r="L1358" s="369">
        <f>+IF((C1358&gt;='Resultats - informe'!$E$16)*(C1358&lt;='Resultats - informe'!$G$16),1,0)</f>
        <v>1</v>
      </c>
      <c r="M1358" s="369" cm="1">
        <f t="array" ref="M1358">+_xlfn.IFS((C1358&gt;='Resultats - informe'!$D$26)*(C1358&lt;='Resultats - informe'!$E$26),0,(C1358&gt;='Resultats - informe'!$D$27)*(C1358&lt;='Resultats - informe'!$E$27),0,(C1358&gt;='Resultats - informe'!$D$28)*(C1358&lt;='Resultats - informe'!$E$28),0,(C1358&gt;='Resultats - informe'!$D$29)*(C1358&lt;='Resultats - informe'!$E$29),0,1,1)</f>
        <v>0</v>
      </c>
      <c r="N1358" s="366">
        <f>+VLOOKUP(D1358,'Resultats - informe'!$Y$18:$AG$42,'Introducció dades consum'!K1358+1,0)</f>
        <v>0</v>
      </c>
      <c r="O1358" s="370" cm="1">
        <f t="array" ref="O1358">+_xlfn.SWITCH(MONTH(C1358),1,1,2,1,3,1,4,2,5,2,6,3,7,3,8,3,9,3,10,2,11,2,12,1,2)</f>
        <v>1</v>
      </c>
      <c r="P1358" s="43"/>
      <c r="AS1358" s="10"/>
      <c r="AT1358" s="10"/>
      <c r="AU1358" s="10"/>
      <c r="AV1358" s="10"/>
      <c r="AW1358" s="10"/>
      <c r="AX1358" s="10"/>
      <c r="AY1358" s="10"/>
      <c r="AZ1358" s="10"/>
      <c r="BA1358" s="10"/>
      <c r="BB1358" s="10"/>
      <c r="BC1358" s="10"/>
      <c r="BD1358" s="10"/>
      <c r="BE1358" s="10"/>
      <c r="BF1358" s="10"/>
      <c r="BG1358" s="10"/>
      <c r="BH1358" s="10"/>
      <c r="BI1358" s="10"/>
      <c r="BJ1358" s="10"/>
      <c r="BK1358" s="10"/>
      <c r="BL1358" s="10"/>
      <c r="BM1358" s="10"/>
      <c r="BN1358" s="10"/>
      <c r="BO1358" s="10"/>
      <c r="BP1358" s="10"/>
      <c r="BQ1358" s="10"/>
      <c r="BR1358" s="10"/>
      <c r="BS1358" s="10"/>
      <c r="BT1358" s="10"/>
      <c r="BU1358" s="10"/>
    </row>
    <row r="1359" spans="1:73" ht="18" x14ac:dyDescent="0.35">
      <c r="A1359" s="43"/>
      <c r="C1359" s="393"/>
      <c r="E1359" s="394"/>
      <c r="F1359" s="394">
        <v>0.23300000000000001</v>
      </c>
      <c r="G1359" s="394"/>
      <c r="H1359" s="8" t="s">
        <v>235</v>
      </c>
      <c r="I1359" s="368">
        <f t="shared" si="64"/>
        <v>0</v>
      </c>
      <c r="J1359" s="365">
        <f t="shared" si="63"/>
        <v>0</v>
      </c>
      <c r="K1359" s="369">
        <f t="shared" si="65"/>
        <v>6</v>
      </c>
      <c r="L1359" s="369">
        <f>+IF((C1359&gt;='Resultats - informe'!$E$16)*(C1359&lt;='Resultats - informe'!$G$16),1,0)</f>
        <v>1</v>
      </c>
      <c r="M1359" s="369" cm="1">
        <f t="array" ref="M1359">+_xlfn.IFS((C1359&gt;='Resultats - informe'!$D$26)*(C1359&lt;='Resultats - informe'!$E$26),0,(C1359&gt;='Resultats - informe'!$D$27)*(C1359&lt;='Resultats - informe'!$E$27),0,(C1359&gt;='Resultats - informe'!$D$28)*(C1359&lt;='Resultats - informe'!$E$28),0,(C1359&gt;='Resultats - informe'!$D$29)*(C1359&lt;='Resultats - informe'!$E$29),0,1,1)</f>
        <v>0</v>
      </c>
      <c r="N1359" s="366">
        <f>+VLOOKUP(D1359,'Resultats - informe'!$Y$18:$AG$42,'Introducció dades consum'!K1359+1,0)</f>
        <v>0</v>
      </c>
      <c r="O1359" s="370" cm="1">
        <f t="array" ref="O1359">+_xlfn.SWITCH(MONTH(C1359),1,1,2,1,3,1,4,2,5,2,6,3,7,3,8,3,9,3,10,2,11,2,12,1,2)</f>
        <v>1</v>
      </c>
      <c r="P1359" s="43"/>
      <c r="AS1359" s="10"/>
      <c r="AT1359" s="10"/>
      <c r="AU1359" s="10"/>
      <c r="AV1359" s="10"/>
      <c r="AW1359" s="10"/>
      <c r="AX1359" s="10"/>
      <c r="AY1359" s="10"/>
      <c r="AZ1359" s="10"/>
      <c r="BA1359" s="10"/>
      <c r="BB1359" s="10"/>
      <c r="BC1359" s="10"/>
      <c r="BD1359" s="10"/>
      <c r="BE1359" s="10"/>
      <c r="BF1359" s="10"/>
      <c r="BG1359" s="10"/>
      <c r="BH1359" s="10"/>
      <c r="BI1359" s="10"/>
      <c r="BJ1359" s="10"/>
      <c r="BK1359" s="10"/>
      <c r="BL1359" s="10"/>
      <c r="BM1359" s="10"/>
      <c r="BN1359" s="10"/>
      <c r="BO1359" s="10"/>
      <c r="BP1359" s="10"/>
      <c r="BQ1359" s="10"/>
      <c r="BR1359" s="10"/>
      <c r="BS1359" s="10"/>
      <c r="BT1359" s="10"/>
      <c r="BU1359" s="10"/>
    </row>
    <row r="1360" spans="1:73" ht="18" x14ac:dyDescent="0.35">
      <c r="A1360" s="43"/>
      <c r="C1360" s="393"/>
      <c r="E1360" s="394"/>
      <c r="F1360" s="394">
        <v>1.0880000000000001</v>
      </c>
      <c r="G1360" s="394"/>
      <c r="H1360" s="8" t="s">
        <v>235</v>
      </c>
      <c r="I1360" s="368">
        <f t="shared" si="64"/>
        <v>0</v>
      </c>
      <c r="J1360" s="365">
        <f t="shared" si="63"/>
        <v>0</v>
      </c>
      <c r="K1360" s="369">
        <f t="shared" si="65"/>
        <v>6</v>
      </c>
      <c r="L1360" s="369">
        <f>+IF((C1360&gt;='Resultats - informe'!$E$16)*(C1360&lt;='Resultats - informe'!$G$16),1,0)</f>
        <v>1</v>
      </c>
      <c r="M1360" s="369" cm="1">
        <f t="array" ref="M1360">+_xlfn.IFS((C1360&gt;='Resultats - informe'!$D$26)*(C1360&lt;='Resultats - informe'!$E$26),0,(C1360&gt;='Resultats - informe'!$D$27)*(C1360&lt;='Resultats - informe'!$E$27),0,(C1360&gt;='Resultats - informe'!$D$28)*(C1360&lt;='Resultats - informe'!$E$28),0,(C1360&gt;='Resultats - informe'!$D$29)*(C1360&lt;='Resultats - informe'!$E$29),0,1,1)</f>
        <v>0</v>
      </c>
      <c r="N1360" s="366">
        <f>+VLOOKUP(D1360,'Resultats - informe'!$Y$18:$AG$42,'Introducció dades consum'!K1360+1,0)</f>
        <v>0</v>
      </c>
      <c r="O1360" s="370" cm="1">
        <f t="array" ref="O1360">+_xlfn.SWITCH(MONTH(C1360),1,1,2,1,3,1,4,2,5,2,6,3,7,3,8,3,9,3,10,2,11,2,12,1,2)</f>
        <v>1</v>
      </c>
      <c r="P1360" s="43"/>
      <c r="AS1360" s="10"/>
      <c r="AT1360" s="10"/>
      <c r="AU1360" s="10"/>
      <c r="AV1360" s="10"/>
      <c r="AW1360" s="10"/>
      <c r="AX1360" s="10"/>
      <c r="AY1360" s="10"/>
      <c r="AZ1360" s="10"/>
      <c r="BA1360" s="10"/>
      <c r="BB1360" s="10"/>
      <c r="BC1360" s="10"/>
      <c r="BD1360" s="10"/>
      <c r="BE1360" s="10"/>
      <c r="BF1360" s="10"/>
      <c r="BG1360" s="10"/>
      <c r="BH1360" s="10"/>
      <c r="BI1360" s="10"/>
      <c r="BJ1360" s="10"/>
      <c r="BK1360" s="10"/>
      <c r="BL1360" s="10"/>
      <c r="BM1360" s="10"/>
      <c r="BN1360" s="10"/>
      <c r="BO1360" s="10"/>
      <c r="BP1360" s="10"/>
      <c r="BQ1360" s="10"/>
      <c r="BR1360" s="10"/>
      <c r="BS1360" s="10"/>
      <c r="BT1360" s="10"/>
      <c r="BU1360" s="10"/>
    </row>
    <row r="1361" spans="1:73" ht="18" x14ac:dyDescent="0.35">
      <c r="A1361" s="43"/>
      <c r="C1361" s="393"/>
      <c r="E1361" s="394"/>
      <c r="F1361" s="394">
        <v>1.6859999999999999</v>
      </c>
      <c r="G1361" s="394"/>
      <c r="H1361" s="8" t="s">
        <v>235</v>
      </c>
      <c r="I1361" s="368">
        <f t="shared" si="64"/>
        <v>0</v>
      </c>
      <c r="J1361" s="365">
        <f t="shared" si="63"/>
        <v>0</v>
      </c>
      <c r="K1361" s="369">
        <f t="shared" si="65"/>
        <v>6</v>
      </c>
      <c r="L1361" s="369">
        <f>+IF((C1361&gt;='Resultats - informe'!$E$16)*(C1361&lt;='Resultats - informe'!$G$16),1,0)</f>
        <v>1</v>
      </c>
      <c r="M1361" s="369" cm="1">
        <f t="array" ref="M1361">+_xlfn.IFS((C1361&gt;='Resultats - informe'!$D$26)*(C1361&lt;='Resultats - informe'!$E$26),0,(C1361&gt;='Resultats - informe'!$D$27)*(C1361&lt;='Resultats - informe'!$E$27),0,(C1361&gt;='Resultats - informe'!$D$28)*(C1361&lt;='Resultats - informe'!$E$28),0,(C1361&gt;='Resultats - informe'!$D$29)*(C1361&lt;='Resultats - informe'!$E$29),0,1,1)</f>
        <v>0</v>
      </c>
      <c r="N1361" s="366">
        <f>+VLOOKUP(D1361,'Resultats - informe'!$Y$18:$AG$42,'Introducció dades consum'!K1361+1,0)</f>
        <v>0</v>
      </c>
      <c r="O1361" s="370" cm="1">
        <f t="array" ref="O1361">+_xlfn.SWITCH(MONTH(C1361),1,1,2,1,3,1,4,2,5,2,6,3,7,3,8,3,9,3,10,2,11,2,12,1,2)</f>
        <v>1</v>
      </c>
      <c r="P1361" s="43"/>
      <c r="AS1361" s="10"/>
      <c r="AT1361" s="10"/>
      <c r="AU1361" s="10"/>
      <c r="AV1361" s="10"/>
      <c r="AW1361" s="10"/>
      <c r="AX1361" s="10"/>
      <c r="AY1361" s="10"/>
      <c r="AZ1361" s="10"/>
      <c r="BA1361" s="10"/>
      <c r="BB1361" s="10"/>
      <c r="BC1361" s="10"/>
      <c r="BD1361" s="10"/>
      <c r="BE1361" s="10"/>
      <c r="BF1361" s="10"/>
      <c r="BG1361" s="10"/>
      <c r="BH1361" s="10"/>
      <c r="BI1361" s="10"/>
      <c r="BJ1361" s="10"/>
      <c r="BK1361" s="10"/>
      <c r="BL1361" s="10"/>
      <c r="BM1361" s="10"/>
      <c r="BN1361" s="10"/>
      <c r="BO1361" s="10"/>
      <c r="BP1361" s="10"/>
      <c r="BQ1361" s="10"/>
      <c r="BR1361" s="10"/>
      <c r="BS1361" s="10"/>
      <c r="BT1361" s="10"/>
      <c r="BU1361" s="10"/>
    </row>
    <row r="1362" spans="1:73" ht="18" x14ac:dyDescent="0.35">
      <c r="A1362" s="43"/>
      <c r="C1362" s="393"/>
      <c r="E1362" s="394"/>
      <c r="F1362" s="394">
        <v>1.1879999999999999</v>
      </c>
      <c r="G1362" s="394"/>
      <c r="H1362" s="8" t="s">
        <v>235</v>
      </c>
      <c r="I1362" s="368">
        <f t="shared" si="64"/>
        <v>0</v>
      </c>
      <c r="J1362" s="365">
        <f t="shared" si="63"/>
        <v>0</v>
      </c>
      <c r="K1362" s="369">
        <f t="shared" si="65"/>
        <v>6</v>
      </c>
      <c r="L1362" s="369">
        <f>+IF((C1362&gt;='Resultats - informe'!$E$16)*(C1362&lt;='Resultats - informe'!$G$16),1,0)</f>
        <v>1</v>
      </c>
      <c r="M1362" s="369" cm="1">
        <f t="array" ref="M1362">+_xlfn.IFS((C1362&gt;='Resultats - informe'!$D$26)*(C1362&lt;='Resultats - informe'!$E$26),0,(C1362&gt;='Resultats - informe'!$D$27)*(C1362&lt;='Resultats - informe'!$E$27),0,(C1362&gt;='Resultats - informe'!$D$28)*(C1362&lt;='Resultats - informe'!$E$28),0,(C1362&gt;='Resultats - informe'!$D$29)*(C1362&lt;='Resultats - informe'!$E$29),0,1,1)</f>
        <v>0</v>
      </c>
      <c r="N1362" s="366">
        <f>+VLOOKUP(D1362,'Resultats - informe'!$Y$18:$AG$42,'Introducció dades consum'!K1362+1,0)</f>
        <v>0</v>
      </c>
      <c r="O1362" s="370" cm="1">
        <f t="array" ref="O1362">+_xlfn.SWITCH(MONTH(C1362),1,1,2,1,3,1,4,2,5,2,6,3,7,3,8,3,9,3,10,2,11,2,12,1,2)</f>
        <v>1</v>
      </c>
      <c r="P1362" s="43"/>
      <c r="AS1362" s="10"/>
      <c r="AT1362" s="10"/>
      <c r="AU1362" s="10"/>
      <c r="AV1362" s="10"/>
      <c r="AW1362" s="10"/>
      <c r="AX1362" s="10"/>
      <c r="AY1362" s="10"/>
      <c r="AZ1362" s="10"/>
      <c r="BA1362" s="10"/>
      <c r="BB1362" s="10"/>
      <c r="BC1362" s="10"/>
      <c r="BD1362" s="10"/>
      <c r="BE1362" s="10"/>
      <c r="BF1362" s="10"/>
      <c r="BG1362" s="10"/>
      <c r="BH1362" s="10"/>
      <c r="BI1362" s="10"/>
      <c r="BJ1362" s="10"/>
      <c r="BK1362" s="10"/>
      <c r="BL1362" s="10"/>
      <c r="BM1362" s="10"/>
      <c r="BN1362" s="10"/>
      <c r="BO1362" s="10"/>
      <c r="BP1362" s="10"/>
      <c r="BQ1362" s="10"/>
      <c r="BR1362" s="10"/>
      <c r="BS1362" s="10"/>
      <c r="BT1362" s="10"/>
      <c r="BU1362" s="10"/>
    </row>
    <row r="1363" spans="1:73" ht="18" x14ac:dyDescent="0.35">
      <c r="A1363" s="43"/>
      <c r="C1363" s="393"/>
      <c r="E1363" s="394"/>
      <c r="F1363" s="394">
        <v>0.31900000000000001</v>
      </c>
      <c r="G1363" s="394"/>
      <c r="H1363" s="8" t="s">
        <v>235</v>
      </c>
      <c r="I1363" s="368">
        <f t="shared" si="64"/>
        <v>0</v>
      </c>
      <c r="J1363" s="365">
        <f t="shared" si="63"/>
        <v>0</v>
      </c>
      <c r="K1363" s="369">
        <f t="shared" si="65"/>
        <v>6</v>
      </c>
      <c r="L1363" s="369">
        <f>+IF((C1363&gt;='Resultats - informe'!$E$16)*(C1363&lt;='Resultats - informe'!$G$16),1,0)</f>
        <v>1</v>
      </c>
      <c r="M1363" s="369" cm="1">
        <f t="array" ref="M1363">+_xlfn.IFS((C1363&gt;='Resultats - informe'!$D$26)*(C1363&lt;='Resultats - informe'!$E$26),0,(C1363&gt;='Resultats - informe'!$D$27)*(C1363&lt;='Resultats - informe'!$E$27),0,(C1363&gt;='Resultats - informe'!$D$28)*(C1363&lt;='Resultats - informe'!$E$28),0,(C1363&gt;='Resultats - informe'!$D$29)*(C1363&lt;='Resultats - informe'!$E$29),0,1,1)</f>
        <v>0</v>
      </c>
      <c r="N1363" s="366">
        <f>+VLOOKUP(D1363,'Resultats - informe'!$Y$18:$AG$42,'Introducció dades consum'!K1363+1,0)</f>
        <v>0</v>
      </c>
      <c r="O1363" s="370" cm="1">
        <f t="array" ref="O1363">+_xlfn.SWITCH(MONTH(C1363),1,1,2,1,3,1,4,2,5,2,6,3,7,3,8,3,9,3,10,2,11,2,12,1,2)</f>
        <v>1</v>
      </c>
      <c r="P1363" s="43"/>
      <c r="AS1363" s="10"/>
      <c r="AT1363" s="10"/>
      <c r="AU1363" s="10"/>
      <c r="AV1363" s="10"/>
      <c r="AW1363" s="10"/>
      <c r="AX1363" s="10"/>
      <c r="AY1363" s="10"/>
      <c r="AZ1363" s="10"/>
      <c r="BA1363" s="10"/>
      <c r="BB1363" s="10"/>
      <c r="BC1363" s="10"/>
      <c r="BD1363" s="10"/>
      <c r="BE1363" s="10"/>
      <c r="BF1363" s="10"/>
      <c r="BG1363" s="10"/>
      <c r="BH1363" s="10"/>
      <c r="BI1363" s="10"/>
      <c r="BJ1363" s="10"/>
      <c r="BK1363" s="10"/>
      <c r="BL1363" s="10"/>
      <c r="BM1363" s="10"/>
      <c r="BN1363" s="10"/>
      <c r="BO1363" s="10"/>
      <c r="BP1363" s="10"/>
      <c r="BQ1363" s="10"/>
      <c r="BR1363" s="10"/>
      <c r="BS1363" s="10"/>
      <c r="BT1363" s="10"/>
      <c r="BU1363" s="10"/>
    </row>
    <row r="1364" spans="1:73" ht="18" x14ac:dyDescent="0.35">
      <c r="A1364" s="43"/>
      <c r="C1364" s="393"/>
      <c r="E1364" s="394"/>
      <c r="F1364" s="394">
        <v>0.81</v>
      </c>
      <c r="G1364" s="394"/>
      <c r="H1364" s="8" t="s">
        <v>235</v>
      </c>
      <c r="I1364" s="368">
        <f t="shared" si="64"/>
        <v>0</v>
      </c>
      <c r="J1364" s="365">
        <f t="shared" si="63"/>
        <v>0</v>
      </c>
      <c r="K1364" s="369">
        <f t="shared" si="65"/>
        <v>6</v>
      </c>
      <c r="L1364" s="369">
        <f>+IF((C1364&gt;='Resultats - informe'!$E$16)*(C1364&lt;='Resultats - informe'!$G$16),1,0)</f>
        <v>1</v>
      </c>
      <c r="M1364" s="369" cm="1">
        <f t="array" ref="M1364">+_xlfn.IFS((C1364&gt;='Resultats - informe'!$D$26)*(C1364&lt;='Resultats - informe'!$E$26),0,(C1364&gt;='Resultats - informe'!$D$27)*(C1364&lt;='Resultats - informe'!$E$27),0,(C1364&gt;='Resultats - informe'!$D$28)*(C1364&lt;='Resultats - informe'!$E$28),0,(C1364&gt;='Resultats - informe'!$D$29)*(C1364&lt;='Resultats - informe'!$E$29),0,1,1)</f>
        <v>0</v>
      </c>
      <c r="N1364" s="366">
        <f>+VLOOKUP(D1364,'Resultats - informe'!$Y$18:$AG$42,'Introducció dades consum'!K1364+1,0)</f>
        <v>0</v>
      </c>
      <c r="O1364" s="370" cm="1">
        <f t="array" ref="O1364">+_xlfn.SWITCH(MONTH(C1364),1,1,2,1,3,1,4,2,5,2,6,3,7,3,8,3,9,3,10,2,11,2,12,1,2)</f>
        <v>1</v>
      </c>
      <c r="P1364" s="43"/>
      <c r="AS1364" s="10"/>
      <c r="AT1364" s="10"/>
      <c r="AU1364" s="10"/>
      <c r="AV1364" s="10"/>
      <c r="AW1364" s="10"/>
      <c r="AX1364" s="10"/>
      <c r="AY1364" s="10"/>
      <c r="AZ1364" s="10"/>
      <c r="BA1364" s="10"/>
      <c r="BB1364" s="10"/>
      <c r="BC1364" s="10"/>
      <c r="BD1364" s="10"/>
      <c r="BE1364" s="10"/>
      <c r="BF1364" s="10"/>
      <c r="BG1364" s="10"/>
      <c r="BH1364" s="10"/>
      <c r="BI1364" s="10"/>
      <c r="BJ1364" s="10"/>
      <c r="BK1364" s="10"/>
      <c r="BL1364" s="10"/>
      <c r="BM1364" s="10"/>
      <c r="BN1364" s="10"/>
      <c r="BO1364" s="10"/>
      <c r="BP1364" s="10"/>
      <c r="BQ1364" s="10"/>
      <c r="BR1364" s="10"/>
      <c r="BS1364" s="10"/>
      <c r="BT1364" s="10"/>
      <c r="BU1364" s="10"/>
    </row>
    <row r="1365" spans="1:73" ht="18" x14ac:dyDescent="0.35">
      <c r="A1365" s="43"/>
      <c r="C1365" s="393"/>
      <c r="E1365" s="394"/>
      <c r="F1365" s="394">
        <v>0.09</v>
      </c>
      <c r="G1365" s="394"/>
      <c r="H1365" s="8" t="s">
        <v>235</v>
      </c>
      <c r="I1365" s="368">
        <f t="shared" si="64"/>
        <v>0</v>
      </c>
      <c r="J1365" s="365">
        <f t="shared" si="63"/>
        <v>0</v>
      </c>
      <c r="K1365" s="369">
        <f t="shared" si="65"/>
        <v>6</v>
      </c>
      <c r="L1365" s="369">
        <f>+IF((C1365&gt;='Resultats - informe'!$E$16)*(C1365&lt;='Resultats - informe'!$G$16),1,0)</f>
        <v>1</v>
      </c>
      <c r="M1365" s="369" cm="1">
        <f t="array" ref="M1365">+_xlfn.IFS((C1365&gt;='Resultats - informe'!$D$26)*(C1365&lt;='Resultats - informe'!$E$26),0,(C1365&gt;='Resultats - informe'!$D$27)*(C1365&lt;='Resultats - informe'!$E$27),0,(C1365&gt;='Resultats - informe'!$D$28)*(C1365&lt;='Resultats - informe'!$E$28),0,(C1365&gt;='Resultats - informe'!$D$29)*(C1365&lt;='Resultats - informe'!$E$29),0,1,1)</f>
        <v>0</v>
      </c>
      <c r="N1365" s="366">
        <f>+VLOOKUP(D1365,'Resultats - informe'!$Y$18:$AG$42,'Introducció dades consum'!K1365+1,0)</f>
        <v>0</v>
      </c>
      <c r="O1365" s="370" cm="1">
        <f t="array" ref="O1365">+_xlfn.SWITCH(MONTH(C1365),1,1,2,1,3,1,4,2,5,2,6,3,7,3,8,3,9,3,10,2,11,2,12,1,2)</f>
        <v>1</v>
      </c>
      <c r="P1365" s="43"/>
      <c r="AS1365" s="10"/>
      <c r="AT1365" s="10"/>
      <c r="AU1365" s="10"/>
      <c r="AV1365" s="10"/>
      <c r="AW1365" s="10"/>
      <c r="AX1365" s="10"/>
      <c r="AY1365" s="10"/>
      <c r="AZ1365" s="10"/>
      <c r="BA1365" s="10"/>
      <c r="BB1365" s="10"/>
      <c r="BC1365" s="10"/>
      <c r="BD1365" s="10"/>
      <c r="BE1365" s="10"/>
      <c r="BF1365" s="10"/>
      <c r="BG1365" s="10"/>
      <c r="BH1365" s="10"/>
      <c r="BI1365" s="10"/>
      <c r="BJ1365" s="10"/>
      <c r="BK1365" s="10"/>
      <c r="BL1365" s="10"/>
      <c r="BM1365" s="10"/>
      <c r="BN1365" s="10"/>
      <c r="BO1365" s="10"/>
      <c r="BP1365" s="10"/>
      <c r="BQ1365" s="10"/>
      <c r="BR1365" s="10"/>
      <c r="BS1365" s="10"/>
      <c r="BT1365" s="10"/>
      <c r="BU1365" s="10"/>
    </row>
    <row r="1366" spans="1:73" ht="18" x14ac:dyDescent="0.35">
      <c r="A1366" s="43"/>
      <c r="C1366" s="393"/>
      <c r="E1366" s="394"/>
      <c r="F1366" s="394">
        <v>1.742</v>
      </c>
      <c r="G1366" s="394"/>
      <c r="H1366" s="8" t="s">
        <v>61</v>
      </c>
      <c r="I1366" s="368">
        <f t="shared" si="64"/>
        <v>0</v>
      </c>
      <c r="J1366" s="365">
        <f t="shared" si="63"/>
        <v>0</v>
      </c>
      <c r="K1366" s="369">
        <f t="shared" si="65"/>
        <v>6</v>
      </c>
      <c r="L1366" s="369">
        <f>+IF((C1366&gt;='Resultats - informe'!$E$16)*(C1366&lt;='Resultats - informe'!$G$16),1,0)</f>
        <v>1</v>
      </c>
      <c r="M1366" s="369" cm="1">
        <f t="array" ref="M1366">+_xlfn.IFS((C1366&gt;='Resultats - informe'!$D$26)*(C1366&lt;='Resultats - informe'!$E$26),0,(C1366&gt;='Resultats - informe'!$D$27)*(C1366&lt;='Resultats - informe'!$E$27),0,(C1366&gt;='Resultats - informe'!$D$28)*(C1366&lt;='Resultats - informe'!$E$28),0,(C1366&gt;='Resultats - informe'!$D$29)*(C1366&lt;='Resultats - informe'!$E$29),0,1,1)</f>
        <v>0</v>
      </c>
      <c r="N1366" s="366">
        <f>+VLOOKUP(D1366,'Resultats - informe'!$Y$18:$AG$42,'Introducció dades consum'!K1366+1,0)</f>
        <v>0</v>
      </c>
      <c r="O1366" s="370" cm="1">
        <f t="array" ref="O1366">+_xlfn.SWITCH(MONTH(C1366),1,1,2,1,3,1,4,2,5,2,6,3,7,3,8,3,9,3,10,2,11,2,12,1,2)</f>
        <v>1</v>
      </c>
      <c r="P1366" s="43"/>
      <c r="AS1366" s="10"/>
      <c r="AT1366" s="10"/>
      <c r="AU1366" s="10"/>
      <c r="AV1366" s="10"/>
      <c r="AW1366" s="10"/>
      <c r="AX1366" s="10"/>
      <c r="AY1366" s="10"/>
      <c r="AZ1366" s="10"/>
      <c r="BA1366" s="10"/>
      <c r="BB1366" s="10"/>
      <c r="BC1366" s="10"/>
      <c r="BD1366" s="10"/>
      <c r="BE1366" s="10"/>
      <c r="BF1366" s="10"/>
      <c r="BG1366" s="10"/>
      <c r="BH1366" s="10"/>
      <c r="BI1366" s="10"/>
      <c r="BJ1366" s="10"/>
      <c r="BK1366" s="10"/>
      <c r="BL1366" s="10"/>
      <c r="BM1366" s="10"/>
      <c r="BN1366" s="10"/>
      <c r="BO1366" s="10"/>
      <c r="BP1366" s="10"/>
      <c r="BQ1366" s="10"/>
      <c r="BR1366" s="10"/>
      <c r="BS1366" s="10"/>
      <c r="BT1366" s="10"/>
      <c r="BU1366" s="10"/>
    </row>
    <row r="1367" spans="1:73" ht="18" x14ac:dyDescent="0.35">
      <c r="A1367" s="43"/>
      <c r="C1367" s="393"/>
      <c r="E1367" s="394"/>
      <c r="F1367" s="394">
        <v>6.0000000000000001E-3</v>
      </c>
      <c r="G1367" s="394"/>
      <c r="H1367" s="8" t="s">
        <v>235</v>
      </c>
      <c r="I1367" s="368">
        <f t="shared" si="64"/>
        <v>0</v>
      </c>
      <c r="J1367" s="365">
        <f t="shared" si="63"/>
        <v>0</v>
      </c>
      <c r="K1367" s="369">
        <f t="shared" si="65"/>
        <v>6</v>
      </c>
      <c r="L1367" s="369">
        <f>+IF((C1367&gt;='Resultats - informe'!$E$16)*(C1367&lt;='Resultats - informe'!$G$16),1,0)</f>
        <v>1</v>
      </c>
      <c r="M1367" s="369" cm="1">
        <f t="array" ref="M1367">+_xlfn.IFS((C1367&gt;='Resultats - informe'!$D$26)*(C1367&lt;='Resultats - informe'!$E$26),0,(C1367&gt;='Resultats - informe'!$D$27)*(C1367&lt;='Resultats - informe'!$E$27),0,(C1367&gt;='Resultats - informe'!$D$28)*(C1367&lt;='Resultats - informe'!$E$28),0,(C1367&gt;='Resultats - informe'!$D$29)*(C1367&lt;='Resultats - informe'!$E$29),0,1,1)</f>
        <v>0</v>
      </c>
      <c r="N1367" s="366">
        <f>+VLOOKUP(D1367,'Resultats - informe'!$Y$18:$AG$42,'Introducció dades consum'!K1367+1,0)</f>
        <v>0</v>
      </c>
      <c r="O1367" s="370" cm="1">
        <f t="array" ref="O1367">+_xlfn.SWITCH(MONTH(C1367),1,1,2,1,3,1,4,2,5,2,6,3,7,3,8,3,9,3,10,2,11,2,12,1,2)</f>
        <v>1</v>
      </c>
      <c r="P1367" s="43"/>
      <c r="AS1367" s="10"/>
      <c r="AT1367" s="10"/>
      <c r="AU1367" s="10"/>
      <c r="AV1367" s="10"/>
      <c r="AW1367" s="10"/>
      <c r="AX1367" s="10"/>
      <c r="AY1367" s="10"/>
      <c r="AZ1367" s="10"/>
      <c r="BA1367" s="10"/>
      <c r="BB1367" s="10"/>
      <c r="BC1367" s="10"/>
      <c r="BD1367" s="10"/>
      <c r="BE1367" s="10"/>
      <c r="BF1367" s="10"/>
      <c r="BG1367" s="10"/>
      <c r="BH1367" s="10"/>
      <c r="BI1367" s="10"/>
      <c r="BJ1367" s="10"/>
      <c r="BK1367" s="10"/>
      <c r="BL1367" s="10"/>
      <c r="BM1367" s="10"/>
      <c r="BN1367" s="10"/>
      <c r="BO1367" s="10"/>
      <c r="BP1367" s="10"/>
      <c r="BQ1367" s="10"/>
      <c r="BR1367" s="10"/>
      <c r="BS1367" s="10"/>
      <c r="BT1367" s="10"/>
      <c r="BU1367" s="10"/>
    </row>
    <row r="1368" spans="1:73" ht="18" x14ac:dyDescent="0.35">
      <c r="A1368" s="43"/>
      <c r="C1368" s="393"/>
      <c r="E1368" s="394"/>
      <c r="F1368" s="394">
        <v>0</v>
      </c>
      <c r="G1368" s="394"/>
      <c r="H1368" s="8" t="s">
        <v>235</v>
      </c>
      <c r="I1368" s="368">
        <f t="shared" si="64"/>
        <v>0</v>
      </c>
      <c r="J1368" s="365">
        <f t="shared" si="63"/>
        <v>0</v>
      </c>
      <c r="K1368" s="369">
        <f t="shared" si="65"/>
        <v>6</v>
      </c>
      <c r="L1368" s="369">
        <f>+IF((C1368&gt;='Resultats - informe'!$E$16)*(C1368&lt;='Resultats - informe'!$G$16),1,0)</f>
        <v>1</v>
      </c>
      <c r="M1368" s="369" cm="1">
        <f t="array" ref="M1368">+_xlfn.IFS((C1368&gt;='Resultats - informe'!$D$26)*(C1368&lt;='Resultats - informe'!$E$26),0,(C1368&gt;='Resultats - informe'!$D$27)*(C1368&lt;='Resultats - informe'!$E$27),0,(C1368&gt;='Resultats - informe'!$D$28)*(C1368&lt;='Resultats - informe'!$E$28),0,(C1368&gt;='Resultats - informe'!$D$29)*(C1368&lt;='Resultats - informe'!$E$29),0,1,1)</f>
        <v>0</v>
      </c>
      <c r="N1368" s="366">
        <f>+VLOOKUP(D1368,'Resultats - informe'!$Y$18:$AG$42,'Introducció dades consum'!K1368+1,0)</f>
        <v>0</v>
      </c>
      <c r="O1368" s="370" cm="1">
        <f t="array" ref="O1368">+_xlfn.SWITCH(MONTH(C1368),1,1,2,1,3,1,4,2,5,2,6,3,7,3,8,3,9,3,10,2,11,2,12,1,2)</f>
        <v>1</v>
      </c>
      <c r="P1368" s="43"/>
      <c r="AS1368" s="10"/>
      <c r="AT1368" s="10"/>
      <c r="AU1368" s="10"/>
      <c r="AV1368" s="10"/>
      <c r="AW1368" s="10"/>
      <c r="AX1368" s="10"/>
      <c r="AY1368" s="10"/>
      <c r="AZ1368" s="10"/>
      <c r="BA1368" s="10"/>
      <c r="BB1368" s="10"/>
      <c r="BC1368" s="10"/>
      <c r="BD1368" s="10"/>
      <c r="BE1368" s="10"/>
      <c r="BF1368" s="10"/>
      <c r="BG1368" s="10"/>
      <c r="BH1368" s="10"/>
      <c r="BI1368" s="10"/>
      <c r="BJ1368" s="10"/>
      <c r="BK1368" s="10"/>
      <c r="BL1368" s="10"/>
      <c r="BM1368" s="10"/>
      <c r="BN1368" s="10"/>
      <c r="BO1368" s="10"/>
      <c r="BP1368" s="10"/>
      <c r="BQ1368" s="10"/>
      <c r="BR1368" s="10"/>
      <c r="BS1368" s="10"/>
      <c r="BT1368" s="10"/>
      <c r="BU1368" s="10"/>
    </row>
    <row r="1369" spans="1:73" ht="18" x14ac:dyDescent="0.35">
      <c r="A1369" s="43"/>
      <c r="C1369" s="393"/>
      <c r="E1369" s="394"/>
      <c r="F1369" s="394">
        <v>0</v>
      </c>
      <c r="G1369" s="394"/>
      <c r="H1369" s="8" t="s">
        <v>235</v>
      </c>
      <c r="I1369" s="368">
        <f t="shared" si="64"/>
        <v>0</v>
      </c>
      <c r="J1369" s="365">
        <f t="shared" si="63"/>
        <v>0</v>
      </c>
      <c r="K1369" s="369">
        <f t="shared" si="65"/>
        <v>6</v>
      </c>
      <c r="L1369" s="369">
        <f>+IF((C1369&gt;='Resultats - informe'!$E$16)*(C1369&lt;='Resultats - informe'!$G$16),1,0)</f>
        <v>1</v>
      </c>
      <c r="M1369" s="369" cm="1">
        <f t="array" ref="M1369">+_xlfn.IFS((C1369&gt;='Resultats - informe'!$D$26)*(C1369&lt;='Resultats - informe'!$E$26),0,(C1369&gt;='Resultats - informe'!$D$27)*(C1369&lt;='Resultats - informe'!$E$27),0,(C1369&gt;='Resultats - informe'!$D$28)*(C1369&lt;='Resultats - informe'!$E$28),0,(C1369&gt;='Resultats - informe'!$D$29)*(C1369&lt;='Resultats - informe'!$E$29),0,1,1)</f>
        <v>0</v>
      </c>
      <c r="N1369" s="366">
        <f>+VLOOKUP(D1369,'Resultats - informe'!$Y$18:$AG$42,'Introducció dades consum'!K1369+1,0)</f>
        <v>0</v>
      </c>
      <c r="O1369" s="370" cm="1">
        <f t="array" ref="O1369">+_xlfn.SWITCH(MONTH(C1369),1,1,2,1,3,1,4,2,5,2,6,3,7,3,8,3,9,3,10,2,11,2,12,1,2)</f>
        <v>1</v>
      </c>
      <c r="P1369" s="43"/>
      <c r="AS1369" s="10"/>
      <c r="AT1369" s="10"/>
      <c r="AU1369" s="10"/>
      <c r="AV1369" s="10"/>
      <c r="AW1369" s="10"/>
      <c r="AX1369" s="10"/>
      <c r="AY1369" s="10"/>
      <c r="AZ1369" s="10"/>
      <c r="BA1369" s="10"/>
      <c r="BB1369" s="10"/>
      <c r="BC1369" s="10"/>
      <c r="BD1369" s="10"/>
      <c r="BE1369" s="10"/>
      <c r="BF1369" s="10"/>
      <c r="BG1369" s="10"/>
      <c r="BH1369" s="10"/>
      <c r="BI1369" s="10"/>
      <c r="BJ1369" s="10"/>
      <c r="BK1369" s="10"/>
      <c r="BL1369" s="10"/>
      <c r="BM1369" s="10"/>
      <c r="BN1369" s="10"/>
      <c r="BO1369" s="10"/>
      <c r="BP1369" s="10"/>
      <c r="BQ1369" s="10"/>
      <c r="BR1369" s="10"/>
      <c r="BS1369" s="10"/>
      <c r="BT1369" s="10"/>
      <c r="BU1369" s="10"/>
    </row>
    <row r="1370" spans="1:73" ht="18" x14ac:dyDescent="0.35">
      <c r="A1370" s="43"/>
      <c r="C1370" s="393"/>
      <c r="E1370" s="394"/>
      <c r="F1370" s="394">
        <v>0</v>
      </c>
      <c r="G1370" s="394"/>
      <c r="H1370" s="8" t="s">
        <v>235</v>
      </c>
      <c r="I1370" s="368">
        <f t="shared" si="64"/>
        <v>0</v>
      </c>
      <c r="J1370" s="365">
        <f t="shared" si="63"/>
        <v>0</v>
      </c>
      <c r="K1370" s="369">
        <f t="shared" si="65"/>
        <v>6</v>
      </c>
      <c r="L1370" s="369">
        <f>+IF((C1370&gt;='Resultats - informe'!$E$16)*(C1370&lt;='Resultats - informe'!$G$16),1,0)</f>
        <v>1</v>
      </c>
      <c r="M1370" s="369" cm="1">
        <f t="array" ref="M1370">+_xlfn.IFS((C1370&gt;='Resultats - informe'!$D$26)*(C1370&lt;='Resultats - informe'!$E$26),0,(C1370&gt;='Resultats - informe'!$D$27)*(C1370&lt;='Resultats - informe'!$E$27),0,(C1370&gt;='Resultats - informe'!$D$28)*(C1370&lt;='Resultats - informe'!$E$28),0,(C1370&gt;='Resultats - informe'!$D$29)*(C1370&lt;='Resultats - informe'!$E$29),0,1,1)</f>
        <v>0</v>
      </c>
      <c r="N1370" s="366">
        <f>+VLOOKUP(D1370,'Resultats - informe'!$Y$18:$AG$42,'Introducció dades consum'!K1370+1,0)</f>
        <v>0</v>
      </c>
      <c r="O1370" s="370" cm="1">
        <f t="array" ref="O1370">+_xlfn.SWITCH(MONTH(C1370),1,1,2,1,3,1,4,2,5,2,6,3,7,3,8,3,9,3,10,2,11,2,12,1,2)</f>
        <v>1</v>
      </c>
      <c r="P1370" s="43"/>
      <c r="AS1370" s="10"/>
      <c r="AT1370" s="10"/>
      <c r="AU1370" s="10"/>
      <c r="AV1370" s="10"/>
      <c r="AW1370" s="10"/>
      <c r="AX1370" s="10"/>
      <c r="AY1370" s="10"/>
      <c r="AZ1370" s="10"/>
      <c r="BA1370" s="10"/>
      <c r="BB1370" s="10"/>
      <c r="BC1370" s="10"/>
      <c r="BD1370" s="10"/>
      <c r="BE1370" s="10"/>
      <c r="BF1370" s="10"/>
      <c r="BG1370" s="10"/>
      <c r="BH1370" s="10"/>
      <c r="BI1370" s="10"/>
      <c r="BJ1370" s="10"/>
      <c r="BK1370" s="10"/>
      <c r="BL1370" s="10"/>
      <c r="BM1370" s="10"/>
      <c r="BN1370" s="10"/>
      <c r="BO1370" s="10"/>
      <c r="BP1370" s="10"/>
      <c r="BQ1370" s="10"/>
      <c r="BR1370" s="10"/>
      <c r="BS1370" s="10"/>
      <c r="BT1370" s="10"/>
      <c r="BU1370" s="10"/>
    </row>
    <row r="1371" spans="1:73" ht="18" x14ac:dyDescent="0.35">
      <c r="A1371" s="43"/>
      <c r="C1371" s="393"/>
      <c r="E1371" s="394"/>
      <c r="F1371" s="394">
        <v>0</v>
      </c>
      <c r="G1371" s="394"/>
      <c r="H1371" s="8" t="s">
        <v>235</v>
      </c>
      <c r="I1371" s="368">
        <f t="shared" si="64"/>
        <v>0</v>
      </c>
      <c r="J1371" s="365">
        <f t="shared" si="63"/>
        <v>0</v>
      </c>
      <c r="K1371" s="369">
        <f t="shared" si="65"/>
        <v>6</v>
      </c>
      <c r="L1371" s="369">
        <f>+IF((C1371&gt;='Resultats - informe'!$E$16)*(C1371&lt;='Resultats - informe'!$G$16),1,0)</f>
        <v>1</v>
      </c>
      <c r="M1371" s="369" cm="1">
        <f t="array" ref="M1371">+_xlfn.IFS((C1371&gt;='Resultats - informe'!$D$26)*(C1371&lt;='Resultats - informe'!$E$26),0,(C1371&gt;='Resultats - informe'!$D$27)*(C1371&lt;='Resultats - informe'!$E$27),0,(C1371&gt;='Resultats - informe'!$D$28)*(C1371&lt;='Resultats - informe'!$E$28),0,(C1371&gt;='Resultats - informe'!$D$29)*(C1371&lt;='Resultats - informe'!$E$29),0,1,1)</f>
        <v>0</v>
      </c>
      <c r="N1371" s="366">
        <f>+VLOOKUP(D1371,'Resultats - informe'!$Y$18:$AG$42,'Introducció dades consum'!K1371+1,0)</f>
        <v>0</v>
      </c>
      <c r="O1371" s="370" cm="1">
        <f t="array" ref="O1371">+_xlfn.SWITCH(MONTH(C1371),1,1,2,1,3,1,4,2,5,2,6,3,7,3,8,3,9,3,10,2,11,2,12,1,2)</f>
        <v>1</v>
      </c>
      <c r="P1371" s="43"/>
      <c r="AS1371" s="10"/>
      <c r="AT1371" s="10"/>
      <c r="AU1371" s="10"/>
      <c r="AV1371" s="10"/>
      <c r="AW1371" s="10"/>
      <c r="AX1371" s="10"/>
      <c r="AY1371" s="10"/>
      <c r="AZ1371" s="10"/>
      <c r="BA1371" s="10"/>
      <c r="BB1371" s="10"/>
      <c r="BC1371" s="10"/>
      <c r="BD1371" s="10"/>
      <c r="BE1371" s="10"/>
      <c r="BF1371" s="10"/>
      <c r="BG1371" s="10"/>
      <c r="BH1371" s="10"/>
      <c r="BI1371" s="10"/>
      <c r="BJ1371" s="10"/>
      <c r="BK1371" s="10"/>
      <c r="BL1371" s="10"/>
      <c r="BM1371" s="10"/>
      <c r="BN1371" s="10"/>
      <c r="BO1371" s="10"/>
      <c r="BP1371" s="10"/>
      <c r="BQ1371" s="10"/>
      <c r="BR1371" s="10"/>
      <c r="BS1371" s="10"/>
      <c r="BT1371" s="10"/>
      <c r="BU1371" s="10"/>
    </row>
    <row r="1372" spans="1:73" ht="18" x14ac:dyDescent="0.35">
      <c r="A1372" s="43"/>
      <c r="C1372" s="393"/>
      <c r="E1372" s="394"/>
      <c r="F1372" s="394">
        <v>0</v>
      </c>
      <c r="G1372" s="394"/>
      <c r="H1372" s="8" t="s">
        <v>235</v>
      </c>
      <c r="I1372" s="368">
        <f t="shared" si="64"/>
        <v>0</v>
      </c>
      <c r="J1372" s="365">
        <f t="shared" si="63"/>
        <v>0</v>
      </c>
      <c r="K1372" s="369">
        <f t="shared" si="65"/>
        <v>6</v>
      </c>
      <c r="L1372" s="369">
        <f>+IF((C1372&gt;='Resultats - informe'!$E$16)*(C1372&lt;='Resultats - informe'!$G$16),1,0)</f>
        <v>1</v>
      </c>
      <c r="M1372" s="369" cm="1">
        <f t="array" ref="M1372">+_xlfn.IFS((C1372&gt;='Resultats - informe'!$D$26)*(C1372&lt;='Resultats - informe'!$E$26),0,(C1372&gt;='Resultats - informe'!$D$27)*(C1372&lt;='Resultats - informe'!$E$27),0,(C1372&gt;='Resultats - informe'!$D$28)*(C1372&lt;='Resultats - informe'!$E$28),0,(C1372&gt;='Resultats - informe'!$D$29)*(C1372&lt;='Resultats - informe'!$E$29),0,1,1)</f>
        <v>0</v>
      </c>
      <c r="N1372" s="366">
        <f>+VLOOKUP(D1372,'Resultats - informe'!$Y$18:$AG$42,'Introducció dades consum'!K1372+1,0)</f>
        <v>0</v>
      </c>
      <c r="O1372" s="370" cm="1">
        <f t="array" ref="O1372">+_xlfn.SWITCH(MONTH(C1372),1,1,2,1,3,1,4,2,5,2,6,3,7,3,8,3,9,3,10,2,11,2,12,1,2)</f>
        <v>1</v>
      </c>
      <c r="P1372" s="43"/>
      <c r="AS1372" s="10"/>
      <c r="AT1372" s="10"/>
      <c r="AU1372" s="10"/>
      <c r="AV1372" s="10"/>
      <c r="AW1372" s="10"/>
      <c r="AX1372" s="10"/>
      <c r="AY1372" s="10"/>
      <c r="AZ1372" s="10"/>
      <c r="BA1372" s="10"/>
      <c r="BB1372" s="10"/>
      <c r="BC1372" s="10"/>
      <c r="BD1372" s="10"/>
      <c r="BE1372" s="10"/>
      <c r="BF1372" s="10"/>
      <c r="BG1372" s="10"/>
      <c r="BH1372" s="10"/>
      <c r="BI1372" s="10"/>
      <c r="BJ1372" s="10"/>
      <c r="BK1372" s="10"/>
      <c r="BL1372" s="10"/>
      <c r="BM1372" s="10"/>
      <c r="BN1372" s="10"/>
      <c r="BO1372" s="10"/>
      <c r="BP1372" s="10"/>
      <c r="BQ1372" s="10"/>
      <c r="BR1372" s="10"/>
      <c r="BS1372" s="10"/>
      <c r="BT1372" s="10"/>
      <c r="BU1372" s="10"/>
    </row>
    <row r="1373" spans="1:73" ht="18" x14ac:dyDescent="0.35">
      <c r="A1373" s="43"/>
      <c r="C1373" s="393"/>
      <c r="E1373" s="394"/>
      <c r="F1373" s="394">
        <v>0</v>
      </c>
      <c r="G1373" s="394"/>
      <c r="H1373" s="8" t="s">
        <v>235</v>
      </c>
      <c r="I1373" s="368">
        <f t="shared" si="64"/>
        <v>0</v>
      </c>
      <c r="J1373" s="365">
        <f t="shared" si="63"/>
        <v>0</v>
      </c>
      <c r="K1373" s="369">
        <f t="shared" si="65"/>
        <v>6</v>
      </c>
      <c r="L1373" s="369">
        <f>+IF((C1373&gt;='Resultats - informe'!$E$16)*(C1373&lt;='Resultats - informe'!$G$16),1,0)</f>
        <v>1</v>
      </c>
      <c r="M1373" s="369" cm="1">
        <f t="array" ref="M1373">+_xlfn.IFS((C1373&gt;='Resultats - informe'!$D$26)*(C1373&lt;='Resultats - informe'!$E$26),0,(C1373&gt;='Resultats - informe'!$D$27)*(C1373&lt;='Resultats - informe'!$E$27),0,(C1373&gt;='Resultats - informe'!$D$28)*(C1373&lt;='Resultats - informe'!$E$28),0,(C1373&gt;='Resultats - informe'!$D$29)*(C1373&lt;='Resultats - informe'!$E$29),0,1,1)</f>
        <v>0</v>
      </c>
      <c r="N1373" s="366">
        <f>+VLOOKUP(D1373,'Resultats - informe'!$Y$18:$AG$42,'Introducció dades consum'!K1373+1,0)</f>
        <v>0</v>
      </c>
      <c r="O1373" s="370" cm="1">
        <f t="array" ref="O1373">+_xlfn.SWITCH(MONTH(C1373),1,1,2,1,3,1,4,2,5,2,6,3,7,3,8,3,9,3,10,2,11,2,12,1,2)</f>
        <v>1</v>
      </c>
      <c r="P1373" s="43"/>
      <c r="AS1373" s="10"/>
      <c r="AT1373" s="10"/>
      <c r="AU1373" s="10"/>
      <c r="AV1373" s="10"/>
      <c r="AW1373" s="10"/>
      <c r="AX1373" s="10"/>
      <c r="AY1373" s="10"/>
      <c r="AZ1373" s="10"/>
      <c r="BA1373" s="10"/>
      <c r="BB1373" s="10"/>
      <c r="BC1373" s="10"/>
      <c r="BD1373" s="10"/>
      <c r="BE1373" s="10"/>
      <c r="BF1373" s="10"/>
      <c r="BG1373" s="10"/>
      <c r="BH1373" s="10"/>
      <c r="BI1373" s="10"/>
      <c r="BJ1373" s="10"/>
      <c r="BK1373" s="10"/>
      <c r="BL1373" s="10"/>
      <c r="BM1373" s="10"/>
      <c r="BN1373" s="10"/>
      <c r="BO1373" s="10"/>
      <c r="BP1373" s="10"/>
      <c r="BQ1373" s="10"/>
      <c r="BR1373" s="10"/>
      <c r="BS1373" s="10"/>
      <c r="BT1373" s="10"/>
      <c r="BU1373" s="10"/>
    </row>
    <row r="1374" spans="1:73" ht="18" x14ac:dyDescent="0.35">
      <c r="A1374" s="43"/>
      <c r="C1374" s="393"/>
      <c r="E1374" s="394"/>
      <c r="F1374" s="394">
        <v>0</v>
      </c>
      <c r="G1374" s="394"/>
      <c r="H1374" s="8" t="s">
        <v>235</v>
      </c>
      <c r="I1374" s="368">
        <f t="shared" si="64"/>
        <v>0</v>
      </c>
      <c r="J1374" s="365">
        <f t="shared" si="63"/>
        <v>0</v>
      </c>
      <c r="K1374" s="369">
        <f t="shared" si="65"/>
        <v>6</v>
      </c>
      <c r="L1374" s="369">
        <f>+IF((C1374&gt;='Resultats - informe'!$E$16)*(C1374&lt;='Resultats - informe'!$G$16),1,0)</f>
        <v>1</v>
      </c>
      <c r="M1374" s="369" cm="1">
        <f t="array" ref="M1374">+_xlfn.IFS((C1374&gt;='Resultats - informe'!$D$26)*(C1374&lt;='Resultats - informe'!$E$26),0,(C1374&gt;='Resultats - informe'!$D$27)*(C1374&lt;='Resultats - informe'!$E$27),0,(C1374&gt;='Resultats - informe'!$D$28)*(C1374&lt;='Resultats - informe'!$E$28),0,(C1374&gt;='Resultats - informe'!$D$29)*(C1374&lt;='Resultats - informe'!$E$29),0,1,1)</f>
        <v>0</v>
      </c>
      <c r="N1374" s="366">
        <f>+VLOOKUP(D1374,'Resultats - informe'!$Y$18:$AG$42,'Introducció dades consum'!K1374+1,0)</f>
        <v>0</v>
      </c>
      <c r="O1374" s="370" cm="1">
        <f t="array" ref="O1374">+_xlfn.SWITCH(MONTH(C1374),1,1,2,1,3,1,4,2,5,2,6,3,7,3,8,3,9,3,10,2,11,2,12,1,2)</f>
        <v>1</v>
      </c>
      <c r="P1374" s="43"/>
      <c r="AS1374" s="10"/>
      <c r="AT1374" s="10"/>
      <c r="AU1374" s="10"/>
      <c r="AV1374" s="10"/>
      <c r="AW1374" s="10"/>
      <c r="AX1374" s="10"/>
      <c r="AY1374" s="10"/>
      <c r="AZ1374" s="10"/>
      <c r="BA1374" s="10"/>
      <c r="BB1374" s="10"/>
      <c r="BC1374" s="10"/>
      <c r="BD1374" s="10"/>
      <c r="BE1374" s="10"/>
      <c r="BF1374" s="10"/>
      <c r="BG1374" s="10"/>
      <c r="BH1374" s="10"/>
      <c r="BI1374" s="10"/>
      <c r="BJ1374" s="10"/>
      <c r="BK1374" s="10"/>
      <c r="BL1374" s="10"/>
      <c r="BM1374" s="10"/>
      <c r="BN1374" s="10"/>
      <c r="BO1374" s="10"/>
      <c r="BP1374" s="10"/>
      <c r="BQ1374" s="10"/>
      <c r="BR1374" s="10"/>
      <c r="BS1374" s="10"/>
      <c r="BT1374" s="10"/>
      <c r="BU1374" s="10"/>
    </row>
    <row r="1375" spans="1:73" ht="18" x14ac:dyDescent="0.35">
      <c r="A1375" s="43"/>
      <c r="C1375" s="393"/>
      <c r="E1375" s="394"/>
      <c r="F1375" s="394">
        <v>0</v>
      </c>
      <c r="G1375" s="394"/>
      <c r="H1375" s="8" t="s">
        <v>235</v>
      </c>
      <c r="I1375" s="368">
        <f t="shared" si="64"/>
        <v>0</v>
      </c>
      <c r="J1375" s="365">
        <f t="shared" si="63"/>
        <v>0</v>
      </c>
      <c r="K1375" s="369">
        <f t="shared" si="65"/>
        <v>6</v>
      </c>
      <c r="L1375" s="369">
        <f>+IF((C1375&gt;='Resultats - informe'!$E$16)*(C1375&lt;='Resultats - informe'!$G$16),1,0)</f>
        <v>1</v>
      </c>
      <c r="M1375" s="369" cm="1">
        <f t="array" ref="M1375">+_xlfn.IFS((C1375&gt;='Resultats - informe'!$D$26)*(C1375&lt;='Resultats - informe'!$E$26),0,(C1375&gt;='Resultats - informe'!$D$27)*(C1375&lt;='Resultats - informe'!$E$27),0,(C1375&gt;='Resultats - informe'!$D$28)*(C1375&lt;='Resultats - informe'!$E$28),0,(C1375&gt;='Resultats - informe'!$D$29)*(C1375&lt;='Resultats - informe'!$E$29),0,1,1)</f>
        <v>0</v>
      </c>
      <c r="N1375" s="366">
        <f>+VLOOKUP(D1375,'Resultats - informe'!$Y$18:$AG$42,'Introducció dades consum'!K1375+1,0)</f>
        <v>0</v>
      </c>
      <c r="O1375" s="370" cm="1">
        <f t="array" ref="O1375">+_xlfn.SWITCH(MONTH(C1375),1,1,2,1,3,1,4,2,5,2,6,3,7,3,8,3,9,3,10,2,11,2,12,1,2)</f>
        <v>1</v>
      </c>
      <c r="P1375" s="43"/>
      <c r="AS1375" s="10"/>
      <c r="AT1375" s="10"/>
      <c r="AU1375" s="10"/>
      <c r="AV1375" s="10"/>
      <c r="AW1375" s="10"/>
      <c r="AX1375" s="10"/>
      <c r="AY1375" s="10"/>
      <c r="AZ1375" s="10"/>
      <c r="BA1375" s="10"/>
      <c r="BB1375" s="10"/>
      <c r="BC1375" s="10"/>
      <c r="BD1375" s="10"/>
      <c r="BE1375" s="10"/>
      <c r="BF1375" s="10"/>
      <c r="BG1375" s="10"/>
      <c r="BH1375" s="10"/>
      <c r="BI1375" s="10"/>
      <c r="BJ1375" s="10"/>
      <c r="BK1375" s="10"/>
      <c r="BL1375" s="10"/>
      <c r="BM1375" s="10"/>
      <c r="BN1375" s="10"/>
      <c r="BO1375" s="10"/>
      <c r="BP1375" s="10"/>
      <c r="BQ1375" s="10"/>
      <c r="BR1375" s="10"/>
      <c r="BS1375" s="10"/>
      <c r="BT1375" s="10"/>
      <c r="BU1375" s="10"/>
    </row>
    <row r="1376" spans="1:73" ht="18" x14ac:dyDescent="0.35">
      <c r="A1376" s="43"/>
      <c r="C1376" s="393"/>
      <c r="E1376" s="394"/>
      <c r="F1376" s="394">
        <v>0</v>
      </c>
      <c r="G1376" s="394"/>
      <c r="H1376" s="8" t="s">
        <v>235</v>
      </c>
      <c r="I1376" s="368">
        <f t="shared" si="64"/>
        <v>0</v>
      </c>
      <c r="J1376" s="365">
        <f t="shared" si="63"/>
        <v>0</v>
      </c>
      <c r="K1376" s="369">
        <f t="shared" si="65"/>
        <v>6</v>
      </c>
      <c r="L1376" s="369">
        <f>+IF((C1376&gt;='Resultats - informe'!$E$16)*(C1376&lt;='Resultats - informe'!$G$16),1,0)</f>
        <v>1</v>
      </c>
      <c r="M1376" s="369" cm="1">
        <f t="array" ref="M1376">+_xlfn.IFS((C1376&gt;='Resultats - informe'!$D$26)*(C1376&lt;='Resultats - informe'!$E$26),0,(C1376&gt;='Resultats - informe'!$D$27)*(C1376&lt;='Resultats - informe'!$E$27),0,(C1376&gt;='Resultats - informe'!$D$28)*(C1376&lt;='Resultats - informe'!$E$28),0,(C1376&gt;='Resultats - informe'!$D$29)*(C1376&lt;='Resultats - informe'!$E$29),0,1,1)</f>
        <v>0</v>
      </c>
      <c r="N1376" s="366">
        <f>+VLOOKUP(D1376,'Resultats - informe'!$Y$18:$AG$42,'Introducció dades consum'!K1376+1,0)</f>
        <v>0</v>
      </c>
      <c r="O1376" s="370" cm="1">
        <f t="array" ref="O1376">+_xlfn.SWITCH(MONTH(C1376),1,1,2,1,3,1,4,2,5,2,6,3,7,3,8,3,9,3,10,2,11,2,12,1,2)</f>
        <v>1</v>
      </c>
      <c r="P1376" s="43"/>
      <c r="AS1376" s="10"/>
      <c r="AT1376" s="10"/>
      <c r="AU1376" s="10"/>
      <c r="AV1376" s="10"/>
      <c r="AW1376" s="10"/>
      <c r="AX1376" s="10"/>
      <c r="AY1376" s="10"/>
      <c r="AZ1376" s="10"/>
      <c r="BA1376" s="10"/>
      <c r="BB1376" s="10"/>
      <c r="BC1376" s="10"/>
      <c r="BD1376" s="10"/>
      <c r="BE1376" s="10"/>
      <c r="BF1376" s="10"/>
      <c r="BG1376" s="10"/>
      <c r="BH1376" s="10"/>
      <c r="BI1376" s="10"/>
      <c r="BJ1376" s="10"/>
      <c r="BK1376" s="10"/>
      <c r="BL1376" s="10"/>
      <c r="BM1376" s="10"/>
      <c r="BN1376" s="10"/>
      <c r="BO1376" s="10"/>
      <c r="BP1376" s="10"/>
      <c r="BQ1376" s="10"/>
      <c r="BR1376" s="10"/>
      <c r="BS1376" s="10"/>
      <c r="BT1376" s="10"/>
      <c r="BU1376" s="10"/>
    </row>
    <row r="1377" spans="1:73" ht="18" x14ac:dyDescent="0.35">
      <c r="A1377" s="43"/>
      <c r="C1377" s="393"/>
      <c r="E1377" s="394"/>
      <c r="F1377" s="394">
        <v>0</v>
      </c>
      <c r="G1377" s="394"/>
      <c r="H1377" s="8" t="s">
        <v>235</v>
      </c>
      <c r="I1377" s="368">
        <f t="shared" si="64"/>
        <v>0</v>
      </c>
      <c r="J1377" s="365">
        <f t="shared" si="63"/>
        <v>0</v>
      </c>
      <c r="K1377" s="369">
        <f t="shared" si="65"/>
        <v>6</v>
      </c>
      <c r="L1377" s="369">
        <f>+IF((C1377&gt;='Resultats - informe'!$E$16)*(C1377&lt;='Resultats - informe'!$G$16),1,0)</f>
        <v>1</v>
      </c>
      <c r="M1377" s="369" cm="1">
        <f t="array" ref="M1377">+_xlfn.IFS((C1377&gt;='Resultats - informe'!$D$26)*(C1377&lt;='Resultats - informe'!$E$26),0,(C1377&gt;='Resultats - informe'!$D$27)*(C1377&lt;='Resultats - informe'!$E$27),0,(C1377&gt;='Resultats - informe'!$D$28)*(C1377&lt;='Resultats - informe'!$E$28),0,(C1377&gt;='Resultats - informe'!$D$29)*(C1377&lt;='Resultats - informe'!$E$29),0,1,1)</f>
        <v>0</v>
      </c>
      <c r="N1377" s="366">
        <f>+VLOOKUP(D1377,'Resultats - informe'!$Y$18:$AG$42,'Introducció dades consum'!K1377+1,0)</f>
        <v>0</v>
      </c>
      <c r="O1377" s="370" cm="1">
        <f t="array" ref="O1377">+_xlfn.SWITCH(MONTH(C1377),1,1,2,1,3,1,4,2,5,2,6,3,7,3,8,3,9,3,10,2,11,2,12,1,2)</f>
        <v>1</v>
      </c>
      <c r="P1377" s="43"/>
      <c r="AS1377" s="10"/>
      <c r="AT1377" s="10"/>
      <c r="AU1377" s="10"/>
      <c r="AV1377" s="10"/>
      <c r="AW1377" s="10"/>
      <c r="AX1377" s="10"/>
      <c r="AY1377" s="10"/>
      <c r="AZ1377" s="10"/>
      <c r="BA1377" s="10"/>
      <c r="BB1377" s="10"/>
      <c r="BC1377" s="10"/>
      <c r="BD1377" s="10"/>
      <c r="BE1377" s="10"/>
      <c r="BF1377" s="10"/>
      <c r="BG1377" s="10"/>
      <c r="BH1377" s="10"/>
      <c r="BI1377" s="10"/>
      <c r="BJ1377" s="10"/>
      <c r="BK1377" s="10"/>
      <c r="BL1377" s="10"/>
      <c r="BM1377" s="10"/>
      <c r="BN1377" s="10"/>
      <c r="BO1377" s="10"/>
      <c r="BP1377" s="10"/>
      <c r="BQ1377" s="10"/>
      <c r="BR1377" s="10"/>
      <c r="BS1377" s="10"/>
      <c r="BT1377" s="10"/>
      <c r="BU1377" s="10"/>
    </row>
    <row r="1378" spans="1:73" ht="18" x14ac:dyDescent="0.35">
      <c r="A1378" s="43"/>
      <c r="C1378" s="393"/>
      <c r="E1378" s="394"/>
      <c r="F1378" s="394">
        <v>0</v>
      </c>
      <c r="G1378" s="394"/>
      <c r="H1378" s="8" t="s">
        <v>235</v>
      </c>
      <c r="I1378" s="368">
        <f t="shared" si="64"/>
        <v>0</v>
      </c>
      <c r="J1378" s="365">
        <f t="shared" si="63"/>
        <v>0</v>
      </c>
      <c r="K1378" s="369">
        <f t="shared" si="65"/>
        <v>6</v>
      </c>
      <c r="L1378" s="369">
        <f>+IF((C1378&gt;='Resultats - informe'!$E$16)*(C1378&lt;='Resultats - informe'!$G$16),1,0)</f>
        <v>1</v>
      </c>
      <c r="M1378" s="369" cm="1">
        <f t="array" ref="M1378">+_xlfn.IFS((C1378&gt;='Resultats - informe'!$D$26)*(C1378&lt;='Resultats - informe'!$E$26),0,(C1378&gt;='Resultats - informe'!$D$27)*(C1378&lt;='Resultats - informe'!$E$27),0,(C1378&gt;='Resultats - informe'!$D$28)*(C1378&lt;='Resultats - informe'!$E$28),0,(C1378&gt;='Resultats - informe'!$D$29)*(C1378&lt;='Resultats - informe'!$E$29),0,1,1)</f>
        <v>0</v>
      </c>
      <c r="N1378" s="366">
        <f>+VLOOKUP(D1378,'Resultats - informe'!$Y$18:$AG$42,'Introducció dades consum'!K1378+1,0)</f>
        <v>0</v>
      </c>
      <c r="O1378" s="370" cm="1">
        <f t="array" ref="O1378">+_xlfn.SWITCH(MONTH(C1378),1,1,2,1,3,1,4,2,5,2,6,3,7,3,8,3,9,3,10,2,11,2,12,1,2)</f>
        <v>1</v>
      </c>
      <c r="P1378" s="43"/>
      <c r="AS1378" s="10"/>
      <c r="AT1378" s="10"/>
      <c r="AU1378" s="10"/>
      <c r="AV1378" s="10"/>
      <c r="AW1378" s="10"/>
      <c r="AX1378" s="10"/>
      <c r="AY1378" s="10"/>
      <c r="AZ1378" s="10"/>
      <c r="BA1378" s="10"/>
      <c r="BB1378" s="10"/>
      <c r="BC1378" s="10"/>
      <c r="BD1378" s="10"/>
      <c r="BE1378" s="10"/>
      <c r="BF1378" s="10"/>
      <c r="BG1378" s="10"/>
      <c r="BH1378" s="10"/>
      <c r="BI1378" s="10"/>
      <c r="BJ1378" s="10"/>
      <c r="BK1378" s="10"/>
      <c r="BL1378" s="10"/>
      <c r="BM1378" s="10"/>
      <c r="BN1378" s="10"/>
      <c r="BO1378" s="10"/>
      <c r="BP1378" s="10"/>
      <c r="BQ1378" s="10"/>
      <c r="BR1378" s="10"/>
      <c r="BS1378" s="10"/>
      <c r="BT1378" s="10"/>
      <c r="BU1378" s="10"/>
    </row>
    <row r="1379" spans="1:73" ht="18" x14ac:dyDescent="0.35">
      <c r="A1379" s="43"/>
      <c r="C1379" s="393"/>
      <c r="E1379" s="394"/>
      <c r="F1379" s="394">
        <v>0</v>
      </c>
      <c r="G1379" s="394"/>
      <c r="H1379" s="8" t="s">
        <v>235</v>
      </c>
      <c r="I1379" s="368">
        <f t="shared" si="64"/>
        <v>0</v>
      </c>
      <c r="J1379" s="365">
        <f t="shared" si="63"/>
        <v>0</v>
      </c>
      <c r="K1379" s="369">
        <f t="shared" si="65"/>
        <v>6</v>
      </c>
      <c r="L1379" s="369">
        <f>+IF((C1379&gt;='Resultats - informe'!$E$16)*(C1379&lt;='Resultats - informe'!$G$16),1,0)</f>
        <v>1</v>
      </c>
      <c r="M1379" s="369" cm="1">
        <f t="array" ref="M1379">+_xlfn.IFS((C1379&gt;='Resultats - informe'!$D$26)*(C1379&lt;='Resultats - informe'!$E$26),0,(C1379&gt;='Resultats - informe'!$D$27)*(C1379&lt;='Resultats - informe'!$E$27),0,(C1379&gt;='Resultats - informe'!$D$28)*(C1379&lt;='Resultats - informe'!$E$28),0,(C1379&gt;='Resultats - informe'!$D$29)*(C1379&lt;='Resultats - informe'!$E$29),0,1,1)</f>
        <v>0</v>
      </c>
      <c r="N1379" s="366">
        <f>+VLOOKUP(D1379,'Resultats - informe'!$Y$18:$AG$42,'Introducció dades consum'!K1379+1,0)</f>
        <v>0</v>
      </c>
      <c r="O1379" s="370" cm="1">
        <f t="array" ref="O1379">+_xlfn.SWITCH(MONTH(C1379),1,1,2,1,3,1,4,2,5,2,6,3,7,3,8,3,9,3,10,2,11,2,12,1,2)</f>
        <v>1</v>
      </c>
      <c r="P1379" s="43"/>
      <c r="AS1379" s="10"/>
      <c r="AT1379" s="10"/>
      <c r="AU1379" s="10"/>
      <c r="AV1379" s="10"/>
      <c r="AW1379" s="10"/>
      <c r="AX1379" s="10"/>
      <c r="AY1379" s="10"/>
      <c r="AZ1379" s="10"/>
      <c r="BA1379" s="10"/>
      <c r="BB1379" s="10"/>
      <c r="BC1379" s="10"/>
      <c r="BD1379" s="10"/>
      <c r="BE1379" s="10"/>
      <c r="BF1379" s="10"/>
      <c r="BG1379" s="10"/>
      <c r="BH1379" s="10"/>
      <c r="BI1379" s="10"/>
      <c r="BJ1379" s="10"/>
      <c r="BK1379" s="10"/>
      <c r="BL1379" s="10"/>
      <c r="BM1379" s="10"/>
      <c r="BN1379" s="10"/>
      <c r="BO1379" s="10"/>
      <c r="BP1379" s="10"/>
      <c r="BQ1379" s="10"/>
      <c r="BR1379" s="10"/>
      <c r="BS1379" s="10"/>
      <c r="BT1379" s="10"/>
      <c r="BU1379" s="10"/>
    </row>
    <row r="1380" spans="1:73" ht="18" x14ac:dyDescent="0.35">
      <c r="A1380" s="43"/>
      <c r="C1380" s="393"/>
      <c r="E1380" s="394"/>
      <c r="F1380" s="394">
        <v>0.51300000000000001</v>
      </c>
      <c r="G1380" s="394"/>
      <c r="H1380" s="8" t="s">
        <v>235</v>
      </c>
      <c r="I1380" s="368">
        <f t="shared" si="64"/>
        <v>0</v>
      </c>
      <c r="J1380" s="365">
        <f t="shared" si="63"/>
        <v>0</v>
      </c>
      <c r="K1380" s="369">
        <f t="shared" si="65"/>
        <v>6</v>
      </c>
      <c r="L1380" s="369">
        <f>+IF((C1380&gt;='Resultats - informe'!$E$16)*(C1380&lt;='Resultats - informe'!$G$16),1,0)</f>
        <v>1</v>
      </c>
      <c r="M1380" s="369" cm="1">
        <f t="array" ref="M1380">+_xlfn.IFS((C1380&gt;='Resultats - informe'!$D$26)*(C1380&lt;='Resultats - informe'!$E$26),0,(C1380&gt;='Resultats - informe'!$D$27)*(C1380&lt;='Resultats - informe'!$E$27),0,(C1380&gt;='Resultats - informe'!$D$28)*(C1380&lt;='Resultats - informe'!$E$28),0,(C1380&gt;='Resultats - informe'!$D$29)*(C1380&lt;='Resultats - informe'!$E$29),0,1,1)</f>
        <v>0</v>
      </c>
      <c r="N1380" s="366">
        <f>+VLOOKUP(D1380,'Resultats - informe'!$Y$18:$AG$42,'Introducció dades consum'!K1380+1,0)</f>
        <v>0</v>
      </c>
      <c r="O1380" s="370" cm="1">
        <f t="array" ref="O1380">+_xlfn.SWITCH(MONTH(C1380),1,1,2,1,3,1,4,2,5,2,6,3,7,3,8,3,9,3,10,2,11,2,12,1,2)</f>
        <v>1</v>
      </c>
      <c r="P1380" s="43"/>
      <c r="AS1380" s="10"/>
      <c r="AT1380" s="10"/>
      <c r="AU1380" s="10"/>
      <c r="AV1380" s="10"/>
      <c r="AW1380" s="10"/>
      <c r="AX1380" s="10"/>
      <c r="AY1380" s="10"/>
      <c r="AZ1380" s="10"/>
      <c r="BA1380" s="10"/>
      <c r="BB1380" s="10"/>
      <c r="BC1380" s="10"/>
      <c r="BD1380" s="10"/>
      <c r="BE1380" s="10"/>
      <c r="BF1380" s="10"/>
      <c r="BG1380" s="10"/>
      <c r="BH1380" s="10"/>
      <c r="BI1380" s="10"/>
      <c r="BJ1380" s="10"/>
      <c r="BK1380" s="10"/>
      <c r="BL1380" s="10"/>
      <c r="BM1380" s="10"/>
      <c r="BN1380" s="10"/>
      <c r="BO1380" s="10"/>
      <c r="BP1380" s="10"/>
      <c r="BQ1380" s="10"/>
      <c r="BR1380" s="10"/>
      <c r="BS1380" s="10"/>
      <c r="BT1380" s="10"/>
      <c r="BU1380" s="10"/>
    </row>
    <row r="1381" spans="1:73" ht="18" x14ac:dyDescent="0.35">
      <c r="A1381" s="43"/>
      <c r="C1381" s="393"/>
      <c r="E1381" s="394"/>
      <c r="F1381" s="394">
        <v>0</v>
      </c>
      <c r="G1381" s="394"/>
      <c r="H1381" s="8" t="s">
        <v>235</v>
      </c>
      <c r="I1381" s="368">
        <f t="shared" si="64"/>
        <v>0</v>
      </c>
      <c r="J1381" s="365">
        <f t="shared" si="63"/>
        <v>0</v>
      </c>
      <c r="K1381" s="369">
        <f t="shared" si="65"/>
        <v>6</v>
      </c>
      <c r="L1381" s="369">
        <f>+IF((C1381&gt;='Resultats - informe'!$E$16)*(C1381&lt;='Resultats - informe'!$G$16),1,0)</f>
        <v>1</v>
      </c>
      <c r="M1381" s="369" cm="1">
        <f t="array" ref="M1381">+_xlfn.IFS((C1381&gt;='Resultats - informe'!$D$26)*(C1381&lt;='Resultats - informe'!$E$26),0,(C1381&gt;='Resultats - informe'!$D$27)*(C1381&lt;='Resultats - informe'!$E$27),0,(C1381&gt;='Resultats - informe'!$D$28)*(C1381&lt;='Resultats - informe'!$E$28),0,(C1381&gt;='Resultats - informe'!$D$29)*(C1381&lt;='Resultats - informe'!$E$29),0,1,1)</f>
        <v>0</v>
      </c>
      <c r="N1381" s="366">
        <f>+VLOOKUP(D1381,'Resultats - informe'!$Y$18:$AG$42,'Introducció dades consum'!K1381+1,0)</f>
        <v>0</v>
      </c>
      <c r="O1381" s="370" cm="1">
        <f t="array" ref="O1381">+_xlfn.SWITCH(MONTH(C1381),1,1,2,1,3,1,4,2,5,2,6,3,7,3,8,3,9,3,10,2,11,2,12,1,2)</f>
        <v>1</v>
      </c>
      <c r="P1381" s="43"/>
      <c r="AS1381" s="10"/>
      <c r="AT1381" s="10"/>
      <c r="AU1381" s="10"/>
      <c r="AV1381" s="10"/>
      <c r="AW1381" s="10"/>
      <c r="AX1381" s="10"/>
      <c r="AY1381" s="10"/>
      <c r="AZ1381" s="10"/>
      <c r="BA1381" s="10"/>
      <c r="BB1381" s="10"/>
      <c r="BC1381" s="10"/>
      <c r="BD1381" s="10"/>
      <c r="BE1381" s="10"/>
      <c r="BF1381" s="10"/>
      <c r="BG1381" s="10"/>
      <c r="BH1381" s="10"/>
      <c r="BI1381" s="10"/>
      <c r="BJ1381" s="10"/>
      <c r="BK1381" s="10"/>
      <c r="BL1381" s="10"/>
      <c r="BM1381" s="10"/>
      <c r="BN1381" s="10"/>
      <c r="BO1381" s="10"/>
      <c r="BP1381" s="10"/>
      <c r="BQ1381" s="10"/>
      <c r="BR1381" s="10"/>
      <c r="BS1381" s="10"/>
      <c r="BT1381" s="10"/>
      <c r="BU1381" s="10"/>
    </row>
    <row r="1382" spans="1:73" ht="18" x14ac:dyDescent="0.35">
      <c r="A1382" s="43"/>
      <c r="C1382" s="393"/>
      <c r="E1382" s="394"/>
      <c r="F1382" s="394">
        <v>0.46200000000000002</v>
      </c>
      <c r="G1382" s="394"/>
      <c r="H1382" s="8" t="s">
        <v>235</v>
      </c>
      <c r="I1382" s="368">
        <f t="shared" si="64"/>
        <v>0</v>
      </c>
      <c r="J1382" s="365">
        <f t="shared" si="63"/>
        <v>0</v>
      </c>
      <c r="K1382" s="369">
        <f t="shared" si="65"/>
        <v>6</v>
      </c>
      <c r="L1382" s="369">
        <f>+IF((C1382&gt;='Resultats - informe'!$E$16)*(C1382&lt;='Resultats - informe'!$G$16),1,0)</f>
        <v>1</v>
      </c>
      <c r="M1382" s="369" cm="1">
        <f t="array" ref="M1382">+_xlfn.IFS((C1382&gt;='Resultats - informe'!$D$26)*(C1382&lt;='Resultats - informe'!$E$26),0,(C1382&gt;='Resultats - informe'!$D$27)*(C1382&lt;='Resultats - informe'!$E$27),0,(C1382&gt;='Resultats - informe'!$D$28)*(C1382&lt;='Resultats - informe'!$E$28),0,(C1382&gt;='Resultats - informe'!$D$29)*(C1382&lt;='Resultats - informe'!$E$29),0,1,1)</f>
        <v>0</v>
      </c>
      <c r="N1382" s="366">
        <f>+VLOOKUP(D1382,'Resultats - informe'!$Y$18:$AG$42,'Introducció dades consum'!K1382+1,0)</f>
        <v>0</v>
      </c>
      <c r="O1382" s="370" cm="1">
        <f t="array" ref="O1382">+_xlfn.SWITCH(MONTH(C1382),1,1,2,1,3,1,4,2,5,2,6,3,7,3,8,3,9,3,10,2,11,2,12,1,2)</f>
        <v>1</v>
      </c>
      <c r="P1382" s="43"/>
      <c r="AS1382" s="10"/>
      <c r="AT1382" s="10"/>
      <c r="AU1382" s="10"/>
      <c r="AV1382" s="10"/>
      <c r="AW1382" s="10"/>
      <c r="AX1382" s="10"/>
      <c r="AY1382" s="10"/>
      <c r="AZ1382" s="10"/>
      <c r="BA1382" s="10"/>
      <c r="BB1382" s="10"/>
      <c r="BC1382" s="10"/>
      <c r="BD1382" s="10"/>
      <c r="BE1382" s="10"/>
      <c r="BF1382" s="10"/>
      <c r="BG1382" s="10"/>
      <c r="BH1382" s="10"/>
      <c r="BI1382" s="10"/>
      <c r="BJ1382" s="10"/>
      <c r="BK1382" s="10"/>
      <c r="BL1382" s="10"/>
      <c r="BM1382" s="10"/>
      <c r="BN1382" s="10"/>
      <c r="BO1382" s="10"/>
      <c r="BP1382" s="10"/>
      <c r="BQ1382" s="10"/>
      <c r="BR1382" s="10"/>
      <c r="BS1382" s="10"/>
      <c r="BT1382" s="10"/>
      <c r="BU1382" s="10"/>
    </row>
    <row r="1383" spans="1:73" ht="18" x14ac:dyDescent="0.35">
      <c r="A1383" s="43"/>
      <c r="C1383" s="393"/>
      <c r="E1383" s="394"/>
      <c r="F1383" s="394">
        <v>0</v>
      </c>
      <c r="G1383" s="394"/>
      <c r="H1383" s="8" t="s">
        <v>235</v>
      </c>
      <c r="I1383" s="368">
        <f t="shared" si="64"/>
        <v>0</v>
      </c>
      <c r="J1383" s="365">
        <f t="shared" si="63"/>
        <v>0</v>
      </c>
      <c r="K1383" s="369">
        <f t="shared" si="65"/>
        <v>6</v>
      </c>
      <c r="L1383" s="369">
        <f>+IF((C1383&gt;='Resultats - informe'!$E$16)*(C1383&lt;='Resultats - informe'!$G$16),1,0)</f>
        <v>1</v>
      </c>
      <c r="M1383" s="369" cm="1">
        <f t="array" ref="M1383">+_xlfn.IFS((C1383&gt;='Resultats - informe'!$D$26)*(C1383&lt;='Resultats - informe'!$E$26),0,(C1383&gt;='Resultats - informe'!$D$27)*(C1383&lt;='Resultats - informe'!$E$27),0,(C1383&gt;='Resultats - informe'!$D$28)*(C1383&lt;='Resultats - informe'!$E$28),0,(C1383&gt;='Resultats - informe'!$D$29)*(C1383&lt;='Resultats - informe'!$E$29),0,1,1)</f>
        <v>0</v>
      </c>
      <c r="N1383" s="366">
        <f>+VLOOKUP(D1383,'Resultats - informe'!$Y$18:$AG$42,'Introducció dades consum'!K1383+1,0)</f>
        <v>0</v>
      </c>
      <c r="O1383" s="370" cm="1">
        <f t="array" ref="O1383">+_xlfn.SWITCH(MONTH(C1383),1,1,2,1,3,1,4,2,5,2,6,3,7,3,8,3,9,3,10,2,11,2,12,1,2)</f>
        <v>1</v>
      </c>
      <c r="P1383" s="43"/>
      <c r="AS1383" s="10"/>
      <c r="AT1383" s="10"/>
      <c r="AU1383" s="10"/>
      <c r="AV1383" s="10"/>
      <c r="AW1383" s="10"/>
      <c r="AX1383" s="10"/>
      <c r="AY1383" s="10"/>
      <c r="AZ1383" s="10"/>
      <c r="BA1383" s="10"/>
      <c r="BB1383" s="10"/>
      <c r="BC1383" s="10"/>
      <c r="BD1383" s="10"/>
      <c r="BE1383" s="10"/>
      <c r="BF1383" s="10"/>
      <c r="BG1383" s="10"/>
      <c r="BH1383" s="10"/>
      <c r="BI1383" s="10"/>
      <c r="BJ1383" s="10"/>
      <c r="BK1383" s="10"/>
      <c r="BL1383" s="10"/>
      <c r="BM1383" s="10"/>
      <c r="BN1383" s="10"/>
      <c r="BO1383" s="10"/>
      <c r="BP1383" s="10"/>
      <c r="BQ1383" s="10"/>
      <c r="BR1383" s="10"/>
      <c r="BS1383" s="10"/>
      <c r="BT1383" s="10"/>
      <c r="BU1383" s="10"/>
    </row>
    <row r="1384" spans="1:73" ht="18" x14ac:dyDescent="0.35">
      <c r="A1384" s="43"/>
      <c r="C1384" s="393"/>
      <c r="E1384" s="394"/>
      <c r="F1384" s="394">
        <v>0.32300000000000001</v>
      </c>
      <c r="G1384" s="394"/>
      <c r="H1384" s="8" t="s">
        <v>235</v>
      </c>
      <c r="I1384" s="368">
        <f t="shared" si="64"/>
        <v>0</v>
      </c>
      <c r="J1384" s="365">
        <f t="shared" si="63"/>
        <v>0</v>
      </c>
      <c r="K1384" s="369">
        <f t="shared" si="65"/>
        <v>6</v>
      </c>
      <c r="L1384" s="369">
        <f>+IF((C1384&gt;='Resultats - informe'!$E$16)*(C1384&lt;='Resultats - informe'!$G$16),1,0)</f>
        <v>1</v>
      </c>
      <c r="M1384" s="369" cm="1">
        <f t="array" ref="M1384">+_xlfn.IFS((C1384&gt;='Resultats - informe'!$D$26)*(C1384&lt;='Resultats - informe'!$E$26),0,(C1384&gt;='Resultats - informe'!$D$27)*(C1384&lt;='Resultats - informe'!$E$27),0,(C1384&gt;='Resultats - informe'!$D$28)*(C1384&lt;='Resultats - informe'!$E$28),0,(C1384&gt;='Resultats - informe'!$D$29)*(C1384&lt;='Resultats - informe'!$E$29),0,1,1)</f>
        <v>0</v>
      </c>
      <c r="N1384" s="366">
        <f>+VLOOKUP(D1384,'Resultats - informe'!$Y$18:$AG$42,'Introducció dades consum'!K1384+1,0)</f>
        <v>0</v>
      </c>
      <c r="O1384" s="370" cm="1">
        <f t="array" ref="O1384">+_xlfn.SWITCH(MONTH(C1384),1,1,2,1,3,1,4,2,5,2,6,3,7,3,8,3,9,3,10,2,11,2,12,1,2)</f>
        <v>1</v>
      </c>
      <c r="P1384" s="43"/>
      <c r="AS1384" s="10"/>
      <c r="AT1384" s="10"/>
      <c r="AU1384" s="10"/>
      <c r="AV1384" s="10"/>
      <c r="AW1384" s="10"/>
      <c r="AX1384" s="10"/>
      <c r="AY1384" s="10"/>
      <c r="AZ1384" s="10"/>
      <c r="BA1384" s="10"/>
      <c r="BB1384" s="10"/>
      <c r="BC1384" s="10"/>
      <c r="BD1384" s="10"/>
      <c r="BE1384" s="10"/>
      <c r="BF1384" s="10"/>
      <c r="BG1384" s="10"/>
      <c r="BH1384" s="10"/>
      <c r="BI1384" s="10"/>
      <c r="BJ1384" s="10"/>
      <c r="BK1384" s="10"/>
      <c r="BL1384" s="10"/>
      <c r="BM1384" s="10"/>
      <c r="BN1384" s="10"/>
      <c r="BO1384" s="10"/>
      <c r="BP1384" s="10"/>
      <c r="BQ1384" s="10"/>
      <c r="BR1384" s="10"/>
      <c r="BS1384" s="10"/>
      <c r="BT1384" s="10"/>
      <c r="BU1384" s="10"/>
    </row>
    <row r="1385" spans="1:73" ht="18" x14ac:dyDescent="0.35">
      <c r="A1385" s="43"/>
      <c r="C1385" s="393"/>
      <c r="E1385" s="394"/>
      <c r="F1385" s="394">
        <v>0.122</v>
      </c>
      <c r="G1385" s="394"/>
      <c r="H1385" s="8" t="s">
        <v>235</v>
      </c>
      <c r="I1385" s="368">
        <f t="shared" si="64"/>
        <v>0</v>
      </c>
      <c r="J1385" s="365">
        <f t="shared" si="63"/>
        <v>0</v>
      </c>
      <c r="K1385" s="369">
        <f t="shared" si="65"/>
        <v>6</v>
      </c>
      <c r="L1385" s="369">
        <f>+IF((C1385&gt;='Resultats - informe'!$E$16)*(C1385&lt;='Resultats - informe'!$G$16),1,0)</f>
        <v>1</v>
      </c>
      <c r="M1385" s="369" cm="1">
        <f t="array" ref="M1385">+_xlfn.IFS((C1385&gt;='Resultats - informe'!$D$26)*(C1385&lt;='Resultats - informe'!$E$26),0,(C1385&gt;='Resultats - informe'!$D$27)*(C1385&lt;='Resultats - informe'!$E$27),0,(C1385&gt;='Resultats - informe'!$D$28)*(C1385&lt;='Resultats - informe'!$E$28),0,(C1385&gt;='Resultats - informe'!$D$29)*(C1385&lt;='Resultats - informe'!$E$29),0,1,1)</f>
        <v>0</v>
      </c>
      <c r="N1385" s="366">
        <f>+VLOOKUP(D1385,'Resultats - informe'!$Y$18:$AG$42,'Introducció dades consum'!K1385+1,0)</f>
        <v>0</v>
      </c>
      <c r="O1385" s="370" cm="1">
        <f t="array" ref="O1385">+_xlfn.SWITCH(MONTH(C1385),1,1,2,1,3,1,4,2,5,2,6,3,7,3,8,3,9,3,10,2,11,2,12,1,2)</f>
        <v>1</v>
      </c>
      <c r="P1385" s="43"/>
      <c r="AS1385" s="10"/>
      <c r="AT1385" s="10"/>
      <c r="AU1385" s="10"/>
      <c r="AV1385" s="10"/>
      <c r="AW1385" s="10"/>
      <c r="AX1385" s="10"/>
      <c r="AY1385" s="10"/>
      <c r="AZ1385" s="10"/>
      <c r="BA1385" s="10"/>
      <c r="BB1385" s="10"/>
      <c r="BC1385" s="10"/>
      <c r="BD1385" s="10"/>
      <c r="BE1385" s="10"/>
      <c r="BF1385" s="10"/>
      <c r="BG1385" s="10"/>
      <c r="BH1385" s="10"/>
      <c r="BI1385" s="10"/>
      <c r="BJ1385" s="10"/>
      <c r="BK1385" s="10"/>
      <c r="BL1385" s="10"/>
      <c r="BM1385" s="10"/>
      <c r="BN1385" s="10"/>
      <c r="BO1385" s="10"/>
      <c r="BP1385" s="10"/>
      <c r="BQ1385" s="10"/>
      <c r="BR1385" s="10"/>
      <c r="BS1385" s="10"/>
      <c r="BT1385" s="10"/>
      <c r="BU1385" s="10"/>
    </row>
    <row r="1386" spans="1:73" ht="18" x14ac:dyDescent="0.35">
      <c r="A1386" s="43"/>
      <c r="C1386" s="393"/>
      <c r="E1386" s="394"/>
      <c r="F1386" s="394">
        <v>0</v>
      </c>
      <c r="G1386" s="394"/>
      <c r="H1386" s="8" t="s">
        <v>235</v>
      </c>
      <c r="I1386" s="368">
        <f t="shared" si="64"/>
        <v>0</v>
      </c>
      <c r="J1386" s="365">
        <f t="shared" si="63"/>
        <v>0</v>
      </c>
      <c r="K1386" s="369">
        <f t="shared" si="65"/>
        <v>6</v>
      </c>
      <c r="L1386" s="369">
        <f>+IF((C1386&gt;='Resultats - informe'!$E$16)*(C1386&lt;='Resultats - informe'!$G$16),1,0)</f>
        <v>1</v>
      </c>
      <c r="M1386" s="369" cm="1">
        <f t="array" ref="M1386">+_xlfn.IFS((C1386&gt;='Resultats - informe'!$D$26)*(C1386&lt;='Resultats - informe'!$E$26),0,(C1386&gt;='Resultats - informe'!$D$27)*(C1386&lt;='Resultats - informe'!$E$27),0,(C1386&gt;='Resultats - informe'!$D$28)*(C1386&lt;='Resultats - informe'!$E$28),0,(C1386&gt;='Resultats - informe'!$D$29)*(C1386&lt;='Resultats - informe'!$E$29),0,1,1)</f>
        <v>0</v>
      </c>
      <c r="N1386" s="366">
        <f>+VLOOKUP(D1386,'Resultats - informe'!$Y$18:$AG$42,'Introducció dades consum'!K1386+1,0)</f>
        <v>0</v>
      </c>
      <c r="O1386" s="370" cm="1">
        <f t="array" ref="O1386">+_xlfn.SWITCH(MONTH(C1386),1,1,2,1,3,1,4,2,5,2,6,3,7,3,8,3,9,3,10,2,11,2,12,1,2)</f>
        <v>1</v>
      </c>
      <c r="P1386" s="43"/>
      <c r="AS1386" s="10"/>
      <c r="AT1386" s="10"/>
      <c r="AU1386" s="10"/>
      <c r="AV1386" s="10"/>
      <c r="AW1386" s="10"/>
      <c r="AX1386" s="10"/>
      <c r="AY1386" s="10"/>
      <c r="AZ1386" s="10"/>
      <c r="BA1386" s="10"/>
      <c r="BB1386" s="10"/>
      <c r="BC1386" s="10"/>
      <c r="BD1386" s="10"/>
      <c r="BE1386" s="10"/>
      <c r="BF1386" s="10"/>
      <c r="BG1386" s="10"/>
      <c r="BH1386" s="10"/>
      <c r="BI1386" s="10"/>
      <c r="BJ1386" s="10"/>
      <c r="BK1386" s="10"/>
      <c r="BL1386" s="10"/>
      <c r="BM1386" s="10"/>
      <c r="BN1386" s="10"/>
      <c r="BO1386" s="10"/>
      <c r="BP1386" s="10"/>
      <c r="BQ1386" s="10"/>
      <c r="BR1386" s="10"/>
      <c r="BS1386" s="10"/>
      <c r="BT1386" s="10"/>
      <c r="BU1386" s="10"/>
    </row>
    <row r="1387" spans="1:73" ht="18" x14ac:dyDescent="0.35">
      <c r="A1387" s="43"/>
      <c r="C1387" s="393"/>
      <c r="E1387" s="394"/>
      <c r="F1387" s="394">
        <v>0.17499999999999999</v>
      </c>
      <c r="G1387" s="394"/>
      <c r="H1387" s="8" t="s">
        <v>235</v>
      </c>
      <c r="I1387" s="368">
        <f t="shared" si="64"/>
        <v>0</v>
      </c>
      <c r="J1387" s="365">
        <f t="shared" si="63"/>
        <v>0</v>
      </c>
      <c r="K1387" s="369">
        <f t="shared" si="65"/>
        <v>6</v>
      </c>
      <c r="L1387" s="369">
        <f>+IF((C1387&gt;='Resultats - informe'!$E$16)*(C1387&lt;='Resultats - informe'!$G$16),1,0)</f>
        <v>1</v>
      </c>
      <c r="M1387" s="369" cm="1">
        <f t="array" ref="M1387">+_xlfn.IFS((C1387&gt;='Resultats - informe'!$D$26)*(C1387&lt;='Resultats - informe'!$E$26),0,(C1387&gt;='Resultats - informe'!$D$27)*(C1387&lt;='Resultats - informe'!$E$27),0,(C1387&gt;='Resultats - informe'!$D$28)*(C1387&lt;='Resultats - informe'!$E$28),0,(C1387&gt;='Resultats - informe'!$D$29)*(C1387&lt;='Resultats - informe'!$E$29),0,1,1)</f>
        <v>0</v>
      </c>
      <c r="N1387" s="366">
        <f>+VLOOKUP(D1387,'Resultats - informe'!$Y$18:$AG$42,'Introducció dades consum'!K1387+1,0)</f>
        <v>0</v>
      </c>
      <c r="O1387" s="370" cm="1">
        <f t="array" ref="O1387">+_xlfn.SWITCH(MONTH(C1387),1,1,2,1,3,1,4,2,5,2,6,3,7,3,8,3,9,3,10,2,11,2,12,1,2)</f>
        <v>1</v>
      </c>
      <c r="P1387" s="43"/>
      <c r="AS1387" s="10"/>
      <c r="AT1387" s="10"/>
      <c r="AU1387" s="10"/>
      <c r="AV1387" s="10"/>
      <c r="AW1387" s="10"/>
      <c r="AX1387" s="10"/>
      <c r="AY1387" s="10"/>
      <c r="AZ1387" s="10"/>
      <c r="BA1387" s="10"/>
      <c r="BB1387" s="10"/>
      <c r="BC1387" s="10"/>
      <c r="BD1387" s="10"/>
      <c r="BE1387" s="10"/>
      <c r="BF1387" s="10"/>
      <c r="BG1387" s="10"/>
      <c r="BH1387" s="10"/>
      <c r="BI1387" s="10"/>
      <c r="BJ1387" s="10"/>
      <c r="BK1387" s="10"/>
      <c r="BL1387" s="10"/>
      <c r="BM1387" s="10"/>
      <c r="BN1387" s="10"/>
      <c r="BO1387" s="10"/>
      <c r="BP1387" s="10"/>
      <c r="BQ1387" s="10"/>
      <c r="BR1387" s="10"/>
      <c r="BS1387" s="10"/>
      <c r="BT1387" s="10"/>
      <c r="BU1387" s="10"/>
    </row>
    <row r="1388" spans="1:73" ht="18" x14ac:dyDescent="0.35">
      <c r="A1388" s="43"/>
      <c r="C1388" s="393"/>
      <c r="E1388" s="394"/>
      <c r="F1388" s="394">
        <v>0.46400000000000002</v>
      </c>
      <c r="G1388" s="394"/>
      <c r="H1388" s="8" t="s">
        <v>235</v>
      </c>
      <c r="I1388" s="368">
        <f t="shared" si="64"/>
        <v>0</v>
      </c>
      <c r="J1388" s="365">
        <f t="shared" si="63"/>
        <v>0</v>
      </c>
      <c r="K1388" s="369">
        <f t="shared" si="65"/>
        <v>6</v>
      </c>
      <c r="L1388" s="369">
        <f>+IF((C1388&gt;='Resultats - informe'!$E$16)*(C1388&lt;='Resultats - informe'!$G$16),1,0)</f>
        <v>1</v>
      </c>
      <c r="M1388" s="369" cm="1">
        <f t="array" ref="M1388">+_xlfn.IFS((C1388&gt;='Resultats - informe'!$D$26)*(C1388&lt;='Resultats - informe'!$E$26),0,(C1388&gt;='Resultats - informe'!$D$27)*(C1388&lt;='Resultats - informe'!$E$27),0,(C1388&gt;='Resultats - informe'!$D$28)*(C1388&lt;='Resultats - informe'!$E$28),0,(C1388&gt;='Resultats - informe'!$D$29)*(C1388&lt;='Resultats - informe'!$E$29),0,1,1)</f>
        <v>0</v>
      </c>
      <c r="N1388" s="366">
        <f>+VLOOKUP(D1388,'Resultats - informe'!$Y$18:$AG$42,'Introducció dades consum'!K1388+1,0)</f>
        <v>0</v>
      </c>
      <c r="O1388" s="370" cm="1">
        <f t="array" ref="O1388">+_xlfn.SWITCH(MONTH(C1388),1,1,2,1,3,1,4,2,5,2,6,3,7,3,8,3,9,3,10,2,11,2,12,1,2)</f>
        <v>1</v>
      </c>
      <c r="P1388" s="43"/>
      <c r="AS1388" s="10"/>
      <c r="AT1388" s="10"/>
      <c r="AU1388" s="10"/>
      <c r="AV1388" s="10"/>
      <c r="AW1388" s="10"/>
      <c r="AX1388" s="10"/>
      <c r="AY1388" s="10"/>
      <c r="AZ1388" s="10"/>
      <c r="BA1388" s="10"/>
      <c r="BB1388" s="10"/>
      <c r="BC1388" s="10"/>
      <c r="BD1388" s="10"/>
      <c r="BE1388" s="10"/>
      <c r="BF1388" s="10"/>
      <c r="BG1388" s="10"/>
      <c r="BH1388" s="10"/>
      <c r="BI1388" s="10"/>
      <c r="BJ1388" s="10"/>
      <c r="BK1388" s="10"/>
      <c r="BL1388" s="10"/>
      <c r="BM1388" s="10"/>
      <c r="BN1388" s="10"/>
      <c r="BO1388" s="10"/>
      <c r="BP1388" s="10"/>
      <c r="BQ1388" s="10"/>
      <c r="BR1388" s="10"/>
      <c r="BS1388" s="10"/>
      <c r="BT1388" s="10"/>
      <c r="BU1388" s="10"/>
    </row>
    <row r="1389" spans="1:73" ht="18" x14ac:dyDescent="0.35">
      <c r="A1389" s="43"/>
      <c r="C1389" s="393"/>
      <c r="E1389" s="394"/>
      <c r="F1389" s="394">
        <v>0</v>
      </c>
      <c r="G1389" s="394"/>
      <c r="H1389" s="8" t="s">
        <v>235</v>
      </c>
      <c r="I1389" s="368">
        <f t="shared" si="64"/>
        <v>0</v>
      </c>
      <c r="J1389" s="365">
        <f t="shared" si="63"/>
        <v>0</v>
      </c>
      <c r="K1389" s="369">
        <f t="shared" si="65"/>
        <v>6</v>
      </c>
      <c r="L1389" s="369">
        <f>+IF((C1389&gt;='Resultats - informe'!$E$16)*(C1389&lt;='Resultats - informe'!$G$16),1,0)</f>
        <v>1</v>
      </c>
      <c r="M1389" s="369" cm="1">
        <f t="array" ref="M1389">+_xlfn.IFS((C1389&gt;='Resultats - informe'!$D$26)*(C1389&lt;='Resultats - informe'!$E$26),0,(C1389&gt;='Resultats - informe'!$D$27)*(C1389&lt;='Resultats - informe'!$E$27),0,(C1389&gt;='Resultats - informe'!$D$28)*(C1389&lt;='Resultats - informe'!$E$28),0,(C1389&gt;='Resultats - informe'!$D$29)*(C1389&lt;='Resultats - informe'!$E$29),0,1,1)</f>
        <v>0</v>
      </c>
      <c r="N1389" s="366">
        <f>+VLOOKUP(D1389,'Resultats - informe'!$Y$18:$AG$42,'Introducció dades consum'!K1389+1,0)</f>
        <v>0</v>
      </c>
      <c r="O1389" s="370" cm="1">
        <f t="array" ref="O1389">+_xlfn.SWITCH(MONTH(C1389),1,1,2,1,3,1,4,2,5,2,6,3,7,3,8,3,9,3,10,2,11,2,12,1,2)</f>
        <v>1</v>
      </c>
      <c r="P1389" s="43"/>
      <c r="AS1389" s="10"/>
      <c r="AT1389" s="10"/>
      <c r="AU1389" s="10"/>
      <c r="AV1389" s="10"/>
      <c r="AW1389" s="10"/>
      <c r="AX1389" s="10"/>
      <c r="AY1389" s="10"/>
      <c r="AZ1389" s="10"/>
      <c r="BA1389" s="10"/>
      <c r="BB1389" s="10"/>
      <c r="BC1389" s="10"/>
      <c r="BD1389" s="10"/>
      <c r="BE1389" s="10"/>
      <c r="BF1389" s="10"/>
      <c r="BG1389" s="10"/>
      <c r="BH1389" s="10"/>
      <c r="BI1389" s="10"/>
      <c r="BJ1389" s="10"/>
      <c r="BK1389" s="10"/>
      <c r="BL1389" s="10"/>
      <c r="BM1389" s="10"/>
      <c r="BN1389" s="10"/>
      <c r="BO1389" s="10"/>
      <c r="BP1389" s="10"/>
      <c r="BQ1389" s="10"/>
      <c r="BR1389" s="10"/>
      <c r="BS1389" s="10"/>
      <c r="BT1389" s="10"/>
      <c r="BU1389" s="10"/>
    </row>
    <row r="1390" spans="1:73" ht="18" x14ac:dyDescent="0.35">
      <c r="A1390" s="43"/>
      <c r="C1390" s="393"/>
      <c r="E1390" s="394"/>
      <c r="F1390" s="394">
        <v>0</v>
      </c>
      <c r="G1390" s="394"/>
      <c r="H1390" s="8" t="s">
        <v>235</v>
      </c>
      <c r="I1390" s="368">
        <f t="shared" si="64"/>
        <v>0</v>
      </c>
      <c r="J1390" s="365">
        <f t="shared" si="63"/>
        <v>0</v>
      </c>
      <c r="K1390" s="369">
        <f t="shared" si="65"/>
        <v>6</v>
      </c>
      <c r="L1390" s="369">
        <f>+IF((C1390&gt;='Resultats - informe'!$E$16)*(C1390&lt;='Resultats - informe'!$G$16),1,0)</f>
        <v>1</v>
      </c>
      <c r="M1390" s="369" cm="1">
        <f t="array" ref="M1390">+_xlfn.IFS((C1390&gt;='Resultats - informe'!$D$26)*(C1390&lt;='Resultats - informe'!$E$26),0,(C1390&gt;='Resultats - informe'!$D$27)*(C1390&lt;='Resultats - informe'!$E$27),0,(C1390&gt;='Resultats - informe'!$D$28)*(C1390&lt;='Resultats - informe'!$E$28),0,(C1390&gt;='Resultats - informe'!$D$29)*(C1390&lt;='Resultats - informe'!$E$29),0,1,1)</f>
        <v>0</v>
      </c>
      <c r="N1390" s="366">
        <f>+VLOOKUP(D1390,'Resultats - informe'!$Y$18:$AG$42,'Introducció dades consum'!K1390+1,0)</f>
        <v>0</v>
      </c>
      <c r="O1390" s="370" cm="1">
        <f t="array" ref="O1390">+_xlfn.SWITCH(MONTH(C1390),1,1,2,1,3,1,4,2,5,2,6,3,7,3,8,3,9,3,10,2,11,2,12,1,2)</f>
        <v>1</v>
      </c>
      <c r="P1390" s="43"/>
      <c r="AS1390" s="10"/>
      <c r="AT1390" s="10"/>
      <c r="AU1390" s="10"/>
      <c r="AV1390" s="10"/>
      <c r="AW1390" s="10"/>
      <c r="AX1390" s="10"/>
      <c r="AY1390" s="10"/>
      <c r="AZ1390" s="10"/>
      <c r="BA1390" s="10"/>
      <c r="BB1390" s="10"/>
      <c r="BC1390" s="10"/>
      <c r="BD1390" s="10"/>
      <c r="BE1390" s="10"/>
      <c r="BF1390" s="10"/>
      <c r="BG1390" s="10"/>
      <c r="BH1390" s="10"/>
      <c r="BI1390" s="10"/>
      <c r="BJ1390" s="10"/>
      <c r="BK1390" s="10"/>
      <c r="BL1390" s="10"/>
      <c r="BM1390" s="10"/>
      <c r="BN1390" s="10"/>
      <c r="BO1390" s="10"/>
      <c r="BP1390" s="10"/>
      <c r="BQ1390" s="10"/>
      <c r="BR1390" s="10"/>
      <c r="BS1390" s="10"/>
      <c r="BT1390" s="10"/>
      <c r="BU1390" s="10"/>
    </row>
    <row r="1391" spans="1:73" ht="18" x14ac:dyDescent="0.35">
      <c r="A1391" s="43"/>
      <c r="C1391" s="393"/>
      <c r="E1391" s="394"/>
      <c r="F1391" s="394">
        <v>0</v>
      </c>
      <c r="G1391" s="394"/>
      <c r="H1391" s="8" t="s">
        <v>235</v>
      </c>
      <c r="I1391" s="368">
        <f t="shared" si="64"/>
        <v>0</v>
      </c>
      <c r="J1391" s="365">
        <f t="shared" si="63"/>
        <v>0</v>
      </c>
      <c r="K1391" s="369">
        <f t="shared" si="65"/>
        <v>6</v>
      </c>
      <c r="L1391" s="369">
        <f>+IF((C1391&gt;='Resultats - informe'!$E$16)*(C1391&lt;='Resultats - informe'!$G$16),1,0)</f>
        <v>1</v>
      </c>
      <c r="M1391" s="369" cm="1">
        <f t="array" ref="M1391">+_xlfn.IFS((C1391&gt;='Resultats - informe'!$D$26)*(C1391&lt;='Resultats - informe'!$E$26),0,(C1391&gt;='Resultats - informe'!$D$27)*(C1391&lt;='Resultats - informe'!$E$27),0,(C1391&gt;='Resultats - informe'!$D$28)*(C1391&lt;='Resultats - informe'!$E$28),0,(C1391&gt;='Resultats - informe'!$D$29)*(C1391&lt;='Resultats - informe'!$E$29),0,1,1)</f>
        <v>0</v>
      </c>
      <c r="N1391" s="366">
        <f>+VLOOKUP(D1391,'Resultats - informe'!$Y$18:$AG$42,'Introducció dades consum'!K1391+1,0)</f>
        <v>0</v>
      </c>
      <c r="O1391" s="370" cm="1">
        <f t="array" ref="O1391">+_xlfn.SWITCH(MONTH(C1391),1,1,2,1,3,1,4,2,5,2,6,3,7,3,8,3,9,3,10,2,11,2,12,1,2)</f>
        <v>1</v>
      </c>
      <c r="P1391" s="43"/>
      <c r="AS1391" s="10"/>
      <c r="AT1391" s="10"/>
      <c r="AU1391" s="10"/>
      <c r="AV1391" s="10"/>
      <c r="AW1391" s="10"/>
      <c r="AX1391" s="10"/>
      <c r="AY1391" s="10"/>
      <c r="AZ1391" s="10"/>
      <c r="BA1391" s="10"/>
      <c r="BB1391" s="10"/>
      <c r="BC1391" s="10"/>
      <c r="BD1391" s="10"/>
      <c r="BE1391" s="10"/>
      <c r="BF1391" s="10"/>
      <c r="BG1391" s="10"/>
      <c r="BH1391" s="10"/>
      <c r="BI1391" s="10"/>
      <c r="BJ1391" s="10"/>
      <c r="BK1391" s="10"/>
      <c r="BL1391" s="10"/>
      <c r="BM1391" s="10"/>
      <c r="BN1391" s="10"/>
      <c r="BO1391" s="10"/>
      <c r="BP1391" s="10"/>
      <c r="BQ1391" s="10"/>
      <c r="BR1391" s="10"/>
      <c r="BS1391" s="10"/>
      <c r="BT1391" s="10"/>
      <c r="BU1391" s="10"/>
    </row>
    <row r="1392" spans="1:73" ht="18" x14ac:dyDescent="0.35">
      <c r="A1392" s="43"/>
      <c r="C1392" s="393"/>
      <c r="E1392" s="394"/>
      <c r="F1392" s="394">
        <v>0</v>
      </c>
      <c r="G1392" s="394"/>
      <c r="H1392" s="8" t="s">
        <v>235</v>
      </c>
      <c r="I1392" s="368">
        <f t="shared" si="64"/>
        <v>0</v>
      </c>
      <c r="J1392" s="365">
        <f t="shared" si="63"/>
        <v>0</v>
      </c>
      <c r="K1392" s="369">
        <f t="shared" si="65"/>
        <v>6</v>
      </c>
      <c r="L1392" s="369">
        <f>+IF((C1392&gt;='Resultats - informe'!$E$16)*(C1392&lt;='Resultats - informe'!$G$16),1,0)</f>
        <v>1</v>
      </c>
      <c r="M1392" s="369" cm="1">
        <f t="array" ref="M1392">+_xlfn.IFS((C1392&gt;='Resultats - informe'!$D$26)*(C1392&lt;='Resultats - informe'!$E$26),0,(C1392&gt;='Resultats - informe'!$D$27)*(C1392&lt;='Resultats - informe'!$E$27),0,(C1392&gt;='Resultats - informe'!$D$28)*(C1392&lt;='Resultats - informe'!$E$28),0,(C1392&gt;='Resultats - informe'!$D$29)*(C1392&lt;='Resultats - informe'!$E$29),0,1,1)</f>
        <v>0</v>
      </c>
      <c r="N1392" s="366">
        <f>+VLOOKUP(D1392,'Resultats - informe'!$Y$18:$AG$42,'Introducció dades consum'!K1392+1,0)</f>
        <v>0</v>
      </c>
      <c r="O1392" s="370" cm="1">
        <f t="array" ref="O1392">+_xlfn.SWITCH(MONTH(C1392),1,1,2,1,3,1,4,2,5,2,6,3,7,3,8,3,9,3,10,2,11,2,12,1,2)</f>
        <v>1</v>
      </c>
      <c r="P1392" s="43"/>
      <c r="AS1392" s="10"/>
      <c r="AT1392" s="10"/>
      <c r="AU1392" s="10"/>
      <c r="AV1392" s="10"/>
      <c r="AW1392" s="10"/>
      <c r="AX1392" s="10"/>
      <c r="AY1392" s="10"/>
      <c r="AZ1392" s="10"/>
      <c r="BA1392" s="10"/>
      <c r="BB1392" s="10"/>
      <c r="BC1392" s="10"/>
      <c r="BD1392" s="10"/>
      <c r="BE1392" s="10"/>
      <c r="BF1392" s="10"/>
      <c r="BG1392" s="10"/>
      <c r="BH1392" s="10"/>
      <c r="BI1392" s="10"/>
      <c r="BJ1392" s="10"/>
      <c r="BK1392" s="10"/>
      <c r="BL1392" s="10"/>
      <c r="BM1392" s="10"/>
      <c r="BN1392" s="10"/>
      <c r="BO1392" s="10"/>
      <c r="BP1392" s="10"/>
      <c r="BQ1392" s="10"/>
      <c r="BR1392" s="10"/>
      <c r="BS1392" s="10"/>
      <c r="BT1392" s="10"/>
      <c r="BU1392" s="10"/>
    </row>
    <row r="1393" spans="1:73" ht="18" x14ac:dyDescent="0.35">
      <c r="A1393" s="43"/>
      <c r="C1393" s="393"/>
      <c r="E1393" s="394"/>
      <c r="F1393" s="394">
        <v>0</v>
      </c>
      <c r="G1393" s="394"/>
      <c r="H1393" s="8" t="s">
        <v>235</v>
      </c>
      <c r="I1393" s="368">
        <f t="shared" si="64"/>
        <v>0</v>
      </c>
      <c r="J1393" s="365">
        <f t="shared" si="63"/>
        <v>0</v>
      </c>
      <c r="K1393" s="369">
        <f t="shared" si="65"/>
        <v>6</v>
      </c>
      <c r="L1393" s="369">
        <f>+IF((C1393&gt;='Resultats - informe'!$E$16)*(C1393&lt;='Resultats - informe'!$G$16),1,0)</f>
        <v>1</v>
      </c>
      <c r="M1393" s="369" cm="1">
        <f t="array" ref="M1393">+_xlfn.IFS((C1393&gt;='Resultats - informe'!$D$26)*(C1393&lt;='Resultats - informe'!$E$26),0,(C1393&gt;='Resultats - informe'!$D$27)*(C1393&lt;='Resultats - informe'!$E$27),0,(C1393&gt;='Resultats - informe'!$D$28)*(C1393&lt;='Resultats - informe'!$E$28),0,(C1393&gt;='Resultats - informe'!$D$29)*(C1393&lt;='Resultats - informe'!$E$29),0,1,1)</f>
        <v>0</v>
      </c>
      <c r="N1393" s="366">
        <f>+VLOOKUP(D1393,'Resultats - informe'!$Y$18:$AG$42,'Introducció dades consum'!K1393+1,0)</f>
        <v>0</v>
      </c>
      <c r="O1393" s="370" cm="1">
        <f t="array" ref="O1393">+_xlfn.SWITCH(MONTH(C1393),1,1,2,1,3,1,4,2,5,2,6,3,7,3,8,3,9,3,10,2,11,2,12,1,2)</f>
        <v>1</v>
      </c>
      <c r="P1393" s="43"/>
      <c r="AS1393" s="10"/>
      <c r="AT1393" s="10"/>
      <c r="AU1393" s="10"/>
      <c r="AV1393" s="10"/>
      <c r="AW1393" s="10"/>
      <c r="AX1393" s="10"/>
      <c r="AY1393" s="10"/>
      <c r="AZ1393" s="10"/>
      <c r="BA1393" s="10"/>
      <c r="BB1393" s="10"/>
      <c r="BC1393" s="10"/>
      <c r="BD1393" s="10"/>
      <c r="BE1393" s="10"/>
      <c r="BF1393" s="10"/>
      <c r="BG1393" s="10"/>
      <c r="BH1393" s="10"/>
      <c r="BI1393" s="10"/>
      <c r="BJ1393" s="10"/>
      <c r="BK1393" s="10"/>
      <c r="BL1393" s="10"/>
      <c r="BM1393" s="10"/>
      <c r="BN1393" s="10"/>
      <c r="BO1393" s="10"/>
      <c r="BP1393" s="10"/>
      <c r="BQ1393" s="10"/>
      <c r="BR1393" s="10"/>
      <c r="BS1393" s="10"/>
      <c r="BT1393" s="10"/>
      <c r="BU1393" s="10"/>
    </row>
    <row r="1394" spans="1:73" ht="18" x14ac:dyDescent="0.35">
      <c r="A1394" s="43"/>
      <c r="C1394" s="393"/>
      <c r="E1394" s="394"/>
      <c r="F1394" s="394">
        <v>0</v>
      </c>
      <c r="G1394" s="394"/>
      <c r="H1394" s="8" t="s">
        <v>235</v>
      </c>
      <c r="I1394" s="368">
        <f t="shared" si="64"/>
        <v>0</v>
      </c>
      <c r="J1394" s="365">
        <f t="shared" si="63"/>
        <v>0</v>
      </c>
      <c r="K1394" s="369">
        <f t="shared" si="65"/>
        <v>6</v>
      </c>
      <c r="L1394" s="369">
        <f>+IF((C1394&gt;='Resultats - informe'!$E$16)*(C1394&lt;='Resultats - informe'!$G$16),1,0)</f>
        <v>1</v>
      </c>
      <c r="M1394" s="369" cm="1">
        <f t="array" ref="M1394">+_xlfn.IFS((C1394&gt;='Resultats - informe'!$D$26)*(C1394&lt;='Resultats - informe'!$E$26),0,(C1394&gt;='Resultats - informe'!$D$27)*(C1394&lt;='Resultats - informe'!$E$27),0,(C1394&gt;='Resultats - informe'!$D$28)*(C1394&lt;='Resultats - informe'!$E$28),0,(C1394&gt;='Resultats - informe'!$D$29)*(C1394&lt;='Resultats - informe'!$E$29),0,1,1)</f>
        <v>0</v>
      </c>
      <c r="N1394" s="366">
        <f>+VLOOKUP(D1394,'Resultats - informe'!$Y$18:$AG$42,'Introducció dades consum'!K1394+1,0)</f>
        <v>0</v>
      </c>
      <c r="O1394" s="370" cm="1">
        <f t="array" ref="O1394">+_xlfn.SWITCH(MONTH(C1394),1,1,2,1,3,1,4,2,5,2,6,3,7,3,8,3,9,3,10,2,11,2,12,1,2)</f>
        <v>1</v>
      </c>
      <c r="P1394" s="43"/>
      <c r="AS1394" s="10"/>
      <c r="AT1394" s="10"/>
      <c r="AU1394" s="10"/>
      <c r="AV1394" s="10"/>
      <c r="AW1394" s="10"/>
      <c r="AX1394" s="10"/>
      <c r="AY1394" s="10"/>
      <c r="AZ1394" s="10"/>
      <c r="BA1394" s="10"/>
      <c r="BB1394" s="10"/>
      <c r="BC1394" s="10"/>
      <c r="BD1394" s="10"/>
      <c r="BE1394" s="10"/>
      <c r="BF1394" s="10"/>
      <c r="BG1394" s="10"/>
      <c r="BH1394" s="10"/>
      <c r="BI1394" s="10"/>
      <c r="BJ1394" s="10"/>
      <c r="BK1394" s="10"/>
      <c r="BL1394" s="10"/>
      <c r="BM1394" s="10"/>
      <c r="BN1394" s="10"/>
      <c r="BO1394" s="10"/>
      <c r="BP1394" s="10"/>
      <c r="BQ1394" s="10"/>
      <c r="BR1394" s="10"/>
      <c r="BS1394" s="10"/>
      <c r="BT1394" s="10"/>
      <c r="BU1394" s="10"/>
    </row>
    <row r="1395" spans="1:73" ht="18" x14ac:dyDescent="0.35">
      <c r="A1395" s="43"/>
      <c r="C1395" s="393"/>
      <c r="E1395" s="394"/>
      <c r="F1395" s="394">
        <v>0</v>
      </c>
      <c r="G1395" s="394"/>
      <c r="H1395" s="8" t="s">
        <v>235</v>
      </c>
      <c r="I1395" s="368">
        <f t="shared" si="64"/>
        <v>0</v>
      </c>
      <c r="J1395" s="365">
        <f t="shared" si="63"/>
        <v>0</v>
      </c>
      <c r="K1395" s="369">
        <f t="shared" si="65"/>
        <v>6</v>
      </c>
      <c r="L1395" s="369">
        <f>+IF((C1395&gt;='Resultats - informe'!$E$16)*(C1395&lt;='Resultats - informe'!$G$16),1,0)</f>
        <v>1</v>
      </c>
      <c r="M1395" s="369" cm="1">
        <f t="array" ref="M1395">+_xlfn.IFS((C1395&gt;='Resultats - informe'!$D$26)*(C1395&lt;='Resultats - informe'!$E$26),0,(C1395&gt;='Resultats - informe'!$D$27)*(C1395&lt;='Resultats - informe'!$E$27),0,(C1395&gt;='Resultats - informe'!$D$28)*(C1395&lt;='Resultats - informe'!$E$28),0,(C1395&gt;='Resultats - informe'!$D$29)*(C1395&lt;='Resultats - informe'!$E$29),0,1,1)</f>
        <v>0</v>
      </c>
      <c r="N1395" s="366">
        <f>+VLOOKUP(D1395,'Resultats - informe'!$Y$18:$AG$42,'Introducció dades consum'!K1395+1,0)</f>
        <v>0</v>
      </c>
      <c r="O1395" s="370" cm="1">
        <f t="array" ref="O1395">+_xlfn.SWITCH(MONTH(C1395),1,1,2,1,3,1,4,2,5,2,6,3,7,3,8,3,9,3,10,2,11,2,12,1,2)</f>
        <v>1</v>
      </c>
      <c r="P1395" s="43"/>
      <c r="AS1395" s="10"/>
      <c r="AT1395" s="10"/>
      <c r="AU1395" s="10"/>
      <c r="AV1395" s="10"/>
      <c r="AW1395" s="10"/>
      <c r="AX1395" s="10"/>
      <c r="AY1395" s="10"/>
      <c r="AZ1395" s="10"/>
      <c r="BA1395" s="10"/>
      <c r="BB1395" s="10"/>
      <c r="BC1395" s="10"/>
      <c r="BD1395" s="10"/>
      <c r="BE1395" s="10"/>
      <c r="BF1395" s="10"/>
      <c r="BG1395" s="10"/>
      <c r="BH1395" s="10"/>
      <c r="BI1395" s="10"/>
      <c r="BJ1395" s="10"/>
      <c r="BK1395" s="10"/>
      <c r="BL1395" s="10"/>
      <c r="BM1395" s="10"/>
      <c r="BN1395" s="10"/>
      <c r="BO1395" s="10"/>
      <c r="BP1395" s="10"/>
      <c r="BQ1395" s="10"/>
      <c r="BR1395" s="10"/>
      <c r="BS1395" s="10"/>
      <c r="BT1395" s="10"/>
      <c r="BU1395" s="10"/>
    </row>
    <row r="1396" spans="1:73" ht="18" x14ac:dyDescent="0.35">
      <c r="A1396" s="43"/>
      <c r="C1396" s="393"/>
      <c r="E1396" s="394"/>
      <c r="F1396" s="394">
        <v>0</v>
      </c>
      <c r="G1396" s="394"/>
      <c r="H1396" s="8" t="s">
        <v>235</v>
      </c>
      <c r="I1396" s="368">
        <f t="shared" si="64"/>
        <v>0</v>
      </c>
      <c r="J1396" s="365">
        <f t="shared" si="63"/>
        <v>0</v>
      </c>
      <c r="K1396" s="369">
        <f t="shared" si="65"/>
        <v>6</v>
      </c>
      <c r="L1396" s="369">
        <f>+IF((C1396&gt;='Resultats - informe'!$E$16)*(C1396&lt;='Resultats - informe'!$G$16),1,0)</f>
        <v>1</v>
      </c>
      <c r="M1396" s="369" cm="1">
        <f t="array" ref="M1396">+_xlfn.IFS((C1396&gt;='Resultats - informe'!$D$26)*(C1396&lt;='Resultats - informe'!$E$26),0,(C1396&gt;='Resultats - informe'!$D$27)*(C1396&lt;='Resultats - informe'!$E$27),0,(C1396&gt;='Resultats - informe'!$D$28)*(C1396&lt;='Resultats - informe'!$E$28),0,(C1396&gt;='Resultats - informe'!$D$29)*(C1396&lt;='Resultats - informe'!$E$29),0,1,1)</f>
        <v>0</v>
      </c>
      <c r="N1396" s="366">
        <f>+VLOOKUP(D1396,'Resultats - informe'!$Y$18:$AG$42,'Introducció dades consum'!K1396+1,0)</f>
        <v>0</v>
      </c>
      <c r="O1396" s="370" cm="1">
        <f t="array" ref="O1396">+_xlfn.SWITCH(MONTH(C1396),1,1,2,1,3,1,4,2,5,2,6,3,7,3,8,3,9,3,10,2,11,2,12,1,2)</f>
        <v>1</v>
      </c>
      <c r="P1396" s="43"/>
      <c r="AS1396" s="10"/>
      <c r="AT1396" s="10"/>
      <c r="AU1396" s="10"/>
      <c r="AV1396" s="10"/>
      <c r="AW1396" s="10"/>
      <c r="AX1396" s="10"/>
      <c r="AY1396" s="10"/>
      <c r="AZ1396" s="10"/>
      <c r="BA1396" s="10"/>
      <c r="BB1396" s="10"/>
      <c r="BC1396" s="10"/>
      <c r="BD1396" s="10"/>
      <c r="BE1396" s="10"/>
      <c r="BF1396" s="10"/>
      <c r="BG1396" s="10"/>
      <c r="BH1396" s="10"/>
      <c r="BI1396" s="10"/>
      <c r="BJ1396" s="10"/>
      <c r="BK1396" s="10"/>
      <c r="BL1396" s="10"/>
      <c r="BM1396" s="10"/>
      <c r="BN1396" s="10"/>
      <c r="BO1396" s="10"/>
      <c r="BP1396" s="10"/>
      <c r="BQ1396" s="10"/>
      <c r="BR1396" s="10"/>
      <c r="BS1396" s="10"/>
      <c r="BT1396" s="10"/>
      <c r="BU1396" s="10"/>
    </row>
    <row r="1397" spans="1:73" ht="18" x14ac:dyDescent="0.35">
      <c r="A1397" s="43"/>
      <c r="C1397" s="393"/>
      <c r="E1397" s="394"/>
      <c r="F1397" s="394">
        <v>0</v>
      </c>
      <c r="G1397" s="394"/>
      <c r="H1397" s="8" t="s">
        <v>235</v>
      </c>
      <c r="I1397" s="368">
        <f t="shared" si="64"/>
        <v>0</v>
      </c>
      <c r="J1397" s="365">
        <f t="shared" si="63"/>
        <v>0</v>
      </c>
      <c r="K1397" s="369">
        <f t="shared" si="65"/>
        <v>6</v>
      </c>
      <c r="L1397" s="369">
        <f>+IF((C1397&gt;='Resultats - informe'!$E$16)*(C1397&lt;='Resultats - informe'!$G$16),1,0)</f>
        <v>1</v>
      </c>
      <c r="M1397" s="369" cm="1">
        <f t="array" ref="M1397">+_xlfn.IFS((C1397&gt;='Resultats - informe'!$D$26)*(C1397&lt;='Resultats - informe'!$E$26),0,(C1397&gt;='Resultats - informe'!$D$27)*(C1397&lt;='Resultats - informe'!$E$27),0,(C1397&gt;='Resultats - informe'!$D$28)*(C1397&lt;='Resultats - informe'!$E$28),0,(C1397&gt;='Resultats - informe'!$D$29)*(C1397&lt;='Resultats - informe'!$E$29),0,1,1)</f>
        <v>0</v>
      </c>
      <c r="N1397" s="366">
        <f>+VLOOKUP(D1397,'Resultats - informe'!$Y$18:$AG$42,'Introducció dades consum'!K1397+1,0)</f>
        <v>0</v>
      </c>
      <c r="O1397" s="370" cm="1">
        <f t="array" ref="O1397">+_xlfn.SWITCH(MONTH(C1397),1,1,2,1,3,1,4,2,5,2,6,3,7,3,8,3,9,3,10,2,11,2,12,1,2)</f>
        <v>1</v>
      </c>
      <c r="P1397" s="43"/>
      <c r="AS1397" s="10"/>
      <c r="AT1397" s="10"/>
      <c r="AU1397" s="10"/>
      <c r="AV1397" s="10"/>
      <c r="AW1397" s="10"/>
      <c r="AX1397" s="10"/>
      <c r="AY1397" s="10"/>
      <c r="AZ1397" s="10"/>
      <c r="BA1397" s="10"/>
      <c r="BB1397" s="10"/>
      <c r="BC1397" s="10"/>
      <c r="BD1397" s="10"/>
      <c r="BE1397" s="10"/>
      <c r="BF1397" s="10"/>
      <c r="BG1397" s="10"/>
      <c r="BH1397" s="10"/>
      <c r="BI1397" s="10"/>
      <c r="BJ1397" s="10"/>
      <c r="BK1397" s="10"/>
      <c r="BL1397" s="10"/>
      <c r="BM1397" s="10"/>
      <c r="BN1397" s="10"/>
      <c r="BO1397" s="10"/>
      <c r="BP1397" s="10"/>
      <c r="BQ1397" s="10"/>
      <c r="BR1397" s="10"/>
      <c r="BS1397" s="10"/>
      <c r="BT1397" s="10"/>
      <c r="BU1397" s="10"/>
    </row>
    <row r="1398" spans="1:73" ht="18" x14ac:dyDescent="0.35">
      <c r="A1398" s="43"/>
      <c r="C1398" s="393"/>
      <c r="E1398" s="394"/>
      <c r="F1398" s="394">
        <v>0</v>
      </c>
      <c r="G1398" s="394"/>
      <c r="H1398" s="8" t="s">
        <v>235</v>
      </c>
      <c r="I1398" s="368">
        <f t="shared" si="64"/>
        <v>0</v>
      </c>
      <c r="J1398" s="365">
        <f t="shared" si="63"/>
        <v>0</v>
      </c>
      <c r="K1398" s="369">
        <f t="shared" si="65"/>
        <v>6</v>
      </c>
      <c r="L1398" s="369">
        <f>+IF((C1398&gt;='Resultats - informe'!$E$16)*(C1398&lt;='Resultats - informe'!$G$16),1,0)</f>
        <v>1</v>
      </c>
      <c r="M1398" s="369" cm="1">
        <f t="array" ref="M1398">+_xlfn.IFS((C1398&gt;='Resultats - informe'!$D$26)*(C1398&lt;='Resultats - informe'!$E$26),0,(C1398&gt;='Resultats - informe'!$D$27)*(C1398&lt;='Resultats - informe'!$E$27),0,(C1398&gt;='Resultats - informe'!$D$28)*(C1398&lt;='Resultats - informe'!$E$28),0,(C1398&gt;='Resultats - informe'!$D$29)*(C1398&lt;='Resultats - informe'!$E$29),0,1,1)</f>
        <v>0</v>
      </c>
      <c r="N1398" s="366">
        <f>+VLOOKUP(D1398,'Resultats - informe'!$Y$18:$AG$42,'Introducció dades consum'!K1398+1,0)</f>
        <v>0</v>
      </c>
      <c r="O1398" s="370" cm="1">
        <f t="array" ref="O1398">+_xlfn.SWITCH(MONTH(C1398),1,1,2,1,3,1,4,2,5,2,6,3,7,3,8,3,9,3,10,2,11,2,12,1,2)</f>
        <v>1</v>
      </c>
      <c r="P1398" s="43"/>
      <c r="AS1398" s="10"/>
      <c r="AT1398" s="10"/>
      <c r="AU1398" s="10"/>
      <c r="AV1398" s="10"/>
      <c r="AW1398" s="10"/>
      <c r="AX1398" s="10"/>
      <c r="AY1398" s="10"/>
      <c r="AZ1398" s="10"/>
      <c r="BA1398" s="10"/>
      <c r="BB1398" s="10"/>
      <c r="BC1398" s="10"/>
      <c r="BD1398" s="10"/>
      <c r="BE1398" s="10"/>
      <c r="BF1398" s="10"/>
      <c r="BG1398" s="10"/>
      <c r="BH1398" s="10"/>
      <c r="BI1398" s="10"/>
      <c r="BJ1398" s="10"/>
      <c r="BK1398" s="10"/>
      <c r="BL1398" s="10"/>
      <c r="BM1398" s="10"/>
      <c r="BN1398" s="10"/>
      <c r="BO1398" s="10"/>
      <c r="BP1398" s="10"/>
      <c r="BQ1398" s="10"/>
      <c r="BR1398" s="10"/>
      <c r="BS1398" s="10"/>
      <c r="BT1398" s="10"/>
      <c r="BU1398" s="10"/>
    </row>
    <row r="1399" spans="1:73" ht="18" x14ac:dyDescent="0.35">
      <c r="A1399" s="43"/>
      <c r="C1399" s="393"/>
      <c r="E1399" s="394"/>
      <c r="F1399" s="394">
        <v>0</v>
      </c>
      <c r="G1399" s="394"/>
      <c r="H1399" s="8" t="s">
        <v>235</v>
      </c>
      <c r="I1399" s="368">
        <f t="shared" si="64"/>
        <v>0</v>
      </c>
      <c r="J1399" s="365">
        <f t="shared" si="63"/>
        <v>0</v>
      </c>
      <c r="K1399" s="369">
        <f t="shared" si="65"/>
        <v>6</v>
      </c>
      <c r="L1399" s="369">
        <f>+IF((C1399&gt;='Resultats - informe'!$E$16)*(C1399&lt;='Resultats - informe'!$G$16),1,0)</f>
        <v>1</v>
      </c>
      <c r="M1399" s="369" cm="1">
        <f t="array" ref="M1399">+_xlfn.IFS((C1399&gt;='Resultats - informe'!$D$26)*(C1399&lt;='Resultats - informe'!$E$26),0,(C1399&gt;='Resultats - informe'!$D$27)*(C1399&lt;='Resultats - informe'!$E$27),0,(C1399&gt;='Resultats - informe'!$D$28)*(C1399&lt;='Resultats - informe'!$E$28),0,(C1399&gt;='Resultats - informe'!$D$29)*(C1399&lt;='Resultats - informe'!$E$29),0,1,1)</f>
        <v>0</v>
      </c>
      <c r="N1399" s="366">
        <f>+VLOOKUP(D1399,'Resultats - informe'!$Y$18:$AG$42,'Introducció dades consum'!K1399+1,0)</f>
        <v>0</v>
      </c>
      <c r="O1399" s="370" cm="1">
        <f t="array" ref="O1399">+_xlfn.SWITCH(MONTH(C1399),1,1,2,1,3,1,4,2,5,2,6,3,7,3,8,3,9,3,10,2,11,2,12,1,2)</f>
        <v>1</v>
      </c>
      <c r="P1399" s="43"/>
      <c r="AS1399" s="10"/>
      <c r="AT1399" s="10"/>
      <c r="AU1399" s="10"/>
      <c r="AV1399" s="10"/>
      <c r="AW1399" s="10"/>
      <c r="AX1399" s="10"/>
      <c r="AY1399" s="10"/>
      <c r="AZ1399" s="10"/>
      <c r="BA1399" s="10"/>
      <c r="BB1399" s="10"/>
      <c r="BC1399" s="10"/>
      <c r="BD1399" s="10"/>
      <c r="BE1399" s="10"/>
      <c r="BF1399" s="10"/>
      <c r="BG1399" s="10"/>
      <c r="BH1399" s="10"/>
      <c r="BI1399" s="10"/>
      <c r="BJ1399" s="10"/>
      <c r="BK1399" s="10"/>
      <c r="BL1399" s="10"/>
      <c r="BM1399" s="10"/>
      <c r="BN1399" s="10"/>
      <c r="BO1399" s="10"/>
      <c r="BP1399" s="10"/>
      <c r="BQ1399" s="10"/>
      <c r="BR1399" s="10"/>
      <c r="BS1399" s="10"/>
      <c r="BT1399" s="10"/>
      <c r="BU1399" s="10"/>
    </row>
    <row r="1400" spans="1:73" ht="18" x14ac:dyDescent="0.35">
      <c r="A1400" s="43"/>
      <c r="C1400" s="393"/>
      <c r="E1400" s="394"/>
      <c r="F1400" s="394">
        <v>0</v>
      </c>
      <c r="G1400" s="394"/>
      <c r="H1400" s="8" t="s">
        <v>235</v>
      </c>
      <c r="I1400" s="368">
        <f t="shared" si="64"/>
        <v>0</v>
      </c>
      <c r="J1400" s="365">
        <f t="shared" si="63"/>
        <v>0</v>
      </c>
      <c r="K1400" s="369">
        <f t="shared" si="65"/>
        <v>6</v>
      </c>
      <c r="L1400" s="369">
        <f>+IF((C1400&gt;='Resultats - informe'!$E$16)*(C1400&lt;='Resultats - informe'!$G$16),1,0)</f>
        <v>1</v>
      </c>
      <c r="M1400" s="369" cm="1">
        <f t="array" ref="M1400">+_xlfn.IFS((C1400&gt;='Resultats - informe'!$D$26)*(C1400&lt;='Resultats - informe'!$E$26),0,(C1400&gt;='Resultats - informe'!$D$27)*(C1400&lt;='Resultats - informe'!$E$27),0,(C1400&gt;='Resultats - informe'!$D$28)*(C1400&lt;='Resultats - informe'!$E$28),0,(C1400&gt;='Resultats - informe'!$D$29)*(C1400&lt;='Resultats - informe'!$E$29),0,1,1)</f>
        <v>0</v>
      </c>
      <c r="N1400" s="366">
        <f>+VLOOKUP(D1400,'Resultats - informe'!$Y$18:$AG$42,'Introducció dades consum'!K1400+1,0)</f>
        <v>0</v>
      </c>
      <c r="O1400" s="370" cm="1">
        <f t="array" ref="O1400">+_xlfn.SWITCH(MONTH(C1400),1,1,2,1,3,1,4,2,5,2,6,3,7,3,8,3,9,3,10,2,11,2,12,1,2)</f>
        <v>1</v>
      </c>
      <c r="P1400" s="43"/>
      <c r="AS1400" s="10"/>
      <c r="AT1400" s="10"/>
      <c r="AU1400" s="10"/>
      <c r="AV1400" s="10"/>
      <c r="AW1400" s="10"/>
      <c r="AX1400" s="10"/>
      <c r="AY1400" s="10"/>
      <c r="AZ1400" s="10"/>
      <c r="BA1400" s="10"/>
      <c r="BB1400" s="10"/>
      <c r="BC1400" s="10"/>
      <c r="BD1400" s="10"/>
      <c r="BE1400" s="10"/>
      <c r="BF1400" s="10"/>
      <c r="BG1400" s="10"/>
      <c r="BH1400" s="10"/>
      <c r="BI1400" s="10"/>
      <c r="BJ1400" s="10"/>
      <c r="BK1400" s="10"/>
      <c r="BL1400" s="10"/>
      <c r="BM1400" s="10"/>
      <c r="BN1400" s="10"/>
      <c r="BO1400" s="10"/>
      <c r="BP1400" s="10"/>
      <c r="BQ1400" s="10"/>
      <c r="BR1400" s="10"/>
      <c r="BS1400" s="10"/>
      <c r="BT1400" s="10"/>
      <c r="BU1400" s="10"/>
    </row>
    <row r="1401" spans="1:73" ht="18" x14ac:dyDescent="0.35">
      <c r="A1401" s="43"/>
      <c r="C1401" s="393"/>
      <c r="E1401" s="394"/>
      <c r="F1401" s="394">
        <v>0</v>
      </c>
      <c r="G1401" s="394"/>
      <c r="H1401" s="8" t="s">
        <v>235</v>
      </c>
      <c r="I1401" s="368">
        <f t="shared" si="64"/>
        <v>0</v>
      </c>
      <c r="J1401" s="365">
        <f t="shared" si="63"/>
        <v>0</v>
      </c>
      <c r="K1401" s="369">
        <f t="shared" si="65"/>
        <v>6</v>
      </c>
      <c r="L1401" s="369">
        <f>+IF((C1401&gt;='Resultats - informe'!$E$16)*(C1401&lt;='Resultats - informe'!$G$16),1,0)</f>
        <v>1</v>
      </c>
      <c r="M1401" s="369" cm="1">
        <f t="array" ref="M1401">+_xlfn.IFS((C1401&gt;='Resultats - informe'!$D$26)*(C1401&lt;='Resultats - informe'!$E$26),0,(C1401&gt;='Resultats - informe'!$D$27)*(C1401&lt;='Resultats - informe'!$E$27),0,(C1401&gt;='Resultats - informe'!$D$28)*(C1401&lt;='Resultats - informe'!$E$28),0,(C1401&gt;='Resultats - informe'!$D$29)*(C1401&lt;='Resultats - informe'!$E$29),0,1,1)</f>
        <v>0</v>
      </c>
      <c r="N1401" s="366">
        <f>+VLOOKUP(D1401,'Resultats - informe'!$Y$18:$AG$42,'Introducció dades consum'!K1401+1,0)</f>
        <v>0</v>
      </c>
      <c r="O1401" s="370" cm="1">
        <f t="array" ref="O1401">+_xlfn.SWITCH(MONTH(C1401),1,1,2,1,3,1,4,2,5,2,6,3,7,3,8,3,9,3,10,2,11,2,12,1,2)</f>
        <v>1</v>
      </c>
      <c r="P1401" s="43"/>
      <c r="AS1401" s="10"/>
      <c r="AT1401" s="10"/>
      <c r="AU1401" s="10"/>
      <c r="AV1401" s="10"/>
      <c r="AW1401" s="10"/>
      <c r="AX1401" s="10"/>
      <c r="AY1401" s="10"/>
      <c r="AZ1401" s="10"/>
      <c r="BA1401" s="10"/>
      <c r="BB1401" s="10"/>
      <c r="BC1401" s="10"/>
      <c r="BD1401" s="10"/>
      <c r="BE1401" s="10"/>
      <c r="BF1401" s="10"/>
      <c r="BG1401" s="10"/>
      <c r="BH1401" s="10"/>
      <c r="BI1401" s="10"/>
      <c r="BJ1401" s="10"/>
      <c r="BK1401" s="10"/>
      <c r="BL1401" s="10"/>
      <c r="BM1401" s="10"/>
      <c r="BN1401" s="10"/>
      <c r="BO1401" s="10"/>
      <c r="BP1401" s="10"/>
      <c r="BQ1401" s="10"/>
      <c r="BR1401" s="10"/>
      <c r="BS1401" s="10"/>
      <c r="BT1401" s="10"/>
      <c r="BU1401" s="10"/>
    </row>
    <row r="1402" spans="1:73" ht="18" x14ac:dyDescent="0.35">
      <c r="A1402" s="43"/>
      <c r="C1402" s="393"/>
      <c r="E1402" s="394"/>
      <c r="F1402" s="394">
        <v>0</v>
      </c>
      <c r="G1402" s="394"/>
      <c r="H1402" s="8" t="s">
        <v>235</v>
      </c>
      <c r="I1402" s="368">
        <f t="shared" si="64"/>
        <v>0</v>
      </c>
      <c r="J1402" s="365">
        <f t="shared" si="63"/>
        <v>0</v>
      </c>
      <c r="K1402" s="369">
        <f t="shared" si="65"/>
        <v>6</v>
      </c>
      <c r="L1402" s="369">
        <f>+IF((C1402&gt;='Resultats - informe'!$E$16)*(C1402&lt;='Resultats - informe'!$G$16),1,0)</f>
        <v>1</v>
      </c>
      <c r="M1402" s="369" cm="1">
        <f t="array" ref="M1402">+_xlfn.IFS((C1402&gt;='Resultats - informe'!$D$26)*(C1402&lt;='Resultats - informe'!$E$26),0,(C1402&gt;='Resultats - informe'!$D$27)*(C1402&lt;='Resultats - informe'!$E$27),0,(C1402&gt;='Resultats - informe'!$D$28)*(C1402&lt;='Resultats - informe'!$E$28),0,(C1402&gt;='Resultats - informe'!$D$29)*(C1402&lt;='Resultats - informe'!$E$29),0,1,1)</f>
        <v>0</v>
      </c>
      <c r="N1402" s="366">
        <f>+VLOOKUP(D1402,'Resultats - informe'!$Y$18:$AG$42,'Introducció dades consum'!K1402+1,0)</f>
        <v>0</v>
      </c>
      <c r="O1402" s="370" cm="1">
        <f t="array" ref="O1402">+_xlfn.SWITCH(MONTH(C1402),1,1,2,1,3,1,4,2,5,2,6,3,7,3,8,3,9,3,10,2,11,2,12,1,2)</f>
        <v>1</v>
      </c>
      <c r="P1402" s="43"/>
      <c r="AS1402" s="10"/>
      <c r="AT1402" s="10"/>
      <c r="AU1402" s="10"/>
      <c r="AV1402" s="10"/>
      <c r="AW1402" s="10"/>
      <c r="AX1402" s="10"/>
      <c r="AY1402" s="10"/>
      <c r="AZ1402" s="10"/>
      <c r="BA1402" s="10"/>
      <c r="BB1402" s="10"/>
      <c r="BC1402" s="10"/>
      <c r="BD1402" s="10"/>
      <c r="BE1402" s="10"/>
      <c r="BF1402" s="10"/>
      <c r="BG1402" s="10"/>
      <c r="BH1402" s="10"/>
      <c r="BI1402" s="10"/>
      <c r="BJ1402" s="10"/>
      <c r="BK1402" s="10"/>
      <c r="BL1402" s="10"/>
      <c r="BM1402" s="10"/>
      <c r="BN1402" s="10"/>
      <c r="BO1402" s="10"/>
      <c r="BP1402" s="10"/>
      <c r="BQ1402" s="10"/>
      <c r="BR1402" s="10"/>
      <c r="BS1402" s="10"/>
      <c r="BT1402" s="10"/>
      <c r="BU1402" s="10"/>
    </row>
    <row r="1403" spans="1:73" ht="18" x14ac:dyDescent="0.35">
      <c r="A1403" s="43"/>
      <c r="C1403" s="393"/>
      <c r="E1403" s="394"/>
      <c r="F1403" s="394">
        <v>0</v>
      </c>
      <c r="G1403" s="394"/>
      <c r="H1403" s="8" t="s">
        <v>235</v>
      </c>
      <c r="I1403" s="368">
        <f t="shared" si="64"/>
        <v>0</v>
      </c>
      <c r="J1403" s="365">
        <f t="shared" ref="J1403:J1466" si="66">+C1403</f>
        <v>0</v>
      </c>
      <c r="K1403" s="369">
        <f t="shared" si="65"/>
        <v>6</v>
      </c>
      <c r="L1403" s="369">
        <f>+IF((C1403&gt;='Resultats - informe'!$E$16)*(C1403&lt;='Resultats - informe'!$G$16),1,0)</f>
        <v>1</v>
      </c>
      <c r="M1403" s="369" cm="1">
        <f t="array" ref="M1403">+_xlfn.IFS((C1403&gt;='Resultats - informe'!$D$26)*(C1403&lt;='Resultats - informe'!$E$26),0,(C1403&gt;='Resultats - informe'!$D$27)*(C1403&lt;='Resultats - informe'!$E$27),0,(C1403&gt;='Resultats - informe'!$D$28)*(C1403&lt;='Resultats - informe'!$E$28),0,(C1403&gt;='Resultats - informe'!$D$29)*(C1403&lt;='Resultats - informe'!$E$29),0,1,1)</f>
        <v>0</v>
      </c>
      <c r="N1403" s="366">
        <f>+VLOOKUP(D1403,'Resultats - informe'!$Y$18:$AG$42,'Introducció dades consum'!K1403+1,0)</f>
        <v>0</v>
      </c>
      <c r="O1403" s="370" cm="1">
        <f t="array" ref="O1403">+_xlfn.SWITCH(MONTH(C1403),1,1,2,1,3,1,4,2,5,2,6,3,7,3,8,3,9,3,10,2,11,2,12,1,2)</f>
        <v>1</v>
      </c>
      <c r="P1403" s="43"/>
      <c r="AS1403" s="10"/>
      <c r="AT1403" s="10"/>
      <c r="AU1403" s="10"/>
      <c r="AV1403" s="10"/>
      <c r="AW1403" s="10"/>
      <c r="AX1403" s="10"/>
      <c r="AY1403" s="10"/>
      <c r="AZ1403" s="10"/>
      <c r="BA1403" s="10"/>
      <c r="BB1403" s="10"/>
      <c r="BC1403" s="10"/>
      <c r="BD1403" s="10"/>
      <c r="BE1403" s="10"/>
      <c r="BF1403" s="10"/>
      <c r="BG1403" s="10"/>
      <c r="BH1403" s="10"/>
      <c r="BI1403" s="10"/>
      <c r="BJ1403" s="10"/>
      <c r="BK1403" s="10"/>
      <c r="BL1403" s="10"/>
      <c r="BM1403" s="10"/>
      <c r="BN1403" s="10"/>
      <c r="BO1403" s="10"/>
      <c r="BP1403" s="10"/>
      <c r="BQ1403" s="10"/>
      <c r="BR1403" s="10"/>
      <c r="BS1403" s="10"/>
      <c r="BT1403" s="10"/>
      <c r="BU1403" s="10"/>
    </row>
    <row r="1404" spans="1:73" ht="18" x14ac:dyDescent="0.35">
      <c r="A1404" s="43"/>
      <c r="C1404" s="393"/>
      <c r="E1404" s="394"/>
      <c r="F1404" s="394">
        <v>0</v>
      </c>
      <c r="G1404" s="394"/>
      <c r="H1404" s="8" t="s">
        <v>235</v>
      </c>
      <c r="I1404" s="368">
        <f t="shared" si="64"/>
        <v>0</v>
      </c>
      <c r="J1404" s="365">
        <f t="shared" si="66"/>
        <v>0</v>
      </c>
      <c r="K1404" s="369">
        <f t="shared" si="65"/>
        <v>6</v>
      </c>
      <c r="L1404" s="369">
        <f>+IF((C1404&gt;='Resultats - informe'!$E$16)*(C1404&lt;='Resultats - informe'!$G$16),1,0)</f>
        <v>1</v>
      </c>
      <c r="M1404" s="369" cm="1">
        <f t="array" ref="M1404">+_xlfn.IFS((C1404&gt;='Resultats - informe'!$D$26)*(C1404&lt;='Resultats - informe'!$E$26),0,(C1404&gt;='Resultats - informe'!$D$27)*(C1404&lt;='Resultats - informe'!$E$27),0,(C1404&gt;='Resultats - informe'!$D$28)*(C1404&lt;='Resultats - informe'!$E$28),0,(C1404&gt;='Resultats - informe'!$D$29)*(C1404&lt;='Resultats - informe'!$E$29),0,1,1)</f>
        <v>0</v>
      </c>
      <c r="N1404" s="366">
        <f>+VLOOKUP(D1404,'Resultats - informe'!$Y$18:$AG$42,'Introducció dades consum'!K1404+1,0)</f>
        <v>0</v>
      </c>
      <c r="O1404" s="370" cm="1">
        <f t="array" ref="O1404">+_xlfn.SWITCH(MONTH(C1404),1,1,2,1,3,1,4,2,5,2,6,3,7,3,8,3,9,3,10,2,11,2,12,1,2)</f>
        <v>1</v>
      </c>
      <c r="P1404" s="43"/>
      <c r="AS1404" s="10"/>
      <c r="AT1404" s="10"/>
      <c r="AU1404" s="10"/>
      <c r="AV1404" s="10"/>
      <c r="AW1404" s="10"/>
      <c r="AX1404" s="10"/>
      <c r="AY1404" s="10"/>
      <c r="AZ1404" s="10"/>
      <c r="BA1404" s="10"/>
      <c r="BB1404" s="10"/>
      <c r="BC1404" s="10"/>
      <c r="BD1404" s="10"/>
      <c r="BE1404" s="10"/>
      <c r="BF1404" s="10"/>
      <c r="BG1404" s="10"/>
      <c r="BH1404" s="10"/>
      <c r="BI1404" s="10"/>
      <c r="BJ1404" s="10"/>
      <c r="BK1404" s="10"/>
      <c r="BL1404" s="10"/>
      <c r="BM1404" s="10"/>
      <c r="BN1404" s="10"/>
      <c r="BO1404" s="10"/>
      <c r="BP1404" s="10"/>
      <c r="BQ1404" s="10"/>
      <c r="BR1404" s="10"/>
      <c r="BS1404" s="10"/>
      <c r="BT1404" s="10"/>
      <c r="BU1404" s="10"/>
    </row>
    <row r="1405" spans="1:73" ht="18" x14ac:dyDescent="0.35">
      <c r="A1405" s="43"/>
      <c r="C1405" s="393"/>
      <c r="E1405" s="394"/>
      <c r="F1405" s="394">
        <v>0</v>
      </c>
      <c r="G1405" s="394"/>
      <c r="H1405" s="8" t="s">
        <v>235</v>
      </c>
      <c r="I1405" s="368">
        <f t="shared" si="64"/>
        <v>0</v>
      </c>
      <c r="J1405" s="365">
        <f t="shared" si="66"/>
        <v>0</v>
      </c>
      <c r="K1405" s="369">
        <f t="shared" si="65"/>
        <v>6</v>
      </c>
      <c r="L1405" s="369">
        <f>+IF((C1405&gt;='Resultats - informe'!$E$16)*(C1405&lt;='Resultats - informe'!$G$16),1,0)</f>
        <v>1</v>
      </c>
      <c r="M1405" s="369" cm="1">
        <f t="array" ref="M1405">+_xlfn.IFS((C1405&gt;='Resultats - informe'!$D$26)*(C1405&lt;='Resultats - informe'!$E$26),0,(C1405&gt;='Resultats - informe'!$D$27)*(C1405&lt;='Resultats - informe'!$E$27),0,(C1405&gt;='Resultats - informe'!$D$28)*(C1405&lt;='Resultats - informe'!$E$28),0,(C1405&gt;='Resultats - informe'!$D$29)*(C1405&lt;='Resultats - informe'!$E$29),0,1,1)</f>
        <v>0</v>
      </c>
      <c r="N1405" s="366">
        <f>+VLOOKUP(D1405,'Resultats - informe'!$Y$18:$AG$42,'Introducció dades consum'!K1405+1,0)</f>
        <v>0</v>
      </c>
      <c r="O1405" s="370" cm="1">
        <f t="array" ref="O1405">+_xlfn.SWITCH(MONTH(C1405),1,1,2,1,3,1,4,2,5,2,6,3,7,3,8,3,9,3,10,2,11,2,12,1,2)</f>
        <v>1</v>
      </c>
      <c r="P1405" s="43"/>
      <c r="AS1405" s="10"/>
      <c r="AT1405" s="10"/>
      <c r="AU1405" s="10"/>
      <c r="AV1405" s="10"/>
      <c r="AW1405" s="10"/>
      <c r="AX1405" s="10"/>
      <c r="AY1405" s="10"/>
      <c r="AZ1405" s="10"/>
      <c r="BA1405" s="10"/>
      <c r="BB1405" s="10"/>
      <c r="BC1405" s="10"/>
      <c r="BD1405" s="10"/>
      <c r="BE1405" s="10"/>
      <c r="BF1405" s="10"/>
      <c r="BG1405" s="10"/>
      <c r="BH1405" s="10"/>
      <c r="BI1405" s="10"/>
      <c r="BJ1405" s="10"/>
      <c r="BK1405" s="10"/>
      <c r="BL1405" s="10"/>
      <c r="BM1405" s="10"/>
      <c r="BN1405" s="10"/>
      <c r="BO1405" s="10"/>
      <c r="BP1405" s="10"/>
      <c r="BQ1405" s="10"/>
      <c r="BR1405" s="10"/>
      <c r="BS1405" s="10"/>
      <c r="BT1405" s="10"/>
      <c r="BU1405" s="10"/>
    </row>
    <row r="1406" spans="1:73" ht="18" x14ac:dyDescent="0.35">
      <c r="A1406" s="43"/>
      <c r="C1406" s="393"/>
      <c r="E1406" s="394"/>
      <c r="F1406" s="394">
        <v>0.41799999999999998</v>
      </c>
      <c r="G1406" s="394"/>
      <c r="H1406" s="8" t="s">
        <v>235</v>
      </c>
      <c r="I1406" s="368">
        <f t="shared" si="64"/>
        <v>0</v>
      </c>
      <c r="J1406" s="365">
        <f t="shared" si="66"/>
        <v>0</v>
      </c>
      <c r="K1406" s="369">
        <f t="shared" si="65"/>
        <v>6</v>
      </c>
      <c r="L1406" s="369">
        <f>+IF((C1406&gt;='Resultats - informe'!$E$16)*(C1406&lt;='Resultats - informe'!$G$16),1,0)</f>
        <v>1</v>
      </c>
      <c r="M1406" s="369" cm="1">
        <f t="array" ref="M1406">+_xlfn.IFS((C1406&gt;='Resultats - informe'!$D$26)*(C1406&lt;='Resultats - informe'!$E$26),0,(C1406&gt;='Resultats - informe'!$D$27)*(C1406&lt;='Resultats - informe'!$E$27),0,(C1406&gt;='Resultats - informe'!$D$28)*(C1406&lt;='Resultats - informe'!$E$28),0,(C1406&gt;='Resultats - informe'!$D$29)*(C1406&lt;='Resultats - informe'!$E$29),0,1,1)</f>
        <v>0</v>
      </c>
      <c r="N1406" s="366">
        <f>+VLOOKUP(D1406,'Resultats - informe'!$Y$18:$AG$42,'Introducció dades consum'!K1406+1,0)</f>
        <v>0</v>
      </c>
      <c r="O1406" s="370" cm="1">
        <f t="array" ref="O1406">+_xlfn.SWITCH(MONTH(C1406),1,1,2,1,3,1,4,2,5,2,6,3,7,3,8,3,9,3,10,2,11,2,12,1,2)</f>
        <v>1</v>
      </c>
      <c r="P1406" s="43"/>
      <c r="AS1406" s="10"/>
      <c r="AT1406" s="10"/>
      <c r="AU1406" s="10"/>
      <c r="AV1406" s="10"/>
      <c r="AW1406" s="10"/>
      <c r="AX1406" s="10"/>
      <c r="AY1406" s="10"/>
      <c r="AZ1406" s="10"/>
      <c r="BA1406" s="10"/>
      <c r="BB1406" s="10"/>
      <c r="BC1406" s="10"/>
      <c r="BD1406" s="10"/>
      <c r="BE1406" s="10"/>
      <c r="BF1406" s="10"/>
      <c r="BG1406" s="10"/>
      <c r="BH1406" s="10"/>
      <c r="BI1406" s="10"/>
      <c r="BJ1406" s="10"/>
      <c r="BK1406" s="10"/>
      <c r="BL1406" s="10"/>
      <c r="BM1406" s="10"/>
      <c r="BN1406" s="10"/>
      <c r="BO1406" s="10"/>
      <c r="BP1406" s="10"/>
      <c r="BQ1406" s="10"/>
      <c r="BR1406" s="10"/>
      <c r="BS1406" s="10"/>
      <c r="BT1406" s="10"/>
      <c r="BU1406" s="10"/>
    </row>
    <row r="1407" spans="1:73" ht="18" x14ac:dyDescent="0.35">
      <c r="A1407" s="43"/>
      <c r="C1407" s="393"/>
      <c r="E1407" s="394"/>
      <c r="F1407" s="394">
        <v>0.14599999999999999</v>
      </c>
      <c r="G1407" s="394"/>
      <c r="H1407" s="8" t="s">
        <v>235</v>
      </c>
      <c r="I1407" s="368">
        <f t="shared" si="64"/>
        <v>0</v>
      </c>
      <c r="J1407" s="365">
        <f t="shared" si="66"/>
        <v>0</v>
      </c>
      <c r="K1407" s="369">
        <f t="shared" si="65"/>
        <v>6</v>
      </c>
      <c r="L1407" s="369">
        <f>+IF((C1407&gt;='Resultats - informe'!$E$16)*(C1407&lt;='Resultats - informe'!$G$16),1,0)</f>
        <v>1</v>
      </c>
      <c r="M1407" s="369" cm="1">
        <f t="array" ref="M1407">+_xlfn.IFS((C1407&gt;='Resultats - informe'!$D$26)*(C1407&lt;='Resultats - informe'!$E$26),0,(C1407&gt;='Resultats - informe'!$D$27)*(C1407&lt;='Resultats - informe'!$E$27),0,(C1407&gt;='Resultats - informe'!$D$28)*(C1407&lt;='Resultats - informe'!$E$28),0,(C1407&gt;='Resultats - informe'!$D$29)*(C1407&lt;='Resultats - informe'!$E$29),0,1,1)</f>
        <v>0</v>
      </c>
      <c r="N1407" s="366">
        <f>+VLOOKUP(D1407,'Resultats - informe'!$Y$18:$AG$42,'Introducció dades consum'!K1407+1,0)</f>
        <v>0</v>
      </c>
      <c r="O1407" s="370" cm="1">
        <f t="array" ref="O1407">+_xlfn.SWITCH(MONTH(C1407),1,1,2,1,3,1,4,2,5,2,6,3,7,3,8,3,9,3,10,2,11,2,12,1,2)</f>
        <v>1</v>
      </c>
      <c r="P1407" s="43"/>
      <c r="AS1407" s="10"/>
      <c r="AT1407" s="10"/>
      <c r="AU1407" s="10"/>
      <c r="AV1407" s="10"/>
      <c r="AW1407" s="10"/>
      <c r="AX1407" s="10"/>
      <c r="AY1407" s="10"/>
      <c r="AZ1407" s="10"/>
      <c r="BA1407" s="10"/>
      <c r="BB1407" s="10"/>
      <c r="BC1407" s="10"/>
      <c r="BD1407" s="10"/>
      <c r="BE1407" s="10"/>
      <c r="BF1407" s="10"/>
      <c r="BG1407" s="10"/>
      <c r="BH1407" s="10"/>
      <c r="BI1407" s="10"/>
      <c r="BJ1407" s="10"/>
      <c r="BK1407" s="10"/>
      <c r="BL1407" s="10"/>
      <c r="BM1407" s="10"/>
      <c r="BN1407" s="10"/>
      <c r="BO1407" s="10"/>
      <c r="BP1407" s="10"/>
      <c r="BQ1407" s="10"/>
      <c r="BR1407" s="10"/>
      <c r="BS1407" s="10"/>
      <c r="BT1407" s="10"/>
      <c r="BU1407" s="10"/>
    </row>
    <row r="1408" spans="1:73" ht="18" x14ac:dyDescent="0.35">
      <c r="A1408" s="43"/>
      <c r="C1408" s="393"/>
      <c r="E1408" s="394"/>
      <c r="F1408" s="394">
        <v>1.607</v>
      </c>
      <c r="G1408" s="394"/>
      <c r="H1408" s="8" t="s">
        <v>61</v>
      </c>
      <c r="I1408" s="368">
        <f t="shared" si="64"/>
        <v>0</v>
      </c>
      <c r="J1408" s="365">
        <f t="shared" si="66"/>
        <v>0</v>
      </c>
      <c r="K1408" s="369">
        <f t="shared" si="65"/>
        <v>6</v>
      </c>
      <c r="L1408" s="369">
        <f>+IF((C1408&gt;='Resultats - informe'!$E$16)*(C1408&lt;='Resultats - informe'!$G$16),1,0)</f>
        <v>1</v>
      </c>
      <c r="M1408" s="369" cm="1">
        <f t="array" ref="M1408">+_xlfn.IFS((C1408&gt;='Resultats - informe'!$D$26)*(C1408&lt;='Resultats - informe'!$E$26),0,(C1408&gt;='Resultats - informe'!$D$27)*(C1408&lt;='Resultats - informe'!$E$27),0,(C1408&gt;='Resultats - informe'!$D$28)*(C1408&lt;='Resultats - informe'!$E$28),0,(C1408&gt;='Resultats - informe'!$D$29)*(C1408&lt;='Resultats - informe'!$E$29),0,1,1)</f>
        <v>0</v>
      </c>
      <c r="N1408" s="366">
        <f>+VLOOKUP(D1408,'Resultats - informe'!$Y$18:$AG$42,'Introducció dades consum'!K1408+1,0)</f>
        <v>0</v>
      </c>
      <c r="O1408" s="370" cm="1">
        <f t="array" ref="O1408">+_xlfn.SWITCH(MONTH(C1408),1,1,2,1,3,1,4,2,5,2,6,3,7,3,8,3,9,3,10,2,11,2,12,1,2)</f>
        <v>1</v>
      </c>
      <c r="P1408" s="43"/>
      <c r="AS1408" s="10"/>
      <c r="AT1408" s="10"/>
      <c r="AU1408" s="10"/>
      <c r="AV1408" s="10"/>
      <c r="AW1408" s="10"/>
      <c r="AX1408" s="10"/>
      <c r="AY1408" s="10"/>
      <c r="AZ1408" s="10"/>
      <c r="BA1408" s="10"/>
      <c r="BB1408" s="10"/>
      <c r="BC1408" s="10"/>
      <c r="BD1408" s="10"/>
      <c r="BE1408" s="10"/>
      <c r="BF1408" s="10"/>
      <c r="BG1408" s="10"/>
      <c r="BH1408" s="10"/>
      <c r="BI1408" s="10"/>
      <c r="BJ1408" s="10"/>
      <c r="BK1408" s="10"/>
      <c r="BL1408" s="10"/>
      <c r="BM1408" s="10"/>
      <c r="BN1408" s="10"/>
      <c r="BO1408" s="10"/>
      <c r="BP1408" s="10"/>
      <c r="BQ1408" s="10"/>
      <c r="BR1408" s="10"/>
      <c r="BS1408" s="10"/>
      <c r="BT1408" s="10"/>
      <c r="BU1408" s="10"/>
    </row>
    <row r="1409" spans="1:73" ht="18" x14ac:dyDescent="0.35">
      <c r="A1409" s="43"/>
      <c r="C1409" s="393"/>
      <c r="E1409" s="394"/>
      <c r="F1409" s="394">
        <v>0.51100000000000001</v>
      </c>
      <c r="G1409" s="394"/>
      <c r="H1409" s="8" t="s">
        <v>61</v>
      </c>
      <c r="I1409" s="368">
        <f t="shared" si="64"/>
        <v>0</v>
      </c>
      <c r="J1409" s="365">
        <f t="shared" si="66"/>
        <v>0</v>
      </c>
      <c r="K1409" s="369">
        <f t="shared" si="65"/>
        <v>6</v>
      </c>
      <c r="L1409" s="369">
        <f>+IF((C1409&gt;='Resultats - informe'!$E$16)*(C1409&lt;='Resultats - informe'!$G$16),1,0)</f>
        <v>1</v>
      </c>
      <c r="M1409" s="369" cm="1">
        <f t="array" ref="M1409">+_xlfn.IFS((C1409&gt;='Resultats - informe'!$D$26)*(C1409&lt;='Resultats - informe'!$E$26),0,(C1409&gt;='Resultats - informe'!$D$27)*(C1409&lt;='Resultats - informe'!$E$27),0,(C1409&gt;='Resultats - informe'!$D$28)*(C1409&lt;='Resultats - informe'!$E$28),0,(C1409&gt;='Resultats - informe'!$D$29)*(C1409&lt;='Resultats - informe'!$E$29),0,1,1)</f>
        <v>0</v>
      </c>
      <c r="N1409" s="366">
        <f>+VLOOKUP(D1409,'Resultats - informe'!$Y$18:$AG$42,'Introducció dades consum'!K1409+1,0)</f>
        <v>0</v>
      </c>
      <c r="O1409" s="370" cm="1">
        <f t="array" ref="O1409">+_xlfn.SWITCH(MONTH(C1409),1,1,2,1,3,1,4,2,5,2,6,3,7,3,8,3,9,3,10,2,11,2,12,1,2)</f>
        <v>1</v>
      </c>
      <c r="P1409" s="43"/>
      <c r="AS1409" s="10"/>
      <c r="AT1409" s="10"/>
      <c r="AU1409" s="10"/>
      <c r="AV1409" s="10"/>
      <c r="AW1409" s="10"/>
      <c r="AX1409" s="10"/>
      <c r="AY1409" s="10"/>
      <c r="AZ1409" s="10"/>
      <c r="BA1409" s="10"/>
      <c r="BB1409" s="10"/>
      <c r="BC1409" s="10"/>
      <c r="BD1409" s="10"/>
      <c r="BE1409" s="10"/>
      <c r="BF1409" s="10"/>
      <c r="BG1409" s="10"/>
      <c r="BH1409" s="10"/>
      <c r="BI1409" s="10"/>
      <c r="BJ1409" s="10"/>
      <c r="BK1409" s="10"/>
      <c r="BL1409" s="10"/>
      <c r="BM1409" s="10"/>
      <c r="BN1409" s="10"/>
      <c r="BO1409" s="10"/>
      <c r="BP1409" s="10"/>
      <c r="BQ1409" s="10"/>
      <c r="BR1409" s="10"/>
      <c r="BS1409" s="10"/>
      <c r="BT1409" s="10"/>
      <c r="BU1409" s="10"/>
    </row>
    <row r="1410" spans="1:73" ht="18" x14ac:dyDescent="0.35">
      <c r="A1410" s="43"/>
      <c r="C1410" s="393"/>
      <c r="E1410" s="394"/>
      <c r="F1410" s="394">
        <v>0.2</v>
      </c>
      <c r="G1410" s="394"/>
      <c r="H1410" s="8" t="s">
        <v>235</v>
      </c>
      <c r="I1410" s="368">
        <f t="shared" si="64"/>
        <v>0</v>
      </c>
      <c r="J1410" s="365">
        <f t="shared" si="66"/>
        <v>0</v>
      </c>
      <c r="K1410" s="369">
        <f t="shared" si="65"/>
        <v>6</v>
      </c>
      <c r="L1410" s="369">
        <f>+IF((C1410&gt;='Resultats - informe'!$E$16)*(C1410&lt;='Resultats - informe'!$G$16),1,0)</f>
        <v>1</v>
      </c>
      <c r="M1410" s="369" cm="1">
        <f t="array" ref="M1410">+_xlfn.IFS((C1410&gt;='Resultats - informe'!$D$26)*(C1410&lt;='Resultats - informe'!$E$26),0,(C1410&gt;='Resultats - informe'!$D$27)*(C1410&lt;='Resultats - informe'!$E$27),0,(C1410&gt;='Resultats - informe'!$D$28)*(C1410&lt;='Resultats - informe'!$E$28),0,(C1410&gt;='Resultats - informe'!$D$29)*(C1410&lt;='Resultats - informe'!$E$29),0,1,1)</f>
        <v>0</v>
      </c>
      <c r="N1410" s="366">
        <f>+VLOOKUP(D1410,'Resultats - informe'!$Y$18:$AG$42,'Introducció dades consum'!K1410+1,0)</f>
        <v>0</v>
      </c>
      <c r="O1410" s="370" cm="1">
        <f t="array" ref="O1410">+_xlfn.SWITCH(MONTH(C1410),1,1,2,1,3,1,4,2,5,2,6,3,7,3,8,3,9,3,10,2,11,2,12,1,2)</f>
        <v>1</v>
      </c>
      <c r="P1410" s="43"/>
      <c r="AS1410" s="10"/>
      <c r="AT1410" s="10"/>
      <c r="AU1410" s="10"/>
      <c r="AV1410" s="10"/>
      <c r="AW1410" s="10"/>
      <c r="AX1410" s="10"/>
      <c r="AY1410" s="10"/>
      <c r="AZ1410" s="10"/>
      <c r="BA1410" s="10"/>
      <c r="BB1410" s="10"/>
      <c r="BC1410" s="10"/>
      <c r="BD1410" s="10"/>
      <c r="BE1410" s="10"/>
      <c r="BF1410" s="10"/>
      <c r="BG1410" s="10"/>
      <c r="BH1410" s="10"/>
      <c r="BI1410" s="10"/>
      <c r="BJ1410" s="10"/>
      <c r="BK1410" s="10"/>
      <c r="BL1410" s="10"/>
      <c r="BM1410" s="10"/>
      <c r="BN1410" s="10"/>
      <c r="BO1410" s="10"/>
      <c r="BP1410" s="10"/>
      <c r="BQ1410" s="10"/>
      <c r="BR1410" s="10"/>
      <c r="BS1410" s="10"/>
      <c r="BT1410" s="10"/>
      <c r="BU1410" s="10"/>
    </row>
    <row r="1411" spans="1:73" ht="18" x14ac:dyDescent="0.35">
      <c r="A1411" s="43"/>
      <c r="C1411" s="393"/>
      <c r="E1411" s="394"/>
      <c r="F1411" s="394">
        <v>0.84599999999999997</v>
      </c>
      <c r="G1411" s="394"/>
      <c r="H1411" s="8" t="s">
        <v>235</v>
      </c>
      <c r="I1411" s="368">
        <f t="shared" si="64"/>
        <v>0</v>
      </c>
      <c r="J1411" s="365">
        <f t="shared" si="66"/>
        <v>0</v>
      </c>
      <c r="K1411" s="369">
        <f t="shared" si="65"/>
        <v>6</v>
      </c>
      <c r="L1411" s="369">
        <f>+IF((C1411&gt;='Resultats - informe'!$E$16)*(C1411&lt;='Resultats - informe'!$G$16),1,0)</f>
        <v>1</v>
      </c>
      <c r="M1411" s="369" cm="1">
        <f t="array" ref="M1411">+_xlfn.IFS((C1411&gt;='Resultats - informe'!$D$26)*(C1411&lt;='Resultats - informe'!$E$26),0,(C1411&gt;='Resultats - informe'!$D$27)*(C1411&lt;='Resultats - informe'!$E$27),0,(C1411&gt;='Resultats - informe'!$D$28)*(C1411&lt;='Resultats - informe'!$E$28),0,(C1411&gt;='Resultats - informe'!$D$29)*(C1411&lt;='Resultats - informe'!$E$29),0,1,1)</f>
        <v>0</v>
      </c>
      <c r="N1411" s="366">
        <f>+VLOOKUP(D1411,'Resultats - informe'!$Y$18:$AG$42,'Introducció dades consum'!K1411+1,0)</f>
        <v>0</v>
      </c>
      <c r="O1411" s="370" cm="1">
        <f t="array" ref="O1411">+_xlfn.SWITCH(MONTH(C1411),1,1,2,1,3,1,4,2,5,2,6,3,7,3,8,3,9,3,10,2,11,2,12,1,2)</f>
        <v>1</v>
      </c>
      <c r="P1411" s="43"/>
      <c r="AS1411" s="10"/>
      <c r="AT1411" s="10"/>
      <c r="AU1411" s="10"/>
      <c r="AV1411" s="10"/>
      <c r="AW1411" s="10"/>
      <c r="AX1411" s="10"/>
      <c r="AY1411" s="10"/>
      <c r="AZ1411" s="10"/>
      <c r="BA1411" s="10"/>
      <c r="BB1411" s="10"/>
      <c r="BC1411" s="10"/>
      <c r="BD1411" s="10"/>
      <c r="BE1411" s="10"/>
      <c r="BF1411" s="10"/>
      <c r="BG1411" s="10"/>
      <c r="BH1411" s="10"/>
      <c r="BI1411" s="10"/>
      <c r="BJ1411" s="10"/>
      <c r="BK1411" s="10"/>
      <c r="BL1411" s="10"/>
      <c r="BM1411" s="10"/>
      <c r="BN1411" s="10"/>
      <c r="BO1411" s="10"/>
      <c r="BP1411" s="10"/>
      <c r="BQ1411" s="10"/>
      <c r="BR1411" s="10"/>
      <c r="BS1411" s="10"/>
      <c r="BT1411" s="10"/>
      <c r="BU1411" s="10"/>
    </row>
    <row r="1412" spans="1:73" ht="18" x14ac:dyDescent="0.35">
      <c r="A1412" s="43"/>
      <c r="C1412" s="393"/>
      <c r="E1412" s="394"/>
      <c r="F1412" s="394">
        <v>0.71299999999999997</v>
      </c>
      <c r="G1412" s="394"/>
      <c r="H1412" s="8" t="s">
        <v>235</v>
      </c>
      <c r="I1412" s="368">
        <f t="shared" si="64"/>
        <v>0</v>
      </c>
      <c r="J1412" s="365">
        <f t="shared" si="66"/>
        <v>0</v>
      </c>
      <c r="K1412" s="369">
        <f t="shared" si="65"/>
        <v>6</v>
      </c>
      <c r="L1412" s="369">
        <f>+IF((C1412&gt;='Resultats - informe'!$E$16)*(C1412&lt;='Resultats - informe'!$G$16),1,0)</f>
        <v>1</v>
      </c>
      <c r="M1412" s="369" cm="1">
        <f t="array" ref="M1412">+_xlfn.IFS((C1412&gt;='Resultats - informe'!$D$26)*(C1412&lt;='Resultats - informe'!$E$26),0,(C1412&gt;='Resultats - informe'!$D$27)*(C1412&lt;='Resultats - informe'!$E$27),0,(C1412&gt;='Resultats - informe'!$D$28)*(C1412&lt;='Resultats - informe'!$E$28),0,(C1412&gt;='Resultats - informe'!$D$29)*(C1412&lt;='Resultats - informe'!$E$29),0,1,1)</f>
        <v>0</v>
      </c>
      <c r="N1412" s="366">
        <f>+VLOOKUP(D1412,'Resultats - informe'!$Y$18:$AG$42,'Introducció dades consum'!K1412+1,0)</f>
        <v>0</v>
      </c>
      <c r="O1412" s="370" cm="1">
        <f t="array" ref="O1412">+_xlfn.SWITCH(MONTH(C1412),1,1,2,1,3,1,4,2,5,2,6,3,7,3,8,3,9,3,10,2,11,2,12,1,2)</f>
        <v>1</v>
      </c>
      <c r="P1412" s="43"/>
      <c r="AS1412" s="10"/>
      <c r="AT1412" s="10"/>
      <c r="AU1412" s="10"/>
      <c r="AV1412" s="10"/>
      <c r="AW1412" s="10"/>
      <c r="AX1412" s="10"/>
      <c r="AY1412" s="10"/>
      <c r="AZ1412" s="10"/>
      <c r="BA1412" s="10"/>
      <c r="BB1412" s="10"/>
      <c r="BC1412" s="10"/>
      <c r="BD1412" s="10"/>
      <c r="BE1412" s="10"/>
      <c r="BF1412" s="10"/>
      <c r="BG1412" s="10"/>
      <c r="BH1412" s="10"/>
      <c r="BI1412" s="10"/>
      <c r="BJ1412" s="10"/>
      <c r="BK1412" s="10"/>
      <c r="BL1412" s="10"/>
      <c r="BM1412" s="10"/>
      <c r="BN1412" s="10"/>
      <c r="BO1412" s="10"/>
      <c r="BP1412" s="10"/>
      <c r="BQ1412" s="10"/>
      <c r="BR1412" s="10"/>
      <c r="BS1412" s="10"/>
      <c r="BT1412" s="10"/>
      <c r="BU1412" s="10"/>
    </row>
    <row r="1413" spans="1:73" ht="18" x14ac:dyDescent="0.35">
      <c r="A1413" s="43"/>
      <c r="C1413" s="393"/>
      <c r="E1413" s="394"/>
      <c r="F1413" s="394">
        <v>0.434</v>
      </c>
      <c r="G1413" s="394"/>
      <c r="H1413" s="8" t="s">
        <v>61</v>
      </c>
      <c r="I1413" s="368">
        <f t="shared" si="64"/>
        <v>0</v>
      </c>
      <c r="J1413" s="365">
        <f t="shared" si="66"/>
        <v>0</v>
      </c>
      <c r="K1413" s="369">
        <f t="shared" si="65"/>
        <v>6</v>
      </c>
      <c r="L1413" s="369">
        <f>+IF((C1413&gt;='Resultats - informe'!$E$16)*(C1413&lt;='Resultats - informe'!$G$16),1,0)</f>
        <v>1</v>
      </c>
      <c r="M1413" s="369" cm="1">
        <f t="array" ref="M1413">+_xlfn.IFS((C1413&gt;='Resultats - informe'!$D$26)*(C1413&lt;='Resultats - informe'!$E$26),0,(C1413&gt;='Resultats - informe'!$D$27)*(C1413&lt;='Resultats - informe'!$E$27),0,(C1413&gt;='Resultats - informe'!$D$28)*(C1413&lt;='Resultats - informe'!$E$28),0,(C1413&gt;='Resultats - informe'!$D$29)*(C1413&lt;='Resultats - informe'!$E$29),0,1,1)</f>
        <v>0</v>
      </c>
      <c r="N1413" s="366">
        <f>+VLOOKUP(D1413,'Resultats - informe'!$Y$18:$AG$42,'Introducció dades consum'!K1413+1,0)</f>
        <v>0</v>
      </c>
      <c r="O1413" s="370" cm="1">
        <f t="array" ref="O1413">+_xlfn.SWITCH(MONTH(C1413),1,1,2,1,3,1,4,2,5,2,6,3,7,3,8,3,9,3,10,2,11,2,12,1,2)</f>
        <v>1</v>
      </c>
      <c r="P1413" s="43"/>
      <c r="AS1413" s="10"/>
      <c r="AT1413" s="10"/>
      <c r="AU1413" s="10"/>
      <c r="AV1413" s="10"/>
      <c r="AW1413" s="10"/>
      <c r="AX1413" s="10"/>
      <c r="AY1413" s="10"/>
      <c r="AZ1413" s="10"/>
      <c r="BA1413" s="10"/>
      <c r="BB1413" s="10"/>
      <c r="BC1413" s="10"/>
      <c r="BD1413" s="10"/>
      <c r="BE1413" s="10"/>
      <c r="BF1413" s="10"/>
      <c r="BG1413" s="10"/>
      <c r="BH1413" s="10"/>
      <c r="BI1413" s="10"/>
      <c r="BJ1413" s="10"/>
      <c r="BK1413" s="10"/>
      <c r="BL1413" s="10"/>
      <c r="BM1413" s="10"/>
      <c r="BN1413" s="10"/>
      <c r="BO1413" s="10"/>
      <c r="BP1413" s="10"/>
      <c r="BQ1413" s="10"/>
      <c r="BR1413" s="10"/>
      <c r="BS1413" s="10"/>
      <c r="BT1413" s="10"/>
      <c r="BU1413" s="10"/>
    </row>
    <row r="1414" spans="1:73" ht="18" x14ac:dyDescent="0.35">
      <c r="A1414" s="43"/>
      <c r="C1414" s="393"/>
      <c r="E1414" s="394"/>
      <c r="F1414" s="394">
        <v>0</v>
      </c>
      <c r="G1414" s="394"/>
      <c r="H1414" s="8" t="s">
        <v>235</v>
      </c>
      <c r="I1414" s="368">
        <f t="shared" ref="I1414:I1477" si="67">+E1414+G1414</f>
        <v>0</v>
      </c>
      <c r="J1414" s="365">
        <f t="shared" si="66"/>
        <v>0</v>
      </c>
      <c r="K1414" s="369">
        <f t="shared" ref="K1414:K1477" si="68">+WEEKDAY(C1414,2)</f>
        <v>6</v>
      </c>
      <c r="L1414" s="369">
        <f>+IF((C1414&gt;='Resultats - informe'!$E$16)*(C1414&lt;='Resultats - informe'!$G$16),1,0)</f>
        <v>1</v>
      </c>
      <c r="M1414" s="369" cm="1">
        <f t="array" ref="M1414">+_xlfn.IFS((C1414&gt;='Resultats - informe'!$D$26)*(C1414&lt;='Resultats - informe'!$E$26),0,(C1414&gt;='Resultats - informe'!$D$27)*(C1414&lt;='Resultats - informe'!$E$27),0,(C1414&gt;='Resultats - informe'!$D$28)*(C1414&lt;='Resultats - informe'!$E$28),0,(C1414&gt;='Resultats - informe'!$D$29)*(C1414&lt;='Resultats - informe'!$E$29),0,1,1)</f>
        <v>0</v>
      </c>
      <c r="N1414" s="366">
        <f>+VLOOKUP(D1414,'Resultats - informe'!$Y$18:$AG$42,'Introducció dades consum'!K1414+1,0)</f>
        <v>0</v>
      </c>
      <c r="O1414" s="370" cm="1">
        <f t="array" ref="O1414">+_xlfn.SWITCH(MONTH(C1414),1,1,2,1,3,1,4,2,5,2,6,3,7,3,8,3,9,3,10,2,11,2,12,1,2)</f>
        <v>1</v>
      </c>
      <c r="P1414" s="43"/>
      <c r="AS1414" s="10"/>
      <c r="AT1414" s="10"/>
      <c r="AU1414" s="10"/>
      <c r="AV1414" s="10"/>
      <c r="AW1414" s="10"/>
      <c r="AX1414" s="10"/>
      <c r="AY1414" s="10"/>
      <c r="AZ1414" s="10"/>
      <c r="BA1414" s="10"/>
      <c r="BB1414" s="10"/>
      <c r="BC1414" s="10"/>
      <c r="BD1414" s="10"/>
      <c r="BE1414" s="10"/>
      <c r="BF1414" s="10"/>
      <c r="BG1414" s="10"/>
      <c r="BH1414" s="10"/>
      <c r="BI1414" s="10"/>
      <c r="BJ1414" s="10"/>
      <c r="BK1414" s="10"/>
      <c r="BL1414" s="10"/>
      <c r="BM1414" s="10"/>
      <c r="BN1414" s="10"/>
      <c r="BO1414" s="10"/>
      <c r="BP1414" s="10"/>
      <c r="BQ1414" s="10"/>
      <c r="BR1414" s="10"/>
      <c r="BS1414" s="10"/>
      <c r="BT1414" s="10"/>
      <c r="BU1414" s="10"/>
    </row>
    <row r="1415" spans="1:73" ht="18" x14ac:dyDescent="0.35">
      <c r="A1415" s="43"/>
      <c r="C1415" s="393"/>
      <c r="E1415" s="394"/>
      <c r="F1415" s="394">
        <v>0</v>
      </c>
      <c r="G1415" s="394"/>
      <c r="H1415" s="8" t="s">
        <v>235</v>
      </c>
      <c r="I1415" s="368">
        <f t="shared" si="67"/>
        <v>0</v>
      </c>
      <c r="J1415" s="365">
        <f t="shared" si="66"/>
        <v>0</v>
      </c>
      <c r="K1415" s="369">
        <f t="shared" si="68"/>
        <v>6</v>
      </c>
      <c r="L1415" s="369">
        <f>+IF((C1415&gt;='Resultats - informe'!$E$16)*(C1415&lt;='Resultats - informe'!$G$16),1,0)</f>
        <v>1</v>
      </c>
      <c r="M1415" s="369" cm="1">
        <f t="array" ref="M1415">+_xlfn.IFS((C1415&gt;='Resultats - informe'!$D$26)*(C1415&lt;='Resultats - informe'!$E$26),0,(C1415&gt;='Resultats - informe'!$D$27)*(C1415&lt;='Resultats - informe'!$E$27),0,(C1415&gt;='Resultats - informe'!$D$28)*(C1415&lt;='Resultats - informe'!$E$28),0,(C1415&gt;='Resultats - informe'!$D$29)*(C1415&lt;='Resultats - informe'!$E$29),0,1,1)</f>
        <v>0</v>
      </c>
      <c r="N1415" s="366">
        <f>+VLOOKUP(D1415,'Resultats - informe'!$Y$18:$AG$42,'Introducció dades consum'!K1415+1,0)</f>
        <v>0</v>
      </c>
      <c r="O1415" s="370" cm="1">
        <f t="array" ref="O1415">+_xlfn.SWITCH(MONTH(C1415),1,1,2,1,3,1,4,2,5,2,6,3,7,3,8,3,9,3,10,2,11,2,12,1,2)</f>
        <v>1</v>
      </c>
      <c r="P1415" s="43"/>
      <c r="AS1415" s="10"/>
      <c r="AT1415" s="10"/>
      <c r="AU1415" s="10"/>
      <c r="AV1415" s="10"/>
      <c r="AW1415" s="10"/>
      <c r="AX1415" s="10"/>
      <c r="AY1415" s="10"/>
      <c r="AZ1415" s="10"/>
      <c r="BA1415" s="10"/>
      <c r="BB1415" s="10"/>
      <c r="BC1415" s="10"/>
      <c r="BD1415" s="10"/>
      <c r="BE1415" s="10"/>
      <c r="BF1415" s="10"/>
      <c r="BG1415" s="10"/>
      <c r="BH1415" s="10"/>
      <c r="BI1415" s="10"/>
      <c r="BJ1415" s="10"/>
      <c r="BK1415" s="10"/>
      <c r="BL1415" s="10"/>
      <c r="BM1415" s="10"/>
      <c r="BN1415" s="10"/>
      <c r="BO1415" s="10"/>
      <c r="BP1415" s="10"/>
      <c r="BQ1415" s="10"/>
      <c r="BR1415" s="10"/>
      <c r="BS1415" s="10"/>
      <c r="BT1415" s="10"/>
      <c r="BU1415" s="10"/>
    </row>
    <row r="1416" spans="1:73" ht="18" x14ac:dyDescent="0.35">
      <c r="A1416" s="43"/>
      <c r="C1416" s="393"/>
      <c r="E1416" s="394"/>
      <c r="F1416" s="394">
        <v>0</v>
      </c>
      <c r="G1416" s="394"/>
      <c r="H1416" s="8" t="s">
        <v>235</v>
      </c>
      <c r="I1416" s="368">
        <f t="shared" si="67"/>
        <v>0</v>
      </c>
      <c r="J1416" s="365">
        <f t="shared" si="66"/>
        <v>0</v>
      </c>
      <c r="K1416" s="369">
        <f t="shared" si="68"/>
        <v>6</v>
      </c>
      <c r="L1416" s="369">
        <f>+IF((C1416&gt;='Resultats - informe'!$E$16)*(C1416&lt;='Resultats - informe'!$G$16),1,0)</f>
        <v>1</v>
      </c>
      <c r="M1416" s="369" cm="1">
        <f t="array" ref="M1416">+_xlfn.IFS((C1416&gt;='Resultats - informe'!$D$26)*(C1416&lt;='Resultats - informe'!$E$26),0,(C1416&gt;='Resultats - informe'!$D$27)*(C1416&lt;='Resultats - informe'!$E$27),0,(C1416&gt;='Resultats - informe'!$D$28)*(C1416&lt;='Resultats - informe'!$E$28),0,(C1416&gt;='Resultats - informe'!$D$29)*(C1416&lt;='Resultats - informe'!$E$29),0,1,1)</f>
        <v>0</v>
      </c>
      <c r="N1416" s="366">
        <f>+VLOOKUP(D1416,'Resultats - informe'!$Y$18:$AG$42,'Introducció dades consum'!K1416+1,0)</f>
        <v>0</v>
      </c>
      <c r="O1416" s="370" cm="1">
        <f t="array" ref="O1416">+_xlfn.SWITCH(MONTH(C1416),1,1,2,1,3,1,4,2,5,2,6,3,7,3,8,3,9,3,10,2,11,2,12,1,2)</f>
        <v>1</v>
      </c>
      <c r="P1416" s="43"/>
      <c r="AS1416" s="10"/>
      <c r="AT1416" s="10"/>
      <c r="AU1416" s="10"/>
      <c r="AV1416" s="10"/>
      <c r="AW1416" s="10"/>
      <c r="AX1416" s="10"/>
      <c r="AY1416" s="10"/>
      <c r="AZ1416" s="10"/>
      <c r="BA1416" s="10"/>
      <c r="BB1416" s="10"/>
      <c r="BC1416" s="10"/>
      <c r="BD1416" s="10"/>
      <c r="BE1416" s="10"/>
      <c r="BF1416" s="10"/>
      <c r="BG1416" s="10"/>
      <c r="BH1416" s="10"/>
      <c r="BI1416" s="10"/>
      <c r="BJ1416" s="10"/>
      <c r="BK1416" s="10"/>
      <c r="BL1416" s="10"/>
      <c r="BM1416" s="10"/>
      <c r="BN1416" s="10"/>
      <c r="BO1416" s="10"/>
      <c r="BP1416" s="10"/>
      <c r="BQ1416" s="10"/>
      <c r="BR1416" s="10"/>
      <c r="BS1416" s="10"/>
      <c r="BT1416" s="10"/>
      <c r="BU1416" s="10"/>
    </row>
    <row r="1417" spans="1:73" ht="18" x14ac:dyDescent="0.35">
      <c r="A1417" s="43"/>
      <c r="C1417" s="393"/>
      <c r="E1417" s="394"/>
      <c r="F1417" s="394">
        <v>0</v>
      </c>
      <c r="G1417" s="394"/>
      <c r="H1417" s="8" t="s">
        <v>235</v>
      </c>
      <c r="I1417" s="368">
        <f t="shared" si="67"/>
        <v>0</v>
      </c>
      <c r="J1417" s="365">
        <f t="shared" si="66"/>
        <v>0</v>
      </c>
      <c r="K1417" s="369">
        <f t="shared" si="68"/>
        <v>6</v>
      </c>
      <c r="L1417" s="369">
        <f>+IF((C1417&gt;='Resultats - informe'!$E$16)*(C1417&lt;='Resultats - informe'!$G$16),1,0)</f>
        <v>1</v>
      </c>
      <c r="M1417" s="369" cm="1">
        <f t="array" ref="M1417">+_xlfn.IFS((C1417&gt;='Resultats - informe'!$D$26)*(C1417&lt;='Resultats - informe'!$E$26),0,(C1417&gt;='Resultats - informe'!$D$27)*(C1417&lt;='Resultats - informe'!$E$27),0,(C1417&gt;='Resultats - informe'!$D$28)*(C1417&lt;='Resultats - informe'!$E$28),0,(C1417&gt;='Resultats - informe'!$D$29)*(C1417&lt;='Resultats - informe'!$E$29),0,1,1)</f>
        <v>0</v>
      </c>
      <c r="N1417" s="366">
        <f>+VLOOKUP(D1417,'Resultats - informe'!$Y$18:$AG$42,'Introducció dades consum'!K1417+1,0)</f>
        <v>0</v>
      </c>
      <c r="O1417" s="370" cm="1">
        <f t="array" ref="O1417">+_xlfn.SWITCH(MONTH(C1417),1,1,2,1,3,1,4,2,5,2,6,3,7,3,8,3,9,3,10,2,11,2,12,1,2)</f>
        <v>1</v>
      </c>
      <c r="P1417" s="43"/>
      <c r="AS1417" s="10"/>
      <c r="AT1417" s="10"/>
      <c r="AU1417" s="10"/>
      <c r="AV1417" s="10"/>
      <c r="AW1417" s="10"/>
      <c r="AX1417" s="10"/>
      <c r="AY1417" s="10"/>
      <c r="AZ1417" s="10"/>
      <c r="BA1417" s="10"/>
      <c r="BB1417" s="10"/>
      <c r="BC1417" s="10"/>
      <c r="BD1417" s="10"/>
      <c r="BE1417" s="10"/>
      <c r="BF1417" s="10"/>
      <c r="BG1417" s="10"/>
      <c r="BH1417" s="10"/>
      <c r="BI1417" s="10"/>
      <c r="BJ1417" s="10"/>
      <c r="BK1417" s="10"/>
      <c r="BL1417" s="10"/>
      <c r="BM1417" s="10"/>
      <c r="BN1417" s="10"/>
      <c r="BO1417" s="10"/>
      <c r="BP1417" s="10"/>
      <c r="BQ1417" s="10"/>
      <c r="BR1417" s="10"/>
      <c r="BS1417" s="10"/>
      <c r="BT1417" s="10"/>
      <c r="BU1417" s="10"/>
    </row>
    <row r="1418" spans="1:73" ht="18" x14ac:dyDescent="0.35">
      <c r="A1418" s="43"/>
      <c r="C1418" s="393"/>
      <c r="E1418" s="394"/>
      <c r="F1418" s="394">
        <v>0</v>
      </c>
      <c r="G1418" s="394"/>
      <c r="H1418" s="8" t="s">
        <v>235</v>
      </c>
      <c r="I1418" s="368">
        <f t="shared" si="67"/>
        <v>0</v>
      </c>
      <c r="J1418" s="365">
        <f t="shared" si="66"/>
        <v>0</v>
      </c>
      <c r="K1418" s="369">
        <f t="shared" si="68"/>
        <v>6</v>
      </c>
      <c r="L1418" s="369">
        <f>+IF((C1418&gt;='Resultats - informe'!$E$16)*(C1418&lt;='Resultats - informe'!$G$16),1,0)</f>
        <v>1</v>
      </c>
      <c r="M1418" s="369" cm="1">
        <f t="array" ref="M1418">+_xlfn.IFS((C1418&gt;='Resultats - informe'!$D$26)*(C1418&lt;='Resultats - informe'!$E$26),0,(C1418&gt;='Resultats - informe'!$D$27)*(C1418&lt;='Resultats - informe'!$E$27),0,(C1418&gt;='Resultats - informe'!$D$28)*(C1418&lt;='Resultats - informe'!$E$28),0,(C1418&gt;='Resultats - informe'!$D$29)*(C1418&lt;='Resultats - informe'!$E$29),0,1,1)</f>
        <v>0</v>
      </c>
      <c r="N1418" s="366">
        <f>+VLOOKUP(D1418,'Resultats - informe'!$Y$18:$AG$42,'Introducció dades consum'!K1418+1,0)</f>
        <v>0</v>
      </c>
      <c r="O1418" s="370" cm="1">
        <f t="array" ref="O1418">+_xlfn.SWITCH(MONTH(C1418),1,1,2,1,3,1,4,2,5,2,6,3,7,3,8,3,9,3,10,2,11,2,12,1,2)</f>
        <v>1</v>
      </c>
      <c r="P1418" s="43"/>
      <c r="AS1418" s="10"/>
      <c r="AT1418" s="10"/>
      <c r="AU1418" s="10"/>
      <c r="AV1418" s="10"/>
      <c r="AW1418" s="10"/>
      <c r="AX1418" s="10"/>
      <c r="AY1418" s="10"/>
      <c r="AZ1418" s="10"/>
      <c r="BA1418" s="10"/>
      <c r="BB1418" s="10"/>
      <c r="BC1418" s="10"/>
      <c r="BD1418" s="10"/>
      <c r="BE1418" s="10"/>
      <c r="BF1418" s="10"/>
      <c r="BG1418" s="10"/>
      <c r="BH1418" s="10"/>
      <c r="BI1418" s="10"/>
      <c r="BJ1418" s="10"/>
      <c r="BK1418" s="10"/>
      <c r="BL1418" s="10"/>
      <c r="BM1418" s="10"/>
      <c r="BN1418" s="10"/>
      <c r="BO1418" s="10"/>
      <c r="BP1418" s="10"/>
      <c r="BQ1418" s="10"/>
      <c r="BR1418" s="10"/>
      <c r="BS1418" s="10"/>
      <c r="BT1418" s="10"/>
      <c r="BU1418" s="10"/>
    </row>
    <row r="1419" spans="1:73" ht="18" x14ac:dyDescent="0.35">
      <c r="A1419" s="43"/>
      <c r="C1419" s="393"/>
      <c r="E1419" s="394"/>
      <c r="F1419" s="394">
        <v>0</v>
      </c>
      <c r="G1419" s="394"/>
      <c r="H1419" s="8" t="s">
        <v>235</v>
      </c>
      <c r="I1419" s="368">
        <f t="shared" si="67"/>
        <v>0</v>
      </c>
      <c r="J1419" s="365">
        <f t="shared" si="66"/>
        <v>0</v>
      </c>
      <c r="K1419" s="369">
        <f t="shared" si="68"/>
        <v>6</v>
      </c>
      <c r="L1419" s="369">
        <f>+IF((C1419&gt;='Resultats - informe'!$E$16)*(C1419&lt;='Resultats - informe'!$G$16),1,0)</f>
        <v>1</v>
      </c>
      <c r="M1419" s="369" cm="1">
        <f t="array" ref="M1419">+_xlfn.IFS((C1419&gt;='Resultats - informe'!$D$26)*(C1419&lt;='Resultats - informe'!$E$26),0,(C1419&gt;='Resultats - informe'!$D$27)*(C1419&lt;='Resultats - informe'!$E$27),0,(C1419&gt;='Resultats - informe'!$D$28)*(C1419&lt;='Resultats - informe'!$E$28),0,(C1419&gt;='Resultats - informe'!$D$29)*(C1419&lt;='Resultats - informe'!$E$29),0,1,1)</f>
        <v>0</v>
      </c>
      <c r="N1419" s="366">
        <f>+VLOOKUP(D1419,'Resultats - informe'!$Y$18:$AG$42,'Introducció dades consum'!K1419+1,0)</f>
        <v>0</v>
      </c>
      <c r="O1419" s="370" cm="1">
        <f t="array" ref="O1419">+_xlfn.SWITCH(MONTH(C1419),1,1,2,1,3,1,4,2,5,2,6,3,7,3,8,3,9,3,10,2,11,2,12,1,2)</f>
        <v>1</v>
      </c>
      <c r="P1419" s="43"/>
      <c r="AS1419" s="10"/>
      <c r="AT1419" s="10"/>
      <c r="AU1419" s="10"/>
      <c r="AV1419" s="10"/>
      <c r="AW1419" s="10"/>
      <c r="AX1419" s="10"/>
      <c r="AY1419" s="10"/>
      <c r="AZ1419" s="10"/>
      <c r="BA1419" s="10"/>
      <c r="BB1419" s="10"/>
      <c r="BC1419" s="10"/>
      <c r="BD1419" s="10"/>
      <c r="BE1419" s="10"/>
      <c r="BF1419" s="10"/>
      <c r="BG1419" s="10"/>
      <c r="BH1419" s="10"/>
      <c r="BI1419" s="10"/>
      <c r="BJ1419" s="10"/>
      <c r="BK1419" s="10"/>
      <c r="BL1419" s="10"/>
      <c r="BM1419" s="10"/>
      <c r="BN1419" s="10"/>
      <c r="BO1419" s="10"/>
      <c r="BP1419" s="10"/>
      <c r="BQ1419" s="10"/>
      <c r="BR1419" s="10"/>
      <c r="BS1419" s="10"/>
      <c r="BT1419" s="10"/>
      <c r="BU1419" s="10"/>
    </row>
    <row r="1420" spans="1:73" ht="18" x14ac:dyDescent="0.35">
      <c r="A1420" s="43"/>
      <c r="C1420" s="393"/>
      <c r="E1420" s="394"/>
      <c r="F1420" s="394">
        <v>0</v>
      </c>
      <c r="G1420" s="394"/>
      <c r="H1420" s="8" t="s">
        <v>235</v>
      </c>
      <c r="I1420" s="368">
        <f t="shared" si="67"/>
        <v>0</v>
      </c>
      <c r="J1420" s="365">
        <f t="shared" si="66"/>
        <v>0</v>
      </c>
      <c r="K1420" s="369">
        <f t="shared" si="68"/>
        <v>6</v>
      </c>
      <c r="L1420" s="369">
        <f>+IF((C1420&gt;='Resultats - informe'!$E$16)*(C1420&lt;='Resultats - informe'!$G$16),1,0)</f>
        <v>1</v>
      </c>
      <c r="M1420" s="369" cm="1">
        <f t="array" ref="M1420">+_xlfn.IFS((C1420&gt;='Resultats - informe'!$D$26)*(C1420&lt;='Resultats - informe'!$E$26),0,(C1420&gt;='Resultats - informe'!$D$27)*(C1420&lt;='Resultats - informe'!$E$27),0,(C1420&gt;='Resultats - informe'!$D$28)*(C1420&lt;='Resultats - informe'!$E$28),0,(C1420&gt;='Resultats - informe'!$D$29)*(C1420&lt;='Resultats - informe'!$E$29),0,1,1)</f>
        <v>0</v>
      </c>
      <c r="N1420" s="366">
        <f>+VLOOKUP(D1420,'Resultats - informe'!$Y$18:$AG$42,'Introducció dades consum'!K1420+1,0)</f>
        <v>0</v>
      </c>
      <c r="O1420" s="370" cm="1">
        <f t="array" ref="O1420">+_xlfn.SWITCH(MONTH(C1420),1,1,2,1,3,1,4,2,5,2,6,3,7,3,8,3,9,3,10,2,11,2,12,1,2)</f>
        <v>1</v>
      </c>
      <c r="P1420" s="43"/>
      <c r="AS1420" s="10"/>
      <c r="AT1420" s="10"/>
      <c r="AU1420" s="10"/>
      <c r="AV1420" s="10"/>
      <c r="AW1420" s="10"/>
      <c r="AX1420" s="10"/>
      <c r="AY1420" s="10"/>
      <c r="AZ1420" s="10"/>
      <c r="BA1420" s="10"/>
      <c r="BB1420" s="10"/>
      <c r="BC1420" s="10"/>
      <c r="BD1420" s="10"/>
      <c r="BE1420" s="10"/>
      <c r="BF1420" s="10"/>
      <c r="BG1420" s="10"/>
      <c r="BH1420" s="10"/>
      <c r="BI1420" s="10"/>
      <c r="BJ1420" s="10"/>
      <c r="BK1420" s="10"/>
      <c r="BL1420" s="10"/>
      <c r="BM1420" s="10"/>
      <c r="BN1420" s="10"/>
      <c r="BO1420" s="10"/>
      <c r="BP1420" s="10"/>
      <c r="BQ1420" s="10"/>
      <c r="BR1420" s="10"/>
      <c r="BS1420" s="10"/>
      <c r="BT1420" s="10"/>
      <c r="BU1420" s="10"/>
    </row>
    <row r="1421" spans="1:73" ht="18" x14ac:dyDescent="0.35">
      <c r="A1421" s="43"/>
      <c r="C1421" s="393"/>
      <c r="E1421" s="394"/>
      <c r="F1421" s="394">
        <v>0</v>
      </c>
      <c r="G1421" s="394"/>
      <c r="H1421" s="8" t="s">
        <v>235</v>
      </c>
      <c r="I1421" s="368">
        <f t="shared" si="67"/>
        <v>0</v>
      </c>
      <c r="J1421" s="365">
        <f t="shared" si="66"/>
        <v>0</v>
      </c>
      <c r="K1421" s="369">
        <f t="shared" si="68"/>
        <v>6</v>
      </c>
      <c r="L1421" s="369">
        <f>+IF((C1421&gt;='Resultats - informe'!$E$16)*(C1421&lt;='Resultats - informe'!$G$16),1,0)</f>
        <v>1</v>
      </c>
      <c r="M1421" s="369" cm="1">
        <f t="array" ref="M1421">+_xlfn.IFS((C1421&gt;='Resultats - informe'!$D$26)*(C1421&lt;='Resultats - informe'!$E$26),0,(C1421&gt;='Resultats - informe'!$D$27)*(C1421&lt;='Resultats - informe'!$E$27),0,(C1421&gt;='Resultats - informe'!$D$28)*(C1421&lt;='Resultats - informe'!$E$28),0,(C1421&gt;='Resultats - informe'!$D$29)*(C1421&lt;='Resultats - informe'!$E$29),0,1,1)</f>
        <v>0</v>
      </c>
      <c r="N1421" s="366">
        <f>+VLOOKUP(D1421,'Resultats - informe'!$Y$18:$AG$42,'Introducció dades consum'!K1421+1,0)</f>
        <v>0</v>
      </c>
      <c r="O1421" s="370" cm="1">
        <f t="array" ref="O1421">+_xlfn.SWITCH(MONTH(C1421),1,1,2,1,3,1,4,2,5,2,6,3,7,3,8,3,9,3,10,2,11,2,12,1,2)</f>
        <v>1</v>
      </c>
      <c r="P1421" s="43"/>
      <c r="AS1421" s="10"/>
      <c r="AT1421" s="10"/>
      <c r="AU1421" s="10"/>
      <c r="AV1421" s="10"/>
      <c r="AW1421" s="10"/>
      <c r="AX1421" s="10"/>
      <c r="AY1421" s="10"/>
      <c r="AZ1421" s="10"/>
      <c r="BA1421" s="10"/>
      <c r="BB1421" s="10"/>
      <c r="BC1421" s="10"/>
      <c r="BD1421" s="10"/>
      <c r="BE1421" s="10"/>
      <c r="BF1421" s="10"/>
      <c r="BG1421" s="10"/>
      <c r="BH1421" s="10"/>
      <c r="BI1421" s="10"/>
      <c r="BJ1421" s="10"/>
      <c r="BK1421" s="10"/>
      <c r="BL1421" s="10"/>
      <c r="BM1421" s="10"/>
      <c r="BN1421" s="10"/>
      <c r="BO1421" s="10"/>
      <c r="BP1421" s="10"/>
      <c r="BQ1421" s="10"/>
      <c r="BR1421" s="10"/>
      <c r="BS1421" s="10"/>
      <c r="BT1421" s="10"/>
      <c r="BU1421" s="10"/>
    </row>
    <row r="1422" spans="1:73" ht="18" x14ac:dyDescent="0.35">
      <c r="A1422" s="43"/>
      <c r="C1422" s="393"/>
      <c r="E1422" s="394"/>
      <c r="F1422" s="394">
        <v>0</v>
      </c>
      <c r="G1422" s="394"/>
      <c r="H1422" s="8" t="s">
        <v>235</v>
      </c>
      <c r="I1422" s="368">
        <f t="shared" si="67"/>
        <v>0</v>
      </c>
      <c r="J1422" s="365">
        <f t="shared" si="66"/>
        <v>0</v>
      </c>
      <c r="K1422" s="369">
        <f t="shared" si="68"/>
        <v>6</v>
      </c>
      <c r="L1422" s="369">
        <f>+IF((C1422&gt;='Resultats - informe'!$E$16)*(C1422&lt;='Resultats - informe'!$G$16),1,0)</f>
        <v>1</v>
      </c>
      <c r="M1422" s="369" cm="1">
        <f t="array" ref="M1422">+_xlfn.IFS((C1422&gt;='Resultats - informe'!$D$26)*(C1422&lt;='Resultats - informe'!$E$26),0,(C1422&gt;='Resultats - informe'!$D$27)*(C1422&lt;='Resultats - informe'!$E$27),0,(C1422&gt;='Resultats - informe'!$D$28)*(C1422&lt;='Resultats - informe'!$E$28),0,(C1422&gt;='Resultats - informe'!$D$29)*(C1422&lt;='Resultats - informe'!$E$29),0,1,1)</f>
        <v>0</v>
      </c>
      <c r="N1422" s="366">
        <f>+VLOOKUP(D1422,'Resultats - informe'!$Y$18:$AG$42,'Introducció dades consum'!K1422+1,0)</f>
        <v>0</v>
      </c>
      <c r="O1422" s="370" cm="1">
        <f t="array" ref="O1422">+_xlfn.SWITCH(MONTH(C1422),1,1,2,1,3,1,4,2,5,2,6,3,7,3,8,3,9,3,10,2,11,2,12,1,2)</f>
        <v>1</v>
      </c>
      <c r="P1422" s="43"/>
      <c r="AS1422" s="10"/>
      <c r="AT1422" s="10"/>
      <c r="AU1422" s="10"/>
      <c r="AV1422" s="10"/>
      <c r="AW1422" s="10"/>
      <c r="AX1422" s="10"/>
      <c r="AY1422" s="10"/>
      <c r="AZ1422" s="10"/>
      <c r="BA1422" s="10"/>
      <c r="BB1422" s="10"/>
      <c r="BC1422" s="10"/>
      <c r="BD1422" s="10"/>
      <c r="BE1422" s="10"/>
      <c r="BF1422" s="10"/>
      <c r="BG1422" s="10"/>
      <c r="BH1422" s="10"/>
      <c r="BI1422" s="10"/>
      <c r="BJ1422" s="10"/>
      <c r="BK1422" s="10"/>
      <c r="BL1422" s="10"/>
      <c r="BM1422" s="10"/>
      <c r="BN1422" s="10"/>
      <c r="BO1422" s="10"/>
      <c r="BP1422" s="10"/>
      <c r="BQ1422" s="10"/>
      <c r="BR1422" s="10"/>
      <c r="BS1422" s="10"/>
      <c r="BT1422" s="10"/>
      <c r="BU1422" s="10"/>
    </row>
    <row r="1423" spans="1:73" ht="18" x14ac:dyDescent="0.35">
      <c r="A1423" s="43"/>
      <c r="C1423" s="393"/>
      <c r="E1423" s="394"/>
      <c r="F1423" s="394">
        <v>0</v>
      </c>
      <c r="G1423" s="394"/>
      <c r="H1423" s="8" t="s">
        <v>235</v>
      </c>
      <c r="I1423" s="368">
        <f t="shared" si="67"/>
        <v>0</v>
      </c>
      <c r="J1423" s="365">
        <f t="shared" si="66"/>
        <v>0</v>
      </c>
      <c r="K1423" s="369">
        <f t="shared" si="68"/>
        <v>6</v>
      </c>
      <c r="L1423" s="369">
        <f>+IF((C1423&gt;='Resultats - informe'!$E$16)*(C1423&lt;='Resultats - informe'!$G$16),1,0)</f>
        <v>1</v>
      </c>
      <c r="M1423" s="369" cm="1">
        <f t="array" ref="M1423">+_xlfn.IFS((C1423&gt;='Resultats - informe'!$D$26)*(C1423&lt;='Resultats - informe'!$E$26),0,(C1423&gt;='Resultats - informe'!$D$27)*(C1423&lt;='Resultats - informe'!$E$27),0,(C1423&gt;='Resultats - informe'!$D$28)*(C1423&lt;='Resultats - informe'!$E$28),0,(C1423&gt;='Resultats - informe'!$D$29)*(C1423&lt;='Resultats - informe'!$E$29),0,1,1)</f>
        <v>0</v>
      </c>
      <c r="N1423" s="366">
        <f>+VLOOKUP(D1423,'Resultats - informe'!$Y$18:$AG$42,'Introducció dades consum'!K1423+1,0)</f>
        <v>0</v>
      </c>
      <c r="O1423" s="370" cm="1">
        <f t="array" ref="O1423">+_xlfn.SWITCH(MONTH(C1423),1,1,2,1,3,1,4,2,5,2,6,3,7,3,8,3,9,3,10,2,11,2,12,1,2)</f>
        <v>1</v>
      </c>
      <c r="P1423" s="43"/>
      <c r="AS1423" s="10"/>
      <c r="AT1423" s="10"/>
      <c r="AU1423" s="10"/>
      <c r="AV1423" s="10"/>
      <c r="AW1423" s="10"/>
      <c r="AX1423" s="10"/>
      <c r="AY1423" s="10"/>
      <c r="AZ1423" s="10"/>
      <c r="BA1423" s="10"/>
      <c r="BB1423" s="10"/>
      <c r="BC1423" s="10"/>
      <c r="BD1423" s="10"/>
      <c r="BE1423" s="10"/>
      <c r="BF1423" s="10"/>
      <c r="BG1423" s="10"/>
      <c r="BH1423" s="10"/>
      <c r="BI1423" s="10"/>
      <c r="BJ1423" s="10"/>
      <c r="BK1423" s="10"/>
      <c r="BL1423" s="10"/>
      <c r="BM1423" s="10"/>
      <c r="BN1423" s="10"/>
      <c r="BO1423" s="10"/>
      <c r="BP1423" s="10"/>
      <c r="BQ1423" s="10"/>
      <c r="BR1423" s="10"/>
      <c r="BS1423" s="10"/>
      <c r="BT1423" s="10"/>
      <c r="BU1423" s="10"/>
    </row>
    <row r="1424" spans="1:73" ht="18" x14ac:dyDescent="0.35">
      <c r="A1424" s="43"/>
      <c r="C1424" s="393"/>
      <c r="E1424" s="394"/>
      <c r="F1424" s="394">
        <v>0</v>
      </c>
      <c r="G1424" s="394"/>
      <c r="H1424" s="8" t="s">
        <v>235</v>
      </c>
      <c r="I1424" s="368">
        <f t="shared" si="67"/>
        <v>0</v>
      </c>
      <c r="J1424" s="365">
        <f t="shared" si="66"/>
        <v>0</v>
      </c>
      <c r="K1424" s="369">
        <f t="shared" si="68"/>
        <v>6</v>
      </c>
      <c r="L1424" s="369">
        <f>+IF((C1424&gt;='Resultats - informe'!$E$16)*(C1424&lt;='Resultats - informe'!$G$16),1,0)</f>
        <v>1</v>
      </c>
      <c r="M1424" s="369" cm="1">
        <f t="array" ref="M1424">+_xlfn.IFS((C1424&gt;='Resultats - informe'!$D$26)*(C1424&lt;='Resultats - informe'!$E$26),0,(C1424&gt;='Resultats - informe'!$D$27)*(C1424&lt;='Resultats - informe'!$E$27),0,(C1424&gt;='Resultats - informe'!$D$28)*(C1424&lt;='Resultats - informe'!$E$28),0,(C1424&gt;='Resultats - informe'!$D$29)*(C1424&lt;='Resultats - informe'!$E$29),0,1,1)</f>
        <v>0</v>
      </c>
      <c r="N1424" s="366">
        <f>+VLOOKUP(D1424,'Resultats - informe'!$Y$18:$AG$42,'Introducció dades consum'!K1424+1,0)</f>
        <v>0</v>
      </c>
      <c r="O1424" s="370" cm="1">
        <f t="array" ref="O1424">+_xlfn.SWITCH(MONTH(C1424),1,1,2,1,3,1,4,2,5,2,6,3,7,3,8,3,9,3,10,2,11,2,12,1,2)</f>
        <v>1</v>
      </c>
      <c r="P1424" s="43"/>
      <c r="AS1424" s="10"/>
      <c r="AT1424" s="10"/>
      <c r="AU1424" s="10"/>
      <c r="AV1424" s="10"/>
      <c r="AW1424" s="10"/>
      <c r="AX1424" s="10"/>
      <c r="AY1424" s="10"/>
      <c r="AZ1424" s="10"/>
      <c r="BA1424" s="10"/>
      <c r="BB1424" s="10"/>
      <c r="BC1424" s="10"/>
      <c r="BD1424" s="10"/>
      <c r="BE1424" s="10"/>
      <c r="BF1424" s="10"/>
      <c r="BG1424" s="10"/>
      <c r="BH1424" s="10"/>
      <c r="BI1424" s="10"/>
      <c r="BJ1424" s="10"/>
      <c r="BK1424" s="10"/>
      <c r="BL1424" s="10"/>
      <c r="BM1424" s="10"/>
      <c r="BN1424" s="10"/>
      <c r="BO1424" s="10"/>
      <c r="BP1424" s="10"/>
      <c r="BQ1424" s="10"/>
      <c r="BR1424" s="10"/>
      <c r="BS1424" s="10"/>
      <c r="BT1424" s="10"/>
      <c r="BU1424" s="10"/>
    </row>
    <row r="1425" spans="1:73" ht="18" x14ac:dyDescent="0.35">
      <c r="A1425" s="43"/>
      <c r="C1425" s="393"/>
      <c r="E1425" s="394"/>
      <c r="F1425" s="394">
        <v>0</v>
      </c>
      <c r="G1425" s="394"/>
      <c r="H1425" s="8" t="s">
        <v>235</v>
      </c>
      <c r="I1425" s="368">
        <f t="shared" si="67"/>
        <v>0</v>
      </c>
      <c r="J1425" s="365">
        <f t="shared" si="66"/>
        <v>0</v>
      </c>
      <c r="K1425" s="369">
        <f t="shared" si="68"/>
        <v>6</v>
      </c>
      <c r="L1425" s="369">
        <f>+IF((C1425&gt;='Resultats - informe'!$E$16)*(C1425&lt;='Resultats - informe'!$G$16),1,0)</f>
        <v>1</v>
      </c>
      <c r="M1425" s="369" cm="1">
        <f t="array" ref="M1425">+_xlfn.IFS((C1425&gt;='Resultats - informe'!$D$26)*(C1425&lt;='Resultats - informe'!$E$26),0,(C1425&gt;='Resultats - informe'!$D$27)*(C1425&lt;='Resultats - informe'!$E$27),0,(C1425&gt;='Resultats - informe'!$D$28)*(C1425&lt;='Resultats - informe'!$E$28),0,(C1425&gt;='Resultats - informe'!$D$29)*(C1425&lt;='Resultats - informe'!$E$29),0,1,1)</f>
        <v>0</v>
      </c>
      <c r="N1425" s="366">
        <f>+VLOOKUP(D1425,'Resultats - informe'!$Y$18:$AG$42,'Introducció dades consum'!K1425+1,0)</f>
        <v>0</v>
      </c>
      <c r="O1425" s="370" cm="1">
        <f t="array" ref="O1425">+_xlfn.SWITCH(MONTH(C1425),1,1,2,1,3,1,4,2,5,2,6,3,7,3,8,3,9,3,10,2,11,2,12,1,2)</f>
        <v>1</v>
      </c>
      <c r="P1425" s="43"/>
      <c r="AS1425" s="10"/>
      <c r="AT1425" s="10"/>
      <c r="AU1425" s="10"/>
      <c r="AV1425" s="10"/>
      <c r="AW1425" s="10"/>
      <c r="AX1425" s="10"/>
      <c r="AY1425" s="10"/>
      <c r="AZ1425" s="10"/>
      <c r="BA1425" s="10"/>
      <c r="BB1425" s="10"/>
      <c r="BC1425" s="10"/>
      <c r="BD1425" s="10"/>
      <c r="BE1425" s="10"/>
      <c r="BF1425" s="10"/>
      <c r="BG1425" s="10"/>
      <c r="BH1425" s="10"/>
      <c r="BI1425" s="10"/>
      <c r="BJ1425" s="10"/>
      <c r="BK1425" s="10"/>
      <c r="BL1425" s="10"/>
      <c r="BM1425" s="10"/>
      <c r="BN1425" s="10"/>
      <c r="BO1425" s="10"/>
      <c r="BP1425" s="10"/>
      <c r="BQ1425" s="10"/>
      <c r="BR1425" s="10"/>
      <c r="BS1425" s="10"/>
      <c r="BT1425" s="10"/>
      <c r="BU1425" s="10"/>
    </row>
    <row r="1426" spans="1:73" ht="18" x14ac:dyDescent="0.35">
      <c r="A1426" s="43"/>
      <c r="C1426" s="393"/>
      <c r="E1426" s="394"/>
      <c r="F1426" s="394">
        <v>0</v>
      </c>
      <c r="G1426" s="394"/>
      <c r="H1426" s="8" t="s">
        <v>235</v>
      </c>
      <c r="I1426" s="368">
        <f t="shared" si="67"/>
        <v>0</v>
      </c>
      <c r="J1426" s="365">
        <f t="shared" si="66"/>
        <v>0</v>
      </c>
      <c r="K1426" s="369">
        <f t="shared" si="68"/>
        <v>6</v>
      </c>
      <c r="L1426" s="369">
        <f>+IF((C1426&gt;='Resultats - informe'!$E$16)*(C1426&lt;='Resultats - informe'!$G$16),1,0)</f>
        <v>1</v>
      </c>
      <c r="M1426" s="369" cm="1">
        <f t="array" ref="M1426">+_xlfn.IFS((C1426&gt;='Resultats - informe'!$D$26)*(C1426&lt;='Resultats - informe'!$E$26),0,(C1426&gt;='Resultats - informe'!$D$27)*(C1426&lt;='Resultats - informe'!$E$27),0,(C1426&gt;='Resultats - informe'!$D$28)*(C1426&lt;='Resultats - informe'!$E$28),0,(C1426&gt;='Resultats - informe'!$D$29)*(C1426&lt;='Resultats - informe'!$E$29),0,1,1)</f>
        <v>0</v>
      </c>
      <c r="N1426" s="366">
        <f>+VLOOKUP(D1426,'Resultats - informe'!$Y$18:$AG$42,'Introducció dades consum'!K1426+1,0)</f>
        <v>0</v>
      </c>
      <c r="O1426" s="370" cm="1">
        <f t="array" ref="O1426">+_xlfn.SWITCH(MONTH(C1426),1,1,2,1,3,1,4,2,5,2,6,3,7,3,8,3,9,3,10,2,11,2,12,1,2)</f>
        <v>1</v>
      </c>
      <c r="P1426" s="43"/>
      <c r="AS1426" s="10"/>
      <c r="AT1426" s="10"/>
      <c r="AU1426" s="10"/>
      <c r="AV1426" s="10"/>
      <c r="AW1426" s="10"/>
      <c r="AX1426" s="10"/>
      <c r="AY1426" s="10"/>
      <c r="AZ1426" s="10"/>
      <c r="BA1426" s="10"/>
      <c r="BB1426" s="10"/>
      <c r="BC1426" s="10"/>
      <c r="BD1426" s="10"/>
      <c r="BE1426" s="10"/>
      <c r="BF1426" s="10"/>
      <c r="BG1426" s="10"/>
      <c r="BH1426" s="10"/>
      <c r="BI1426" s="10"/>
      <c r="BJ1426" s="10"/>
      <c r="BK1426" s="10"/>
      <c r="BL1426" s="10"/>
      <c r="BM1426" s="10"/>
      <c r="BN1426" s="10"/>
      <c r="BO1426" s="10"/>
      <c r="BP1426" s="10"/>
      <c r="BQ1426" s="10"/>
      <c r="BR1426" s="10"/>
      <c r="BS1426" s="10"/>
      <c r="BT1426" s="10"/>
      <c r="BU1426" s="10"/>
    </row>
    <row r="1427" spans="1:73" ht="18" x14ac:dyDescent="0.35">
      <c r="A1427" s="43"/>
      <c r="C1427" s="393"/>
      <c r="E1427" s="394"/>
      <c r="F1427" s="394">
        <v>0</v>
      </c>
      <c r="G1427" s="394"/>
      <c r="H1427" s="8" t="s">
        <v>235</v>
      </c>
      <c r="I1427" s="368">
        <f t="shared" si="67"/>
        <v>0</v>
      </c>
      <c r="J1427" s="365">
        <f t="shared" si="66"/>
        <v>0</v>
      </c>
      <c r="K1427" s="369">
        <f t="shared" si="68"/>
        <v>6</v>
      </c>
      <c r="L1427" s="369">
        <f>+IF((C1427&gt;='Resultats - informe'!$E$16)*(C1427&lt;='Resultats - informe'!$G$16),1,0)</f>
        <v>1</v>
      </c>
      <c r="M1427" s="369" cm="1">
        <f t="array" ref="M1427">+_xlfn.IFS((C1427&gt;='Resultats - informe'!$D$26)*(C1427&lt;='Resultats - informe'!$E$26),0,(C1427&gt;='Resultats - informe'!$D$27)*(C1427&lt;='Resultats - informe'!$E$27),0,(C1427&gt;='Resultats - informe'!$D$28)*(C1427&lt;='Resultats - informe'!$E$28),0,(C1427&gt;='Resultats - informe'!$D$29)*(C1427&lt;='Resultats - informe'!$E$29),0,1,1)</f>
        <v>0</v>
      </c>
      <c r="N1427" s="366">
        <f>+VLOOKUP(D1427,'Resultats - informe'!$Y$18:$AG$42,'Introducció dades consum'!K1427+1,0)</f>
        <v>0</v>
      </c>
      <c r="O1427" s="370" cm="1">
        <f t="array" ref="O1427">+_xlfn.SWITCH(MONTH(C1427),1,1,2,1,3,1,4,2,5,2,6,3,7,3,8,3,9,3,10,2,11,2,12,1,2)</f>
        <v>1</v>
      </c>
      <c r="P1427" s="43"/>
      <c r="AS1427" s="10"/>
      <c r="AT1427" s="10"/>
      <c r="AU1427" s="10"/>
      <c r="AV1427" s="10"/>
      <c r="AW1427" s="10"/>
      <c r="AX1427" s="10"/>
      <c r="AY1427" s="10"/>
      <c r="AZ1427" s="10"/>
      <c r="BA1427" s="10"/>
      <c r="BB1427" s="10"/>
      <c r="BC1427" s="10"/>
      <c r="BD1427" s="10"/>
      <c r="BE1427" s="10"/>
      <c r="BF1427" s="10"/>
      <c r="BG1427" s="10"/>
      <c r="BH1427" s="10"/>
      <c r="BI1427" s="10"/>
      <c r="BJ1427" s="10"/>
      <c r="BK1427" s="10"/>
      <c r="BL1427" s="10"/>
      <c r="BM1427" s="10"/>
      <c r="BN1427" s="10"/>
      <c r="BO1427" s="10"/>
      <c r="BP1427" s="10"/>
      <c r="BQ1427" s="10"/>
      <c r="BR1427" s="10"/>
      <c r="BS1427" s="10"/>
      <c r="BT1427" s="10"/>
      <c r="BU1427" s="10"/>
    </row>
    <row r="1428" spans="1:73" ht="18" x14ac:dyDescent="0.35">
      <c r="A1428" s="43"/>
      <c r="C1428" s="393"/>
      <c r="E1428" s="394"/>
      <c r="F1428" s="394">
        <v>0</v>
      </c>
      <c r="G1428" s="394"/>
      <c r="H1428" s="8" t="s">
        <v>235</v>
      </c>
      <c r="I1428" s="368">
        <f t="shared" si="67"/>
        <v>0</v>
      </c>
      <c r="J1428" s="365">
        <f t="shared" si="66"/>
        <v>0</v>
      </c>
      <c r="K1428" s="369">
        <f t="shared" si="68"/>
        <v>6</v>
      </c>
      <c r="L1428" s="369">
        <f>+IF((C1428&gt;='Resultats - informe'!$E$16)*(C1428&lt;='Resultats - informe'!$G$16),1,0)</f>
        <v>1</v>
      </c>
      <c r="M1428" s="369" cm="1">
        <f t="array" ref="M1428">+_xlfn.IFS((C1428&gt;='Resultats - informe'!$D$26)*(C1428&lt;='Resultats - informe'!$E$26),0,(C1428&gt;='Resultats - informe'!$D$27)*(C1428&lt;='Resultats - informe'!$E$27),0,(C1428&gt;='Resultats - informe'!$D$28)*(C1428&lt;='Resultats - informe'!$E$28),0,(C1428&gt;='Resultats - informe'!$D$29)*(C1428&lt;='Resultats - informe'!$E$29),0,1,1)</f>
        <v>0</v>
      </c>
      <c r="N1428" s="366">
        <f>+VLOOKUP(D1428,'Resultats - informe'!$Y$18:$AG$42,'Introducció dades consum'!K1428+1,0)</f>
        <v>0</v>
      </c>
      <c r="O1428" s="370" cm="1">
        <f t="array" ref="O1428">+_xlfn.SWITCH(MONTH(C1428),1,1,2,1,3,1,4,2,5,2,6,3,7,3,8,3,9,3,10,2,11,2,12,1,2)</f>
        <v>1</v>
      </c>
      <c r="P1428" s="43"/>
      <c r="AS1428" s="10"/>
      <c r="AT1428" s="10"/>
      <c r="AU1428" s="10"/>
      <c r="AV1428" s="10"/>
      <c r="AW1428" s="10"/>
      <c r="AX1428" s="10"/>
      <c r="AY1428" s="10"/>
      <c r="AZ1428" s="10"/>
      <c r="BA1428" s="10"/>
      <c r="BB1428" s="10"/>
      <c r="BC1428" s="10"/>
      <c r="BD1428" s="10"/>
      <c r="BE1428" s="10"/>
      <c r="BF1428" s="10"/>
      <c r="BG1428" s="10"/>
      <c r="BH1428" s="10"/>
      <c r="BI1428" s="10"/>
      <c r="BJ1428" s="10"/>
      <c r="BK1428" s="10"/>
      <c r="BL1428" s="10"/>
      <c r="BM1428" s="10"/>
      <c r="BN1428" s="10"/>
      <c r="BO1428" s="10"/>
      <c r="BP1428" s="10"/>
      <c r="BQ1428" s="10"/>
      <c r="BR1428" s="10"/>
      <c r="BS1428" s="10"/>
      <c r="BT1428" s="10"/>
      <c r="BU1428" s="10"/>
    </row>
    <row r="1429" spans="1:73" ht="18" x14ac:dyDescent="0.35">
      <c r="A1429" s="43"/>
      <c r="C1429" s="393"/>
      <c r="E1429" s="394"/>
      <c r="F1429" s="394">
        <v>0</v>
      </c>
      <c r="G1429" s="394"/>
      <c r="H1429" s="8" t="s">
        <v>61</v>
      </c>
      <c r="I1429" s="368">
        <f t="shared" si="67"/>
        <v>0</v>
      </c>
      <c r="J1429" s="365">
        <f t="shared" si="66"/>
        <v>0</v>
      </c>
      <c r="K1429" s="369">
        <f t="shared" si="68"/>
        <v>6</v>
      </c>
      <c r="L1429" s="369">
        <f>+IF((C1429&gt;='Resultats - informe'!$E$16)*(C1429&lt;='Resultats - informe'!$G$16),1,0)</f>
        <v>1</v>
      </c>
      <c r="M1429" s="369" cm="1">
        <f t="array" ref="M1429">+_xlfn.IFS((C1429&gt;='Resultats - informe'!$D$26)*(C1429&lt;='Resultats - informe'!$E$26),0,(C1429&gt;='Resultats - informe'!$D$27)*(C1429&lt;='Resultats - informe'!$E$27),0,(C1429&gt;='Resultats - informe'!$D$28)*(C1429&lt;='Resultats - informe'!$E$28),0,(C1429&gt;='Resultats - informe'!$D$29)*(C1429&lt;='Resultats - informe'!$E$29),0,1,1)</f>
        <v>0</v>
      </c>
      <c r="N1429" s="366">
        <f>+VLOOKUP(D1429,'Resultats - informe'!$Y$18:$AG$42,'Introducció dades consum'!K1429+1,0)</f>
        <v>0</v>
      </c>
      <c r="O1429" s="370" cm="1">
        <f t="array" ref="O1429">+_xlfn.SWITCH(MONTH(C1429),1,1,2,1,3,1,4,2,5,2,6,3,7,3,8,3,9,3,10,2,11,2,12,1,2)</f>
        <v>1</v>
      </c>
      <c r="P1429" s="43"/>
      <c r="AS1429" s="10"/>
      <c r="AT1429" s="10"/>
      <c r="AU1429" s="10"/>
      <c r="AV1429" s="10"/>
      <c r="AW1429" s="10"/>
      <c r="AX1429" s="10"/>
      <c r="AY1429" s="10"/>
      <c r="AZ1429" s="10"/>
      <c r="BA1429" s="10"/>
      <c r="BB1429" s="10"/>
      <c r="BC1429" s="10"/>
      <c r="BD1429" s="10"/>
      <c r="BE1429" s="10"/>
      <c r="BF1429" s="10"/>
      <c r="BG1429" s="10"/>
      <c r="BH1429" s="10"/>
      <c r="BI1429" s="10"/>
      <c r="BJ1429" s="10"/>
      <c r="BK1429" s="10"/>
      <c r="BL1429" s="10"/>
      <c r="BM1429" s="10"/>
      <c r="BN1429" s="10"/>
      <c r="BO1429" s="10"/>
      <c r="BP1429" s="10"/>
      <c r="BQ1429" s="10"/>
      <c r="BR1429" s="10"/>
      <c r="BS1429" s="10"/>
      <c r="BT1429" s="10"/>
      <c r="BU1429" s="10"/>
    </row>
    <row r="1430" spans="1:73" ht="18" x14ac:dyDescent="0.35">
      <c r="A1430" s="43"/>
      <c r="C1430" s="393"/>
      <c r="E1430" s="394"/>
      <c r="F1430" s="394">
        <v>0</v>
      </c>
      <c r="G1430" s="394"/>
      <c r="H1430" s="8" t="s">
        <v>61</v>
      </c>
      <c r="I1430" s="368">
        <f t="shared" si="67"/>
        <v>0</v>
      </c>
      <c r="J1430" s="365">
        <f t="shared" si="66"/>
        <v>0</v>
      </c>
      <c r="K1430" s="369">
        <f t="shared" si="68"/>
        <v>6</v>
      </c>
      <c r="L1430" s="369">
        <f>+IF((C1430&gt;='Resultats - informe'!$E$16)*(C1430&lt;='Resultats - informe'!$G$16),1,0)</f>
        <v>1</v>
      </c>
      <c r="M1430" s="369" cm="1">
        <f t="array" ref="M1430">+_xlfn.IFS((C1430&gt;='Resultats - informe'!$D$26)*(C1430&lt;='Resultats - informe'!$E$26),0,(C1430&gt;='Resultats - informe'!$D$27)*(C1430&lt;='Resultats - informe'!$E$27),0,(C1430&gt;='Resultats - informe'!$D$28)*(C1430&lt;='Resultats - informe'!$E$28),0,(C1430&gt;='Resultats - informe'!$D$29)*(C1430&lt;='Resultats - informe'!$E$29),0,1,1)</f>
        <v>0</v>
      </c>
      <c r="N1430" s="366">
        <f>+VLOOKUP(D1430,'Resultats - informe'!$Y$18:$AG$42,'Introducció dades consum'!K1430+1,0)</f>
        <v>0</v>
      </c>
      <c r="O1430" s="370" cm="1">
        <f t="array" ref="O1430">+_xlfn.SWITCH(MONTH(C1430),1,1,2,1,3,1,4,2,5,2,6,3,7,3,8,3,9,3,10,2,11,2,12,1,2)</f>
        <v>1</v>
      </c>
      <c r="P1430" s="43"/>
      <c r="AS1430" s="10"/>
      <c r="AT1430" s="10"/>
      <c r="AU1430" s="10"/>
      <c r="AV1430" s="10"/>
      <c r="AW1430" s="10"/>
      <c r="AX1430" s="10"/>
      <c r="AY1430" s="10"/>
      <c r="AZ1430" s="10"/>
      <c r="BA1430" s="10"/>
      <c r="BB1430" s="10"/>
      <c r="BC1430" s="10"/>
      <c r="BD1430" s="10"/>
      <c r="BE1430" s="10"/>
      <c r="BF1430" s="10"/>
      <c r="BG1430" s="10"/>
      <c r="BH1430" s="10"/>
      <c r="BI1430" s="10"/>
      <c r="BJ1430" s="10"/>
      <c r="BK1430" s="10"/>
      <c r="BL1430" s="10"/>
      <c r="BM1430" s="10"/>
      <c r="BN1430" s="10"/>
      <c r="BO1430" s="10"/>
      <c r="BP1430" s="10"/>
      <c r="BQ1430" s="10"/>
      <c r="BR1430" s="10"/>
      <c r="BS1430" s="10"/>
      <c r="BT1430" s="10"/>
      <c r="BU1430" s="10"/>
    </row>
    <row r="1431" spans="1:73" ht="18" x14ac:dyDescent="0.35">
      <c r="A1431" s="43"/>
      <c r="C1431" s="393"/>
      <c r="E1431" s="394"/>
      <c r="F1431" s="394">
        <v>2.4870000000000001</v>
      </c>
      <c r="G1431" s="394"/>
      <c r="H1431" s="8" t="s">
        <v>235</v>
      </c>
      <c r="I1431" s="368">
        <f t="shared" si="67"/>
        <v>0</v>
      </c>
      <c r="J1431" s="365">
        <f t="shared" si="66"/>
        <v>0</v>
      </c>
      <c r="K1431" s="369">
        <f t="shared" si="68"/>
        <v>6</v>
      </c>
      <c r="L1431" s="369">
        <f>+IF((C1431&gt;='Resultats - informe'!$E$16)*(C1431&lt;='Resultats - informe'!$G$16),1,0)</f>
        <v>1</v>
      </c>
      <c r="M1431" s="369" cm="1">
        <f t="array" ref="M1431">+_xlfn.IFS((C1431&gt;='Resultats - informe'!$D$26)*(C1431&lt;='Resultats - informe'!$E$26),0,(C1431&gt;='Resultats - informe'!$D$27)*(C1431&lt;='Resultats - informe'!$E$27),0,(C1431&gt;='Resultats - informe'!$D$28)*(C1431&lt;='Resultats - informe'!$E$28),0,(C1431&gt;='Resultats - informe'!$D$29)*(C1431&lt;='Resultats - informe'!$E$29),0,1,1)</f>
        <v>0</v>
      </c>
      <c r="N1431" s="366">
        <f>+VLOOKUP(D1431,'Resultats - informe'!$Y$18:$AG$42,'Introducció dades consum'!K1431+1,0)</f>
        <v>0</v>
      </c>
      <c r="O1431" s="370" cm="1">
        <f t="array" ref="O1431">+_xlfn.SWITCH(MONTH(C1431),1,1,2,1,3,1,4,2,5,2,6,3,7,3,8,3,9,3,10,2,11,2,12,1,2)</f>
        <v>1</v>
      </c>
      <c r="P1431" s="43"/>
      <c r="AS1431" s="10"/>
      <c r="AT1431" s="10"/>
      <c r="AU1431" s="10"/>
      <c r="AV1431" s="10"/>
      <c r="AW1431" s="10"/>
      <c r="AX1431" s="10"/>
      <c r="AY1431" s="10"/>
      <c r="AZ1431" s="10"/>
      <c r="BA1431" s="10"/>
      <c r="BB1431" s="10"/>
      <c r="BC1431" s="10"/>
      <c r="BD1431" s="10"/>
      <c r="BE1431" s="10"/>
      <c r="BF1431" s="10"/>
      <c r="BG1431" s="10"/>
      <c r="BH1431" s="10"/>
      <c r="BI1431" s="10"/>
      <c r="BJ1431" s="10"/>
      <c r="BK1431" s="10"/>
      <c r="BL1431" s="10"/>
      <c r="BM1431" s="10"/>
      <c r="BN1431" s="10"/>
      <c r="BO1431" s="10"/>
      <c r="BP1431" s="10"/>
      <c r="BQ1431" s="10"/>
      <c r="BR1431" s="10"/>
      <c r="BS1431" s="10"/>
      <c r="BT1431" s="10"/>
      <c r="BU1431" s="10"/>
    </row>
    <row r="1432" spans="1:73" ht="18" x14ac:dyDescent="0.35">
      <c r="A1432" s="43"/>
      <c r="C1432" s="393"/>
      <c r="E1432" s="394"/>
      <c r="F1432" s="394">
        <v>2.536</v>
      </c>
      <c r="G1432" s="394"/>
      <c r="H1432" s="8" t="s">
        <v>235</v>
      </c>
      <c r="I1432" s="368">
        <f t="shared" si="67"/>
        <v>0</v>
      </c>
      <c r="J1432" s="365">
        <f t="shared" si="66"/>
        <v>0</v>
      </c>
      <c r="K1432" s="369">
        <f t="shared" si="68"/>
        <v>6</v>
      </c>
      <c r="L1432" s="369">
        <f>+IF((C1432&gt;='Resultats - informe'!$E$16)*(C1432&lt;='Resultats - informe'!$G$16),1,0)</f>
        <v>1</v>
      </c>
      <c r="M1432" s="369" cm="1">
        <f t="array" ref="M1432">+_xlfn.IFS((C1432&gt;='Resultats - informe'!$D$26)*(C1432&lt;='Resultats - informe'!$E$26),0,(C1432&gt;='Resultats - informe'!$D$27)*(C1432&lt;='Resultats - informe'!$E$27),0,(C1432&gt;='Resultats - informe'!$D$28)*(C1432&lt;='Resultats - informe'!$E$28),0,(C1432&gt;='Resultats - informe'!$D$29)*(C1432&lt;='Resultats - informe'!$E$29),0,1,1)</f>
        <v>0</v>
      </c>
      <c r="N1432" s="366">
        <f>+VLOOKUP(D1432,'Resultats - informe'!$Y$18:$AG$42,'Introducció dades consum'!K1432+1,0)</f>
        <v>0</v>
      </c>
      <c r="O1432" s="370" cm="1">
        <f t="array" ref="O1432">+_xlfn.SWITCH(MONTH(C1432),1,1,2,1,3,1,4,2,5,2,6,3,7,3,8,3,9,3,10,2,11,2,12,1,2)</f>
        <v>1</v>
      </c>
      <c r="P1432" s="43"/>
      <c r="AS1432" s="10"/>
      <c r="AT1432" s="10"/>
      <c r="AU1432" s="10"/>
      <c r="AV1432" s="10"/>
      <c r="AW1432" s="10"/>
      <c r="AX1432" s="10"/>
      <c r="AY1432" s="10"/>
      <c r="AZ1432" s="10"/>
      <c r="BA1432" s="10"/>
      <c r="BB1432" s="10"/>
      <c r="BC1432" s="10"/>
      <c r="BD1432" s="10"/>
      <c r="BE1432" s="10"/>
      <c r="BF1432" s="10"/>
      <c r="BG1432" s="10"/>
      <c r="BH1432" s="10"/>
      <c r="BI1432" s="10"/>
      <c r="BJ1432" s="10"/>
      <c r="BK1432" s="10"/>
      <c r="BL1432" s="10"/>
      <c r="BM1432" s="10"/>
      <c r="BN1432" s="10"/>
      <c r="BO1432" s="10"/>
      <c r="BP1432" s="10"/>
      <c r="BQ1432" s="10"/>
      <c r="BR1432" s="10"/>
      <c r="BS1432" s="10"/>
      <c r="BT1432" s="10"/>
      <c r="BU1432" s="10"/>
    </row>
    <row r="1433" spans="1:73" ht="18" x14ac:dyDescent="0.35">
      <c r="A1433" s="43"/>
      <c r="C1433" s="393"/>
      <c r="E1433" s="394"/>
      <c r="F1433" s="394">
        <v>2.2690000000000001</v>
      </c>
      <c r="G1433" s="394"/>
      <c r="H1433" s="8" t="s">
        <v>61</v>
      </c>
      <c r="I1433" s="368">
        <f t="shared" si="67"/>
        <v>0</v>
      </c>
      <c r="J1433" s="365">
        <f t="shared" si="66"/>
        <v>0</v>
      </c>
      <c r="K1433" s="369">
        <f t="shared" si="68"/>
        <v>6</v>
      </c>
      <c r="L1433" s="369">
        <f>+IF((C1433&gt;='Resultats - informe'!$E$16)*(C1433&lt;='Resultats - informe'!$G$16),1,0)</f>
        <v>1</v>
      </c>
      <c r="M1433" s="369" cm="1">
        <f t="array" ref="M1433">+_xlfn.IFS((C1433&gt;='Resultats - informe'!$D$26)*(C1433&lt;='Resultats - informe'!$E$26),0,(C1433&gt;='Resultats - informe'!$D$27)*(C1433&lt;='Resultats - informe'!$E$27),0,(C1433&gt;='Resultats - informe'!$D$28)*(C1433&lt;='Resultats - informe'!$E$28),0,(C1433&gt;='Resultats - informe'!$D$29)*(C1433&lt;='Resultats - informe'!$E$29),0,1,1)</f>
        <v>0</v>
      </c>
      <c r="N1433" s="366">
        <f>+VLOOKUP(D1433,'Resultats - informe'!$Y$18:$AG$42,'Introducció dades consum'!K1433+1,0)</f>
        <v>0</v>
      </c>
      <c r="O1433" s="370" cm="1">
        <f t="array" ref="O1433">+_xlfn.SWITCH(MONTH(C1433),1,1,2,1,3,1,4,2,5,2,6,3,7,3,8,3,9,3,10,2,11,2,12,1,2)</f>
        <v>1</v>
      </c>
      <c r="P1433" s="43"/>
      <c r="AS1433" s="10"/>
      <c r="AT1433" s="10"/>
      <c r="AU1433" s="10"/>
      <c r="AV1433" s="10"/>
      <c r="AW1433" s="10"/>
      <c r="AX1433" s="10"/>
      <c r="AY1433" s="10"/>
      <c r="AZ1433" s="10"/>
      <c r="BA1433" s="10"/>
      <c r="BB1433" s="10"/>
      <c r="BC1433" s="10"/>
      <c r="BD1433" s="10"/>
      <c r="BE1433" s="10"/>
      <c r="BF1433" s="10"/>
      <c r="BG1433" s="10"/>
      <c r="BH1433" s="10"/>
      <c r="BI1433" s="10"/>
      <c r="BJ1433" s="10"/>
      <c r="BK1433" s="10"/>
      <c r="BL1433" s="10"/>
      <c r="BM1433" s="10"/>
      <c r="BN1433" s="10"/>
      <c r="BO1433" s="10"/>
      <c r="BP1433" s="10"/>
      <c r="BQ1433" s="10"/>
      <c r="BR1433" s="10"/>
      <c r="BS1433" s="10"/>
      <c r="BT1433" s="10"/>
      <c r="BU1433" s="10"/>
    </row>
    <row r="1434" spans="1:73" ht="18" x14ac:dyDescent="0.35">
      <c r="A1434" s="43"/>
      <c r="C1434" s="393"/>
      <c r="E1434" s="394"/>
      <c r="F1434" s="394">
        <v>2.153</v>
      </c>
      <c r="G1434" s="394"/>
      <c r="H1434" s="8" t="s">
        <v>235</v>
      </c>
      <c r="I1434" s="368">
        <f t="shared" si="67"/>
        <v>0</v>
      </c>
      <c r="J1434" s="365">
        <f t="shared" si="66"/>
        <v>0</v>
      </c>
      <c r="K1434" s="369">
        <f t="shared" si="68"/>
        <v>6</v>
      </c>
      <c r="L1434" s="369">
        <f>+IF((C1434&gt;='Resultats - informe'!$E$16)*(C1434&lt;='Resultats - informe'!$G$16),1,0)</f>
        <v>1</v>
      </c>
      <c r="M1434" s="369" cm="1">
        <f t="array" ref="M1434">+_xlfn.IFS((C1434&gt;='Resultats - informe'!$D$26)*(C1434&lt;='Resultats - informe'!$E$26),0,(C1434&gt;='Resultats - informe'!$D$27)*(C1434&lt;='Resultats - informe'!$E$27),0,(C1434&gt;='Resultats - informe'!$D$28)*(C1434&lt;='Resultats - informe'!$E$28),0,(C1434&gt;='Resultats - informe'!$D$29)*(C1434&lt;='Resultats - informe'!$E$29),0,1,1)</f>
        <v>0</v>
      </c>
      <c r="N1434" s="366">
        <f>+VLOOKUP(D1434,'Resultats - informe'!$Y$18:$AG$42,'Introducció dades consum'!K1434+1,0)</f>
        <v>0</v>
      </c>
      <c r="O1434" s="370" cm="1">
        <f t="array" ref="O1434">+_xlfn.SWITCH(MONTH(C1434),1,1,2,1,3,1,4,2,5,2,6,3,7,3,8,3,9,3,10,2,11,2,12,1,2)</f>
        <v>1</v>
      </c>
      <c r="P1434" s="43"/>
      <c r="AS1434" s="10"/>
      <c r="AT1434" s="10"/>
      <c r="AU1434" s="10"/>
      <c r="AV1434" s="10"/>
      <c r="AW1434" s="10"/>
      <c r="AX1434" s="10"/>
      <c r="AY1434" s="10"/>
      <c r="AZ1434" s="10"/>
      <c r="BA1434" s="10"/>
      <c r="BB1434" s="10"/>
      <c r="BC1434" s="10"/>
      <c r="BD1434" s="10"/>
      <c r="BE1434" s="10"/>
      <c r="BF1434" s="10"/>
      <c r="BG1434" s="10"/>
      <c r="BH1434" s="10"/>
      <c r="BI1434" s="10"/>
      <c r="BJ1434" s="10"/>
      <c r="BK1434" s="10"/>
      <c r="BL1434" s="10"/>
      <c r="BM1434" s="10"/>
      <c r="BN1434" s="10"/>
      <c r="BO1434" s="10"/>
      <c r="BP1434" s="10"/>
      <c r="BQ1434" s="10"/>
      <c r="BR1434" s="10"/>
      <c r="BS1434" s="10"/>
      <c r="BT1434" s="10"/>
      <c r="BU1434" s="10"/>
    </row>
    <row r="1435" spans="1:73" ht="18" x14ac:dyDescent="0.35">
      <c r="A1435" s="43"/>
      <c r="C1435" s="393"/>
      <c r="E1435" s="394"/>
      <c r="F1435" s="394">
        <v>1.5580000000000001</v>
      </c>
      <c r="G1435" s="394"/>
      <c r="H1435" s="8" t="s">
        <v>235</v>
      </c>
      <c r="I1435" s="368">
        <f t="shared" si="67"/>
        <v>0</v>
      </c>
      <c r="J1435" s="365">
        <f t="shared" si="66"/>
        <v>0</v>
      </c>
      <c r="K1435" s="369">
        <f t="shared" si="68"/>
        <v>6</v>
      </c>
      <c r="L1435" s="369">
        <f>+IF((C1435&gt;='Resultats - informe'!$E$16)*(C1435&lt;='Resultats - informe'!$G$16),1,0)</f>
        <v>1</v>
      </c>
      <c r="M1435" s="369" cm="1">
        <f t="array" ref="M1435">+_xlfn.IFS((C1435&gt;='Resultats - informe'!$D$26)*(C1435&lt;='Resultats - informe'!$E$26),0,(C1435&gt;='Resultats - informe'!$D$27)*(C1435&lt;='Resultats - informe'!$E$27),0,(C1435&gt;='Resultats - informe'!$D$28)*(C1435&lt;='Resultats - informe'!$E$28),0,(C1435&gt;='Resultats - informe'!$D$29)*(C1435&lt;='Resultats - informe'!$E$29),0,1,1)</f>
        <v>0</v>
      </c>
      <c r="N1435" s="366">
        <f>+VLOOKUP(D1435,'Resultats - informe'!$Y$18:$AG$42,'Introducció dades consum'!K1435+1,0)</f>
        <v>0</v>
      </c>
      <c r="O1435" s="370" cm="1">
        <f t="array" ref="O1435">+_xlfn.SWITCH(MONTH(C1435),1,1,2,1,3,1,4,2,5,2,6,3,7,3,8,3,9,3,10,2,11,2,12,1,2)</f>
        <v>1</v>
      </c>
      <c r="P1435" s="43"/>
      <c r="AS1435" s="10"/>
      <c r="AT1435" s="10"/>
      <c r="AU1435" s="10"/>
      <c r="AV1435" s="10"/>
      <c r="AW1435" s="10"/>
      <c r="AX1435" s="10"/>
      <c r="AY1435" s="10"/>
      <c r="AZ1435" s="10"/>
      <c r="BA1435" s="10"/>
      <c r="BB1435" s="10"/>
      <c r="BC1435" s="10"/>
      <c r="BD1435" s="10"/>
      <c r="BE1435" s="10"/>
      <c r="BF1435" s="10"/>
      <c r="BG1435" s="10"/>
      <c r="BH1435" s="10"/>
      <c r="BI1435" s="10"/>
      <c r="BJ1435" s="10"/>
      <c r="BK1435" s="10"/>
      <c r="BL1435" s="10"/>
      <c r="BM1435" s="10"/>
      <c r="BN1435" s="10"/>
      <c r="BO1435" s="10"/>
      <c r="BP1435" s="10"/>
      <c r="BQ1435" s="10"/>
      <c r="BR1435" s="10"/>
      <c r="BS1435" s="10"/>
      <c r="BT1435" s="10"/>
      <c r="BU1435" s="10"/>
    </row>
    <row r="1436" spans="1:73" ht="18" x14ac:dyDescent="0.35">
      <c r="A1436" s="43"/>
      <c r="C1436" s="393"/>
      <c r="E1436" s="394"/>
      <c r="F1436" s="394">
        <v>4.3999999999999997E-2</v>
      </c>
      <c r="G1436" s="394"/>
      <c r="H1436" s="8" t="s">
        <v>61</v>
      </c>
      <c r="I1436" s="368">
        <f t="shared" si="67"/>
        <v>0</v>
      </c>
      <c r="J1436" s="365">
        <f t="shared" si="66"/>
        <v>0</v>
      </c>
      <c r="K1436" s="369">
        <f t="shared" si="68"/>
        <v>6</v>
      </c>
      <c r="L1436" s="369">
        <f>+IF((C1436&gt;='Resultats - informe'!$E$16)*(C1436&lt;='Resultats - informe'!$G$16),1,0)</f>
        <v>1</v>
      </c>
      <c r="M1436" s="369" cm="1">
        <f t="array" ref="M1436">+_xlfn.IFS((C1436&gt;='Resultats - informe'!$D$26)*(C1436&lt;='Resultats - informe'!$E$26),0,(C1436&gt;='Resultats - informe'!$D$27)*(C1436&lt;='Resultats - informe'!$E$27),0,(C1436&gt;='Resultats - informe'!$D$28)*(C1436&lt;='Resultats - informe'!$E$28),0,(C1436&gt;='Resultats - informe'!$D$29)*(C1436&lt;='Resultats - informe'!$E$29),0,1,1)</f>
        <v>0</v>
      </c>
      <c r="N1436" s="366">
        <f>+VLOOKUP(D1436,'Resultats - informe'!$Y$18:$AG$42,'Introducció dades consum'!K1436+1,0)</f>
        <v>0</v>
      </c>
      <c r="O1436" s="370" cm="1">
        <f t="array" ref="O1436">+_xlfn.SWITCH(MONTH(C1436),1,1,2,1,3,1,4,2,5,2,6,3,7,3,8,3,9,3,10,2,11,2,12,1,2)</f>
        <v>1</v>
      </c>
      <c r="P1436" s="43"/>
      <c r="AS1436" s="10"/>
      <c r="AT1436" s="10"/>
      <c r="AU1436" s="10"/>
      <c r="AV1436" s="10"/>
      <c r="AW1436" s="10"/>
      <c r="AX1436" s="10"/>
      <c r="AY1436" s="10"/>
      <c r="AZ1436" s="10"/>
      <c r="BA1436" s="10"/>
      <c r="BB1436" s="10"/>
      <c r="BC1436" s="10"/>
      <c r="BD1436" s="10"/>
      <c r="BE1436" s="10"/>
      <c r="BF1436" s="10"/>
      <c r="BG1436" s="10"/>
      <c r="BH1436" s="10"/>
      <c r="BI1436" s="10"/>
      <c r="BJ1436" s="10"/>
      <c r="BK1436" s="10"/>
      <c r="BL1436" s="10"/>
      <c r="BM1436" s="10"/>
      <c r="BN1436" s="10"/>
      <c r="BO1436" s="10"/>
      <c r="BP1436" s="10"/>
      <c r="BQ1436" s="10"/>
      <c r="BR1436" s="10"/>
      <c r="BS1436" s="10"/>
      <c r="BT1436" s="10"/>
      <c r="BU1436" s="10"/>
    </row>
    <row r="1437" spans="1:73" ht="18" x14ac:dyDescent="0.35">
      <c r="A1437" s="43"/>
      <c r="C1437" s="393"/>
      <c r="E1437" s="394"/>
      <c r="F1437" s="394">
        <v>6.5000000000000002E-2</v>
      </c>
      <c r="G1437" s="394"/>
      <c r="H1437" s="8" t="s">
        <v>235</v>
      </c>
      <c r="I1437" s="368">
        <f t="shared" si="67"/>
        <v>0</v>
      </c>
      <c r="J1437" s="365">
        <f t="shared" si="66"/>
        <v>0</v>
      </c>
      <c r="K1437" s="369">
        <f t="shared" si="68"/>
        <v>6</v>
      </c>
      <c r="L1437" s="369">
        <f>+IF((C1437&gt;='Resultats - informe'!$E$16)*(C1437&lt;='Resultats - informe'!$G$16),1,0)</f>
        <v>1</v>
      </c>
      <c r="M1437" s="369" cm="1">
        <f t="array" ref="M1437">+_xlfn.IFS((C1437&gt;='Resultats - informe'!$D$26)*(C1437&lt;='Resultats - informe'!$E$26),0,(C1437&gt;='Resultats - informe'!$D$27)*(C1437&lt;='Resultats - informe'!$E$27),0,(C1437&gt;='Resultats - informe'!$D$28)*(C1437&lt;='Resultats - informe'!$E$28),0,(C1437&gt;='Resultats - informe'!$D$29)*(C1437&lt;='Resultats - informe'!$E$29),0,1,1)</f>
        <v>0</v>
      </c>
      <c r="N1437" s="366">
        <f>+VLOOKUP(D1437,'Resultats - informe'!$Y$18:$AG$42,'Introducció dades consum'!K1437+1,0)</f>
        <v>0</v>
      </c>
      <c r="O1437" s="370" cm="1">
        <f t="array" ref="O1437">+_xlfn.SWITCH(MONTH(C1437),1,1,2,1,3,1,4,2,5,2,6,3,7,3,8,3,9,3,10,2,11,2,12,1,2)</f>
        <v>1</v>
      </c>
      <c r="P1437" s="43"/>
      <c r="AS1437" s="10"/>
      <c r="AT1437" s="10"/>
      <c r="AU1437" s="10"/>
      <c r="AV1437" s="10"/>
      <c r="AW1437" s="10"/>
      <c r="AX1437" s="10"/>
      <c r="AY1437" s="10"/>
      <c r="AZ1437" s="10"/>
      <c r="BA1437" s="10"/>
      <c r="BB1437" s="10"/>
      <c r="BC1437" s="10"/>
      <c r="BD1437" s="10"/>
      <c r="BE1437" s="10"/>
      <c r="BF1437" s="10"/>
      <c r="BG1437" s="10"/>
      <c r="BH1437" s="10"/>
      <c r="BI1437" s="10"/>
      <c r="BJ1437" s="10"/>
      <c r="BK1437" s="10"/>
      <c r="BL1437" s="10"/>
      <c r="BM1437" s="10"/>
      <c r="BN1437" s="10"/>
      <c r="BO1437" s="10"/>
      <c r="BP1437" s="10"/>
      <c r="BQ1437" s="10"/>
      <c r="BR1437" s="10"/>
      <c r="BS1437" s="10"/>
      <c r="BT1437" s="10"/>
      <c r="BU1437" s="10"/>
    </row>
    <row r="1438" spans="1:73" ht="18" x14ac:dyDescent="0.35">
      <c r="A1438" s="43"/>
      <c r="C1438" s="393"/>
      <c r="E1438" s="394"/>
      <c r="F1438" s="394">
        <v>0</v>
      </c>
      <c r="G1438" s="394"/>
      <c r="H1438" s="8" t="s">
        <v>235</v>
      </c>
      <c r="I1438" s="368">
        <f t="shared" si="67"/>
        <v>0</v>
      </c>
      <c r="J1438" s="365">
        <f t="shared" si="66"/>
        <v>0</v>
      </c>
      <c r="K1438" s="369">
        <f t="shared" si="68"/>
        <v>6</v>
      </c>
      <c r="L1438" s="369">
        <f>+IF((C1438&gt;='Resultats - informe'!$E$16)*(C1438&lt;='Resultats - informe'!$G$16),1,0)</f>
        <v>1</v>
      </c>
      <c r="M1438" s="369" cm="1">
        <f t="array" ref="M1438">+_xlfn.IFS((C1438&gt;='Resultats - informe'!$D$26)*(C1438&lt;='Resultats - informe'!$E$26),0,(C1438&gt;='Resultats - informe'!$D$27)*(C1438&lt;='Resultats - informe'!$E$27),0,(C1438&gt;='Resultats - informe'!$D$28)*(C1438&lt;='Resultats - informe'!$E$28),0,(C1438&gt;='Resultats - informe'!$D$29)*(C1438&lt;='Resultats - informe'!$E$29),0,1,1)</f>
        <v>0</v>
      </c>
      <c r="N1438" s="366">
        <f>+VLOOKUP(D1438,'Resultats - informe'!$Y$18:$AG$42,'Introducció dades consum'!K1438+1,0)</f>
        <v>0</v>
      </c>
      <c r="O1438" s="370" cm="1">
        <f t="array" ref="O1438">+_xlfn.SWITCH(MONTH(C1438),1,1,2,1,3,1,4,2,5,2,6,3,7,3,8,3,9,3,10,2,11,2,12,1,2)</f>
        <v>1</v>
      </c>
      <c r="P1438" s="43"/>
      <c r="AS1438" s="10"/>
      <c r="AT1438" s="10"/>
      <c r="AU1438" s="10"/>
      <c r="AV1438" s="10"/>
      <c r="AW1438" s="10"/>
      <c r="AX1438" s="10"/>
      <c r="AY1438" s="10"/>
      <c r="AZ1438" s="10"/>
      <c r="BA1438" s="10"/>
      <c r="BB1438" s="10"/>
      <c r="BC1438" s="10"/>
      <c r="BD1438" s="10"/>
      <c r="BE1438" s="10"/>
      <c r="BF1438" s="10"/>
      <c r="BG1438" s="10"/>
      <c r="BH1438" s="10"/>
      <c r="BI1438" s="10"/>
      <c r="BJ1438" s="10"/>
      <c r="BK1438" s="10"/>
      <c r="BL1438" s="10"/>
      <c r="BM1438" s="10"/>
      <c r="BN1438" s="10"/>
      <c r="BO1438" s="10"/>
      <c r="BP1438" s="10"/>
      <c r="BQ1438" s="10"/>
      <c r="BR1438" s="10"/>
      <c r="BS1438" s="10"/>
      <c r="BT1438" s="10"/>
      <c r="BU1438" s="10"/>
    </row>
    <row r="1439" spans="1:73" ht="18" x14ac:dyDescent="0.35">
      <c r="A1439" s="43"/>
      <c r="C1439" s="393"/>
      <c r="E1439" s="394"/>
      <c r="F1439" s="394">
        <v>0</v>
      </c>
      <c r="G1439" s="394"/>
      <c r="H1439" s="8" t="s">
        <v>235</v>
      </c>
      <c r="I1439" s="368">
        <f t="shared" si="67"/>
        <v>0</v>
      </c>
      <c r="J1439" s="365">
        <f t="shared" si="66"/>
        <v>0</v>
      </c>
      <c r="K1439" s="369">
        <f t="shared" si="68"/>
        <v>6</v>
      </c>
      <c r="L1439" s="369">
        <f>+IF((C1439&gt;='Resultats - informe'!$E$16)*(C1439&lt;='Resultats - informe'!$G$16),1,0)</f>
        <v>1</v>
      </c>
      <c r="M1439" s="369" cm="1">
        <f t="array" ref="M1439">+_xlfn.IFS((C1439&gt;='Resultats - informe'!$D$26)*(C1439&lt;='Resultats - informe'!$E$26),0,(C1439&gt;='Resultats - informe'!$D$27)*(C1439&lt;='Resultats - informe'!$E$27),0,(C1439&gt;='Resultats - informe'!$D$28)*(C1439&lt;='Resultats - informe'!$E$28),0,(C1439&gt;='Resultats - informe'!$D$29)*(C1439&lt;='Resultats - informe'!$E$29),0,1,1)</f>
        <v>0</v>
      </c>
      <c r="N1439" s="366">
        <f>+VLOOKUP(D1439,'Resultats - informe'!$Y$18:$AG$42,'Introducció dades consum'!K1439+1,0)</f>
        <v>0</v>
      </c>
      <c r="O1439" s="370" cm="1">
        <f t="array" ref="O1439">+_xlfn.SWITCH(MONTH(C1439),1,1,2,1,3,1,4,2,5,2,6,3,7,3,8,3,9,3,10,2,11,2,12,1,2)</f>
        <v>1</v>
      </c>
      <c r="P1439" s="43"/>
      <c r="AS1439" s="10"/>
      <c r="AT1439" s="10"/>
      <c r="AU1439" s="10"/>
      <c r="AV1439" s="10"/>
      <c r="AW1439" s="10"/>
      <c r="AX1439" s="10"/>
      <c r="AY1439" s="10"/>
      <c r="AZ1439" s="10"/>
      <c r="BA1439" s="10"/>
      <c r="BB1439" s="10"/>
      <c r="BC1439" s="10"/>
      <c r="BD1439" s="10"/>
      <c r="BE1439" s="10"/>
      <c r="BF1439" s="10"/>
      <c r="BG1439" s="10"/>
      <c r="BH1439" s="10"/>
      <c r="BI1439" s="10"/>
      <c r="BJ1439" s="10"/>
      <c r="BK1439" s="10"/>
      <c r="BL1439" s="10"/>
      <c r="BM1439" s="10"/>
      <c r="BN1439" s="10"/>
      <c r="BO1439" s="10"/>
      <c r="BP1439" s="10"/>
      <c r="BQ1439" s="10"/>
      <c r="BR1439" s="10"/>
      <c r="BS1439" s="10"/>
      <c r="BT1439" s="10"/>
      <c r="BU1439" s="10"/>
    </row>
    <row r="1440" spans="1:73" ht="18" x14ac:dyDescent="0.35">
      <c r="A1440" s="43"/>
      <c r="C1440" s="393"/>
      <c r="E1440" s="394"/>
      <c r="F1440" s="394">
        <v>0</v>
      </c>
      <c r="G1440" s="394"/>
      <c r="H1440" s="8" t="s">
        <v>235</v>
      </c>
      <c r="I1440" s="368">
        <f t="shared" si="67"/>
        <v>0</v>
      </c>
      <c r="J1440" s="365">
        <f t="shared" si="66"/>
        <v>0</v>
      </c>
      <c r="K1440" s="369">
        <f t="shared" si="68"/>
        <v>6</v>
      </c>
      <c r="L1440" s="369">
        <f>+IF((C1440&gt;='Resultats - informe'!$E$16)*(C1440&lt;='Resultats - informe'!$G$16),1,0)</f>
        <v>1</v>
      </c>
      <c r="M1440" s="369" cm="1">
        <f t="array" ref="M1440">+_xlfn.IFS((C1440&gt;='Resultats - informe'!$D$26)*(C1440&lt;='Resultats - informe'!$E$26),0,(C1440&gt;='Resultats - informe'!$D$27)*(C1440&lt;='Resultats - informe'!$E$27),0,(C1440&gt;='Resultats - informe'!$D$28)*(C1440&lt;='Resultats - informe'!$E$28),0,(C1440&gt;='Resultats - informe'!$D$29)*(C1440&lt;='Resultats - informe'!$E$29),0,1,1)</f>
        <v>0</v>
      </c>
      <c r="N1440" s="366">
        <f>+VLOOKUP(D1440,'Resultats - informe'!$Y$18:$AG$42,'Introducció dades consum'!K1440+1,0)</f>
        <v>0</v>
      </c>
      <c r="O1440" s="370" cm="1">
        <f t="array" ref="O1440">+_xlfn.SWITCH(MONTH(C1440),1,1,2,1,3,1,4,2,5,2,6,3,7,3,8,3,9,3,10,2,11,2,12,1,2)</f>
        <v>1</v>
      </c>
      <c r="P1440" s="43"/>
      <c r="AS1440" s="10"/>
      <c r="AT1440" s="10"/>
      <c r="AU1440" s="10"/>
      <c r="AV1440" s="10"/>
      <c r="AW1440" s="10"/>
      <c r="AX1440" s="10"/>
      <c r="AY1440" s="10"/>
      <c r="AZ1440" s="10"/>
      <c r="BA1440" s="10"/>
      <c r="BB1440" s="10"/>
      <c r="BC1440" s="10"/>
      <c r="BD1440" s="10"/>
      <c r="BE1440" s="10"/>
      <c r="BF1440" s="10"/>
      <c r="BG1440" s="10"/>
      <c r="BH1440" s="10"/>
      <c r="BI1440" s="10"/>
      <c r="BJ1440" s="10"/>
      <c r="BK1440" s="10"/>
      <c r="BL1440" s="10"/>
      <c r="BM1440" s="10"/>
      <c r="BN1440" s="10"/>
      <c r="BO1440" s="10"/>
      <c r="BP1440" s="10"/>
      <c r="BQ1440" s="10"/>
      <c r="BR1440" s="10"/>
      <c r="BS1440" s="10"/>
      <c r="BT1440" s="10"/>
      <c r="BU1440" s="10"/>
    </row>
    <row r="1441" spans="1:73" ht="18" x14ac:dyDescent="0.35">
      <c r="A1441" s="43"/>
      <c r="C1441" s="393"/>
      <c r="E1441" s="394"/>
      <c r="F1441" s="394">
        <v>0</v>
      </c>
      <c r="G1441" s="394"/>
      <c r="H1441" s="8" t="s">
        <v>235</v>
      </c>
      <c r="I1441" s="368">
        <f t="shared" si="67"/>
        <v>0</v>
      </c>
      <c r="J1441" s="365">
        <f t="shared" si="66"/>
        <v>0</v>
      </c>
      <c r="K1441" s="369">
        <f t="shared" si="68"/>
        <v>6</v>
      </c>
      <c r="L1441" s="369">
        <f>+IF((C1441&gt;='Resultats - informe'!$E$16)*(C1441&lt;='Resultats - informe'!$G$16),1,0)</f>
        <v>1</v>
      </c>
      <c r="M1441" s="369" cm="1">
        <f t="array" ref="M1441">+_xlfn.IFS((C1441&gt;='Resultats - informe'!$D$26)*(C1441&lt;='Resultats - informe'!$E$26),0,(C1441&gt;='Resultats - informe'!$D$27)*(C1441&lt;='Resultats - informe'!$E$27),0,(C1441&gt;='Resultats - informe'!$D$28)*(C1441&lt;='Resultats - informe'!$E$28),0,(C1441&gt;='Resultats - informe'!$D$29)*(C1441&lt;='Resultats - informe'!$E$29),0,1,1)</f>
        <v>0</v>
      </c>
      <c r="N1441" s="366">
        <f>+VLOOKUP(D1441,'Resultats - informe'!$Y$18:$AG$42,'Introducció dades consum'!K1441+1,0)</f>
        <v>0</v>
      </c>
      <c r="O1441" s="370" cm="1">
        <f t="array" ref="O1441">+_xlfn.SWITCH(MONTH(C1441),1,1,2,1,3,1,4,2,5,2,6,3,7,3,8,3,9,3,10,2,11,2,12,1,2)</f>
        <v>1</v>
      </c>
      <c r="P1441" s="43"/>
      <c r="AS1441" s="10"/>
      <c r="AT1441" s="10"/>
      <c r="AU1441" s="10"/>
      <c r="AV1441" s="10"/>
      <c r="AW1441" s="10"/>
      <c r="AX1441" s="10"/>
      <c r="AY1441" s="10"/>
      <c r="AZ1441" s="10"/>
      <c r="BA1441" s="10"/>
      <c r="BB1441" s="10"/>
      <c r="BC1441" s="10"/>
      <c r="BD1441" s="10"/>
      <c r="BE1441" s="10"/>
      <c r="BF1441" s="10"/>
      <c r="BG1441" s="10"/>
      <c r="BH1441" s="10"/>
      <c r="BI1441" s="10"/>
      <c r="BJ1441" s="10"/>
      <c r="BK1441" s="10"/>
      <c r="BL1441" s="10"/>
      <c r="BM1441" s="10"/>
      <c r="BN1441" s="10"/>
      <c r="BO1441" s="10"/>
      <c r="BP1441" s="10"/>
      <c r="BQ1441" s="10"/>
      <c r="BR1441" s="10"/>
      <c r="BS1441" s="10"/>
      <c r="BT1441" s="10"/>
      <c r="BU1441" s="10"/>
    </row>
    <row r="1442" spans="1:73" ht="18" x14ac:dyDescent="0.35">
      <c r="A1442" s="43"/>
      <c r="C1442" s="393"/>
      <c r="E1442" s="394"/>
      <c r="F1442" s="394">
        <v>0</v>
      </c>
      <c r="G1442" s="394"/>
      <c r="H1442" s="8" t="s">
        <v>235</v>
      </c>
      <c r="I1442" s="368">
        <f t="shared" si="67"/>
        <v>0</v>
      </c>
      <c r="J1442" s="365">
        <f t="shared" si="66"/>
        <v>0</v>
      </c>
      <c r="K1442" s="369">
        <f t="shared" si="68"/>
        <v>6</v>
      </c>
      <c r="L1442" s="369">
        <f>+IF((C1442&gt;='Resultats - informe'!$E$16)*(C1442&lt;='Resultats - informe'!$G$16),1,0)</f>
        <v>1</v>
      </c>
      <c r="M1442" s="369" cm="1">
        <f t="array" ref="M1442">+_xlfn.IFS((C1442&gt;='Resultats - informe'!$D$26)*(C1442&lt;='Resultats - informe'!$E$26),0,(C1442&gt;='Resultats - informe'!$D$27)*(C1442&lt;='Resultats - informe'!$E$27),0,(C1442&gt;='Resultats - informe'!$D$28)*(C1442&lt;='Resultats - informe'!$E$28),0,(C1442&gt;='Resultats - informe'!$D$29)*(C1442&lt;='Resultats - informe'!$E$29),0,1,1)</f>
        <v>0</v>
      </c>
      <c r="N1442" s="366">
        <f>+VLOOKUP(D1442,'Resultats - informe'!$Y$18:$AG$42,'Introducció dades consum'!K1442+1,0)</f>
        <v>0</v>
      </c>
      <c r="O1442" s="370" cm="1">
        <f t="array" ref="O1442">+_xlfn.SWITCH(MONTH(C1442),1,1,2,1,3,1,4,2,5,2,6,3,7,3,8,3,9,3,10,2,11,2,12,1,2)</f>
        <v>1</v>
      </c>
      <c r="P1442" s="43"/>
      <c r="AS1442" s="10"/>
      <c r="AT1442" s="10"/>
      <c r="AU1442" s="10"/>
      <c r="AV1442" s="10"/>
      <c r="AW1442" s="10"/>
      <c r="AX1442" s="10"/>
      <c r="AY1442" s="10"/>
      <c r="AZ1442" s="10"/>
      <c r="BA1442" s="10"/>
      <c r="BB1442" s="10"/>
      <c r="BC1442" s="10"/>
      <c r="BD1442" s="10"/>
      <c r="BE1442" s="10"/>
      <c r="BF1442" s="10"/>
      <c r="BG1442" s="10"/>
      <c r="BH1442" s="10"/>
      <c r="BI1442" s="10"/>
      <c r="BJ1442" s="10"/>
      <c r="BK1442" s="10"/>
      <c r="BL1442" s="10"/>
      <c r="BM1442" s="10"/>
      <c r="BN1442" s="10"/>
      <c r="BO1442" s="10"/>
      <c r="BP1442" s="10"/>
      <c r="BQ1442" s="10"/>
      <c r="BR1442" s="10"/>
      <c r="BS1442" s="10"/>
      <c r="BT1442" s="10"/>
      <c r="BU1442" s="10"/>
    </row>
    <row r="1443" spans="1:73" ht="18" x14ac:dyDescent="0.35">
      <c r="A1443" s="43"/>
      <c r="C1443" s="393"/>
      <c r="E1443" s="394"/>
      <c r="F1443" s="394">
        <v>0</v>
      </c>
      <c r="G1443" s="394"/>
      <c r="H1443" s="8" t="s">
        <v>235</v>
      </c>
      <c r="I1443" s="368">
        <f t="shared" si="67"/>
        <v>0</v>
      </c>
      <c r="J1443" s="365">
        <f t="shared" si="66"/>
        <v>0</v>
      </c>
      <c r="K1443" s="369">
        <f t="shared" si="68"/>
        <v>6</v>
      </c>
      <c r="L1443" s="369">
        <f>+IF((C1443&gt;='Resultats - informe'!$E$16)*(C1443&lt;='Resultats - informe'!$G$16),1,0)</f>
        <v>1</v>
      </c>
      <c r="M1443" s="369" cm="1">
        <f t="array" ref="M1443">+_xlfn.IFS((C1443&gt;='Resultats - informe'!$D$26)*(C1443&lt;='Resultats - informe'!$E$26),0,(C1443&gt;='Resultats - informe'!$D$27)*(C1443&lt;='Resultats - informe'!$E$27),0,(C1443&gt;='Resultats - informe'!$D$28)*(C1443&lt;='Resultats - informe'!$E$28),0,(C1443&gt;='Resultats - informe'!$D$29)*(C1443&lt;='Resultats - informe'!$E$29),0,1,1)</f>
        <v>0</v>
      </c>
      <c r="N1443" s="366">
        <f>+VLOOKUP(D1443,'Resultats - informe'!$Y$18:$AG$42,'Introducció dades consum'!K1443+1,0)</f>
        <v>0</v>
      </c>
      <c r="O1443" s="370" cm="1">
        <f t="array" ref="O1443">+_xlfn.SWITCH(MONTH(C1443),1,1,2,1,3,1,4,2,5,2,6,3,7,3,8,3,9,3,10,2,11,2,12,1,2)</f>
        <v>1</v>
      </c>
      <c r="P1443" s="43"/>
      <c r="AS1443" s="10"/>
      <c r="AT1443" s="10"/>
      <c r="AU1443" s="10"/>
      <c r="AV1443" s="10"/>
      <c r="AW1443" s="10"/>
      <c r="AX1443" s="10"/>
      <c r="AY1443" s="10"/>
      <c r="AZ1443" s="10"/>
      <c r="BA1443" s="10"/>
      <c r="BB1443" s="10"/>
      <c r="BC1443" s="10"/>
      <c r="BD1443" s="10"/>
      <c r="BE1443" s="10"/>
      <c r="BF1443" s="10"/>
      <c r="BG1443" s="10"/>
      <c r="BH1443" s="10"/>
      <c r="BI1443" s="10"/>
      <c r="BJ1443" s="10"/>
      <c r="BK1443" s="10"/>
      <c r="BL1443" s="10"/>
      <c r="BM1443" s="10"/>
      <c r="BN1443" s="10"/>
      <c r="BO1443" s="10"/>
      <c r="BP1443" s="10"/>
      <c r="BQ1443" s="10"/>
      <c r="BR1443" s="10"/>
      <c r="BS1443" s="10"/>
      <c r="BT1443" s="10"/>
      <c r="BU1443" s="10"/>
    </row>
    <row r="1444" spans="1:73" ht="18" x14ac:dyDescent="0.35">
      <c r="A1444" s="43"/>
      <c r="C1444" s="393"/>
      <c r="E1444" s="394"/>
      <c r="F1444" s="394">
        <v>0</v>
      </c>
      <c r="G1444" s="394"/>
      <c r="H1444" s="8" t="s">
        <v>235</v>
      </c>
      <c r="I1444" s="368">
        <f t="shared" si="67"/>
        <v>0</v>
      </c>
      <c r="J1444" s="365">
        <f t="shared" si="66"/>
        <v>0</v>
      </c>
      <c r="K1444" s="369">
        <f t="shared" si="68"/>
        <v>6</v>
      </c>
      <c r="L1444" s="369">
        <f>+IF((C1444&gt;='Resultats - informe'!$E$16)*(C1444&lt;='Resultats - informe'!$G$16),1,0)</f>
        <v>1</v>
      </c>
      <c r="M1444" s="369" cm="1">
        <f t="array" ref="M1444">+_xlfn.IFS((C1444&gt;='Resultats - informe'!$D$26)*(C1444&lt;='Resultats - informe'!$E$26),0,(C1444&gt;='Resultats - informe'!$D$27)*(C1444&lt;='Resultats - informe'!$E$27),0,(C1444&gt;='Resultats - informe'!$D$28)*(C1444&lt;='Resultats - informe'!$E$28),0,(C1444&gt;='Resultats - informe'!$D$29)*(C1444&lt;='Resultats - informe'!$E$29),0,1,1)</f>
        <v>0</v>
      </c>
      <c r="N1444" s="366">
        <f>+VLOOKUP(D1444,'Resultats - informe'!$Y$18:$AG$42,'Introducció dades consum'!K1444+1,0)</f>
        <v>0</v>
      </c>
      <c r="O1444" s="370" cm="1">
        <f t="array" ref="O1444">+_xlfn.SWITCH(MONTH(C1444),1,1,2,1,3,1,4,2,5,2,6,3,7,3,8,3,9,3,10,2,11,2,12,1,2)</f>
        <v>1</v>
      </c>
      <c r="P1444" s="43"/>
      <c r="AS1444" s="10"/>
      <c r="AT1444" s="10"/>
      <c r="AU1444" s="10"/>
      <c r="AV1444" s="10"/>
      <c r="AW1444" s="10"/>
      <c r="AX1444" s="10"/>
      <c r="AY1444" s="10"/>
      <c r="AZ1444" s="10"/>
      <c r="BA1444" s="10"/>
      <c r="BB1444" s="10"/>
      <c r="BC1444" s="10"/>
      <c r="BD1444" s="10"/>
      <c r="BE1444" s="10"/>
      <c r="BF1444" s="10"/>
      <c r="BG1444" s="10"/>
      <c r="BH1444" s="10"/>
      <c r="BI1444" s="10"/>
      <c r="BJ1444" s="10"/>
      <c r="BK1444" s="10"/>
      <c r="BL1444" s="10"/>
      <c r="BM1444" s="10"/>
      <c r="BN1444" s="10"/>
      <c r="BO1444" s="10"/>
      <c r="BP1444" s="10"/>
      <c r="BQ1444" s="10"/>
      <c r="BR1444" s="10"/>
      <c r="BS1444" s="10"/>
      <c r="BT1444" s="10"/>
      <c r="BU1444" s="10"/>
    </row>
    <row r="1445" spans="1:73" ht="18" x14ac:dyDescent="0.35">
      <c r="A1445" s="43"/>
      <c r="C1445" s="393"/>
      <c r="E1445" s="394"/>
      <c r="F1445" s="394">
        <v>0</v>
      </c>
      <c r="G1445" s="394"/>
      <c r="H1445" s="8" t="s">
        <v>235</v>
      </c>
      <c r="I1445" s="368">
        <f t="shared" si="67"/>
        <v>0</v>
      </c>
      <c r="J1445" s="365">
        <f t="shared" si="66"/>
        <v>0</v>
      </c>
      <c r="K1445" s="369">
        <f t="shared" si="68"/>
        <v>6</v>
      </c>
      <c r="L1445" s="369">
        <f>+IF((C1445&gt;='Resultats - informe'!$E$16)*(C1445&lt;='Resultats - informe'!$G$16),1,0)</f>
        <v>1</v>
      </c>
      <c r="M1445" s="369" cm="1">
        <f t="array" ref="M1445">+_xlfn.IFS((C1445&gt;='Resultats - informe'!$D$26)*(C1445&lt;='Resultats - informe'!$E$26),0,(C1445&gt;='Resultats - informe'!$D$27)*(C1445&lt;='Resultats - informe'!$E$27),0,(C1445&gt;='Resultats - informe'!$D$28)*(C1445&lt;='Resultats - informe'!$E$28),0,(C1445&gt;='Resultats - informe'!$D$29)*(C1445&lt;='Resultats - informe'!$E$29),0,1,1)</f>
        <v>0</v>
      </c>
      <c r="N1445" s="366">
        <f>+VLOOKUP(D1445,'Resultats - informe'!$Y$18:$AG$42,'Introducció dades consum'!K1445+1,0)</f>
        <v>0</v>
      </c>
      <c r="O1445" s="370" cm="1">
        <f t="array" ref="O1445">+_xlfn.SWITCH(MONTH(C1445),1,1,2,1,3,1,4,2,5,2,6,3,7,3,8,3,9,3,10,2,11,2,12,1,2)</f>
        <v>1</v>
      </c>
      <c r="P1445" s="43"/>
      <c r="AS1445" s="10"/>
      <c r="AT1445" s="10"/>
      <c r="AU1445" s="10"/>
      <c r="AV1445" s="10"/>
      <c r="AW1445" s="10"/>
      <c r="AX1445" s="10"/>
      <c r="AY1445" s="10"/>
      <c r="AZ1445" s="10"/>
      <c r="BA1445" s="10"/>
      <c r="BB1445" s="10"/>
      <c r="BC1445" s="10"/>
      <c r="BD1445" s="10"/>
      <c r="BE1445" s="10"/>
      <c r="BF1445" s="10"/>
      <c r="BG1445" s="10"/>
      <c r="BH1445" s="10"/>
      <c r="BI1445" s="10"/>
      <c r="BJ1445" s="10"/>
      <c r="BK1445" s="10"/>
      <c r="BL1445" s="10"/>
      <c r="BM1445" s="10"/>
      <c r="BN1445" s="10"/>
      <c r="BO1445" s="10"/>
      <c r="BP1445" s="10"/>
      <c r="BQ1445" s="10"/>
      <c r="BR1445" s="10"/>
      <c r="BS1445" s="10"/>
      <c r="BT1445" s="10"/>
      <c r="BU1445" s="10"/>
    </row>
    <row r="1446" spans="1:73" ht="18" x14ac:dyDescent="0.35">
      <c r="A1446" s="43"/>
      <c r="C1446" s="393"/>
      <c r="E1446" s="394"/>
      <c r="F1446" s="394">
        <v>0</v>
      </c>
      <c r="G1446" s="394"/>
      <c r="H1446" s="8" t="s">
        <v>235</v>
      </c>
      <c r="I1446" s="368">
        <f t="shared" si="67"/>
        <v>0</v>
      </c>
      <c r="J1446" s="365">
        <f t="shared" si="66"/>
        <v>0</v>
      </c>
      <c r="K1446" s="369">
        <f t="shared" si="68"/>
        <v>6</v>
      </c>
      <c r="L1446" s="369">
        <f>+IF((C1446&gt;='Resultats - informe'!$E$16)*(C1446&lt;='Resultats - informe'!$G$16),1,0)</f>
        <v>1</v>
      </c>
      <c r="M1446" s="369" cm="1">
        <f t="array" ref="M1446">+_xlfn.IFS((C1446&gt;='Resultats - informe'!$D$26)*(C1446&lt;='Resultats - informe'!$E$26),0,(C1446&gt;='Resultats - informe'!$D$27)*(C1446&lt;='Resultats - informe'!$E$27),0,(C1446&gt;='Resultats - informe'!$D$28)*(C1446&lt;='Resultats - informe'!$E$28),0,(C1446&gt;='Resultats - informe'!$D$29)*(C1446&lt;='Resultats - informe'!$E$29),0,1,1)</f>
        <v>0</v>
      </c>
      <c r="N1446" s="366">
        <f>+VLOOKUP(D1446,'Resultats - informe'!$Y$18:$AG$42,'Introducció dades consum'!K1446+1,0)</f>
        <v>0</v>
      </c>
      <c r="O1446" s="370" cm="1">
        <f t="array" ref="O1446">+_xlfn.SWITCH(MONTH(C1446),1,1,2,1,3,1,4,2,5,2,6,3,7,3,8,3,9,3,10,2,11,2,12,1,2)</f>
        <v>1</v>
      </c>
      <c r="P1446" s="43"/>
      <c r="AS1446" s="10"/>
      <c r="AT1446" s="10"/>
      <c r="AU1446" s="10"/>
      <c r="AV1446" s="10"/>
      <c r="AW1446" s="10"/>
      <c r="AX1446" s="10"/>
      <c r="AY1446" s="10"/>
      <c r="AZ1446" s="10"/>
      <c r="BA1446" s="10"/>
      <c r="BB1446" s="10"/>
      <c r="BC1446" s="10"/>
      <c r="BD1446" s="10"/>
      <c r="BE1446" s="10"/>
      <c r="BF1446" s="10"/>
      <c r="BG1446" s="10"/>
      <c r="BH1446" s="10"/>
      <c r="BI1446" s="10"/>
      <c r="BJ1446" s="10"/>
      <c r="BK1446" s="10"/>
      <c r="BL1446" s="10"/>
      <c r="BM1446" s="10"/>
      <c r="BN1446" s="10"/>
      <c r="BO1446" s="10"/>
      <c r="BP1446" s="10"/>
      <c r="BQ1446" s="10"/>
      <c r="BR1446" s="10"/>
      <c r="BS1446" s="10"/>
      <c r="BT1446" s="10"/>
      <c r="BU1446" s="10"/>
    </row>
    <row r="1447" spans="1:73" ht="18" x14ac:dyDescent="0.35">
      <c r="A1447" s="43"/>
      <c r="C1447" s="393"/>
      <c r="E1447" s="394"/>
      <c r="F1447" s="394">
        <v>0</v>
      </c>
      <c r="G1447" s="394"/>
      <c r="H1447" s="8" t="s">
        <v>235</v>
      </c>
      <c r="I1447" s="368">
        <f t="shared" si="67"/>
        <v>0</v>
      </c>
      <c r="J1447" s="365">
        <f t="shared" si="66"/>
        <v>0</v>
      </c>
      <c r="K1447" s="369">
        <f t="shared" si="68"/>
        <v>6</v>
      </c>
      <c r="L1447" s="369">
        <f>+IF((C1447&gt;='Resultats - informe'!$E$16)*(C1447&lt;='Resultats - informe'!$G$16),1,0)</f>
        <v>1</v>
      </c>
      <c r="M1447" s="369" cm="1">
        <f t="array" ref="M1447">+_xlfn.IFS((C1447&gt;='Resultats - informe'!$D$26)*(C1447&lt;='Resultats - informe'!$E$26),0,(C1447&gt;='Resultats - informe'!$D$27)*(C1447&lt;='Resultats - informe'!$E$27),0,(C1447&gt;='Resultats - informe'!$D$28)*(C1447&lt;='Resultats - informe'!$E$28),0,(C1447&gt;='Resultats - informe'!$D$29)*(C1447&lt;='Resultats - informe'!$E$29),0,1,1)</f>
        <v>0</v>
      </c>
      <c r="N1447" s="366">
        <f>+VLOOKUP(D1447,'Resultats - informe'!$Y$18:$AG$42,'Introducció dades consum'!K1447+1,0)</f>
        <v>0</v>
      </c>
      <c r="O1447" s="370" cm="1">
        <f t="array" ref="O1447">+_xlfn.SWITCH(MONTH(C1447),1,1,2,1,3,1,4,2,5,2,6,3,7,3,8,3,9,3,10,2,11,2,12,1,2)</f>
        <v>1</v>
      </c>
      <c r="P1447" s="43"/>
      <c r="AS1447" s="10"/>
      <c r="AT1447" s="10"/>
      <c r="AU1447" s="10"/>
      <c r="AV1447" s="10"/>
      <c r="AW1447" s="10"/>
      <c r="AX1447" s="10"/>
      <c r="AY1447" s="10"/>
      <c r="AZ1447" s="10"/>
      <c r="BA1447" s="10"/>
      <c r="BB1447" s="10"/>
      <c r="BC1447" s="10"/>
      <c r="BD1447" s="10"/>
      <c r="BE1447" s="10"/>
      <c r="BF1447" s="10"/>
      <c r="BG1447" s="10"/>
      <c r="BH1447" s="10"/>
      <c r="BI1447" s="10"/>
      <c r="BJ1447" s="10"/>
      <c r="BK1447" s="10"/>
      <c r="BL1447" s="10"/>
      <c r="BM1447" s="10"/>
      <c r="BN1447" s="10"/>
      <c r="BO1447" s="10"/>
      <c r="BP1447" s="10"/>
      <c r="BQ1447" s="10"/>
      <c r="BR1447" s="10"/>
      <c r="BS1447" s="10"/>
      <c r="BT1447" s="10"/>
      <c r="BU1447" s="10"/>
    </row>
    <row r="1448" spans="1:73" ht="18" x14ac:dyDescent="0.35">
      <c r="A1448" s="43"/>
      <c r="C1448" s="393"/>
      <c r="E1448" s="394"/>
      <c r="F1448" s="394">
        <v>0</v>
      </c>
      <c r="G1448" s="394"/>
      <c r="H1448" s="8" t="s">
        <v>235</v>
      </c>
      <c r="I1448" s="368">
        <f t="shared" si="67"/>
        <v>0</v>
      </c>
      <c r="J1448" s="365">
        <f t="shared" si="66"/>
        <v>0</v>
      </c>
      <c r="K1448" s="369">
        <f t="shared" si="68"/>
        <v>6</v>
      </c>
      <c r="L1448" s="369">
        <f>+IF((C1448&gt;='Resultats - informe'!$E$16)*(C1448&lt;='Resultats - informe'!$G$16),1,0)</f>
        <v>1</v>
      </c>
      <c r="M1448" s="369" cm="1">
        <f t="array" ref="M1448">+_xlfn.IFS((C1448&gt;='Resultats - informe'!$D$26)*(C1448&lt;='Resultats - informe'!$E$26),0,(C1448&gt;='Resultats - informe'!$D$27)*(C1448&lt;='Resultats - informe'!$E$27),0,(C1448&gt;='Resultats - informe'!$D$28)*(C1448&lt;='Resultats - informe'!$E$28),0,(C1448&gt;='Resultats - informe'!$D$29)*(C1448&lt;='Resultats - informe'!$E$29),0,1,1)</f>
        <v>0</v>
      </c>
      <c r="N1448" s="366">
        <f>+VLOOKUP(D1448,'Resultats - informe'!$Y$18:$AG$42,'Introducció dades consum'!K1448+1,0)</f>
        <v>0</v>
      </c>
      <c r="O1448" s="370" cm="1">
        <f t="array" ref="O1448">+_xlfn.SWITCH(MONTH(C1448),1,1,2,1,3,1,4,2,5,2,6,3,7,3,8,3,9,3,10,2,11,2,12,1,2)</f>
        <v>1</v>
      </c>
      <c r="P1448" s="43"/>
      <c r="AS1448" s="10"/>
      <c r="AT1448" s="10"/>
      <c r="AU1448" s="10"/>
      <c r="AV1448" s="10"/>
      <c r="AW1448" s="10"/>
      <c r="AX1448" s="10"/>
      <c r="AY1448" s="10"/>
      <c r="AZ1448" s="10"/>
      <c r="BA1448" s="10"/>
      <c r="BB1448" s="10"/>
      <c r="BC1448" s="10"/>
      <c r="BD1448" s="10"/>
      <c r="BE1448" s="10"/>
      <c r="BF1448" s="10"/>
      <c r="BG1448" s="10"/>
      <c r="BH1448" s="10"/>
      <c r="BI1448" s="10"/>
      <c r="BJ1448" s="10"/>
      <c r="BK1448" s="10"/>
      <c r="BL1448" s="10"/>
      <c r="BM1448" s="10"/>
      <c r="BN1448" s="10"/>
      <c r="BO1448" s="10"/>
      <c r="BP1448" s="10"/>
      <c r="BQ1448" s="10"/>
      <c r="BR1448" s="10"/>
      <c r="BS1448" s="10"/>
      <c r="BT1448" s="10"/>
      <c r="BU1448" s="10"/>
    </row>
    <row r="1449" spans="1:73" ht="18" x14ac:dyDescent="0.35">
      <c r="A1449" s="43"/>
      <c r="C1449" s="393"/>
      <c r="E1449" s="394"/>
      <c r="F1449" s="394">
        <v>0</v>
      </c>
      <c r="G1449" s="394"/>
      <c r="H1449" s="8" t="s">
        <v>235</v>
      </c>
      <c r="I1449" s="368">
        <f t="shared" si="67"/>
        <v>0</v>
      </c>
      <c r="J1449" s="365">
        <f t="shared" si="66"/>
        <v>0</v>
      </c>
      <c r="K1449" s="369">
        <f t="shared" si="68"/>
        <v>6</v>
      </c>
      <c r="L1449" s="369">
        <f>+IF((C1449&gt;='Resultats - informe'!$E$16)*(C1449&lt;='Resultats - informe'!$G$16),1,0)</f>
        <v>1</v>
      </c>
      <c r="M1449" s="369" cm="1">
        <f t="array" ref="M1449">+_xlfn.IFS((C1449&gt;='Resultats - informe'!$D$26)*(C1449&lt;='Resultats - informe'!$E$26),0,(C1449&gt;='Resultats - informe'!$D$27)*(C1449&lt;='Resultats - informe'!$E$27),0,(C1449&gt;='Resultats - informe'!$D$28)*(C1449&lt;='Resultats - informe'!$E$28),0,(C1449&gt;='Resultats - informe'!$D$29)*(C1449&lt;='Resultats - informe'!$E$29),0,1,1)</f>
        <v>0</v>
      </c>
      <c r="N1449" s="366">
        <f>+VLOOKUP(D1449,'Resultats - informe'!$Y$18:$AG$42,'Introducció dades consum'!K1449+1,0)</f>
        <v>0</v>
      </c>
      <c r="O1449" s="370" cm="1">
        <f t="array" ref="O1449">+_xlfn.SWITCH(MONTH(C1449),1,1,2,1,3,1,4,2,5,2,6,3,7,3,8,3,9,3,10,2,11,2,12,1,2)</f>
        <v>1</v>
      </c>
      <c r="P1449" s="43"/>
      <c r="AS1449" s="10"/>
      <c r="AT1449" s="10"/>
      <c r="AU1449" s="10"/>
      <c r="AV1449" s="10"/>
      <c r="AW1449" s="10"/>
      <c r="AX1449" s="10"/>
      <c r="AY1449" s="10"/>
      <c r="AZ1449" s="10"/>
      <c r="BA1449" s="10"/>
      <c r="BB1449" s="10"/>
      <c r="BC1449" s="10"/>
      <c r="BD1449" s="10"/>
      <c r="BE1449" s="10"/>
      <c r="BF1449" s="10"/>
      <c r="BG1449" s="10"/>
      <c r="BH1449" s="10"/>
      <c r="BI1449" s="10"/>
      <c r="BJ1449" s="10"/>
      <c r="BK1449" s="10"/>
      <c r="BL1449" s="10"/>
      <c r="BM1449" s="10"/>
      <c r="BN1449" s="10"/>
      <c r="BO1449" s="10"/>
      <c r="BP1449" s="10"/>
      <c r="BQ1449" s="10"/>
      <c r="BR1449" s="10"/>
      <c r="BS1449" s="10"/>
      <c r="BT1449" s="10"/>
      <c r="BU1449" s="10"/>
    </row>
    <row r="1450" spans="1:73" ht="18" x14ac:dyDescent="0.35">
      <c r="A1450" s="43"/>
      <c r="C1450" s="393"/>
      <c r="E1450" s="394"/>
      <c r="F1450" s="394">
        <v>0</v>
      </c>
      <c r="G1450" s="394"/>
      <c r="H1450" s="8" t="s">
        <v>235</v>
      </c>
      <c r="I1450" s="368">
        <f t="shared" si="67"/>
        <v>0</v>
      </c>
      <c r="J1450" s="365">
        <f t="shared" si="66"/>
        <v>0</v>
      </c>
      <c r="K1450" s="369">
        <f t="shared" si="68"/>
        <v>6</v>
      </c>
      <c r="L1450" s="369">
        <f>+IF((C1450&gt;='Resultats - informe'!$E$16)*(C1450&lt;='Resultats - informe'!$G$16),1,0)</f>
        <v>1</v>
      </c>
      <c r="M1450" s="369" cm="1">
        <f t="array" ref="M1450">+_xlfn.IFS((C1450&gt;='Resultats - informe'!$D$26)*(C1450&lt;='Resultats - informe'!$E$26),0,(C1450&gt;='Resultats - informe'!$D$27)*(C1450&lt;='Resultats - informe'!$E$27),0,(C1450&gt;='Resultats - informe'!$D$28)*(C1450&lt;='Resultats - informe'!$E$28),0,(C1450&gt;='Resultats - informe'!$D$29)*(C1450&lt;='Resultats - informe'!$E$29),0,1,1)</f>
        <v>0</v>
      </c>
      <c r="N1450" s="366">
        <f>+VLOOKUP(D1450,'Resultats - informe'!$Y$18:$AG$42,'Introducció dades consum'!K1450+1,0)</f>
        <v>0</v>
      </c>
      <c r="O1450" s="370" cm="1">
        <f t="array" ref="O1450">+_xlfn.SWITCH(MONTH(C1450),1,1,2,1,3,1,4,2,5,2,6,3,7,3,8,3,9,3,10,2,11,2,12,1,2)</f>
        <v>1</v>
      </c>
      <c r="P1450" s="43"/>
      <c r="AS1450" s="10"/>
      <c r="AT1450" s="10"/>
      <c r="AU1450" s="10"/>
      <c r="AV1450" s="10"/>
      <c r="AW1450" s="10"/>
      <c r="AX1450" s="10"/>
      <c r="AY1450" s="10"/>
      <c r="AZ1450" s="10"/>
      <c r="BA1450" s="10"/>
      <c r="BB1450" s="10"/>
      <c r="BC1450" s="10"/>
      <c r="BD1450" s="10"/>
      <c r="BE1450" s="10"/>
      <c r="BF1450" s="10"/>
      <c r="BG1450" s="10"/>
      <c r="BH1450" s="10"/>
      <c r="BI1450" s="10"/>
      <c r="BJ1450" s="10"/>
      <c r="BK1450" s="10"/>
      <c r="BL1450" s="10"/>
      <c r="BM1450" s="10"/>
      <c r="BN1450" s="10"/>
      <c r="BO1450" s="10"/>
      <c r="BP1450" s="10"/>
      <c r="BQ1450" s="10"/>
      <c r="BR1450" s="10"/>
      <c r="BS1450" s="10"/>
      <c r="BT1450" s="10"/>
      <c r="BU1450" s="10"/>
    </row>
    <row r="1451" spans="1:73" ht="18" x14ac:dyDescent="0.35">
      <c r="A1451" s="43"/>
      <c r="C1451" s="393"/>
      <c r="E1451" s="394"/>
      <c r="F1451" s="394">
        <v>6.5000000000000002E-2</v>
      </c>
      <c r="G1451" s="394"/>
      <c r="H1451" s="8" t="s">
        <v>235</v>
      </c>
      <c r="I1451" s="368">
        <f t="shared" si="67"/>
        <v>0</v>
      </c>
      <c r="J1451" s="365">
        <f t="shared" si="66"/>
        <v>0</v>
      </c>
      <c r="K1451" s="369">
        <f t="shared" si="68"/>
        <v>6</v>
      </c>
      <c r="L1451" s="369">
        <f>+IF((C1451&gt;='Resultats - informe'!$E$16)*(C1451&lt;='Resultats - informe'!$G$16),1,0)</f>
        <v>1</v>
      </c>
      <c r="M1451" s="369" cm="1">
        <f t="array" ref="M1451">+_xlfn.IFS((C1451&gt;='Resultats - informe'!$D$26)*(C1451&lt;='Resultats - informe'!$E$26),0,(C1451&gt;='Resultats - informe'!$D$27)*(C1451&lt;='Resultats - informe'!$E$27),0,(C1451&gt;='Resultats - informe'!$D$28)*(C1451&lt;='Resultats - informe'!$E$28),0,(C1451&gt;='Resultats - informe'!$D$29)*(C1451&lt;='Resultats - informe'!$E$29),0,1,1)</f>
        <v>0</v>
      </c>
      <c r="N1451" s="366">
        <f>+VLOOKUP(D1451,'Resultats - informe'!$Y$18:$AG$42,'Introducció dades consum'!K1451+1,0)</f>
        <v>0</v>
      </c>
      <c r="O1451" s="370" cm="1">
        <f t="array" ref="O1451">+_xlfn.SWITCH(MONTH(C1451),1,1,2,1,3,1,4,2,5,2,6,3,7,3,8,3,9,3,10,2,11,2,12,1,2)</f>
        <v>1</v>
      </c>
      <c r="P1451" s="43"/>
      <c r="AS1451" s="10"/>
      <c r="AT1451" s="10"/>
      <c r="AU1451" s="10"/>
      <c r="AV1451" s="10"/>
      <c r="AW1451" s="10"/>
      <c r="AX1451" s="10"/>
      <c r="AY1451" s="10"/>
      <c r="AZ1451" s="10"/>
      <c r="BA1451" s="10"/>
      <c r="BB1451" s="10"/>
      <c r="BC1451" s="10"/>
      <c r="BD1451" s="10"/>
      <c r="BE1451" s="10"/>
      <c r="BF1451" s="10"/>
      <c r="BG1451" s="10"/>
      <c r="BH1451" s="10"/>
      <c r="BI1451" s="10"/>
      <c r="BJ1451" s="10"/>
      <c r="BK1451" s="10"/>
      <c r="BL1451" s="10"/>
      <c r="BM1451" s="10"/>
      <c r="BN1451" s="10"/>
      <c r="BO1451" s="10"/>
      <c r="BP1451" s="10"/>
      <c r="BQ1451" s="10"/>
      <c r="BR1451" s="10"/>
      <c r="BS1451" s="10"/>
      <c r="BT1451" s="10"/>
      <c r="BU1451" s="10"/>
    </row>
    <row r="1452" spans="1:73" ht="18" x14ac:dyDescent="0.35">
      <c r="A1452" s="43"/>
      <c r="C1452" s="393"/>
      <c r="E1452" s="394"/>
      <c r="F1452" s="394">
        <v>0.76</v>
      </c>
      <c r="G1452" s="394"/>
      <c r="H1452" s="8" t="s">
        <v>235</v>
      </c>
      <c r="I1452" s="368">
        <f t="shared" si="67"/>
        <v>0</v>
      </c>
      <c r="J1452" s="365">
        <f t="shared" si="66"/>
        <v>0</v>
      </c>
      <c r="K1452" s="369">
        <f t="shared" si="68"/>
        <v>6</v>
      </c>
      <c r="L1452" s="369">
        <f>+IF((C1452&gt;='Resultats - informe'!$E$16)*(C1452&lt;='Resultats - informe'!$G$16),1,0)</f>
        <v>1</v>
      </c>
      <c r="M1452" s="369" cm="1">
        <f t="array" ref="M1452">+_xlfn.IFS((C1452&gt;='Resultats - informe'!$D$26)*(C1452&lt;='Resultats - informe'!$E$26),0,(C1452&gt;='Resultats - informe'!$D$27)*(C1452&lt;='Resultats - informe'!$E$27),0,(C1452&gt;='Resultats - informe'!$D$28)*(C1452&lt;='Resultats - informe'!$E$28),0,(C1452&gt;='Resultats - informe'!$D$29)*(C1452&lt;='Resultats - informe'!$E$29),0,1,1)</f>
        <v>0</v>
      </c>
      <c r="N1452" s="366">
        <f>+VLOOKUP(D1452,'Resultats - informe'!$Y$18:$AG$42,'Introducció dades consum'!K1452+1,0)</f>
        <v>0</v>
      </c>
      <c r="O1452" s="370" cm="1">
        <f t="array" ref="O1452">+_xlfn.SWITCH(MONTH(C1452),1,1,2,1,3,1,4,2,5,2,6,3,7,3,8,3,9,3,10,2,11,2,12,1,2)</f>
        <v>1</v>
      </c>
      <c r="P1452" s="43"/>
      <c r="AS1452" s="10"/>
      <c r="AT1452" s="10"/>
      <c r="AU1452" s="10"/>
      <c r="AV1452" s="10"/>
      <c r="AW1452" s="10"/>
      <c r="AX1452" s="10"/>
      <c r="AY1452" s="10"/>
      <c r="AZ1452" s="10"/>
      <c r="BA1452" s="10"/>
      <c r="BB1452" s="10"/>
      <c r="BC1452" s="10"/>
      <c r="BD1452" s="10"/>
      <c r="BE1452" s="10"/>
      <c r="BF1452" s="10"/>
      <c r="BG1452" s="10"/>
      <c r="BH1452" s="10"/>
      <c r="BI1452" s="10"/>
      <c r="BJ1452" s="10"/>
      <c r="BK1452" s="10"/>
      <c r="BL1452" s="10"/>
      <c r="BM1452" s="10"/>
      <c r="BN1452" s="10"/>
      <c r="BO1452" s="10"/>
      <c r="BP1452" s="10"/>
      <c r="BQ1452" s="10"/>
      <c r="BR1452" s="10"/>
      <c r="BS1452" s="10"/>
      <c r="BT1452" s="10"/>
      <c r="BU1452" s="10"/>
    </row>
    <row r="1453" spans="1:73" ht="18" x14ac:dyDescent="0.35">
      <c r="A1453" s="43"/>
      <c r="C1453" s="393"/>
      <c r="E1453" s="394"/>
      <c r="F1453" s="394">
        <v>1.516</v>
      </c>
      <c r="G1453" s="394"/>
      <c r="H1453" s="8" t="s">
        <v>235</v>
      </c>
      <c r="I1453" s="368">
        <f t="shared" si="67"/>
        <v>0</v>
      </c>
      <c r="J1453" s="365">
        <f t="shared" si="66"/>
        <v>0</v>
      </c>
      <c r="K1453" s="369">
        <f t="shared" si="68"/>
        <v>6</v>
      </c>
      <c r="L1453" s="369">
        <f>+IF((C1453&gt;='Resultats - informe'!$E$16)*(C1453&lt;='Resultats - informe'!$G$16),1,0)</f>
        <v>1</v>
      </c>
      <c r="M1453" s="369" cm="1">
        <f t="array" ref="M1453">+_xlfn.IFS((C1453&gt;='Resultats - informe'!$D$26)*(C1453&lt;='Resultats - informe'!$E$26),0,(C1453&gt;='Resultats - informe'!$D$27)*(C1453&lt;='Resultats - informe'!$E$27),0,(C1453&gt;='Resultats - informe'!$D$28)*(C1453&lt;='Resultats - informe'!$E$28),0,(C1453&gt;='Resultats - informe'!$D$29)*(C1453&lt;='Resultats - informe'!$E$29),0,1,1)</f>
        <v>0</v>
      </c>
      <c r="N1453" s="366">
        <f>+VLOOKUP(D1453,'Resultats - informe'!$Y$18:$AG$42,'Introducció dades consum'!K1453+1,0)</f>
        <v>0</v>
      </c>
      <c r="O1453" s="370" cm="1">
        <f t="array" ref="O1453">+_xlfn.SWITCH(MONTH(C1453),1,1,2,1,3,1,4,2,5,2,6,3,7,3,8,3,9,3,10,2,11,2,12,1,2)</f>
        <v>1</v>
      </c>
      <c r="P1453" s="43"/>
      <c r="AS1453" s="10"/>
      <c r="AT1453" s="10"/>
      <c r="AU1453" s="10"/>
      <c r="AV1453" s="10"/>
      <c r="AW1453" s="10"/>
      <c r="AX1453" s="10"/>
      <c r="AY1453" s="10"/>
      <c r="AZ1453" s="10"/>
      <c r="BA1453" s="10"/>
      <c r="BB1453" s="10"/>
      <c r="BC1453" s="10"/>
      <c r="BD1453" s="10"/>
      <c r="BE1453" s="10"/>
      <c r="BF1453" s="10"/>
      <c r="BG1453" s="10"/>
      <c r="BH1453" s="10"/>
      <c r="BI1453" s="10"/>
      <c r="BJ1453" s="10"/>
      <c r="BK1453" s="10"/>
      <c r="BL1453" s="10"/>
      <c r="BM1453" s="10"/>
      <c r="BN1453" s="10"/>
      <c r="BO1453" s="10"/>
      <c r="BP1453" s="10"/>
      <c r="BQ1453" s="10"/>
      <c r="BR1453" s="10"/>
      <c r="BS1453" s="10"/>
      <c r="BT1453" s="10"/>
      <c r="BU1453" s="10"/>
    </row>
    <row r="1454" spans="1:73" ht="18" x14ac:dyDescent="0.35">
      <c r="A1454" s="43"/>
      <c r="C1454" s="393"/>
      <c r="E1454" s="394"/>
      <c r="F1454" s="394">
        <v>2.181</v>
      </c>
      <c r="G1454" s="394"/>
      <c r="H1454" s="8" t="s">
        <v>235</v>
      </c>
      <c r="I1454" s="368">
        <f t="shared" si="67"/>
        <v>0</v>
      </c>
      <c r="J1454" s="365">
        <f t="shared" si="66"/>
        <v>0</v>
      </c>
      <c r="K1454" s="369">
        <f t="shared" si="68"/>
        <v>6</v>
      </c>
      <c r="L1454" s="369">
        <f>+IF((C1454&gt;='Resultats - informe'!$E$16)*(C1454&lt;='Resultats - informe'!$G$16),1,0)</f>
        <v>1</v>
      </c>
      <c r="M1454" s="369" cm="1">
        <f t="array" ref="M1454">+_xlfn.IFS((C1454&gt;='Resultats - informe'!$D$26)*(C1454&lt;='Resultats - informe'!$E$26),0,(C1454&gt;='Resultats - informe'!$D$27)*(C1454&lt;='Resultats - informe'!$E$27),0,(C1454&gt;='Resultats - informe'!$D$28)*(C1454&lt;='Resultats - informe'!$E$28),0,(C1454&gt;='Resultats - informe'!$D$29)*(C1454&lt;='Resultats - informe'!$E$29),0,1,1)</f>
        <v>0</v>
      </c>
      <c r="N1454" s="366">
        <f>+VLOOKUP(D1454,'Resultats - informe'!$Y$18:$AG$42,'Introducció dades consum'!K1454+1,0)</f>
        <v>0</v>
      </c>
      <c r="O1454" s="370" cm="1">
        <f t="array" ref="O1454">+_xlfn.SWITCH(MONTH(C1454),1,1,2,1,3,1,4,2,5,2,6,3,7,3,8,3,9,3,10,2,11,2,12,1,2)</f>
        <v>1</v>
      </c>
      <c r="P1454" s="43"/>
      <c r="AS1454" s="10"/>
      <c r="AT1454" s="10"/>
      <c r="AU1454" s="10"/>
      <c r="AV1454" s="10"/>
      <c r="AW1454" s="10"/>
      <c r="AX1454" s="10"/>
      <c r="AY1454" s="10"/>
      <c r="AZ1454" s="10"/>
      <c r="BA1454" s="10"/>
      <c r="BB1454" s="10"/>
      <c r="BC1454" s="10"/>
      <c r="BD1454" s="10"/>
      <c r="BE1454" s="10"/>
      <c r="BF1454" s="10"/>
      <c r="BG1454" s="10"/>
      <c r="BH1454" s="10"/>
      <c r="BI1454" s="10"/>
      <c r="BJ1454" s="10"/>
      <c r="BK1454" s="10"/>
      <c r="BL1454" s="10"/>
      <c r="BM1454" s="10"/>
      <c r="BN1454" s="10"/>
      <c r="BO1454" s="10"/>
      <c r="BP1454" s="10"/>
      <c r="BQ1454" s="10"/>
      <c r="BR1454" s="10"/>
      <c r="BS1454" s="10"/>
      <c r="BT1454" s="10"/>
      <c r="BU1454" s="10"/>
    </row>
    <row r="1455" spans="1:73" ht="18" x14ac:dyDescent="0.35">
      <c r="A1455" s="43"/>
      <c r="C1455" s="393"/>
      <c r="E1455" s="394"/>
      <c r="F1455" s="394">
        <v>2.6520000000000001</v>
      </c>
      <c r="G1455" s="394"/>
      <c r="H1455" s="8" t="s">
        <v>235</v>
      </c>
      <c r="I1455" s="368">
        <f t="shared" si="67"/>
        <v>0</v>
      </c>
      <c r="J1455" s="365">
        <f t="shared" si="66"/>
        <v>0</v>
      </c>
      <c r="K1455" s="369">
        <f t="shared" si="68"/>
        <v>6</v>
      </c>
      <c r="L1455" s="369">
        <f>+IF((C1455&gt;='Resultats - informe'!$E$16)*(C1455&lt;='Resultats - informe'!$G$16),1,0)</f>
        <v>1</v>
      </c>
      <c r="M1455" s="369" cm="1">
        <f t="array" ref="M1455">+_xlfn.IFS((C1455&gt;='Resultats - informe'!$D$26)*(C1455&lt;='Resultats - informe'!$E$26),0,(C1455&gt;='Resultats - informe'!$D$27)*(C1455&lt;='Resultats - informe'!$E$27),0,(C1455&gt;='Resultats - informe'!$D$28)*(C1455&lt;='Resultats - informe'!$E$28),0,(C1455&gt;='Resultats - informe'!$D$29)*(C1455&lt;='Resultats - informe'!$E$29),0,1,1)</f>
        <v>0</v>
      </c>
      <c r="N1455" s="366">
        <f>+VLOOKUP(D1455,'Resultats - informe'!$Y$18:$AG$42,'Introducció dades consum'!K1455+1,0)</f>
        <v>0</v>
      </c>
      <c r="O1455" s="370" cm="1">
        <f t="array" ref="O1455">+_xlfn.SWITCH(MONTH(C1455),1,1,2,1,3,1,4,2,5,2,6,3,7,3,8,3,9,3,10,2,11,2,12,1,2)</f>
        <v>1</v>
      </c>
      <c r="P1455" s="43"/>
      <c r="AS1455" s="10"/>
      <c r="AT1455" s="10"/>
      <c r="AU1455" s="10"/>
      <c r="AV1455" s="10"/>
      <c r="AW1455" s="10"/>
      <c r="AX1455" s="10"/>
      <c r="AY1455" s="10"/>
      <c r="AZ1455" s="10"/>
      <c r="BA1455" s="10"/>
      <c r="BB1455" s="10"/>
      <c r="BC1455" s="10"/>
      <c r="BD1455" s="10"/>
      <c r="BE1455" s="10"/>
      <c r="BF1455" s="10"/>
      <c r="BG1455" s="10"/>
      <c r="BH1455" s="10"/>
      <c r="BI1455" s="10"/>
      <c r="BJ1455" s="10"/>
      <c r="BK1455" s="10"/>
      <c r="BL1455" s="10"/>
      <c r="BM1455" s="10"/>
      <c r="BN1455" s="10"/>
      <c r="BO1455" s="10"/>
      <c r="BP1455" s="10"/>
      <c r="BQ1455" s="10"/>
      <c r="BR1455" s="10"/>
      <c r="BS1455" s="10"/>
      <c r="BT1455" s="10"/>
      <c r="BU1455" s="10"/>
    </row>
    <row r="1456" spans="1:73" ht="18" x14ac:dyDescent="0.35">
      <c r="A1456" s="43"/>
      <c r="C1456" s="393"/>
      <c r="E1456" s="394"/>
      <c r="F1456" s="394">
        <v>2.7719999999999998</v>
      </c>
      <c r="G1456" s="394"/>
      <c r="H1456" s="8" t="s">
        <v>235</v>
      </c>
      <c r="I1456" s="368">
        <f t="shared" si="67"/>
        <v>0</v>
      </c>
      <c r="J1456" s="365">
        <f t="shared" si="66"/>
        <v>0</v>
      </c>
      <c r="K1456" s="369">
        <f t="shared" si="68"/>
        <v>6</v>
      </c>
      <c r="L1456" s="369">
        <f>+IF((C1456&gt;='Resultats - informe'!$E$16)*(C1456&lt;='Resultats - informe'!$G$16),1,0)</f>
        <v>1</v>
      </c>
      <c r="M1456" s="369" cm="1">
        <f t="array" ref="M1456">+_xlfn.IFS((C1456&gt;='Resultats - informe'!$D$26)*(C1456&lt;='Resultats - informe'!$E$26),0,(C1456&gt;='Resultats - informe'!$D$27)*(C1456&lt;='Resultats - informe'!$E$27),0,(C1456&gt;='Resultats - informe'!$D$28)*(C1456&lt;='Resultats - informe'!$E$28),0,(C1456&gt;='Resultats - informe'!$D$29)*(C1456&lt;='Resultats - informe'!$E$29),0,1,1)</f>
        <v>0</v>
      </c>
      <c r="N1456" s="366">
        <f>+VLOOKUP(D1456,'Resultats - informe'!$Y$18:$AG$42,'Introducció dades consum'!K1456+1,0)</f>
        <v>0</v>
      </c>
      <c r="O1456" s="370" cm="1">
        <f t="array" ref="O1456">+_xlfn.SWITCH(MONTH(C1456),1,1,2,1,3,1,4,2,5,2,6,3,7,3,8,3,9,3,10,2,11,2,12,1,2)</f>
        <v>1</v>
      </c>
      <c r="P1456" s="43"/>
      <c r="AS1456" s="10"/>
      <c r="AT1456" s="10"/>
      <c r="AU1456" s="10"/>
      <c r="AV1456" s="10"/>
      <c r="AW1456" s="10"/>
      <c r="AX1456" s="10"/>
      <c r="AY1456" s="10"/>
      <c r="AZ1456" s="10"/>
      <c r="BA1456" s="10"/>
      <c r="BB1456" s="10"/>
      <c r="BC1456" s="10"/>
      <c r="BD1456" s="10"/>
      <c r="BE1456" s="10"/>
      <c r="BF1456" s="10"/>
      <c r="BG1456" s="10"/>
      <c r="BH1456" s="10"/>
      <c r="BI1456" s="10"/>
      <c r="BJ1456" s="10"/>
      <c r="BK1456" s="10"/>
      <c r="BL1456" s="10"/>
      <c r="BM1456" s="10"/>
      <c r="BN1456" s="10"/>
      <c r="BO1456" s="10"/>
      <c r="BP1456" s="10"/>
      <c r="BQ1456" s="10"/>
      <c r="BR1456" s="10"/>
      <c r="BS1456" s="10"/>
      <c r="BT1456" s="10"/>
      <c r="BU1456" s="10"/>
    </row>
    <row r="1457" spans="1:73" ht="18" x14ac:dyDescent="0.35">
      <c r="A1457" s="43"/>
      <c r="C1457" s="393"/>
      <c r="E1457" s="394"/>
      <c r="F1457" s="394">
        <v>0.85499999999999998</v>
      </c>
      <c r="G1457" s="394"/>
      <c r="H1457" s="8" t="s">
        <v>61</v>
      </c>
      <c r="I1457" s="368">
        <f t="shared" si="67"/>
        <v>0</v>
      </c>
      <c r="J1457" s="365">
        <f t="shared" si="66"/>
        <v>0</v>
      </c>
      <c r="K1457" s="369">
        <f t="shared" si="68"/>
        <v>6</v>
      </c>
      <c r="L1457" s="369">
        <f>+IF((C1457&gt;='Resultats - informe'!$E$16)*(C1457&lt;='Resultats - informe'!$G$16),1,0)</f>
        <v>1</v>
      </c>
      <c r="M1457" s="369" cm="1">
        <f t="array" ref="M1457">+_xlfn.IFS((C1457&gt;='Resultats - informe'!$D$26)*(C1457&lt;='Resultats - informe'!$E$26),0,(C1457&gt;='Resultats - informe'!$D$27)*(C1457&lt;='Resultats - informe'!$E$27),0,(C1457&gt;='Resultats - informe'!$D$28)*(C1457&lt;='Resultats - informe'!$E$28),0,(C1457&gt;='Resultats - informe'!$D$29)*(C1457&lt;='Resultats - informe'!$E$29),0,1,1)</f>
        <v>0</v>
      </c>
      <c r="N1457" s="366">
        <f>+VLOOKUP(D1457,'Resultats - informe'!$Y$18:$AG$42,'Introducció dades consum'!K1457+1,0)</f>
        <v>0</v>
      </c>
      <c r="O1457" s="370" cm="1">
        <f t="array" ref="O1457">+_xlfn.SWITCH(MONTH(C1457),1,1,2,1,3,1,4,2,5,2,6,3,7,3,8,3,9,3,10,2,11,2,12,1,2)</f>
        <v>1</v>
      </c>
      <c r="P1457" s="43"/>
      <c r="AS1457" s="10"/>
      <c r="AT1457" s="10"/>
      <c r="AU1457" s="10"/>
      <c r="AV1457" s="10"/>
      <c r="AW1457" s="10"/>
      <c r="AX1457" s="10"/>
      <c r="AY1457" s="10"/>
      <c r="AZ1457" s="10"/>
      <c r="BA1457" s="10"/>
      <c r="BB1457" s="10"/>
      <c r="BC1457" s="10"/>
      <c r="BD1457" s="10"/>
      <c r="BE1457" s="10"/>
      <c r="BF1457" s="10"/>
      <c r="BG1457" s="10"/>
      <c r="BH1457" s="10"/>
      <c r="BI1457" s="10"/>
      <c r="BJ1457" s="10"/>
      <c r="BK1457" s="10"/>
      <c r="BL1457" s="10"/>
      <c r="BM1457" s="10"/>
      <c r="BN1457" s="10"/>
      <c r="BO1457" s="10"/>
      <c r="BP1457" s="10"/>
      <c r="BQ1457" s="10"/>
      <c r="BR1457" s="10"/>
      <c r="BS1457" s="10"/>
      <c r="BT1457" s="10"/>
      <c r="BU1457" s="10"/>
    </row>
    <row r="1458" spans="1:73" ht="18" x14ac:dyDescent="0.35">
      <c r="A1458" s="43"/>
      <c r="C1458" s="393"/>
      <c r="E1458" s="394"/>
      <c r="F1458" s="394">
        <v>1.3839999999999999</v>
      </c>
      <c r="G1458" s="394"/>
      <c r="H1458" s="8" t="s">
        <v>61</v>
      </c>
      <c r="I1458" s="368">
        <f t="shared" si="67"/>
        <v>0</v>
      </c>
      <c r="J1458" s="365">
        <f t="shared" si="66"/>
        <v>0</v>
      </c>
      <c r="K1458" s="369">
        <f t="shared" si="68"/>
        <v>6</v>
      </c>
      <c r="L1458" s="369">
        <f>+IF((C1458&gt;='Resultats - informe'!$E$16)*(C1458&lt;='Resultats - informe'!$G$16),1,0)</f>
        <v>1</v>
      </c>
      <c r="M1458" s="369" cm="1">
        <f t="array" ref="M1458">+_xlfn.IFS((C1458&gt;='Resultats - informe'!$D$26)*(C1458&lt;='Resultats - informe'!$E$26),0,(C1458&gt;='Resultats - informe'!$D$27)*(C1458&lt;='Resultats - informe'!$E$27),0,(C1458&gt;='Resultats - informe'!$D$28)*(C1458&lt;='Resultats - informe'!$E$28),0,(C1458&gt;='Resultats - informe'!$D$29)*(C1458&lt;='Resultats - informe'!$E$29),0,1,1)</f>
        <v>0</v>
      </c>
      <c r="N1458" s="366">
        <f>+VLOOKUP(D1458,'Resultats - informe'!$Y$18:$AG$42,'Introducció dades consum'!K1458+1,0)</f>
        <v>0</v>
      </c>
      <c r="O1458" s="370" cm="1">
        <f t="array" ref="O1458">+_xlfn.SWITCH(MONTH(C1458),1,1,2,1,3,1,4,2,5,2,6,3,7,3,8,3,9,3,10,2,11,2,12,1,2)</f>
        <v>1</v>
      </c>
      <c r="P1458" s="43"/>
      <c r="AS1458" s="10"/>
      <c r="AT1458" s="10"/>
      <c r="AU1458" s="10"/>
      <c r="AV1458" s="10"/>
      <c r="AW1458" s="10"/>
      <c r="AX1458" s="10"/>
      <c r="AY1458" s="10"/>
      <c r="AZ1458" s="10"/>
      <c r="BA1458" s="10"/>
      <c r="BB1458" s="10"/>
      <c r="BC1458" s="10"/>
      <c r="BD1458" s="10"/>
      <c r="BE1458" s="10"/>
      <c r="BF1458" s="10"/>
      <c r="BG1458" s="10"/>
      <c r="BH1458" s="10"/>
      <c r="BI1458" s="10"/>
      <c r="BJ1458" s="10"/>
      <c r="BK1458" s="10"/>
      <c r="BL1458" s="10"/>
      <c r="BM1458" s="10"/>
      <c r="BN1458" s="10"/>
      <c r="BO1458" s="10"/>
      <c r="BP1458" s="10"/>
      <c r="BQ1458" s="10"/>
      <c r="BR1458" s="10"/>
      <c r="BS1458" s="10"/>
      <c r="BT1458" s="10"/>
      <c r="BU1458" s="10"/>
    </row>
    <row r="1459" spans="1:73" ht="18" x14ac:dyDescent="0.35">
      <c r="A1459" s="43"/>
      <c r="C1459" s="393"/>
      <c r="E1459" s="394"/>
      <c r="F1459" s="394">
        <v>1.538</v>
      </c>
      <c r="G1459" s="394"/>
      <c r="H1459" s="8" t="s">
        <v>235</v>
      </c>
      <c r="I1459" s="368">
        <f t="shared" si="67"/>
        <v>0</v>
      </c>
      <c r="J1459" s="365">
        <f t="shared" si="66"/>
        <v>0</v>
      </c>
      <c r="K1459" s="369">
        <f t="shared" si="68"/>
        <v>6</v>
      </c>
      <c r="L1459" s="369">
        <f>+IF((C1459&gt;='Resultats - informe'!$E$16)*(C1459&lt;='Resultats - informe'!$G$16),1,0)</f>
        <v>1</v>
      </c>
      <c r="M1459" s="369" cm="1">
        <f t="array" ref="M1459">+_xlfn.IFS((C1459&gt;='Resultats - informe'!$D$26)*(C1459&lt;='Resultats - informe'!$E$26),0,(C1459&gt;='Resultats - informe'!$D$27)*(C1459&lt;='Resultats - informe'!$E$27),0,(C1459&gt;='Resultats - informe'!$D$28)*(C1459&lt;='Resultats - informe'!$E$28),0,(C1459&gt;='Resultats - informe'!$D$29)*(C1459&lt;='Resultats - informe'!$E$29),0,1,1)</f>
        <v>0</v>
      </c>
      <c r="N1459" s="366">
        <f>+VLOOKUP(D1459,'Resultats - informe'!$Y$18:$AG$42,'Introducció dades consum'!K1459+1,0)</f>
        <v>0</v>
      </c>
      <c r="O1459" s="370" cm="1">
        <f t="array" ref="O1459">+_xlfn.SWITCH(MONTH(C1459),1,1,2,1,3,1,4,2,5,2,6,3,7,3,8,3,9,3,10,2,11,2,12,1,2)</f>
        <v>1</v>
      </c>
      <c r="P1459" s="43"/>
      <c r="AS1459" s="10"/>
      <c r="AT1459" s="10"/>
      <c r="AU1459" s="10"/>
      <c r="AV1459" s="10"/>
      <c r="AW1459" s="10"/>
      <c r="AX1459" s="10"/>
      <c r="AY1459" s="10"/>
      <c r="AZ1459" s="10"/>
      <c r="BA1459" s="10"/>
      <c r="BB1459" s="10"/>
      <c r="BC1459" s="10"/>
      <c r="BD1459" s="10"/>
      <c r="BE1459" s="10"/>
      <c r="BF1459" s="10"/>
      <c r="BG1459" s="10"/>
      <c r="BH1459" s="10"/>
      <c r="BI1459" s="10"/>
      <c r="BJ1459" s="10"/>
      <c r="BK1459" s="10"/>
      <c r="BL1459" s="10"/>
      <c r="BM1459" s="10"/>
      <c r="BN1459" s="10"/>
      <c r="BO1459" s="10"/>
      <c r="BP1459" s="10"/>
      <c r="BQ1459" s="10"/>
      <c r="BR1459" s="10"/>
      <c r="BS1459" s="10"/>
      <c r="BT1459" s="10"/>
      <c r="BU1459" s="10"/>
    </row>
    <row r="1460" spans="1:73" ht="18" x14ac:dyDescent="0.35">
      <c r="A1460" s="43"/>
      <c r="C1460" s="393"/>
      <c r="E1460" s="394"/>
      <c r="F1460" s="394">
        <v>0.78400000000000003</v>
      </c>
      <c r="G1460" s="394"/>
      <c r="H1460" s="8" t="s">
        <v>235</v>
      </c>
      <c r="I1460" s="368">
        <f t="shared" si="67"/>
        <v>0</v>
      </c>
      <c r="J1460" s="365">
        <f t="shared" si="66"/>
        <v>0</v>
      </c>
      <c r="K1460" s="369">
        <f t="shared" si="68"/>
        <v>6</v>
      </c>
      <c r="L1460" s="369">
        <f>+IF((C1460&gt;='Resultats - informe'!$E$16)*(C1460&lt;='Resultats - informe'!$G$16),1,0)</f>
        <v>1</v>
      </c>
      <c r="M1460" s="369" cm="1">
        <f t="array" ref="M1460">+_xlfn.IFS((C1460&gt;='Resultats - informe'!$D$26)*(C1460&lt;='Resultats - informe'!$E$26),0,(C1460&gt;='Resultats - informe'!$D$27)*(C1460&lt;='Resultats - informe'!$E$27),0,(C1460&gt;='Resultats - informe'!$D$28)*(C1460&lt;='Resultats - informe'!$E$28),0,(C1460&gt;='Resultats - informe'!$D$29)*(C1460&lt;='Resultats - informe'!$E$29),0,1,1)</f>
        <v>0</v>
      </c>
      <c r="N1460" s="366">
        <f>+VLOOKUP(D1460,'Resultats - informe'!$Y$18:$AG$42,'Introducció dades consum'!K1460+1,0)</f>
        <v>0</v>
      </c>
      <c r="O1460" s="370" cm="1">
        <f t="array" ref="O1460">+_xlfn.SWITCH(MONTH(C1460),1,1,2,1,3,1,4,2,5,2,6,3,7,3,8,3,9,3,10,2,11,2,12,1,2)</f>
        <v>1</v>
      </c>
      <c r="P1460" s="43"/>
      <c r="AS1460" s="10"/>
      <c r="AT1460" s="10"/>
      <c r="AU1460" s="10"/>
      <c r="AV1460" s="10"/>
      <c r="AW1460" s="10"/>
      <c r="AX1460" s="10"/>
      <c r="AY1460" s="10"/>
      <c r="AZ1460" s="10"/>
      <c r="BA1460" s="10"/>
      <c r="BB1460" s="10"/>
      <c r="BC1460" s="10"/>
      <c r="BD1460" s="10"/>
      <c r="BE1460" s="10"/>
      <c r="BF1460" s="10"/>
      <c r="BG1460" s="10"/>
      <c r="BH1460" s="10"/>
      <c r="BI1460" s="10"/>
      <c r="BJ1460" s="10"/>
      <c r="BK1460" s="10"/>
      <c r="BL1460" s="10"/>
      <c r="BM1460" s="10"/>
      <c r="BN1460" s="10"/>
      <c r="BO1460" s="10"/>
      <c r="BP1460" s="10"/>
      <c r="BQ1460" s="10"/>
      <c r="BR1460" s="10"/>
      <c r="BS1460" s="10"/>
      <c r="BT1460" s="10"/>
      <c r="BU1460" s="10"/>
    </row>
    <row r="1461" spans="1:73" ht="18" x14ac:dyDescent="0.35">
      <c r="A1461" s="43"/>
      <c r="C1461" s="393"/>
      <c r="E1461" s="394"/>
      <c r="F1461" s="394">
        <v>7.6999999999999999E-2</v>
      </c>
      <c r="G1461" s="394"/>
      <c r="H1461" s="8" t="s">
        <v>235</v>
      </c>
      <c r="I1461" s="368">
        <f t="shared" si="67"/>
        <v>0</v>
      </c>
      <c r="J1461" s="365">
        <f t="shared" si="66"/>
        <v>0</v>
      </c>
      <c r="K1461" s="369">
        <f t="shared" si="68"/>
        <v>6</v>
      </c>
      <c r="L1461" s="369">
        <f>+IF((C1461&gt;='Resultats - informe'!$E$16)*(C1461&lt;='Resultats - informe'!$G$16),1,0)</f>
        <v>1</v>
      </c>
      <c r="M1461" s="369" cm="1">
        <f t="array" ref="M1461">+_xlfn.IFS((C1461&gt;='Resultats - informe'!$D$26)*(C1461&lt;='Resultats - informe'!$E$26),0,(C1461&gt;='Resultats - informe'!$D$27)*(C1461&lt;='Resultats - informe'!$E$27),0,(C1461&gt;='Resultats - informe'!$D$28)*(C1461&lt;='Resultats - informe'!$E$28),0,(C1461&gt;='Resultats - informe'!$D$29)*(C1461&lt;='Resultats - informe'!$E$29),0,1,1)</f>
        <v>0</v>
      </c>
      <c r="N1461" s="366">
        <f>+VLOOKUP(D1461,'Resultats - informe'!$Y$18:$AG$42,'Introducció dades consum'!K1461+1,0)</f>
        <v>0</v>
      </c>
      <c r="O1461" s="370" cm="1">
        <f t="array" ref="O1461">+_xlfn.SWITCH(MONTH(C1461),1,1,2,1,3,1,4,2,5,2,6,3,7,3,8,3,9,3,10,2,11,2,12,1,2)</f>
        <v>1</v>
      </c>
      <c r="P1461" s="43"/>
      <c r="AS1461" s="10"/>
      <c r="AT1461" s="10"/>
      <c r="AU1461" s="10"/>
      <c r="AV1461" s="10"/>
      <c r="AW1461" s="10"/>
      <c r="AX1461" s="10"/>
      <c r="AY1461" s="10"/>
      <c r="AZ1461" s="10"/>
      <c r="BA1461" s="10"/>
      <c r="BB1461" s="10"/>
      <c r="BC1461" s="10"/>
      <c r="BD1461" s="10"/>
      <c r="BE1461" s="10"/>
      <c r="BF1461" s="10"/>
      <c r="BG1461" s="10"/>
      <c r="BH1461" s="10"/>
      <c r="BI1461" s="10"/>
      <c r="BJ1461" s="10"/>
      <c r="BK1461" s="10"/>
      <c r="BL1461" s="10"/>
      <c r="BM1461" s="10"/>
      <c r="BN1461" s="10"/>
      <c r="BO1461" s="10"/>
      <c r="BP1461" s="10"/>
      <c r="BQ1461" s="10"/>
      <c r="BR1461" s="10"/>
      <c r="BS1461" s="10"/>
      <c r="BT1461" s="10"/>
      <c r="BU1461" s="10"/>
    </row>
    <row r="1462" spans="1:73" ht="18" x14ac:dyDescent="0.35">
      <c r="A1462" s="43"/>
      <c r="C1462" s="393"/>
      <c r="E1462" s="394"/>
      <c r="F1462" s="394">
        <v>0</v>
      </c>
      <c r="G1462" s="394"/>
      <c r="H1462" s="8" t="s">
        <v>235</v>
      </c>
      <c r="I1462" s="368">
        <f t="shared" si="67"/>
        <v>0</v>
      </c>
      <c r="J1462" s="365">
        <f t="shared" si="66"/>
        <v>0</v>
      </c>
      <c r="K1462" s="369">
        <f t="shared" si="68"/>
        <v>6</v>
      </c>
      <c r="L1462" s="369">
        <f>+IF((C1462&gt;='Resultats - informe'!$E$16)*(C1462&lt;='Resultats - informe'!$G$16),1,0)</f>
        <v>1</v>
      </c>
      <c r="M1462" s="369" cm="1">
        <f t="array" ref="M1462">+_xlfn.IFS((C1462&gt;='Resultats - informe'!$D$26)*(C1462&lt;='Resultats - informe'!$E$26),0,(C1462&gt;='Resultats - informe'!$D$27)*(C1462&lt;='Resultats - informe'!$E$27),0,(C1462&gt;='Resultats - informe'!$D$28)*(C1462&lt;='Resultats - informe'!$E$28),0,(C1462&gt;='Resultats - informe'!$D$29)*(C1462&lt;='Resultats - informe'!$E$29),0,1,1)</f>
        <v>0</v>
      </c>
      <c r="N1462" s="366">
        <f>+VLOOKUP(D1462,'Resultats - informe'!$Y$18:$AG$42,'Introducció dades consum'!K1462+1,0)</f>
        <v>0</v>
      </c>
      <c r="O1462" s="370" cm="1">
        <f t="array" ref="O1462">+_xlfn.SWITCH(MONTH(C1462),1,1,2,1,3,1,4,2,5,2,6,3,7,3,8,3,9,3,10,2,11,2,12,1,2)</f>
        <v>1</v>
      </c>
      <c r="P1462" s="43"/>
      <c r="AS1462" s="10"/>
      <c r="AT1462" s="10"/>
      <c r="AU1462" s="10"/>
      <c r="AV1462" s="10"/>
      <c r="AW1462" s="10"/>
      <c r="AX1462" s="10"/>
      <c r="AY1462" s="10"/>
      <c r="AZ1462" s="10"/>
      <c r="BA1462" s="10"/>
      <c r="BB1462" s="10"/>
      <c r="BC1462" s="10"/>
      <c r="BD1462" s="10"/>
      <c r="BE1462" s="10"/>
      <c r="BF1462" s="10"/>
      <c r="BG1462" s="10"/>
      <c r="BH1462" s="10"/>
      <c r="BI1462" s="10"/>
      <c r="BJ1462" s="10"/>
      <c r="BK1462" s="10"/>
      <c r="BL1462" s="10"/>
      <c r="BM1462" s="10"/>
      <c r="BN1462" s="10"/>
      <c r="BO1462" s="10"/>
      <c r="BP1462" s="10"/>
      <c r="BQ1462" s="10"/>
      <c r="BR1462" s="10"/>
      <c r="BS1462" s="10"/>
      <c r="BT1462" s="10"/>
      <c r="BU1462" s="10"/>
    </row>
    <row r="1463" spans="1:73" ht="18" x14ac:dyDescent="0.35">
      <c r="A1463" s="43"/>
      <c r="C1463" s="393"/>
      <c r="E1463" s="394"/>
      <c r="F1463" s="394">
        <v>0</v>
      </c>
      <c r="G1463" s="394"/>
      <c r="H1463" s="8" t="s">
        <v>235</v>
      </c>
      <c r="I1463" s="368">
        <f t="shared" si="67"/>
        <v>0</v>
      </c>
      <c r="J1463" s="365">
        <f t="shared" si="66"/>
        <v>0</v>
      </c>
      <c r="K1463" s="369">
        <f t="shared" si="68"/>
        <v>6</v>
      </c>
      <c r="L1463" s="369">
        <f>+IF((C1463&gt;='Resultats - informe'!$E$16)*(C1463&lt;='Resultats - informe'!$G$16),1,0)</f>
        <v>1</v>
      </c>
      <c r="M1463" s="369" cm="1">
        <f t="array" ref="M1463">+_xlfn.IFS((C1463&gt;='Resultats - informe'!$D$26)*(C1463&lt;='Resultats - informe'!$E$26),0,(C1463&gt;='Resultats - informe'!$D$27)*(C1463&lt;='Resultats - informe'!$E$27),0,(C1463&gt;='Resultats - informe'!$D$28)*(C1463&lt;='Resultats - informe'!$E$28),0,(C1463&gt;='Resultats - informe'!$D$29)*(C1463&lt;='Resultats - informe'!$E$29),0,1,1)</f>
        <v>0</v>
      </c>
      <c r="N1463" s="366">
        <f>+VLOOKUP(D1463,'Resultats - informe'!$Y$18:$AG$42,'Introducció dades consum'!K1463+1,0)</f>
        <v>0</v>
      </c>
      <c r="O1463" s="370" cm="1">
        <f t="array" ref="O1463">+_xlfn.SWITCH(MONTH(C1463),1,1,2,1,3,1,4,2,5,2,6,3,7,3,8,3,9,3,10,2,11,2,12,1,2)</f>
        <v>1</v>
      </c>
      <c r="P1463" s="43"/>
      <c r="AS1463" s="10"/>
      <c r="AT1463" s="10"/>
      <c r="AU1463" s="10"/>
      <c r="AV1463" s="10"/>
      <c r="AW1463" s="10"/>
      <c r="AX1463" s="10"/>
      <c r="AY1463" s="10"/>
      <c r="AZ1463" s="10"/>
      <c r="BA1463" s="10"/>
      <c r="BB1463" s="10"/>
      <c r="BC1463" s="10"/>
      <c r="BD1463" s="10"/>
      <c r="BE1463" s="10"/>
      <c r="BF1463" s="10"/>
      <c r="BG1463" s="10"/>
      <c r="BH1463" s="10"/>
      <c r="BI1463" s="10"/>
      <c r="BJ1463" s="10"/>
      <c r="BK1463" s="10"/>
      <c r="BL1463" s="10"/>
      <c r="BM1463" s="10"/>
      <c r="BN1463" s="10"/>
      <c r="BO1463" s="10"/>
      <c r="BP1463" s="10"/>
      <c r="BQ1463" s="10"/>
      <c r="BR1463" s="10"/>
      <c r="BS1463" s="10"/>
      <c r="BT1463" s="10"/>
      <c r="BU1463" s="10"/>
    </row>
    <row r="1464" spans="1:73" ht="18" x14ac:dyDescent="0.35">
      <c r="A1464" s="43"/>
      <c r="C1464" s="393"/>
      <c r="E1464" s="394"/>
      <c r="F1464" s="394">
        <v>0</v>
      </c>
      <c r="G1464" s="394"/>
      <c r="H1464" s="8" t="s">
        <v>235</v>
      </c>
      <c r="I1464" s="368">
        <f t="shared" si="67"/>
        <v>0</v>
      </c>
      <c r="J1464" s="365">
        <f t="shared" si="66"/>
        <v>0</v>
      </c>
      <c r="K1464" s="369">
        <f t="shared" si="68"/>
        <v>6</v>
      </c>
      <c r="L1464" s="369">
        <f>+IF((C1464&gt;='Resultats - informe'!$E$16)*(C1464&lt;='Resultats - informe'!$G$16),1,0)</f>
        <v>1</v>
      </c>
      <c r="M1464" s="369" cm="1">
        <f t="array" ref="M1464">+_xlfn.IFS((C1464&gt;='Resultats - informe'!$D$26)*(C1464&lt;='Resultats - informe'!$E$26),0,(C1464&gt;='Resultats - informe'!$D$27)*(C1464&lt;='Resultats - informe'!$E$27),0,(C1464&gt;='Resultats - informe'!$D$28)*(C1464&lt;='Resultats - informe'!$E$28),0,(C1464&gt;='Resultats - informe'!$D$29)*(C1464&lt;='Resultats - informe'!$E$29),0,1,1)</f>
        <v>0</v>
      </c>
      <c r="N1464" s="366">
        <f>+VLOOKUP(D1464,'Resultats - informe'!$Y$18:$AG$42,'Introducció dades consum'!K1464+1,0)</f>
        <v>0</v>
      </c>
      <c r="O1464" s="370" cm="1">
        <f t="array" ref="O1464">+_xlfn.SWITCH(MONTH(C1464),1,1,2,1,3,1,4,2,5,2,6,3,7,3,8,3,9,3,10,2,11,2,12,1,2)</f>
        <v>1</v>
      </c>
      <c r="P1464" s="43"/>
      <c r="AS1464" s="10"/>
      <c r="AT1464" s="10"/>
      <c r="AU1464" s="10"/>
      <c r="AV1464" s="10"/>
      <c r="AW1464" s="10"/>
      <c r="AX1464" s="10"/>
      <c r="AY1464" s="10"/>
      <c r="AZ1464" s="10"/>
      <c r="BA1464" s="10"/>
      <c r="BB1464" s="10"/>
      <c r="BC1464" s="10"/>
      <c r="BD1464" s="10"/>
      <c r="BE1464" s="10"/>
      <c r="BF1464" s="10"/>
      <c r="BG1464" s="10"/>
      <c r="BH1464" s="10"/>
      <c r="BI1464" s="10"/>
      <c r="BJ1464" s="10"/>
      <c r="BK1464" s="10"/>
      <c r="BL1464" s="10"/>
      <c r="BM1464" s="10"/>
      <c r="BN1464" s="10"/>
      <c r="BO1464" s="10"/>
      <c r="BP1464" s="10"/>
      <c r="BQ1464" s="10"/>
      <c r="BR1464" s="10"/>
      <c r="BS1464" s="10"/>
      <c r="BT1464" s="10"/>
      <c r="BU1464" s="10"/>
    </row>
    <row r="1465" spans="1:73" ht="18" x14ac:dyDescent="0.35">
      <c r="A1465" s="43"/>
      <c r="C1465" s="393"/>
      <c r="E1465" s="394"/>
      <c r="F1465" s="394">
        <v>0</v>
      </c>
      <c r="G1465" s="394"/>
      <c r="H1465" s="8" t="s">
        <v>235</v>
      </c>
      <c r="I1465" s="368">
        <f t="shared" si="67"/>
        <v>0</v>
      </c>
      <c r="J1465" s="365">
        <f t="shared" si="66"/>
        <v>0</v>
      </c>
      <c r="K1465" s="369">
        <f t="shared" si="68"/>
        <v>6</v>
      </c>
      <c r="L1465" s="369">
        <f>+IF((C1465&gt;='Resultats - informe'!$E$16)*(C1465&lt;='Resultats - informe'!$G$16),1,0)</f>
        <v>1</v>
      </c>
      <c r="M1465" s="369" cm="1">
        <f t="array" ref="M1465">+_xlfn.IFS((C1465&gt;='Resultats - informe'!$D$26)*(C1465&lt;='Resultats - informe'!$E$26),0,(C1465&gt;='Resultats - informe'!$D$27)*(C1465&lt;='Resultats - informe'!$E$27),0,(C1465&gt;='Resultats - informe'!$D$28)*(C1465&lt;='Resultats - informe'!$E$28),0,(C1465&gt;='Resultats - informe'!$D$29)*(C1465&lt;='Resultats - informe'!$E$29),0,1,1)</f>
        <v>0</v>
      </c>
      <c r="N1465" s="366">
        <f>+VLOOKUP(D1465,'Resultats - informe'!$Y$18:$AG$42,'Introducció dades consum'!K1465+1,0)</f>
        <v>0</v>
      </c>
      <c r="O1465" s="370" cm="1">
        <f t="array" ref="O1465">+_xlfn.SWITCH(MONTH(C1465),1,1,2,1,3,1,4,2,5,2,6,3,7,3,8,3,9,3,10,2,11,2,12,1,2)</f>
        <v>1</v>
      </c>
      <c r="P1465" s="43"/>
      <c r="AS1465" s="10"/>
      <c r="AT1465" s="10"/>
      <c r="AU1465" s="10"/>
      <c r="AV1465" s="10"/>
      <c r="AW1465" s="10"/>
      <c r="AX1465" s="10"/>
      <c r="AY1465" s="10"/>
      <c r="AZ1465" s="10"/>
      <c r="BA1465" s="10"/>
      <c r="BB1465" s="10"/>
      <c r="BC1465" s="10"/>
      <c r="BD1465" s="10"/>
      <c r="BE1465" s="10"/>
      <c r="BF1465" s="10"/>
      <c r="BG1465" s="10"/>
      <c r="BH1465" s="10"/>
      <c r="BI1465" s="10"/>
      <c r="BJ1465" s="10"/>
      <c r="BK1465" s="10"/>
      <c r="BL1465" s="10"/>
      <c r="BM1465" s="10"/>
      <c r="BN1465" s="10"/>
      <c r="BO1465" s="10"/>
      <c r="BP1465" s="10"/>
      <c r="BQ1465" s="10"/>
      <c r="BR1465" s="10"/>
      <c r="BS1465" s="10"/>
      <c r="BT1465" s="10"/>
      <c r="BU1465" s="10"/>
    </row>
    <row r="1466" spans="1:73" ht="18" x14ac:dyDescent="0.35">
      <c r="A1466" s="43"/>
      <c r="C1466" s="393"/>
      <c r="E1466" s="394"/>
      <c r="F1466" s="394">
        <v>0</v>
      </c>
      <c r="G1466" s="394"/>
      <c r="H1466" s="8" t="s">
        <v>235</v>
      </c>
      <c r="I1466" s="368">
        <f t="shared" si="67"/>
        <v>0</v>
      </c>
      <c r="J1466" s="365">
        <f t="shared" si="66"/>
        <v>0</v>
      </c>
      <c r="K1466" s="369">
        <f t="shared" si="68"/>
        <v>6</v>
      </c>
      <c r="L1466" s="369">
        <f>+IF((C1466&gt;='Resultats - informe'!$E$16)*(C1466&lt;='Resultats - informe'!$G$16),1,0)</f>
        <v>1</v>
      </c>
      <c r="M1466" s="369" cm="1">
        <f t="array" ref="M1466">+_xlfn.IFS((C1466&gt;='Resultats - informe'!$D$26)*(C1466&lt;='Resultats - informe'!$E$26),0,(C1466&gt;='Resultats - informe'!$D$27)*(C1466&lt;='Resultats - informe'!$E$27),0,(C1466&gt;='Resultats - informe'!$D$28)*(C1466&lt;='Resultats - informe'!$E$28),0,(C1466&gt;='Resultats - informe'!$D$29)*(C1466&lt;='Resultats - informe'!$E$29),0,1,1)</f>
        <v>0</v>
      </c>
      <c r="N1466" s="366">
        <f>+VLOOKUP(D1466,'Resultats - informe'!$Y$18:$AG$42,'Introducció dades consum'!K1466+1,0)</f>
        <v>0</v>
      </c>
      <c r="O1466" s="370" cm="1">
        <f t="array" ref="O1466">+_xlfn.SWITCH(MONTH(C1466),1,1,2,1,3,1,4,2,5,2,6,3,7,3,8,3,9,3,10,2,11,2,12,1,2)</f>
        <v>1</v>
      </c>
      <c r="P1466" s="43"/>
      <c r="AS1466" s="10"/>
      <c r="AT1466" s="10"/>
      <c r="AU1466" s="10"/>
      <c r="AV1466" s="10"/>
      <c r="AW1466" s="10"/>
      <c r="AX1466" s="10"/>
      <c r="AY1466" s="10"/>
      <c r="AZ1466" s="10"/>
      <c r="BA1466" s="10"/>
      <c r="BB1466" s="10"/>
      <c r="BC1466" s="10"/>
      <c r="BD1466" s="10"/>
      <c r="BE1466" s="10"/>
      <c r="BF1466" s="10"/>
      <c r="BG1466" s="10"/>
      <c r="BH1466" s="10"/>
      <c r="BI1466" s="10"/>
      <c r="BJ1466" s="10"/>
      <c r="BK1466" s="10"/>
      <c r="BL1466" s="10"/>
      <c r="BM1466" s="10"/>
      <c r="BN1466" s="10"/>
      <c r="BO1466" s="10"/>
      <c r="BP1466" s="10"/>
      <c r="BQ1466" s="10"/>
      <c r="BR1466" s="10"/>
      <c r="BS1466" s="10"/>
      <c r="BT1466" s="10"/>
      <c r="BU1466" s="10"/>
    </row>
    <row r="1467" spans="1:73" ht="18" x14ac:dyDescent="0.35">
      <c r="A1467" s="43"/>
      <c r="C1467" s="393"/>
      <c r="E1467" s="394"/>
      <c r="F1467" s="394">
        <v>0</v>
      </c>
      <c r="G1467" s="394"/>
      <c r="H1467" s="8" t="s">
        <v>235</v>
      </c>
      <c r="I1467" s="368">
        <f t="shared" si="67"/>
        <v>0</v>
      </c>
      <c r="J1467" s="365">
        <f t="shared" ref="J1467:J1530" si="69">+C1467</f>
        <v>0</v>
      </c>
      <c r="K1467" s="369">
        <f t="shared" si="68"/>
        <v>6</v>
      </c>
      <c r="L1467" s="369">
        <f>+IF((C1467&gt;='Resultats - informe'!$E$16)*(C1467&lt;='Resultats - informe'!$G$16),1,0)</f>
        <v>1</v>
      </c>
      <c r="M1467" s="369" cm="1">
        <f t="array" ref="M1467">+_xlfn.IFS((C1467&gt;='Resultats - informe'!$D$26)*(C1467&lt;='Resultats - informe'!$E$26),0,(C1467&gt;='Resultats - informe'!$D$27)*(C1467&lt;='Resultats - informe'!$E$27),0,(C1467&gt;='Resultats - informe'!$D$28)*(C1467&lt;='Resultats - informe'!$E$28),0,(C1467&gt;='Resultats - informe'!$D$29)*(C1467&lt;='Resultats - informe'!$E$29),0,1,1)</f>
        <v>0</v>
      </c>
      <c r="N1467" s="366">
        <f>+VLOOKUP(D1467,'Resultats - informe'!$Y$18:$AG$42,'Introducció dades consum'!K1467+1,0)</f>
        <v>0</v>
      </c>
      <c r="O1467" s="370" cm="1">
        <f t="array" ref="O1467">+_xlfn.SWITCH(MONTH(C1467),1,1,2,1,3,1,4,2,5,2,6,3,7,3,8,3,9,3,10,2,11,2,12,1,2)</f>
        <v>1</v>
      </c>
      <c r="P1467" s="43"/>
      <c r="AS1467" s="10"/>
      <c r="AT1467" s="10"/>
      <c r="AU1467" s="10"/>
      <c r="AV1467" s="10"/>
      <c r="AW1467" s="10"/>
      <c r="AX1467" s="10"/>
      <c r="AY1467" s="10"/>
      <c r="AZ1467" s="10"/>
      <c r="BA1467" s="10"/>
      <c r="BB1467" s="10"/>
      <c r="BC1467" s="10"/>
      <c r="BD1467" s="10"/>
      <c r="BE1467" s="10"/>
      <c r="BF1467" s="10"/>
      <c r="BG1467" s="10"/>
      <c r="BH1467" s="10"/>
      <c r="BI1467" s="10"/>
      <c r="BJ1467" s="10"/>
      <c r="BK1467" s="10"/>
      <c r="BL1467" s="10"/>
      <c r="BM1467" s="10"/>
      <c r="BN1467" s="10"/>
      <c r="BO1467" s="10"/>
      <c r="BP1467" s="10"/>
      <c r="BQ1467" s="10"/>
      <c r="BR1467" s="10"/>
      <c r="BS1467" s="10"/>
      <c r="BT1467" s="10"/>
      <c r="BU1467" s="10"/>
    </row>
    <row r="1468" spans="1:73" ht="18" x14ac:dyDescent="0.35">
      <c r="A1468" s="43"/>
      <c r="C1468" s="393"/>
      <c r="E1468" s="394"/>
      <c r="F1468" s="394">
        <v>0</v>
      </c>
      <c r="G1468" s="394"/>
      <c r="H1468" s="8" t="s">
        <v>235</v>
      </c>
      <c r="I1468" s="368">
        <f t="shared" si="67"/>
        <v>0</v>
      </c>
      <c r="J1468" s="365">
        <f t="shared" si="69"/>
        <v>0</v>
      </c>
      <c r="K1468" s="369">
        <f t="shared" si="68"/>
        <v>6</v>
      </c>
      <c r="L1468" s="369">
        <f>+IF((C1468&gt;='Resultats - informe'!$E$16)*(C1468&lt;='Resultats - informe'!$G$16),1,0)</f>
        <v>1</v>
      </c>
      <c r="M1468" s="369" cm="1">
        <f t="array" ref="M1468">+_xlfn.IFS((C1468&gt;='Resultats - informe'!$D$26)*(C1468&lt;='Resultats - informe'!$E$26),0,(C1468&gt;='Resultats - informe'!$D$27)*(C1468&lt;='Resultats - informe'!$E$27),0,(C1468&gt;='Resultats - informe'!$D$28)*(C1468&lt;='Resultats - informe'!$E$28),0,(C1468&gt;='Resultats - informe'!$D$29)*(C1468&lt;='Resultats - informe'!$E$29),0,1,1)</f>
        <v>0</v>
      </c>
      <c r="N1468" s="366">
        <f>+VLOOKUP(D1468,'Resultats - informe'!$Y$18:$AG$42,'Introducció dades consum'!K1468+1,0)</f>
        <v>0</v>
      </c>
      <c r="O1468" s="370" cm="1">
        <f t="array" ref="O1468">+_xlfn.SWITCH(MONTH(C1468),1,1,2,1,3,1,4,2,5,2,6,3,7,3,8,3,9,3,10,2,11,2,12,1,2)</f>
        <v>1</v>
      </c>
      <c r="P1468" s="43"/>
      <c r="AS1468" s="10"/>
      <c r="AT1468" s="10"/>
      <c r="AU1468" s="10"/>
      <c r="AV1468" s="10"/>
      <c r="AW1468" s="10"/>
      <c r="AX1468" s="10"/>
      <c r="AY1468" s="10"/>
      <c r="AZ1468" s="10"/>
      <c r="BA1468" s="10"/>
      <c r="BB1468" s="10"/>
      <c r="BC1468" s="10"/>
      <c r="BD1468" s="10"/>
      <c r="BE1468" s="10"/>
      <c r="BF1468" s="10"/>
      <c r="BG1468" s="10"/>
      <c r="BH1468" s="10"/>
      <c r="BI1468" s="10"/>
      <c r="BJ1468" s="10"/>
      <c r="BK1468" s="10"/>
      <c r="BL1468" s="10"/>
      <c r="BM1468" s="10"/>
      <c r="BN1468" s="10"/>
      <c r="BO1468" s="10"/>
      <c r="BP1468" s="10"/>
      <c r="BQ1468" s="10"/>
      <c r="BR1468" s="10"/>
      <c r="BS1468" s="10"/>
      <c r="BT1468" s="10"/>
      <c r="BU1468" s="10"/>
    </row>
    <row r="1469" spans="1:73" ht="18" x14ac:dyDescent="0.35">
      <c r="A1469" s="43"/>
      <c r="C1469" s="393"/>
      <c r="E1469" s="394"/>
      <c r="F1469" s="394">
        <v>0</v>
      </c>
      <c r="G1469" s="394"/>
      <c r="H1469" s="8" t="s">
        <v>235</v>
      </c>
      <c r="I1469" s="368">
        <f t="shared" si="67"/>
        <v>0</v>
      </c>
      <c r="J1469" s="365">
        <f t="shared" si="69"/>
        <v>0</v>
      </c>
      <c r="K1469" s="369">
        <f t="shared" si="68"/>
        <v>6</v>
      </c>
      <c r="L1469" s="369">
        <f>+IF((C1469&gt;='Resultats - informe'!$E$16)*(C1469&lt;='Resultats - informe'!$G$16),1,0)</f>
        <v>1</v>
      </c>
      <c r="M1469" s="369" cm="1">
        <f t="array" ref="M1469">+_xlfn.IFS((C1469&gt;='Resultats - informe'!$D$26)*(C1469&lt;='Resultats - informe'!$E$26),0,(C1469&gt;='Resultats - informe'!$D$27)*(C1469&lt;='Resultats - informe'!$E$27),0,(C1469&gt;='Resultats - informe'!$D$28)*(C1469&lt;='Resultats - informe'!$E$28),0,(C1469&gt;='Resultats - informe'!$D$29)*(C1469&lt;='Resultats - informe'!$E$29),0,1,1)</f>
        <v>0</v>
      </c>
      <c r="N1469" s="366">
        <f>+VLOOKUP(D1469,'Resultats - informe'!$Y$18:$AG$42,'Introducció dades consum'!K1469+1,0)</f>
        <v>0</v>
      </c>
      <c r="O1469" s="370" cm="1">
        <f t="array" ref="O1469">+_xlfn.SWITCH(MONTH(C1469),1,1,2,1,3,1,4,2,5,2,6,3,7,3,8,3,9,3,10,2,11,2,12,1,2)</f>
        <v>1</v>
      </c>
      <c r="P1469" s="43"/>
      <c r="AS1469" s="10"/>
      <c r="AT1469" s="10"/>
      <c r="AU1469" s="10"/>
      <c r="AV1469" s="10"/>
      <c r="AW1469" s="10"/>
      <c r="AX1469" s="10"/>
      <c r="AY1469" s="10"/>
      <c r="AZ1469" s="10"/>
      <c r="BA1469" s="10"/>
      <c r="BB1469" s="10"/>
      <c r="BC1469" s="10"/>
      <c r="BD1469" s="10"/>
      <c r="BE1469" s="10"/>
      <c r="BF1469" s="10"/>
      <c r="BG1469" s="10"/>
      <c r="BH1469" s="10"/>
      <c r="BI1469" s="10"/>
      <c r="BJ1469" s="10"/>
      <c r="BK1469" s="10"/>
      <c r="BL1469" s="10"/>
      <c r="BM1469" s="10"/>
      <c r="BN1469" s="10"/>
      <c r="BO1469" s="10"/>
      <c r="BP1469" s="10"/>
      <c r="BQ1469" s="10"/>
      <c r="BR1469" s="10"/>
      <c r="BS1469" s="10"/>
      <c r="BT1469" s="10"/>
      <c r="BU1469" s="10"/>
    </row>
    <row r="1470" spans="1:73" ht="18" x14ac:dyDescent="0.35">
      <c r="A1470" s="43"/>
      <c r="C1470" s="393"/>
      <c r="E1470" s="394"/>
      <c r="F1470" s="394">
        <v>0</v>
      </c>
      <c r="G1470" s="394"/>
      <c r="H1470" s="8" t="s">
        <v>235</v>
      </c>
      <c r="I1470" s="368">
        <f t="shared" si="67"/>
        <v>0</v>
      </c>
      <c r="J1470" s="365">
        <f t="shared" si="69"/>
        <v>0</v>
      </c>
      <c r="K1470" s="369">
        <f t="shared" si="68"/>
        <v>6</v>
      </c>
      <c r="L1470" s="369">
        <f>+IF((C1470&gt;='Resultats - informe'!$E$16)*(C1470&lt;='Resultats - informe'!$G$16),1,0)</f>
        <v>1</v>
      </c>
      <c r="M1470" s="369" cm="1">
        <f t="array" ref="M1470">+_xlfn.IFS((C1470&gt;='Resultats - informe'!$D$26)*(C1470&lt;='Resultats - informe'!$E$26),0,(C1470&gt;='Resultats - informe'!$D$27)*(C1470&lt;='Resultats - informe'!$E$27),0,(C1470&gt;='Resultats - informe'!$D$28)*(C1470&lt;='Resultats - informe'!$E$28),0,(C1470&gt;='Resultats - informe'!$D$29)*(C1470&lt;='Resultats - informe'!$E$29),0,1,1)</f>
        <v>0</v>
      </c>
      <c r="N1470" s="366">
        <f>+VLOOKUP(D1470,'Resultats - informe'!$Y$18:$AG$42,'Introducció dades consum'!K1470+1,0)</f>
        <v>0</v>
      </c>
      <c r="O1470" s="370" cm="1">
        <f t="array" ref="O1470">+_xlfn.SWITCH(MONTH(C1470),1,1,2,1,3,1,4,2,5,2,6,3,7,3,8,3,9,3,10,2,11,2,12,1,2)</f>
        <v>1</v>
      </c>
      <c r="P1470" s="43"/>
      <c r="AS1470" s="10"/>
      <c r="AT1470" s="10"/>
      <c r="AU1470" s="10"/>
      <c r="AV1470" s="10"/>
      <c r="AW1470" s="10"/>
      <c r="AX1470" s="10"/>
      <c r="AY1470" s="10"/>
      <c r="AZ1470" s="10"/>
      <c r="BA1470" s="10"/>
      <c r="BB1470" s="10"/>
      <c r="BC1470" s="10"/>
      <c r="BD1470" s="10"/>
      <c r="BE1470" s="10"/>
      <c r="BF1470" s="10"/>
      <c r="BG1470" s="10"/>
      <c r="BH1470" s="10"/>
      <c r="BI1470" s="10"/>
      <c r="BJ1470" s="10"/>
      <c r="BK1470" s="10"/>
      <c r="BL1470" s="10"/>
      <c r="BM1470" s="10"/>
      <c r="BN1470" s="10"/>
      <c r="BO1470" s="10"/>
      <c r="BP1470" s="10"/>
      <c r="BQ1470" s="10"/>
      <c r="BR1470" s="10"/>
      <c r="BS1470" s="10"/>
      <c r="BT1470" s="10"/>
      <c r="BU1470" s="10"/>
    </row>
    <row r="1471" spans="1:73" ht="18" x14ac:dyDescent="0.35">
      <c r="A1471" s="43"/>
      <c r="C1471" s="393"/>
      <c r="E1471" s="394"/>
      <c r="F1471" s="394">
        <v>0</v>
      </c>
      <c r="G1471" s="394"/>
      <c r="H1471" s="8" t="s">
        <v>235</v>
      </c>
      <c r="I1471" s="368">
        <f t="shared" si="67"/>
        <v>0</v>
      </c>
      <c r="J1471" s="365">
        <f t="shared" si="69"/>
        <v>0</v>
      </c>
      <c r="K1471" s="369">
        <f t="shared" si="68"/>
        <v>6</v>
      </c>
      <c r="L1471" s="369">
        <f>+IF((C1471&gt;='Resultats - informe'!$E$16)*(C1471&lt;='Resultats - informe'!$G$16),1,0)</f>
        <v>1</v>
      </c>
      <c r="M1471" s="369" cm="1">
        <f t="array" ref="M1471">+_xlfn.IFS((C1471&gt;='Resultats - informe'!$D$26)*(C1471&lt;='Resultats - informe'!$E$26),0,(C1471&gt;='Resultats - informe'!$D$27)*(C1471&lt;='Resultats - informe'!$E$27),0,(C1471&gt;='Resultats - informe'!$D$28)*(C1471&lt;='Resultats - informe'!$E$28),0,(C1471&gt;='Resultats - informe'!$D$29)*(C1471&lt;='Resultats - informe'!$E$29),0,1,1)</f>
        <v>0</v>
      </c>
      <c r="N1471" s="366">
        <f>+VLOOKUP(D1471,'Resultats - informe'!$Y$18:$AG$42,'Introducció dades consum'!K1471+1,0)</f>
        <v>0</v>
      </c>
      <c r="O1471" s="370" cm="1">
        <f t="array" ref="O1471">+_xlfn.SWITCH(MONTH(C1471),1,1,2,1,3,1,4,2,5,2,6,3,7,3,8,3,9,3,10,2,11,2,12,1,2)</f>
        <v>1</v>
      </c>
      <c r="P1471" s="43"/>
      <c r="AS1471" s="10"/>
      <c r="AT1471" s="10"/>
      <c r="AU1471" s="10"/>
      <c r="AV1471" s="10"/>
      <c r="AW1471" s="10"/>
      <c r="AX1471" s="10"/>
      <c r="AY1471" s="10"/>
      <c r="AZ1471" s="10"/>
      <c r="BA1471" s="10"/>
      <c r="BB1471" s="10"/>
      <c r="BC1471" s="10"/>
      <c r="BD1471" s="10"/>
      <c r="BE1471" s="10"/>
      <c r="BF1471" s="10"/>
      <c r="BG1471" s="10"/>
      <c r="BH1471" s="10"/>
      <c r="BI1471" s="10"/>
      <c r="BJ1471" s="10"/>
      <c r="BK1471" s="10"/>
      <c r="BL1471" s="10"/>
      <c r="BM1471" s="10"/>
      <c r="BN1471" s="10"/>
      <c r="BO1471" s="10"/>
      <c r="BP1471" s="10"/>
      <c r="BQ1471" s="10"/>
      <c r="BR1471" s="10"/>
      <c r="BS1471" s="10"/>
      <c r="BT1471" s="10"/>
      <c r="BU1471" s="10"/>
    </row>
    <row r="1472" spans="1:73" ht="18" x14ac:dyDescent="0.35">
      <c r="A1472" s="43"/>
      <c r="C1472" s="393"/>
      <c r="E1472" s="394"/>
      <c r="F1472" s="394">
        <v>0</v>
      </c>
      <c r="G1472" s="394"/>
      <c r="H1472" s="8" t="s">
        <v>235</v>
      </c>
      <c r="I1472" s="368">
        <f t="shared" si="67"/>
        <v>0</v>
      </c>
      <c r="J1472" s="365">
        <f t="shared" si="69"/>
        <v>0</v>
      </c>
      <c r="K1472" s="369">
        <f t="shared" si="68"/>
        <v>6</v>
      </c>
      <c r="L1472" s="369">
        <f>+IF((C1472&gt;='Resultats - informe'!$E$16)*(C1472&lt;='Resultats - informe'!$G$16),1,0)</f>
        <v>1</v>
      </c>
      <c r="M1472" s="369" cm="1">
        <f t="array" ref="M1472">+_xlfn.IFS((C1472&gt;='Resultats - informe'!$D$26)*(C1472&lt;='Resultats - informe'!$E$26),0,(C1472&gt;='Resultats - informe'!$D$27)*(C1472&lt;='Resultats - informe'!$E$27),0,(C1472&gt;='Resultats - informe'!$D$28)*(C1472&lt;='Resultats - informe'!$E$28),0,(C1472&gt;='Resultats - informe'!$D$29)*(C1472&lt;='Resultats - informe'!$E$29),0,1,1)</f>
        <v>0</v>
      </c>
      <c r="N1472" s="366">
        <f>+VLOOKUP(D1472,'Resultats - informe'!$Y$18:$AG$42,'Introducció dades consum'!K1472+1,0)</f>
        <v>0</v>
      </c>
      <c r="O1472" s="370" cm="1">
        <f t="array" ref="O1472">+_xlfn.SWITCH(MONTH(C1472),1,1,2,1,3,1,4,2,5,2,6,3,7,3,8,3,9,3,10,2,11,2,12,1,2)</f>
        <v>1</v>
      </c>
      <c r="P1472" s="43"/>
      <c r="AS1472" s="10"/>
      <c r="AT1472" s="10"/>
      <c r="AU1472" s="10"/>
      <c r="AV1472" s="10"/>
      <c r="AW1472" s="10"/>
      <c r="AX1472" s="10"/>
      <c r="AY1472" s="10"/>
      <c r="AZ1472" s="10"/>
      <c r="BA1472" s="10"/>
      <c r="BB1472" s="10"/>
      <c r="BC1472" s="10"/>
      <c r="BD1472" s="10"/>
      <c r="BE1472" s="10"/>
      <c r="BF1472" s="10"/>
      <c r="BG1472" s="10"/>
      <c r="BH1472" s="10"/>
      <c r="BI1472" s="10"/>
      <c r="BJ1472" s="10"/>
      <c r="BK1472" s="10"/>
      <c r="BL1472" s="10"/>
      <c r="BM1472" s="10"/>
      <c r="BN1472" s="10"/>
      <c r="BO1472" s="10"/>
      <c r="BP1472" s="10"/>
      <c r="BQ1472" s="10"/>
      <c r="BR1472" s="10"/>
      <c r="BS1472" s="10"/>
      <c r="BT1472" s="10"/>
      <c r="BU1472" s="10"/>
    </row>
    <row r="1473" spans="1:73" ht="18" x14ac:dyDescent="0.35">
      <c r="A1473" s="43"/>
      <c r="C1473" s="393"/>
      <c r="E1473" s="394"/>
      <c r="F1473" s="394">
        <v>0</v>
      </c>
      <c r="G1473" s="394"/>
      <c r="H1473" s="8" t="s">
        <v>235</v>
      </c>
      <c r="I1473" s="368">
        <f t="shared" si="67"/>
        <v>0</v>
      </c>
      <c r="J1473" s="365">
        <f t="shared" si="69"/>
        <v>0</v>
      </c>
      <c r="K1473" s="369">
        <f t="shared" si="68"/>
        <v>6</v>
      </c>
      <c r="L1473" s="369">
        <f>+IF((C1473&gt;='Resultats - informe'!$E$16)*(C1473&lt;='Resultats - informe'!$G$16),1,0)</f>
        <v>1</v>
      </c>
      <c r="M1473" s="369" cm="1">
        <f t="array" ref="M1473">+_xlfn.IFS((C1473&gt;='Resultats - informe'!$D$26)*(C1473&lt;='Resultats - informe'!$E$26),0,(C1473&gt;='Resultats - informe'!$D$27)*(C1473&lt;='Resultats - informe'!$E$27),0,(C1473&gt;='Resultats - informe'!$D$28)*(C1473&lt;='Resultats - informe'!$E$28),0,(C1473&gt;='Resultats - informe'!$D$29)*(C1473&lt;='Resultats - informe'!$E$29),0,1,1)</f>
        <v>0</v>
      </c>
      <c r="N1473" s="366">
        <f>+VLOOKUP(D1473,'Resultats - informe'!$Y$18:$AG$42,'Introducció dades consum'!K1473+1,0)</f>
        <v>0</v>
      </c>
      <c r="O1473" s="370" cm="1">
        <f t="array" ref="O1473">+_xlfn.SWITCH(MONTH(C1473),1,1,2,1,3,1,4,2,5,2,6,3,7,3,8,3,9,3,10,2,11,2,12,1,2)</f>
        <v>1</v>
      </c>
      <c r="P1473" s="43"/>
      <c r="AS1473" s="10"/>
      <c r="AT1473" s="10"/>
      <c r="AU1473" s="10"/>
      <c r="AV1473" s="10"/>
      <c r="AW1473" s="10"/>
      <c r="AX1473" s="10"/>
      <c r="AY1473" s="10"/>
      <c r="AZ1473" s="10"/>
      <c r="BA1473" s="10"/>
      <c r="BB1473" s="10"/>
      <c r="BC1473" s="10"/>
      <c r="BD1473" s="10"/>
      <c r="BE1473" s="10"/>
      <c r="BF1473" s="10"/>
      <c r="BG1473" s="10"/>
      <c r="BH1473" s="10"/>
      <c r="BI1473" s="10"/>
      <c r="BJ1473" s="10"/>
      <c r="BK1473" s="10"/>
      <c r="BL1473" s="10"/>
      <c r="BM1473" s="10"/>
      <c r="BN1473" s="10"/>
      <c r="BO1473" s="10"/>
      <c r="BP1473" s="10"/>
      <c r="BQ1473" s="10"/>
      <c r="BR1473" s="10"/>
      <c r="BS1473" s="10"/>
      <c r="BT1473" s="10"/>
      <c r="BU1473" s="10"/>
    </row>
    <row r="1474" spans="1:73" ht="18" x14ac:dyDescent="0.35">
      <c r="A1474" s="43"/>
      <c r="C1474" s="393"/>
      <c r="E1474" s="394"/>
      <c r="F1474" s="394">
        <v>0</v>
      </c>
      <c r="G1474" s="394"/>
      <c r="H1474" s="8" t="s">
        <v>235</v>
      </c>
      <c r="I1474" s="368">
        <f t="shared" si="67"/>
        <v>0</v>
      </c>
      <c r="J1474" s="365">
        <f t="shared" si="69"/>
        <v>0</v>
      </c>
      <c r="K1474" s="369">
        <f t="shared" si="68"/>
        <v>6</v>
      </c>
      <c r="L1474" s="369">
        <f>+IF((C1474&gt;='Resultats - informe'!$E$16)*(C1474&lt;='Resultats - informe'!$G$16),1,0)</f>
        <v>1</v>
      </c>
      <c r="M1474" s="369" cm="1">
        <f t="array" ref="M1474">+_xlfn.IFS((C1474&gt;='Resultats - informe'!$D$26)*(C1474&lt;='Resultats - informe'!$E$26),0,(C1474&gt;='Resultats - informe'!$D$27)*(C1474&lt;='Resultats - informe'!$E$27),0,(C1474&gt;='Resultats - informe'!$D$28)*(C1474&lt;='Resultats - informe'!$E$28),0,(C1474&gt;='Resultats - informe'!$D$29)*(C1474&lt;='Resultats - informe'!$E$29),0,1,1)</f>
        <v>0</v>
      </c>
      <c r="N1474" s="366">
        <f>+VLOOKUP(D1474,'Resultats - informe'!$Y$18:$AG$42,'Introducció dades consum'!K1474+1,0)</f>
        <v>0</v>
      </c>
      <c r="O1474" s="370" cm="1">
        <f t="array" ref="O1474">+_xlfn.SWITCH(MONTH(C1474),1,1,2,1,3,1,4,2,5,2,6,3,7,3,8,3,9,3,10,2,11,2,12,1,2)</f>
        <v>1</v>
      </c>
      <c r="P1474" s="43"/>
      <c r="AS1474" s="10"/>
      <c r="AT1474" s="10"/>
      <c r="AU1474" s="10"/>
      <c r="AV1474" s="10"/>
      <c r="AW1474" s="10"/>
      <c r="AX1474" s="10"/>
      <c r="AY1474" s="10"/>
      <c r="AZ1474" s="10"/>
      <c r="BA1474" s="10"/>
      <c r="BB1474" s="10"/>
      <c r="BC1474" s="10"/>
      <c r="BD1474" s="10"/>
      <c r="BE1474" s="10"/>
      <c r="BF1474" s="10"/>
      <c r="BG1474" s="10"/>
      <c r="BH1474" s="10"/>
      <c r="BI1474" s="10"/>
      <c r="BJ1474" s="10"/>
      <c r="BK1474" s="10"/>
      <c r="BL1474" s="10"/>
      <c r="BM1474" s="10"/>
      <c r="BN1474" s="10"/>
      <c r="BO1474" s="10"/>
      <c r="BP1474" s="10"/>
      <c r="BQ1474" s="10"/>
      <c r="BR1474" s="10"/>
      <c r="BS1474" s="10"/>
      <c r="BT1474" s="10"/>
      <c r="BU1474" s="10"/>
    </row>
    <row r="1475" spans="1:73" ht="18" x14ac:dyDescent="0.35">
      <c r="A1475" s="43"/>
      <c r="C1475" s="393"/>
      <c r="E1475" s="394"/>
      <c r="F1475" s="394">
        <v>0</v>
      </c>
      <c r="G1475" s="394"/>
      <c r="H1475" s="8" t="s">
        <v>235</v>
      </c>
      <c r="I1475" s="368">
        <f t="shared" si="67"/>
        <v>0</v>
      </c>
      <c r="J1475" s="365">
        <f t="shared" si="69"/>
        <v>0</v>
      </c>
      <c r="K1475" s="369">
        <f t="shared" si="68"/>
        <v>6</v>
      </c>
      <c r="L1475" s="369">
        <f>+IF((C1475&gt;='Resultats - informe'!$E$16)*(C1475&lt;='Resultats - informe'!$G$16),1,0)</f>
        <v>1</v>
      </c>
      <c r="M1475" s="369" cm="1">
        <f t="array" ref="M1475">+_xlfn.IFS((C1475&gt;='Resultats - informe'!$D$26)*(C1475&lt;='Resultats - informe'!$E$26),0,(C1475&gt;='Resultats - informe'!$D$27)*(C1475&lt;='Resultats - informe'!$E$27),0,(C1475&gt;='Resultats - informe'!$D$28)*(C1475&lt;='Resultats - informe'!$E$28),0,(C1475&gt;='Resultats - informe'!$D$29)*(C1475&lt;='Resultats - informe'!$E$29),0,1,1)</f>
        <v>0</v>
      </c>
      <c r="N1475" s="366">
        <f>+VLOOKUP(D1475,'Resultats - informe'!$Y$18:$AG$42,'Introducció dades consum'!K1475+1,0)</f>
        <v>0</v>
      </c>
      <c r="O1475" s="370" cm="1">
        <f t="array" ref="O1475">+_xlfn.SWITCH(MONTH(C1475),1,1,2,1,3,1,4,2,5,2,6,3,7,3,8,3,9,3,10,2,11,2,12,1,2)</f>
        <v>1</v>
      </c>
      <c r="P1475" s="43"/>
      <c r="AS1475" s="10"/>
      <c r="AT1475" s="10"/>
      <c r="AU1475" s="10"/>
      <c r="AV1475" s="10"/>
      <c r="AW1475" s="10"/>
      <c r="AX1475" s="10"/>
      <c r="AY1475" s="10"/>
      <c r="AZ1475" s="10"/>
      <c r="BA1475" s="10"/>
      <c r="BB1475" s="10"/>
      <c r="BC1475" s="10"/>
      <c r="BD1475" s="10"/>
      <c r="BE1475" s="10"/>
      <c r="BF1475" s="10"/>
      <c r="BG1475" s="10"/>
      <c r="BH1475" s="10"/>
      <c r="BI1475" s="10"/>
      <c r="BJ1475" s="10"/>
      <c r="BK1475" s="10"/>
      <c r="BL1475" s="10"/>
      <c r="BM1475" s="10"/>
      <c r="BN1475" s="10"/>
      <c r="BO1475" s="10"/>
      <c r="BP1475" s="10"/>
      <c r="BQ1475" s="10"/>
      <c r="BR1475" s="10"/>
      <c r="BS1475" s="10"/>
      <c r="BT1475" s="10"/>
      <c r="BU1475" s="10"/>
    </row>
    <row r="1476" spans="1:73" ht="18" x14ac:dyDescent="0.35">
      <c r="A1476" s="43"/>
      <c r="C1476" s="393"/>
      <c r="E1476" s="394"/>
      <c r="F1476" s="394">
        <v>0</v>
      </c>
      <c r="G1476" s="394"/>
      <c r="H1476" s="8" t="s">
        <v>235</v>
      </c>
      <c r="I1476" s="368">
        <f t="shared" si="67"/>
        <v>0</v>
      </c>
      <c r="J1476" s="365">
        <f t="shared" si="69"/>
        <v>0</v>
      </c>
      <c r="K1476" s="369">
        <f t="shared" si="68"/>
        <v>6</v>
      </c>
      <c r="L1476" s="369">
        <f>+IF((C1476&gt;='Resultats - informe'!$E$16)*(C1476&lt;='Resultats - informe'!$G$16),1,0)</f>
        <v>1</v>
      </c>
      <c r="M1476" s="369" cm="1">
        <f t="array" ref="M1476">+_xlfn.IFS((C1476&gt;='Resultats - informe'!$D$26)*(C1476&lt;='Resultats - informe'!$E$26),0,(C1476&gt;='Resultats - informe'!$D$27)*(C1476&lt;='Resultats - informe'!$E$27),0,(C1476&gt;='Resultats - informe'!$D$28)*(C1476&lt;='Resultats - informe'!$E$28),0,(C1476&gt;='Resultats - informe'!$D$29)*(C1476&lt;='Resultats - informe'!$E$29),0,1,1)</f>
        <v>0</v>
      </c>
      <c r="N1476" s="366">
        <f>+VLOOKUP(D1476,'Resultats - informe'!$Y$18:$AG$42,'Introducció dades consum'!K1476+1,0)</f>
        <v>0</v>
      </c>
      <c r="O1476" s="370" cm="1">
        <f t="array" ref="O1476">+_xlfn.SWITCH(MONTH(C1476),1,1,2,1,3,1,4,2,5,2,6,3,7,3,8,3,9,3,10,2,11,2,12,1,2)</f>
        <v>1</v>
      </c>
      <c r="P1476" s="43"/>
      <c r="AS1476" s="10"/>
      <c r="AT1476" s="10"/>
      <c r="AU1476" s="10"/>
      <c r="AV1476" s="10"/>
      <c r="AW1476" s="10"/>
      <c r="AX1476" s="10"/>
      <c r="AY1476" s="10"/>
      <c r="AZ1476" s="10"/>
      <c r="BA1476" s="10"/>
      <c r="BB1476" s="10"/>
      <c r="BC1476" s="10"/>
      <c r="BD1476" s="10"/>
      <c r="BE1476" s="10"/>
      <c r="BF1476" s="10"/>
      <c r="BG1476" s="10"/>
      <c r="BH1476" s="10"/>
      <c r="BI1476" s="10"/>
      <c r="BJ1476" s="10"/>
      <c r="BK1476" s="10"/>
      <c r="BL1476" s="10"/>
      <c r="BM1476" s="10"/>
      <c r="BN1476" s="10"/>
      <c r="BO1476" s="10"/>
      <c r="BP1476" s="10"/>
      <c r="BQ1476" s="10"/>
      <c r="BR1476" s="10"/>
      <c r="BS1476" s="10"/>
      <c r="BT1476" s="10"/>
      <c r="BU1476" s="10"/>
    </row>
    <row r="1477" spans="1:73" ht="18" x14ac:dyDescent="0.35">
      <c r="A1477" s="43"/>
      <c r="C1477" s="393"/>
      <c r="E1477" s="394"/>
      <c r="F1477" s="394">
        <v>0</v>
      </c>
      <c r="G1477" s="394"/>
      <c r="H1477" s="8" t="s">
        <v>61</v>
      </c>
      <c r="I1477" s="368">
        <f t="shared" si="67"/>
        <v>0</v>
      </c>
      <c r="J1477" s="365">
        <f t="shared" si="69"/>
        <v>0</v>
      </c>
      <c r="K1477" s="369">
        <f t="shared" si="68"/>
        <v>6</v>
      </c>
      <c r="L1477" s="369">
        <f>+IF((C1477&gt;='Resultats - informe'!$E$16)*(C1477&lt;='Resultats - informe'!$G$16),1,0)</f>
        <v>1</v>
      </c>
      <c r="M1477" s="369" cm="1">
        <f t="array" ref="M1477">+_xlfn.IFS((C1477&gt;='Resultats - informe'!$D$26)*(C1477&lt;='Resultats - informe'!$E$26),0,(C1477&gt;='Resultats - informe'!$D$27)*(C1477&lt;='Resultats - informe'!$E$27),0,(C1477&gt;='Resultats - informe'!$D$28)*(C1477&lt;='Resultats - informe'!$E$28),0,(C1477&gt;='Resultats - informe'!$D$29)*(C1477&lt;='Resultats - informe'!$E$29),0,1,1)</f>
        <v>0</v>
      </c>
      <c r="N1477" s="366">
        <f>+VLOOKUP(D1477,'Resultats - informe'!$Y$18:$AG$42,'Introducció dades consum'!K1477+1,0)</f>
        <v>0</v>
      </c>
      <c r="O1477" s="370" cm="1">
        <f t="array" ref="O1477">+_xlfn.SWITCH(MONTH(C1477),1,1,2,1,3,1,4,2,5,2,6,3,7,3,8,3,9,3,10,2,11,2,12,1,2)</f>
        <v>1</v>
      </c>
      <c r="P1477" s="43"/>
      <c r="AS1477" s="10"/>
      <c r="AT1477" s="10"/>
      <c r="AU1477" s="10"/>
      <c r="AV1477" s="10"/>
      <c r="AW1477" s="10"/>
      <c r="AX1477" s="10"/>
      <c r="AY1477" s="10"/>
      <c r="AZ1477" s="10"/>
      <c r="BA1477" s="10"/>
      <c r="BB1477" s="10"/>
      <c r="BC1477" s="10"/>
      <c r="BD1477" s="10"/>
      <c r="BE1477" s="10"/>
      <c r="BF1477" s="10"/>
      <c r="BG1477" s="10"/>
      <c r="BH1477" s="10"/>
      <c r="BI1477" s="10"/>
      <c r="BJ1477" s="10"/>
      <c r="BK1477" s="10"/>
      <c r="BL1477" s="10"/>
      <c r="BM1477" s="10"/>
      <c r="BN1477" s="10"/>
      <c r="BO1477" s="10"/>
      <c r="BP1477" s="10"/>
      <c r="BQ1477" s="10"/>
      <c r="BR1477" s="10"/>
      <c r="BS1477" s="10"/>
      <c r="BT1477" s="10"/>
      <c r="BU1477" s="10"/>
    </row>
    <row r="1478" spans="1:73" ht="18" x14ac:dyDescent="0.35">
      <c r="A1478" s="43"/>
      <c r="C1478" s="393"/>
      <c r="E1478" s="394"/>
      <c r="F1478" s="394">
        <v>2.2250000000000001</v>
      </c>
      <c r="G1478" s="394"/>
      <c r="H1478" s="8" t="s">
        <v>235</v>
      </c>
      <c r="I1478" s="368">
        <f t="shared" ref="I1478:I1541" si="70">+E1478+G1478</f>
        <v>0</v>
      </c>
      <c r="J1478" s="365">
        <f t="shared" si="69"/>
        <v>0</v>
      </c>
      <c r="K1478" s="369">
        <f t="shared" ref="K1478:K1541" si="71">+WEEKDAY(C1478,2)</f>
        <v>6</v>
      </c>
      <c r="L1478" s="369">
        <f>+IF((C1478&gt;='Resultats - informe'!$E$16)*(C1478&lt;='Resultats - informe'!$G$16),1,0)</f>
        <v>1</v>
      </c>
      <c r="M1478" s="369" cm="1">
        <f t="array" ref="M1478">+_xlfn.IFS((C1478&gt;='Resultats - informe'!$D$26)*(C1478&lt;='Resultats - informe'!$E$26),0,(C1478&gt;='Resultats - informe'!$D$27)*(C1478&lt;='Resultats - informe'!$E$27),0,(C1478&gt;='Resultats - informe'!$D$28)*(C1478&lt;='Resultats - informe'!$E$28),0,(C1478&gt;='Resultats - informe'!$D$29)*(C1478&lt;='Resultats - informe'!$E$29),0,1,1)</f>
        <v>0</v>
      </c>
      <c r="N1478" s="366">
        <f>+VLOOKUP(D1478,'Resultats - informe'!$Y$18:$AG$42,'Introducció dades consum'!K1478+1,0)</f>
        <v>0</v>
      </c>
      <c r="O1478" s="370" cm="1">
        <f t="array" ref="O1478">+_xlfn.SWITCH(MONTH(C1478),1,1,2,1,3,1,4,2,5,2,6,3,7,3,8,3,9,3,10,2,11,2,12,1,2)</f>
        <v>1</v>
      </c>
      <c r="P1478" s="43"/>
      <c r="AS1478" s="10"/>
      <c r="AT1478" s="10"/>
      <c r="AU1478" s="10"/>
      <c r="AV1478" s="10"/>
      <c r="AW1478" s="10"/>
      <c r="AX1478" s="10"/>
      <c r="AY1478" s="10"/>
      <c r="AZ1478" s="10"/>
      <c r="BA1478" s="10"/>
      <c r="BB1478" s="10"/>
      <c r="BC1478" s="10"/>
      <c r="BD1478" s="10"/>
      <c r="BE1478" s="10"/>
      <c r="BF1478" s="10"/>
      <c r="BG1478" s="10"/>
      <c r="BH1478" s="10"/>
      <c r="BI1478" s="10"/>
      <c r="BJ1478" s="10"/>
      <c r="BK1478" s="10"/>
      <c r="BL1478" s="10"/>
      <c r="BM1478" s="10"/>
      <c r="BN1478" s="10"/>
      <c r="BO1478" s="10"/>
      <c r="BP1478" s="10"/>
      <c r="BQ1478" s="10"/>
      <c r="BR1478" s="10"/>
      <c r="BS1478" s="10"/>
      <c r="BT1478" s="10"/>
      <c r="BU1478" s="10"/>
    </row>
    <row r="1479" spans="1:73" ht="18" x14ac:dyDescent="0.35">
      <c r="A1479" s="43"/>
      <c r="C1479" s="393"/>
      <c r="E1479" s="394"/>
      <c r="F1479" s="394">
        <v>1.0049999999999999</v>
      </c>
      <c r="G1479" s="394"/>
      <c r="H1479" s="8" t="s">
        <v>235</v>
      </c>
      <c r="I1479" s="368">
        <f t="shared" si="70"/>
        <v>0</v>
      </c>
      <c r="J1479" s="365">
        <f t="shared" si="69"/>
        <v>0</v>
      </c>
      <c r="K1479" s="369">
        <f t="shared" si="71"/>
        <v>6</v>
      </c>
      <c r="L1479" s="369">
        <f>+IF((C1479&gt;='Resultats - informe'!$E$16)*(C1479&lt;='Resultats - informe'!$G$16),1,0)</f>
        <v>1</v>
      </c>
      <c r="M1479" s="369" cm="1">
        <f t="array" ref="M1479">+_xlfn.IFS((C1479&gt;='Resultats - informe'!$D$26)*(C1479&lt;='Resultats - informe'!$E$26),0,(C1479&gt;='Resultats - informe'!$D$27)*(C1479&lt;='Resultats - informe'!$E$27),0,(C1479&gt;='Resultats - informe'!$D$28)*(C1479&lt;='Resultats - informe'!$E$28),0,(C1479&gt;='Resultats - informe'!$D$29)*(C1479&lt;='Resultats - informe'!$E$29),0,1,1)</f>
        <v>0</v>
      </c>
      <c r="N1479" s="366">
        <f>+VLOOKUP(D1479,'Resultats - informe'!$Y$18:$AG$42,'Introducció dades consum'!K1479+1,0)</f>
        <v>0</v>
      </c>
      <c r="O1479" s="370" cm="1">
        <f t="array" ref="O1479">+_xlfn.SWITCH(MONTH(C1479),1,1,2,1,3,1,4,2,5,2,6,3,7,3,8,3,9,3,10,2,11,2,12,1,2)</f>
        <v>1</v>
      </c>
      <c r="P1479" s="43"/>
      <c r="AS1479" s="10"/>
      <c r="AT1479" s="10"/>
      <c r="AU1479" s="10"/>
      <c r="AV1479" s="10"/>
      <c r="AW1479" s="10"/>
      <c r="AX1479" s="10"/>
      <c r="AY1479" s="10"/>
      <c r="AZ1479" s="10"/>
      <c r="BA1479" s="10"/>
      <c r="BB1479" s="10"/>
      <c r="BC1479" s="10"/>
      <c r="BD1479" s="10"/>
      <c r="BE1479" s="10"/>
      <c r="BF1479" s="10"/>
      <c r="BG1479" s="10"/>
      <c r="BH1479" s="10"/>
      <c r="BI1479" s="10"/>
      <c r="BJ1479" s="10"/>
      <c r="BK1479" s="10"/>
      <c r="BL1479" s="10"/>
      <c r="BM1479" s="10"/>
      <c r="BN1479" s="10"/>
      <c r="BO1479" s="10"/>
      <c r="BP1479" s="10"/>
      <c r="BQ1479" s="10"/>
      <c r="BR1479" s="10"/>
      <c r="BS1479" s="10"/>
      <c r="BT1479" s="10"/>
      <c r="BU1479" s="10"/>
    </row>
    <row r="1480" spans="1:73" ht="18" x14ac:dyDescent="0.35">
      <c r="A1480" s="43"/>
      <c r="C1480" s="393"/>
      <c r="E1480" s="394"/>
      <c r="F1480" s="394">
        <v>0.67200000000000004</v>
      </c>
      <c r="G1480" s="394"/>
      <c r="H1480" s="8" t="s">
        <v>235</v>
      </c>
      <c r="I1480" s="368">
        <f t="shared" si="70"/>
        <v>0</v>
      </c>
      <c r="J1480" s="365">
        <f t="shared" si="69"/>
        <v>0</v>
      </c>
      <c r="K1480" s="369">
        <f t="shared" si="71"/>
        <v>6</v>
      </c>
      <c r="L1480" s="369">
        <f>+IF((C1480&gt;='Resultats - informe'!$E$16)*(C1480&lt;='Resultats - informe'!$G$16),1,0)</f>
        <v>1</v>
      </c>
      <c r="M1480" s="369" cm="1">
        <f t="array" ref="M1480">+_xlfn.IFS((C1480&gt;='Resultats - informe'!$D$26)*(C1480&lt;='Resultats - informe'!$E$26),0,(C1480&gt;='Resultats - informe'!$D$27)*(C1480&lt;='Resultats - informe'!$E$27),0,(C1480&gt;='Resultats - informe'!$D$28)*(C1480&lt;='Resultats - informe'!$E$28),0,(C1480&gt;='Resultats - informe'!$D$29)*(C1480&lt;='Resultats - informe'!$E$29),0,1,1)</f>
        <v>0</v>
      </c>
      <c r="N1480" s="366">
        <f>+VLOOKUP(D1480,'Resultats - informe'!$Y$18:$AG$42,'Introducció dades consum'!K1480+1,0)</f>
        <v>0</v>
      </c>
      <c r="O1480" s="370" cm="1">
        <f t="array" ref="O1480">+_xlfn.SWITCH(MONTH(C1480),1,1,2,1,3,1,4,2,5,2,6,3,7,3,8,3,9,3,10,2,11,2,12,1,2)</f>
        <v>1</v>
      </c>
      <c r="P1480" s="43"/>
      <c r="AS1480" s="10"/>
      <c r="AT1480" s="10"/>
      <c r="AU1480" s="10"/>
      <c r="AV1480" s="10"/>
      <c r="AW1480" s="10"/>
      <c r="AX1480" s="10"/>
      <c r="AY1480" s="10"/>
      <c r="AZ1480" s="10"/>
      <c r="BA1480" s="10"/>
      <c r="BB1480" s="10"/>
      <c r="BC1480" s="10"/>
      <c r="BD1480" s="10"/>
      <c r="BE1480" s="10"/>
      <c r="BF1480" s="10"/>
      <c r="BG1480" s="10"/>
      <c r="BH1480" s="10"/>
      <c r="BI1480" s="10"/>
      <c r="BJ1480" s="10"/>
      <c r="BK1480" s="10"/>
      <c r="BL1480" s="10"/>
      <c r="BM1480" s="10"/>
      <c r="BN1480" s="10"/>
      <c r="BO1480" s="10"/>
      <c r="BP1480" s="10"/>
      <c r="BQ1480" s="10"/>
      <c r="BR1480" s="10"/>
      <c r="BS1480" s="10"/>
      <c r="BT1480" s="10"/>
      <c r="BU1480" s="10"/>
    </row>
    <row r="1481" spans="1:73" ht="18" x14ac:dyDescent="0.35">
      <c r="A1481" s="43"/>
      <c r="C1481" s="393"/>
      <c r="E1481" s="394"/>
      <c r="F1481" s="394">
        <v>1.026</v>
      </c>
      <c r="G1481" s="394"/>
      <c r="H1481" s="8" t="s">
        <v>235</v>
      </c>
      <c r="I1481" s="368">
        <f t="shared" si="70"/>
        <v>0</v>
      </c>
      <c r="J1481" s="365">
        <f t="shared" si="69"/>
        <v>0</v>
      </c>
      <c r="K1481" s="369">
        <f t="shared" si="71"/>
        <v>6</v>
      </c>
      <c r="L1481" s="369">
        <f>+IF((C1481&gt;='Resultats - informe'!$E$16)*(C1481&lt;='Resultats - informe'!$G$16),1,0)</f>
        <v>1</v>
      </c>
      <c r="M1481" s="369" cm="1">
        <f t="array" ref="M1481">+_xlfn.IFS((C1481&gt;='Resultats - informe'!$D$26)*(C1481&lt;='Resultats - informe'!$E$26),0,(C1481&gt;='Resultats - informe'!$D$27)*(C1481&lt;='Resultats - informe'!$E$27),0,(C1481&gt;='Resultats - informe'!$D$28)*(C1481&lt;='Resultats - informe'!$E$28),0,(C1481&gt;='Resultats - informe'!$D$29)*(C1481&lt;='Resultats - informe'!$E$29),0,1,1)</f>
        <v>0</v>
      </c>
      <c r="N1481" s="366">
        <f>+VLOOKUP(D1481,'Resultats - informe'!$Y$18:$AG$42,'Introducció dades consum'!K1481+1,0)</f>
        <v>0</v>
      </c>
      <c r="O1481" s="370" cm="1">
        <f t="array" ref="O1481">+_xlfn.SWITCH(MONTH(C1481),1,1,2,1,3,1,4,2,5,2,6,3,7,3,8,3,9,3,10,2,11,2,12,1,2)</f>
        <v>1</v>
      </c>
      <c r="P1481" s="43"/>
      <c r="AS1481" s="10"/>
      <c r="AT1481" s="10"/>
      <c r="AU1481" s="10"/>
      <c r="AV1481" s="10"/>
      <c r="AW1481" s="10"/>
      <c r="AX1481" s="10"/>
      <c r="AY1481" s="10"/>
      <c r="AZ1481" s="10"/>
      <c r="BA1481" s="10"/>
      <c r="BB1481" s="10"/>
      <c r="BC1481" s="10"/>
      <c r="BD1481" s="10"/>
      <c r="BE1481" s="10"/>
      <c r="BF1481" s="10"/>
      <c r="BG1481" s="10"/>
      <c r="BH1481" s="10"/>
      <c r="BI1481" s="10"/>
      <c r="BJ1481" s="10"/>
      <c r="BK1481" s="10"/>
      <c r="BL1481" s="10"/>
      <c r="BM1481" s="10"/>
      <c r="BN1481" s="10"/>
      <c r="BO1481" s="10"/>
      <c r="BP1481" s="10"/>
      <c r="BQ1481" s="10"/>
      <c r="BR1481" s="10"/>
      <c r="BS1481" s="10"/>
      <c r="BT1481" s="10"/>
      <c r="BU1481" s="10"/>
    </row>
    <row r="1482" spans="1:73" ht="18" x14ac:dyDescent="0.35">
      <c r="A1482" s="43"/>
      <c r="C1482" s="393"/>
      <c r="E1482" s="394"/>
      <c r="F1482" s="394">
        <v>0.91800000000000004</v>
      </c>
      <c r="G1482" s="394"/>
      <c r="H1482" s="8" t="s">
        <v>235</v>
      </c>
      <c r="I1482" s="368">
        <f t="shared" si="70"/>
        <v>0</v>
      </c>
      <c r="J1482" s="365">
        <f t="shared" si="69"/>
        <v>0</v>
      </c>
      <c r="K1482" s="369">
        <f t="shared" si="71"/>
        <v>6</v>
      </c>
      <c r="L1482" s="369">
        <f>+IF((C1482&gt;='Resultats - informe'!$E$16)*(C1482&lt;='Resultats - informe'!$G$16),1,0)</f>
        <v>1</v>
      </c>
      <c r="M1482" s="369" cm="1">
        <f t="array" ref="M1482">+_xlfn.IFS((C1482&gt;='Resultats - informe'!$D$26)*(C1482&lt;='Resultats - informe'!$E$26),0,(C1482&gt;='Resultats - informe'!$D$27)*(C1482&lt;='Resultats - informe'!$E$27),0,(C1482&gt;='Resultats - informe'!$D$28)*(C1482&lt;='Resultats - informe'!$E$28),0,(C1482&gt;='Resultats - informe'!$D$29)*(C1482&lt;='Resultats - informe'!$E$29),0,1,1)</f>
        <v>0</v>
      </c>
      <c r="N1482" s="366">
        <f>+VLOOKUP(D1482,'Resultats - informe'!$Y$18:$AG$42,'Introducció dades consum'!K1482+1,0)</f>
        <v>0</v>
      </c>
      <c r="O1482" s="370" cm="1">
        <f t="array" ref="O1482">+_xlfn.SWITCH(MONTH(C1482),1,1,2,1,3,1,4,2,5,2,6,3,7,3,8,3,9,3,10,2,11,2,12,1,2)</f>
        <v>1</v>
      </c>
      <c r="P1482" s="43"/>
      <c r="AS1482" s="10"/>
      <c r="AT1482" s="10"/>
      <c r="AU1482" s="10"/>
      <c r="AV1482" s="10"/>
      <c r="AW1482" s="10"/>
      <c r="AX1482" s="10"/>
      <c r="AY1482" s="10"/>
      <c r="AZ1482" s="10"/>
      <c r="BA1482" s="10"/>
      <c r="BB1482" s="10"/>
      <c r="BC1482" s="10"/>
      <c r="BD1482" s="10"/>
      <c r="BE1482" s="10"/>
      <c r="BF1482" s="10"/>
      <c r="BG1482" s="10"/>
      <c r="BH1482" s="10"/>
      <c r="BI1482" s="10"/>
      <c r="BJ1482" s="10"/>
      <c r="BK1482" s="10"/>
      <c r="BL1482" s="10"/>
      <c r="BM1482" s="10"/>
      <c r="BN1482" s="10"/>
      <c r="BO1482" s="10"/>
      <c r="BP1482" s="10"/>
      <c r="BQ1482" s="10"/>
      <c r="BR1482" s="10"/>
      <c r="BS1482" s="10"/>
      <c r="BT1482" s="10"/>
      <c r="BU1482" s="10"/>
    </row>
    <row r="1483" spans="1:73" ht="18" x14ac:dyDescent="0.35">
      <c r="A1483" s="43"/>
      <c r="C1483" s="393"/>
      <c r="E1483" s="394"/>
      <c r="F1483" s="394">
        <v>1.53</v>
      </c>
      <c r="G1483" s="394"/>
      <c r="H1483" s="8" t="s">
        <v>235</v>
      </c>
      <c r="I1483" s="368">
        <f t="shared" si="70"/>
        <v>0</v>
      </c>
      <c r="J1483" s="365">
        <f t="shared" si="69"/>
        <v>0</v>
      </c>
      <c r="K1483" s="369">
        <f t="shared" si="71"/>
        <v>6</v>
      </c>
      <c r="L1483" s="369">
        <f>+IF((C1483&gt;='Resultats - informe'!$E$16)*(C1483&lt;='Resultats - informe'!$G$16),1,0)</f>
        <v>1</v>
      </c>
      <c r="M1483" s="369" cm="1">
        <f t="array" ref="M1483">+_xlfn.IFS((C1483&gt;='Resultats - informe'!$D$26)*(C1483&lt;='Resultats - informe'!$E$26),0,(C1483&gt;='Resultats - informe'!$D$27)*(C1483&lt;='Resultats - informe'!$E$27),0,(C1483&gt;='Resultats - informe'!$D$28)*(C1483&lt;='Resultats - informe'!$E$28),0,(C1483&gt;='Resultats - informe'!$D$29)*(C1483&lt;='Resultats - informe'!$E$29),0,1,1)</f>
        <v>0</v>
      </c>
      <c r="N1483" s="366">
        <f>+VLOOKUP(D1483,'Resultats - informe'!$Y$18:$AG$42,'Introducció dades consum'!K1483+1,0)</f>
        <v>0</v>
      </c>
      <c r="O1483" s="370" cm="1">
        <f t="array" ref="O1483">+_xlfn.SWITCH(MONTH(C1483),1,1,2,1,3,1,4,2,5,2,6,3,7,3,8,3,9,3,10,2,11,2,12,1,2)</f>
        <v>1</v>
      </c>
      <c r="P1483" s="43"/>
      <c r="AS1483" s="10"/>
      <c r="AT1483" s="10"/>
      <c r="AU1483" s="10"/>
      <c r="AV1483" s="10"/>
      <c r="AW1483" s="10"/>
      <c r="AX1483" s="10"/>
      <c r="AY1483" s="10"/>
      <c r="AZ1483" s="10"/>
      <c r="BA1483" s="10"/>
      <c r="BB1483" s="10"/>
      <c r="BC1483" s="10"/>
      <c r="BD1483" s="10"/>
      <c r="BE1483" s="10"/>
      <c r="BF1483" s="10"/>
      <c r="BG1483" s="10"/>
      <c r="BH1483" s="10"/>
      <c r="BI1483" s="10"/>
      <c r="BJ1483" s="10"/>
      <c r="BK1483" s="10"/>
      <c r="BL1483" s="10"/>
      <c r="BM1483" s="10"/>
      <c r="BN1483" s="10"/>
      <c r="BO1483" s="10"/>
      <c r="BP1483" s="10"/>
      <c r="BQ1483" s="10"/>
      <c r="BR1483" s="10"/>
      <c r="BS1483" s="10"/>
      <c r="BT1483" s="10"/>
      <c r="BU1483" s="10"/>
    </row>
    <row r="1484" spans="1:73" ht="18" x14ac:dyDescent="0.35">
      <c r="A1484" s="43"/>
      <c r="C1484" s="393"/>
      <c r="E1484" s="394"/>
      <c r="F1484" s="394">
        <v>0.56200000000000006</v>
      </c>
      <c r="G1484" s="394"/>
      <c r="H1484" s="8" t="s">
        <v>61</v>
      </c>
      <c r="I1484" s="368">
        <f t="shared" si="70"/>
        <v>0</v>
      </c>
      <c r="J1484" s="365">
        <f t="shared" si="69"/>
        <v>0</v>
      </c>
      <c r="K1484" s="369">
        <f t="shared" si="71"/>
        <v>6</v>
      </c>
      <c r="L1484" s="369">
        <f>+IF((C1484&gt;='Resultats - informe'!$E$16)*(C1484&lt;='Resultats - informe'!$G$16),1,0)</f>
        <v>1</v>
      </c>
      <c r="M1484" s="369" cm="1">
        <f t="array" ref="M1484">+_xlfn.IFS((C1484&gt;='Resultats - informe'!$D$26)*(C1484&lt;='Resultats - informe'!$E$26),0,(C1484&gt;='Resultats - informe'!$D$27)*(C1484&lt;='Resultats - informe'!$E$27),0,(C1484&gt;='Resultats - informe'!$D$28)*(C1484&lt;='Resultats - informe'!$E$28),0,(C1484&gt;='Resultats - informe'!$D$29)*(C1484&lt;='Resultats - informe'!$E$29),0,1,1)</f>
        <v>0</v>
      </c>
      <c r="N1484" s="366">
        <f>+VLOOKUP(D1484,'Resultats - informe'!$Y$18:$AG$42,'Introducció dades consum'!K1484+1,0)</f>
        <v>0</v>
      </c>
      <c r="O1484" s="370" cm="1">
        <f t="array" ref="O1484">+_xlfn.SWITCH(MONTH(C1484),1,1,2,1,3,1,4,2,5,2,6,3,7,3,8,3,9,3,10,2,11,2,12,1,2)</f>
        <v>1</v>
      </c>
      <c r="P1484" s="43"/>
      <c r="AS1484" s="10"/>
      <c r="AT1484" s="10"/>
      <c r="AU1484" s="10"/>
      <c r="AV1484" s="10"/>
      <c r="AW1484" s="10"/>
      <c r="AX1484" s="10"/>
      <c r="AY1484" s="10"/>
      <c r="AZ1484" s="10"/>
      <c r="BA1484" s="10"/>
      <c r="BB1484" s="10"/>
      <c r="BC1484" s="10"/>
      <c r="BD1484" s="10"/>
      <c r="BE1484" s="10"/>
      <c r="BF1484" s="10"/>
      <c r="BG1484" s="10"/>
      <c r="BH1484" s="10"/>
      <c r="BI1484" s="10"/>
      <c r="BJ1484" s="10"/>
      <c r="BK1484" s="10"/>
      <c r="BL1484" s="10"/>
      <c r="BM1484" s="10"/>
      <c r="BN1484" s="10"/>
      <c r="BO1484" s="10"/>
      <c r="BP1484" s="10"/>
      <c r="BQ1484" s="10"/>
      <c r="BR1484" s="10"/>
      <c r="BS1484" s="10"/>
      <c r="BT1484" s="10"/>
      <c r="BU1484" s="10"/>
    </row>
    <row r="1485" spans="1:73" ht="18" x14ac:dyDescent="0.35">
      <c r="A1485" s="43"/>
      <c r="C1485" s="393"/>
      <c r="E1485" s="394"/>
      <c r="F1485" s="394">
        <v>0</v>
      </c>
      <c r="G1485" s="394"/>
      <c r="H1485" s="8" t="s">
        <v>61</v>
      </c>
      <c r="I1485" s="368">
        <f t="shared" si="70"/>
        <v>0</v>
      </c>
      <c r="J1485" s="365">
        <f t="shared" si="69"/>
        <v>0</v>
      </c>
      <c r="K1485" s="369">
        <f t="shared" si="71"/>
        <v>6</v>
      </c>
      <c r="L1485" s="369">
        <f>+IF((C1485&gt;='Resultats - informe'!$E$16)*(C1485&lt;='Resultats - informe'!$G$16),1,0)</f>
        <v>1</v>
      </c>
      <c r="M1485" s="369" cm="1">
        <f t="array" ref="M1485">+_xlfn.IFS((C1485&gt;='Resultats - informe'!$D$26)*(C1485&lt;='Resultats - informe'!$E$26),0,(C1485&gt;='Resultats - informe'!$D$27)*(C1485&lt;='Resultats - informe'!$E$27),0,(C1485&gt;='Resultats - informe'!$D$28)*(C1485&lt;='Resultats - informe'!$E$28),0,(C1485&gt;='Resultats - informe'!$D$29)*(C1485&lt;='Resultats - informe'!$E$29),0,1,1)</f>
        <v>0</v>
      </c>
      <c r="N1485" s="366">
        <f>+VLOOKUP(D1485,'Resultats - informe'!$Y$18:$AG$42,'Introducció dades consum'!K1485+1,0)</f>
        <v>0</v>
      </c>
      <c r="O1485" s="370" cm="1">
        <f t="array" ref="O1485">+_xlfn.SWITCH(MONTH(C1485),1,1,2,1,3,1,4,2,5,2,6,3,7,3,8,3,9,3,10,2,11,2,12,1,2)</f>
        <v>1</v>
      </c>
      <c r="P1485" s="43"/>
      <c r="AS1485" s="10"/>
      <c r="AT1485" s="10"/>
      <c r="AU1485" s="10"/>
      <c r="AV1485" s="10"/>
      <c r="AW1485" s="10"/>
      <c r="AX1485" s="10"/>
      <c r="AY1485" s="10"/>
      <c r="AZ1485" s="10"/>
      <c r="BA1485" s="10"/>
      <c r="BB1485" s="10"/>
      <c r="BC1485" s="10"/>
      <c r="BD1485" s="10"/>
      <c r="BE1485" s="10"/>
      <c r="BF1485" s="10"/>
      <c r="BG1485" s="10"/>
      <c r="BH1485" s="10"/>
      <c r="BI1485" s="10"/>
      <c r="BJ1485" s="10"/>
      <c r="BK1485" s="10"/>
      <c r="BL1485" s="10"/>
      <c r="BM1485" s="10"/>
      <c r="BN1485" s="10"/>
      <c r="BO1485" s="10"/>
      <c r="BP1485" s="10"/>
      <c r="BQ1485" s="10"/>
      <c r="BR1485" s="10"/>
      <c r="BS1485" s="10"/>
      <c r="BT1485" s="10"/>
      <c r="BU1485" s="10"/>
    </row>
    <row r="1486" spans="1:73" ht="18" x14ac:dyDescent="0.35">
      <c r="A1486" s="43"/>
      <c r="C1486" s="393"/>
      <c r="E1486" s="394"/>
      <c r="F1486" s="394">
        <v>0</v>
      </c>
      <c r="G1486" s="394"/>
      <c r="H1486" s="8" t="s">
        <v>235</v>
      </c>
      <c r="I1486" s="368">
        <f t="shared" si="70"/>
        <v>0</v>
      </c>
      <c r="J1486" s="365">
        <f t="shared" si="69"/>
        <v>0</v>
      </c>
      <c r="K1486" s="369">
        <f t="shared" si="71"/>
        <v>6</v>
      </c>
      <c r="L1486" s="369">
        <f>+IF((C1486&gt;='Resultats - informe'!$E$16)*(C1486&lt;='Resultats - informe'!$G$16),1,0)</f>
        <v>1</v>
      </c>
      <c r="M1486" s="369" cm="1">
        <f t="array" ref="M1486">+_xlfn.IFS((C1486&gt;='Resultats - informe'!$D$26)*(C1486&lt;='Resultats - informe'!$E$26),0,(C1486&gt;='Resultats - informe'!$D$27)*(C1486&lt;='Resultats - informe'!$E$27),0,(C1486&gt;='Resultats - informe'!$D$28)*(C1486&lt;='Resultats - informe'!$E$28),0,(C1486&gt;='Resultats - informe'!$D$29)*(C1486&lt;='Resultats - informe'!$E$29),0,1,1)</f>
        <v>0</v>
      </c>
      <c r="N1486" s="366">
        <f>+VLOOKUP(D1486,'Resultats - informe'!$Y$18:$AG$42,'Introducció dades consum'!K1486+1,0)</f>
        <v>0</v>
      </c>
      <c r="O1486" s="370" cm="1">
        <f t="array" ref="O1486">+_xlfn.SWITCH(MONTH(C1486),1,1,2,1,3,1,4,2,5,2,6,3,7,3,8,3,9,3,10,2,11,2,12,1,2)</f>
        <v>1</v>
      </c>
      <c r="P1486" s="43"/>
      <c r="AS1486" s="10"/>
      <c r="AT1486" s="10"/>
      <c r="AU1486" s="10"/>
      <c r="AV1486" s="10"/>
      <c r="AW1486" s="10"/>
      <c r="AX1486" s="10"/>
      <c r="AY1486" s="10"/>
      <c r="AZ1486" s="10"/>
      <c r="BA1486" s="10"/>
      <c r="BB1486" s="10"/>
      <c r="BC1486" s="10"/>
      <c r="BD1486" s="10"/>
      <c r="BE1486" s="10"/>
      <c r="BF1486" s="10"/>
      <c r="BG1486" s="10"/>
      <c r="BH1486" s="10"/>
      <c r="BI1486" s="10"/>
      <c r="BJ1486" s="10"/>
      <c r="BK1486" s="10"/>
      <c r="BL1486" s="10"/>
      <c r="BM1486" s="10"/>
      <c r="BN1486" s="10"/>
      <c r="BO1486" s="10"/>
      <c r="BP1486" s="10"/>
      <c r="BQ1486" s="10"/>
      <c r="BR1486" s="10"/>
      <c r="BS1486" s="10"/>
      <c r="BT1486" s="10"/>
      <c r="BU1486" s="10"/>
    </row>
    <row r="1487" spans="1:73" ht="18" x14ac:dyDescent="0.35">
      <c r="A1487" s="43"/>
      <c r="C1487" s="393"/>
      <c r="E1487" s="394"/>
      <c r="F1487" s="394">
        <v>0</v>
      </c>
      <c r="G1487" s="394"/>
      <c r="H1487" s="8" t="s">
        <v>235</v>
      </c>
      <c r="I1487" s="368">
        <f t="shared" si="70"/>
        <v>0</v>
      </c>
      <c r="J1487" s="365">
        <f t="shared" si="69"/>
        <v>0</v>
      </c>
      <c r="K1487" s="369">
        <f t="shared" si="71"/>
        <v>6</v>
      </c>
      <c r="L1487" s="369">
        <f>+IF((C1487&gt;='Resultats - informe'!$E$16)*(C1487&lt;='Resultats - informe'!$G$16),1,0)</f>
        <v>1</v>
      </c>
      <c r="M1487" s="369" cm="1">
        <f t="array" ref="M1487">+_xlfn.IFS((C1487&gt;='Resultats - informe'!$D$26)*(C1487&lt;='Resultats - informe'!$E$26),0,(C1487&gt;='Resultats - informe'!$D$27)*(C1487&lt;='Resultats - informe'!$E$27),0,(C1487&gt;='Resultats - informe'!$D$28)*(C1487&lt;='Resultats - informe'!$E$28),0,(C1487&gt;='Resultats - informe'!$D$29)*(C1487&lt;='Resultats - informe'!$E$29),0,1,1)</f>
        <v>0</v>
      </c>
      <c r="N1487" s="366">
        <f>+VLOOKUP(D1487,'Resultats - informe'!$Y$18:$AG$42,'Introducció dades consum'!K1487+1,0)</f>
        <v>0</v>
      </c>
      <c r="O1487" s="370" cm="1">
        <f t="array" ref="O1487">+_xlfn.SWITCH(MONTH(C1487),1,1,2,1,3,1,4,2,5,2,6,3,7,3,8,3,9,3,10,2,11,2,12,1,2)</f>
        <v>1</v>
      </c>
      <c r="P1487" s="43"/>
      <c r="AS1487" s="10"/>
      <c r="AT1487" s="10"/>
      <c r="AU1487" s="10"/>
      <c r="AV1487" s="10"/>
      <c r="AW1487" s="10"/>
      <c r="AX1487" s="10"/>
      <c r="AY1487" s="10"/>
      <c r="AZ1487" s="10"/>
      <c r="BA1487" s="10"/>
      <c r="BB1487" s="10"/>
      <c r="BC1487" s="10"/>
      <c r="BD1487" s="10"/>
      <c r="BE1487" s="10"/>
      <c r="BF1487" s="10"/>
      <c r="BG1487" s="10"/>
      <c r="BH1487" s="10"/>
      <c r="BI1487" s="10"/>
      <c r="BJ1487" s="10"/>
      <c r="BK1487" s="10"/>
      <c r="BL1487" s="10"/>
      <c r="BM1487" s="10"/>
      <c r="BN1487" s="10"/>
      <c r="BO1487" s="10"/>
      <c r="BP1487" s="10"/>
      <c r="BQ1487" s="10"/>
      <c r="BR1487" s="10"/>
      <c r="BS1487" s="10"/>
      <c r="BT1487" s="10"/>
      <c r="BU1487" s="10"/>
    </row>
    <row r="1488" spans="1:73" ht="18" x14ac:dyDescent="0.35">
      <c r="A1488" s="43"/>
      <c r="C1488" s="393"/>
      <c r="E1488" s="394"/>
      <c r="F1488" s="394">
        <v>0</v>
      </c>
      <c r="G1488" s="394"/>
      <c r="H1488" s="8" t="s">
        <v>235</v>
      </c>
      <c r="I1488" s="368">
        <f t="shared" si="70"/>
        <v>0</v>
      </c>
      <c r="J1488" s="365">
        <f t="shared" si="69"/>
        <v>0</v>
      </c>
      <c r="K1488" s="369">
        <f t="shared" si="71"/>
        <v>6</v>
      </c>
      <c r="L1488" s="369">
        <f>+IF((C1488&gt;='Resultats - informe'!$E$16)*(C1488&lt;='Resultats - informe'!$G$16),1,0)</f>
        <v>1</v>
      </c>
      <c r="M1488" s="369" cm="1">
        <f t="array" ref="M1488">+_xlfn.IFS((C1488&gt;='Resultats - informe'!$D$26)*(C1488&lt;='Resultats - informe'!$E$26),0,(C1488&gt;='Resultats - informe'!$D$27)*(C1488&lt;='Resultats - informe'!$E$27),0,(C1488&gt;='Resultats - informe'!$D$28)*(C1488&lt;='Resultats - informe'!$E$28),0,(C1488&gt;='Resultats - informe'!$D$29)*(C1488&lt;='Resultats - informe'!$E$29),0,1,1)</f>
        <v>0</v>
      </c>
      <c r="N1488" s="366">
        <f>+VLOOKUP(D1488,'Resultats - informe'!$Y$18:$AG$42,'Introducció dades consum'!K1488+1,0)</f>
        <v>0</v>
      </c>
      <c r="O1488" s="370" cm="1">
        <f t="array" ref="O1488">+_xlfn.SWITCH(MONTH(C1488),1,1,2,1,3,1,4,2,5,2,6,3,7,3,8,3,9,3,10,2,11,2,12,1,2)</f>
        <v>1</v>
      </c>
      <c r="P1488" s="43"/>
      <c r="AS1488" s="10"/>
      <c r="AT1488" s="10"/>
      <c r="AU1488" s="10"/>
      <c r="AV1488" s="10"/>
      <c r="AW1488" s="10"/>
      <c r="AX1488" s="10"/>
      <c r="AY1488" s="10"/>
      <c r="AZ1488" s="10"/>
      <c r="BA1488" s="10"/>
      <c r="BB1488" s="10"/>
      <c r="BC1488" s="10"/>
      <c r="BD1488" s="10"/>
      <c r="BE1488" s="10"/>
      <c r="BF1488" s="10"/>
      <c r="BG1488" s="10"/>
      <c r="BH1488" s="10"/>
      <c r="BI1488" s="10"/>
      <c r="BJ1488" s="10"/>
      <c r="BK1488" s="10"/>
      <c r="BL1488" s="10"/>
      <c r="BM1488" s="10"/>
      <c r="BN1488" s="10"/>
      <c r="BO1488" s="10"/>
      <c r="BP1488" s="10"/>
      <c r="BQ1488" s="10"/>
      <c r="BR1488" s="10"/>
      <c r="BS1488" s="10"/>
      <c r="BT1488" s="10"/>
      <c r="BU1488" s="10"/>
    </row>
    <row r="1489" spans="1:73" ht="18" x14ac:dyDescent="0.35">
      <c r="A1489" s="43"/>
      <c r="C1489" s="393"/>
      <c r="E1489" s="394"/>
      <c r="F1489" s="394">
        <v>0</v>
      </c>
      <c r="G1489" s="394"/>
      <c r="H1489" s="8" t="s">
        <v>235</v>
      </c>
      <c r="I1489" s="368">
        <f t="shared" si="70"/>
        <v>0</v>
      </c>
      <c r="J1489" s="365">
        <f t="shared" si="69"/>
        <v>0</v>
      </c>
      <c r="K1489" s="369">
        <f t="shared" si="71"/>
        <v>6</v>
      </c>
      <c r="L1489" s="369">
        <f>+IF((C1489&gt;='Resultats - informe'!$E$16)*(C1489&lt;='Resultats - informe'!$G$16),1,0)</f>
        <v>1</v>
      </c>
      <c r="M1489" s="369" cm="1">
        <f t="array" ref="M1489">+_xlfn.IFS((C1489&gt;='Resultats - informe'!$D$26)*(C1489&lt;='Resultats - informe'!$E$26),0,(C1489&gt;='Resultats - informe'!$D$27)*(C1489&lt;='Resultats - informe'!$E$27),0,(C1489&gt;='Resultats - informe'!$D$28)*(C1489&lt;='Resultats - informe'!$E$28),0,(C1489&gt;='Resultats - informe'!$D$29)*(C1489&lt;='Resultats - informe'!$E$29),0,1,1)</f>
        <v>0</v>
      </c>
      <c r="N1489" s="366">
        <f>+VLOOKUP(D1489,'Resultats - informe'!$Y$18:$AG$42,'Introducció dades consum'!K1489+1,0)</f>
        <v>0</v>
      </c>
      <c r="O1489" s="370" cm="1">
        <f t="array" ref="O1489">+_xlfn.SWITCH(MONTH(C1489),1,1,2,1,3,1,4,2,5,2,6,3,7,3,8,3,9,3,10,2,11,2,12,1,2)</f>
        <v>1</v>
      </c>
      <c r="P1489" s="43"/>
      <c r="AS1489" s="10"/>
      <c r="AT1489" s="10"/>
      <c r="AU1489" s="10"/>
      <c r="AV1489" s="10"/>
      <c r="AW1489" s="10"/>
      <c r="AX1489" s="10"/>
      <c r="AY1489" s="10"/>
      <c r="AZ1489" s="10"/>
      <c r="BA1489" s="10"/>
      <c r="BB1489" s="10"/>
      <c r="BC1489" s="10"/>
      <c r="BD1489" s="10"/>
      <c r="BE1489" s="10"/>
      <c r="BF1489" s="10"/>
      <c r="BG1489" s="10"/>
      <c r="BH1489" s="10"/>
      <c r="BI1489" s="10"/>
      <c r="BJ1489" s="10"/>
      <c r="BK1489" s="10"/>
      <c r="BL1489" s="10"/>
      <c r="BM1489" s="10"/>
      <c r="BN1489" s="10"/>
      <c r="BO1489" s="10"/>
      <c r="BP1489" s="10"/>
      <c r="BQ1489" s="10"/>
      <c r="BR1489" s="10"/>
      <c r="BS1489" s="10"/>
      <c r="BT1489" s="10"/>
      <c r="BU1489" s="10"/>
    </row>
    <row r="1490" spans="1:73" ht="18" x14ac:dyDescent="0.35">
      <c r="A1490" s="43"/>
      <c r="C1490" s="393"/>
      <c r="E1490" s="394"/>
      <c r="F1490" s="394">
        <v>0</v>
      </c>
      <c r="G1490" s="394"/>
      <c r="H1490" s="8" t="s">
        <v>235</v>
      </c>
      <c r="I1490" s="368">
        <f t="shared" si="70"/>
        <v>0</v>
      </c>
      <c r="J1490" s="365">
        <f t="shared" si="69"/>
        <v>0</v>
      </c>
      <c r="K1490" s="369">
        <f t="shared" si="71"/>
        <v>6</v>
      </c>
      <c r="L1490" s="369">
        <f>+IF((C1490&gt;='Resultats - informe'!$E$16)*(C1490&lt;='Resultats - informe'!$G$16),1,0)</f>
        <v>1</v>
      </c>
      <c r="M1490" s="369" cm="1">
        <f t="array" ref="M1490">+_xlfn.IFS((C1490&gt;='Resultats - informe'!$D$26)*(C1490&lt;='Resultats - informe'!$E$26),0,(C1490&gt;='Resultats - informe'!$D$27)*(C1490&lt;='Resultats - informe'!$E$27),0,(C1490&gt;='Resultats - informe'!$D$28)*(C1490&lt;='Resultats - informe'!$E$28),0,(C1490&gt;='Resultats - informe'!$D$29)*(C1490&lt;='Resultats - informe'!$E$29),0,1,1)</f>
        <v>0</v>
      </c>
      <c r="N1490" s="366">
        <f>+VLOOKUP(D1490,'Resultats - informe'!$Y$18:$AG$42,'Introducció dades consum'!K1490+1,0)</f>
        <v>0</v>
      </c>
      <c r="O1490" s="370" cm="1">
        <f t="array" ref="O1490">+_xlfn.SWITCH(MONTH(C1490),1,1,2,1,3,1,4,2,5,2,6,3,7,3,8,3,9,3,10,2,11,2,12,1,2)</f>
        <v>1</v>
      </c>
      <c r="P1490" s="43"/>
      <c r="AS1490" s="10"/>
      <c r="AT1490" s="10"/>
      <c r="AU1490" s="10"/>
      <c r="AV1490" s="10"/>
      <c r="AW1490" s="10"/>
      <c r="AX1490" s="10"/>
      <c r="AY1490" s="10"/>
      <c r="AZ1490" s="10"/>
      <c r="BA1490" s="10"/>
      <c r="BB1490" s="10"/>
      <c r="BC1490" s="10"/>
      <c r="BD1490" s="10"/>
      <c r="BE1490" s="10"/>
      <c r="BF1490" s="10"/>
      <c r="BG1490" s="10"/>
      <c r="BH1490" s="10"/>
      <c r="BI1490" s="10"/>
      <c r="BJ1490" s="10"/>
      <c r="BK1490" s="10"/>
      <c r="BL1490" s="10"/>
      <c r="BM1490" s="10"/>
      <c r="BN1490" s="10"/>
      <c r="BO1490" s="10"/>
      <c r="BP1490" s="10"/>
      <c r="BQ1490" s="10"/>
      <c r="BR1490" s="10"/>
      <c r="BS1490" s="10"/>
      <c r="BT1490" s="10"/>
      <c r="BU1490" s="10"/>
    </row>
    <row r="1491" spans="1:73" ht="18" x14ac:dyDescent="0.35">
      <c r="A1491" s="43"/>
      <c r="C1491" s="393"/>
      <c r="E1491" s="394"/>
      <c r="F1491" s="394">
        <v>0</v>
      </c>
      <c r="G1491" s="394"/>
      <c r="H1491" s="8" t="s">
        <v>235</v>
      </c>
      <c r="I1491" s="368">
        <f t="shared" si="70"/>
        <v>0</v>
      </c>
      <c r="J1491" s="365">
        <f t="shared" si="69"/>
        <v>0</v>
      </c>
      <c r="K1491" s="369">
        <f t="shared" si="71"/>
        <v>6</v>
      </c>
      <c r="L1491" s="369">
        <f>+IF((C1491&gt;='Resultats - informe'!$E$16)*(C1491&lt;='Resultats - informe'!$G$16),1,0)</f>
        <v>1</v>
      </c>
      <c r="M1491" s="369" cm="1">
        <f t="array" ref="M1491">+_xlfn.IFS((C1491&gt;='Resultats - informe'!$D$26)*(C1491&lt;='Resultats - informe'!$E$26),0,(C1491&gt;='Resultats - informe'!$D$27)*(C1491&lt;='Resultats - informe'!$E$27),0,(C1491&gt;='Resultats - informe'!$D$28)*(C1491&lt;='Resultats - informe'!$E$28),0,(C1491&gt;='Resultats - informe'!$D$29)*(C1491&lt;='Resultats - informe'!$E$29),0,1,1)</f>
        <v>0</v>
      </c>
      <c r="N1491" s="366">
        <f>+VLOOKUP(D1491,'Resultats - informe'!$Y$18:$AG$42,'Introducció dades consum'!K1491+1,0)</f>
        <v>0</v>
      </c>
      <c r="O1491" s="370" cm="1">
        <f t="array" ref="O1491">+_xlfn.SWITCH(MONTH(C1491),1,1,2,1,3,1,4,2,5,2,6,3,7,3,8,3,9,3,10,2,11,2,12,1,2)</f>
        <v>1</v>
      </c>
      <c r="P1491" s="43"/>
      <c r="AS1491" s="10"/>
      <c r="AT1491" s="10"/>
      <c r="AU1491" s="10"/>
      <c r="AV1491" s="10"/>
      <c r="AW1491" s="10"/>
      <c r="AX1491" s="10"/>
      <c r="AY1491" s="10"/>
      <c r="AZ1491" s="10"/>
      <c r="BA1491" s="10"/>
      <c r="BB1491" s="10"/>
      <c r="BC1491" s="10"/>
      <c r="BD1491" s="10"/>
      <c r="BE1491" s="10"/>
      <c r="BF1491" s="10"/>
      <c r="BG1491" s="10"/>
      <c r="BH1491" s="10"/>
      <c r="BI1491" s="10"/>
      <c r="BJ1491" s="10"/>
      <c r="BK1491" s="10"/>
      <c r="BL1491" s="10"/>
      <c r="BM1491" s="10"/>
      <c r="BN1491" s="10"/>
      <c r="BO1491" s="10"/>
      <c r="BP1491" s="10"/>
      <c r="BQ1491" s="10"/>
      <c r="BR1491" s="10"/>
      <c r="BS1491" s="10"/>
      <c r="BT1491" s="10"/>
      <c r="BU1491" s="10"/>
    </row>
    <row r="1492" spans="1:73" ht="18" x14ac:dyDescent="0.35">
      <c r="A1492" s="43"/>
      <c r="C1492" s="393"/>
      <c r="E1492" s="394"/>
      <c r="F1492" s="394">
        <v>0</v>
      </c>
      <c r="G1492" s="394"/>
      <c r="H1492" s="8" t="s">
        <v>235</v>
      </c>
      <c r="I1492" s="368">
        <f t="shared" si="70"/>
        <v>0</v>
      </c>
      <c r="J1492" s="365">
        <f t="shared" si="69"/>
        <v>0</v>
      </c>
      <c r="K1492" s="369">
        <f t="shared" si="71"/>
        <v>6</v>
      </c>
      <c r="L1492" s="369">
        <f>+IF((C1492&gt;='Resultats - informe'!$E$16)*(C1492&lt;='Resultats - informe'!$G$16),1,0)</f>
        <v>1</v>
      </c>
      <c r="M1492" s="369" cm="1">
        <f t="array" ref="M1492">+_xlfn.IFS((C1492&gt;='Resultats - informe'!$D$26)*(C1492&lt;='Resultats - informe'!$E$26),0,(C1492&gt;='Resultats - informe'!$D$27)*(C1492&lt;='Resultats - informe'!$E$27),0,(C1492&gt;='Resultats - informe'!$D$28)*(C1492&lt;='Resultats - informe'!$E$28),0,(C1492&gt;='Resultats - informe'!$D$29)*(C1492&lt;='Resultats - informe'!$E$29),0,1,1)</f>
        <v>0</v>
      </c>
      <c r="N1492" s="366">
        <f>+VLOOKUP(D1492,'Resultats - informe'!$Y$18:$AG$42,'Introducció dades consum'!K1492+1,0)</f>
        <v>0</v>
      </c>
      <c r="O1492" s="370" cm="1">
        <f t="array" ref="O1492">+_xlfn.SWITCH(MONTH(C1492),1,1,2,1,3,1,4,2,5,2,6,3,7,3,8,3,9,3,10,2,11,2,12,1,2)</f>
        <v>1</v>
      </c>
      <c r="P1492" s="43"/>
      <c r="AS1492" s="10"/>
      <c r="AT1492" s="10"/>
      <c r="AU1492" s="10"/>
      <c r="AV1492" s="10"/>
      <c r="AW1492" s="10"/>
      <c r="AX1492" s="10"/>
      <c r="AY1492" s="10"/>
      <c r="AZ1492" s="10"/>
      <c r="BA1492" s="10"/>
      <c r="BB1492" s="10"/>
      <c r="BC1492" s="10"/>
      <c r="BD1492" s="10"/>
      <c r="BE1492" s="10"/>
      <c r="BF1492" s="10"/>
      <c r="BG1492" s="10"/>
      <c r="BH1492" s="10"/>
      <c r="BI1492" s="10"/>
      <c r="BJ1492" s="10"/>
      <c r="BK1492" s="10"/>
      <c r="BL1492" s="10"/>
      <c r="BM1492" s="10"/>
      <c r="BN1492" s="10"/>
      <c r="BO1492" s="10"/>
      <c r="BP1492" s="10"/>
      <c r="BQ1492" s="10"/>
      <c r="BR1492" s="10"/>
      <c r="BS1492" s="10"/>
      <c r="BT1492" s="10"/>
      <c r="BU1492" s="10"/>
    </row>
    <row r="1493" spans="1:73" ht="18" x14ac:dyDescent="0.35">
      <c r="A1493" s="43"/>
      <c r="C1493" s="393"/>
      <c r="E1493" s="394"/>
      <c r="F1493" s="394">
        <v>0</v>
      </c>
      <c r="G1493" s="394"/>
      <c r="H1493" s="8" t="s">
        <v>235</v>
      </c>
      <c r="I1493" s="368">
        <f t="shared" si="70"/>
        <v>0</v>
      </c>
      <c r="J1493" s="365">
        <f t="shared" si="69"/>
        <v>0</v>
      </c>
      <c r="K1493" s="369">
        <f t="shared" si="71"/>
        <v>6</v>
      </c>
      <c r="L1493" s="369">
        <f>+IF((C1493&gt;='Resultats - informe'!$E$16)*(C1493&lt;='Resultats - informe'!$G$16),1,0)</f>
        <v>1</v>
      </c>
      <c r="M1493" s="369" cm="1">
        <f t="array" ref="M1493">+_xlfn.IFS((C1493&gt;='Resultats - informe'!$D$26)*(C1493&lt;='Resultats - informe'!$E$26),0,(C1493&gt;='Resultats - informe'!$D$27)*(C1493&lt;='Resultats - informe'!$E$27),0,(C1493&gt;='Resultats - informe'!$D$28)*(C1493&lt;='Resultats - informe'!$E$28),0,(C1493&gt;='Resultats - informe'!$D$29)*(C1493&lt;='Resultats - informe'!$E$29),0,1,1)</f>
        <v>0</v>
      </c>
      <c r="N1493" s="366">
        <f>+VLOOKUP(D1493,'Resultats - informe'!$Y$18:$AG$42,'Introducció dades consum'!K1493+1,0)</f>
        <v>0</v>
      </c>
      <c r="O1493" s="370" cm="1">
        <f t="array" ref="O1493">+_xlfn.SWITCH(MONTH(C1493),1,1,2,1,3,1,4,2,5,2,6,3,7,3,8,3,9,3,10,2,11,2,12,1,2)</f>
        <v>1</v>
      </c>
      <c r="P1493" s="43"/>
      <c r="AS1493" s="10"/>
      <c r="AT1493" s="10"/>
      <c r="AU1493" s="10"/>
      <c r="AV1493" s="10"/>
      <c r="AW1493" s="10"/>
      <c r="AX1493" s="10"/>
      <c r="AY1493" s="10"/>
      <c r="AZ1493" s="10"/>
      <c r="BA1493" s="10"/>
      <c r="BB1493" s="10"/>
      <c r="BC1493" s="10"/>
      <c r="BD1493" s="10"/>
      <c r="BE1493" s="10"/>
      <c r="BF1493" s="10"/>
      <c r="BG1493" s="10"/>
      <c r="BH1493" s="10"/>
      <c r="BI1493" s="10"/>
      <c r="BJ1493" s="10"/>
      <c r="BK1493" s="10"/>
      <c r="BL1493" s="10"/>
      <c r="BM1493" s="10"/>
      <c r="BN1493" s="10"/>
      <c r="BO1493" s="10"/>
      <c r="BP1493" s="10"/>
      <c r="BQ1493" s="10"/>
      <c r="BR1493" s="10"/>
      <c r="BS1493" s="10"/>
      <c r="BT1493" s="10"/>
      <c r="BU1493" s="10"/>
    </row>
    <row r="1494" spans="1:73" ht="18" x14ac:dyDescent="0.35">
      <c r="A1494" s="43"/>
      <c r="C1494" s="393"/>
      <c r="E1494" s="394"/>
      <c r="F1494" s="394">
        <v>0</v>
      </c>
      <c r="G1494" s="394"/>
      <c r="H1494" s="8" t="s">
        <v>235</v>
      </c>
      <c r="I1494" s="368">
        <f t="shared" si="70"/>
        <v>0</v>
      </c>
      <c r="J1494" s="365">
        <f t="shared" si="69"/>
        <v>0</v>
      </c>
      <c r="K1494" s="369">
        <f t="shared" si="71"/>
        <v>6</v>
      </c>
      <c r="L1494" s="369">
        <f>+IF((C1494&gt;='Resultats - informe'!$E$16)*(C1494&lt;='Resultats - informe'!$G$16),1,0)</f>
        <v>1</v>
      </c>
      <c r="M1494" s="369" cm="1">
        <f t="array" ref="M1494">+_xlfn.IFS((C1494&gt;='Resultats - informe'!$D$26)*(C1494&lt;='Resultats - informe'!$E$26),0,(C1494&gt;='Resultats - informe'!$D$27)*(C1494&lt;='Resultats - informe'!$E$27),0,(C1494&gt;='Resultats - informe'!$D$28)*(C1494&lt;='Resultats - informe'!$E$28),0,(C1494&gt;='Resultats - informe'!$D$29)*(C1494&lt;='Resultats - informe'!$E$29),0,1,1)</f>
        <v>0</v>
      </c>
      <c r="N1494" s="366">
        <f>+VLOOKUP(D1494,'Resultats - informe'!$Y$18:$AG$42,'Introducció dades consum'!K1494+1,0)</f>
        <v>0</v>
      </c>
      <c r="O1494" s="370" cm="1">
        <f t="array" ref="O1494">+_xlfn.SWITCH(MONTH(C1494),1,1,2,1,3,1,4,2,5,2,6,3,7,3,8,3,9,3,10,2,11,2,12,1,2)</f>
        <v>1</v>
      </c>
      <c r="P1494" s="43"/>
      <c r="AS1494" s="10"/>
      <c r="AT1494" s="10"/>
      <c r="AU1494" s="10"/>
      <c r="AV1494" s="10"/>
      <c r="AW1494" s="10"/>
      <c r="AX1494" s="10"/>
      <c r="AY1494" s="10"/>
      <c r="AZ1494" s="10"/>
      <c r="BA1494" s="10"/>
      <c r="BB1494" s="10"/>
      <c r="BC1494" s="10"/>
      <c r="BD1494" s="10"/>
      <c r="BE1494" s="10"/>
      <c r="BF1494" s="10"/>
      <c r="BG1494" s="10"/>
      <c r="BH1494" s="10"/>
      <c r="BI1494" s="10"/>
      <c r="BJ1494" s="10"/>
      <c r="BK1494" s="10"/>
      <c r="BL1494" s="10"/>
      <c r="BM1494" s="10"/>
      <c r="BN1494" s="10"/>
      <c r="BO1494" s="10"/>
      <c r="BP1494" s="10"/>
      <c r="BQ1494" s="10"/>
      <c r="BR1494" s="10"/>
      <c r="BS1494" s="10"/>
      <c r="BT1494" s="10"/>
      <c r="BU1494" s="10"/>
    </row>
    <row r="1495" spans="1:73" ht="18" x14ac:dyDescent="0.35">
      <c r="A1495" s="43"/>
      <c r="C1495" s="393"/>
      <c r="E1495" s="394"/>
      <c r="F1495" s="394">
        <v>0</v>
      </c>
      <c r="G1495" s="394"/>
      <c r="H1495" s="8" t="s">
        <v>235</v>
      </c>
      <c r="I1495" s="368">
        <f t="shared" si="70"/>
        <v>0</v>
      </c>
      <c r="J1495" s="365">
        <f t="shared" si="69"/>
        <v>0</v>
      </c>
      <c r="K1495" s="369">
        <f t="shared" si="71"/>
        <v>6</v>
      </c>
      <c r="L1495" s="369">
        <f>+IF((C1495&gt;='Resultats - informe'!$E$16)*(C1495&lt;='Resultats - informe'!$G$16),1,0)</f>
        <v>1</v>
      </c>
      <c r="M1495" s="369" cm="1">
        <f t="array" ref="M1495">+_xlfn.IFS((C1495&gt;='Resultats - informe'!$D$26)*(C1495&lt;='Resultats - informe'!$E$26),0,(C1495&gt;='Resultats - informe'!$D$27)*(C1495&lt;='Resultats - informe'!$E$27),0,(C1495&gt;='Resultats - informe'!$D$28)*(C1495&lt;='Resultats - informe'!$E$28),0,(C1495&gt;='Resultats - informe'!$D$29)*(C1495&lt;='Resultats - informe'!$E$29),0,1,1)</f>
        <v>0</v>
      </c>
      <c r="N1495" s="366">
        <f>+VLOOKUP(D1495,'Resultats - informe'!$Y$18:$AG$42,'Introducció dades consum'!K1495+1,0)</f>
        <v>0</v>
      </c>
      <c r="O1495" s="370" cm="1">
        <f t="array" ref="O1495">+_xlfn.SWITCH(MONTH(C1495),1,1,2,1,3,1,4,2,5,2,6,3,7,3,8,3,9,3,10,2,11,2,12,1,2)</f>
        <v>1</v>
      </c>
      <c r="P1495" s="43"/>
      <c r="AS1495" s="10"/>
      <c r="AT1495" s="10"/>
      <c r="AU1495" s="10"/>
      <c r="AV1495" s="10"/>
      <c r="AW1495" s="10"/>
      <c r="AX1495" s="10"/>
      <c r="AY1495" s="10"/>
      <c r="AZ1495" s="10"/>
      <c r="BA1495" s="10"/>
      <c r="BB1495" s="10"/>
      <c r="BC1495" s="10"/>
      <c r="BD1495" s="10"/>
      <c r="BE1495" s="10"/>
      <c r="BF1495" s="10"/>
      <c r="BG1495" s="10"/>
      <c r="BH1495" s="10"/>
      <c r="BI1495" s="10"/>
      <c r="BJ1495" s="10"/>
      <c r="BK1495" s="10"/>
      <c r="BL1495" s="10"/>
      <c r="BM1495" s="10"/>
      <c r="BN1495" s="10"/>
      <c r="BO1495" s="10"/>
      <c r="BP1495" s="10"/>
      <c r="BQ1495" s="10"/>
      <c r="BR1495" s="10"/>
      <c r="BS1495" s="10"/>
      <c r="BT1495" s="10"/>
      <c r="BU1495" s="10"/>
    </row>
    <row r="1496" spans="1:73" ht="18" x14ac:dyDescent="0.35">
      <c r="A1496" s="43"/>
      <c r="C1496" s="393"/>
      <c r="E1496" s="394"/>
      <c r="F1496" s="394">
        <v>0</v>
      </c>
      <c r="G1496" s="394"/>
      <c r="H1496" s="8" t="s">
        <v>235</v>
      </c>
      <c r="I1496" s="368">
        <f t="shared" si="70"/>
        <v>0</v>
      </c>
      <c r="J1496" s="365">
        <f t="shared" si="69"/>
        <v>0</v>
      </c>
      <c r="K1496" s="369">
        <f t="shared" si="71"/>
        <v>6</v>
      </c>
      <c r="L1496" s="369">
        <f>+IF((C1496&gt;='Resultats - informe'!$E$16)*(C1496&lt;='Resultats - informe'!$G$16),1,0)</f>
        <v>1</v>
      </c>
      <c r="M1496" s="369" cm="1">
        <f t="array" ref="M1496">+_xlfn.IFS((C1496&gt;='Resultats - informe'!$D$26)*(C1496&lt;='Resultats - informe'!$E$26),0,(C1496&gt;='Resultats - informe'!$D$27)*(C1496&lt;='Resultats - informe'!$E$27),0,(C1496&gt;='Resultats - informe'!$D$28)*(C1496&lt;='Resultats - informe'!$E$28),0,(C1496&gt;='Resultats - informe'!$D$29)*(C1496&lt;='Resultats - informe'!$E$29),0,1,1)</f>
        <v>0</v>
      </c>
      <c r="N1496" s="366">
        <f>+VLOOKUP(D1496,'Resultats - informe'!$Y$18:$AG$42,'Introducció dades consum'!K1496+1,0)</f>
        <v>0</v>
      </c>
      <c r="O1496" s="370" cm="1">
        <f t="array" ref="O1496">+_xlfn.SWITCH(MONTH(C1496),1,1,2,1,3,1,4,2,5,2,6,3,7,3,8,3,9,3,10,2,11,2,12,1,2)</f>
        <v>1</v>
      </c>
      <c r="P1496" s="43"/>
      <c r="AS1496" s="10"/>
      <c r="AT1496" s="10"/>
      <c r="AU1496" s="10"/>
      <c r="AV1496" s="10"/>
      <c r="AW1496" s="10"/>
      <c r="AX1496" s="10"/>
      <c r="AY1496" s="10"/>
      <c r="AZ1496" s="10"/>
      <c r="BA1496" s="10"/>
      <c r="BB1496" s="10"/>
      <c r="BC1496" s="10"/>
      <c r="BD1496" s="10"/>
      <c r="BE1496" s="10"/>
      <c r="BF1496" s="10"/>
      <c r="BG1496" s="10"/>
      <c r="BH1496" s="10"/>
      <c r="BI1496" s="10"/>
      <c r="BJ1496" s="10"/>
      <c r="BK1496" s="10"/>
      <c r="BL1496" s="10"/>
      <c r="BM1496" s="10"/>
      <c r="BN1496" s="10"/>
      <c r="BO1496" s="10"/>
      <c r="BP1496" s="10"/>
      <c r="BQ1496" s="10"/>
      <c r="BR1496" s="10"/>
      <c r="BS1496" s="10"/>
      <c r="BT1496" s="10"/>
      <c r="BU1496" s="10"/>
    </row>
    <row r="1497" spans="1:73" ht="18" x14ac:dyDescent="0.35">
      <c r="A1497" s="43"/>
      <c r="C1497" s="393"/>
      <c r="E1497" s="394"/>
      <c r="F1497" s="394">
        <v>0</v>
      </c>
      <c r="G1497" s="394"/>
      <c r="H1497" s="8" t="s">
        <v>235</v>
      </c>
      <c r="I1497" s="368">
        <f t="shared" si="70"/>
        <v>0</v>
      </c>
      <c r="J1497" s="365">
        <f t="shared" si="69"/>
        <v>0</v>
      </c>
      <c r="K1497" s="369">
        <f t="shared" si="71"/>
        <v>6</v>
      </c>
      <c r="L1497" s="369">
        <f>+IF((C1497&gt;='Resultats - informe'!$E$16)*(C1497&lt;='Resultats - informe'!$G$16),1,0)</f>
        <v>1</v>
      </c>
      <c r="M1497" s="369" cm="1">
        <f t="array" ref="M1497">+_xlfn.IFS((C1497&gt;='Resultats - informe'!$D$26)*(C1497&lt;='Resultats - informe'!$E$26),0,(C1497&gt;='Resultats - informe'!$D$27)*(C1497&lt;='Resultats - informe'!$E$27),0,(C1497&gt;='Resultats - informe'!$D$28)*(C1497&lt;='Resultats - informe'!$E$28),0,(C1497&gt;='Resultats - informe'!$D$29)*(C1497&lt;='Resultats - informe'!$E$29),0,1,1)</f>
        <v>0</v>
      </c>
      <c r="N1497" s="366">
        <f>+VLOOKUP(D1497,'Resultats - informe'!$Y$18:$AG$42,'Introducció dades consum'!K1497+1,0)</f>
        <v>0</v>
      </c>
      <c r="O1497" s="370" cm="1">
        <f t="array" ref="O1497">+_xlfn.SWITCH(MONTH(C1497),1,1,2,1,3,1,4,2,5,2,6,3,7,3,8,3,9,3,10,2,11,2,12,1,2)</f>
        <v>1</v>
      </c>
      <c r="P1497" s="43"/>
      <c r="AS1497" s="10"/>
      <c r="AT1497" s="10"/>
      <c r="AU1497" s="10"/>
      <c r="AV1497" s="10"/>
      <c r="AW1497" s="10"/>
      <c r="AX1497" s="10"/>
      <c r="AY1497" s="10"/>
      <c r="AZ1497" s="10"/>
      <c r="BA1497" s="10"/>
      <c r="BB1497" s="10"/>
      <c r="BC1497" s="10"/>
      <c r="BD1497" s="10"/>
      <c r="BE1497" s="10"/>
      <c r="BF1497" s="10"/>
      <c r="BG1497" s="10"/>
      <c r="BH1497" s="10"/>
      <c r="BI1497" s="10"/>
      <c r="BJ1497" s="10"/>
      <c r="BK1497" s="10"/>
      <c r="BL1497" s="10"/>
      <c r="BM1497" s="10"/>
      <c r="BN1497" s="10"/>
      <c r="BO1497" s="10"/>
      <c r="BP1497" s="10"/>
      <c r="BQ1497" s="10"/>
      <c r="BR1497" s="10"/>
      <c r="BS1497" s="10"/>
      <c r="BT1497" s="10"/>
      <c r="BU1497" s="10"/>
    </row>
    <row r="1498" spans="1:73" ht="18" x14ac:dyDescent="0.35">
      <c r="A1498" s="43"/>
      <c r="C1498" s="393"/>
      <c r="E1498" s="394"/>
      <c r="F1498" s="394">
        <v>0</v>
      </c>
      <c r="G1498" s="394"/>
      <c r="H1498" s="8" t="s">
        <v>235</v>
      </c>
      <c r="I1498" s="368">
        <f t="shared" si="70"/>
        <v>0</v>
      </c>
      <c r="J1498" s="365">
        <f t="shared" si="69"/>
        <v>0</v>
      </c>
      <c r="K1498" s="369">
        <f t="shared" si="71"/>
        <v>6</v>
      </c>
      <c r="L1498" s="369">
        <f>+IF((C1498&gt;='Resultats - informe'!$E$16)*(C1498&lt;='Resultats - informe'!$G$16),1,0)</f>
        <v>1</v>
      </c>
      <c r="M1498" s="369" cm="1">
        <f t="array" ref="M1498">+_xlfn.IFS((C1498&gt;='Resultats - informe'!$D$26)*(C1498&lt;='Resultats - informe'!$E$26),0,(C1498&gt;='Resultats - informe'!$D$27)*(C1498&lt;='Resultats - informe'!$E$27),0,(C1498&gt;='Resultats - informe'!$D$28)*(C1498&lt;='Resultats - informe'!$E$28),0,(C1498&gt;='Resultats - informe'!$D$29)*(C1498&lt;='Resultats - informe'!$E$29),0,1,1)</f>
        <v>0</v>
      </c>
      <c r="N1498" s="366">
        <f>+VLOOKUP(D1498,'Resultats - informe'!$Y$18:$AG$42,'Introducció dades consum'!K1498+1,0)</f>
        <v>0</v>
      </c>
      <c r="O1498" s="370" cm="1">
        <f t="array" ref="O1498">+_xlfn.SWITCH(MONTH(C1498),1,1,2,1,3,1,4,2,5,2,6,3,7,3,8,3,9,3,10,2,11,2,12,1,2)</f>
        <v>1</v>
      </c>
      <c r="P1498" s="43"/>
      <c r="AS1498" s="10"/>
      <c r="AT1498" s="10"/>
      <c r="AU1498" s="10"/>
      <c r="AV1498" s="10"/>
      <c r="AW1498" s="10"/>
      <c r="AX1498" s="10"/>
      <c r="AY1498" s="10"/>
      <c r="AZ1498" s="10"/>
      <c r="BA1498" s="10"/>
      <c r="BB1498" s="10"/>
      <c r="BC1498" s="10"/>
      <c r="BD1498" s="10"/>
      <c r="BE1498" s="10"/>
      <c r="BF1498" s="10"/>
      <c r="BG1498" s="10"/>
      <c r="BH1498" s="10"/>
      <c r="BI1498" s="10"/>
      <c r="BJ1498" s="10"/>
      <c r="BK1498" s="10"/>
      <c r="BL1498" s="10"/>
      <c r="BM1498" s="10"/>
      <c r="BN1498" s="10"/>
      <c r="BO1498" s="10"/>
      <c r="BP1498" s="10"/>
      <c r="BQ1498" s="10"/>
      <c r="BR1498" s="10"/>
      <c r="BS1498" s="10"/>
      <c r="BT1498" s="10"/>
      <c r="BU1498" s="10"/>
    </row>
    <row r="1499" spans="1:73" ht="18" x14ac:dyDescent="0.35">
      <c r="A1499" s="43"/>
      <c r="C1499" s="393"/>
      <c r="E1499" s="394"/>
      <c r="F1499" s="394">
        <v>0</v>
      </c>
      <c r="G1499" s="394"/>
      <c r="H1499" s="8" t="s">
        <v>235</v>
      </c>
      <c r="I1499" s="368">
        <f t="shared" si="70"/>
        <v>0</v>
      </c>
      <c r="J1499" s="365">
        <f t="shared" si="69"/>
        <v>0</v>
      </c>
      <c r="K1499" s="369">
        <f t="shared" si="71"/>
        <v>6</v>
      </c>
      <c r="L1499" s="369">
        <f>+IF((C1499&gt;='Resultats - informe'!$E$16)*(C1499&lt;='Resultats - informe'!$G$16),1,0)</f>
        <v>1</v>
      </c>
      <c r="M1499" s="369" cm="1">
        <f t="array" ref="M1499">+_xlfn.IFS((C1499&gt;='Resultats - informe'!$D$26)*(C1499&lt;='Resultats - informe'!$E$26),0,(C1499&gt;='Resultats - informe'!$D$27)*(C1499&lt;='Resultats - informe'!$E$27),0,(C1499&gt;='Resultats - informe'!$D$28)*(C1499&lt;='Resultats - informe'!$E$28),0,(C1499&gt;='Resultats - informe'!$D$29)*(C1499&lt;='Resultats - informe'!$E$29),0,1,1)</f>
        <v>0</v>
      </c>
      <c r="N1499" s="366">
        <f>+VLOOKUP(D1499,'Resultats - informe'!$Y$18:$AG$42,'Introducció dades consum'!K1499+1,0)</f>
        <v>0</v>
      </c>
      <c r="O1499" s="370" cm="1">
        <f t="array" ref="O1499">+_xlfn.SWITCH(MONTH(C1499),1,1,2,1,3,1,4,2,5,2,6,3,7,3,8,3,9,3,10,2,11,2,12,1,2)</f>
        <v>1</v>
      </c>
      <c r="P1499" s="43"/>
      <c r="AS1499" s="10"/>
      <c r="AT1499" s="10"/>
      <c r="AU1499" s="10"/>
      <c r="AV1499" s="10"/>
      <c r="AW1499" s="10"/>
      <c r="AX1499" s="10"/>
      <c r="AY1499" s="10"/>
      <c r="AZ1499" s="10"/>
      <c r="BA1499" s="10"/>
      <c r="BB1499" s="10"/>
      <c r="BC1499" s="10"/>
      <c r="BD1499" s="10"/>
      <c r="BE1499" s="10"/>
      <c r="BF1499" s="10"/>
      <c r="BG1499" s="10"/>
      <c r="BH1499" s="10"/>
      <c r="BI1499" s="10"/>
      <c r="BJ1499" s="10"/>
      <c r="BK1499" s="10"/>
      <c r="BL1499" s="10"/>
      <c r="BM1499" s="10"/>
      <c r="BN1499" s="10"/>
      <c r="BO1499" s="10"/>
      <c r="BP1499" s="10"/>
      <c r="BQ1499" s="10"/>
      <c r="BR1499" s="10"/>
      <c r="BS1499" s="10"/>
      <c r="BT1499" s="10"/>
      <c r="BU1499" s="10"/>
    </row>
    <row r="1500" spans="1:73" ht="18" x14ac:dyDescent="0.35">
      <c r="A1500" s="43"/>
      <c r="C1500" s="393"/>
      <c r="E1500" s="394"/>
      <c r="F1500" s="394">
        <v>0.69699999999999995</v>
      </c>
      <c r="G1500" s="394"/>
      <c r="H1500" s="8" t="s">
        <v>235</v>
      </c>
      <c r="I1500" s="368">
        <f t="shared" si="70"/>
        <v>0</v>
      </c>
      <c r="J1500" s="365">
        <f t="shared" si="69"/>
        <v>0</v>
      </c>
      <c r="K1500" s="369">
        <f t="shared" si="71"/>
        <v>6</v>
      </c>
      <c r="L1500" s="369">
        <f>+IF((C1500&gt;='Resultats - informe'!$E$16)*(C1500&lt;='Resultats - informe'!$G$16),1,0)</f>
        <v>1</v>
      </c>
      <c r="M1500" s="369" cm="1">
        <f t="array" ref="M1500">+_xlfn.IFS((C1500&gt;='Resultats - informe'!$D$26)*(C1500&lt;='Resultats - informe'!$E$26),0,(C1500&gt;='Resultats - informe'!$D$27)*(C1500&lt;='Resultats - informe'!$E$27),0,(C1500&gt;='Resultats - informe'!$D$28)*(C1500&lt;='Resultats - informe'!$E$28),0,(C1500&gt;='Resultats - informe'!$D$29)*(C1500&lt;='Resultats - informe'!$E$29),0,1,1)</f>
        <v>0</v>
      </c>
      <c r="N1500" s="366">
        <f>+VLOOKUP(D1500,'Resultats - informe'!$Y$18:$AG$42,'Introducció dades consum'!K1500+1,0)</f>
        <v>0</v>
      </c>
      <c r="O1500" s="370" cm="1">
        <f t="array" ref="O1500">+_xlfn.SWITCH(MONTH(C1500),1,1,2,1,3,1,4,2,5,2,6,3,7,3,8,3,9,3,10,2,11,2,12,1,2)</f>
        <v>1</v>
      </c>
      <c r="P1500" s="43"/>
      <c r="AS1500" s="10"/>
      <c r="AT1500" s="10"/>
      <c r="AU1500" s="10"/>
      <c r="AV1500" s="10"/>
      <c r="AW1500" s="10"/>
      <c r="AX1500" s="10"/>
      <c r="AY1500" s="10"/>
      <c r="AZ1500" s="10"/>
      <c r="BA1500" s="10"/>
      <c r="BB1500" s="10"/>
      <c r="BC1500" s="10"/>
      <c r="BD1500" s="10"/>
      <c r="BE1500" s="10"/>
      <c r="BF1500" s="10"/>
      <c r="BG1500" s="10"/>
      <c r="BH1500" s="10"/>
      <c r="BI1500" s="10"/>
      <c r="BJ1500" s="10"/>
      <c r="BK1500" s="10"/>
      <c r="BL1500" s="10"/>
      <c r="BM1500" s="10"/>
      <c r="BN1500" s="10"/>
      <c r="BO1500" s="10"/>
      <c r="BP1500" s="10"/>
      <c r="BQ1500" s="10"/>
      <c r="BR1500" s="10"/>
      <c r="BS1500" s="10"/>
      <c r="BT1500" s="10"/>
      <c r="BU1500" s="10"/>
    </row>
    <row r="1501" spans="1:73" ht="18" x14ac:dyDescent="0.35">
      <c r="A1501" s="43"/>
      <c r="C1501" s="393"/>
      <c r="E1501" s="394"/>
      <c r="F1501" s="394">
        <v>0.76200000000000001</v>
      </c>
      <c r="G1501" s="394"/>
      <c r="H1501" s="8" t="s">
        <v>235</v>
      </c>
      <c r="I1501" s="368">
        <f t="shared" si="70"/>
        <v>0</v>
      </c>
      <c r="J1501" s="365">
        <f t="shared" si="69"/>
        <v>0</v>
      </c>
      <c r="K1501" s="369">
        <f t="shared" si="71"/>
        <v>6</v>
      </c>
      <c r="L1501" s="369">
        <f>+IF((C1501&gt;='Resultats - informe'!$E$16)*(C1501&lt;='Resultats - informe'!$G$16),1,0)</f>
        <v>1</v>
      </c>
      <c r="M1501" s="369" cm="1">
        <f t="array" ref="M1501">+_xlfn.IFS((C1501&gt;='Resultats - informe'!$D$26)*(C1501&lt;='Resultats - informe'!$E$26),0,(C1501&gt;='Resultats - informe'!$D$27)*(C1501&lt;='Resultats - informe'!$E$27),0,(C1501&gt;='Resultats - informe'!$D$28)*(C1501&lt;='Resultats - informe'!$E$28),0,(C1501&gt;='Resultats - informe'!$D$29)*(C1501&lt;='Resultats - informe'!$E$29),0,1,1)</f>
        <v>0</v>
      </c>
      <c r="N1501" s="366">
        <f>+VLOOKUP(D1501,'Resultats - informe'!$Y$18:$AG$42,'Introducció dades consum'!K1501+1,0)</f>
        <v>0</v>
      </c>
      <c r="O1501" s="370" cm="1">
        <f t="array" ref="O1501">+_xlfn.SWITCH(MONTH(C1501),1,1,2,1,3,1,4,2,5,2,6,3,7,3,8,3,9,3,10,2,11,2,12,1,2)</f>
        <v>1</v>
      </c>
      <c r="P1501" s="43"/>
      <c r="AS1501" s="10"/>
      <c r="AT1501" s="10"/>
      <c r="AU1501" s="10"/>
      <c r="AV1501" s="10"/>
      <c r="AW1501" s="10"/>
      <c r="AX1501" s="10"/>
      <c r="AY1501" s="10"/>
      <c r="AZ1501" s="10"/>
      <c r="BA1501" s="10"/>
      <c r="BB1501" s="10"/>
      <c r="BC1501" s="10"/>
      <c r="BD1501" s="10"/>
      <c r="BE1501" s="10"/>
      <c r="BF1501" s="10"/>
      <c r="BG1501" s="10"/>
      <c r="BH1501" s="10"/>
      <c r="BI1501" s="10"/>
      <c r="BJ1501" s="10"/>
      <c r="BK1501" s="10"/>
      <c r="BL1501" s="10"/>
      <c r="BM1501" s="10"/>
      <c r="BN1501" s="10"/>
      <c r="BO1501" s="10"/>
      <c r="BP1501" s="10"/>
      <c r="BQ1501" s="10"/>
      <c r="BR1501" s="10"/>
      <c r="BS1501" s="10"/>
      <c r="BT1501" s="10"/>
      <c r="BU1501" s="10"/>
    </row>
    <row r="1502" spans="1:73" ht="18" x14ac:dyDescent="0.35">
      <c r="A1502" s="43"/>
      <c r="C1502" s="393"/>
      <c r="E1502" s="394"/>
      <c r="F1502" s="394">
        <v>2.3149999999999999</v>
      </c>
      <c r="G1502" s="394"/>
      <c r="H1502" s="8" t="s">
        <v>235</v>
      </c>
      <c r="I1502" s="368">
        <f t="shared" si="70"/>
        <v>0</v>
      </c>
      <c r="J1502" s="365">
        <f t="shared" si="69"/>
        <v>0</v>
      </c>
      <c r="K1502" s="369">
        <f t="shared" si="71"/>
        <v>6</v>
      </c>
      <c r="L1502" s="369">
        <f>+IF((C1502&gt;='Resultats - informe'!$E$16)*(C1502&lt;='Resultats - informe'!$G$16),1,0)</f>
        <v>1</v>
      </c>
      <c r="M1502" s="369" cm="1">
        <f t="array" ref="M1502">+_xlfn.IFS((C1502&gt;='Resultats - informe'!$D$26)*(C1502&lt;='Resultats - informe'!$E$26),0,(C1502&gt;='Resultats - informe'!$D$27)*(C1502&lt;='Resultats - informe'!$E$27),0,(C1502&gt;='Resultats - informe'!$D$28)*(C1502&lt;='Resultats - informe'!$E$28),0,(C1502&gt;='Resultats - informe'!$D$29)*(C1502&lt;='Resultats - informe'!$E$29),0,1,1)</f>
        <v>0</v>
      </c>
      <c r="N1502" s="366">
        <f>+VLOOKUP(D1502,'Resultats - informe'!$Y$18:$AG$42,'Introducció dades consum'!K1502+1,0)</f>
        <v>0</v>
      </c>
      <c r="O1502" s="370" cm="1">
        <f t="array" ref="O1502">+_xlfn.SWITCH(MONTH(C1502),1,1,2,1,3,1,4,2,5,2,6,3,7,3,8,3,9,3,10,2,11,2,12,1,2)</f>
        <v>1</v>
      </c>
      <c r="P1502" s="43"/>
      <c r="AS1502" s="10"/>
      <c r="AT1502" s="10"/>
      <c r="AU1502" s="10"/>
      <c r="AV1502" s="10"/>
      <c r="AW1502" s="10"/>
      <c r="AX1502" s="10"/>
      <c r="AY1502" s="10"/>
      <c r="AZ1502" s="10"/>
      <c r="BA1502" s="10"/>
      <c r="BB1502" s="10"/>
      <c r="BC1502" s="10"/>
      <c r="BD1502" s="10"/>
      <c r="BE1502" s="10"/>
      <c r="BF1502" s="10"/>
      <c r="BG1502" s="10"/>
      <c r="BH1502" s="10"/>
      <c r="BI1502" s="10"/>
      <c r="BJ1502" s="10"/>
      <c r="BK1502" s="10"/>
      <c r="BL1502" s="10"/>
      <c r="BM1502" s="10"/>
      <c r="BN1502" s="10"/>
      <c r="BO1502" s="10"/>
      <c r="BP1502" s="10"/>
      <c r="BQ1502" s="10"/>
      <c r="BR1502" s="10"/>
      <c r="BS1502" s="10"/>
      <c r="BT1502" s="10"/>
      <c r="BU1502" s="10"/>
    </row>
    <row r="1503" spans="1:73" ht="18" x14ac:dyDescent="0.35">
      <c r="A1503" s="43"/>
      <c r="C1503" s="393"/>
      <c r="E1503" s="394"/>
      <c r="F1503" s="394">
        <v>1.5109999999999999</v>
      </c>
      <c r="G1503" s="394"/>
      <c r="H1503" s="8" t="s">
        <v>235</v>
      </c>
      <c r="I1503" s="368">
        <f t="shared" si="70"/>
        <v>0</v>
      </c>
      <c r="J1503" s="365">
        <f t="shared" si="69"/>
        <v>0</v>
      </c>
      <c r="K1503" s="369">
        <f t="shared" si="71"/>
        <v>6</v>
      </c>
      <c r="L1503" s="369">
        <f>+IF((C1503&gt;='Resultats - informe'!$E$16)*(C1503&lt;='Resultats - informe'!$G$16),1,0)</f>
        <v>1</v>
      </c>
      <c r="M1503" s="369" cm="1">
        <f t="array" ref="M1503">+_xlfn.IFS((C1503&gt;='Resultats - informe'!$D$26)*(C1503&lt;='Resultats - informe'!$E$26),0,(C1503&gt;='Resultats - informe'!$D$27)*(C1503&lt;='Resultats - informe'!$E$27),0,(C1503&gt;='Resultats - informe'!$D$28)*(C1503&lt;='Resultats - informe'!$E$28),0,(C1503&gt;='Resultats - informe'!$D$29)*(C1503&lt;='Resultats - informe'!$E$29),0,1,1)</f>
        <v>0</v>
      </c>
      <c r="N1503" s="366">
        <f>+VLOOKUP(D1503,'Resultats - informe'!$Y$18:$AG$42,'Introducció dades consum'!K1503+1,0)</f>
        <v>0</v>
      </c>
      <c r="O1503" s="370" cm="1">
        <f t="array" ref="O1503">+_xlfn.SWITCH(MONTH(C1503),1,1,2,1,3,1,4,2,5,2,6,3,7,3,8,3,9,3,10,2,11,2,12,1,2)</f>
        <v>1</v>
      </c>
      <c r="P1503" s="43"/>
      <c r="AS1503" s="10"/>
      <c r="AT1503" s="10"/>
      <c r="AU1503" s="10"/>
      <c r="AV1503" s="10"/>
      <c r="AW1503" s="10"/>
      <c r="AX1503" s="10"/>
      <c r="AY1503" s="10"/>
      <c r="AZ1503" s="10"/>
      <c r="BA1503" s="10"/>
      <c r="BB1503" s="10"/>
      <c r="BC1503" s="10"/>
      <c r="BD1503" s="10"/>
      <c r="BE1503" s="10"/>
      <c r="BF1503" s="10"/>
      <c r="BG1503" s="10"/>
      <c r="BH1503" s="10"/>
      <c r="BI1503" s="10"/>
      <c r="BJ1503" s="10"/>
      <c r="BK1503" s="10"/>
      <c r="BL1503" s="10"/>
      <c r="BM1503" s="10"/>
      <c r="BN1503" s="10"/>
      <c r="BO1503" s="10"/>
      <c r="BP1503" s="10"/>
      <c r="BQ1503" s="10"/>
      <c r="BR1503" s="10"/>
      <c r="BS1503" s="10"/>
      <c r="BT1503" s="10"/>
      <c r="BU1503" s="10"/>
    </row>
    <row r="1504" spans="1:73" ht="18" x14ac:dyDescent="0.35">
      <c r="A1504" s="43"/>
      <c r="C1504" s="393"/>
      <c r="E1504" s="394"/>
      <c r="F1504" s="394">
        <v>1.986</v>
      </c>
      <c r="G1504" s="394"/>
      <c r="H1504" s="8" t="s">
        <v>235</v>
      </c>
      <c r="I1504" s="368">
        <f t="shared" si="70"/>
        <v>0</v>
      </c>
      <c r="J1504" s="365">
        <f t="shared" si="69"/>
        <v>0</v>
      </c>
      <c r="K1504" s="369">
        <f t="shared" si="71"/>
        <v>6</v>
      </c>
      <c r="L1504" s="369">
        <f>+IF((C1504&gt;='Resultats - informe'!$E$16)*(C1504&lt;='Resultats - informe'!$G$16),1,0)</f>
        <v>1</v>
      </c>
      <c r="M1504" s="369" cm="1">
        <f t="array" ref="M1504">+_xlfn.IFS((C1504&gt;='Resultats - informe'!$D$26)*(C1504&lt;='Resultats - informe'!$E$26),0,(C1504&gt;='Resultats - informe'!$D$27)*(C1504&lt;='Resultats - informe'!$E$27),0,(C1504&gt;='Resultats - informe'!$D$28)*(C1504&lt;='Resultats - informe'!$E$28),0,(C1504&gt;='Resultats - informe'!$D$29)*(C1504&lt;='Resultats - informe'!$E$29),0,1,1)</f>
        <v>0</v>
      </c>
      <c r="N1504" s="366">
        <f>+VLOOKUP(D1504,'Resultats - informe'!$Y$18:$AG$42,'Introducció dades consum'!K1504+1,0)</f>
        <v>0</v>
      </c>
      <c r="O1504" s="370" cm="1">
        <f t="array" ref="O1504">+_xlfn.SWITCH(MONTH(C1504),1,1,2,1,3,1,4,2,5,2,6,3,7,3,8,3,9,3,10,2,11,2,12,1,2)</f>
        <v>1</v>
      </c>
      <c r="P1504" s="43"/>
      <c r="AS1504" s="10"/>
      <c r="AT1504" s="10"/>
      <c r="AU1504" s="10"/>
      <c r="AV1504" s="10"/>
      <c r="AW1504" s="10"/>
      <c r="AX1504" s="10"/>
      <c r="AY1504" s="10"/>
      <c r="AZ1504" s="10"/>
      <c r="BA1504" s="10"/>
      <c r="BB1504" s="10"/>
      <c r="BC1504" s="10"/>
      <c r="BD1504" s="10"/>
      <c r="BE1504" s="10"/>
      <c r="BF1504" s="10"/>
      <c r="BG1504" s="10"/>
      <c r="BH1504" s="10"/>
      <c r="BI1504" s="10"/>
      <c r="BJ1504" s="10"/>
      <c r="BK1504" s="10"/>
      <c r="BL1504" s="10"/>
      <c r="BM1504" s="10"/>
      <c r="BN1504" s="10"/>
      <c r="BO1504" s="10"/>
      <c r="BP1504" s="10"/>
      <c r="BQ1504" s="10"/>
      <c r="BR1504" s="10"/>
      <c r="BS1504" s="10"/>
      <c r="BT1504" s="10"/>
      <c r="BU1504" s="10"/>
    </row>
    <row r="1505" spans="1:73" ht="18" x14ac:dyDescent="0.35">
      <c r="A1505" s="43"/>
      <c r="C1505" s="393"/>
      <c r="E1505" s="394"/>
      <c r="F1505" s="394">
        <v>1.913</v>
      </c>
      <c r="G1505" s="394"/>
      <c r="H1505" s="8" t="s">
        <v>235</v>
      </c>
      <c r="I1505" s="368">
        <f t="shared" si="70"/>
        <v>0</v>
      </c>
      <c r="J1505" s="365">
        <f t="shared" si="69"/>
        <v>0</v>
      </c>
      <c r="K1505" s="369">
        <f t="shared" si="71"/>
        <v>6</v>
      </c>
      <c r="L1505" s="369">
        <f>+IF((C1505&gt;='Resultats - informe'!$E$16)*(C1505&lt;='Resultats - informe'!$G$16),1,0)</f>
        <v>1</v>
      </c>
      <c r="M1505" s="369" cm="1">
        <f t="array" ref="M1505">+_xlfn.IFS((C1505&gt;='Resultats - informe'!$D$26)*(C1505&lt;='Resultats - informe'!$E$26),0,(C1505&gt;='Resultats - informe'!$D$27)*(C1505&lt;='Resultats - informe'!$E$27),0,(C1505&gt;='Resultats - informe'!$D$28)*(C1505&lt;='Resultats - informe'!$E$28),0,(C1505&gt;='Resultats - informe'!$D$29)*(C1505&lt;='Resultats - informe'!$E$29),0,1,1)</f>
        <v>0</v>
      </c>
      <c r="N1505" s="366">
        <f>+VLOOKUP(D1505,'Resultats - informe'!$Y$18:$AG$42,'Introducció dades consum'!K1505+1,0)</f>
        <v>0</v>
      </c>
      <c r="O1505" s="370" cm="1">
        <f t="array" ref="O1505">+_xlfn.SWITCH(MONTH(C1505),1,1,2,1,3,1,4,2,5,2,6,3,7,3,8,3,9,3,10,2,11,2,12,1,2)</f>
        <v>1</v>
      </c>
      <c r="P1505" s="43"/>
      <c r="AS1505" s="10"/>
      <c r="AT1505" s="10"/>
      <c r="AU1505" s="10"/>
      <c r="AV1505" s="10"/>
      <c r="AW1505" s="10"/>
      <c r="AX1505" s="10"/>
      <c r="AY1505" s="10"/>
      <c r="AZ1505" s="10"/>
      <c r="BA1505" s="10"/>
      <c r="BB1505" s="10"/>
      <c r="BC1505" s="10"/>
      <c r="BD1505" s="10"/>
      <c r="BE1505" s="10"/>
      <c r="BF1505" s="10"/>
      <c r="BG1505" s="10"/>
      <c r="BH1505" s="10"/>
      <c r="BI1505" s="10"/>
      <c r="BJ1505" s="10"/>
      <c r="BK1505" s="10"/>
      <c r="BL1505" s="10"/>
      <c r="BM1505" s="10"/>
      <c r="BN1505" s="10"/>
      <c r="BO1505" s="10"/>
      <c r="BP1505" s="10"/>
      <c r="BQ1505" s="10"/>
      <c r="BR1505" s="10"/>
      <c r="BS1505" s="10"/>
      <c r="BT1505" s="10"/>
      <c r="BU1505" s="10"/>
    </row>
    <row r="1506" spans="1:73" ht="18" x14ac:dyDescent="0.35">
      <c r="A1506" s="43"/>
      <c r="C1506" s="393"/>
      <c r="E1506" s="394"/>
      <c r="F1506" s="394">
        <v>0.97599999999999998</v>
      </c>
      <c r="G1506" s="394"/>
      <c r="H1506" s="8" t="s">
        <v>235</v>
      </c>
      <c r="I1506" s="368">
        <f t="shared" si="70"/>
        <v>0</v>
      </c>
      <c r="J1506" s="365">
        <f t="shared" si="69"/>
        <v>0</v>
      </c>
      <c r="K1506" s="369">
        <f t="shared" si="71"/>
        <v>6</v>
      </c>
      <c r="L1506" s="369">
        <f>+IF((C1506&gt;='Resultats - informe'!$E$16)*(C1506&lt;='Resultats - informe'!$G$16),1,0)</f>
        <v>1</v>
      </c>
      <c r="M1506" s="369" cm="1">
        <f t="array" ref="M1506">+_xlfn.IFS((C1506&gt;='Resultats - informe'!$D$26)*(C1506&lt;='Resultats - informe'!$E$26),0,(C1506&gt;='Resultats - informe'!$D$27)*(C1506&lt;='Resultats - informe'!$E$27),0,(C1506&gt;='Resultats - informe'!$D$28)*(C1506&lt;='Resultats - informe'!$E$28),0,(C1506&gt;='Resultats - informe'!$D$29)*(C1506&lt;='Resultats - informe'!$E$29),0,1,1)</f>
        <v>0</v>
      </c>
      <c r="N1506" s="366">
        <f>+VLOOKUP(D1506,'Resultats - informe'!$Y$18:$AG$42,'Introducció dades consum'!K1506+1,0)</f>
        <v>0</v>
      </c>
      <c r="O1506" s="370" cm="1">
        <f t="array" ref="O1506">+_xlfn.SWITCH(MONTH(C1506),1,1,2,1,3,1,4,2,5,2,6,3,7,3,8,3,9,3,10,2,11,2,12,1,2)</f>
        <v>1</v>
      </c>
      <c r="P1506" s="43"/>
      <c r="AS1506" s="10"/>
      <c r="AT1506" s="10"/>
      <c r="AU1506" s="10"/>
      <c r="AV1506" s="10"/>
      <c r="AW1506" s="10"/>
      <c r="AX1506" s="10"/>
      <c r="AY1506" s="10"/>
      <c r="AZ1506" s="10"/>
      <c r="BA1506" s="10"/>
      <c r="BB1506" s="10"/>
      <c r="BC1506" s="10"/>
      <c r="BD1506" s="10"/>
      <c r="BE1506" s="10"/>
      <c r="BF1506" s="10"/>
      <c r="BG1506" s="10"/>
      <c r="BH1506" s="10"/>
      <c r="BI1506" s="10"/>
      <c r="BJ1506" s="10"/>
      <c r="BK1506" s="10"/>
      <c r="BL1506" s="10"/>
      <c r="BM1506" s="10"/>
      <c r="BN1506" s="10"/>
      <c r="BO1506" s="10"/>
      <c r="BP1506" s="10"/>
      <c r="BQ1506" s="10"/>
      <c r="BR1506" s="10"/>
      <c r="BS1506" s="10"/>
      <c r="BT1506" s="10"/>
      <c r="BU1506" s="10"/>
    </row>
    <row r="1507" spans="1:73" ht="18" x14ac:dyDescent="0.35">
      <c r="A1507" s="43"/>
      <c r="C1507" s="393"/>
      <c r="E1507" s="394"/>
      <c r="F1507" s="394">
        <v>3.7909999999999999</v>
      </c>
      <c r="G1507" s="394"/>
      <c r="H1507" s="8" t="s">
        <v>61</v>
      </c>
      <c r="I1507" s="368">
        <f t="shared" si="70"/>
        <v>0</v>
      </c>
      <c r="J1507" s="365">
        <f t="shared" si="69"/>
        <v>0</v>
      </c>
      <c r="K1507" s="369">
        <f t="shared" si="71"/>
        <v>6</v>
      </c>
      <c r="L1507" s="369">
        <f>+IF((C1507&gt;='Resultats - informe'!$E$16)*(C1507&lt;='Resultats - informe'!$G$16),1,0)</f>
        <v>1</v>
      </c>
      <c r="M1507" s="369" cm="1">
        <f t="array" ref="M1507">+_xlfn.IFS((C1507&gt;='Resultats - informe'!$D$26)*(C1507&lt;='Resultats - informe'!$E$26),0,(C1507&gt;='Resultats - informe'!$D$27)*(C1507&lt;='Resultats - informe'!$E$27),0,(C1507&gt;='Resultats - informe'!$D$28)*(C1507&lt;='Resultats - informe'!$E$28),0,(C1507&gt;='Resultats - informe'!$D$29)*(C1507&lt;='Resultats - informe'!$E$29),0,1,1)</f>
        <v>0</v>
      </c>
      <c r="N1507" s="366">
        <f>+VLOOKUP(D1507,'Resultats - informe'!$Y$18:$AG$42,'Introducció dades consum'!K1507+1,0)</f>
        <v>0</v>
      </c>
      <c r="O1507" s="370" cm="1">
        <f t="array" ref="O1507">+_xlfn.SWITCH(MONTH(C1507),1,1,2,1,3,1,4,2,5,2,6,3,7,3,8,3,9,3,10,2,11,2,12,1,2)</f>
        <v>1</v>
      </c>
      <c r="P1507" s="43"/>
      <c r="AS1507" s="10"/>
      <c r="AT1507" s="10"/>
      <c r="AU1507" s="10"/>
      <c r="AV1507" s="10"/>
      <c r="AW1507" s="10"/>
      <c r="AX1507" s="10"/>
      <c r="AY1507" s="10"/>
      <c r="AZ1507" s="10"/>
      <c r="BA1507" s="10"/>
      <c r="BB1507" s="10"/>
      <c r="BC1507" s="10"/>
      <c r="BD1507" s="10"/>
      <c r="BE1507" s="10"/>
      <c r="BF1507" s="10"/>
      <c r="BG1507" s="10"/>
      <c r="BH1507" s="10"/>
      <c r="BI1507" s="10"/>
      <c r="BJ1507" s="10"/>
      <c r="BK1507" s="10"/>
      <c r="BL1507" s="10"/>
      <c r="BM1507" s="10"/>
      <c r="BN1507" s="10"/>
      <c r="BO1507" s="10"/>
      <c r="BP1507" s="10"/>
      <c r="BQ1507" s="10"/>
      <c r="BR1507" s="10"/>
      <c r="BS1507" s="10"/>
      <c r="BT1507" s="10"/>
      <c r="BU1507" s="10"/>
    </row>
    <row r="1508" spans="1:73" ht="18" x14ac:dyDescent="0.35">
      <c r="A1508" s="43"/>
      <c r="C1508" s="393"/>
      <c r="E1508" s="394"/>
      <c r="F1508" s="394">
        <v>0.84699999999999998</v>
      </c>
      <c r="G1508" s="394"/>
      <c r="H1508" s="8" t="s">
        <v>235</v>
      </c>
      <c r="I1508" s="368">
        <f t="shared" si="70"/>
        <v>0</v>
      </c>
      <c r="J1508" s="365">
        <f t="shared" si="69"/>
        <v>0</v>
      </c>
      <c r="K1508" s="369">
        <f t="shared" si="71"/>
        <v>6</v>
      </c>
      <c r="L1508" s="369">
        <f>+IF((C1508&gt;='Resultats - informe'!$E$16)*(C1508&lt;='Resultats - informe'!$G$16),1,0)</f>
        <v>1</v>
      </c>
      <c r="M1508" s="369" cm="1">
        <f t="array" ref="M1508">+_xlfn.IFS((C1508&gt;='Resultats - informe'!$D$26)*(C1508&lt;='Resultats - informe'!$E$26),0,(C1508&gt;='Resultats - informe'!$D$27)*(C1508&lt;='Resultats - informe'!$E$27),0,(C1508&gt;='Resultats - informe'!$D$28)*(C1508&lt;='Resultats - informe'!$E$28),0,(C1508&gt;='Resultats - informe'!$D$29)*(C1508&lt;='Resultats - informe'!$E$29),0,1,1)</f>
        <v>0</v>
      </c>
      <c r="N1508" s="366">
        <f>+VLOOKUP(D1508,'Resultats - informe'!$Y$18:$AG$42,'Introducció dades consum'!K1508+1,0)</f>
        <v>0</v>
      </c>
      <c r="O1508" s="370" cm="1">
        <f t="array" ref="O1508">+_xlfn.SWITCH(MONTH(C1508),1,1,2,1,3,1,4,2,5,2,6,3,7,3,8,3,9,3,10,2,11,2,12,1,2)</f>
        <v>1</v>
      </c>
      <c r="P1508" s="43"/>
      <c r="AS1508" s="10"/>
      <c r="AT1508" s="10"/>
      <c r="AU1508" s="10"/>
      <c r="AV1508" s="10"/>
      <c r="AW1508" s="10"/>
      <c r="AX1508" s="10"/>
      <c r="AY1508" s="10"/>
      <c r="AZ1508" s="10"/>
      <c r="BA1508" s="10"/>
      <c r="BB1508" s="10"/>
      <c r="BC1508" s="10"/>
      <c r="BD1508" s="10"/>
      <c r="BE1508" s="10"/>
      <c r="BF1508" s="10"/>
      <c r="BG1508" s="10"/>
      <c r="BH1508" s="10"/>
      <c r="BI1508" s="10"/>
      <c r="BJ1508" s="10"/>
      <c r="BK1508" s="10"/>
      <c r="BL1508" s="10"/>
      <c r="BM1508" s="10"/>
      <c r="BN1508" s="10"/>
      <c r="BO1508" s="10"/>
      <c r="BP1508" s="10"/>
      <c r="BQ1508" s="10"/>
      <c r="BR1508" s="10"/>
      <c r="BS1508" s="10"/>
      <c r="BT1508" s="10"/>
      <c r="BU1508" s="10"/>
    </row>
    <row r="1509" spans="1:73" ht="18" x14ac:dyDescent="0.35">
      <c r="A1509" s="43"/>
      <c r="C1509" s="393"/>
      <c r="E1509" s="394"/>
      <c r="F1509" s="394">
        <v>0</v>
      </c>
      <c r="G1509" s="394"/>
      <c r="H1509" s="8" t="s">
        <v>235</v>
      </c>
      <c r="I1509" s="368">
        <f t="shared" si="70"/>
        <v>0</v>
      </c>
      <c r="J1509" s="365">
        <f t="shared" si="69"/>
        <v>0</v>
      </c>
      <c r="K1509" s="369">
        <f t="shared" si="71"/>
        <v>6</v>
      </c>
      <c r="L1509" s="369">
        <f>+IF((C1509&gt;='Resultats - informe'!$E$16)*(C1509&lt;='Resultats - informe'!$G$16),1,0)</f>
        <v>1</v>
      </c>
      <c r="M1509" s="369" cm="1">
        <f t="array" ref="M1509">+_xlfn.IFS((C1509&gt;='Resultats - informe'!$D$26)*(C1509&lt;='Resultats - informe'!$E$26),0,(C1509&gt;='Resultats - informe'!$D$27)*(C1509&lt;='Resultats - informe'!$E$27),0,(C1509&gt;='Resultats - informe'!$D$28)*(C1509&lt;='Resultats - informe'!$E$28),0,(C1509&gt;='Resultats - informe'!$D$29)*(C1509&lt;='Resultats - informe'!$E$29),0,1,1)</f>
        <v>0</v>
      </c>
      <c r="N1509" s="366">
        <f>+VLOOKUP(D1509,'Resultats - informe'!$Y$18:$AG$42,'Introducció dades consum'!K1509+1,0)</f>
        <v>0</v>
      </c>
      <c r="O1509" s="370" cm="1">
        <f t="array" ref="O1509">+_xlfn.SWITCH(MONTH(C1509),1,1,2,1,3,1,4,2,5,2,6,3,7,3,8,3,9,3,10,2,11,2,12,1,2)</f>
        <v>1</v>
      </c>
      <c r="P1509" s="43"/>
      <c r="AS1509" s="10"/>
      <c r="AT1509" s="10"/>
      <c r="AU1509" s="10"/>
      <c r="AV1509" s="10"/>
      <c r="AW1509" s="10"/>
      <c r="AX1509" s="10"/>
      <c r="AY1509" s="10"/>
      <c r="AZ1509" s="10"/>
      <c r="BA1509" s="10"/>
      <c r="BB1509" s="10"/>
      <c r="BC1509" s="10"/>
      <c r="BD1509" s="10"/>
      <c r="BE1509" s="10"/>
      <c r="BF1509" s="10"/>
      <c r="BG1509" s="10"/>
      <c r="BH1509" s="10"/>
      <c r="BI1509" s="10"/>
      <c r="BJ1509" s="10"/>
      <c r="BK1509" s="10"/>
      <c r="BL1509" s="10"/>
      <c r="BM1509" s="10"/>
      <c r="BN1509" s="10"/>
      <c r="BO1509" s="10"/>
      <c r="BP1509" s="10"/>
      <c r="BQ1509" s="10"/>
      <c r="BR1509" s="10"/>
      <c r="BS1509" s="10"/>
      <c r="BT1509" s="10"/>
      <c r="BU1509" s="10"/>
    </row>
    <row r="1510" spans="1:73" ht="18" x14ac:dyDescent="0.35">
      <c r="A1510" s="43"/>
      <c r="C1510" s="393"/>
      <c r="E1510" s="394"/>
      <c r="F1510" s="394">
        <v>0</v>
      </c>
      <c r="G1510" s="394"/>
      <c r="H1510" s="8" t="s">
        <v>235</v>
      </c>
      <c r="I1510" s="368">
        <f t="shared" si="70"/>
        <v>0</v>
      </c>
      <c r="J1510" s="365">
        <f t="shared" si="69"/>
        <v>0</v>
      </c>
      <c r="K1510" s="369">
        <f t="shared" si="71"/>
        <v>6</v>
      </c>
      <c r="L1510" s="369">
        <f>+IF((C1510&gt;='Resultats - informe'!$E$16)*(C1510&lt;='Resultats - informe'!$G$16),1,0)</f>
        <v>1</v>
      </c>
      <c r="M1510" s="369" cm="1">
        <f t="array" ref="M1510">+_xlfn.IFS((C1510&gt;='Resultats - informe'!$D$26)*(C1510&lt;='Resultats - informe'!$E$26),0,(C1510&gt;='Resultats - informe'!$D$27)*(C1510&lt;='Resultats - informe'!$E$27),0,(C1510&gt;='Resultats - informe'!$D$28)*(C1510&lt;='Resultats - informe'!$E$28),0,(C1510&gt;='Resultats - informe'!$D$29)*(C1510&lt;='Resultats - informe'!$E$29),0,1,1)</f>
        <v>0</v>
      </c>
      <c r="N1510" s="366">
        <f>+VLOOKUP(D1510,'Resultats - informe'!$Y$18:$AG$42,'Introducció dades consum'!K1510+1,0)</f>
        <v>0</v>
      </c>
      <c r="O1510" s="370" cm="1">
        <f t="array" ref="O1510">+_xlfn.SWITCH(MONTH(C1510),1,1,2,1,3,1,4,2,5,2,6,3,7,3,8,3,9,3,10,2,11,2,12,1,2)</f>
        <v>1</v>
      </c>
      <c r="P1510" s="43"/>
      <c r="AS1510" s="10"/>
      <c r="AT1510" s="10"/>
      <c r="AU1510" s="10"/>
      <c r="AV1510" s="10"/>
      <c r="AW1510" s="10"/>
      <c r="AX1510" s="10"/>
      <c r="AY1510" s="10"/>
      <c r="AZ1510" s="10"/>
      <c r="BA1510" s="10"/>
      <c r="BB1510" s="10"/>
      <c r="BC1510" s="10"/>
      <c r="BD1510" s="10"/>
      <c r="BE1510" s="10"/>
      <c r="BF1510" s="10"/>
      <c r="BG1510" s="10"/>
      <c r="BH1510" s="10"/>
      <c r="BI1510" s="10"/>
      <c r="BJ1510" s="10"/>
      <c r="BK1510" s="10"/>
      <c r="BL1510" s="10"/>
      <c r="BM1510" s="10"/>
      <c r="BN1510" s="10"/>
      <c r="BO1510" s="10"/>
      <c r="BP1510" s="10"/>
      <c r="BQ1510" s="10"/>
      <c r="BR1510" s="10"/>
      <c r="BS1510" s="10"/>
      <c r="BT1510" s="10"/>
      <c r="BU1510" s="10"/>
    </row>
    <row r="1511" spans="1:73" ht="18" x14ac:dyDescent="0.35">
      <c r="A1511" s="43"/>
      <c r="C1511" s="393"/>
      <c r="E1511" s="394"/>
      <c r="F1511" s="394">
        <v>0</v>
      </c>
      <c r="G1511" s="394"/>
      <c r="H1511" s="8" t="s">
        <v>235</v>
      </c>
      <c r="I1511" s="368">
        <f t="shared" si="70"/>
        <v>0</v>
      </c>
      <c r="J1511" s="365">
        <f t="shared" si="69"/>
        <v>0</v>
      </c>
      <c r="K1511" s="369">
        <f t="shared" si="71"/>
        <v>6</v>
      </c>
      <c r="L1511" s="369">
        <f>+IF((C1511&gt;='Resultats - informe'!$E$16)*(C1511&lt;='Resultats - informe'!$G$16),1,0)</f>
        <v>1</v>
      </c>
      <c r="M1511" s="369" cm="1">
        <f t="array" ref="M1511">+_xlfn.IFS((C1511&gt;='Resultats - informe'!$D$26)*(C1511&lt;='Resultats - informe'!$E$26),0,(C1511&gt;='Resultats - informe'!$D$27)*(C1511&lt;='Resultats - informe'!$E$27),0,(C1511&gt;='Resultats - informe'!$D$28)*(C1511&lt;='Resultats - informe'!$E$28),0,(C1511&gt;='Resultats - informe'!$D$29)*(C1511&lt;='Resultats - informe'!$E$29),0,1,1)</f>
        <v>0</v>
      </c>
      <c r="N1511" s="366">
        <f>+VLOOKUP(D1511,'Resultats - informe'!$Y$18:$AG$42,'Introducció dades consum'!K1511+1,0)</f>
        <v>0</v>
      </c>
      <c r="O1511" s="370" cm="1">
        <f t="array" ref="O1511">+_xlfn.SWITCH(MONTH(C1511),1,1,2,1,3,1,4,2,5,2,6,3,7,3,8,3,9,3,10,2,11,2,12,1,2)</f>
        <v>1</v>
      </c>
      <c r="P1511" s="43"/>
      <c r="AS1511" s="10"/>
      <c r="AT1511" s="10"/>
      <c r="AU1511" s="10"/>
      <c r="AV1511" s="10"/>
      <c r="AW1511" s="10"/>
      <c r="AX1511" s="10"/>
      <c r="AY1511" s="10"/>
      <c r="AZ1511" s="10"/>
      <c r="BA1511" s="10"/>
      <c r="BB1511" s="10"/>
      <c r="BC1511" s="10"/>
      <c r="BD1511" s="10"/>
      <c r="BE1511" s="10"/>
      <c r="BF1511" s="10"/>
      <c r="BG1511" s="10"/>
      <c r="BH1511" s="10"/>
      <c r="BI1511" s="10"/>
      <c r="BJ1511" s="10"/>
      <c r="BK1511" s="10"/>
      <c r="BL1511" s="10"/>
      <c r="BM1511" s="10"/>
      <c r="BN1511" s="10"/>
      <c r="BO1511" s="10"/>
      <c r="BP1511" s="10"/>
      <c r="BQ1511" s="10"/>
      <c r="BR1511" s="10"/>
      <c r="BS1511" s="10"/>
      <c r="BT1511" s="10"/>
      <c r="BU1511" s="10"/>
    </row>
    <row r="1512" spans="1:73" ht="18" x14ac:dyDescent="0.35">
      <c r="A1512" s="43"/>
      <c r="C1512" s="393"/>
      <c r="E1512" s="394"/>
      <c r="F1512" s="394">
        <v>0</v>
      </c>
      <c r="G1512" s="394"/>
      <c r="H1512" s="8" t="s">
        <v>235</v>
      </c>
      <c r="I1512" s="368">
        <f t="shared" si="70"/>
        <v>0</v>
      </c>
      <c r="J1512" s="365">
        <f t="shared" si="69"/>
        <v>0</v>
      </c>
      <c r="K1512" s="369">
        <f t="shared" si="71"/>
        <v>6</v>
      </c>
      <c r="L1512" s="369">
        <f>+IF((C1512&gt;='Resultats - informe'!$E$16)*(C1512&lt;='Resultats - informe'!$G$16),1,0)</f>
        <v>1</v>
      </c>
      <c r="M1512" s="369" cm="1">
        <f t="array" ref="M1512">+_xlfn.IFS((C1512&gt;='Resultats - informe'!$D$26)*(C1512&lt;='Resultats - informe'!$E$26),0,(C1512&gt;='Resultats - informe'!$D$27)*(C1512&lt;='Resultats - informe'!$E$27),0,(C1512&gt;='Resultats - informe'!$D$28)*(C1512&lt;='Resultats - informe'!$E$28),0,(C1512&gt;='Resultats - informe'!$D$29)*(C1512&lt;='Resultats - informe'!$E$29),0,1,1)</f>
        <v>0</v>
      </c>
      <c r="N1512" s="366">
        <f>+VLOOKUP(D1512,'Resultats - informe'!$Y$18:$AG$42,'Introducció dades consum'!K1512+1,0)</f>
        <v>0</v>
      </c>
      <c r="O1512" s="370" cm="1">
        <f t="array" ref="O1512">+_xlfn.SWITCH(MONTH(C1512),1,1,2,1,3,1,4,2,5,2,6,3,7,3,8,3,9,3,10,2,11,2,12,1,2)</f>
        <v>1</v>
      </c>
      <c r="P1512" s="43"/>
      <c r="AS1512" s="10"/>
      <c r="AT1512" s="10"/>
      <c r="AU1512" s="10"/>
      <c r="AV1512" s="10"/>
      <c r="AW1512" s="10"/>
      <c r="AX1512" s="10"/>
      <c r="AY1512" s="10"/>
      <c r="AZ1512" s="10"/>
      <c r="BA1512" s="10"/>
      <c r="BB1512" s="10"/>
      <c r="BC1512" s="10"/>
      <c r="BD1512" s="10"/>
      <c r="BE1512" s="10"/>
      <c r="BF1512" s="10"/>
      <c r="BG1512" s="10"/>
      <c r="BH1512" s="10"/>
      <c r="BI1512" s="10"/>
      <c r="BJ1512" s="10"/>
      <c r="BK1512" s="10"/>
      <c r="BL1512" s="10"/>
      <c r="BM1512" s="10"/>
      <c r="BN1512" s="10"/>
      <c r="BO1512" s="10"/>
      <c r="BP1512" s="10"/>
      <c r="BQ1512" s="10"/>
      <c r="BR1512" s="10"/>
      <c r="BS1512" s="10"/>
      <c r="BT1512" s="10"/>
      <c r="BU1512" s="10"/>
    </row>
    <row r="1513" spans="1:73" ht="18" x14ac:dyDescent="0.35">
      <c r="A1513" s="43"/>
      <c r="C1513" s="393"/>
      <c r="E1513" s="394"/>
      <c r="F1513" s="394">
        <v>0</v>
      </c>
      <c r="G1513" s="394"/>
      <c r="H1513" s="8" t="s">
        <v>235</v>
      </c>
      <c r="I1513" s="368">
        <f t="shared" si="70"/>
        <v>0</v>
      </c>
      <c r="J1513" s="365">
        <f t="shared" si="69"/>
        <v>0</v>
      </c>
      <c r="K1513" s="369">
        <f t="shared" si="71"/>
        <v>6</v>
      </c>
      <c r="L1513" s="369">
        <f>+IF((C1513&gt;='Resultats - informe'!$E$16)*(C1513&lt;='Resultats - informe'!$G$16),1,0)</f>
        <v>1</v>
      </c>
      <c r="M1513" s="369" cm="1">
        <f t="array" ref="M1513">+_xlfn.IFS((C1513&gt;='Resultats - informe'!$D$26)*(C1513&lt;='Resultats - informe'!$E$26),0,(C1513&gt;='Resultats - informe'!$D$27)*(C1513&lt;='Resultats - informe'!$E$27),0,(C1513&gt;='Resultats - informe'!$D$28)*(C1513&lt;='Resultats - informe'!$E$28),0,(C1513&gt;='Resultats - informe'!$D$29)*(C1513&lt;='Resultats - informe'!$E$29),0,1,1)</f>
        <v>0</v>
      </c>
      <c r="N1513" s="366">
        <f>+VLOOKUP(D1513,'Resultats - informe'!$Y$18:$AG$42,'Introducció dades consum'!K1513+1,0)</f>
        <v>0</v>
      </c>
      <c r="O1513" s="370" cm="1">
        <f t="array" ref="O1513">+_xlfn.SWITCH(MONTH(C1513),1,1,2,1,3,1,4,2,5,2,6,3,7,3,8,3,9,3,10,2,11,2,12,1,2)</f>
        <v>1</v>
      </c>
      <c r="P1513" s="43"/>
      <c r="AS1513" s="10"/>
      <c r="AT1513" s="10"/>
      <c r="AU1513" s="10"/>
      <c r="AV1513" s="10"/>
      <c r="AW1513" s="10"/>
      <c r="AX1513" s="10"/>
      <c r="AY1513" s="10"/>
      <c r="AZ1513" s="10"/>
      <c r="BA1513" s="10"/>
      <c r="BB1513" s="10"/>
      <c r="BC1513" s="10"/>
      <c r="BD1513" s="10"/>
      <c r="BE1513" s="10"/>
      <c r="BF1513" s="10"/>
      <c r="BG1513" s="10"/>
      <c r="BH1513" s="10"/>
      <c r="BI1513" s="10"/>
      <c r="BJ1513" s="10"/>
      <c r="BK1513" s="10"/>
      <c r="BL1513" s="10"/>
      <c r="BM1513" s="10"/>
      <c r="BN1513" s="10"/>
      <c r="BO1513" s="10"/>
      <c r="BP1513" s="10"/>
      <c r="BQ1513" s="10"/>
      <c r="BR1513" s="10"/>
      <c r="BS1513" s="10"/>
      <c r="BT1513" s="10"/>
      <c r="BU1513" s="10"/>
    </row>
    <row r="1514" spans="1:73" ht="18" x14ac:dyDescent="0.35">
      <c r="A1514" s="43"/>
      <c r="C1514" s="393"/>
      <c r="E1514" s="394"/>
      <c r="F1514" s="394">
        <v>0</v>
      </c>
      <c r="G1514" s="394"/>
      <c r="H1514" s="8" t="s">
        <v>235</v>
      </c>
      <c r="I1514" s="368">
        <f t="shared" si="70"/>
        <v>0</v>
      </c>
      <c r="J1514" s="365">
        <f t="shared" si="69"/>
        <v>0</v>
      </c>
      <c r="K1514" s="369">
        <f t="shared" si="71"/>
        <v>6</v>
      </c>
      <c r="L1514" s="369">
        <f>+IF((C1514&gt;='Resultats - informe'!$E$16)*(C1514&lt;='Resultats - informe'!$G$16),1,0)</f>
        <v>1</v>
      </c>
      <c r="M1514" s="369" cm="1">
        <f t="array" ref="M1514">+_xlfn.IFS((C1514&gt;='Resultats - informe'!$D$26)*(C1514&lt;='Resultats - informe'!$E$26),0,(C1514&gt;='Resultats - informe'!$D$27)*(C1514&lt;='Resultats - informe'!$E$27),0,(C1514&gt;='Resultats - informe'!$D$28)*(C1514&lt;='Resultats - informe'!$E$28),0,(C1514&gt;='Resultats - informe'!$D$29)*(C1514&lt;='Resultats - informe'!$E$29),0,1,1)</f>
        <v>0</v>
      </c>
      <c r="N1514" s="366">
        <f>+VLOOKUP(D1514,'Resultats - informe'!$Y$18:$AG$42,'Introducció dades consum'!K1514+1,0)</f>
        <v>0</v>
      </c>
      <c r="O1514" s="370" cm="1">
        <f t="array" ref="O1514">+_xlfn.SWITCH(MONTH(C1514),1,1,2,1,3,1,4,2,5,2,6,3,7,3,8,3,9,3,10,2,11,2,12,1,2)</f>
        <v>1</v>
      </c>
      <c r="P1514" s="43"/>
      <c r="AS1514" s="10"/>
      <c r="AT1514" s="10"/>
      <c r="AU1514" s="10"/>
      <c r="AV1514" s="10"/>
      <c r="AW1514" s="10"/>
      <c r="AX1514" s="10"/>
      <c r="AY1514" s="10"/>
      <c r="AZ1514" s="10"/>
      <c r="BA1514" s="10"/>
      <c r="BB1514" s="10"/>
      <c r="BC1514" s="10"/>
      <c r="BD1514" s="10"/>
      <c r="BE1514" s="10"/>
      <c r="BF1514" s="10"/>
      <c r="BG1514" s="10"/>
      <c r="BH1514" s="10"/>
      <c r="BI1514" s="10"/>
      <c r="BJ1514" s="10"/>
      <c r="BK1514" s="10"/>
      <c r="BL1514" s="10"/>
      <c r="BM1514" s="10"/>
      <c r="BN1514" s="10"/>
      <c r="BO1514" s="10"/>
      <c r="BP1514" s="10"/>
      <c r="BQ1514" s="10"/>
      <c r="BR1514" s="10"/>
      <c r="BS1514" s="10"/>
      <c r="BT1514" s="10"/>
      <c r="BU1514" s="10"/>
    </row>
    <row r="1515" spans="1:73" ht="18" x14ac:dyDescent="0.35">
      <c r="A1515" s="43"/>
      <c r="C1515" s="393"/>
      <c r="E1515" s="394"/>
      <c r="F1515" s="394">
        <v>0</v>
      </c>
      <c r="G1515" s="394"/>
      <c r="H1515" s="8" t="s">
        <v>235</v>
      </c>
      <c r="I1515" s="368">
        <f t="shared" si="70"/>
        <v>0</v>
      </c>
      <c r="J1515" s="365">
        <f t="shared" si="69"/>
        <v>0</v>
      </c>
      <c r="K1515" s="369">
        <f t="shared" si="71"/>
        <v>6</v>
      </c>
      <c r="L1515" s="369">
        <f>+IF((C1515&gt;='Resultats - informe'!$E$16)*(C1515&lt;='Resultats - informe'!$G$16),1,0)</f>
        <v>1</v>
      </c>
      <c r="M1515" s="369" cm="1">
        <f t="array" ref="M1515">+_xlfn.IFS((C1515&gt;='Resultats - informe'!$D$26)*(C1515&lt;='Resultats - informe'!$E$26),0,(C1515&gt;='Resultats - informe'!$D$27)*(C1515&lt;='Resultats - informe'!$E$27),0,(C1515&gt;='Resultats - informe'!$D$28)*(C1515&lt;='Resultats - informe'!$E$28),0,(C1515&gt;='Resultats - informe'!$D$29)*(C1515&lt;='Resultats - informe'!$E$29),0,1,1)</f>
        <v>0</v>
      </c>
      <c r="N1515" s="366">
        <f>+VLOOKUP(D1515,'Resultats - informe'!$Y$18:$AG$42,'Introducció dades consum'!K1515+1,0)</f>
        <v>0</v>
      </c>
      <c r="O1515" s="370" cm="1">
        <f t="array" ref="O1515">+_xlfn.SWITCH(MONTH(C1515),1,1,2,1,3,1,4,2,5,2,6,3,7,3,8,3,9,3,10,2,11,2,12,1,2)</f>
        <v>1</v>
      </c>
      <c r="P1515" s="43"/>
      <c r="AS1515" s="10"/>
      <c r="AT1515" s="10"/>
      <c r="AU1515" s="10"/>
      <c r="AV1515" s="10"/>
      <c r="AW1515" s="10"/>
      <c r="AX1515" s="10"/>
      <c r="AY1515" s="10"/>
      <c r="AZ1515" s="10"/>
      <c r="BA1515" s="10"/>
      <c r="BB1515" s="10"/>
      <c r="BC1515" s="10"/>
      <c r="BD1515" s="10"/>
      <c r="BE1515" s="10"/>
      <c r="BF1515" s="10"/>
      <c r="BG1515" s="10"/>
      <c r="BH1515" s="10"/>
      <c r="BI1515" s="10"/>
      <c r="BJ1515" s="10"/>
      <c r="BK1515" s="10"/>
      <c r="BL1515" s="10"/>
      <c r="BM1515" s="10"/>
      <c r="BN1515" s="10"/>
      <c r="BO1515" s="10"/>
      <c r="BP1515" s="10"/>
      <c r="BQ1515" s="10"/>
      <c r="BR1515" s="10"/>
      <c r="BS1515" s="10"/>
      <c r="BT1515" s="10"/>
      <c r="BU1515" s="10"/>
    </row>
    <row r="1516" spans="1:73" ht="18" x14ac:dyDescent="0.35">
      <c r="A1516" s="43"/>
      <c r="C1516" s="393"/>
      <c r="E1516" s="394"/>
      <c r="F1516" s="394">
        <v>0</v>
      </c>
      <c r="G1516" s="394"/>
      <c r="H1516" s="8" t="s">
        <v>235</v>
      </c>
      <c r="I1516" s="368">
        <f t="shared" si="70"/>
        <v>0</v>
      </c>
      <c r="J1516" s="365">
        <f t="shared" si="69"/>
        <v>0</v>
      </c>
      <c r="K1516" s="369">
        <f t="shared" si="71"/>
        <v>6</v>
      </c>
      <c r="L1516" s="369">
        <f>+IF((C1516&gt;='Resultats - informe'!$E$16)*(C1516&lt;='Resultats - informe'!$G$16),1,0)</f>
        <v>1</v>
      </c>
      <c r="M1516" s="369" cm="1">
        <f t="array" ref="M1516">+_xlfn.IFS((C1516&gt;='Resultats - informe'!$D$26)*(C1516&lt;='Resultats - informe'!$E$26),0,(C1516&gt;='Resultats - informe'!$D$27)*(C1516&lt;='Resultats - informe'!$E$27),0,(C1516&gt;='Resultats - informe'!$D$28)*(C1516&lt;='Resultats - informe'!$E$28),0,(C1516&gt;='Resultats - informe'!$D$29)*(C1516&lt;='Resultats - informe'!$E$29),0,1,1)</f>
        <v>0</v>
      </c>
      <c r="N1516" s="366">
        <f>+VLOOKUP(D1516,'Resultats - informe'!$Y$18:$AG$42,'Introducció dades consum'!K1516+1,0)</f>
        <v>0</v>
      </c>
      <c r="O1516" s="370" cm="1">
        <f t="array" ref="O1516">+_xlfn.SWITCH(MONTH(C1516),1,1,2,1,3,1,4,2,5,2,6,3,7,3,8,3,9,3,10,2,11,2,12,1,2)</f>
        <v>1</v>
      </c>
      <c r="P1516" s="43"/>
      <c r="AS1516" s="10"/>
      <c r="AT1516" s="10"/>
      <c r="AU1516" s="10"/>
      <c r="AV1516" s="10"/>
      <c r="AW1516" s="10"/>
      <c r="AX1516" s="10"/>
      <c r="AY1516" s="10"/>
      <c r="AZ1516" s="10"/>
      <c r="BA1516" s="10"/>
      <c r="BB1516" s="10"/>
      <c r="BC1516" s="10"/>
      <c r="BD1516" s="10"/>
      <c r="BE1516" s="10"/>
      <c r="BF1516" s="10"/>
      <c r="BG1516" s="10"/>
      <c r="BH1516" s="10"/>
      <c r="BI1516" s="10"/>
      <c r="BJ1516" s="10"/>
      <c r="BK1516" s="10"/>
      <c r="BL1516" s="10"/>
      <c r="BM1516" s="10"/>
      <c r="BN1516" s="10"/>
      <c r="BO1516" s="10"/>
      <c r="BP1516" s="10"/>
      <c r="BQ1516" s="10"/>
      <c r="BR1516" s="10"/>
      <c r="BS1516" s="10"/>
      <c r="BT1516" s="10"/>
      <c r="BU1516" s="10"/>
    </row>
    <row r="1517" spans="1:73" ht="18" x14ac:dyDescent="0.35">
      <c r="A1517" s="43"/>
      <c r="C1517" s="393"/>
      <c r="E1517" s="394"/>
      <c r="F1517" s="394">
        <v>0</v>
      </c>
      <c r="G1517" s="394"/>
      <c r="H1517" s="8" t="s">
        <v>235</v>
      </c>
      <c r="I1517" s="368">
        <f t="shared" si="70"/>
        <v>0</v>
      </c>
      <c r="J1517" s="365">
        <f t="shared" si="69"/>
        <v>0</v>
      </c>
      <c r="K1517" s="369">
        <f t="shared" si="71"/>
        <v>6</v>
      </c>
      <c r="L1517" s="369">
        <f>+IF((C1517&gt;='Resultats - informe'!$E$16)*(C1517&lt;='Resultats - informe'!$G$16),1,0)</f>
        <v>1</v>
      </c>
      <c r="M1517" s="369" cm="1">
        <f t="array" ref="M1517">+_xlfn.IFS((C1517&gt;='Resultats - informe'!$D$26)*(C1517&lt;='Resultats - informe'!$E$26),0,(C1517&gt;='Resultats - informe'!$D$27)*(C1517&lt;='Resultats - informe'!$E$27),0,(C1517&gt;='Resultats - informe'!$D$28)*(C1517&lt;='Resultats - informe'!$E$28),0,(C1517&gt;='Resultats - informe'!$D$29)*(C1517&lt;='Resultats - informe'!$E$29),0,1,1)</f>
        <v>0</v>
      </c>
      <c r="N1517" s="366">
        <f>+VLOOKUP(D1517,'Resultats - informe'!$Y$18:$AG$42,'Introducció dades consum'!K1517+1,0)</f>
        <v>0</v>
      </c>
      <c r="O1517" s="370" cm="1">
        <f t="array" ref="O1517">+_xlfn.SWITCH(MONTH(C1517),1,1,2,1,3,1,4,2,5,2,6,3,7,3,8,3,9,3,10,2,11,2,12,1,2)</f>
        <v>1</v>
      </c>
      <c r="P1517" s="43"/>
      <c r="AS1517" s="10"/>
      <c r="AT1517" s="10"/>
      <c r="AU1517" s="10"/>
      <c r="AV1517" s="10"/>
      <c r="AW1517" s="10"/>
      <c r="AX1517" s="10"/>
      <c r="AY1517" s="10"/>
      <c r="AZ1517" s="10"/>
      <c r="BA1517" s="10"/>
      <c r="BB1517" s="10"/>
      <c r="BC1517" s="10"/>
      <c r="BD1517" s="10"/>
      <c r="BE1517" s="10"/>
      <c r="BF1517" s="10"/>
      <c r="BG1517" s="10"/>
      <c r="BH1517" s="10"/>
      <c r="BI1517" s="10"/>
      <c r="BJ1517" s="10"/>
      <c r="BK1517" s="10"/>
      <c r="BL1517" s="10"/>
      <c r="BM1517" s="10"/>
      <c r="BN1517" s="10"/>
      <c r="BO1517" s="10"/>
      <c r="BP1517" s="10"/>
      <c r="BQ1517" s="10"/>
      <c r="BR1517" s="10"/>
      <c r="BS1517" s="10"/>
      <c r="BT1517" s="10"/>
      <c r="BU1517" s="10"/>
    </row>
    <row r="1518" spans="1:73" ht="18" x14ac:dyDescent="0.35">
      <c r="A1518" s="43"/>
      <c r="C1518" s="393"/>
      <c r="E1518" s="394"/>
      <c r="F1518" s="394">
        <v>0</v>
      </c>
      <c r="G1518" s="394"/>
      <c r="H1518" s="8" t="s">
        <v>235</v>
      </c>
      <c r="I1518" s="368">
        <f t="shared" si="70"/>
        <v>0</v>
      </c>
      <c r="J1518" s="365">
        <f t="shared" si="69"/>
        <v>0</v>
      </c>
      <c r="K1518" s="369">
        <f t="shared" si="71"/>
        <v>6</v>
      </c>
      <c r="L1518" s="369">
        <f>+IF((C1518&gt;='Resultats - informe'!$E$16)*(C1518&lt;='Resultats - informe'!$G$16),1,0)</f>
        <v>1</v>
      </c>
      <c r="M1518" s="369" cm="1">
        <f t="array" ref="M1518">+_xlfn.IFS((C1518&gt;='Resultats - informe'!$D$26)*(C1518&lt;='Resultats - informe'!$E$26),0,(C1518&gt;='Resultats - informe'!$D$27)*(C1518&lt;='Resultats - informe'!$E$27),0,(C1518&gt;='Resultats - informe'!$D$28)*(C1518&lt;='Resultats - informe'!$E$28),0,(C1518&gt;='Resultats - informe'!$D$29)*(C1518&lt;='Resultats - informe'!$E$29),0,1,1)</f>
        <v>0</v>
      </c>
      <c r="N1518" s="366">
        <f>+VLOOKUP(D1518,'Resultats - informe'!$Y$18:$AG$42,'Introducció dades consum'!K1518+1,0)</f>
        <v>0</v>
      </c>
      <c r="O1518" s="370" cm="1">
        <f t="array" ref="O1518">+_xlfn.SWITCH(MONTH(C1518),1,1,2,1,3,1,4,2,5,2,6,3,7,3,8,3,9,3,10,2,11,2,12,1,2)</f>
        <v>1</v>
      </c>
      <c r="P1518" s="43"/>
      <c r="AS1518" s="10"/>
      <c r="AT1518" s="10"/>
      <c r="AU1518" s="10"/>
      <c r="AV1518" s="10"/>
      <c r="AW1518" s="10"/>
      <c r="AX1518" s="10"/>
      <c r="AY1518" s="10"/>
      <c r="AZ1518" s="10"/>
      <c r="BA1518" s="10"/>
      <c r="BB1518" s="10"/>
      <c r="BC1518" s="10"/>
      <c r="BD1518" s="10"/>
      <c r="BE1518" s="10"/>
      <c r="BF1518" s="10"/>
      <c r="BG1518" s="10"/>
      <c r="BH1518" s="10"/>
      <c r="BI1518" s="10"/>
      <c r="BJ1518" s="10"/>
      <c r="BK1518" s="10"/>
      <c r="BL1518" s="10"/>
      <c r="BM1518" s="10"/>
      <c r="BN1518" s="10"/>
      <c r="BO1518" s="10"/>
      <c r="BP1518" s="10"/>
      <c r="BQ1518" s="10"/>
      <c r="BR1518" s="10"/>
      <c r="BS1518" s="10"/>
      <c r="BT1518" s="10"/>
      <c r="BU1518" s="10"/>
    </row>
    <row r="1519" spans="1:73" ht="18" x14ac:dyDescent="0.35">
      <c r="A1519" s="43"/>
      <c r="C1519" s="393"/>
      <c r="E1519" s="394"/>
      <c r="F1519" s="394">
        <v>0</v>
      </c>
      <c r="G1519" s="394"/>
      <c r="H1519" s="8" t="s">
        <v>235</v>
      </c>
      <c r="I1519" s="368">
        <f t="shared" si="70"/>
        <v>0</v>
      </c>
      <c r="J1519" s="365">
        <f t="shared" si="69"/>
        <v>0</v>
      </c>
      <c r="K1519" s="369">
        <f t="shared" si="71"/>
        <v>6</v>
      </c>
      <c r="L1519" s="369">
        <f>+IF((C1519&gt;='Resultats - informe'!$E$16)*(C1519&lt;='Resultats - informe'!$G$16),1,0)</f>
        <v>1</v>
      </c>
      <c r="M1519" s="369" cm="1">
        <f t="array" ref="M1519">+_xlfn.IFS((C1519&gt;='Resultats - informe'!$D$26)*(C1519&lt;='Resultats - informe'!$E$26),0,(C1519&gt;='Resultats - informe'!$D$27)*(C1519&lt;='Resultats - informe'!$E$27),0,(C1519&gt;='Resultats - informe'!$D$28)*(C1519&lt;='Resultats - informe'!$E$28),0,(C1519&gt;='Resultats - informe'!$D$29)*(C1519&lt;='Resultats - informe'!$E$29),0,1,1)</f>
        <v>0</v>
      </c>
      <c r="N1519" s="366">
        <f>+VLOOKUP(D1519,'Resultats - informe'!$Y$18:$AG$42,'Introducció dades consum'!K1519+1,0)</f>
        <v>0</v>
      </c>
      <c r="O1519" s="370" cm="1">
        <f t="array" ref="O1519">+_xlfn.SWITCH(MONTH(C1519),1,1,2,1,3,1,4,2,5,2,6,3,7,3,8,3,9,3,10,2,11,2,12,1,2)</f>
        <v>1</v>
      </c>
      <c r="P1519" s="43"/>
      <c r="AS1519" s="10"/>
      <c r="AT1519" s="10"/>
      <c r="AU1519" s="10"/>
      <c r="AV1519" s="10"/>
      <c r="AW1519" s="10"/>
      <c r="AX1519" s="10"/>
      <c r="AY1519" s="10"/>
      <c r="AZ1519" s="10"/>
      <c r="BA1519" s="10"/>
      <c r="BB1519" s="10"/>
      <c r="BC1519" s="10"/>
      <c r="BD1519" s="10"/>
      <c r="BE1519" s="10"/>
      <c r="BF1519" s="10"/>
      <c r="BG1519" s="10"/>
      <c r="BH1519" s="10"/>
      <c r="BI1519" s="10"/>
      <c r="BJ1519" s="10"/>
      <c r="BK1519" s="10"/>
      <c r="BL1519" s="10"/>
      <c r="BM1519" s="10"/>
      <c r="BN1519" s="10"/>
      <c r="BO1519" s="10"/>
      <c r="BP1519" s="10"/>
      <c r="BQ1519" s="10"/>
      <c r="BR1519" s="10"/>
      <c r="BS1519" s="10"/>
      <c r="BT1519" s="10"/>
      <c r="BU1519" s="10"/>
    </row>
    <row r="1520" spans="1:73" ht="18" x14ac:dyDescent="0.35">
      <c r="A1520" s="43"/>
      <c r="C1520" s="393"/>
      <c r="E1520" s="394"/>
      <c r="F1520" s="394">
        <v>0</v>
      </c>
      <c r="G1520" s="394"/>
      <c r="H1520" s="8" t="s">
        <v>235</v>
      </c>
      <c r="I1520" s="368">
        <f t="shared" si="70"/>
        <v>0</v>
      </c>
      <c r="J1520" s="365">
        <f t="shared" si="69"/>
        <v>0</v>
      </c>
      <c r="K1520" s="369">
        <f t="shared" si="71"/>
        <v>6</v>
      </c>
      <c r="L1520" s="369">
        <f>+IF((C1520&gt;='Resultats - informe'!$E$16)*(C1520&lt;='Resultats - informe'!$G$16),1,0)</f>
        <v>1</v>
      </c>
      <c r="M1520" s="369" cm="1">
        <f t="array" ref="M1520">+_xlfn.IFS((C1520&gt;='Resultats - informe'!$D$26)*(C1520&lt;='Resultats - informe'!$E$26),0,(C1520&gt;='Resultats - informe'!$D$27)*(C1520&lt;='Resultats - informe'!$E$27),0,(C1520&gt;='Resultats - informe'!$D$28)*(C1520&lt;='Resultats - informe'!$E$28),0,(C1520&gt;='Resultats - informe'!$D$29)*(C1520&lt;='Resultats - informe'!$E$29),0,1,1)</f>
        <v>0</v>
      </c>
      <c r="N1520" s="366">
        <f>+VLOOKUP(D1520,'Resultats - informe'!$Y$18:$AG$42,'Introducció dades consum'!K1520+1,0)</f>
        <v>0</v>
      </c>
      <c r="O1520" s="370" cm="1">
        <f t="array" ref="O1520">+_xlfn.SWITCH(MONTH(C1520),1,1,2,1,3,1,4,2,5,2,6,3,7,3,8,3,9,3,10,2,11,2,12,1,2)</f>
        <v>1</v>
      </c>
      <c r="P1520" s="43"/>
      <c r="AS1520" s="10"/>
      <c r="AT1520" s="10"/>
      <c r="AU1520" s="10"/>
      <c r="AV1520" s="10"/>
      <c r="AW1520" s="10"/>
      <c r="AX1520" s="10"/>
      <c r="AY1520" s="10"/>
      <c r="AZ1520" s="10"/>
      <c r="BA1520" s="10"/>
      <c r="BB1520" s="10"/>
      <c r="BC1520" s="10"/>
      <c r="BD1520" s="10"/>
      <c r="BE1520" s="10"/>
      <c r="BF1520" s="10"/>
      <c r="BG1520" s="10"/>
      <c r="BH1520" s="10"/>
      <c r="BI1520" s="10"/>
      <c r="BJ1520" s="10"/>
      <c r="BK1520" s="10"/>
      <c r="BL1520" s="10"/>
      <c r="BM1520" s="10"/>
      <c r="BN1520" s="10"/>
      <c r="BO1520" s="10"/>
      <c r="BP1520" s="10"/>
      <c r="BQ1520" s="10"/>
      <c r="BR1520" s="10"/>
      <c r="BS1520" s="10"/>
      <c r="BT1520" s="10"/>
      <c r="BU1520" s="10"/>
    </row>
    <row r="1521" spans="1:73" ht="18" x14ac:dyDescent="0.35">
      <c r="A1521" s="43"/>
      <c r="C1521" s="393"/>
      <c r="E1521" s="394"/>
      <c r="F1521" s="394">
        <v>0</v>
      </c>
      <c r="G1521" s="394"/>
      <c r="H1521" s="8" t="s">
        <v>235</v>
      </c>
      <c r="I1521" s="368">
        <f t="shared" si="70"/>
        <v>0</v>
      </c>
      <c r="J1521" s="365">
        <f t="shared" si="69"/>
        <v>0</v>
      </c>
      <c r="K1521" s="369">
        <f t="shared" si="71"/>
        <v>6</v>
      </c>
      <c r="L1521" s="369">
        <f>+IF((C1521&gt;='Resultats - informe'!$E$16)*(C1521&lt;='Resultats - informe'!$G$16),1,0)</f>
        <v>1</v>
      </c>
      <c r="M1521" s="369" cm="1">
        <f t="array" ref="M1521">+_xlfn.IFS((C1521&gt;='Resultats - informe'!$D$26)*(C1521&lt;='Resultats - informe'!$E$26),0,(C1521&gt;='Resultats - informe'!$D$27)*(C1521&lt;='Resultats - informe'!$E$27),0,(C1521&gt;='Resultats - informe'!$D$28)*(C1521&lt;='Resultats - informe'!$E$28),0,(C1521&gt;='Resultats - informe'!$D$29)*(C1521&lt;='Resultats - informe'!$E$29),0,1,1)</f>
        <v>0</v>
      </c>
      <c r="N1521" s="366">
        <f>+VLOOKUP(D1521,'Resultats - informe'!$Y$18:$AG$42,'Introducció dades consum'!K1521+1,0)</f>
        <v>0</v>
      </c>
      <c r="O1521" s="370" cm="1">
        <f t="array" ref="O1521">+_xlfn.SWITCH(MONTH(C1521),1,1,2,1,3,1,4,2,5,2,6,3,7,3,8,3,9,3,10,2,11,2,12,1,2)</f>
        <v>1</v>
      </c>
      <c r="P1521" s="43"/>
      <c r="AS1521" s="10"/>
      <c r="AT1521" s="10"/>
      <c r="AU1521" s="10"/>
      <c r="AV1521" s="10"/>
      <c r="AW1521" s="10"/>
      <c r="AX1521" s="10"/>
      <c r="AY1521" s="10"/>
      <c r="AZ1521" s="10"/>
      <c r="BA1521" s="10"/>
      <c r="BB1521" s="10"/>
      <c r="BC1521" s="10"/>
      <c r="BD1521" s="10"/>
      <c r="BE1521" s="10"/>
      <c r="BF1521" s="10"/>
      <c r="BG1521" s="10"/>
      <c r="BH1521" s="10"/>
      <c r="BI1521" s="10"/>
      <c r="BJ1521" s="10"/>
      <c r="BK1521" s="10"/>
      <c r="BL1521" s="10"/>
      <c r="BM1521" s="10"/>
      <c r="BN1521" s="10"/>
      <c r="BO1521" s="10"/>
      <c r="BP1521" s="10"/>
      <c r="BQ1521" s="10"/>
      <c r="BR1521" s="10"/>
      <c r="BS1521" s="10"/>
      <c r="BT1521" s="10"/>
      <c r="BU1521" s="10"/>
    </row>
    <row r="1522" spans="1:73" ht="18" x14ac:dyDescent="0.35">
      <c r="A1522" s="43"/>
      <c r="C1522" s="393"/>
      <c r="E1522" s="394"/>
      <c r="F1522" s="394">
        <v>0</v>
      </c>
      <c r="G1522" s="394"/>
      <c r="H1522" s="8" t="s">
        <v>235</v>
      </c>
      <c r="I1522" s="368">
        <f t="shared" si="70"/>
        <v>0</v>
      </c>
      <c r="J1522" s="365">
        <f t="shared" si="69"/>
        <v>0</v>
      </c>
      <c r="K1522" s="369">
        <f t="shared" si="71"/>
        <v>6</v>
      </c>
      <c r="L1522" s="369">
        <f>+IF((C1522&gt;='Resultats - informe'!$E$16)*(C1522&lt;='Resultats - informe'!$G$16),1,0)</f>
        <v>1</v>
      </c>
      <c r="M1522" s="369" cm="1">
        <f t="array" ref="M1522">+_xlfn.IFS((C1522&gt;='Resultats - informe'!$D$26)*(C1522&lt;='Resultats - informe'!$E$26),0,(C1522&gt;='Resultats - informe'!$D$27)*(C1522&lt;='Resultats - informe'!$E$27),0,(C1522&gt;='Resultats - informe'!$D$28)*(C1522&lt;='Resultats - informe'!$E$28),0,(C1522&gt;='Resultats - informe'!$D$29)*(C1522&lt;='Resultats - informe'!$E$29),0,1,1)</f>
        <v>0</v>
      </c>
      <c r="N1522" s="366">
        <f>+VLOOKUP(D1522,'Resultats - informe'!$Y$18:$AG$42,'Introducció dades consum'!K1522+1,0)</f>
        <v>0</v>
      </c>
      <c r="O1522" s="370" cm="1">
        <f t="array" ref="O1522">+_xlfn.SWITCH(MONTH(C1522),1,1,2,1,3,1,4,2,5,2,6,3,7,3,8,3,9,3,10,2,11,2,12,1,2)</f>
        <v>1</v>
      </c>
      <c r="P1522" s="43"/>
      <c r="AS1522" s="10"/>
      <c r="AT1522" s="10"/>
      <c r="AU1522" s="10"/>
      <c r="AV1522" s="10"/>
      <c r="AW1522" s="10"/>
      <c r="AX1522" s="10"/>
      <c r="AY1522" s="10"/>
      <c r="AZ1522" s="10"/>
      <c r="BA1522" s="10"/>
      <c r="BB1522" s="10"/>
      <c r="BC1522" s="10"/>
      <c r="BD1522" s="10"/>
      <c r="BE1522" s="10"/>
      <c r="BF1522" s="10"/>
      <c r="BG1522" s="10"/>
      <c r="BH1522" s="10"/>
      <c r="BI1522" s="10"/>
      <c r="BJ1522" s="10"/>
      <c r="BK1522" s="10"/>
      <c r="BL1522" s="10"/>
      <c r="BM1522" s="10"/>
      <c r="BN1522" s="10"/>
      <c r="BO1522" s="10"/>
      <c r="BP1522" s="10"/>
      <c r="BQ1522" s="10"/>
      <c r="BR1522" s="10"/>
      <c r="BS1522" s="10"/>
      <c r="BT1522" s="10"/>
      <c r="BU1522" s="10"/>
    </row>
    <row r="1523" spans="1:73" ht="18" x14ac:dyDescent="0.35">
      <c r="A1523" s="43"/>
      <c r="C1523" s="393"/>
      <c r="E1523" s="394"/>
      <c r="F1523" s="394">
        <v>0</v>
      </c>
      <c r="G1523" s="394"/>
      <c r="H1523" s="8" t="s">
        <v>235</v>
      </c>
      <c r="I1523" s="368">
        <f t="shared" si="70"/>
        <v>0</v>
      </c>
      <c r="J1523" s="365">
        <f t="shared" si="69"/>
        <v>0</v>
      </c>
      <c r="K1523" s="369">
        <f t="shared" si="71"/>
        <v>6</v>
      </c>
      <c r="L1523" s="369">
        <f>+IF((C1523&gt;='Resultats - informe'!$E$16)*(C1523&lt;='Resultats - informe'!$G$16),1,0)</f>
        <v>1</v>
      </c>
      <c r="M1523" s="369" cm="1">
        <f t="array" ref="M1523">+_xlfn.IFS((C1523&gt;='Resultats - informe'!$D$26)*(C1523&lt;='Resultats - informe'!$E$26),0,(C1523&gt;='Resultats - informe'!$D$27)*(C1523&lt;='Resultats - informe'!$E$27),0,(C1523&gt;='Resultats - informe'!$D$28)*(C1523&lt;='Resultats - informe'!$E$28),0,(C1523&gt;='Resultats - informe'!$D$29)*(C1523&lt;='Resultats - informe'!$E$29),0,1,1)</f>
        <v>0</v>
      </c>
      <c r="N1523" s="366">
        <f>+VLOOKUP(D1523,'Resultats - informe'!$Y$18:$AG$42,'Introducció dades consum'!K1523+1,0)</f>
        <v>0</v>
      </c>
      <c r="O1523" s="370" cm="1">
        <f t="array" ref="O1523">+_xlfn.SWITCH(MONTH(C1523),1,1,2,1,3,1,4,2,5,2,6,3,7,3,8,3,9,3,10,2,11,2,12,1,2)</f>
        <v>1</v>
      </c>
      <c r="P1523" s="43"/>
      <c r="AS1523" s="10"/>
      <c r="AT1523" s="10"/>
      <c r="AU1523" s="10"/>
      <c r="AV1523" s="10"/>
      <c r="AW1523" s="10"/>
      <c r="AX1523" s="10"/>
      <c r="AY1523" s="10"/>
      <c r="AZ1523" s="10"/>
      <c r="BA1523" s="10"/>
      <c r="BB1523" s="10"/>
      <c r="BC1523" s="10"/>
      <c r="BD1523" s="10"/>
      <c r="BE1523" s="10"/>
      <c r="BF1523" s="10"/>
      <c r="BG1523" s="10"/>
      <c r="BH1523" s="10"/>
      <c r="BI1523" s="10"/>
      <c r="BJ1523" s="10"/>
      <c r="BK1523" s="10"/>
      <c r="BL1523" s="10"/>
      <c r="BM1523" s="10"/>
      <c r="BN1523" s="10"/>
      <c r="BO1523" s="10"/>
      <c r="BP1523" s="10"/>
      <c r="BQ1523" s="10"/>
      <c r="BR1523" s="10"/>
      <c r="BS1523" s="10"/>
      <c r="BT1523" s="10"/>
      <c r="BU1523" s="10"/>
    </row>
    <row r="1524" spans="1:73" ht="18" x14ac:dyDescent="0.35">
      <c r="A1524" s="43"/>
      <c r="C1524" s="393"/>
      <c r="E1524" s="394"/>
      <c r="F1524" s="394">
        <v>0</v>
      </c>
      <c r="G1524" s="394"/>
      <c r="H1524" s="8" t="s">
        <v>235</v>
      </c>
      <c r="I1524" s="368">
        <f t="shared" si="70"/>
        <v>0</v>
      </c>
      <c r="J1524" s="365">
        <f t="shared" si="69"/>
        <v>0</v>
      </c>
      <c r="K1524" s="369">
        <f t="shared" si="71"/>
        <v>6</v>
      </c>
      <c r="L1524" s="369">
        <f>+IF((C1524&gt;='Resultats - informe'!$E$16)*(C1524&lt;='Resultats - informe'!$G$16),1,0)</f>
        <v>1</v>
      </c>
      <c r="M1524" s="369" cm="1">
        <f t="array" ref="M1524">+_xlfn.IFS((C1524&gt;='Resultats - informe'!$D$26)*(C1524&lt;='Resultats - informe'!$E$26),0,(C1524&gt;='Resultats - informe'!$D$27)*(C1524&lt;='Resultats - informe'!$E$27),0,(C1524&gt;='Resultats - informe'!$D$28)*(C1524&lt;='Resultats - informe'!$E$28),0,(C1524&gt;='Resultats - informe'!$D$29)*(C1524&lt;='Resultats - informe'!$E$29),0,1,1)</f>
        <v>0</v>
      </c>
      <c r="N1524" s="366">
        <f>+VLOOKUP(D1524,'Resultats - informe'!$Y$18:$AG$42,'Introducció dades consum'!K1524+1,0)</f>
        <v>0</v>
      </c>
      <c r="O1524" s="370" cm="1">
        <f t="array" ref="O1524">+_xlfn.SWITCH(MONTH(C1524),1,1,2,1,3,1,4,2,5,2,6,3,7,3,8,3,9,3,10,2,11,2,12,1,2)</f>
        <v>1</v>
      </c>
      <c r="P1524" s="43"/>
      <c r="AS1524" s="10"/>
      <c r="AT1524" s="10"/>
      <c r="AU1524" s="10"/>
      <c r="AV1524" s="10"/>
      <c r="AW1524" s="10"/>
      <c r="AX1524" s="10"/>
      <c r="AY1524" s="10"/>
      <c r="AZ1524" s="10"/>
      <c r="BA1524" s="10"/>
      <c r="BB1524" s="10"/>
      <c r="BC1524" s="10"/>
      <c r="BD1524" s="10"/>
      <c r="BE1524" s="10"/>
      <c r="BF1524" s="10"/>
      <c r="BG1524" s="10"/>
      <c r="BH1524" s="10"/>
      <c r="BI1524" s="10"/>
      <c r="BJ1524" s="10"/>
      <c r="BK1524" s="10"/>
      <c r="BL1524" s="10"/>
      <c r="BM1524" s="10"/>
      <c r="BN1524" s="10"/>
      <c r="BO1524" s="10"/>
      <c r="BP1524" s="10"/>
      <c r="BQ1524" s="10"/>
      <c r="BR1524" s="10"/>
      <c r="BS1524" s="10"/>
      <c r="BT1524" s="10"/>
      <c r="BU1524" s="10"/>
    </row>
    <row r="1525" spans="1:73" ht="18" x14ac:dyDescent="0.35">
      <c r="A1525" s="43"/>
      <c r="C1525" s="393"/>
      <c r="E1525" s="394"/>
      <c r="F1525" s="394">
        <v>1.2090000000000001</v>
      </c>
      <c r="G1525" s="394"/>
      <c r="H1525" s="8" t="s">
        <v>235</v>
      </c>
      <c r="I1525" s="368">
        <f t="shared" si="70"/>
        <v>0</v>
      </c>
      <c r="J1525" s="365">
        <f t="shared" si="69"/>
        <v>0</v>
      </c>
      <c r="K1525" s="369">
        <f t="shared" si="71"/>
        <v>6</v>
      </c>
      <c r="L1525" s="369">
        <f>+IF((C1525&gt;='Resultats - informe'!$E$16)*(C1525&lt;='Resultats - informe'!$G$16),1,0)</f>
        <v>1</v>
      </c>
      <c r="M1525" s="369" cm="1">
        <f t="array" ref="M1525">+_xlfn.IFS((C1525&gt;='Resultats - informe'!$D$26)*(C1525&lt;='Resultats - informe'!$E$26),0,(C1525&gt;='Resultats - informe'!$D$27)*(C1525&lt;='Resultats - informe'!$E$27),0,(C1525&gt;='Resultats - informe'!$D$28)*(C1525&lt;='Resultats - informe'!$E$28),0,(C1525&gt;='Resultats - informe'!$D$29)*(C1525&lt;='Resultats - informe'!$E$29),0,1,1)</f>
        <v>0</v>
      </c>
      <c r="N1525" s="366">
        <f>+VLOOKUP(D1525,'Resultats - informe'!$Y$18:$AG$42,'Introducció dades consum'!K1525+1,0)</f>
        <v>0</v>
      </c>
      <c r="O1525" s="370" cm="1">
        <f t="array" ref="O1525">+_xlfn.SWITCH(MONTH(C1525),1,1,2,1,3,1,4,2,5,2,6,3,7,3,8,3,9,3,10,2,11,2,12,1,2)</f>
        <v>1</v>
      </c>
      <c r="P1525" s="43"/>
      <c r="AS1525" s="10"/>
      <c r="AT1525" s="10"/>
      <c r="AU1525" s="10"/>
      <c r="AV1525" s="10"/>
      <c r="AW1525" s="10"/>
      <c r="AX1525" s="10"/>
      <c r="AY1525" s="10"/>
      <c r="AZ1525" s="10"/>
      <c r="BA1525" s="10"/>
      <c r="BB1525" s="10"/>
      <c r="BC1525" s="10"/>
      <c r="BD1525" s="10"/>
      <c r="BE1525" s="10"/>
      <c r="BF1525" s="10"/>
      <c r="BG1525" s="10"/>
      <c r="BH1525" s="10"/>
      <c r="BI1525" s="10"/>
      <c r="BJ1525" s="10"/>
      <c r="BK1525" s="10"/>
      <c r="BL1525" s="10"/>
      <c r="BM1525" s="10"/>
      <c r="BN1525" s="10"/>
      <c r="BO1525" s="10"/>
      <c r="BP1525" s="10"/>
      <c r="BQ1525" s="10"/>
      <c r="BR1525" s="10"/>
      <c r="BS1525" s="10"/>
      <c r="BT1525" s="10"/>
      <c r="BU1525" s="10"/>
    </row>
    <row r="1526" spans="1:73" ht="18" x14ac:dyDescent="0.35">
      <c r="A1526" s="43"/>
      <c r="C1526" s="393"/>
      <c r="E1526" s="394"/>
      <c r="F1526" s="394">
        <v>2.681</v>
      </c>
      <c r="G1526" s="394"/>
      <c r="H1526" s="8" t="s">
        <v>235</v>
      </c>
      <c r="I1526" s="368">
        <f t="shared" si="70"/>
        <v>0</v>
      </c>
      <c r="J1526" s="365">
        <f t="shared" si="69"/>
        <v>0</v>
      </c>
      <c r="K1526" s="369">
        <f t="shared" si="71"/>
        <v>6</v>
      </c>
      <c r="L1526" s="369">
        <f>+IF((C1526&gt;='Resultats - informe'!$E$16)*(C1526&lt;='Resultats - informe'!$G$16),1,0)</f>
        <v>1</v>
      </c>
      <c r="M1526" s="369" cm="1">
        <f t="array" ref="M1526">+_xlfn.IFS((C1526&gt;='Resultats - informe'!$D$26)*(C1526&lt;='Resultats - informe'!$E$26),0,(C1526&gt;='Resultats - informe'!$D$27)*(C1526&lt;='Resultats - informe'!$E$27),0,(C1526&gt;='Resultats - informe'!$D$28)*(C1526&lt;='Resultats - informe'!$E$28),0,(C1526&gt;='Resultats - informe'!$D$29)*(C1526&lt;='Resultats - informe'!$E$29),0,1,1)</f>
        <v>0</v>
      </c>
      <c r="N1526" s="366">
        <f>+VLOOKUP(D1526,'Resultats - informe'!$Y$18:$AG$42,'Introducció dades consum'!K1526+1,0)</f>
        <v>0</v>
      </c>
      <c r="O1526" s="370" cm="1">
        <f t="array" ref="O1526">+_xlfn.SWITCH(MONTH(C1526),1,1,2,1,3,1,4,2,5,2,6,3,7,3,8,3,9,3,10,2,11,2,12,1,2)</f>
        <v>1</v>
      </c>
      <c r="P1526" s="43"/>
      <c r="AS1526" s="10"/>
      <c r="AT1526" s="10"/>
      <c r="AU1526" s="10"/>
      <c r="AV1526" s="10"/>
      <c r="AW1526" s="10"/>
      <c r="AX1526" s="10"/>
      <c r="AY1526" s="10"/>
      <c r="AZ1526" s="10"/>
      <c r="BA1526" s="10"/>
      <c r="BB1526" s="10"/>
      <c r="BC1526" s="10"/>
      <c r="BD1526" s="10"/>
      <c r="BE1526" s="10"/>
      <c r="BF1526" s="10"/>
      <c r="BG1526" s="10"/>
      <c r="BH1526" s="10"/>
      <c r="BI1526" s="10"/>
      <c r="BJ1526" s="10"/>
      <c r="BK1526" s="10"/>
      <c r="BL1526" s="10"/>
      <c r="BM1526" s="10"/>
      <c r="BN1526" s="10"/>
      <c r="BO1526" s="10"/>
      <c r="BP1526" s="10"/>
      <c r="BQ1526" s="10"/>
      <c r="BR1526" s="10"/>
      <c r="BS1526" s="10"/>
      <c r="BT1526" s="10"/>
      <c r="BU1526" s="10"/>
    </row>
    <row r="1527" spans="1:73" ht="18" x14ac:dyDescent="0.35">
      <c r="A1527" s="43"/>
      <c r="C1527" s="393"/>
      <c r="E1527" s="394"/>
      <c r="F1527" s="394">
        <v>1.911</v>
      </c>
      <c r="G1527" s="394"/>
      <c r="H1527" s="8" t="s">
        <v>235</v>
      </c>
      <c r="I1527" s="368">
        <f t="shared" si="70"/>
        <v>0</v>
      </c>
      <c r="J1527" s="365">
        <f t="shared" si="69"/>
        <v>0</v>
      </c>
      <c r="K1527" s="369">
        <f t="shared" si="71"/>
        <v>6</v>
      </c>
      <c r="L1527" s="369">
        <f>+IF((C1527&gt;='Resultats - informe'!$E$16)*(C1527&lt;='Resultats - informe'!$G$16),1,0)</f>
        <v>1</v>
      </c>
      <c r="M1527" s="369" cm="1">
        <f t="array" ref="M1527">+_xlfn.IFS((C1527&gt;='Resultats - informe'!$D$26)*(C1527&lt;='Resultats - informe'!$E$26),0,(C1527&gt;='Resultats - informe'!$D$27)*(C1527&lt;='Resultats - informe'!$E$27),0,(C1527&gt;='Resultats - informe'!$D$28)*(C1527&lt;='Resultats - informe'!$E$28),0,(C1527&gt;='Resultats - informe'!$D$29)*(C1527&lt;='Resultats - informe'!$E$29),0,1,1)</f>
        <v>0</v>
      </c>
      <c r="N1527" s="366">
        <f>+VLOOKUP(D1527,'Resultats - informe'!$Y$18:$AG$42,'Introducció dades consum'!K1527+1,0)</f>
        <v>0</v>
      </c>
      <c r="O1527" s="370" cm="1">
        <f t="array" ref="O1527">+_xlfn.SWITCH(MONTH(C1527),1,1,2,1,3,1,4,2,5,2,6,3,7,3,8,3,9,3,10,2,11,2,12,1,2)</f>
        <v>1</v>
      </c>
      <c r="P1527" s="43"/>
      <c r="AS1527" s="10"/>
      <c r="AT1527" s="10"/>
      <c r="AU1527" s="10"/>
      <c r="AV1527" s="10"/>
      <c r="AW1527" s="10"/>
      <c r="AX1527" s="10"/>
      <c r="AY1527" s="10"/>
      <c r="AZ1527" s="10"/>
      <c r="BA1527" s="10"/>
      <c r="BB1527" s="10"/>
      <c r="BC1527" s="10"/>
      <c r="BD1527" s="10"/>
      <c r="BE1527" s="10"/>
      <c r="BF1527" s="10"/>
      <c r="BG1527" s="10"/>
      <c r="BH1527" s="10"/>
      <c r="BI1527" s="10"/>
      <c r="BJ1527" s="10"/>
      <c r="BK1527" s="10"/>
      <c r="BL1527" s="10"/>
      <c r="BM1527" s="10"/>
      <c r="BN1527" s="10"/>
      <c r="BO1527" s="10"/>
      <c r="BP1527" s="10"/>
      <c r="BQ1527" s="10"/>
      <c r="BR1527" s="10"/>
      <c r="BS1527" s="10"/>
      <c r="BT1527" s="10"/>
      <c r="BU1527" s="10"/>
    </row>
    <row r="1528" spans="1:73" ht="18" x14ac:dyDescent="0.35">
      <c r="A1528" s="43"/>
      <c r="C1528" s="393"/>
      <c r="E1528" s="394"/>
      <c r="F1528" s="394">
        <v>2.2410000000000001</v>
      </c>
      <c r="G1528" s="394"/>
      <c r="H1528" s="8" t="s">
        <v>235</v>
      </c>
      <c r="I1528" s="368">
        <f t="shared" si="70"/>
        <v>0</v>
      </c>
      <c r="J1528" s="365">
        <f t="shared" si="69"/>
        <v>0</v>
      </c>
      <c r="K1528" s="369">
        <f t="shared" si="71"/>
        <v>6</v>
      </c>
      <c r="L1528" s="369">
        <f>+IF((C1528&gt;='Resultats - informe'!$E$16)*(C1528&lt;='Resultats - informe'!$G$16),1,0)</f>
        <v>1</v>
      </c>
      <c r="M1528" s="369" cm="1">
        <f t="array" ref="M1528">+_xlfn.IFS((C1528&gt;='Resultats - informe'!$D$26)*(C1528&lt;='Resultats - informe'!$E$26),0,(C1528&gt;='Resultats - informe'!$D$27)*(C1528&lt;='Resultats - informe'!$E$27),0,(C1528&gt;='Resultats - informe'!$D$28)*(C1528&lt;='Resultats - informe'!$E$28),0,(C1528&gt;='Resultats - informe'!$D$29)*(C1528&lt;='Resultats - informe'!$E$29),0,1,1)</f>
        <v>0</v>
      </c>
      <c r="N1528" s="366">
        <f>+VLOOKUP(D1528,'Resultats - informe'!$Y$18:$AG$42,'Introducció dades consum'!K1528+1,0)</f>
        <v>0</v>
      </c>
      <c r="O1528" s="370" cm="1">
        <f t="array" ref="O1528">+_xlfn.SWITCH(MONTH(C1528),1,1,2,1,3,1,4,2,5,2,6,3,7,3,8,3,9,3,10,2,11,2,12,1,2)</f>
        <v>1</v>
      </c>
      <c r="P1528" s="43"/>
      <c r="AS1528" s="10"/>
      <c r="AT1528" s="10"/>
      <c r="AU1528" s="10"/>
      <c r="AV1528" s="10"/>
      <c r="AW1528" s="10"/>
      <c r="AX1528" s="10"/>
      <c r="AY1528" s="10"/>
      <c r="AZ1528" s="10"/>
      <c r="BA1528" s="10"/>
      <c r="BB1528" s="10"/>
      <c r="BC1528" s="10"/>
      <c r="BD1528" s="10"/>
      <c r="BE1528" s="10"/>
      <c r="BF1528" s="10"/>
      <c r="BG1528" s="10"/>
      <c r="BH1528" s="10"/>
      <c r="BI1528" s="10"/>
      <c r="BJ1528" s="10"/>
      <c r="BK1528" s="10"/>
      <c r="BL1528" s="10"/>
      <c r="BM1528" s="10"/>
      <c r="BN1528" s="10"/>
      <c r="BO1528" s="10"/>
      <c r="BP1528" s="10"/>
      <c r="BQ1528" s="10"/>
      <c r="BR1528" s="10"/>
      <c r="BS1528" s="10"/>
      <c r="BT1528" s="10"/>
      <c r="BU1528" s="10"/>
    </row>
    <row r="1529" spans="1:73" ht="18" x14ac:dyDescent="0.35">
      <c r="A1529" s="43"/>
      <c r="C1529" s="393"/>
      <c r="E1529" s="394"/>
      <c r="F1529" s="394">
        <v>1.8779999999999999</v>
      </c>
      <c r="G1529" s="394"/>
      <c r="H1529" s="8" t="s">
        <v>235</v>
      </c>
      <c r="I1529" s="368">
        <f t="shared" si="70"/>
        <v>0</v>
      </c>
      <c r="J1529" s="365">
        <f t="shared" si="69"/>
        <v>0</v>
      </c>
      <c r="K1529" s="369">
        <f t="shared" si="71"/>
        <v>6</v>
      </c>
      <c r="L1529" s="369">
        <f>+IF((C1529&gt;='Resultats - informe'!$E$16)*(C1529&lt;='Resultats - informe'!$G$16),1,0)</f>
        <v>1</v>
      </c>
      <c r="M1529" s="369" cm="1">
        <f t="array" ref="M1529">+_xlfn.IFS((C1529&gt;='Resultats - informe'!$D$26)*(C1529&lt;='Resultats - informe'!$E$26),0,(C1529&gt;='Resultats - informe'!$D$27)*(C1529&lt;='Resultats - informe'!$E$27),0,(C1529&gt;='Resultats - informe'!$D$28)*(C1529&lt;='Resultats - informe'!$E$28),0,(C1529&gt;='Resultats - informe'!$D$29)*(C1529&lt;='Resultats - informe'!$E$29),0,1,1)</f>
        <v>0</v>
      </c>
      <c r="N1529" s="366">
        <f>+VLOOKUP(D1529,'Resultats - informe'!$Y$18:$AG$42,'Introducció dades consum'!K1529+1,0)</f>
        <v>0</v>
      </c>
      <c r="O1529" s="370" cm="1">
        <f t="array" ref="O1529">+_xlfn.SWITCH(MONTH(C1529),1,1,2,1,3,1,4,2,5,2,6,3,7,3,8,3,9,3,10,2,11,2,12,1,2)</f>
        <v>1</v>
      </c>
      <c r="P1529" s="43"/>
      <c r="AS1529" s="10"/>
      <c r="AT1529" s="10"/>
      <c r="AU1529" s="10"/>
      <c r="AV1529" s="10"/>
      <c r="AW1529" s="10"/>
      <c r="AX1529" s="10"/>
      <c r="AY1529" s="10"/>
      <c r="AZ1529" s="10"/>
      <c r="BA1529" s="10"/>
      <c r="BB1529" s="10"/>
      <c r="BC1529" s="10"/>
      <c r="BD1529" s="10"/>
      <c r="BE1529" s="10"/>
      <c r="BF1529" s="10"/>
      <c r="BG1529" s="10"/>
      <c r="BH1529" s="10"/>
      <c r="BI1529" s="10"/>
      <c r="BJ1529" s="10"/>
      <c r="BK1529" s="10"/>
      <c r="BL1529" s="10"/>
      <c r="BM1529" s="10"/>
      <c r="BN1529" s="10"/>
      <c r="BO1529" s="10"/>
      <c r="BP1529" s="10"/>
      <c r="BQ1529" s="10"/>
      <c r="BR1529" s="10"/>
      <c r="BS1529" s="10"/>
      <c r="BT1529" s="10"/>
      <c r="BU1529" s="10"/>
    </row>
    <row r="1530" spans="1:73" ht="18" x14ac:dyDescent="0.35">
      <c r="A1530" s="43"/>
      <c r="C1530" s="393"/>
      <c r="E1530" s="394"/>
      <c r="F1530" s="394">
        <v>1.367</v>
      </c>
      <c r="G1530" s="394"/>
      <c r="H1530" s="8" t="s">
        <v>235</v>
      </c>
      <c r="I1530" s="368">
        <f t="shared" si="70"/>
        <v>0</v>
      </c>
      <c r="J1530" s="365">
        <f t="shared" si="69"/>
        <v>0</v>
      </c>
      <c r="K1530" s="369">
        <f t="shared" si="71"/>
        <v>6</v>
      </c>
      <c r="L1530" s="369">
        <f>+IF((C1530&gt;='Resultats - informe'!$E$16)*(C1530&lt;='Resultats - informe'!$G$16),1,0)</f>
        <v>1</v>
      </c>
      <c r="M1530" s="369" cm="1">
        <f t="array" ref="M1530">+_xlfn.IFS((C1530&gt;='Resultats - informe'!$D$26)*(C1530&lt;='Resultats - informe'!$E$26),0,(C1530&gt;='Resultats - informe'!$D$27)*(C1530&lt;='Resultats - informe'!$E$27),0,(C1530&gt;='Resultats - informe'!$D$28)*(C1530&lt;='Resultats - informe'!$E$28),0,(C1530&gt;='Resultats - informe'!$D$29)*(C1530&lt;='Resultats - informe'!$E$29),0,1,1)</f>
        <v>0</v>
      </c>
      <c r="N1530" s="366">
        <f>+VLOOKUP(D1530,'Resultats - informe'!$Y$18:$AG$42,'Introducció dades consum'!K1530+1,0)</f>
        <v>0</v>
      </c>
      <c r="O1530" s="370" cm="1">
        <f t="array" ref="O1530">+_xlfn.SWITCH(MONTH(C1530),1,1,2,1,3,1,4,2,5,2,6,3,7,3,8,3,9,3,10,2,11,2,12,1,2)</f>
        <v>1</v>
      </c>
      <c r="P1530" s="43"/>
      <c r="AS1530" s="10"/>
      <c r="AT1530" s="10"/>
      <c r="AU1530" s="10"/>
      <c r="AV1530" s="10"/>
      <c r="AW1530" s="10"/>
      <c r="AX1530" s="10"/>
      <c r="AY1530" s="10"/>
      <c r="AZ1530" s="10"/>
      <c r="BA1530" s="10"/>
      <c r="BB1530" s="10"/>
      <c r="BC1530" s="10"/>
      <c r="BD1530" s="10"/>
      <c r="BE1530" s="10"/>
      <c r="BF1530" s="10"/>
      <c r="BG1530" s="10"/>
      <c r="BH1530" s="10"/>
      <c r="BI1530" s="10"/>
      <c r="BJ1530" s="10"/>
      <c r="BK1530" s="10"/>
      <c r="BL1530" s="10"/>
      <c r="BM1530" s="10"/>
      <c r="BN1530" s="10"/>
      <c r="BO1530" s="10"/>
      <c r="BP1530" s="10"/>
      <c r="BQ1530" s="10"/>
      <c r="BR1530" s="10"/>
      <c r="BS1530" s="10"/>
      <c r="BT1530" s="10"/>
      <c r="BU1530" s="10"/>
    </row>
    <row r="1531" spans="1:73" ht="18" x14ac:dyDescent="0.35">
      <c r="A1531" s="43"/>
      <c r="C1531" s="393"/>
      <c r="E1531" s="394"/>
      <c r="F1531" s="394">
        <v>1.468</v>
      </c>
      <c r="G1531" s="394"/>
      <c r="H1531" s="8" t="s">
        <v>235</v>
      </c>
      <c r="I1531" s="368">
        <f t="shared" si="70"/>
        <v>0</v>
      </c>
      <c r="J1531" s="365">
        <f t="shared" ref="J1531:J1594" si="72">+C1531</f>
        <v>0</v>
      </c>
      <c r="K1531" s="369">
        <f t="shared" si="71"/>
        <v>6</v>
      </c>
      <c r="L1531" s="369">
        <f>+IF((C1531&gt;='Resultats - informe'!$E$16)*(C1531&lt;='Resultats - informe'!$G$16),1,0)</f>
        <v>1</v>
      </c>
      <c r="M1531" s="369" cm="1">
        <f t="array" ref="M1531">+_xlfn.IFS((C1531&gt;='Resultats - informe'!$D$26)*(C1531&lt;='Resultats - informe'!$E$26),0,(C1531&gt;='Resultats - informe'!$D$27)*(C1531&lt;='Resultats - informe'!$E$27),0,(C1531&gt;='Resultats - informe'!$D$28)*(C1531&lt;='Resultats - informe'!$E$28),0,(C1531&gt;='Resultats - informe'!$D$29)*(C1531&lt;='Resultats - informe'!$E$29),0,1,1)</f>
        <v>0</v>
      </c>
      <c r="N1531" s="366">
        <f>+VLOOKUP(D1531,'Resultats - informe'!$Y$18:$AG$42,'Introducció dades consum'!K1531+1,0)</f>
        <v>0</v>
      </c>
      <c r="O1531" s="370" cm="1">
        <f t="array" ref="O1531">+_xlfn.SWITCH(MONTH(C1531),1,1,2,1,3,1,4,2,5,2,6,3,7,3,8,3,9,3,10,2,11,2,12,1,2)</f>
        <v>1</v>
      </c>
      <c r="P1531" s="43"/>
      <c r="AS1531" s="10"/>
      <c r="AT1531" s="10"/>
      <c r="AU1531" s="10"/>
      <c r="AV1531" s="10"/>
      <c r="AW1531" s="10"/>
      <c r="AX1531" s="10"/>
      <c r="AY1531" s="10"/>
      <c r="AZ1531" s="10"/>
      <c r="BA1531" s="10"/>
      <c r="BB1531" s="10"/>
      <c r="BC1531" s="10"/>
      <c r="BD1531" s="10"/>
      <c r="BE1531" s="10"/>
      <c r="BF1531" s="10"/>
      <c r="BG1531" s="10"/>
      <c r="BH1531" s="10"/>
      <c r="BI1531" s="10"/>
      <c r="BJ1531" s="10"/>
      <c r="BK1531" s="10"/>
      <c r="BL1531" s="10"/>
      <c r="BM1531" s="10"/>
      <c r="BN1531" s="10"/>
      <c r="BO1531" s="10"/>
      <c r="BP1531" s="10"/>
      <c r="BQ1531" s="10"/>
      <c r="BR1531" s="10"/>
      <c r="BS1531" s="10"/>
      <c r="BT1531" s="10"/>
      <c r="BU1531" s="10"/>
    </row>
    <row r="1532" spans="1:73" ht="18" x14ac:dyDescent="0.35">
      <c r="A1532" s="43"/>
      <c r="C1532" s="393"/>
      <c r="E1532" s="394"/>
      <c r="F1532" s="394">
        <v>1.7270000000000001</v>
      </c>
      <c r="G1532" s="394"/>
      <c r="H1532" s="8" t="s">
        <v>235</v>
      </c>
      <c r="I1532" s="368">
        <f t="shared" si="70"/>
        <v>0</v>
      </c>
      <c r="J1532" s="365">
        <f t="shared" si="72"/>
        <v>0</v>
      </c>
      <c r="K1532" s="369">
        <f t="shared" si="71"/>
        <v>6</v>
      </c>
      <c r="L1532" s="369">
        <f>+IF((C1532&gt;='Resultats - informe'!$E$16)*(C1532&lt;='Resultats - informe'!$G$16),1,0)</f>
        <v>1</v>
      </c>
      <c r="M1532" s="369" cm="1">
        <f t="array" ref="M1532">+_xlfn.IFS((C1532&gt;='Resultats - informe'!$D$26)*(C1532&lt;='Resultats - informe'!$E$26),0,(C1532&gt;='Resultats - informe'!$D$27)*(C1532&lt;='Resultats - informe'!$E$27),0,(C1532&gt;='Resultats - informe'!$D$28)*(C1532&lt;='Resultats - informe'!$E$28),0,(C1532&gt;='Resultats - informe'!$D$29)*(C1532&lt;='Resultats - informe'!$E$29),0,1,1)</f>
        <v>0</v>
      </c>
      <c r="N1532" s="366">
        <f>+VLOOKUP(D1532,'Resultats - informe'!$Y$18:$AG$42,'Introducció dades consum'!K1532+1,0)</f>
        <v>0</v>
      </c>
      <c r="O1532" s="370" cm="1">
        <f t="array" ref="O1532">+_xlfn.SWITCH(MONTH(C1532),1,1,2,1,3,1,4,2,5,2,6,3,7,3,8,3,9,3,10,2,11,2,12,1,2)</f>
        <v>1</v>
      </c>
      <c r="P1532" s="43"/>
      <c r="AS1532" s="10"/>
      <c r="AT1532" s="10"/>
      <c r="AU1532" s="10"/>
      <c r="AV1532" s="10"/>
      <c r="AW1532" s="10"/>
      <c r="AX1532" s="10"/>
      <c r="AY1532" s="10"/>
      <c r="AZ1532" s="10"/>
      <c r="BA1532" s="10"/>
      <c r="BB1532" s="10"/>
      <c r="BC1532" s="10"/>
      <c r="BD1532" s="10"/>
      <c r="BE1532" s="10"/>
      <c r="BF1532" s="10"/>
      <c r="BG1532" s="10"/>
      <c r="BH1532" s="10"/>
      <c r="BI1532" s="10"/>
      <c r="BJ1532" s="10"/>
      <c r="BK1532" s="10"/>
      <c r="BL1532" s="10"/>
      <c r="BM1532" s="10"/>
      <c r="BN1532" s="10"/>
      <c r="BO1532" s="10"/>
      <c r="BP1532" s="10"/>
      <c r="BQ1532" s="10"/>
      <c r="BR1532" s="10"/>
      <c r="BS1532" s="10"/>
      <c r="BT1532" s="10"/>
      <c r="BU1532" s="10"/>
    </row>
    <row r="1533" spans="1:73" ht="18" x14ac:dyDescent="0.35">
      <c r="A1533" s="43"/>
      <c r="C1533" s="393"/>
      <c r="E1533" s="394"/>
      <c r="F1533" s="394">
        <v>1.879</v>
      </c>
      <c r="G1533" s="394"/>
      <c r="H1533" s="8" t="s">
        <v>61</v>
      </c>
      <c r="I1533" s="368">
        <f t="shared" si="70"/>
        <v>0</v>
      </c>
      <c r="J1533" s="365">
        <f t="shared" si="72"/>
        <v>0</v>
      </c>
      <c r="K1533" s="369">
        <f t="shared" si="71"/>
        <v>6</v>
      </c>
      <c r="L1533" s="369">
        <f>+IF((C1533&gt;='Resultats - informe'!$E$16)*(C1533&lt;='Resultats - informe'!$G$16),1,0)</f>
        <v>1</v>
      </c>
      <c r="M1533" s="369" cm="1">
        <f t="array" ref="M1533">+_xlfn.IFS((C1533&gt;='Resultats - informe'!$D$26)*(C1533&lt;='Resultats - informe'!$E$26),0,(C1533&gt;='Resultats - informe'!$D$27)*(C1533&lt;='Resultats - informe'!$E$27),0,(C1533&gt;='Resultats - informe'!$D$28)*(C1533&lt;='Resultats - informe'!$E$28),0,(C1533&gt;='Resultats - informe'!$D$29)*(C1533&lt;='Resultats - informe'!$E$29),0,1,1)</f>
        <v>0</v>
      </c>
      <c r="N1533" s="366">
        <f>+VLOOKUP(D1533,'Resultats - informe'!$Y$18:$AG$42,'Introducció dades consum'!K1533+1,0)</f>
        <v>0</v>
      </c>
      <c r="O1533" s="370" cm="1">
        <f t="array" ref="O1533">+_xlfn.SWITCH(MONTH(C1533),1,1,2,1,3,1,4,2,5,2,6,3,7,3,8,3,9,3,10,2,11,2,12,1,2)</f>
        <v>1</v>
      </c>
      <c r="P1533" s="43"/>
      <c r="AS1533" s="10"/>
      <c r="AT1533" s="10"/>
      <c r="AU1533" s="10"/>
      <c r="AV1533" s="10"/>
      <c r="AW1533" s="10"/>
      <c r="AX1533" s="10"/>
      <c r="AY1533" s="10"/>
      <c r="AZ1533" s="10"/>
      <c r="BA1533" s="10"/>
      <c r="BB1533" s="10"/>
      <c r="BC1533" s="10"/>
      <c r="BD1533" s="10"/>
      <c r="BE1533" s="10"/>
      <c r="BF1533" s="10"/>
      <c r="BG1533" s="10"/>
      <c r="BH1533" s="10"/>
      <c r="BI1533" s="10"/>
      <c r="BJ1533" s="10"/>
      <c r="BK1533" s="10"/>
      <c r="BL1533" s="10"/>
      <c r="BM1533" s="10"/>
      <c r="BN1533" s="10"/>
      <c r="BO1533" s="10"/>
      <c r="BP1533" s="10"/>
      <c r="BQ1533" s="10"/>
      <c r="BR1533" s="10"/>
      <c r="BS1533" s="10"/>
      <c r="BT1533" s="10"/>
      <c r="BU1533" s="10"/>
    </row>
    <row r="1534" spans="1:73" ht="18" x14ac:dyDescent="0.35">
      <c r="A1534" s="43"/>
      <c r="C1534" s="393"/>
      <c r="E1534" s="394"/>
      <c r="F1534" s="394">
        <v>0</v>
      </c>
      <c r="G1534" s="394"/>
      <c r="H1534" s="8" t="s">
        <v>235</v>
      </c>
      <c r="I1534" s="368">
        <f t="shared" si="70"/>
        <v>0</v>
      </c>
      <c r="J1534" s="365">
        <f t="shared" si="72"/>
        <v>0</v>
      </c>
      <c r="K1534" s="369">
        <f t="shared" si="71"/>
        <v>6</v>
      </c>
      <c r="L1534" s="369">
        <f>+IF((C1534&gt;='Resultats - informe'!$E$16)*(C1534&lt;='Resultats - informe'!$G$16),1,0)</f>
        <v>1</v>
      </c>
      <c r="M1534" s="369" cm="1">
        <f t="array" ref="M1534">+_xlfn.IFS((C1534&gt;='Resultats - informe'!$D$26)*(C1534&lt;='Resultats - informe'!$E$26),0,(C1534&gt;='Resultats - informe'!$D$27)*(C1534&lt;='Resultats - informe'!$E$27),0,(C1534&gt;='Resultats - informe'!$D$28)*(C1534&lt;='Resultats - informe'!$E$28),0,(C1534&gt;='Resultats - informe'!$D$29)*(C1534&lt;='Resultats - informe'!$E$29),0,1,1)</f>
        <v>0</v>
      </c>
      <c r="N1534" s="366">
        <f>+VLOOKUP(D1534,'Resultats - informe'!$Y$18:$AG$42,'Introducció dades consum'!K1534+1,0)</f>
        <v>0</v>
      </c>
      <c r="O1534" s="370" cm="1">
        <f t="array" ref="O1534">+_xlfn.SWITCH(MONTH(C1534),1,1,2,1,3,1,4,2,5,2,6,3,7,3,8,3,9,3,10,2,11,2,12,1,2)</f>
        <v>1</v>
      </c>
      <c r="P1534" s="43"/>
      <c r="AS1534" s="10"/>
      <c r="AT1534" s="10"/>
      <c r="AU1534" s="10"/>
      <c r="AV1534" s="10"/>
      <c r="AW1534" s="10"/>
      <c r="AX1534" s="10"/>
      <c r="AY1534" s="10"/>
      <c r="AZ1534" s="10"/>
      <c r="BA1534" s="10"/>
      <c r="BB1534" s="10"/>
      <c r="BC1534" s="10"/>
      <c r="BD1534" s="10"/>
      <c r="BE1534" s="10"/>
      <c r="BF1534" s="10"/>
      <c r="BG1534" s="10"/>
      <c r="BH1534" s="10"/>
      <c r="BI1534" s="10"/>
      <c r="BJ1534" s="10"/>
      <c r="BK1534" s="10"/>
      <c r="BL1534" s="10"/>
      <c r="BM1534" s="10"/>
      <c r="BN1534" s="10"/>
      <c r="BO1534" s="10"/>
      <c r="BP1534" s="10"/>
      <c r="BQ1534" s="10"/>
      <c r="BR1534" s="10"/>
      <c r="BS1534" s="10"/>
      <c r="BT1534" s="10"/>
      <c r="BU1534" s="10"/>
    </row>
    <row r="1535" spans="1:73" ht="18" x14ac:dyDescent="0.35">
      <c r="A1535" s="43"/>
      <c r="C1535" s="393"/>
      <c r="E1535" s="394"/>
      <c r="F1535" s="394">
        <v>0</v>
      </c>
      <c r="G1535" s="394"/>
      <c r="H1535" s="8" t="s">
        <v>235</v>
      </c>
      <c r="I1535" s="368">
        <f t="shared" si="70"/>
        <v>0</v>
      </c>
      <c r="J1535" s="365">
        <f t="shared" si="72"/>
        <v>0</v>
      </c>
      <c r="K1535" s="369">
        <f t="shared" si="71"/>
        <v>6</v>
      </c>
      <c r="L1535" s="369">
        <f>+IF((C1535&gt;='Resultats - informe'!$E$16)*(C1535&lt;='Resultats - informe'!$G$16),1,0)</f>
        <v>1</v>
      </c>
      <c r="M1535" s="369" cm="1">
        <f t="array" ref="M1535">+_xlfn.IFS((C1535&gt;='Resultats - informe'!$D$26)*(C1535&lt;='Resultats - informe'!$E$26),0,(C1535&gt;='Resultats - informe'!$D$27)*(C1535&lt;='Resultats - informe'!$E$27),0,(C1535&gt;='Resultats - informe'!$D$28)*(C1535&lt;='Resultats - informe'!$E$28),0,(C1535&gt;='Resultats - informe'!$D$29)*(C1535&lt;='Resultats - informe'!$E$29),0,1,1)</f>
        <v>0</v>
      </c>
      <c r="N1535" s="366">
        <f>+VLOOKUP(D1535,'Resultats - informe'!$Y$18:$AG$42,'Introducció dades consum'!K1535+1,0)</f>
        <v>0</v>
      </c>
      <c r="O1535" s="370" cm="1">
        <f t="array" ref="O1535">+_xlfn.SWITCH(MONTH(C1535),1,1,2,1,3,1,4,2,5,2,6,3,7,3,8,3,9,3,10,2,11,2,12,1,2)</f>
        <v>1</v>
      </c>
      <c r="P1535" s="43"/>
      <c r="AS1535" s="10"/>
      <c r="AT1535" s="10"/>
      <c r="AU1535" s="10"/>
      <c r="AV1535" s="10"/>
      <c r="AW1535" s="10"/>
      <c r="AX1535" s="10"/>
      <c r="AY1535" s="10"/>
      <c r="AZ1535" s="10"/>
      <c r="BA1535" s="10"/>
      <c r="BB1535" s="10"/>
      <c r="BC1535" s="10"/>
      <c r="BD1535" s="10"/>
      <c r="BE1535" s="10"/>
      <c r="BF1535" s="10"/>
      <c r="BG1535" s="10"/>
      <c r="BH1535" s="10"/>
      <c r="BI1535" s="10"/>
      <c r="BJ1535" s="10"/>
      <c r="BK1535" s="10"/>
      <c r="BL1535" s="10"/>
      <c r="BM1535" s="10"/>
      <c r="BN1535" s="10"/>
      <c r="BO1535" s="10"/>
      <c r="BP1535" s="10"/>
      <c r="BQ1535" s="10"/>
      <c r="BR1535" s="10"/>
      <c r="BS1535" s="10"/>
      <c r="BT1535" s="10"/>
      <c r="BU1535" s="10"/>
    </row>
    <row r="1536" spans="1:73" ht="18" x14ac:dyDescent="0.35">
      <c r="A1536" s="43"/>
      <c r="C1536" s="393"/>
      <c r="E1536" s="394"/>
      <c r="F1536" s="394">
        <v>0</v>
      </c>
      <c r="G1536" s="394"/>
      <c r="H1536" s="8" t="s">
        <v>235</v>
      </c>
      <c r="I1536" s="368">
        <f t="shared" si="70"/>
        <v>0</v>
      </c>
      <c r="J1536" s="365">
        <f t="shared" si="72"/>
        <v>0</v>
      </c>
      <c r="K1536" s="369">
        <f t="shared" si="71"/>
        <v>6</v>
      </c>
      <c r="L1536" s="369">
        <f>+IF((C1536&gt;='Resultats - informe'!$E$16)*(C1536&lt;='Resultats - informe'!$G$16),1,0)</f>
        <v>1</v>
      </c>
      <c r="M1536" s="369" cm="1">
        <f t="array" ref="M1536">+_xlfn.IFS((C1536&gt;='Resultats - informe'!$D$26)*(C1536&lt;='Resultats - informe'!$E$26),0,(C1536&gt;='Resultats - informe'!$D$27)*(C1536&lt;='Resultats - informe'!$E$27),0,(C1536&gt;='Resultats - informe'!$D$28)*(C1536&lt;='Resultats - informe'!$E$28),0,(C1536&gt;='Resultats - informe'!$D$29)*(C1536&lt;='Resultats - informe'!$E$29),0,1,1)</f>
        <v>0</v>
      </c>
      <c r="N1536" s="366">
        <f>+VLOOKUP(D1536,'Resultats - informe'!$Y$18:$AG$42,'Introducció dades consum'!K1536+1,0)</f>
        <v>0</v>
      </c>
      <c r="O1536" s="370" cm="1">
        <f t="array" ref="O1536">+_xlfn.SWITCH(MONTH(C1536),1,1,2,1,3,1,4,2,5,2,6,3,7,3,8,3,9,3,10,2,11,2,12,1,2)</f>
        <v>1</v>
      </c>
      <c r="P1536" s="43"/>
      <c r="AS1536" s="10"/>
      <c r="AT1536" s="10"/>
      <c r="AU1536" s="10"/>
      <c r="AV1536" s="10"/>
      <c r="AW1536" s="10"/>
      <c r="AX1536" s="10"/>
      <c r="AY1536" s="10"/>
      <c r="AZ1536" s="10"/>
      <c r="BA1536" s="10"/>
      <c r="BB1536" s="10"/>
      <c r="BC1536" s="10"/>
      <c r="BD1536" s="10"/>
      <c r="BE1536" s="10"/>
      <c r="BF1536" s="10"/>
      <c r="BG1536" s="10"/>
      <c r="BH1536" s="10"/>
      <c r="BI1536" s="10"/>
      <c r="BJ1536" s="10"/>
      <c r="BK1536" s="10"/>
      <c r="BL1536" s="10"/>
      <c r="BM1536" s="10"/>
      <c r="BN1536" s="10"/>
      <c r="BO1536" s="10"/>
      <c r="BP1536" s="10"/>
      <c r="BQ1536" s="10"/>
      <c r="BR1536" s="10"/>
      <c r="BS1536" s="10"/>
      <c r="BT1536" s="10"/>
      <c r="BU1536" s="10"/>
    </row>
    <row r="1537" spans="1:73" ht="18" x14ac:dyDescent="0.35">
      <c r="A1537" s="43"/>
      <c r="C1537" s="393"/>
      <c r="E1537" s="394"/>
      <c r="F1537" s="394">
        <v>0</v>
      </c>
      <c r="G1537" s="394"/>
      <c r="H1537" s="8" t="s">
        <v>235</v>
      </c>
      <c r="I1537" s="368">
        <f t="shared" si="70"/>
        <v>0</v>
      </c>
      <c r="J1537" s="365">
        <f t="shared" si="72"/>
        <v>0</v>
      </c>
      <c r="K1537" s="369">
        <f t="shared" si="71"/>
        <v>6</v>
      </c>
      <c r="L1537" s="369">
        <f>+IF((C1537&gt;='Resultats - informe'!$E$16)*(C1537&lt;='Resultats - informe'!$G$16),1,0)</f>
        <v>1</v>
      </c>
      <c r="M1537" s="369" cm="1">
        <f t="array" ref="M1537">+_xlfn.IFS((C1537&gt;='Resultats - informe'!$D$26)*(C1537&lt;='Resultats - informe'!$E$26),0,(C1537&gt;='Resultats - informe'!$D$27)*(C1537&lt;='Resultats - informe'!$E$27),0,(C1537&gt;='Resultats - informe'!$D$28)*(C1537&lt;='Resultats - informe'!$E$28),0,(C1537&gt;='Resultats - informe'!$D$29)*(C1537&lt;='Resultats - informe'!$E$29),0,1,1)</f>
        <v>0</v>
      </c>
      <c r="N1537" s="366">
        <f>+VLOOKUP(D1537,'Resultats - informe'!$Y$18:$AG$42,'Introducció dades consum'!K1537+1,0)</f>
        <v>0</v>
      </c>
      <c r="O1537" s="370" cm="1">
        <f t="array" ref="O1537">+_xlfn.SWITCH(MONTH(C1537),1,1,2,1,3,1,4,2,5,2,6,3,7,3,8,3,9,3,10,2,11,2,12,1,2)</f>
        <v>1</v>
      </c>
      <c r="P1537" s="43"/>
      <c r="AS1537" s="10"/>
      <c r="AT1537" s="10"/>
      <c r="AU1537" s="10"/>
      <c r="AV1537" s="10"/>
      <c r="AW1537" s="10"/>
      <c r="AX1537" s="10"/>
      <c r="AY1537" s="10"/>
      <c r="AZ1537" s="10"/>
      <c r="BA1537" s="10"/>
      <c r="BB1537" s="10"/>
      <c r="BC1537" s="10"/>
      <c r="BD1537" s="10"/>
      <c r="BE1537" s="10"/>
      <c r="BF1537" s="10"/>
      <c r="BG1537" s="10"/>
      <c r="BH1537" s="10"/>
      <c r="BI1537" s="10"/>
      <c r="BJ1537" s="10"/>
      <c r="BK1537" s="10"/>
      <c r="BL1537" s="10"/>
      <c r="BM1537" s="10"/>
      <c r="BN1537" s="10"/>
      <c r="BO1537" s="10"/>
      <c r="BP1537" s="10"/>
      <c r="BQ1537" s="10"/>
      <c r="BR1537" s="10"/>
      <c r="BS1537" s="10"/>
      <c r="BT1537" s="10"/>
      <c r="BU1537" s="10"/>
    </row>
    <row r="1538" spans="1:73" ht="18" x14ac:dyDescent="0.35">
      <c r="A1538" s="43"/>
      <c r="C1538" s="393"/>
      <c r="E1538" s="394"/>
      <c r="F1538" s="394">
        <v>0</v>
      </c>
      <c r="G1538" s="394"/>
      <c r="H1538" s="8" t="s">
        <v>235</v>
      </c>
      <c r="I1538" s="368">
        <f t="shared" si="70"/>
        <v>0</v>
      </c>
      <c r="J1538" s="365">
        <f t="shared" si="72"/>
        <v>0</v>
      </c>
      <c r="K1538" s="369">
        <f t="shared" si="71"/>
        <v>6</v>
      </c>
      <c r="L1538" s="369">
        <f>+IF((C1538&gt;='Resultats - informe'!$E$16)*(C1538&lt;='Resultats - informe'!$G$16),1,0)</f>
        <v>1</v>
      </c>
      <c r="M1538" s="369" cm="1">
        <f t="array" ref="M1538">+_xlfn.IFS((C1538&gt;='Resultats - informe'!$D$26)*(C1538&lt;='Resultats - informe'!$E$26),0,(C1538&gt;='Resultats - informe'!$D$27)*(C1538&lt;='Resultats - informe'!$E$27),0,(C1538&gt;='Resultats - informe'!$D$28)*(C1538&lt;='Resultats - informe'!$E$28),0,(C1538&gt;='Resultats - informe'!$D$29)*(C1538&lt;='Resultats - informe'!$E$29),0,1,1)</f>
        <v>0</v>
      </c>
      <c r="N1538" s="366">
        <f>+VLOOKUP(D1538,'Resultats - informe'!$Y$18:$AG$42,'Introducció dades consum'!K1538+1,0)</f>
        <v>0</v>
      </c>
      <c r="O1538" s="370" cm="1">
        <f t="array" ref="O1538">+_xlfn.SWITCH(MONTH(C1538),1,1,2,1,3,1,4,2,5,2,6,3,7,3,8,3,9,3,10,2,11,2,12,1,2)</f>
        <v>1</v>
      </c>
      <c r="P1538" s="43"/>
      <c r="AS1538" s="10"/>
      <c r="AT1538" s="10"/>
      <c r="AU1538" s="10"/>
      <c r="AV1538" s="10"/>
      <c r="AW1538" s="10"/>
      <c r="AX1538" s="10"/>
      <c r="AY1538" s="10"/>
      <c r="AZ1538" s="10"/>
      <c r="BA1538" s="10"/>
      <c r="BB1538" s="10"/>
      <c r="BC1538" s="10"/>
      <c r="BD1538" s="10"/>
      <c r="BE1538" s="10"/>
      <c r="BF1538" s="10"/>
      <c r="BG1538" s="10"/>
      <c r="BH1538" s="10"/>
      <c r="BI1538" s="10"/>
      <c r="BJ1538" s="10"/>
      <c r="BK1538" s="10"/>
      <c r="BL1538" s="10"/>
      <c r="BM1538" s="10"/>
      <c r="BN1538" s="10"/>
      <c r="BO1538" s="10"/>
      <c r="BP1538" s="10"/>
      <c r="BQ1538" s="10"/>
      <c r="BR1538" s="10"/>
      <c r="BS1538" s="10"/>
      <c r="BT1538" s="10"/>
      <c r="BU1538" s="10"/>
    </row>
    <row r="1539" spans="1:73" ht="18" x14ac:dyDescent="0.35">
      <c r="A1539" s="43"/>
      <c r="C1539" s="393"/>
      <c r="E1539" s="394"/>
      <c r="F1539" s="394">
        <v>0</v>
      </c>
      <c r="G1539" s="394"/>
      <c r="H1539" s="8" t="s">
        <v>235</v>
      </c>
      <c r="I1539" s="368">
        <f t="shared" si="70"/>
        <v>0</v>
      </c>
      <c r="J1539" s="365">
        <f t="shared" si="72"/>
        <v>0</v>
      </c>
      <c r="K1539" s="369">
        <f t="shared" si="71"/>
        <v>6</v>
      </c>
      <c r="L1539" s="369">
        <f>+IF((C1539&gt;='Resultats - informe'!$E$16)*(C1539&lt;='Resultats - informe'!$G$16),1,0)</f>
        <v>1</v>
      </c>
      <c r="M1539" s="369" cm="1">
        <f t="array" ref="M1539">+_xlfn.IFS((C1539&gt;='Resultats - informe'!$D$26)*(C1539&lt;='Resultats - informe'!$E$26),0,(C1539&gt;='Resultats - informe'!$D$27)*(C1539&lt;='Resultats - informe'!$E$27),0,(C1539&gt;='Resultats - informe'!$D$28)*(C1539&lt;='Resultats - informe'!$E$28),0,(C1539&gt;='Resultats - informe'!$D$29)*(C1539&lt;='Resultats - informe'!$E$29),0,1,1)</f>
        <v>0</v>
      </c>
      <c r="N1539" s="366">
        <f>+VLOOKUP(D1539,'Resultats - informe'!$Y$18:$AG$42,'Introducció dades consum'!K1539+1,0)</f>
        <v>0</v>
      </c>
      <c r="O1539" s="370" cm="1">
        <f t="array" ref="O1539">+_xlfn.SWITCH(MONTH(C1539),1,1,2,1,3,1,4,2,5,2,6,3,7,3,8,3,9,3,10,2,11,2,12,1,2)</f>
        <v>1</v>
      </c>
      <c r="P1539" s="43"/>
      <c r="AS1539" s="10"/>
      <c r="AT1539" s="10"/>
      <c r="AU1539" s="10"/>
      <c r="AV1539" s="10"/>
      <c r="AW1539" s="10"/>
      <c r="AX1539" s="10"/>
      <c r="AY1539" s="10"/>
      <c r="AZ1539" s="10"/>
      <c r="BA1539" s="10"/>
      <c r="BB1539" s="10"/>
      <c r="BC1539" s="10"/>
      <c r="BD1539" s="10"/>
      <c r="BE1539" s="10"/>
      <c r="BF1539" s="10"/>
      <c r="BG1539" s="10"/>
      <c r="BH1539" s="10"/>
      <c r="BI1539" s="10"/>
      <c r="BJ1539" s="10"/>
      <c r="BK1539" s="10"/>
      <c r="BL1539" s="10"/>
      <c r="BM1539" s="10"/>
      <c r="BN1539" s="10"/>
      <c r="BO1539" s="10"/>
      <c r="BP1539" s="10"/>
      <c r="BQ1539" s="10"/>
      <c r="BR1539" s="10"/>
      <c r="BS1539" s="10"/>
      <c r="BT1539" s="10"/>
      <c r="BU1539" s="10"/>
    </row>
    <row r="1540" spans="1:73" ht="18" x14ac:dyDescent="0.35">
      <c r="A1540" s="43"/>
      <c r="C1540" s="393"/>
      <c r="E1540" s="394"/>
      <c r="F1540" s="394">
        <v>0</v>
      </c>
      <c r="G1540" s="394"/>
      <c r="H1540" s="8" t="s">
        <v>235</v>
      </c>
      <c r="I1540" s="368">
        <f t="shared" si="70"/>
        <v>0</v>
      </c>
      <c r="J1540" s="365">
        <f t="shared" si="72"/>
        <v>0</v>
      </c>
      <c r="K1540" s="369">
        <f t="shared" si="71"/>
        <v>6</v>
      </c>
      <c r="L1540" s="369">
        <f>+IF((C1540&gt;='Resultats - informe'!$E$16)*(C1540&lt;='Resultats - informe'!$G$16),1,0)</f>
        <v>1</v>
      </c>
      <c r="M1540" s="369" cm="1">
        <f t="array" ref="M1540">+_xlfn.IFS((C1540&gt;='Resultats - informe'!$D$26)*(C1540&lt;='Resultats - informe'!$E$26),0,(C1540&gt;='Resultats - informe'!$D$27)*(C1540&lt;='Resultats - informe'!$E$27),0,(C1540&gt;='Resultats - informe'!$D$28)*(C1540&lt;='Resultats - informe'!$E$28),0,(C1540&gt;='Resultats - informe'!$D$29)*(C1540&lt;='Resultats - informe'!$E$29),0,1,1)</f>
        <v>0</v>
      </c>
      <c r="N1540" s="366">
        <f>+VLOOKUP(D1540,'Resultats - informe'!$Y$18:$AG$42,'Introducció dades consum'!K1540+1,0)</f>
        <v>0</v>
      </c>
      <c r="O1540" s="370" cm="1">
        <f t="array" ref="O1540">+_xlfn.SWITCH(MONTH(C1540),1,1,2,1,3,1,4,2,5,2,6,3,7,3,8,3,9,3,10,2,11,2,12,1,2)</f>
        <v>1</v>
      </c>
      <c r="P1540" s="43"/>
      <c r="AS1540" s="10"/>
      <c r="AT1540" s="10"/>
      <c r="AU1540" s="10"/>
      <c r="AV1540" s="10"/>
      <c r="AW1540" s="10"/>
      <c r="AX1540" s="10"/>
      <c r="AY1540" s="10"/>
      <c r="AZ1540" s="10"/>
      <c r="BA1540" s="10"/>
      <c r="BB1540" s="10"/>
      <c r="BC1540" s="10"/>
      <c r="BD1540" s="10"/>
      <c r="BE1540" s="10"/>
      <c r="BF1540" s="10"/>
      <c r="BG1540" s="10"/>
      <c r="BH1540" s="10"/>
      <c r="BI1540" s="10"/>
      <c r="BJ1540" s="10"/>
      <c r="BK1540" s="10"/>
      <c r="BL1540" s="10"/>
      <c r="BM1540" s="10"/>
      <c r="BN1540" s="10"/>
      <c r="BO1540" s="10"/>
      <c r="BP1540" s="10"/>
      <c r="BQ1540" s="10"/>
      <c r="BR1540" s="10"/>
      <c r="BS1540" s="10"/>
      <c r="BT1540" s="10"/>
      <c r="BU1540" s="10"/>
    </row>
    <row r="1541" spans="1:73" ht="18" x14ac:dyDescent="0.35">
      <c r="A1541" s="43"/>
      <c r="C1541" s="393"/>
      <c r="E1541" s="394"/>
      <c r="F1541" s="394">
        <v>0</v>
      </c>
      <c r="G1541" s="394"/>
      <c r="H1541" s="8" t="s">
        <v>235</v>
      </c>
      <c r="I1541" s="368">
        <f t="shared" si="70"/>
        <v>0</v>
      </c>
      <c r="J1541" s="365">
        <f t="shared" si="72"/>
        <v>0</v>
      </c>
      <c r="K1541" s="369">
        <f t="shared" si="71"/>
        <v>6</v>
      </c>
      <c r="L1541" s="369">
        <f>+IF((C1541&gt;='Resultats - informe'!$E$16)*(C1541&lt;='Resultats - informe'!$G$16),1,0)</f>
        <v>1</v>
      </c>
      <c r="M1541" s="369" cm="1">
        <f t="array" ref="M1541">+_xlfn.IFS((C1541&gt;='Resultats - informe'!$D$26)*(C1541&lt;='Resultats - informe'!$E$26),0,(C1541&gt;='Resultats - informe'!$D$27)*(C1541&lt;='Resultats - informe'!$E$27),0,(C1541&gt;='Resultats - informe'!$D$28)*(C1541&lt;='Resultats - informe'!$E$28),0,(C1541&gt;='Resultats - informe'!$D$29)*(C1541&lt;='Resultats - informe'!$E$29),0,1,1)</f>
        <v>0</v>
      </c>
      <c r="N1541" s="366">
        <f>+VLOOKUP(D1541,'Resultats - informe'!$Y$18:$AG$42,'Introducció dades consum'!K1541+1,0)</f>
        <v>0</v>
      </c>
      <c r="O1541" s="370" cm="1">
        <f t="array" ref="O1541">+_xlfn.SWITCH(MONTH(C1541),1,1,2,1,3,1,4,2,5,2,6,3,7,3,8,3,9,3,10,2,11,2,12,1,2)</f>
        <v>1</v>
      </c>
      <c r="P1541" s="43"/>
      <c r="AS1541" s="10"/>
      <c r="AT1541" s="10"/>
      <c r="AU1541" s="10"/>
      <c r="AV1541" s="10"/>
      <c r="AW1541" s="10"/>
      <c r="AX1541" s="10"/>
      <c r="AY1541" s="10"/>
      <c r="AZ1541" s="10"/>
      <c r="BA1541" s="10"/>
      <c r="BB1541" s="10"/>
      <c r="BC1541" s="10"/>
      <c r="BD1541" s="10"/>
      <c r="BE1541" s="10"/>
      <c r="BF1541" s="10"/>
      <c r="BG1541" s="10"/>
      <c r="BH1541" s="10"/>
      <c r="BI1541" s="10"/>
      <c r="BJ1541" s="10"/>
      <c r="BK1541" s="10"/>
      <c r="BL1541" s="10"/>
      <c r="BM1541" s="10"/>
      <c r="BN1541" s="10"/>
      <c r="BO1541" s="10"/>
      <c r="BP1541" s="10"/>
      <c r="BQ1541" s="10"/>
      <c r="BR1541" s="10"/>
      <c r="BS1541" s="10"/>
      <c r="BT1541" s="10"/>
      <c r="BU1541" s="10"/>
    </row>
    <row r="1542" spans="1:73" ht="18" x14ac:dyDescent="0.35">
      <c r="A1542" s="43"/>
      <c r="C1542" s="393"/>
      <c r="E1542" s="394"/>
      <c r="F1542" s="394">
        <v>0</v>
      </c>
      <c r="G1542" s="394"/>
      <c r="H1542" s="8" t="s">
        <v>235</v>
      </c>
      <c r="I1542" s="368">
        <f t="shared" ref="I1542:I1605" si="73">+E1542+G1542</f>
        <v>0</v>
      </c>
      <c r="J1542" s="365">
        <f t="shared" si="72"/>
        <v>0</v>
      </c>
      <c r="K1542" s="369">
        <f t="shared" ref="K1542:K1605" si="74">+WEEKDAY(C1542,2)</f>
        <v>6</v>
      </c>
      <c r="L1542" s="369">
        <f>+IF((C1542&gt;='Resultats - informe'!$E$16)*(C1542&lt;='Resultats - informe'!$G$16),1,0)</f>
        <v>1</v>
      </c>
      <c r="M1542" s="369" cm="1">
        <f t="array" ref="M1542">+_xlfn.IFS((C1542&gt;='Resultats - informe'!$D$26)*(C1542&lt;='Resultats - informe'!$E$26),0,(C1542&gt;='Resultats - informe'!$D$27)*(C1542&lt;='Resultats - informe'!$E$27),0,(C1542&gt;='Resultats - informe'!$D$28)*(C1542&lt;='Resultats - informe'!$E$28),0,(C1542&gt;='Resultats - informe'!$D$29)*(C1542&lt;='Resultats - informe'!$E$29),0,1,1)</f>
        <v>0</v>
      </c>
      <c r="N1542" s="366">
        <f>+VLOOKUP(D1542,'Resultats - informe'!$Y$18:$AG$42,'Introducció dades consum'!K1542+1,0)</f>
        <v>0</v>
      </c>
      <c r="O1542" s="370" cm="1">
        <f t="array" ref="O1542">+_xlfn.SWITCH(MONTH(C1542),1,1,2,1,3,1,4,2,5,2,6,3,7,3,8,3,9,3,10,2,11,2,12,1,2)</f>
        <v>1</v>
      </c>
      <c r="P1542" s="43"/>
      <c r="AS1542" s="10"/>
      <c r="AT1542" s="10"/>
      <c r="AU1542" s="10"/>
      <c r="AV1542" s="10"/>
      <c r="AW1542" s="10"/>
      <c r="AX1542" s="10"/>
      <c r="AY1542" s="10"/>
      <c r="AZ1542" s="10"/>
      <c r="BA1542" s="10"/>
      <c r="BB1542" s="10"/>
      <c r="BC1542" s="10"/>
      <c r="BD1542" s="10"/>
      <c r="BE1542" s="10"/>
      <c r="BF1542" s="10"/>
      <c r="BG1542" s="10"/>
      <c r="BH1542" s="10"/>
      <c r="BI1542" s="10"/>
      <c r="BJ1542" s="10"/>
      <c r="BK1542" s="10"/>
      <c r="BL1542" s="10"/>
      <c r="BM1542" s="10"/>
      <c r="BN1542" s="10"/>
      <c r="BO1542" s="10"/>
      <c r="BP1542" s="10"/>
      <c r="BQ1542" s="10"/>
      <c r="BR1542" s="10"/>
      <c r="BS1542" s="10"/>
      <c r="BT1542" s="10"/>
      <c r="BU1542" s="10"/>
    </row>
    <row r="1543" spans="1:73" ht="18" x14ac:dyDescent="0.35">
      <c r="A1543" s="43"/>
      <c r="C1543" s="393"/>
      <c r="E1543" s="394"/>
      <c r="F1543" s="394">
        <v>0</v>
      </c>
      <c r="G1543" s="394"/>
      <c r="H1543" s="8" t="s">
        <v>235</v>
      </c>
      <c r="I1543" s="368">
        <f t="shared" si="73"/>
        <v>0</v>
      </c>
      <c r="J1543" s="365">
        <f t="shared" si="72"/>
        <v>0</v>
      </c>
      <c r="K1543" s="369">
        <f t="shared" si="74"/>
        <v>6</v>
      </c>
      <c r="L1543" s="369">
        <f>+IF((C1543&gt;='Resultats - informe'!$E$16)*(C1543&lt;='Resultats - informe'!$G$16),1,0)</f>
        <v>1</v>
      </c>
      <c r="M1543" s="369" cm="1">
        <f t="array" ref="M1543">+_xlfn.IFS((C1543&gt;='Resultats - informe'!$D$26)*(C1543&lt;='Resultats - informe'!$E$26),0,(C1543&gt;='Resultats - informe'!$D$27)*(C1543&lt;='Resultats - informe'!$E$27),0,(C1543&gt;='Resultats - informe'!$D$28)*(C1543&lt;='Resultats - informe'!$E$28),0,(C1543&gt;='Resultats - informe'!$D$29)*(C1543&lt;='Resultats - informe'!$E$29),0,1,1)</f>
        <v>0</v>
      </c>
      <c r="N1543" s="366">
        <f>+VLOOKUP(D1543,'Resultats - informe'!$Y$18:$AG$42,'Introducció dades consum'!K1543+1,0)</f>
        <v>0</v>
      </c>
      <c r="O1543" s="370" cm="1">
        <f t="array" ref="O1543">+_xlfn.SWITCH(MONTH(C1543),1,1,2,1,3,1,4,2,5,2,6,3,7,3,8,3,9,3,10,2,11,2,12,1,2)</f>
        <v>1</v>
      </c>
      <c r="P1543" s="43"/>
      <c r="AS1543" s="10"/>
      <c r="AT1543" s="10"/>
      <c r="AU1543" s="10"/>
      <c r="AV1543" s="10"/>
      <c r="AW1543" s="10"/>
      <c r="AX1543" s="10"/>
      <c r="AY1543" s="10"/>
      <c r="AZ1543" s="10"/>
      <c r="BA1543" s="10"/>
      <c r="BB1543" s="10"/>
      <c r="BC1543" s="10"/>
      <c r="BD1543" s="10"/>
      <c r="BE1543" s="10"/>
      <c r="BF1543" s="10"/>
      <c r="BG1543" s="10"/>
      <c r="BH1543" s="10"/>
      <c r="BI1543" s="10"/>
      <c r="BJ1543" s="10"/>
      <c r="BK1543" s="10"/>
      <c r="BL1543" s="10"/>
      <c r="BM1543" s="10"/>
      <c r="BN1543" s="10"/>
      <c r="BO1543" s="10"/>
      <c r="BP1543" s="10"/>
      <c r="BQ1543" s="10"/>
      <c r="BR1543" s="10"/>
      <c r="BS1543" s="10"/>
      <c r="BT1543" s="10"/>
      <c r="BU1543" s="10"/>
    </row>
    <row r="1544" spans="1:73" ht="18" x14ac:dyDescent="0.35">
      <c r="A1544" s="43"/>
      <c r="C1544" s="393"/>
      <c r="E1544" s="394"/>
      <c r="F1544" s="394">
        <v>0</v>
      </c>
      <c r="G1544" s="394"/>
      <c r="H1544" s="8" t="s">
        <v>235</v>
      </c>
      <c r="I1544" s="368">
        <f t="shared" si="73"/>
        <v>0</v>
      </c>
      <c r="J1544" s="365">
        <f t="shared" si="72"/>
        <v>0</v>
      </c>
      <c r="K1544" s="369">
        <f t="shared" si="74"/>
        <v>6</v>
      </c>
      <c r="L1544" s="369">
        <f>+IF((C1544&gt;='Resultats - informe'!$E$16)*(C1544&lt;='Resultats - informe'!$G$16),1,0)</f>
        <v>1</v>
      </c>
      <c r="M1544" s="369" cm="1">
        <f t="array" ref="M1544">+_xlfn.IFS((C1544&gt;='Resultats - informe'!$D$26)*(C1544&lt;='Resultats - informe'!$E$26),0,(C1544&gt;='Resultats - informe'!$D$27)*(C1544&lt;='Resultats - informe'!$E$27),0,(C1544&gt;='Resultats - informe'!$D$28)*(C1544&lt;='Resultats - informe'!$E$28),0,(C1544&gt;='Resultats - informe'!$D$29)*(C1544&lt;='Resultats - informe'!$E$29),0,1,1)</f>
        <v>0</v>
      </c>
      <c r="N1544" s="366">
        <f>+VLOOKUP(D1544,'Resultats - informe'!$Y$18:$AG$42,'Introducció dades consum'!K1544+1,0)</f>
        <v>0</v>
      </c>
      <c r="O1544" s="370" cm="1">
        <f t="array" ref="O1544">+_xlfn.SWITCH(MONTH(C1544),1,1,2,1,3,1,4,2,5,2,6,3,7,3,8,3,9,3,10,2,11,2,12,1,2)</f>
        <v>1</v>
      </c>
      <c r="P1544" s="43"/>
      <c r="AS1544" s="10"/>
      <c r="AT1544" s="10"/>
      <c r="AU1544" s="10"/>
      <c r="AV1544" s="10"/>
      <c r="AW1544" s="10"/>
      <c r="AX1544" s="10"/>
      <c r="AY1544" s="10"/>
      <c r="AZ1544" s="10"/>
      <c r="BA1544" s="10"/>
      <c r="BB1544" s="10"/>
      <c r="BC1544" s="10"/>
      <c r="BD1544" s="10"/>
      <c r="BE1544" s="10"/>
      <c r="BF1544" s="10"/>
      <c r="BG1544" s="10"/>
      <c r="BH1544" s="10"/>
      <c r="BI1544" s="10"/>
      <c r="BJ1544" s="10"/>
      <c r="BK1544" s="10"/>
      <c r="BL1544" s="10"/>
      <c r="BM1544" s="10"/>
      <c r="BN1544" s="10"/>
      <c r="BO1544" s="10"/>
      <c r="BP1544" s="10"/>
      <c r="BQ1544" s="10"/>
      <c r="BR1544" s="10"/>
      <c r="BS1544" s="10"/>
      <c r="BT1544" s="10"/>
      <c r="BU1544" s="10"/>
    </row>
    <row r="1545" spans="1:73" ht="18" x14ac:dyDescent="0.35">
      <c r="A1545" s="43"/>
      <c r="C1545" s="393"/>
      <c r="E1545" s="394"/>
      <c r="F1545" s="394">
        <v>0</v>
      </c>
      <c r="G1545" s="394"/>
      <c r="H1545" s="8" t="s">
        <v>235</v>
      </c>
      <c r="I1545" s="368">
        <f t="shared" si="73"/>
        <v>0</v>
      </c>
      <c r="J1545" s="365">
        <f t="shared" si="72"/>
        <v>0</v>
      </c>
      <c r="K1545" s="369">
        <f t="shared" si="74"/>
        <v>6</v>
      </c>
      <c r="L1545" s="369">
        <f>+IF((C1545&gt;='Resultats - informe'!$E$16)*(C1545&lt;='Resultats - informe'!$G$16),1,0)</f>
        <v>1</v>
      </c>
      <c r="M1545" s="369" cm="1">
        <f t="array" ref="M1545">+_xlfn.IFS((C1545&gt;='Resultats - informe'!$D$26)*(C1545&lt;='Resultats - informe'!$E$26),0,(C1545&gt;='Resultats - informe'!$D$27)*(C1545&lt;='Resultats - informe'!$E$27),0,(C1545&gt;='Resultats - informe'!$D$28)*(C1545&lt;='Resultats - informe'!$E$28),0,(C1545&gt;='Resultats - informe'!$D$29)*(C1545&lt;='Resultats - informe'!$E$29),0,1,1)</f>
        <v>0</v>
      </c>
      <c r="N1545" s="366">
        <f>+VLOOKUP(D1545,'Resultats - informe'!$Y$18:$AG$42,'Introducció dades consum'!K1545+1,0)</f>
        <v>0</v>
      </c>
      <c r="O1545" s="370" cm="1">
        <f t="array" ref="O1545">+_xlfn.SWITCH(MONTH(C1545),1,1,2,1,3,1,4,2,5,2,6,3,7,3,8,3,9,3,10,2,11,2,12,1,2)</f>
        <v>1</v>
      </c>
      <c r="P1545" s="43"/>
      <c r="AS1545" s="10"/>
      <c r="AT1545" s="10"/>
      <c r="AU1545" s="10"/>
      <c r="AV1545" s="10"/>
      <c r="AW1545" s="10"/>
      <c r="AX1545" s="10"/>
      <c r="AY1545" s="10"/>
      <c r="AZ1545" s="10"/>
      <c r="BA1545" s="10"/>
      <c r="BB1545" s="10"/>
      <c r="BC1545" s="10"/>
      <c r="BD1545" s="10"/>
      <c r="BE1545" s="10"/>
      <c r="BF1545" s="10"/>
      <c r="BG1545" s="10"/>
      <c r="BH1545" s="10"/>
      <c r="BI1545" s="10"/>
      <c r="BJ1545" s="10"/>
      <c r="BK1545" s="10"/>
      <c r="BL1545" s="10"/>
      <c r="BM1545" s="10"/>
      <c r="BN1545" s="10"/>
      <c r="BO1545" s="10"/>
      <c r="BP1545" s="10"/>
      <c r="BQ1545" s="10"/>
      <c r="BR1545" s="10"/>
      <c r="BS1545" s="10"/>
      <c r="BT1545" s="10"/>
      <c r="BU1545" s="10"/>
    </row>
    <row r="1546" spans="1:73" ht="18" x14ac:dyDescent="0.35">
      <c r="A1546" s="43"/>
      <c r="C1546" s="393"/>
      <c r="E1546" s="394"/>
      <c r="F1546" s="394">
        <v>0</v>
      </c>
      <c r="G1546" s="394"/>
      <c r="H1546" s="8" t="s">
        <v>235</v>
      </c>
      <c r="I1546" s="368">
        <f t="shared" si="73"/>
        <v>0</v>
      </c>
      <c r="J1546" s="365">
        <f t="shared" si="72"/>
        <v>0</v>
      </c>
      <c r="K1546" s="369">
        <f t="shared" si="74"/>
        <v>6</v>
      </c>
      <c r="L1546" s="369">
        <f>+IF((C1546&gt;='Resultats - informe'!$E$16)*(C1546&lt;='Resultats - informe'!$G$16),1,0)</f>
        <v>1</v>
      </c>
      <c r="M1546" s="369" cm="1">
        <f t="array" ref="M1546">+_xlfn.IFS((C1546&gt;='Resultats - informe'!$D$26)*(C1546&lt;='Resultats - informe'!$E$26),0,(C1546&gt;='Resultats - informe'!$D$27)*(C1546&lt;='Resultats - informe'!$E$27),0,(C1546&gt;='Resultats - informe'!$D$28)*(C1546&lt;='Resultats - informe'!$E$28),0,(C1546&gt;='Resultats - informe'!$D$29)*(C1546&lt;='Resultats - informe'!$E$29),0,1,1)</f>
        <v>0</v>
      </c>
      <c r="N1546" s="366">
        <f>+VLOOKUP(D1546,'Resultats - informe'!$Y$18:$AG$42,'Introducció dades consum'!K1546+1,0)</f>
        <v>0</v>
      </c>
      <c r="O1546" s="370" cm="1">
        <f t="array" ref="O1546">+_xlfn.SWITCH(MONTH(C1546),1,1,2,1,3,1,4,2,5,2,6,3,7,3,8,3,9,3,10,2,11,2,12,1,2)</f>
        <v>1</v>
      </c>
      <c r="P1546" s="43"/>
      <c r="AS1546" s="10"/>
      <c r="AT1546" s="10"/>
      <c r="AU1546" s="10"/>
      <c r="AV1546" s="10"/>
      <c r="AW1546" s="10"/>
      <c r="AX1546" s="10"/>
      <c r="AY1546" s="10"/>
      <c r="AZ1546" s="10"/>
      <c r="BA1546" s="10"/>
      <c r="BB1546" s="10"/>
      <c r="BC1546" s="10"/>
      <c r="BD1546" s="10"/>
      <c r="BE1546" s="10"/>
      <c r="BF1546" s="10"/>
      <c r="BG1546" s="10"/>
      <c r="BH1546" s="10"/>
      <c r="BI1546" s="10"/>
      <c r="BJ1546" s="10"/>
      <c r="BK1546" s="10"/>
      <c r="BL1546" s="10"/>
      <c r="BM1546" s="10"/>
      <c r="BN1546" s="10"/>
      <c r="BO1546" s="10"/>
      <c r="BP1546" s="10"/>
      <c r="BQ1546" s="10"/>
      <c r="BR1546" s="10"/>
      <c r="BS1546" s="10"/>
      <c r="BT1546" s="10"/>
      <c r="BU1546" s="10"/>
    </row>
    <row r="1547" spans="1:73" ht="18" x14ac:dyDescent="0.35">
      <c r="A1547" s="43"/>
      <c r="C1547" s="393"/>
      <c r="E1547" s="394"/>
      <c r="F1547" s="394">
        <v>0</v>
      </c>
      <c r="G1547" s="394"/>
      <c r="H1547" s="8" t="s">
        <v>235</v>
      </c>
      <c r="I1547" s="368">
        <f t="shared" si="73"/>
        <v>0</v>
      </c>
      <c r="J1547" s="365">
        <f t="shared" si="72"/>
        <v>0</v>
      </c>
      <c r="K1547" s="369">
        <f t="shared" si="74"/>
        <v>6</v>
      </c>
      <c r="L1547" s="369">
        <f>+IF((C1547&gt;='Resultats - informe'!$E$16)*(C1547&lt;='Resultats - informe'!$G$16),1,0)</f>
        <v>1</v>
      </c>
      <c r="M1547" s="369" cm="1">
        <f t="array" ref="M1547">+_xlfn.IFS((C1547&gt;='Resultats - informe'!$D$26)*(C1547&lt;='Resultats - informe'!$E$26),0,(C1547&gt;='Resultats - informe'!$D$27)*(C1547&lt;='Resultats - informe'!$E$27),0,(C1547&gt;='Resultats - informe'!$D$28)*(C1547&lt;='Resultats - informe'!$E$28),0,(C1547&gt;='Resultats - informe'!$D$29)*(C1547&lt;='Resultats - informe'!$E$29),0,1,1)</f>
        <v>0</v>
      </c>
      <c r="N1547" s="366">
        <f>+VLOOKUP(D1547,'Resultats - informe'!$Y$18:$AG$42,'Introducció dades consum'!K1547+1,0)</f>
        <v>0</v>
      </c>
      <c r="O1547" s="370" cm="1">
        <f t="array" ref="O1547">+_xlfn.SWITCH(MONTH(C1547),1,1,2,1,3,1,4,2,5,2,6,3,7,3,8,3,9,3,10,2,11,2,12,1,2)</f>
        <v>1</v>
      </c>
      <c r="P1547" s="43"/>
      <c r="AS1547" s="10"/>
      <c r="AT1547" s="10"/>
      <c r="AU1547" s="10"/>
      <c r="AV1547" s="10"/>
      <c r="AW1547" s="10"/>
      <c r="AX1547" s="10"/>
      <c r="AY1547" s="10"/>
      <c r="AZ1547" s="10"/>
      <c r="BA1547" s="10"/>
      <c r="BB1547" s="10"/>
      <c r="BC1547" s="10"/>
      <c r="BD1547" s="10"/>
      <c r="BE1547" s="10"/>
      <c r="BF1547" s="10"/>
      <c r="BG1547" s="10"/>
      <c r="BH1547" s="10"/>
      <c r="BI1547" s="10"/>
      <c r="BJ1547" s="10"/>
      <c r="BK1547" s="10"/>
      <c r="BL1547" s="10"/>
      <c r="BM1547" s="10"/>
      <c r="BN1547" s="10"/>
      <c r="BO1547" s="10"/>
      <c r="BP1547" s="10"/>
      <c r="BQ1547" s="10"/>
      <c r="BR1547" s="10"/>
      <c r="BS1547" s="10"/>
      <c r="BT1547" s="10"/>
      <c r="BU1547" s="10"/>
    </row>
    <row r="1548" spans="1:73" ht="18" x14ac:dyDescent="0.35">
      <c r="A1548" s="43"/>
      <c r="C1548" s="393"/>
      <c r="E1548" s="394"/>
      <c r="F1548" s="394">
        <v>0.68300000000000005</v>
      </c>
      <c r="G1548" s="394"/>
      <c r="H1548" s="8" t="s">
        <v>235</v>
      </c>
      <c r="I1548" s="368">
        <f t="shared" si="73"/>
        <v>0</v>
      </c>
      <c r="J1548" s="365">
        <f t="shared" si="72"/>
        <v>0</v>
      </c>
      <c r="K1548" s="369">
        <f t="shared" si="74"/>
        <v>6</v>
      </c>
      <c r="L1548" s="369">
        <f>+IF((C1548&gt;='Resultats - informe'!$E$16)*(C1548&lt;='Resultats - informe'!$G$16),1,0)</f>
        <v>1</v>
      </c>
      <c r="M1548" s="369" cm="1">
        <f t="array" ref="M1548">+_xlfn.IFS((C1548&gt;='Resultats - informe'!$D$26)*(C1548&lt;='Resultats - informe'!$E$26),0,(C1548&gt;='Resultats - informe'!$D$27)*(C1548&lt;='Resultats - informe'!$E$27),0,(C1548&gt;='Resultats - informe'!$D$28)*(C1548&lt;='Resultats - informe'!$E$28),0,(C1548&gt;='Resultats - informe'!$D$29)*(C1548&lt;='Resultats - informe'!$E$29),0,1,1)</f>
        <v>0</v>
      </c>
      <c r="N1548" s="366">
        <f>+VLOOKUP(D1548,'Resultats - informe'!$Y$18:$AG$42,'Introducció dades consum'!K1548+1,0)</f>
        <v>0</v>
      </c>
      <c r="O1548" s="370" cm="1">
        <f t="array" ref="O1548">+_xlfn.SWITCH(MONTH(C1548),1,1,2,1,3,1,4,2,5,2,6,3,7,3,8,3,9,3,10,2,11,2,12,1,2)</f>
        <v>1</v>
      </c>
      <c r="P1548" s="43"/>
      <c r="AS1548" s="10"/>
      <c r="AT1548" s="10"/>
      <c r="AU1548" s="10"/>
      <c r="AV1548" s="10"/>
      <c r="AW1548" s="10"/>
      <c r="AX1548" s="10"/>
      <c r="AY1548" s="10"/>
      <c r="AZ1548" s="10"/>
      <c r="BA1548" s="10"/>
      <c r="BB1548" s="10"/>
      <c r="BC1548" s="10"/>
      <c r="BD1548" s="10"/>
      <c r="BE1548" s="10"/>
      <c r="BF1548" s="10"/>
      <c r="BG1548" s="10"/>
      <c r="BH1548" s="10"/>
      <c r="BI1548" s="10"/>
      <c r="BJ1548" s="10"/>
      <c r="BK1548" s="10"/>
      <c r="BL1548" s="10"/>
      <c r="BM1548" s="10"/>
      <c r="BN1548" s="10"/>
      <c r="BO1548" s="10"/>
      <c r="BP1548" s="10"/>
      <c r="BQ1548" s="10"/>
      <c r="BR1548" s="10"/>
      <c r="BS1548" s="10"/>
      <c r="BT1548" s="10"/>
      <c r="BU1548" s="10"/>
    </row>
    <row r="1549" spans="1:73" ht="18" x14ac:dyDescent="0.35">
      <c r="A1549" s="43"/>
      <c r="C1549" s="393"/>
      <c r="E1549" s="394"/>
      <c r="F1549" s="394">
        <v>1.008</v>
      </c>
      <c r="G1549" s="394"/>
      <c r="H1549" s="8" t="s">
        <v>235</v>
      </c>
      <c r="I1549" s="368">
        <f t="shared" si="73"/>
        <v>0</v>
      </c>
      <c r="J1549" s="365">
        <f t="shared" si="72"/>
        <v>0</v>
      </c>
      <c r="K1549" s="369">
        <f t="shared" si="74"/>
        <v>6</v>
      </c>
      <c r="L1549" s="369">
        <f>+IF((C1549&gt;='Resultats - informe'!$E$16)*(C1549&lt;='Resultats - informe'!$G$16),1,0)</f>
        <v>1</v>
      </c>
      <c r="M1549" s="369" cm="1">
        <f t="array" ref="M1549">+_xlfn.IFS((C1549&gt;='Resultats - informe'!$D$26)*(C1549&lt;='Resultats - informe'!$E$26),0,(C1549&gt;='Resultats - informe'!$D$27)*(C1549&lt;='Resultats - informe'!$E$27),0,(C1549&gt;='Resultats - informe'!$D$28)*(C1549&lt;='Resultats - informe'!$E$28),0,(C1549&gt;='Resultats - informe'!$D$29)*(C1549&lt;='Resultats - informe'!$E$29),0,1,1)</f>
        <v>0</v>
      </c>
      <c r="N1549" s="366">
        <f>+VLOOKUP(D1549,'Resultats - informe'!$Y$18:$AG$42,'Introducció dades consum'!K1549+1,0)</f>
        <v>0</v>
      </c>
      <c r="O1549" s="370" cm="1">
        <f t="array" ref="O1549">+_xlfn.SWITCH(MONTH(C1549),1,1,2,1,3,1,4,2,5,2,6,3,7,3,8,3,9,3,10,2,11,2,12,1,2)</f>
        <v>1</v>
      </c>
      <c r="P1549" s="43"/>
      <c r="AS1549" s="10"/>
      <c r="AT1549" s="10"/>
      <c r="AU1549" s="10"/>
      <c r="AV1549" s="10"/>
      <c r="AW1549" s="10"/>
      <c r="AX1549" s="10"/>
      <c r="AY1549" s="10"/>
      <c r="AZ1549" s="10"/>
      <c r="BA1549" s="10"/>
      <c r="BB1549" s="10"/>
      <c r="BC1549" s="10"/>
      <c r="BD1549" s="10"/>
      <c r="BE1549" s="10"/>
      <c r="BF1549" s="10"/>
      <c r="BG1549" s="10"/>
      <c r="BH1549" s="10"/>
      <c r="BI1549" s="10"/>
      <c r="BJ1549" s="10"/>
      <c r="BK1549" s="10"/>
      <c r="BL1549" s="10"/>
      <c r="BM1549" s="10"/>
      <c r="BN1549" s="10"/>
      <c r="BO1549" s="10"/>
      <c r="BP1549" s="10"/>
      <c r="BQ1549" s="10"/>
      <c r="BR1549" s="10"/>
      <c r="BS1549" s="10"/>
      <c r="BT1549" s="10"/>
      <c r="BU1549" s="10"/>
    </row>
    <row r="1550" spans="1:73" ht="18" x14ac:dyDescent="0.35">
      <c r="A1550" s="43"/>
      <c r="C1550" s="393"/>
      <c r="E1550" s="394"/>
      <c r="F1550" s="394">
        <v>2.089</v>
      </c>
      <c r="G1550" s="394"/>
      <c r="H1550" s="8" t="s">
        <v>235</v>
      </c>
      <c r="I1550" s="368">
        <f t="shared" si="73"/>
        <v>0</v>
      </c>
      <c r="J1550" s="365">
        <f t="shared" si="72"/>
        <v>0</v>
      </c>
      <c r="K1550" s="369">
        <f t="shared" si="74"/>
        <v>6</v>
      </c>
      <c r="L1550" s="369">
        <f>+IF((C1550&gt;='Resultats - informe'!$E$16)*(C1550&lt;='Resultats - informe'!$G$16),1,0)</f>
        <v>1</v>
      </c>
      <c r="M1550" s="369" cm="1">
        <f t="array" ref="M1550">+_xlfn.IFS((C1550&gt;='Resultats - informe'!$D$26)*(C1550&lt;='Resultats - informe'!$E$26),0,(C1550&gt;='Resultats - informe'!$D$27)*(C1550&lt;='Resultats - informe'!$E$27),0,(C1550&gt;='Resultats - informe'!$D$28)*(C1550&lt;='Resultats - informe'!$E$28),0,(C1550&gt;='Resultats - informe'!$D$29)*(C1550&lt;='Resultats - informe'!$E$29),0,1,1)</f>
        <v>0</v>
      </c>
      <c r="N1550" s="366">
        <f>+VLOOKUP(D1550,'Resultats - informe'!$Y$18:$AG$42,'Introducció dades consum'!K1550+1,0)</f>
        <v>0</v>
      </c>
      <c r="O1550" s="370" cm="1">
        <f t="array" ref="O1550">+_xlfn.SWITCH(MONTH(C1550),1,1,2,1,3,1,4,2,5,2,6,3,7,3,8,3,9,3,10,2,11,2,12,1,2)</f>
        <v>1</v>
      </c>
      <c r="P1550" s="43"/>
      <c r="AS1550" s="10"/>
      <c r="AT1550" s="10"/>
      <c r="AU1550" s="10"/>
      <c r="AV1550" s="10"/>
      <c r="AW1550" s="10"/>
      <c r="AX1550" s="10"/>
      <c r="AY1550" s="10"/>
      <c r="AZ1550" s="10"/>
      <c r="BA1550" s="10"/>
      <c r="BB1550" s="10"/>
      <c r="BC1550" s="10"/>
      <c r="BD1550" s="10"/>
      <c r="BE1550" s="10"/>
      <c r="BF1550" s="10"/>
      <c r="BG1550" s="10"/>
      <c r="BH1550" s="10"/>
      <c r="BI1550" s="10"/>
      <c r="BJ1550" s="10"/>
      <c r="BK1550" s="10"/>
      <c r="BL1550" s="10"/>
      <c r="BM1550" s="10"/>
      <c r="BN1550" s="10"/>
      <c r="BO1550" s="10"/>
      <c r="BP1550" s="10"/>
      <c r="BQ1550" s="10"/>
      <c r="BR1550" s="10"/>
      <c r="BS1550" s="10"/>
      <c r="BT1550" s="10"/>
      <c r="BU1550" s="10"/>
    </row>
    <row r="1551" spans="1:73" ht="18" x14ac:dyDescent="0.35">
      <c r="A1551" s="43"/>
      <c r="C1551" s="393"/>
      <c r="E1551" s="394"/>
      <c r="F1551" s="394">
        <v>1.484</v>
      </c>
      <c r="G1551" s="394"/>
      <c r="H1551" s="8" t="s">
        <v>235</v>
      </c>
      <c r="I1551" s="368">
        <f t="shared" si="73"/>
        <v>0</v>
      </c>
      <c r="J1551" s="365">
        <f t="shared" si="72"/>
        <v>0</v>
      </c>
      <c r="K1551" s="369">
        <f t="shared" si="74"/>
        <v>6</v>
      </c>
      <c r="L1551" s="369">
        <f>+IF((C1551&gt;='Resultats - informe'!$E$16)*(C1551&lt;='Resultats - informe'!$G$16),1,0)</f>
        <v>1</v>
      </c>
      <c r="M1551" s="369" cm="1">
        <f t="array" ref="M1551">+_xlfn.IFS((C1551&gt;='Resultats - informe'!$D$26)*(C1551&lt;='Resultats - informe'!$E$26),0,(C1551&gt;='Resultats - informe'!$D$27)*(C1551&lt;='Resultats - informe'!$E$27),0,(C1551&gt;='Resultats - informe'!$D$28)*(C1551&lt;='Resultats - informe'!$E$28),0,(C1551&gt;='Resultats - informe'!$D$29)*(C1551&lt;='Resultats - informe'!$E$29),0,1,1)</f>
        <v>0</v>
      </c>
      <c r="N1551" s="366">
        <f>+VLOOKUP(D1551,'Resultats - informe'!$Y$18:$AG$42,'Introducció dades consum'!K1551+1,0)</f>
        <v>0</v>
      </c>
      <c r="O1551" s="370" cm="1">
        <f t="array" ref="O1551">+_xlfn.SWITCH(MONTH(C1551),1,1,2,1,3,1,4,2,5,2,6,3,7,3,8,3,9,3,10,2,11,2,12,1,2)</f>
        <v>1</v>
      </c>
      <c r="P1551" s="43"/>
      <c r="AS1551" s="10"/>
      <c r="AT1551" s="10"/>
      <c r="AU1551" s="10"/>
      <c r="AV1551" s="10"/>
      <c r="AW1551" s="10"/>
      <c r="AX1551" s="10"/>
      <c r="AY1551" s="10"/>
      <c r="AZ1551" s="10"/>
      <c r="BA1551" s="10"/>
      <c r="BB1551" s="10"/>
      <c r="BC1551" s="10"/>
      <c r="BD1551" s="10"/>
      <c r="BE1551" s="10"/>
      <c r="BF1551" s="10"/>
      <c r="BG1551" s="10"/>
      <c r="BH1551" s="10"/>
      <c r="BI1551" s="10"/>
      <c r="BJ1551" s="10"/>
      <c r="BK1551" s="10"/>
      <c r="BL1551" s="10"/>
      <c r="BM1551" s="10"/>
      <c r="BN1551" s="10"/>
      <c r="BO1551" s="10"/>
      <c r="BP1551" s="10"/>
      <c r="BQ1551" s="10"/>
      <c r="BR1551" s="10"/>
      <c r="BS1551" s="10"/>
      <c r="BT1551" s="10"/>
      <c r="BU1551" s="10"/>
    </row>
    <row r="1552" spans="1:73" ht="18" x14ac:dyDescent="0.35">
      <c r="A1552" s="43"/>
      <c r="C1552" s="393"/>
      <c r="E1552" s="394"/>
      <c r="F1552" s="394">
        <v>1.524</v>
      </c>
      <c r="G1552" s="394"/>
      <c r="H1552" s="8" t="s">
        <v>235</v>
      </c>
      <c r="I1552" s="368">
        <f t="shared" si="73"/>
        <v>0</v>
      </c>
      <c r="J1552" s="365">
        <f t="shared" si="72"/>
        <v>0</v>
      </c>
      <c r="K1552" s="369">
        <f t="shared" si="74"/>
        <v>6</v>
      </c>
      <c r="L1552" s="369">
        <f>+IF((C1552&gt;='Resultats - informe'!$E$16)*(C1552&lt;='Resultats - informe'!$G$16),1,0)</f>
        <v>1</v>
      </c>
      <c r="M1552" s="369" cm="1">
        <f t="array" ref="M1552">+_xlfn.IFS((C1552&gt;='Resultats - informe'!$D$26)*(C1552&lt;='Resultats - informe'!$E$26),0,(C1552&gt;='Resultats - informe'!$D$27)*(C1552&lt;='Resultats - informe'!$E$27),0,(C1552&gt;='Resultats - informe'!$D$28)*(C1552&lt;='Resultats - informe'!$E$28),0,(C1552&gt;='Resultats - informe'!$D$29)*(C1552&lt;='Resultats - informe'!$E$29),0,1,1)</f>
        <v>0</v>
      </c>
      <c r="N1552" s="366">
        <f>+VLOOKUP(D1552,'Resultats - informe'!$Y$18:$AG$42,'Introducció dades consum'!K1552+1,0)</f>
        <v>0</v>
      </c>
      <c r="O1552" s="370" cm="1">
        <f t="array" ref="O1552">+_xlfn.SWITCH(MONTH(C1552),1,1,2,1,3,1,4,2,5,2,6,3,7,3,8,3,9,3,10,2,11,2,12,1,2)</f>
        <v>1</v>
      </c>
      <c r="P1552" s="43"/>
      <c r="AS1552" s="10"/>
      <c r="AT1552" s="10"/>
      <c r="AU1552" s="10"/>
      <c r="AV1552" s="10"/>
      <c r="AW1552" s="10"/>
      <c r="AX1552" s="10"/>
      <c r="AY1552" s="10"/>
      <c r="AZ1552" s="10"/>
      <c r="BA1552" s="10"/>
      <c r="BB1552" s="10"/>
      <c r="BC1552" s="10"/>
      <c r="BD1552" s="10"/>
      <c r="BE1552" s="10"/>
      <c r="BF1552" s="10"/>
      <c r="BG1552" s="10"/>
      <c r="BH1552" s="10"/>
      <c r="BI1552" s="10"/>
      <c r="BJ1552" s="10"/>
      <c r="BK1552" s="10"/>
      <c r="BL1552" s="10"/>
      <c r="BM1552" s="10"/>
      <c r="BN1552" s="10"/>
      <c r="BO1552" s="10"/>
      <c r="BP1552" s="10"/>
      <c r="BQ1552" s="10"/>
      <c r="BR1552" s="10"/>
      <c r="BS1552" s="10"/>
      <c r="BT1552" s="10"/>
      <c r="BU1552" s="10"/>
    </row>
    <row r="1553" spans="1:73" ht="18" x14ac:dyDescent="0.35">
      <c r="A1553" s="43"/>
      <c r="C1553" s="393"/>
      <c r="E1553" s="394"/>
      <c r="F1553" s="394">
        <v>1.7529999999999999</v>
      </c>
      <c r="G1553" s="394"/>
      <c r="H1553" s="8" t="s">
        <v>61</v>
      </c>
      <c r="I1553" s="368">
        <f t="shared" si="73"/>
        <v>0</v>
      </c>
      <c r="J1553" s="365">
        <f t="shared" si="72"/>
        <v>0</v>
      </c>
      <c r="K1553" s="369">
        <f t="shared" si="74"/>
        <v>6</v>
      </c>
      <c r="L1553" s="369">
        <f>+IF((C1553&gt;='Resultats - informe'!$E$16)*(C1553&lt;='Resultats - informe'!$G$16),1,0)</f>
        <v>1</v>
      </c>
      <c r="M1553" s="369" cm="1">
        <f t="array" ref="M1553">+_xlfn.IFS((C1553&gt;='Resultats - informe'!$D$26)*(C1553&lt;='Resultats - informe'!$E$26),0,(C1553&gt;='Resultats - informe'!$D$27)*(C1553&lt;='Resultats - informe'!$E$27),0,(C1553&gt;='Resultats - informe'!$D$28)*(C1553&lt;='Resultats - informe'!$E$28),0,(C1553&gt;='Resultats - informe'!$D$29)*(C1553&lt;='Resultats - informe'!$E$29),0,1,1)</f>
        <v>0</v>
      </c>
      <c r="N1553" s="366">
        <f>+VLOOKUP(D1553,'Resultats - informe'!$Y$18:$AG$42,'Introducció dades consum'!K1553+1,0)</f>
        <v>0</v>
      </c>
      <c r="O1553" s="370" cm="1">
        <f t="array" ref="O1553">+_xlfn.SWITCH(MONTH(C1553),1,1,2,1,3,1,4,2,5,2,6,3,7,3,8,3,9,3,10,2,11,2,12,1,2)</f>
        <v>1</v>
      </c>
      <c r="P1553" s="43"/>
      <c r="AS1553" s="10"/>
      <c r="AT1553" s="10"/>
      <c r="AU1553" s="10"/>
      <c r="AV1553" s="10"/>
      <c r="AW1553" s="10"/>
      <c r="AX1553" s="10"/>
      <c r="AY1553" s="10"/>
      <c r="AZ1553" s="10"/>
      <c r="BA1553" s="10"/>
      <c r="BB1553" s="10"/>
      <c r="BC1553" s="10"/>
      <c r="BD1553" s="10"/>
      <c r="BE1553" s="10"/>
      <c r="BF1553" s="10"/>
      <c r="BG1553" s="10"/>
      <c r="BH1553" s="10"/>
      <c r="BI1553" s="10"/>
      <c r="BJ1553" s="10"/>
      <c r="BK1553" s="10"/>
      <c r="BL1553" s="10"/>
      <c r="BM1553" s="10"/>
      <c r="BN1553" s="10"/>
      <c r="BO1553" s="10"/>
      <c r="BP1553" s="10"/>
      <c r="BQ1553" s="10"/>
      <c r="BR1553" s="10"/>
      <c r="BS1553" s="10"/>
      <c r="BT1553" s="10"/>
      <c r="BU1553" s="10"/>
    </row>
    <row r="1554" spans="1:73" ht="18" x14ac:dyDescent="0.35">
      <c r="A1554" s="43"/>
      <c r="C1554" s="393"/>
      <c r="E1554" s="394"/>
      <c r="F1554" s="394">
        <v>0</v>
      </c>
      <c r="G1554" s="394"/>
      <c r="H1554" s="8" t="s">
        <v>61</v>
      </c>
      <c r="I1554" s="368">
        <f t="shared" si="73"/>
        <v>0</v>
      </c>
      <c r="J1554" s="365">
        <f t="shared" si="72"/>
        <v>0</v>
      </c>
      <c r="K1554" s="369">
        <f t="shared" si="74"/>
        <v>6</v>
      </c>
      <c r="L1554" s="369">
        <f>+IF((C1554&gt;='Resultats - informe'!$E$16)*(C1554&lt;='Resultats - informe'!$G$16),1,0)</f>
        <v>1</v>
      </c>
      <c r="M1554" s="369" cm="1">
        <f t="array" ref="M1554">+_xlfn.IFS((C1554&gt;='Resultats - informe'!$D$26)*(C1554&lt;='Resultats - informe'!$E$26),0,(C1554&gt;='Resultats - informe'!$D$27)*(C1554&lt;='Resultats - informe'!$E$27),0,(C1554&gt;='Resultats - informe'!$D$28)*(C1554&lt;='Resultats - informe'!$E$28),0,(C1554&gt;='Resultats - informe'!$D$29)*(C1554&lt;='Resultats - informe'!$E$29),0,1,1)</f>
        <v>0</v>
      </c>
      <c r="N1554" s="366">
        <f>+VLOOKUP(D1554,'Resultats - informe'!$Y$18:$AG$42,'Introducció dades consum'!K1554+1,0)</f>
        <v>0</v>
      </c>
      <c r="O1554" s="370" cm="1">
        <f t="array" ref="O1554">+_xlfn.SWITCH(MONTH(C1554),1,1,2,1,3,1,4,2,5,2,6,3,7,3,8,3,9,3,10,2,11,2,12,1,2)</f>
        <v>1</v>
      </c>
      <c r="P1554" s="43"/>
      <c r="AS1554" s="10"/>
      <c r="AT1554" s="10"/>
      <c r="AU1554" s="10"/>
      <c r="AV1554" s="10"/>
      <c r="AW1554" s="10"/>
      <c r="AX1554" s="10"/>
      <c r="AY1554" s="10"/>
      <c r="AZ1554" s="10"/>
      <c r="BA1554" s="10"/>
      <c r="BB1554" s="10"/>
      <c r="BC1554" s="10"/>
      <c r="BD1554" s="10"/>
      <c r="BE1554" s="10"/>
      <c r="BF1554" s="10"/>
      <c r="BG1554" s="10"/>
      <c r="BH1554" s="10"/>
      <c r="BI1554" s="10"/>
      <c r="BJ1554" s="10"/>
      <c r="BK1554" s="10"/>
      <c r="BL1554" s="10"/>
      <c r="BM1554" s="10"/>
      <c r="BN1554" s="10"/>
      <c r="BO1554" s="10"/>
      <c r="BP1554" s="10"/>
      <c r="BQ1554" s="10"/>
      <c r="BR1554" s="10"/>
      <c r="BS1554" s="10"/>
      <c r="BT1554" s="10"/>
      <c r="BU1554" s="10"/>
    </row>
    <row r="1555" spans="1:73" ht="18" x14ac:dyDescent="0.35">
      <c r="A1555" s="43"/>
      <c r="C1555" s="393"/>
      <c r="E1555" s="394"/>
      <c r="F1555" s="394">
        <v>1.2749999999999999</v>
      </c>
      <c r="G1555" s="394"/>
      <c r="H1555" s="8" t="s">
        <v>235</v>
      </c>
      <c r="I1555" s="368">
        <f t="shared" si="73"/>
        <v>0</v>
      </c>
      <c r="J1555" s="365">
        <f t="shared" si="72"/>
        <v>0</v>
      </c>
      <c r="K1555" s="369">
        <f t="shared" si="74"/>
        <v>6</v>
      </c>
      <c r="L1555" s="369">
        <f>+IF((C1555&gt;='Resultats - informe'!$E$16)*(C1555&lt;='Resultats - informe'!$G$16),1,0)</f>
        <v>1</v>
      </c>
      <c r="M1555" s="369" cm="1">
        <f t="array" ref="M1555">+_xlfn.IFS((C1555&gt;='Resultats - informe'!$D$26)*(C1555&lt;='Resultats - informe'!$E$26),0,(C1555&gt;='Resultats - informe'!$D$27)*(C1555&lt;='Resultats - informe'!$E$27),0,(C1555&gt;='Resultats - informe'!$D$28)*(C1555&lt;='Resultats - informe'!$E$28),0,(C1555&gt;='Resultats - informe'!$D$29)*(C1555&lt;='Resultats - informe'!$E$29),0,1,1)</f>
        <v>0</v>
      </c>
      <c r="N1555" s="366">
        <f>+VLOOKUP(D1555,'Resultats - informe'!$Y$18:$AG$42,'Introducció dades consum'!K1555+1,0)</f>
        <v>0</v>
      </c>
      <c r="O1555" s="370" cm="1">
        <f t="array" ref="O1555">+_xlfn.SWITCH(MONTH(C1555),1,1,2,1,3,1,4,2,5,2,6,3,7,3,8,3,9,3,10,2,11,2,12,1,2)</f>
        <v>1</v>
      </c>
      <c r="P1555" s="43"/>
      <c r="AS1555" s="10"/>
      <c r="AT1555" s="10"/>
      <c r="AU1555" s="10"/>
      <c r="AV1555" s="10"/>
      <c r="AW1555" s="10"/>
      <c r="AX1555" s="10"/>
      <c r="AY1555" s="10"/>
      <c r="AZ1555" s="10"/>
      <c r="BA1555" s="10"/>
      <c r="BB1555" s="10"/>
      <c r="BC1555" s="10"/>
      <c r="BD1555" s="10"/>
      <c r="BE1555" s="10"/>
      <c r="BF1555" s="10"/>
      <c r="BG1555" s="10"/>
      <c r="BH1555" s="10"/>
      <c r="BI1555" s="10"/>
      <c r="BJ1555" s="10"/>
      <c r="BK1555" s="10"/>
      <c r="BL1555" s="10"/>
      <c r="BM1555" s="10"/>
      <c r="BN1555" s="10"/>
      <c r="BO1555" s="10"/>
      <c r="BP1555" s="10"/>
      <c r="BQ1555" s="10"/>
      <c r="BR1555" s="10"/>
      <c r="BS1555" s="10"/>
      <c r="BT1555" s="10"/>
      <c r="BU1555" s="10"/>
    </row>
    <row r="1556" spans="1:73" ht="18" x14ac:dyDescent="0.35">
      <c r="A1556" s="43"/>
      <c r="C1556" s="393"/>
      <c r="E1556" s="394"/>
      <c r="F1556" s="394">
        <v>1.6839999999999999</v>
      </c>
      <c r="G1556" s="394"/>
      <c r="H1556" s="8" t="s">
        <v>235</v>
      </c>
      <c r="I1556" s="368">
        <f t="shared" si="73"/>
        <v>0</v>
      </c>
      <c r="J1556" s="365">
        <f t="shared" si="72"/>
        <v>0</v>
      </c>
      <c r="K1556" s="369">
        <f t="shared" si="74"/>
        <v>6</v>
      </c>
      <c r="L1556" s="369">
        <f>+IF((C1556&gt;='Resultats - informe'!$E$16)*(C1556&lt;='Resultats - informe'!$G$16),1,0)</f>
        <v>1</v>
      </c>
      <c r="M1556" s="369" cm="1">
        <f t="array" ref="M1556">+_xlfn.IFS((C1556&gt;='Resultats - informe'!$D$26)*(C1556&lt;='Resultats - informe'!$E$26),0,(C1556&gt;='Resultats - informe'!$D$27)*(C1556&lt;='Resultats - informe'!$E$27),0,(C1556&gt;='Resultats - informe'!$D$28)*(C1556&lt;='Resultats - informe'!$E$28),0,(C1556&gt;='Resultats - informe'!$D$29)*(C1556&lt;='Resultats - informe'!$E$29),0,1,1)</f>
        <v>0</v>
      </c>
      <c r="N1556" s="366">
        <f>+VLOOKUP(D1556,'Resultats - informe'!$Y$18:$AG$42,'Introducció dades consum'!K1556+1,0)</f>
        <v>0</v>
      </c>
      <c r="O1556" s="370" cm="1">
        <f t="array" ref="O1556">+_xlfn.SWITCH(MONTH(C1556),1,1,2,1,3,1,4,2,5,2,6,3,7,3,8,3,9,3,10,2,11,2,12,1,2)</f>
        <v>1</v>
      </c>
      <c r="P1556" s="43"/>
      <c r="AS1556" s="10"/>
      <c r="AT1556" s="10"/>
      <c r="AU1556" s="10"/>
      <c r="AV1556" s="10"/>
      <c r="AW1556" s="10"/>
      <c r="AX1556" s="10"/>
      <c r="AY1556" s="10"/>
      <c r="AZ1556" s="10"/>
      <c r="BA1556" s="10"/>
      <c r="BB1556" s="10"/>
      <c r="BC1556" s="10"/>
      <c r="BD1556" s="10"/>
      <c r="BE1556" s="10"/>
      <c r="BF1556" s="10"/>
      <c r="BG1556" s="10"/>
      <c r="BH1556" s="10"/>
      <c r="BI1556" s="10"/>
      <c r="BJ1556" s="10"/>
      <c r="BK1556" s="10"/>
      <c r="BL1556" s="10"/>
      <c r="BM1556" s="10"/>
      <c r="BN1556" s="10"/>
      <c r="BO1556" s="10"/>
      <c r="BP1556" s="10"/>
      <c r="BQ1556" s="10"/>
      <c r="BR1556" s="10"/>
      <c r="BS1556" s="10"/>
      <c r="BT1556" s="10"/>
      <c r="BU1556" s="10"/>
    </row>
    <row r="1557" spans="1:73" ht="18" x14ac:dyDescent="0.35">
      <c r="A1557" s="43"/>
      <c r="C1557" s="393"/>
      <c r="E1557" s="394"/>
      <c r="F1557" s="394">
        <v>0.28899999999999998</v>
      </c>
      <c r="G1557" s="394"/>
      <c r="H1557" s="8" t="s">
        <v>235</v>
      </c>
      <c r="I1557" s="368">
        <f t="shared" si="73"/>
        <v>0</v>
      </c>
      <c r="J1557" s="365">
        <f t="shared" si="72"/>
        <v>0</v>
      </c>
      <c r="K1557" s="369">
        <f t="shared" si="74"/>
        <v>6</v>
      </c>
      <c r="L1557" s="369">
        <f>+IF((C1557&gt;='Resultats - informe'!$E$16)*(C1557&lt;='Resultats - informe'!$G$16),1,0)</f>
        <v>1</v>
      </c>
      <c r="M1557" s="369" cm="1">
        <f t="array" ref="M1557">+_xlfn.IFS((C1557&gt;='Resultats - informe'!$D$26)*(C1557&lt;='Resultats - informe'!$E$26),0,(C1557&gt;='Resultats - informe'!$D$27)*(C1557&lt;='Resultats - informe'!$E$27),0,(C1557&gt;='Resultats - informe'!$D$28)*(C1557&lt;='Resultats - informe'!$E$28),0,(C1557&gt;='Resultats - informe'!$D$29)*(C1557&lt;='Resultats - informe'!$E$29),0,1,1)</f>
        <v>0</v>
      </c>
      <c r="N1557" s="366">
        <f>+VLOOKUP(D1557,'Resultats - informe'!$Y$18:$AG$42,'Introducció dades consum'!K1557+1,0)</f>
        <v>0</v>
      </c>
      <c r="O1557" s="370" cm="1">
        <f t="array" ref="O1557">+_xlfn.SWITCH(MONTH(C1557),1,1,2,1,3,1,4,2,5,2,6,3,7,3,8,3,9,3,10,2,11,2,12,1,2)</f>
        <v>1</v>
      </c>
      <c r="P1557" s="43"/>
      <c r="AS1557" s="10"/>
      <c r="AT1557" s="10"/>
      <c r="AU1557" s="10"/>
      <c r="AV1557" s="10"/>
      <c r="AW1557" s="10"/>
      <c r="AX1557" s="10"/>
      <c r="AY1557" s="10"/>
      <c r="AZ1557" s="10"/>
      <c r="BA1557" s="10"/>
      <c r="BB1557" s="10"/>
      <c r="BC1557" s="10"/>
      <c r="BD1557" s="10"/>
      <c r="BE1557" s="10"/>
      <c r="BF1557" s="10"/>
      <c r="BG1557" s="10"/>
      <c r="BH1557" s="10"/>
      <c r="BI1557" s="10"/>
      <c r="BJ1557" s="10"/>
      <c r="BK1557" s="10"/>
      <c r="BL1557" s="10"/>
      <c r="BM1557" s="10"/>
      <c r="BN1557" s="10"/>
      <c r="BO1557" s="10"/>
      <c r="BP1557" s="10"/>
      <c r="BQ1557" s="10"/>
      <c r="BR1557" s="10"/>
      <c r="BS1557" s="10"/>
      <c r="BT1557" s="10"/>
      <c r="BU1557" s="10"/>
    </row>
    <row r="1558" spans="1:73" ht="18" x14ac:dyDescent="0.35">
      <c r="A1558" s="43"/>
      <c r="C1558" s="393"/>
      <c r="E1558" s="394"/>
      <c r="F1558" s="394">
        <v>0</v>
      </c>
      <c r="G1558" s="394"/>
      <c r="H1558" s="8" t="s">
        <v>235</v>
      </c>
      <c r="I1558" s="368">
        <f t="shared" si="73"/>
        <v>0</v>
      </c>
      <c r="J1558" s="365">
        <f t="shared" si="72"/>
        <v>0</v>
      </c>
      <c r="K1558" s="369">
        <f t="shared" si="74"/>
        <v>6</v>
      </c>
      <c r="L1558" s="369">
        <f>+IF((C1558&gt;='Resultats - informe'!$E$16)*(C1558&lt;='Resultats - informe'!$G$16),1,0)</f>
        <v>1</v>
      </c>
      <c r="M1558" s="369" cm="1">
        <f t="array" ref="M1558">+_xlfn.IFS((C1558&gt;='Resultats - informe'!$D$26)*(C1558&lt;='Resultats - informe'!$E$26),0,(C1558&gt;='Resultats - informe'!$D$27)*(C1558&lt;='Resultats - informe'!$E$27),0,(C1558&gt;='Resultats - informe'!$D$28)*(C1558&lt;='Resultats - informe'!$E$28),0,(C1558&gt;='Resultats - informe'!$D$29)*(C1558&lt;='Resultats - informe'!$E$29),0,1,1)</f>
        <v>0</v>
      </c>
      <c r="N1558" s="366">
        <f>+VLOOKUP(D1558,'Resultats - informe'!$Y$18:$AG$42,'Introducció dades consum'!K1558+1,0)</f>
        <v>0</v>
      </c>
      <c r="O1558" s="370" cm="1">
        <f t="array" ref="O1558">+_xlfn.SWITCH(MONTH(C1558),1,1,2,1,3,1,4,2,5,2,6,3,7,3,8,3,9,3,10,2,11,2,12,1,2)</f>
        <v>1</v>
      </c>
      <c r="P1558" s="43"/>
      <c r="AS1558" s="10"/>
      <c r="AT1558" s="10"/>
      <c r="AU1558" s="10"/>
      <c r="AV1558" s="10"/>
      <c r="AW1558" s="10"/>
      <c r="AX1558" s="10"/>
      <c r="AY1558" s="10"/>
      <c r="AZ1558" s="10"/>
      <c r="BA1558" s="10"/>
      <c r="BB1558" s="10"/>
      <c r="BC1558" s="10"/>
      <c r="BD1558" s="10"/>
      <c r="BE1558" s="10"/>
      <c r="BF1558" s="10"/>
      <c r="BG1558" s="10"/>
      <c r="BH1558" s="10"/>
      <c r="BI1558" s="10"/>
      <c r="BJ1558" s="10"/>
      <c r="BK1558" s="10"/>
      <c r="BL1558" s="10"/>
      <c r="BM1558" s="10"/>
      <c r="BN1558" s="10"/>
      <c r="BO1558" s="10"/>
      <c r="BP1558" s="10"/>
      <c r="BQ1558" s="10"/>
      <c r="BR1558" s="10"/>
      <c r="BS1558" s="10"/>
      <c r="BT1558" s="10"/>
      <c r="BU1558" s="10"/>
    </row>
    <row r="1559" spans="1:73" ht="18" x14ac:dyDescent="0.35">
      <c r="A1559" s="43"/>
      <c r="C1559" s="393"/>
      <c r="E1559" s="394"/>
      <c r="F1559" s="394">
        <v>0</v>
      </c>
      <c r="G1559" s="394"/>
      <c r="H1559" s="8" t="s">
        <v>235</v>
      </c>
      <c r="I1559" s="368">
        <f t="shared" si="73"/>
        <v>0</v>
      </c>
      <c r="J1559" s="365">
        <f t="shared" si="72"/>
        <v>0</v>
      </c>
      <c r="K1559" s="369">
        <f t="shared" si="74"/>
        <v>6</v>
      </c>
      <c r="L1559" s="369">
        <f>+IF((C1559&gt;='Resultats - informe'!$E$16)*(C1559&lt;='Resultats - informe'!$G$16),1,0)</f>
        <v>1</v>
      </c>
      <c r="M1559" s="369" cm="1">
        <f t="array" ref="M1559">+_xlfn.IFS((C1559&gt;='Resultats - informe'!$D$26)*(C1559&lt;='Resultats - informe'!$E$26),0,(C1559&gt;='Resultats - informe'!$D$27)*(C1559&lt;='Resultats - informe'!$E$27),0,(C1559&gt;='Resultats - informe'!$D$28)*(C1559&lt;='Resultats - informe'!$E$28),0,(C1559&gt;='Resultats - informe'!$D$29)*(C1559&lt;='Resultats - informe'!$E$29),0,1,1)</f>
        <v>0</v>
      </c>
      <c r="N1559" s="366">
        <f>+VLOOKUP(D1559,'Resultats - informe'!$Y$18:$AG$42,'Introducció dades consum'!K1559+1,0)</f>
        <v>0</v>
      </c>
      <c r="O1559" s="370" cm="1">
        <f t="array" ref="O1559">+_xlfn.SWITCH(MONTH(C1559),1,1,2,1,3,1,4,2,5,2,6,3,7,3,8,3,9,3,10,2,11,2,12,1,2)</f>
        <v>1</v>
      </c>
      <c r="P1559" s="43"/>
      <c r="AS1559" s="10"/>
      <c r="AT1559" s="10"/>
      <c r="AU1559" s="10"/>
      <c r="AV1559" s="10"/>
      <c r="AW1559" s="10"/>
      <c r="AX1559" s="10"/>
      <c r="AY1559" s="10"/>
      <c r="AZ1559" s="10"/>
      <c r="BA1559" s="10"/>
      <c r="BB1559" s="10"/>
      <c r="BC1559" s="10"/>
      <c r="BD1559" s="10"/>
      <c r="BE1559" s="10"/>
      <c r="BF1559" s="10"/>
      <c r="BG1559" s="10"/>
      <c r="BH1559" s="10"/>
      <c r="BI1559" s="10"/>
      <c r="BJ1559" s="10"/>
      <c r="BK1559" s="10"/>
      <c r="BL1559" s="10"/>
      <c r="BM1559" s="10"/>
      <c r="BN1559" s="10"/>
      <c r="BO1559" s="10"/>
      <c r="BP1559" s="10"/>
      <c r="BQ1559" s="10"/>
      <c r="BR1559" s="10"/>
      <c r="BS1559" s="10"/>
      <c r="BT1559" s="10"/>
      <c r="BU1559" s="10"/>
    </row>
    <row r="1560" spans="1:73" ht="18" x14ac:dyDescent="0.35">
      <c r="A1560" s="43"/>
      <c r="C1560" s="393"/>
      <c r="E1560" s="394"/>
      <c r="F1560" s="394">
        <v>0</v>
      </c>
      <c r="G1560" s="394"/>
      <c r="H1560" s="8" t="s">
        <v>235</v>
      </c>
      <c r="I1560" s="368">
        <f t="shared" si="73"/>
        <v>0</v>
      </c>
      <c r="J1560" s="365">
        <f t="shared" si="72"/>
        <v>0</v>
      </c>
      <c r="K1560" s="369">
        <f t="shared" si="74"/>
        <v>6</v>
      </c>
      <c r="L1560" s="369">
        <f>+IF((C1560&gt;='Resultats - informe'!$E$16)*(C1560&lt;='Resultats - informe'!$G$16),1,0)</f>
        <v>1</v>
      </c>
      <c r="M1560" s="369" cm="1">
        <f t="array" ref="M1560">+_xlfn.IFS((C1560&gt;='Resultats - informe'!$D$26)*(C1560&lt;='Resultats - informe'!$E$26),0,(C1560&gt;='Resultats - informe'!$D$27)*(C1560&lt;='Resultats - informe'!$E$27),0,(C1560&gt;='Resultats - informe'!$D$28)*(C1560&lt;='Resultats - informe'!$E$28),0,(C1560&gt;='Resultats - informe'!$D$29)*(C1560&lt;='Resultats - informe'!$E$29),0,1,1)</f>
        <v>0</v>
      </c>
      <c r="N1560" s="366">
        <f>+VLOOKUP(D1560,'Resultats - informe'!$Y$18:$AG$42,'Introducció dades consum'!K1560+1,0)</f>
        <v>0</v>
      </c>
      <c r="O1560" s="370" cm="1">
        <f t="array" ref="O1560">+_xlfn.SWITCH(MONTH(C1560),1,1,2,1,3,1,4,2,5,2,6,3,7,3,8,3,9,3,10,2,11,2,12,1,2)</f>
        <v>1</v>
      </c>
      <c r="P1560" s="43"/>
      <c r="AS1560" s="10"/>
      <c r="AT1560" s="10"/>
      <c r="AU1560" s="10"/>
      <c r="AV1560" s="10"/>
      <c r="AW1560" s="10"/>
      <c r="AX1560" s="10"/>
      <c r="AY1560" s="10"/>
      <c r="AZ1560" s="10"/>
      <c r="BA1560" s="10"/>
      <c r="BB1560" s="10"/>
      <c r="BC1560" s="10"/>
      <c r="BD1560" s="10"/>
      <c r="BE1560" s="10"/>
      <c r="BF1560" s="10"/>
      <c r="BG1560" s="10"/>
      <c r="BH1560" s="10"/>
      <c r="BI1560" s="10"/>
      <c r="BJ1560" s="10"/>
      <c r="BK1560" s="10"/>
      <c r="BL1560" s="10"/>
      <c r="BM1560" s="10"/>
      <c r="BN1560" s="10"/>
      <c r="BO1560" s="10"/>
      <c r="BP1560" s="10"/>
      <c r="BQ1560" s="10"/>
      <c r="BR1560" s="10"/>
      <c r="BS1560" s="10"/>
      <c r="BT1560" s="10"/>
      <c r="BU1560" s="10"/>
    </row>
    <row r="1561" spans="1:73" ht="18" x14ac:dyDescent="0.35">
      <c r="A1561" s="43"/>
      <c r="C1561" s="393"/>
      <c r="E1561" s="394"/>
      <c r="F1561" s="394">
        <v>0</v>
      </c>
      <c r="G1561" s="394"/>
      <c r="H1561" s="8" t="s">
        <v>235</v>
      </c>
      <c r="I1561" s="368">
        <f t="shared" si="73"/>
        <v>0</v>
      </c>
      <c r="J1561" s="365">
        <f t="shared" si="72"/>
        <v>0</v>
      </c>
      <c r="K1561" s="369">
        <f t="shared" si="74"/>
        <v>6</v>
      </c>
      <c r="L1561" s="369">
        <f>+IF((C1561&gt;='Resultats - informe'!$E$16)*(C1561&lt;='Resultats - informe'!$G$16),1,0)</f>
        <v>1</v>
      </c>
      <c r="M1561" s="369" cm="1">
        <f t="array" ref="M1561">+_xlfn.IFS((C1561&gt;='Resultats - informe'!$D$26)*(C1561&lt;='Resultats - informe'!$E$26),0,(C1561&gt;='Resultats - informe'!$D$27)*(C1561&lt;='Resultats - informe'!$E$27),0,(C1561&gt;='Resultats - informe'!$D$28)*(C1561&lt;='Resultats - informe'!$E$28),0,(C1561&gt;='Resultats - informe'!$D$29)*(C1561&lt;='Resultats - informe'!$E$29),0,1,1)</f>
        <v>0</v>
      </c>
      <c r="N1561" s="366">
        <f>+VLOOKUP(D1561,'Resultats - informe'!$Y$18:$AG$42,'Introducció dades consum'!K1561+1,0)</f>
        <v>0</v>
      </c>
      <c r="O1561" s="370" cm="1">
        <f t="array" ref="O1561">+_xlfn.SWITCH(MONTH(C1561),1,1,2,1,3,1,4,2,5,2,6,3,7,3,8,3,9,3,10,2,11,2,12,1,2)</f>
        <v>1</v>
      </c>
      <c r="P1561" s="43"/>
      <c r="AS1561" s="10"/>
      <c r="AT1561" s="10"/>
      <c r="AU1561" s="10"/>
      <c r="AV1561" s="10"/>
      <c r="AW1561" s="10"/>
      <c r="AX1561" s="10"/>
      <c r="AY1561" s="10"/>
      <c r="AZ1561" s="10"/>
      <c r="BA1561" s="10"/>
      <c r="BB1561" s="10"/>
      <c r="BC1561" s="10"/>
      <c r="BD1561" s="10"/>
      <c r="BE1561" s="10"/>
      <c r="BF1561" s="10"/>
      <c r="BG1561" s="10"/>
      <c r="BH1561" s="10"/>
      <c r="BI1561" s="10"/>
      <c r="BJ1561" s="10"/>
      <c r="BK1561" s="10"/>
      <c r="BL1561" s="10"/>
      <c r="BM1561" s="10"/>
      <c r="BN1561" s="10"/>
      <c r="BO1561" s="10"/>
      <c r="BP1561" s="10"/>
      <c r="BQ1561" s="10"/>
      <c r="BR1561" s="10"/>
      <c r="BS1561" s="10"/>
      <c r="BT1561" s="10"/>
      <c r="BU1561" s="10"/>
    </row>
    <row r="1562" spans="1:73" ht="18" x14ac:dyDescent="0.35">
      <c r="A1562" s="43"/>
      <c r="C1562" s="393"/>
      <c r="E1562" s="394"/>
      <c r="F1562" s="394">
        <v>0</v>
      </c>
      <c r="G1562" s="394"/>
      <c r="H1562" s="8" t="s">
        <v>235</v>
      </c>
      <c r="I1562" s="368">
        <f t="shared" si="73"/>
        <v>0</v>
      </c>
      <c r="J1562" s="365">
        <f t="shared" si="72"/>
        <v>0</v>
      </c>
      <c r="K1562" s="369">
        <f t="shared" si="74"/>
        <v>6</v>
      </c>
      <c r="L1562" s="369">
        <f>+IF((C1562&gt;='Resultats - informe'!$E$16)*(C1562&lt;='Resultats - informe'!$G$16),1,0)</f>
        <v>1</v>
      </c>
      <c r="M1562" s="369" cm="1">
        <f t="array" ref="M1562">+_xlfn.IFS((C1562&gt;='Resultats - informe'!$D$26)*(C1562&lt;='Resultats - informe'!$E$26),0,(C1562&gt;='Resultats - informe'!$D$27)*(C1562&lt;='Resultats - informe'!$E$27),0,(C1562&gt;='Resultats - informe'!$D$28)*(C1562&lt;='Resultats - informe'!$E$28),0,(C1562&gt;='Resultats - informe'!$D$29)*(C1562&lt;='Resultats - informe'!$E$29),0,1,1)</f>
        <v>0</v>
      </c>
      <c r="N1562" s="366">
        <f>+VLOOKUP(D1562,'Resultats - informe'!$Y$18:$AG$42,'Introducció dades consum'!K1562+1,0)</f>
        <v>0</v>
      </c>
      <c r="O1562" s="370" cm="1">
        <f t="array" ref="O1562">+_xlfn.SWITCH(MONTH(C1562),1,1,2,1,3,1,4,2,5,2,6,3,7,3,8,3,9,3,10,2,11,2,12,1,2)</f>
        <v>1</v>
      </c>
      <c r="P1562" s="43"/>
      <c r="AS1562" s="10"/>
      <c r="AT1562" s="10"/>
      <c r="AU1562" s="10"/>
      <c r="AV1562" s="10"/>
      <c r="AW1562" s="10"/>
      <c r="AX1562" s="10"/>
      <c r="AY1562" s="10"/>
      <c r="AZ1562" s="10"/>
      <c r="BA1562" s="10"/>
      <c r="BB1562" s="10"/>
      <c r="BC1562" s="10"/>
      <c r="BD1562" s="10"/>
      <c r="BE1562" s="10"/>
      <c r="BF1562" s="10"/>
      <c r="BG1562" s="10"/>
      <c r="BH1562" s="10"/>
      <c r="BI1562" s="10"/>
      <c r="BJ1562" s="10"/>
      <c r="BK1562" s="10"/>
      <c r="BL1562" s="10"/>
      <c r="BM1562" s="10"/>
      <c r="BN1562" s="10"/>
      <c r="BO1562" s="10"/>
      <c r="BP1562" s="10"/>
      <c r="BQ1562" s="10"/>
      <c r="BR1562" s="10"/>
      <c r="BS1562" s="10"/>
      <c r="BT1562" s="10"/>
      <c r="BU1562" s="10"/>
    </row>
    <row r="1563" spans="1:73" ht="18" x14ac:dyDescent="0.35">
      <c r="A1563" s="43"/>
      <c r="C1563" s="393"/>
      <c r="E1563" s="394"/>
      <c r="F1563" s="394">
        <v>0</v>
      </c>
      <c r="G1563" s="394"/>
      <c r="H1563" s="8" t="s">
        <v>235</v>
      </c>
      <c r="I1563" s="368">
        <f t="shared" si="73"/>
        <v>0</v>
      </c>
      <c r="J1563" s="365">
        <f t="shared" si="72"/>
        <v>0</v>
      </c>
      <c r="K1563" s="369">
        <f t="shared" si="74"/>
        <v>6</v>
      </c>
      <c r="L1563" s="369">
        <f>+IF((C1563&gt;='Resultats - informe'!$E$16)*(C1563&lt;='Resultats - informe'!$G$16),1,0)</f>
        <v>1</v>
      </c>
      <c r="M1563" s="369" cm="1">
        <f t="array" ref="M1563">+_xlfn.IFS((C1563&gt;='Resultats - informe'!$D$26)*(C1563&lt;='Resultats - informe'!$E$26),0,(C1563&gt;='Resultats - informe'!$D$27)*(C1563&lt;='Resultats - informe'!$E$27),0,(C1563&gt;='Resultats - informe'!$D$28)*(C1563&lt;='Resultats - informe'!$E$28),0,(C1563&gt;='Resultats - informe'!$D$29)*(C1563&lt;='Resultats - informe'!$E$29),0,1,1)</f>
        <v>0</v>
      </c>
      <c r="N1563" s="366">
        <f>+VLOOKUP(D1563,'Resultats - informe'!$Y$18:$AG$42,'Introducció dades consum'!K1563+1,0)</f>
        <v>0</v>
      </c>
      <c r="O1563" s="370" cm="1">
        <f t="array" ref="O1563">+_xlfn.SWITCH(MONTH(C1563),1,1,2,1,3,1,4,2,5,2,6,3,7,3,8,3,9,3,10,2,11,2,12,1,2)</f>
        <v>1</v>
      </c>
      <c r="P1563" s="43"/>
      <c r="AS1563" s="10"/>
      <c r="AT1563" s="10"/>
      <c r="AU1563" s="10"/>
      <c r="AV1563" s="10"/>
      <c r="AW1563" s="10"/>
      <c r="AX1563" s="10"/>
      <c r="AY1563" s="10"/>
      <c r="AZ1563" s="10"/>
      <c r="BA1563" s="10"/>
      <c r="BB1563" s="10"/>
      <c r="BC1563" s="10"/>
      <c r="BD1563" s="10"/>
      <c r="BE1563" s="10"/>
      <c r="BF1563" s="10"/>
      <c r="BG1563" s="10"/>
      <c r="BH1563" s="10"/>
      <c r="BI1563" s="10"/>
      <c r="BJ1563" s="10"/>
      <c r="BK1563" s="10"/>
      <c r="BL1563" s="10"/>
      <c r="BM1563" s="10"/>
      <c r="BN1563" s="10"/>
      <c r="BO1563" s="10"/>
      <c r="BP1563" s="10"/>
      <c r="BQ1563" s="10"/>
      <c r="BR1563" s="10"/>
      <c r="BS1563" s="10"/>
      <c r="BT1563" s="10"/>
      <c r="BU1563" s="10"/>
    </row>
    <row r="1564" spans="1:73" ht="18" x14ac:dyDescent="0.35">
      <c r="A1564" s="43"/>
      <c r="C1564" s="393"/>
      <c r="E1564" s="394"/>
      <c r="F1564" s="394">
        <v>0</v>
      </c>
      <c r="G1564" s="394"/>
      <c r="H1564" s="8" t="s">
        <v>235</v>
      </c>
      <c r="I1564" s="368">
        <f t="shared" si="73"/>
        <v>0</v>
      </c>
      <c r="J1564" s="365">
        <f t="shared" si="72"/>
        <v>0</v>
      </c>
      <c r="K1564" s="369">
        <f t="shared" si="74"/>
        <v>6</v>
      </c>
      <c r="L1564" s="369">
        <f>+IF((C1564&gt;='Resultats - informe'!$E$16)*(C1564&lt;='Resultats - informe'!$G$16),1,0)</f>
        <v>1</v>
      </c>
      <c r="M1564" s="369" cm="1">
        <f t="array" ref="M1564">+_xlfn.IFS((C1564&gt;='Resultats - informe'!$D$26)*(C1564&lt;='Resultats - informe'!$E$26),0,(C1564&gt;='Resultats - informe'!$D$27)*(C1564&lt;='Resultats - informe'!$E$27),0,(C1564&gt;='Resultats - informe'!$D$28)*(C1564&lt;='Resultats - informe'!$E$28),0,(C1564&gt;='Resultats - informe'!$D$29)*(C1564&lt;='Resultats - informe'!$E$29),0,1,1)</f>
        <v>0</v>
      </c>
      <c r="N1564" s="366">
        <f>+VLOOKUP(D1564,'Resultats - informe'!$Y$18:$AG$42,'Introducció dades consum'!K1564+1,0)</f>
        <v>0</v>
      </c>
      <c r="O1564" s="370" cm="1">
        <f t="array" ref="O1564">+_xlfn.SWITCH(MONTH(C1564),1,1,2,1,3,1,4,2,5,2,6,3,7,3,8,3,9,3,10,2,11,2,12,1,2)</f>
        <v>1</v>
      </c>
      <c r="P1564" s="43"/>
      <c r="AS1564" s="10"/>
      <c r="AT1564" s="10"/>
      <c r="AU1564" s="10"/>
      <c r="AV1564" s="10"/>
      <c r="AW1564" s="10"/>
      <c r="AX1564" s="10"/>
      <c r="AY1564" s="10"/>
      <c r="AZ1564" s="10"/>
      <c r="BA1564" s="10"/>
      <c r="BB1564" s="10"/>
      <c r="BC1564" s="10"/>
      <c r="BD1564" s="10"/>
      <c r="BE1564" s="10"/>
      <c r="BF1564" s="10"/>
      <c r="BG1564" s="10"/>
      <c r="BH1564" s="10"/>
      <c r="BI1564" s="10"/>
      <c r="BJ1564" s="10"/>
      <c r="BK1564" s="10"/>
      <c r="BL1564" s="10"/>
      <c r="BM1564" s="10"/>
      <c r="BN1564" s="10"/>
      <c r="BO1564" s="10"/>
      <c r="BP1564" s="10"/>
      <c r="BQ1564" s="10"/>
      <c r="BR1564" s="10"/>
      <c r="BS1564" s="10"/>
      <c r="BT1564" s="10"/>
      <c r="BU1564" s="10"/>
    </row>
    <row r="1565" spans="1:73" ht="18" x14ac:dyDescent="0.35">
      <c r="A1565" s="43"/>
      <c r="C1565" s="393"/>
      <c r="E1565" s="394"/>
      <c r="F1565" s="394">
        <v>0</v>
      </c>
      <c r="G1565" s="394"/>
      <c r="H1565" s="8" t="s">
        <v>235</v>
      </c>
      <c r="I1565" s="368">
        <f t="shared" si="73"/>
        <v>0</v>
      </c>
      <c r="J1565" s="365">
        <f t="shared" si="72"/>
        <v>0</v>
      </c>
      <c r="K1565" s="369">
        <f t="shared" si="74"/>
        <v>6</v>
      </c>
      <c r="L1565" s="369">
        <f>+IF((C1565&gt;='Resultats - informe'!$E$16)*(C1565&lt;='Resultats - informe'!$G$16),1,0)</f>
        <v>1</v>
      </c>
      <c r="M1565" s="369" cm="1">
        <f t="array" ref="M1565">+_xlfn.IFS((C1565&gt;='Resultats - informe'!$D$26)*(C1565&lt;='Resultats - informe'!$E$26),0,(C1565&gt;='Resultats - informe'!$D$27)*(C1565&lt;='Resultats - informe'!$E$27),0,(C1565&gt;='Resultats - informe'!$D$28)*(C1565&lt;='Resultats - informe'!$E$28),0,(C1565&gt;='Resultats - informe'!$D$29)*(C1565&lt;='Resultats - informe'!$E$29),0,1,1)</f>
        <v>0</v>
      </c>
      <c r="N1565" s="366">
        <f>+VLOOKUP(D1565,'Resultats - informe'!$Y$18:$AG$42,'Introducció dades consum'!K1565+1,0)</f>
        <v>0</v>
      </c>
      <c r="O1565" s="370" cm="1">
        <f t="array" ref="O1565">+_xlfn.SWITCH(MONTH(C1565),1,1,2,1,3,1,4,2,5,2,6,3,7,3,8,3,9,3,10,2,11,2,12,1,2)</f>
        <v>1</v>
      </c>
      <c r="P1565" s="43"/>
      <c r="AS1565" s="10"/>
      <c r="AT1565" s="10"/>
      <c r="AU1565" s="10"/>
      <c r="AV1565" s="10"/>
      <c r="AW1565" s="10"/>
      <c r="AX1565" s="10"/>
      <c r="AY1565" s="10"/>
      <c r="AZ1565" s="10"/>
      <c r="BA1565" s="10"/>
      <c r="BB1565" s="10"/>
      <c r="BC1565" s="10"/>
      <c r="BD1565" s="10"/>
      <c r="BE1565" s="10"/>
      <c r="BF1565" s="10"/>
      <c r="BG1565" s="10"/>
      <c r="BH1565" s="10"/>
      <c r="BI1565" s="10"/>
      <c r="BJ1565" s="10"/>
      <c r="BK1565" s="10"/>
      <c r="BL1565" s="10"/>
      <c r="BM1565" s="10"/>
      <c r="BN1565" s="10"/>
      <c r="BO1565" s="10"/>
      <c r="BP1565" s="10"/>
      <c r="BQ1565" s="10"/>
      <c r="BR1565" s="10"/>
      <c r="BS1565" s="10"/>
      <c r="BT1565" s="10"/>
      <c r="BU1565" s="10"/>
    </row>
    <row r="1566" spans="1:73" ht="18" x14ac:dyDescent="0.35">
      <c r="A1566" s="43"/>
      <c r="C1566" s="393"/>
      <c r="E1566" s="394"/>
      <c r="F1566" s="394">
        <v>0</v>
      </c>
      <c r="G1566" s="394"/>
      <c r="H1566" s="8" t="s">
        <v>235</v>
      </c>
      <c r="I1566" s="368">
        <f t="shared" si="73"/>
        <v>0</v>
      </c>
      <c r="J1566" s="365">
        <f t="shared" si="72"/>
        <v>0</v>
      </c>
      <c r="K1566" s="369">
        <f t="shared" si="74"/>
        <v>6</v>
      </c>
      <c r="L1566" s="369">
        <f>+IF((C1566&gt;='Resultats - informe'!$E$16)*(C1566&lt;='Resultats - informe'!$G$16),1,0)</f>
        <v>1</v>
      </c>
      <c r="M1566" s="369" cm="1">
        <f t="array" ref="M1566">+_xlfn.IFS((C1566&gt;='Resultats - informe'!$D$26)*(C1566&lt;='Resultats - informe'!$E$26),0,(C1566&gt;='Resultats - informe'!$D$27)*(C1566&lt;='Resultats - informe'!$E$27),0,(C1566&gt;='Resultats - informe'!$D$28)*(C1566&lt;='Resultats - informe'!$E$28),0,(C1566&gt;='Resultats - informe'!$D$29)*(C1566&lt;='Resultats - informe'!$E$29),0,1,1)</f>
        <v>0</v>
      </c>
      <c r="N1566" s="366">
        <f>+VLOOKUP(D1566,'Resultats - informe'!$Y$18:$AG$42,'Introducció dades consum'!K1566+1,0)</f>
        <v>0</v>
      </c>
      <c r="O1566" s="370" cm="1">
        <f t="array" ref="O1566">+_xlfn.SWITCH(MONTH(C1566),1,1,2,1,3,1,4,2,5,2,6,3,7,3,8,3,9,3,10,2,11,2,12,1,2)</f>
        <v>1</v>
      </c>
      <c r="P1566" s="43"/>
      <c r="AS1566" s="10"/>
      <c r="AT1566" s="10"/>
      <c r="AU1566" s="10"/>
      <c r="AV1566" s="10"/>
      <c r="AW1566" s="10"/>
      <c r="AX1566" s="10"/>
      <c r="AY1566" s="10"/>
      <c r="AZ1566" s="10"/>
      <c r="BA1566" s="10"/>
      <c r="BB1566" s="10"/>
      <c r="BC1566" s="10"/>
      <c r="BD1566" s="10"/>
      <c r="BE1566" s="10"/>
      <c r="BF1566" s="10"/>
      <c r="BG1566" s="10"/>
      <c r="BH1566" s="10"/>
      <c r="BI1566" s="10"/>
      <c r="BJ1566" s="10"/>
      <c r="BK1566" s="10"/>
      <c r="BL1566" s="10"/>
      <c r="BM1566" s="10"/>
      <c r="BN1566" s="10"/>
      <c r="BO1566" s="10"/>
      <c r="BP1566" s="10"/>
      <c r="BQ1566" s="10"/>
      <c r="BR1566" s="10"/>
      <c r="BS1566" s="10"/>
      <c r="BT1566" s="10"/>
      <c r="BU1566" s="10"/>
    </row>
    <row r="1567" spans="1:73" ht="18" x14ac:dyDescent="0.35">
      <c r="A1567" s="43"/>
      <c r="C1567" s="393"/>
      <c r="E1567" s="394"/>
      <c r="F1567" s="394">
        <v>0</v>
      </c>
      <c r="G1567" s="394"/>
      <c r="H1567" s="8" t="s">
        <v>235</v>
      </c>
      <c r="I1567" s="368">
        <f t="shared" si="73"/>
        <v>0</v>
      </c>
      <c r="J1567" s="365">
        <f t="shared" si="72"/>
        <v>0</v>
      </c>
      <c r="K1567" s="369">
        <f t="shared" si="74"/>
        <v>6</v>
      </c>
      <c r="L1567" s="369">
        <f>+IF((C1567&gt;='Resultats - informe'!$E$16)*(C1567&lt;='Resultats - informe'!$G$16),1,0)</f>
        <v>1</v>
      </c>
      <c r="M1567" s="369" cm="1">
        <f t="array" ref="M1567">+_xlfn.IFS((C1567&gt;='Resultats - informe'!$D$26)*(C1567&lt;='Resultats - informe'!$E$26),0,(C1567&gt;='Resultats - informe'!$D$27)*(C1567&lt;='Resultats - informe'!$E$27),0,(C1567&gt;='Resultats - informe'!$D$28)*(C1567&lt;='Resultats - informe'!$E$28),0,(C1567&gt;='Resultats - informe'!$D$29)*(C1567&lt;='Resultats - informe'!$E$29),0,1,1)</f>
        <v>0</v>
      </c>
      <c r="N1567" s="366">
        <f>+VLOOKUP(D1567,'Resultats - informe'!$Y$18:$AG$42,'Introducció dades consum'!K1567+1,0)</f>
        <v>0</v>
      </c>
      <c r="O1567" s="370" cm="1">
        <f t="array" ref="O1567">+_xlfn.SWITCH(MONTH(C1567),1,1,2,1,3,1,4,2,5,2,6,3,7,3,8,3,9,3,10,2,11,2,12,1,2)</f>
        <v>1</v>
      </c>
      <c r="P1567" s="43"/>
      <c r="AS1567" s="10"/>
      <c r="AT1567" s="10"/>
      <c r="AU1567" s="10"/>
      <c r="AV1567" s="10"/>
      <c r="AW1567" s="10"/>
      <c r="AX1567" s="10"/>
      <c r="AY1567" s="10"/>
      <c r="AZ1567" s="10"/>
      <c r="BA1567" s="10"/>
      <c r="BB1567" s="10"/>
      <c r="BC1567" s="10"/>
      <c r="BD1567" s="10"/>
      <c r="BE1567" s="10"/>
      <c r="BF1567" s="10"/>
      <c r="BG1567" s="10"/>
      <c r="BH1567" s="10"/>
      <c r="BI1567" s="10"/>
      <c r="BJ1567" s="10"/>
      <c r="BK1567" s="10"/>
      <c r="BL1567" s="10"/>
      <c r="BM1567" s="10"/>
      <c r="BN1567" s="10"/>
      <c r="BO1567" s="10"/>
      <c r="BP1567" s="10"/>
      <c r="BQ1567" s="10"/>
      <c r="BR1567" s="10"/>
      <c r="BS1567" s="10"/>
      <c r="BT1567" s="10"/>
      <c r="BU1567" s="10"/>
    </row>
    <row r="1568" spans="1:73" ht="18" x14ac:dyDescent="0.35">
      <c r="A1568" s="43"/>
      <c r="C1568" s="393"/>
      <c r="E1568" s="394"/>
      <c r="F1568" s="394">
        <v>0</v>
      </c>
      <c r="G1568" s="394"/>
      <c r="H1568" s="8" t="s">
        <v>235</v>
      </c>
      <c r="I1568" s="368">
        <f t="shared" si="73"/>
        <v>0</v>
      </c>
      <c r="J1568" s="365">
        <f t="shared" si="72"/>
        <v>0</v>
      </c>
      <c r="K1568" s="369">
        <f t="shared" si="74"/>
        <v>6</v>
      </c>
      <c r="L1568" s="369">
        <f>+IF((C1568&gt;='Resultats - informe'!$E$16)*(C1568&lt;='Resultats - informe'!$G$16),1,0)</f>
        <v>1</v>
      </c>
      <c r="M1568" s="369" cm="1">
        <f t="array" ref="M1568">+_xlfn.IFS((C1568&gt;='Resultats - informe'!$D$26)*(C1568&lt;='Resultats - informe'!$E$26),0,(C1568&gt;='Resultats - informe'!$D$27)*(C1568&lt;='Resultats - informe'!$E$27),0,(C1568&gt;='Resultats - informe'!$D$28)*(C1568&lt;='Resultats - informe'!$E$28),0,(C1568&gt;='Resultats - informe'!$D$29)*(C1568&lt;='Resultats - informe'!$E$29),0,1,1)</f>
        <v>0</v>
      </c>
      <c r="N1568" s="366">
        <f>+VLOOKUP(D1568,'Resultats - informe'!$Y$18:$AG$42,'Introducció dades consum'!K1568+1,0)</f>
        <v>0</v>
      </c>
      <c r="O1568" s="370" cm="1">
        <f t="array" ref="O1568">+_xlfn.SWITCH(MONTH(C1568),1,1,2,1,3,1,4,2,5,2,6,3,7,3,8,3,9,3,10,2,11,2,12,1,2)</f>
        <v>1</v>
      </c>
      <c r="P1568" s="43"/>
      <c r="AS1568" s="10"/>
      <c r="AT1568" s="10"/>
      <c r="AU1568" s="10"/>
      <c r="AV1568" s="10"/>
      <c r="AW1568" s="10"/>
      <c r="AX1568" s="10"/>
      <c r="AY1568" s="10"/>
      <c r="AZ1568" s="10"/>
      <c r="BA1568" s="10"/>
      <c r="BB1568" s="10"/>
      <c r="BC1568" s="10"/>
      <c r="BD1568" s="10"/>
      <c r="BE1568" s="10"/>
      <c r="BF1568" s="10"/>
      <c r="BG1568" s="10"/>
      <c r="BH1568" s="10"/>
      <c r="BI1568" s="10"/>
      <c r="BJ1568" s="10"/>
      <c r="BK1568" s="10"/>
      <c r="BL1568" s="10"/>
      <c r="BM1568" s="10"/>
      <c r="BN1568" s="10"/>
      <c r="BO1568" s="10"/>
      <c r="BP1568" s="10"/>
      <c r="BQ1568" s="10"/>
      <c r="BR1568" s="10"/>
      <c r="BS1568" s="10"/>
      <c r="BT1568" s="10"/>
      <c r="BU1568" s="10"/>
    </row>
    <row r="1569" spans="1:73" ht="18" x14ac:dyDescent="0.35">
      <c r="A1569" s="43"/>
      <c r="C1569" s="393"/>
      <c r="E1569" s="394"/>
      <c r="F1569" s="394">
        <v>0</v>
      </c>
      <c r="G1569" s="394"/>
      <c r="H1569" s="8" t="s">
        <v>235</v>
      </c>
      <c r="I1569" s="368">
        <f t="shared" si="73"/>
        <v>0</v>
      </c>
      <c r="J1569" s="365">
        <f t="shared" si="72"/>
        <v>0</v>
      </c>
      <c r="K1569" s="369">
        <f t="shared" si="74"/>
        <v>6</v>
      </c>
      <c r="L1569" s="369">
        <f>+IF((C1569&gt;='Resultats - informe'!$E$16)*(C1569&lt;='Resultats - informe'!$G$16),1,0)</f>
        <v>1</v>
      </c>
      <c r="M1569" s="369" cm="1">
        <f t="array" ref="M1569">+_xlfn.IFS((C1569&gt;='Resultats - informe'!$D$26)*(C1569&lt;='Resultats - informe'!$E$26),0,(C1569&gt;='Resultats - informe'!$D$27)*(C1569&lt;='Resultats - informe'!$E$27),0,(C1569&gt;='Resultats - informe'!$D$28)*(C1569&lt;='Resultats - informe'!$E$28),0,(C1569&gt;='Resultats - informe'!$D$29)*(C1569&lt;='Resultats - informe'!$E$29),0,1,1)</f>
        <v>0</v>
      </c>
      <c r="N1569" s="366">
        <f>+VLOOKUP(D1569,'Resultats - informe'!$Y$18:$AG$42,'Introducció dades consum'!K1569+1,0)</f>
        <v>0</v>
      </c>
      <c r="O1569" s="370" cm="1">
        <f t="array" ref="O1569">+_xlfn.SWITCH(MONTH(C1569),1,1,2,1,3,1,4,2,5,2,6,3,7,3,8,3,9,3,10,2,11,2,12,1,2)</f>
        <v>1</v>
      </c>
      <c r="P1569" s="43"/>
      <c r="AS1569" s="10"/>
      <c r="AT1569" s="10"/>
      <c r="AU1569" s="10"/>
      <c r="AV1569" s="10"/>
      <c r="AW1569" s="10"/>
      <c r="AX1569" s="10"/>
      <c r="AY1569" s="10"/>
      <c r="AZ1569" s="10"/>
      <c r="BA1569" s="10"/>
      <c r="BB1569" s="10"/>
      <c r="BC1569" s="10"/>
      <c r="BD1569" s="10"/>
      <c r="BE1569" s="10"/>
      <c r="BF1569" s="10"/>
      <c r="BG1569" s="10"/>
      <c r="BH1569" s="10"/>
      <c r="BI1569" s="10"/>
      <c r="BJ1569" s="10"/>
      <c r="BK1569" s="10"/>
      <c r="BL1569" s="10"/>
      <c r="BM1569" s="10"/>
      <c r="BN1569" s="10"/>
      <c r="BO1569" s="10"/>
      <c r="BP1569" s="10"/>
      <c r="BQ1569" s="10"/>
      <c r="BR1569" s="10"/>
      <c r="BS1569" s="10"/>
      <c r="BT1569" s="10"/>
      <c r="BU1569" s="10"/>
    </row>
    <row r="1570" spans="1:73" ht="18" x14ac:dyDescent="0.35">
      <c r="A1570" s="43"/>
      <c r="C1570" s="393"/>
      <c r="E1570" s="394"/>
      <c r="F1570" s="394">
        <v>0</v>
      </c>
      <c r="G1570" s="394"/>
      <c r="H1570" s="8" t="s">
        <v>235</v>
      </c>
      <c r="I1570" s="368">
        <f t="shared" si="73"/>
        <v>0</v>
      </c>
      <c r="J1570" s="365">
        <f t="shared" si="72"/>
        <v>0</v>
      </c>
      <c r="K1570" s="369">
        <f t="shared" si="74"/>
        <v>6</v>
      </c>
      <c r="L1570" s="369">
        <f>+IF((C1570&gt;='Resultats - informe'!$E$16)*(C1570&lt;='Resultats - informe'!$G$16),1,0)</f>
        <v>1</v>
      </c>
      <c r="M1570" s="369" cm="1">
        <f t="array" ref="M1570">+_xlfn.IFS((C1570&gt;='Resultats - informe'!$D$26)*(C1570&lt;='Resultats - informe'!$E$26),0,(C1570&gt;='Resultats - informe'!$D$27)*(C1570&lt;='Resultats - informe'!$E$27),0,(C1570&gt;='Resultats - informe'!$D$28)*(C1570&lt;='Resultats - informe'!$E$28),0,(C1570&gt;='Resultats - informe'!$D$29)*(C1570&lt;='Resultats - informe'!$E$29),0,1,1)</f>
        <v>0</v>
      </c>
      <c r="N1570" s="366">
        <f>+VLOOKUP(D1570,'Resultats - informe'!$Y$18:$AG$42,'Introducció dades consum'!K1570+1,0)</f>
        <v>0</v>
      </c>
      <c r="O1570" s="370" cm="1">
        <f t="array" ref="O1570">+_xlfn.SWITCH(MONTH(C1570),1,1,2,1,3,1,4,2,5,2,6,3,7,3,8,3,9,3,10,2,11,2,12,1,2)</f>
        <v>1</v>
      </c>
      <c r="P1570" s="43"/>
      <c r="AS1570" s="10"/>
      <c r="AT1570" s="10"/>
      <c r="AU1570" s="10"/>
      <c r="AV1570" s="10"/>
      <c r="AW1570" s="10"/>
      <c r="AX1570" s="10"/>
      <c r="AY1570" s="10"/>
      <c r="AZ1570" s="10"/>
      <c r="BA1570" s="10"/>
      <c r="BB1570" s="10"/>
      <c r="BC1570" s="10"/>
      <c r="BD1570" s="10"/>
      <c r="BE1570" s="10"/>
      <c r="BF1570" s="10"/>
      <c r="BG1570" s="10"/>
      <c r="BH1570" s="10"/>
      <c r="BI1570" s="10"/>
      <c r="BJ1570" s="10"/>
      <c r="BK1570" s="10"/>
      <c r="BL1570" s="10"/>
      <c r="BM1570" s="10"/>
      <c r="BN1570" s="10"/>
      <c r="BO1570" s="10"/>
      <c r="BP1570" s="10"/>
      <c r="BQ1570" s="10"/>
      <c r="BR1570" s="10"/>
      <c r="BS1570" s="10"/>
      <c r="BT1570" s="10"/>
      <c r="BU1570" s="10"/>
    </row>
    <row r="1571" spans="1:73" ht="18" x14ac:dyDescent="0.35">
      <c r="A1571" s="43"/>
      <c r="C1571" s="393"/>
      <c r="E1571" s="394"/>
      <c r="F1571" s="394">
        <v>0</v>
      </c>
      <c r="G1571" s="394"/>
      <c r="H1571" s="8" t="s">
        <v>235</v>
      </c>
      <c r="I1571" s="368">
        <f t="shared" si="73"/>
        <v>0</v>
      </c>
      <c r="J1571" s="365">
        <f t="shared" si="72"/>
        <v>0</v>
      </c>
      <c r="K1571" s="369">
        <f t="shared" si="74"/>
        <v>6</v>
      </c>
      <c r="L1571" s="369">
        <f>+IF((C1571&gt;='Resultats - informe'!$E$16)*(C1571&lt;='Resultats - informe'!$G$16),1,0)</f>
        <v>1</v>
      </c>
      <c r="M1571" s="369" cm="1">
        <f t="array" ref="M1571">+_xlfn.IFS((C1571&gt;='Resultats - informe'!$D$26)*(C1571&lt;='Resultats - informe'!$E$26),0,(C1571&gt;='Resultats - informe'!$D$27)*(C1571&lt;='Resultats - informe'!$E$27),0,(C1571&gt;='Resultats - informe'!$D$28)*(C1571&lt;='Resultats - informe'!$E$28),0,(C1571&gt;='Resultats - informe'!$D$29)*(C1571&lt;='Resultats - informe'!$E$29),0,1,1)</f>
        <v>0</v>
      </c>
      <c r="N1571" s="366">
        <f>+VLOOKUP(D1571,'Resultats - informe'!$Y$18:$AG$42,'Introducció dades consum'!K1571+1,0)</f>
        <v>0</v>
      </c>
      <c r="O1571" s="370" cm="1">
        <f t="array" ref="O1571">+_xlfn.SWITCH(MONTH(C1571),1,1,2,1,3,1,4,2,5,2,6,3,7,3,8,3,9,3,10,2,11,2,12,1,2)</f>
        <v>1</v>
      </c>
      <c r="P1571" s="43"/>
      <c r="AS1571" s="10"/>
      <c r="AT1571" s="10"/>
      <c r="AU1571" s="10"/>
      <c r="AV1571" s="10"/>
      <c r="AW1571" s="10"/>
      <c r="AX1571" s="10"/>
      <c r="AY1571" s="10"/>
      <c r="AZ1571" s="10"/>
      <c r="BA1571" s="10"/>
      <c r="BB1571" s="10"/>
      <c r="BC1571" s="10"/>
      <c r="BD1571" s="10"/>
      <c r="BE1571" s="10"/>
      <c r="BF1571" s="10"/>
      <c r="BG1571" s="10"/>
      <c r="BH1571" s="10"/>
      <c r="BI1571" s="10"/>
      <c r="BJ1571" s="10"/>
      <c r="BK1571" s="10"/>
      <c r="BL1571" s="10"/>
      <c r="BM1571" s="10"/>
      <c r="BN1571" s="10"/>
      <c r="BO1571" s="10"/>
      <c r="BP1571" s="10"/>
      <c r="BQ1571" s="10"/>
      <c r="BR1571" s="10"/>
      <c r="BS1571" s="10"/>
      <c r="BT1571" s="10"/>
      <c r="BU1571" s="10"/>
    </row>
    <row r="1572" spans="1:73" ht="18" x14ac:dyDescent="0.35">
      <c r="A1572" s="43"/>
      <c r="C1572" s="393"/>
      <c r="E1572" s="394"/>
      <c r="F1572" s="394">
        <v>0.72499999999999998</v>
      </c>
      <c r="G1572" s="394"/>
      <c r="H1572" s="8" t="s">
        <v>235</v>
      </c>
      <c r="I1572" s="368">
        <f t="shared" si="73"/>
        <v>0</v>
      </c>
      <c r="J1572" s="365">
        <f t="shared" si="72"/>
        <v>0</v>
      </c>
      <c r="K1572" s="369">
        <f t="shared" si="74"/>
        <v>6</v>
      </c>
      <c r="L1572" s="369">
        <f>+IF((C1572&gt;='Resultats - informe'!$E$16)*(C1572&lt;='Resultats - informe'!$G$16),1,0)</f>
        <v>1</v>
      </c>
      <c r="M1572" s="369" cm="1">
        <f t="array" ref="M1572">+_xlfn.IFS((C1572&gt;='Resultats - informe'!$D$26)*(C1572&lt;='Resultats - informe'!$E$26),0,(C1572&gt;='Resultats - informe'!$D$27)*(C1572&lt;='Resultats - informe'!$E$27),0,(C1572&gt;='Resultats - informe'!$D$28)*(C1572&lt;='Resultats - informe'!$E$28),0,(C1572&gt;='Resultats - informe'!$D$29)*(C1572&lt;='Resultats - informe'!$E$29),0,1,1)</f>
        <v>0</v>
      </c>
      <c r="N1572" s="366">
        <f>+VLOOKUP(D1572,'Resultats - informe'!$Y$18:$AG$42,'Introducció dades consum'!K1572+1,0)</f>
        <v>0</v>
      </c>
      <c r="O1572" s="370" cm="1">
        <f t="array" ref="O1572">+_xlfn.SWITCH(MONTH(C1572),1,1,2,1,3,1,4,2,5,2,6,3,7,3,8,3,9,3,10,2,11,2,12,1,2)</f>
        <v>1</v>
      </c>
      <c r="P1572" s="43"/>
      <c r="AS1572" s="10"/>
      <c r="AT1572" s="10"/>
      <c r="AU1572" s="10"/>
      <c r="AV1572" s="10"/>
      <c r="AW1572" s="10"/>
      <c r="AX1572" s="10"/>
      <c r="AY1572" s="10"/>
      <c r="AZ1572" s="10"/>
      <c r="BA1572" s="10"/>
      <c r="BB1572" s="10"/>
      <c r="BC1572" s="10"/>
      <c r="BD1572" s="10"/>
      <c r="BE1572" s="10"/>
      <c r="BF1572" s="10"/>
      <c r="BG1572" s="10"/>
      <c r="BH1572" s="10"/>
      <c r="BI1572" s="10"/>
      <c r="BJ1572" s="10"/>
      <c r="BK1572" s="10"/>
      <c r="BL1572" s="10"/>
      <c r="BM1572" s="10"/>
      <c r="BN1572" s="10"/>
      <c r="BO1572" s="10"/>
      <c r="BP1572" s="10"/>
      <c r="BQ1572" s="10"/>
      <c r="BR1572" s="10"/>
      <c r="BS1572" s="10"/>
      <c r="BT1572" s="10"/>
      <c r="BU1572" s="10"/>
    </row>
    <row r="1573" spans="1:73" ht="18" x14ac:dyDescent="0.35">
      <c r="A1573" s="43"/>
      <c r="C1573" s="393"/>
      <c r="E1573" s="394"/>
      <c r="F1573" s="394">
        <v>1.268</v>
      </c>
      <c r="G1573" s="394"/>
      <c r="H1573" s="8" t="s">
        <v>235</v>
      </c>
      <c r="I1573" s="368">
        <f t="shared" si="73"/>
        <v>0</v>
      </c>
      <c r="J1573" s="365">
        <f t="shared" si="72"/>
        <v>0</v>
      </c>
      <c r="K1573" s="369">
        <f t="shared" si="74"/>
        <v>6</v>
      </c>
      <c r="L1573" s="369">
        <f>+IF((C1573&gt;='Resultats - informe'!$E$16)*(C1573&lt;='Resultats - informe'!$G$16),1,0)</f>
        <v>1</v>
      </c>
      <c r="M1573" s="369" cm="1">
        <f t="array" ref="M1573">+_xlfn.IFS((C1573&gt;='Resultats - informe'!$D$26)*(C1573&lt;='Resultats - informe'!$E$26),0,(C1573&gt;='Resultats - informe'!$D$27)*(C1573&lt;='Resultats - informe'!$E$27),0,(C1573&gt;='Resultats - informe'!$D$28)*(C1573&lt;='Resultats - informe'!$E$28),0,(C1573&gt;='Resultats - informe'!$D$29)*(C1573&lt;='Resultats - informe'!$E$29),0,1,1)</f>
        <v>0</v>
      </c>
      <c r="N1573" s="366">
        <f>+VLOOKUP(D1573,'Resultats - informe'!$Y$18:$AG$42,'Introducció dades consum'!K1573+1,0)</f>
        <v>0</v>
      </c>
      <c r="O1573" s="370" cm="1">
        <f t="array" ref="O1573">+_xlfn.SWITCH(MONTH(C1573),1,1,2,1,3,1,4,2,5,2,6,3,7,3,8,3,9,3,10,2,11,2,12,1,2)</f>
        <v>1</v>
      </c>
      <c r="P1573" s="43"/>
      <c r="AS1573" s="10"/>
      <c r="AT1573" s="10"/>
      <c r="AU1573" s="10"/>
      <c r="AV1573" s="10"/>
      <c r="AW1573" s="10"/>
      <c r="AX1573" s="10"/>
      <c r="AY1573" s="10"/>
      <c r="AZ1573" s="10"/>
      <c r="BA1573" s="10"/>
      <c r="BB1573" s="10"/>
      <c r="BC1573" s="10"/>
      <c r="BD1573" s="10"/>
      <c r="BE1573" s="10"/>
      <c r="BF1573" s="10"/>
      <c r="BG1573" s="10"/>
      <c r="BH1573" s="10"/>
      <c r="BI1573" s="10"/>
      <c r="BJ1573" s="10"/>
      <c r="BK1573" s="10"/>
      <c r="BL1573" s="10"/>
      <c r="BM1573" s="10"/>
      <c r="BN1573" s="10"/>
      <c r="BO1573" s="10"/>
      <c r="BP1573" s="10"/>
      <c r="BQ1573" s="10"/>
      <c r="BR1573" s="10"/>
      <c r="BS1573" s="10"/>
      <c r="BT1573" s="10"/>
      <c r="BU1573" s="10"/>
    </row>
    <row r="1574" spans="1:73" ht="18" x14ac:dyDescent="0.35">
      <c r="A1574" s="43"/>
      <c r="C1574" s="393"/>
      <c r="E1574" s="394"/>
      <c r="F1574" s="394">
        <v>0</v>
      </c>
      <c r="G1574" s="394"/>
      <c r="H1574" s="8" t="s">
        <v>61</v>
      </c>
      <c r="I1574" s="368">
        <f t="shared" si="73"/>
        <v>0</v>
      </c>
      <c r="J1574" s="365">
        <f t="shared" si="72"/>
        <v>0</v>
      </c>
      <c r="K1574" s="369">
        <f t="shared" si="74"/>
        <v>6</v>
      </c>
      <c r="L1574" s="369">
        <f>+IF((C1574&gt;='Resultats - informe'!$E$16)*(C1574&lt;='Resultats - informe'!$G$16),1,0)</f>
        <v>1</v>
      </c>
      <c r="M1574" s="369" cm="1">
        <f t="array" ref="M1574">+_xlfn.IFS((C1574&gt;='Resultats - informe'!$D$26)*(C1574&lt;='Resultats - informe'!$E$26),0,(C1574&gt;='Resultats - informe'!$D$27)*(C1574&lt;='Resultats - informe'!$E$27),0,(C1574&gt;='Resultats - informe'!$D$28)*(C1574&lt;='Resultats - informe'!$E$28),0,(C1574&gt;='Resultats - informe'!$D$29)*(C1574&lt;='Resultats - informe'!$E$29),0,1,1)</f>
        <v>0</v>
      </c>
      <c r="N1574" s="366">
        <f>+VLOOKUP(D1574,'Resultats - informe'!$Y$18:$AG$42,'Introducció dades consum'!K1574+1,0)</f>
        <v>0</v>
      </c>
      <c r="O1574" s="370" cm="1">
        <f t="array" ref="O1574">+_xlfn.SWITCH(MONTH(C1574),1,1,2,1,3,1,4,2,5,2,6,3,7,3,8,3,9,3,10,2,11,2,12,1,2)</f>
        <v>1</v>
      </c>
      <c r="P1574" s="43"/>
      <c r="AS1574" s="10"/>
      <c r="AT1574" s="10"/>
      <c r="AU1574" s="10"/>
      <c r="AV1574" s="10"/>
      <c r="AW1574" s="10"/>
      <c r="AX1574" s="10"/>
      <c r="AY1574" s="10"/>
      <c r="AZ1574" s="10"/>
      <c r="BA1574" s="10"/>
      <c r="BB1574" s="10"/>
      <c r="BC1574" s="10"/>
      <c r="BD1574" s="10"/>
      <c r="BE1574" s="10"/>
      <c r="BF1574" s="10"/>
      <c r="BG1574" s="10"/>
      <c r="BH1574" s="10"/>
      <c r="BI1574" s="10"/>
      <c r="BJ1574" s="10"/>
      <c r="BK1574" s="10"/>
      <c r="BL1574" s="10"/>
      <c r="BM1574" s="10"/>
      <c r="BN1574" s="10"/>
      <c r="BO1574" s="10"/>
      <c r="BP1574" s="10"/>
      <c r="BQ1574" s="10"/>
      <c r="BR1574" s="10"/>
      <c r="BS1574" s="10"/>
      <c r="BT1574" s="10"/>
      <c r="BU1574" s="10"/>
    </row>
    <row r="1575" spans="1:73" ht="18" x14ac:dyDescent="0.35">
      <c r="A1575" s="43"/>
      <c r="C1575" s="393"/>
      <c r="E1575" s="394"/>
      <c r="F1575" s="394">
        <v>1.302</v>
      </c>
      <c r="G1575" s="394"/>
      <c r="H1575" s="8" t="s">
        <v>235</v>
      </c>
      <c r="I1575" s="368">
        <f t="shared" si="73"/>
        <v>0</v>
      </c>
      <c r="J1575" s="365">
        <f t="shared" si="72"/>
        <v>0</v>
      </c>
      <c r="K1575" s="369">
        <f t="shared" si="74"/>
        <v>6</v>
      </c>
      <c r="L1575" s="369">
        <f>+IF((C1575&gt;='Resultats - informe'!$E$16)*(C1575&lt;='Resultats - informe'!$G$16),1,0)</f>
        <v>1</v>
      </c>
      <c r="M1575" s="369" cm="1">
        <f t="array" ref="M1575">+_xlfn.IFS((C1575&gt;='Resultats - informe'!$D$26)*(C1575&lt;='Resultats - informe'!$E$26),0,(C1575&gt;='Resultats - informe'!$D$27)*(C1575&lt;='Resultats - informe'!$E$27),0,(C1575&gt;='Resultats - informe'!$D$28)*(C1575&lt;='Resultats - informe'!$E$28),0,(C1575&gt;='Resultats - informe'!$D$29)*(C1575&lt;='Resultats - informe'!$E$29),0,1,1)</f>
        <v>0</v>
      </c>
      <c r="N1575" s="366">
        <f>+VLOOKUP(D1575,'Resultats - informe'!$Y$18:$AG$42,'Introducció dades consum'!K1575+1,0)</f>
        <v>0</v>
      </c>
      <c r="O1575" s="370" cm="1">
        <f t="array" ref="O1575">+_xlfn.SWITCH(MONTH(C1575),1,1,2,1,3,1,4,2,5,2,6,3,7,3,8,3,9,3,10,2,11,2,12,1,2)</f>
        <v>1</v>
      </c>
      <c r="P1575" s="43"/>
      <c r="AS1575" s="10"/>
      <c r="AT1575" s="10"/>
      <c r="AU1575" s="10"/>
      <c r="AV1575" s="10"/>
      <c r="AW1575" s="10"/>
      <c r="AX1575" s="10"/>
      <c r="AY1575" s="10"/>
      <c r="AZ1575" s="10"/>
      <c r="BA1575" s="10"/>
      <c r="BB1575" s="10"/>
      <c r="BC1575" s="10"/>
      <c r="BD1575" s="10"/>
      <c r="BE1575" s="10"/>
      <c r="BF1575" s="10"/>
      <c r="BG1575" s="10"/>
      <c r="BH1575" s="10"/>
      <c r="BI1575" s="10"/>
      <c r="BJ1575" s="10"/>
      <c r="BK1575" s="10"/>
      <c r="BL1575" s="10"/>
      <c r="BM1575" s="10"/>
      <c r="BN1575" s="10"/>
      <c r="BO1575" s="10"/>
      <c r="BP1575" s="10"/>
      <c r="BQ1575" s="10"/>
      <c r="BR1575" s="10"/>
      <c r="BS1575" s="10"/>
      <c r="BT1575" s="10"/>
      <c r="BU1575" s="10"/>
    </row>
    <row r="1576" spans="1:73" ht="18" x14ac:dyDescent="0.35">
      <c r="A1576" s="43"/>
      <c r="C1576" s="393"/>
      <c r="E1576" s="394"/>
      <c r="F1576" s="394">
        <v>1.796</v>
      </c>
      <c r="G1576" s="394"/>
      <c r="H1576" s="8" t="s">
        <v>235</v>
      </c>
      <c r="I1576" s="368">
        <f t="shared" si="73"/>
        <v>0</v>
      </c>
      <c r="J1576" s="365">
        <f t="shared" si="72"/>
        <v>0</v>
      </c>
      <c r="K1576" s="369">
        <f t="shared" si="74"/>
        <v>6</v>
      </c>
      <c r="L1576" s="369">
        <f>+IF((C1576&gt;='Resultats - informe'!$E$16)*(C1576&lt;='Resultats - informe'!$G$16),1,0)</f>
        <v>1</v>
      </c>
      <c r="M1576" s="369" cm="1">
        <f t="array" ref="M1576">+_xlfn.IFS((C1576&gt;='Resultats - informe'!$D$26)*(C1576&lt;='Resultats - informe'!$E$26),0,(C1576&gt;='Resultats - informe'!$D$27)*(C1576&lt;='Resultats - informe'!$E$27),0,(C1576&gt;='Resultats - informe'!$D$28)*(C1576&lt;='Resultats - informe'!$E$28),0,(C1576&gt;='Resultats - informe'!$D$29)*(C1576&lt;='Resultats - informe'!$E$29),0,1,1)</f>
        <v>0</v>
      </c>
      <c r="N1576" s="366">
        <f>+VLOOKUP(D1576,'Resultats - informe'!$Y$18:$AG$42,'Introducció dades consum'!K1576+1,0)</f>
        <v>0</v>
      </c>
      <c r="O1576" s="370" cm="1">
        <f t="array" ref="O1576">+_xlfn.SWITCH(MONTH(C1576),1,1,2,1,3,1,4,2,5,2,6,3,7,3,8,3,9,3,10,2,11,2,12,1,2)</f>
        <v>1</v>
      </c>
      <c r="P1576" s="43"/>
      <c r="AS1576" s="10"/>
      <c r="AT1576" s="10"/>
      <c r="AU1576" s="10"/>
      <c r="AV1576" s="10"/>
      <c r="AW1576" s="10"/>
      <c r="AX1576" s="10"/>
      <c r="AY1576" s="10"/>
      <c r="AZ1576" s="10"/>
      <c r="BA1576" s="10"/>
      <c r="BB1576" s="10"/>
      <c r="BC1576" s="10"/>
      <c r="BD1576" s="10"/>
      <c r="BE1576" s="10"/>
      <c r="BF1576" s="10"/>
      <c r="BG1576" s="10"/>
      <c r="BH1576" s="10"/>
      <c r="BI1576" s="10"/>
      <c r="BJ1576" s="10"/>
      <c r="BK1576" s="10"/>
      <c r="BL1576" s="10"/>
      <c r="BM1576" s="10"/>
      <c r="BN1576" s="10"/>
      <c r="BO1576" s="10"/>
      <c r="BP1576" s="10"/>
      <c r="BQ1576" s="10"/>
      <c r="BR1576" s="10"/>
      <c r="BS1576" s="10"/>
      <c r="BT1576" s="10"/>
      <c r="BU1576" s="10"/>
    </row>
    <row r="1577" spans="1:73" ht="18" x14ac:dyDescent="0.35">
      <c r="A1577" s="43"/>
      <c r="C1577" s="393"/>
      <c r="E1577" s="394"/>
      <c r="F1577" s="394">
        <v>2.5270000000000001</v>
      </c>
      <c r="G1577" s="394"/>
      <c r="H1577" s="8" t="s">
        <v>235</v>
      </c>
      <c r="I1577" s="368">
        <f t="shared" si="73"/>
        <v>0</v>
      </c>
      <c r="J1577" s="365">
        <f t="shared" si="72"/>
        <v>0</v>
      </c>
      <c r="K1577" s="369">
        <f t="shared" si="74"/>
        <v>6</v>
      </c>
      <c r="L1577" s="369">
        <f>+IF((C1577&gt;='Resultats - informe'!$E$16)*(C1577&lt;='Resultats - informe'!$G$16),1,0)</f>
        <v>1</v>
      </c>
      <c r="M1577" s="369" cm="1">
        <f t="array" ref="M1577">+_xlfn.IFS((C1577&gt;='Resultats - informe'!$D$26)*(C1577&lt;='Resultats - informe'!$E$26),0,(C1577&gt;='Resultats - informe'!$D$27)*(C1577&lt;='Resultats - informe'!$E$27),0,(C1577&gt;='Resultats - informe'!$D$28)*(C1577&lt;='Resultats - informe'!$E$28),0,(C1577&gt;='Resultats - informe'!$D$29)*(C1577&lt;='Resultats - informe'!$E$29),0,1,1)</f>
        <v>0</v>
      </c>
      <c r="N1577" s="366">
        <f>+VLOOKUP(D1577,'Resultats - informe'!$Y$18:$AG$42,'Introducció dades consum'!K1577+1,0)</f>
        <v>0</v>
      </c>
      <c r="O1577" s="370" cm="1">
        <f t="array" ref="O1577">+_xlfn.SWITCH(MONTH(C1577),1,1,2,1,3,1,4,2,5,2,6,3,7,3,8,3,9,3,10,2,11,2,12,1,2)</f>
        <v>1</v>
      </c>
      <c r="P1577" s="43"/>
      <c r="AS1577" s="10"/>
      <c r="AT1577" s="10"/>
      <c r="AU1577" s="10"/>
      <c r="AV1577" s="10"/>
      <c r="AW1577" s="10"/>
      <c r="AX1577" s="10"/>
      <c r="AY1577" s="10"/>
      <c r="AZ1577" s="10"/>
      <c r="BA1577" s="10"/>
      <c r="BB1577" s="10"/>
      <c r="BC1577" s="10"/>
      <c r="BD1577" s="10"/>
      <c r="BE1577" s="10"/>
      <c r="BF1577" s="10"/>
      <c r="BG1577" s="10"/>
      <c r="BH1577" s="10"/>
      <c r="BI1577" s="10"/>
      <c r="BJ1577" s="10"/>
      <c r="BK1577" s="10"/>
      <c r="BL1577" s="10"/>
      <c r="BM1577" s="10"/>
      <c r="BN1577" s="10"/>
      <c r="BO1577" s="10"/>
      <c r="BP1577" s="10"/>
      <c r="BQ1577" s="10"/>
      <c r="BR1577" s="10"/>
      <c r="BS1577" s="10"/>
      <c r="BT1577" s="10"/>
      <c r="BU1577" s="10"/>
    </row>
    <row r="1578" spans="1:73" ht="18" x14ac:dyDescent="0.35">
      <c r="A1578" s="43"/>
      <c r="C1578" s="393"/>
      <c r="E1578" s="394"/>
      <c r="F1578" s="394">
        <v>1.915</v>
      </c>
      <c r="G1578" s="394"/>
      <c r="H1578" s="8" t="s">
        <v>235</v>
      </c>
      <c r="I1578" s="368">
        <f t="shared" si="73"/>
        <v>0</v>
      </c>
      <c r="J1578" s="365">
        <f t="shared" si="72"/>
        <v>0</v>
      </c>
      <c r="K1578" s="369">
        <f t="shared" si="74"/>
        <v>6</v>
      </c>
      <c r="L1578" s="369">
        <f>+IF((C1578&gt;='Resultats - informe'!$E$16)*(C1578&lt;='Resultats - informe'!$G$16),1,0)</f>
        <v>1</v>
      </c>
      <c r="M1578" s="369" cm="1">
        <f t="array" ref="M1578">+_xlfn.IFS((C1578&gt;='Resultats - informe'!$D$26)*(C1578&lt;='Resultats - informe'!$E$26),0,(C1578&gt;='Resultats - informe'!$D$27)*(C1578&lt;='Resultats - informe'!$E$27),0,(C1578&gt;='Resultats - informe'!$D$28)*(C1578&lt;='Resultats - informe'!$E$28),0,(C1578&gt;='Resultats - informe'!$D$29)*(C1578&lt;='Resultats - informe'!$E$29),0,1,1)</f>
        <v>0</v>
      </c>
      <c r="N1578" s="366">
        <f>+VLOOKUP(D1578,'Resultats - informe'!$Y$18:$AG$42,'Introducció dades consum'!K1578+1,0)</f>
        <v>0</v>
      </c>
      <c r="O1578" s="370" cm="1">
        <f t="array" ref="O1578">+_xlfn.SWITCH(MONTH(C1578),1,1,2,1,3,1,4,2,5,2,6,3,7,3,8,3,9,3,10,2,11,2,12,1,2)</f>
        <v>1</v>
      </c>
      <c r="P1578" s="43"/>
      <c r="AS1578" s="10"/>
      <c r="AT1578" s="10"/>
      <c r="AU1578" s="10"/>
      <c r="AV1578" s="10"/>
      <c r="AW1578" s="10"/>
      <c r="AX1578" s="10"/>
      <c r="AY1578" s="10"/>
      <c r="AZ1578" s="10"/>
      <c r="BA1578" s="10"/>
      <c r="BB1578" s="10"/>
      <c r="BC1578" s="10"/>
      <c r="BD1578" s="10"/>
      <c r="BE1578" s="10"/>
      <c r="BF1578" s="10"/>
      <c r="BG1578" s="10"/>
      <c r="BH1578" s="10"/>
      <c r="BI1578" s="10"/>
      <c r="BJ1578" s="10"/>
      <c r="BK1578" s="10"/>
      <c r="BL1578" s="10"/>
      <c r="BM1578" s="10"/>
      <c r="BN1578" s="10"/>
      <c r="BO1578" s="10"/>
      <c r="BP1578" s="10"/>
      <c r="BQ1578" s="10"/>
      <c r="BR1578" s="10"/>
      <c r="BS1578" s="10"/>
      <c r="BT1578" s="10"/>
      <c r="BU1578" s="10"/>
    </row>
    <row r="1579" spans="1:73" ht="18" x14ac:dyDescent="0.35">
      <c r="A1579" s="43"/>
      <c r="C1579" s="393"/>
      <c r="E1579" s="394"/>
      <c r="F1579" s="394">
        <v>0</v>
      </c>
      <c r="G1579" s="394"/>
      <c r="H1579" s="8" t="s">
        <v>61</v>
      </c>
      <c r="I1579" s="368">
        <f t="shared" si="73"/>
        <v>0</v>
      </c>
      <c r="J1579" s="365">
        <f t="shared" si="72"/>
        <v>0</v>
      </c>
      <c r="K1579" s="369">
        <f t="shared" si="74"/>
        <v>6</v>
      </c>
      <c r="L1579" s="369">
        <f>+IF((C1579&gt;='Resultats - informe'!$E$16)*(C1579&lt;='Resultats - informe'!$G$16),1,0)</f>
        <v>1</v>
      </c>
      <c r="M1579" s="369" cm="1">
        <f t="array" ref="M1579">+_xlfn.IFS((C1579&gt;='Resultats - informe'!$D$26)*(C1579&lt;='Resultats - informe'!$E$26),0,(C1579&gt;='Resultats - informe'!$D$27)*(C1579&lt;='Resultats - informe'!$E$27),0,(C1579&gt;='Resultats - informe'!$D$28)*(C1579&lt;='Resultats - informe'!$E$28),0,(C1579&gt;='Resultats - informe'!$D$29)*(C1579&lt;='Resultats - informe'!$E$29),0,1,1)</f>
        <v>0</v>
      </c>
      <c r="N1579" s="366">
        <f>+VLOOKUP(D1579,'Resultats - informe'!$Y$18:$AG$42,'Introducció dades consum'!K1579+1,0)</f>
        <v>0</v>
      </c>
      <c r="O1579" s="370" cm="1">
        <f t="array" ref="O1579">+_xlfn.SWITCH(MONTH(C1579),1,1,2,1,3,1,4,2,5,2,6,3,7,3,8,3,9,3,10,2,11,2,12,1,2)</f>
        <v>1</v>
      </c>
      <c r="P1579" s="43"/>
      <c r="AS1579" s="10"/>
      <c r="AT1579" s="10"/>
      <c r="AU1579" s="10"/>
      <c r="AV1579" s="10"/>
      <c r="AW1579" s="10"/>
      <c r="AX1579" s="10"/>
      <c r="AY1579" s="10"/>
      <c r="AZ1579" s="10"/>
      <c r="BA1579" s="10"/>
      <c r="BB1579" s="10"/>
      <c r="BC1579" s="10"/>
      <c r="BD1579" s="10"/>
      <c r="BE1579" s="10"/>
      <c r="BF1579" s="10"/>
      <c r="BG1579" s="10"/>
      <c r="BH1579" s="10"/>
      <c r="BI1579" s="10"/>
      <c r="BJ1579" s="10"/>
      <c r="BK1579" s="10"/>
      <c r="BL1579" s="10"/>
      <c r="BM1579" s="10"/>
      <c r="BN1579" s="10"/>
      <c r="BO1579" s="10"/>
      <c r="BP1579" s="10"/>
      <c r="BQ1579" s="10"/>
      <c r="BR1579" s="10"/>
      <c r="BS1579" s="10"/>
      <c r="BT1579" s="10"/>
      <c r="BU1579" s="10"/>
    </row>
    <row r="1580" spans="1:73" ht="18" x14ac:dyDescent="0.35">
      <c r="A1580" s="43"/>
      <c r="C1580" s="393"/>
      <c r="E1580" s="394"/>
      <c r="F1580" s="394">
        <v>0.39600000000000002</v>
      </c>
      <c r="G1580" s="394"/>
      <c r="H1580" s="8" t="s">
        <v>61</v>
      </c>
      <c r="I1580" s="368">
        <f t="shared" si="73"/>
        <v>0</v>
      </c>
      <c r="J1580" s="365">
        <f t="shared" si="72"/>
        <v>0</v>
      </c>
      <c r="K1580" s="369">
        <f t="shared" si="74"/>
        <v>6</v>
      </c>
      <c r="L1580" s="369">
        <f>+IF((C1580&gt;='Resultats - informe'!$E$16)*(C1580&lt;='Resultats - informe'!$G$16),1,0)</f>
        <v>1</v>
      </c>
      <c r="M1580" s="369" cm="1">
        <f t="array" ref="M1580">+_xlfn.IFS((C1580&gt;='Resultats - informe'!$D$26)*(C1580&lt;='Resultats - informe'!$E$26),0,(C1580&gt;='Resultats - informe'!$D$27)*(C1580&lt;='Resultats - informe'!$E$27),0,(C1580&gt;='Resultats - informe'!$D$28)*(C1580&lt;='Resultats - informe'!$E$28),0,(C1580&gt;='Resultats - informe'!$D$29)*(C1580&lt;='Resultats - informe'!$E$29),0,1,1)</f>
        <v>0</v>
      </c>
      <c r="N1580" s="366">
        <f>+VLOOKUP(D1580,'Resultats - informe'!$Y$18:$AG$42,'Introducció dades consum'!K1580+1,0)</f>
        <v>0</v>
      </c>
      <c r="O1580" s="370" cm="1">
        <f t="array" ref="O1580">+_xlfn.SWITCH(MONTH(C1580),1,1,2,1,3,1,4,2,5,2,6,3,7,3,8,3,9,3,10,2,11,2,12,1,2)</f>
        <v>1</v>
      </c>
      <c r="P1580" s="43"/>
      <c r="AS1580" s="10"/>
      <c r="AT1580" s="10"/>
      <c r="AU1580" s="10"/>
      <c r="AV1580" s="10"/>
      <c r="AW1580" s="10"/>
      <c r="AX1580" s="10"/>
      <c r="AY1580" s="10"/>
      <c r="AZ1580" s="10"/>
      <c r="BA1580" s="10"/>
      <c r="BB1580" s="10"/>
      <c r="BC1580" s="10"/>
      <c r="BD1580" s="10"/>
      <c r="BE1580" s="10"/>
      <c r="BF1580" s="10"/>
      <c r="BG1580" s="10"/>
      <c r="BH1580" s="10"/>
      <c r="BI1580" s="10"/>
      <c r="BJ1580" s="10"/>
      <c r="BK1580" s="10"/>
      <c r="BL1580" s="10"/>
      <c r="BM1580" s="10"/>
      <c r="BN1580" s="10"/>
      <c r="BO1580" s="10"/>
      <c r="BP1580" s="10"/>
      <c r="BQ1580" s="10"/>
      <c r="BR1580" s="10"/>
      <c r="BS1580" s="10"/>
      <c r="BT1580" s="10"/>
      <c r="BU1580" s="10"/>
    </row>
    <row r="1581" spans="1:73" ht="18" x14ac:dyDescent="0.35">
      <c r="A1581" s="43"/>
      <c r="C1581" s="393"/>
      <c r="E1581" s="394"/>
      <c r="F1581" s="394">
        <v>0.43</v>
      </c>
      <c r="G1581" s="394"/>
      <c r="H1581" s="8" t="s">
        <v>235</v>
      </c>
      <c r="I1581" s="368">
        <f t="shared" si="73"/>
        <v>0</v>
      </c>
      <c r="J1581" s="365">
        <f t="shared" si="72"/>
        <v>0</v>
      </c>
      <c r="K1581" s="369">
        <f t="shared" si="74"/>
        <v>6</v>
      </c>
      <c r="L1581" s="369">
        <f>+IF((C1581&gt;='Resultats - informe'!$E$16)*(C1581&lt;='Resultats - informe'!$G$16),1,0)</f>
        <v>1</v>
      </c>
      <c r="M1581" s="369" cm="1">
        <f t="array" ref="M1581">+_xlfn.IFS((C1581&gt;='Resultats - informe'!$D$26)*(C1581&lt;='Resultats - informe'!$E$26),0,(C1581&gt;='Resultats - informe'!$D$27)*(C1581&lt;='Resultats - informe'!$E$27),0,(C1581&gt;='Resultats - informe'!$D$28)*(C1581&lt;='Resultats - informe'!$E$28),0,(C1581&gt;='Resultats - informe'!$D$29)*(C1581&lt;='Resultats - informe'!$E$29),0,1,1)</f>
        <v>0</v>
      </c>
      <c r="N1581" s="366">
        <f>+VLOOKUP(D1581,'Resultats - informe'!$Y$18:$AG$42,'Introducció dades consum'!K1581+1,0)</f>
        <v>0</v>
      </c>
      <c r="O1581" s="370" cm="1">
        <f t="array" ref="O1581">+_xlfn.SWITCH(MONTH(C1581),1,1,2,1,3,1,4,2,5,2,6,3,7,3,8,3,9,3,10,2,11,2,12,1,2)</f>
        <v>1</v>
      </c>
      <c r="P1581" s="43"/>
      <c r="AS1581" s="10"/>
      <c r="AT1581" s="10"/>
      <c r="AU1581" s="10"/>
      <c r="AV1581" s="10"/>
      <c r="AW1581" s="10"/>
      <c r="AX1581" s="10"/>
      <c r="AY1581" s="10"/>
      <c r="AZ1581" s="10"/>
      <c r="BA1581" s="10"/>
      <c r="BB1581" s="10"/>
      <c r="BC1581" s="10"/>
      <c r="BD1581" s="10"/>
      <c r="BE1581" s="10"/>
      <c r="BF1581" s="10"/>
      <c r="BG1581" s="10"/>
      <c r="BH1581" s="10"/>
      <c r="BI1581" s="10"/>
      <c r="BJ1581" s="10"/>
      <c r="BK1581" s="10"/>
      <c r="BL1581" s="10"/>
      <c r="BM1581" s="10"/>
      <c r="BN1581" s="10"/>
      <c r="BO1581" s="10"/>
      <c r="BP1581" s="10"/>
      <c r="BQ1581" s="10"/>
      <c r="BR1581" s="10"/>
      <c r="BS1581" s="10"/>
      <c r="BT1581" s="10"/>
      <c r="BU1581" s="10"/>
    </row>
    <row r="1582" spans="1:73" ht="18" x14ac:dyDescent="0.35">
      <c r="A1582" s="43"/>
      <c r="C1582" s="393"/>
      <c r="E1582" s="394"/>
      <c r="F1582" s="394">
        <v>0</v>
      </c>
      <c r="G1582" s="394"/>
      <c r="H1582" s="8" t="s">
        <v>235</v>
      </c>
      <c r="I1582" s="368">
        <f t="shared" si="73"/>
        <v>0</v>
      </c>
      <c r="J1582" s="365">
        <f t="shared" si="72"/>
        <v>0</v>
      </c>
      <c r="K1582" s="369">
        <f t="shared" si="74"/>
        <v>6</v>
      </c>
      <c r="L1582" s="369">
        <f>+IF((C1582&gt;='Resultats - informe'!$E$16)*(C1582&lt;='Resultats - informe'!$G$16),1,0)</f>
        <v>1</v>
      </c>
      <c r="M1582" s="369" cm="1">
        <f t="array" ref="M1582">+_xlfn.IFS((C1582&gt;='Resultats - informe'!$D$26)*(C1582&lt;='Resultats - informe'!$E$26),0,(C1582&gt;='Resultats - informe'!$D$27)*(C1582&lt;='Resultats - informe'!$E$27),0,(C1582&gt;='Resultats - informe'!$D$28)*(C1582&lt;='Resultats - informe'!$E$28),0,(C1582&gt;='Resultats - informe'!$D$29)*(C1582&lt;='Resultats - informe'!$E$29),0,1,1)</f>
        <v>0</v>
      </c>
      <c r="N1582" s="366">
        <f>+VLOOKUP(D1582,'Resultats - informe'!$Y$18:$AG$42,'Introducció dades consum'!K1582+1,0)</f>
        <v>0</v>
      </c>
      <c r="O1582" s="370" cm="1">
        <f t="array" ref="O1582">+_xlfn.SWITCH(MONTH(C1582),1,1,2,1,3,1,4,2,5,2,6,3,7,3,8,3,9,3,10,2,11,2,12,1,2)</f>
        <v>1</v>
      </c>
      <c r="P1582" s="43"/>
      <c r="AS1582" s="10"/>
      <c r="AT1582" s="10"/>
      <c r="AU1582" s="10"/>
      <c r="AV1582" s="10"/>
      <c r="AW1582" s="10"/>
      <c r="AX1582" s="10"/>
      <c r="AY1582" s="10"/>
      <c r="AZ1582" s="10"/>
      <c r="BA1582" s="10"/>
      <c r="BB1582" s="10"/>
      <c r="BC1582" s="10"/>
      <c r="BD1582" s="10"/>
      <c r="BE1582" s="10"/>
      <c r="BF1582" s="10"/>
      <c r="BG1582" s="10"/>
      <c r="BH1582" s="10"/>
      <c r="BI1582" s="10"/>
      <c r="BJ1582" s="10"/>
      <c r="BK1582" s="10"/>
      <c r="BL1582" s="10"/>
      <c r="BM1582" s="10"/>
      <c r="BN1582" s="10"/>
      <c r="BO1582" s="10"/>
      <c r="BP1582" s="10"/>
      <c r="BQ1582" s="10"/>
      <c r="BR1582" s="10"/>
      <c r="BS1582" s="10"/>
      <c r="BT1582" s="10"/>
      <c r="BU1582" s="10"/>
    </row>
    <row r="1583" spans="1:73" ht="18" x14ac:dyDescent="0.35">
      <c r="A1583" s="43"/>
      <c r="C1583" s="393"/>
      <c r="E1583" s="394"/>
      <c r="F1583" s="394">
        <v>0</v>
      </c>
      <c r="G1583" s="394"/>
      <c r="H1583" s="8" t="s">
        <v>235</v>
      </c>
      <c r="I1583" s="368">
        <f t="shared" si="73"/>
        <v>0</v>
      </c>
      <c r="J1583" s="365">
        <f t="shared" si="72"/>
        <v>0</v>
      </c>
      <c r="K1583" s="369">
        <f t="shared" si="74"/>
        <v>6</v>
      </c>
      <c r="L1583" s="369">
        <f>+IF((C1583&gt;='Resultats - informe'!$E$16)*(C1583&lt;='Resultats - informe'!$G$16),1,0)</f>
        <v>1</v>
      </c>
      <c r="M1583" s="369" cm="1">
        <f t="array" ref="M1583">+_xlfn.IFS((C1583&gt;='Resultats - informe'!$D$26)*(C1583&lt;='Resultats - informe'!$E$26),0,(C1583&gt;='Resultats - informe'!$D$27)*(C1583&lt;='Resultats - informe'!$E$27),0,(C1583&gt;='Resultats - informe'!$D$28)*(C1583&lt;='Resultats - informe'!$E$28),0,(C1583&gt;='Resultats - informe'!$D$29)*(C1583&lt;='Resultats - informe'!$E$29),0,1,1)</f>
        <v>0</v>
      </c>
      <c r="N1583" s="366">
        <f>+VLOOKUP(D1583,'Resultats - informe'!$Y$18:$AG$42,'Introducció dades consum'!K1583+1,0)</f>
        <v>0</v>
      </c>
      <c r="O1583" s="370" cm="1">
        <f t="array" ref="O1583">+_xlfn.SWITCH(MONTH(C1583),1,1,2,1,3,1,4,2,5,2,6,3,7,3,8,3,9,3,10,2,11,2,12,1,2)</f>
        <v>1</v>
      </c>
      <c r="P1583" s="43"/>
      <c r="AS1583" s="10"/>
      <c r="AT1583" s="10"/>
      <c r="AU1583" s="10"/>
      <c r="AV1583" s="10"/>
      <c r="AW1583" s="10"/>
      <c r="AX1583" s="10"/>
      <c r="AY1583" s="10"/>
      <c r="AZ1583" s="10"/>
      <c r="BA1583" s="10"/>
      <c r="BB1583" s="10"/>
      <c r="BC1583" s="10"/>
      <c r="BD1583" s="10"/>
      <c r="BE1583" s="10"/>
      <c r="BF1583" s="10"/>
      <c r="BG1583" s="10"/>
      <c r="BH1583" s="10"/>
      <c r="BI1583" s="10"/>
      <c r="BJ1583" s="10"/>
      <c r="BK1583" s="10"/>
      <c r="BL1583" s="10"/>
      <c r="BM1583" s="10"/>
      <c r="BN1583" s="10"/>
      <c r="BO1583" s="10"/>
      <c r="BP1583" s="10"/>
      <c r="BQ1583" s="10"/>
      <c r="BR1583" s="10"/>
      <c r="BS1583" s="10"/>
      <c r="BT1583" s="10"/>
      <c r="BU1583" s="10"/>
    </row>
    <row r="1584" spans="1:73" ht="18" x14ac:dyDescent="0.35">
      <c r="A1584" s="43"/>
      <c r="C1584" s="393"/>
      <c r="E1584" s="394"/>
      <c r="F1584" s="394">
        <v>0</v>
      </c>
      <c r="G1584" s="394"/>
      <c r="H1584" s="8" t="s">
        <v>235</v>
      </c>
      <c r="I1584" s="368">
        <f t="shared" si="73"/>
        <v>0</v>
      </c>
      <c r="J1584" s="365">
        <f t="shared" si="72"/>
        <v>0</v>
      </c>
      <c r="K1584" s="369">
        <f t="shared" si="74"/>
        <v>6</v>
      </c>
      <c r="L1584" s="369">
        <f>+IF((C1584&gt;='Resultats - informe'!$E$16)*(C1584&lt;='Resultats - informe'!$G$16),1,0)</f>
        <v>1</v>
      </c>
      <c r="M1584" s="369" cm="1">
        <f t="array" ref="M1584">+_xlfn.IFS((C1584&gt;='Resultats - informe'!$D$26)*(C1584&lt;='Resultats - informe'!$E$26),0,(C1584&gt;='Resultats - informe'!$D$27)*(C1584&lt;='Resultats - informe'!$E$27),0,(C1584&gt;='Resultats - informe'!$D$28)*(C1584&lt;='Resultats - informe'!$E$28),0,(C1584&gt;='Resultats - informe'!$D$29)*(C1584&lt;='Resultats - informe'!$E$29),0,1,1)</f>
        <v>0</v>
      </c>
      <c r="N1584" s="366">
        <f>+VLOOKUP(D1584,'Resultats - informe'!$Y$18:$AG$42,'Introducció dades consum'!K1584+1,0)</f>
        <v>0</v>
      </c>
      <c r="O1584" s="370" cm="1">
        <f t="array" ref="O1584">+_xlfn.SWITCH(MONTH(C1584),1,1,2,1,3,1,4,2,5,2,6,3,7,3,8,3,9,3,10,2,11,2,12,1,2)</f>
        <v>1</v>
      </c>
      <c r="P1584" s="43"/>
      <c r="AS1584" s="10"/>
      <c r="AT1584" s="10"/>
      <c r="AU1584" s="10"/>
      <c r="AV1584" s="10"/>
      <c r="AW1584" s="10"/>
      <c r="AX1584" s="10"/>
      <c r="AY1584" s="10"/>
      <c r="AZ1584" s="10"/>
      <c r="BA1584" s="10"/>
      <c r="BB1584" s="10"/>
      <c r="BC1584" s="10"/>
      <c r="BD1584" s="10"/>
      <c r="BE1584" s="10"/>
      <c r="BF1584" s="10"/>
      <c r="BG1584" s="10"/>
      <c r="BH1584" s="10"/>
      <c r="BI1584" s="10"/>
      <c r="BJ1584" s="10"/>
      <c r="BK1584" s="10"/>
      <c r="BL1584" s="10"/>
      <c r="BM1584" s="10"/>
      <c r="BN1584" s="10"/>
      <c r="BO1584" s="10"/>
      <c r="BP1584" s="10"/>
      <c r="BQ1584" s="10"/>
      <c r="BR1584" s="10"/>
      <c r="BS1584" s="10"/>
      <c r="BT1584" s="10"/>
      <c r="BU1584" s="10"/>
    </row>
    <row r="1585" spans="1:73" ht="18" x14ac:dyDescent="0.35">
      <c r="A1585" s="43"/>
      <c r="C1585" s="393"/>
      <c r="E1585" s="394"/>
      <c r="F1585" s="394">
        <v>0</v>
      </c>
      <c r="G1585" s="394"/>
      <c r="H1585" s="8" t="s">
        <v>235</v>
      </c>
      <c r="I1585" s="368">
        <f t="shared" si="73"/>
        <v>0</v>
      </c>
      <c r="J1585" s="365">
        <f t="shared" si="72"/>
        <v>0</v>
      </c>
      <c r="K1585" s="369">
        <f t="shared" si="74"/>
        <v>6</v>
      </c>
      <c r="L1585" s="369">
        <f>+IF((C1585&gt;='Resultats - informe'!$E$16)*(C1585&lt;='Resultats - informe'!$G$16),1,0)</f>
        <v>1</v>
      </c>
      <c r="M1585" s="369" cm="1">
        <f t="array" ref="M1585">+_xlfn.IFS((C1585&gt;='Resultats - informe'!$D$26)*(C1585&lt;='Resultats - informe'!$E$26),0,(C1585&gt;='Resultats - informe'!$D$27)*(C1585&lt;='Resultats - informe'!$E$27),0,(C1585&gt;='Resultats - informe'!$D$28)*(C1585&lt;='Resultats - informe'!$E$28),0,(C1585&gt;='Resultats - informe'!$D$29)*(C1585&lt;='Resultats - informe'!$E$29),0,1,1)</f>
        <v>0</v>
      </c>
      <c r="N1585" s="366">
        <f>+VLOOKUP(D1585,'Resultats - informe'!$Y$18:$AG$42,'Introducció dades consum'!K1585+1,0)</f>
        <v>0</v>
      </c>
      <c r="O1585" s="370" cm="1">
        <f t="array" ref="O1585">+_xlfn.SWITCH(MONTH(C1585),1,1,2,1,3,1,4,2,5,2,6,3,7,3,8,3,9,3,10,2,11,2,12,1,2)</f>
        <v>1</v>
      </c>
      <c r="P1585" s="43"/>
      <c r="AS1585" s="10"/>
      <c r="AT1585" s="10"/>
      <c r="AU1585" s="10"/>
      <c r="AV1585" s="10"/>
      <c r="AW1585" s="10"/>
      <c r="AX1585" s="10"/>
      <c r="AY1585" s="10"/>
      <c r="AZ1585" s="10"/>
      <c r="BA1585" s="10"/>
      <c r="BB1585" s="10"/>
      <c r="BC1585" s="10"/>
      <c r="BD1585" s="10"/>
      <c r="BE1585" s="10"/>
      <c r="BF1585" s="10"/>
      <c r="BG1585" s="10"/>
      <c r="BH1585" s="10"/>
      <c r="BI1585" s="10"/>
      <c r="BJ1585" s="10"/>
      <c r="BK1585" s="10"/>
      <c r="BL1585" s="10"/>
      <c r="BM1585" s="10"/>
      <c r="BN1585" s="10"/>
      <c r="BO1585" s="10"/>
      <c r="BP1585" s="10"/>
      <c r="BQ1585" s="10"/>
      <c r="BR1585" s="10"/>
      <c r="BS1585" s="10"/>
      <c r="BT1585" s="10"/>
      <c r="BU1585" s="10"/>
    </row>
    <row r="1586" spans="1:73" ht="18" x14ac:dyDescent="0.35">
      <c r="A1586" s="43"/>
      <c r="C1586" s="393"/>
      <c r="E1586" s="394"/>
      <c r="F1586" s="394">
        <v>0</v>
      </c>
      <c r="G1586" s="394"/>
      <c r="H1586" s="8" t="s">
        <v>235</v>
      </c>
      <c r="I1586" s="368">
        <f t="shared" si="73"/>
        <v>0</v>
      </c>
      <c r="J1586" s="365">
        <f t="shared" si="72"/>
        <v>0</v>
      </c>
      <c r="K1586" s="369">
        <f t="shared" si="74"/>
        <v>6</v>
      </c>
      <c r="L1586" s="369">
        <f>+IF((C1586&gt;='Resultats - informe'!$E$16)*(C1586&lt;='Resultats - informe'!$G$16),1,0)</f>
        <v>1</v>
      </c>
      <c r="M1586" s="369" cm="1">
        <f t="array" ref="M1586">+_xlfn.IFS((C1586&gt;='Resultats - informe'!$D$26)*(C1586&lt;='Resultats - informe'!$E$26),0,(C1586&gt;='Resultats - informe'!$D$27)*(C1586&lt;='Resultats - informe'!$E$27),0,(C1586&gt;='Resultats - informe'!$D$28)*(C1586&lt;='Resultats - informe'!$E$28),0,(C1586&gt;='Resultats - informe'!$D$29)*(C1586&lt;='Resultats - informe'!$E$29),0,1,1)</f>
        <v>0</v>
      </c>
      <c r="N1586" s="366">
        <f>+VLOOKUP(D1586,'Resultats - informe'!$Y$18:$AG$42,'Introducció dades consum'!K1586+1,0)</f>
        <v>0</v>
      </c>
      <c r="O1586" s="370" cm="1">
        <f t="array" ref="O1586">+_xlfn.SWITCH(MONTH(C1586),1,1,2,1,3,1,4,2,5,2,6,3,7,3,8,3,9,3,10,2,11,2,12,1,2)</f>
        <v>1</v>
      </c>
      <c r="P1586" s="43"/>
      <c r="AS1586" s="10"/>
      <c r="AT1586" s="10"/>
      <c r="AU1586" s="10"/>
      <c r="AV1586" s="10"/>
      <c r="AW1586" s="10"/>
      <c r="AX1586" s="10"/>
      <c r="AY1586" s="10"/>
      <c r="AZ1586" s="10"/>
      <c r="BA1586" s="10"/>
      <c r="BB1586" s="10"/>
      <c r="BC1586" s="10"/>
      <c r="BD1586" s="10"/>
      <c r="BE1586" s="10"/>
      <c r="BF1586" s="10"/>
      <c r="BG1586" s="10"/>
      <c r="BH1586" s="10"/>
      <c r="BI1586" s="10"/>
      <c r="BJ1586" s="10"/>
      <c r="BK1586" s="10"/>
      <c r="BL1586" s="10"/>
      <c r="BM1586" s="10"/>
      <c r="BN1586" s="10"/>
      <c r="BO1586" s="10"/>
      <c r="BP1586" s="10"/>
      <c r="BQ1586" s="10"/>
      <c r="BR1586" s="10"/>
      <c r="BS1586" s="10"/>
      <c r="BT1586" s="10"/>
      <c r="BU1586" s="10"/>
    </row>
    <row r="1587" spans="1:73" ht="18" x14ac:dyDescent="0.35">
      <c r="A1587" s="43"/>
      <c r="C1587" s="393"/>
      <c r="E1587" s="394"/>
      <c r="F1587" s="394">
        <v>0</v>
      </c>
      <c r="G1587" s="394"/>
      <c r="H1587" s="8" t="s">
        <v>235</v>
      </c>
      <c r="I1587" s="368">
        <f t="shared" si="73"/>
        <v>0</v>
      </c>
      <c r="J1587" s="365">
        <f t="shared" si="72"/>
        <v>0</v>
      </c>
      <c r="K1587" s="369">
        <f t="shared" si="74"/>
        <v>6</v>
      </c>
      <c r="L1587" s="369">
        <f>+IF((C1587&gt;='Resultats - informe'!$E$16)*(C1587&lt;='Resultats - informe'!$G$16),1,0)</f>
        <v>1</v>
      </c>
      <c r="M1587" s="369" cm="1">
        <f t="array" ref="M1587">+_xlfn.IFS((C1587&gt;='Resultats - informe'!$D$26)*(C1587&lt;='Resultats - informe'!$E$26),0,(C1587&gt;='Resultats - informe'!$D$27)*(C1587&lt;='Resultats - informe'!$E$27),0,(C1587&gt;='Resultats - informe'!$D$28)*(C1587&lt;='Resultats - informe'!$E$28),0,(C1587&gt;='Resultats - informe'!$D$29)*(C1587&lt;='Resultats - informe'!$E$29),0,1,1)</f>
        <v>0</v>
      </c>
      <c r="N1587" s="366">
        <f>+VLOOKUP(D1587,'Resultats - informe'!$Y$18:$AG$42,'Introducció dades consum'!K1587+1,0)</f>
        <v>0</v>
      </c>
      <c r="O1587" s="370" cm="1">
        <f t="array" ref="O1587">+_xlfn.SWITCH(MONTH(C1587),1,1,2,1,3,1,4,2,5,2,6,3,7,3,8,3,9,3,10,2,11,2,12,1,2)</f>
        <v>1</v>
      </c>
      <c r="P1587" s="43"/>
      <c r="AS1587" s="10"/>
      <c r="AT1587" s="10"/>
      <c r="AU1587" s="10"/>
      <c r="AV1587" s="10"/>
      <c r="AW1587" s="10"/>
      <c r="AX1587" s="10"/>
      <c r="AY1587" s="10"/>
      <c r="AZ1587" s="10"/>
      <c r="BA1587" s="10"/>
      <c r="BB1587" s="10"/>
      <c r="BC1587" s="10"/>
      <c r="BD1587" s="10"/>
      <c r="BE1587" s="10"/>
      <c r="BF1587" s="10"/>
      <c r="BG1587" s="10"/>
      <c r="BH1587" s="10"/>
      <c r="BI1587" s="10"/>
      <c r="BJ1587" s="10"/>
      <c r="BK1587" s="10"/>
      <c r="BL1587" s="10"/>
      <c r="BM1587" s="10"/>
      <c r="BN1587" s="10"/>
      <c r="BO1587" s="10"/>
      <c r="BP1587" s="10"/>
      <c r="BQ1587" s="10"/>
      <c r="BR1587" s="10"/>
      <c r="BS1587" s="10"/>
      <c r="BT1587" s="10"/>
      <c r="BU1587" s="10"/>
    </row>
    <row r="1588" spans="1:73" ht="18" x14ac:dyDescent="0.35">
      <c r="A1588" s="43"/>
      <c r="C1588" s="393"/>
      <c r="E1588" s="394"/>
      <c r="F1588" s="394">
        <v>0</v>
      </c>
      <c r="G1588" s="394"/>
      <c r="H1588" s="8" t="s">
        <v>235</v>
      </c>
      <c r="I1588" s="368">
        <f t="shared" si="73"/>
        <v>0</v>
      </c>
      <c r="J1588" s="365">
        <f t="shared" si="72"/>
        <v>0</v>
      </c>
      <c r="K1588" s="369">
        <f t="shared" si="74"/>
        <v>6</v>
      </c>
      <c r="L1588" s="369">
        <f>+IF((C1588&gt;='Resultats - informe'!$E$16)*(C1588&lt;='Resultats - informe'!$G$16),1,0)</f>
        <v>1</v>
      </c>
      <c r="M1588" s="369" cm="1">
        <f t="array" ref="M1588">+_xlfn.IFS((C1588&gt;='Resultats - informe'!$D$26)*(C1588&lt;='Resultats - informe'!$E$26),0,(C1588&gt;='Resultats - informe'!$D$27)*(C1588&lt;='Resultats - informe'!$E$27),0,(C1588&gt;='Resultats - informe'!$D$28)*(C1588&lt;='Resultats - informe'!$E$28),0,(C1588&gt;='Resultats - informe'!$D$29)*(C1588&lt;='Resultats - informe'!$E$29),0,1,1)</f>
        <v>0</v>
      </c>
      <c r="N1588" s="366">
        <f>+VLOOKUP(D1588,'Resultats - informe'!$Y$18:$AG$42,'Introducció dades consum'!K1588+1,0)</f>
        <v>0</v>
      </c>
      <c r="O1588" s="370" cm="1">
        <f t="array" ref="O1588">+_xlfn.SWITCH(MONTH(C1588),1,1,2,1,3,1,4,2,5,2,6,3,7,3,8,3,9,3,10,2,11,2,12,1,2)</f>
        <v>1</v>
      </c>
      <c r="P1588" s="43"/>
      <c r="AS1588" s="10"/>
      <c r="AT1588" s="10"/>
      <c r="AU1588" s="10"/>
      <c r="AV1588" s="10"/>
      <c r="AW1588" s="10"/>
      <c r="AX1588" s="10"/>
      <c r="AY1588" s="10"/>
      <c r="AZ1588" s="10"/>
      <c r="BA1588" s="10"/>
      <c r="BB1588" s="10"/>
      <c r="BC1588" s="10"/>
      <c r="BD1588" s="10"/>
      <c r="BE1588" s="10"/>
      <c r="BF1588" s="10"/>
      <c r="BG1588" s="10"/>
      <c r="BH1588" s="10"/>
      <c r="BI1588" s="10"/>
      <c r="BJ1588" s="10"/>
      <c r="BK1588" s="10"/>
      <c r="BL1588" s="10"/>
      <c r="BM1588" s="10"/>
      <c r="BN1588" s="10"/>
      <c r="BO1588" s="10"/>
      <c r="BP1588" s="10"/>
      <c r="BQ1588" s="10"/>
      <c r="BR1588" s="10"/>
      <c r="BS1588" s="10"/>
      <c r="BT1588" s="10"/>
      <c r="BU1588" s="10"/>
    </row>
    <row r="1589" spans="1:73" ht="18" x14ac:dyDescent="0.35">
      <c r="A1589" s="43"/>
      <c r="C1589" s="393"/>
      <c r="E1589" s="394"/>
      <c r="F1589" s="394">
        <v>0</v>
      </c>
      <c r="G1589" s="394"/>
      <c r="H1589" s="8" t="s">
        <v>235</v>
      </c>
      <c r="I1589" s="368">
        <f t="shared" si="73"/>
        <v>0</v>
      </c>
      <c r="J1589" s="365">
        <f t="shared" si="72"/>
        <v>0</v>
      </c>
      <c r="K1589" s="369">
        <f t="shared" si="74"/>
        <v>6</v>
      </c>
      <c r="L1589" s="369">
        <f>+IF((C1589&gt;='Resultats - informe'!$E$16)*(C1589&lt;='Resultats - informe'!$G$16),1,0)</f>
        <v>1</v>
      </c>
      <c r="M1589" s="369" cm="1">
        <f t="array" ref="M1589">+_xlfn.IFS((C1589&gt;='Resultats - informe'!$D$26)*(C1589&lt;='Resultats - informe'!$E$26),0,(C1589&gt;='Resultats - informe'!$D$27)*(C1589&lt;='Resultats - informe'!$E$27),0,(C1589&gt;='Resultats - informe'!$D$28)*(C1589&lt;='Resultats - informe'!$E$28),0,(C1589&gt;='Resultats - informe'!$D$29)*(C1589&lt;='Resultats - informe'!$E$29),0,1,1)</f>
        <v>0</v>
      </c>
      <c r="N1589" s="366">
        <f>+VLOOKUP(D1589,'Resultats - informe'!$Y$18:$AG$42,'Introducció dades consum'!K1589+1,0)</f>
        <v>0</v>
      </c>
      <c r="O1589" s="370" cm="1">
        <f t="array" ref="O1589">+_xlfn.SWITCH(MONTH(C1589),1,1,2,1,3,1,4,2,5,2,6,3,7,3,8,3,9,3,10,2,11,2,12,1,2)</f>
        <v>1</v>
      </c>
      <c r="P1589" s="43"/>
      <c r="AS1589" s="10"/>
      <c r="AT1589" s="10"/>
      <c r="AU1589" s="10"/>
      <c r="AV1589" s="10"/>
      <c r="AW1589" s="10"/>
      <c r="AX1589" s="10"/>
      <c r="AY1589" s="10"/>
      <c r="AZ1589" s="10"/>
      <c r="BA1589" s="10"/>
      <c r="BB1589" s="10"/>
      <c r="BC1589" s="10"/>
      <c r="BD1589" s="10"/>
      <c r="BE1589" s="10"/>
      <c r="BF1589" s="10"/>
      <c r="BG1589" s="10"/>
      <c r="BH1589" s="10"/>
      <c r="BI1589" s="10"/>
      <c r="BJ1589" s="10"/>
      <c r="BK1589" s="10"/>
      <c r="BL1589" s="10"/>
      <c r="BM1589" s="10"/>
      <c r="BN1589" s="10"/>
      <c r="BO1589" s="10"/>
      <c r="BP1589" s="10"/>
      <c r="BQ1589" s="10"/>
      <c r="BR1589" s="10"/>
      <c r="BS1589" s="10"/>
      <c r="BT1589" s="10"/>
      <c r="BU1589" s="10"/>
    </row>
    <row r="1590" spans="1:73" ht="18" x14ac:dyDescent="0.35">
      <c r="A1590" s="43"/>
      <c r="C1590" s="393"/>
      <c r="E1590" s="394"/>
      <c r="F1590" s="394">
        <v>0</v>
      </c>
      <c r="G1590" s="394"/>
      <c r="H1590" s="8" t="s">
        <v>235</v>
      </c>
      <c r="I1590" s="368">
        <f t="shared" si="73"/>
        <v>0</v>
      </c>
      <c r="J1590" s="365">
        <f t="shared" si="72"/>
        <v>0</v>
      </c>
      <c r="K1590" s="369">
        <f t="shared" si="74"/>
        <v>6</v>
      </c>
      <c r="L1590" s="369">
        <f>+IF((C1590&gt;='Resultats - informe'!$E$16)*(C1590&lt;='Resultats - informe'!$G$16),1,0)</f>
        <v>1</v>
      </c>
      <c r="M1590" s="369" cm="1">
        <f t="array" ref="M1590">+_xlfn.IFS((C1590&gt;='Resultats - informe'!$D$26)*(C1590&lt;='Resultats - informe'!$E$26),0,(C1590&gt;='Resultats - informe'!$D$27)*(C1590&lt;='Resultats - informe'!$E$27),0,(C1590&gt;='Resultats - informe'!$D$28)*(C1590&lt;='Resultats - informe'!$E$28),0,(C1590&gt;='Resultats - informe'!$D$29)*(C1590&lt;='Resultats - informe'!$E$29),0,1,1)</f>
        <v>0</v>
      </c>
      <c r="N1590" s="366">
        <f>+VLOOKUP(D1590,'Resultats - informe'!$Y$18:$AG$42,'Introducció dades consum'!K1590+1,0)</f>
        <v>0</v>
      </c>
      <c r="O1590" s="370" cm="1">
        <f t="array" ref="O1590">+_xlfn.SWITCH(MONTH(C1590),1,1,2,1,3,1,4,2,5,2,6,3,7,3,8,3,9,3,10,2,11,2,12,1,2)</f>
        <v>1</v>
      </c>
      <c r="P1590" s="43"/>
      <c r="AS1590" s="10"/>
      <c r="AT1590" s="10"/>
      <c r="AU1590" s="10"/>
      <c r="AV1590" s="10"/>
      <c r="AW1590" s="10"/>
      <c r="AX1590" s="10"/>
      <c r="AY1590" s="10"/>
      <c r="AZ1590" s="10"/>
      <c r="BA1590" s="10"/>
      <c r="BB1590" s="10"/>
      <c r="BC1590" s="10"/>
      <c r="BD1590" s="10"/>
      <c r="BE1590" s="10"/>
      <c r="BF1590" s="10"/>
      <c r="BG1590" s="10"/>
      <c r="BH1590" s="10"/>
      <c r="BI1590" s="10"/>
      <c r="BJ1590" s="10"/>
      <c r="BK1590" s="10"/>
      <c r="BL1590" s="10"/>
      <c r="BM1590" s="10"/>
      <c r="BN1590" s="10"/>
      <c r="BO1590" s="10"/>
      <c r="BP1590" s="10"/>
      <c r="BQ1590" s="10"/>
      <c r="BR1590" s="10"/>
      <c r="BS1590" s="10"/>
      <c r="BT1590" s="10"/>
      <c r="BU1590" s="10"/>
    </row>
    <row r="1591" spans="1:73" ht="18" x14ac:dyDescent="0.35">
      <c r="A1591" s="43"/>
      <c r="C1591" s="393"/>
      <c r="E1591" s="394"/>
      <c r="F1591" s="394">
        <v>0</v>
      </c>
      <c r="G1591" s="394"/>
      <c r="H1591" s="8" t="s">
        <v>235</v>
      </c>
      <c r="I1591" s="368">
        <f t="shared" si="73"/>
        <v>0</v>
      </c>
      <c r="J1591" s="365">
        <f t="shared" si="72"/>
        <v>0</v>
      </c>
      <c r="K1591" s="369">
        <f t="shared" si="74"/>
        <v>6</v>
      </c>
      <c r="L1591" s="369">
        <f>+IF((C1591&gt;='Resultats - informe'!$E$16)*(C1591&lt;='Resultats - informe'!$G$16),1,0)</f>
        <v>1</v>
      </c>
      <c r="M1591" s="369" cm="1">
        <f t="array" ref="M1591">+_xlfn.IFS((C1591&gt;='Resultats - informe'!$D$26)*(C1591&lt;='Resultats - informe'!$E$26),0,(C1591&gt;='Resultats - informe'!$D$27)*(C1591&lt;='Resultats - informe'!$E$27),0,(C1591&gt;='Resultats - informe'!$D$28)*(C1591&lt;='Resultats - informe'!$E$28),0,(C1591&gt;='Resultats - informe'!$D$29)*(C1591&lt;='Resultats - informe'!$E$29),0,1,1)</f>
        <v>0</v>
      </c>
      <c r="N1591" s="366">
        <f>+VLOOKUP(D1591,'Resultats - informe'!$Y$18:$AG$42,'Introducció dades consum'!K1591+1,0)</f>
        <v>0</v>
      </c>
      <c r="O1591" s="370" cm="1">
        <f t="array" ref="O1591">+_xlfn.SWITCH(MONTH(C1591),1,1,2,1,3,1,4,2,5,2,6,3,7,3,8,3,9,3,10,2,11,2,12,1,2)</f>
        <v>1</v>
      </c>
      <c r="P1591" s="43"/>
      <c r="AS1591" s="10"/>
      <c r="AT1591" s="10"/>
      <c r="AU1591" s="10"/>
      <c r="AV1591" s="10"/>
      <c r="AW1591" s="10"/>
      <c r="AX1591" s="10"/>
      <c r="AY1591" s="10"/>
      <c r="AZ1591" s="10"/>
      <c r="BA1591" s="10"/>
      <c r="BB1591" s="10"/>
      <c r="BC1591" s="10"/>
      <c r="BD1591" s="10"/>
      <c r="BE1591" s="10"/>
      <c r="BF1591" s="10"/>
      <c r="BG1591" s="10"/>
      <c r="BH1591" s="10"/>
      <c r="BI1591" s="10"/>
      <c r="BJ1591" s="10"/>
      <c r="BK1591" s="10"/>
      <c r="BL1591" s="10"/>
      <c r="BM1591" s="10"/>
      <c r="BN1591" s="10"/>
      <c r="BO1591" s="10"/>
      <c r="BP1591" s="10"/>
      <c r="BQ1591" s="10"/>
      <c r="BR1591" s="10"/>
      <c r="BS1591" s="10"/>
      <c r="BT1591" s="10"/>
      <c r="BU1591" s="10"/>
    </row>
    <row r="1592" spans="1:73" ht="18" x14ac:dyDescent="0.35">
      <c r="A1592" s="43"/>
      <c r="C1592" s="393"/>
      <c r="E1592" s="394"/>
      <c r="F1592" s="394">
        <v>0</v>
      </c>
      <c r="G1592" s="394"/>
      <c r="H1592" s="8" t="s">
        <v>235</v>
      </c>
      <c r="I1592" s="368">
        <f t="shared" si="73"/>
        <v>0</v>
      </c>
      <c r="J1592" s="365">
        <f t="shared" si="72"/>
        <v>0</v>
      </c>
      <c r="K1592" s="369">
        <f t="shared" si="74"/>
        <v>6</v>
      </c>
      <c r="L1592" s="369">
        <f>+IF((C1592&gt;='Resultats - informe'!$E$16)*(C1592&lt;='Resultats - informe'!$G$16),1,0)</f>
        <v>1</v>
      </c>
      <c r="M1592" s="369" cm="1">
        <f t="array" ref="M1592">+_xlfn.IFS((C1592&gt;='Resultats - informe'!$D$26)*(C1592&lt;='Resultats - informe'!$E$26),0,(C1592&gt;='Resultats - informe'!$D$27)*(C1592&lt;='Resultats - informe'!$E$27),0,(C1592&gt;='Resultats - informe'!$D$28)*(C1592&lt;='Resultats - informe'!$E$28),0,(C1592&gt;='Resultats - informe'!$D$29)*(C1592&lt;='Resultats - informe'!$E$29),0,1,1)</f>
        <v>0</v>
      </c>
      <c r="N1592" s="366">
        <f>+VLOOKUP(D1592,'Resultats - informe'!$Y$18:$AG$42,'Introducció dades consum'!K1592+1,0)</f>
        <v>0</v>
      </c>
      <c r="O1592" s="370" cm="1">
        <f t="array" ref="O1592">+_xlfn.SWITCH(MONTH(C1592),1,1,2,1,3,1,4,2,5,2,6,3,7,3,8,3,9,3,10,2,11,2,12,1,2)</f>
        <v>1</v>
      </c>
      <c r="P1592" s="43"/>
      <c r="AS1592" s="10"/>
      <c r="AT1592" s="10"/>
      <c r="AU1592" s="10"/>
      <c r="AV1592" s="10"/>
      <c r="AW1592" s="10"/>
      <c r="AX1592" s="10"/>
      <c r="AY1592" s="10"/>
      <c r="AZ1592" s="10"/>
      <c r="BA1592" s="10"/>
      <c r="BB1592" s="10"/>
      <c r="BC1592" s="10"/>
      <c r="BD1592" s="10"/>
      <c r="BE1592" s="10"/>
      <c r="BF1592" s="10"/>
      <c r="BG1592" s="10"/>
      <c r="BH1592" s="10"/>
      <c r="BI1592" s="10"/>
      <c r="BJ1592" s="10"/>
      <c r="BK1592" s="10"/>
      <c r="BL1592" s="10"/>
      <c r="BM1592" s="10"/>
      <c r="BN1592" s="10"/>
      <c r="BO1592" s="10"/>
      <c r="BP1592" s="10"/>
      <c r="BQ1592" s="10"/>
      <c r="BR1592" s="10"/>
      <c r="BS1592" s="10"/>
      <c r="BT1592" s="10"/>
      <c r="BU1592" s="10"/>
    </row>
    <row r="1593" spans="1:73" ht="18" x14ac:dyDescent="0.35">
      <c r="A1593" s="43"/>
      <c r="C1593" s="393"/>
      <c r="E1593" s="394"/>
      <c r="F1593" s="394">
        <v>0</v>
      </c>
      <c r="G1593" s="394"/>
      <c r="H1593" s="8" t="s">
        <v>235</v>
      </c>
      <c r="I1593" s="368">
        <f t="shared" si="73"/>
        <v>0</v>
      </c>
      <c r="J1593" s="365">
        <f t="shared" si="72"/>
        <v>0</v>
      </c>
      <c r="K1593" s="369">
        <f t="shared" si="74"/>
        <v>6</v>
      </c>
      <c r="L1593" s="369">
        <f>+IF((C1593&gt;='Resultats - informe'!$E$16)*(C1593&lt;='Resultats - informe'!$G$16),1,0)</f>
        <v>1</v>
      </c>
      <c r="M1593" s="369" cm="1">
        <f t="array" ref="M1593">+_xlfn.IFS((C1593&gt;='Resultats - informe'!$D$26)*(C1593&lt;='Resultats - informe'!$E$26),0,(C1593&gt;='Resultats - informe'!$D$27)*(C1593&lt;='Resultats - informe'!$E$27),0,(C1593&gt;='Resultats - informe'!$D$28)*(C1593&lt;='Resultats - informe'!$E$28),0,(C1593&gt;='Resultats - informe'!$D$29)*(C1593&lt;='Resultats - informe'!$E$29),0,1,1)</f>
        <v>0</v>
      </c>
      <c r="N1593" s="366">
        <f>+VLOOKUP(D1593,'Resultats - informe'!$Y$18:$AG$42,'Introducció dades consum'!K1593+1,0)</f>
        <v>0</v>
      </c>
      <c r="O1593" s="370" cm="1">
        <f t="array" ref="O1593">+_xlfn.SWITCH(MONTH(C1593),1,1,2,1,3,1,4,2,5,2,6,3,7,3,8,3,9,3,10,2,11,2,12,1,2)</f>
        <v>1</v>
      </c>
      <c r="P1593" s="43"/>
      <c r="AS1593" s="10"/>
      <c r="AT1593" s="10"/>
      <c r="AU1593" s="10"/>
      <c r="AV1593" s="10"/>
      <c r="AW1593" s="10"/>
      <c r="AX1593" s="10"/>
      <c r="AY1593" s="10"/>
      <c r="AZ1593" s="10"/>
      <c r="BA1593" s="10"/>
      <c r="BB1593" s="10"/>
      <c r="BC1593" s="10"/>
      <c r="BD1593" s="10"/>
      <c r="BE1593" s="10"/>
      <c r="BF1593" s="10"/>
      <c r="BG1593" s="10"/>
      <c r="BH1593" s="10"/>
      <c r="BI1593" s="10"/>
      <c r="BJ1593" s="10"/>
      <c r="BK1593" s="10"/>
      <c r="BL1593" s="10"/>
      <c r="BM1593" s="10"/>
      <c r="BN1593" s="10"/>
      <c r="BO1593" s="10"/>
      <c r="BP1593" s="10"/>
      <c r="BQ1593" s="10"/>
      <c r="BR1593" s="10"/>
      <c r="BS1593" s="10"/>
      <c r="BT1593" s="10"/>
      <c r="BU1593" s="10"/>
    </row>
    <row r="1594" spans="1:73" ht="18" x14ac:dyDescent="0.35">
      <c r="A1594" s="43"/>
      <c r="C1594" s="393"/>
      <c r="E1594" s="394"/>
      <c r="F1594" s="394">
        <v>0</v>
      </c>
      <c r="G1594" s="394"/>
      <c r="H1594" s="8" t="s">
        <v>235</v>
      </c>
      <c r="I1594" s="368">
        <f t="shared" si="73"/>
        <v>0</v>
      </c>
      <c r="J1594" s="365">
        <f t="shared" si="72"/>
        <v>0</v>
      </c>
      <c r="K1594" s="369">
        <f t="shared" si="74"/>
        <v>6</v>
      </c>
      <c r="L1594" s="369">
        <f>+IF((C1594&gt;='Resultats - informe'!$E$16)*(C1594&lt;='Resultats - informe'!$G$16),1,0)</f>
        <v>1</v>
      </c>
      <c r="M1594" s="369" cm="1">
        <f t="array" ref="M1594">+_xlfn.IFS((C1594&gt;='Resultats - informe'!$D$26)*(C1594&lt;='Resultats - informe'!$E$26),0,(C1594&gt;='Resultats - informe'!$D$27)*(C1594&lt;='Resultats - informe'!$E$27),0,(C1594&gt;='Resultats - informe'!$D$28)*(C1594&lt;='Resultats - informe'!$E$28),0,(C1594&gt;='Resultats - informe'!$D$29)*(C1594&lt;='Resultats - informe'!$E$29),0,1,1)</f>
        <v>0</v>
      </c>
      <c r="N1594" s="366">
        <f>+VLOOKUP(D1594,'Resultats - informe'!$Y$18:$AG$42,'Introducció dades consum'!K1594+1,0)</f>
        <v>0</v>
      </c>
      <c r="O1594" s="370" cm="1">
        <f t="array" ref="O1594">+_xlfn.SWITCH(MONTH(C1594),1,1,2,1,3,1,4,2,5,2,6,3,7,3,8,3,9,3,10,2,11,2,12,1,2)</f>
        <v>1</v>
      </c>
      <c r="P1594" s="43"/>
      <c r="AS1594" s="10"/>
      <c r="AT1594" s="10"/>
      <c r="AU1594" s="10"/>
      <c r="AV1594" s="10"/>
      <c r="AW1594" s="10"/>
      <c r="AX1594" s="10"/>
      <c r="AY1594" s="10"/>
      <c r="AZ1594" s="10"/>
      <c r="BA1594" s="10"/>
      <c r="BB1594" s="10"/>
      <c r="BC1594" s="10"/>
      <c r="BD1594" s="10"/>
      <c r="BE1594" s="10"/>
      <c r="BF1594" s="10"/>
      <c r="BG1594" s="10"/>
      <c r="BH1594" s="10"/>
      <c r="BI1594" s="10"/>
      <c r="BJ1594" s="10"/>
      <c r="BK1594" s="10"/>
      <c r="BL1594" s="10"/>
      <c r="BM1594" s="10"/>
      <c r="BN1594" s="10"/>
      <c r="BO1594" s="10"/>
      <c r="BP1594" s="10"/>
      <c r="BQ1594" s="10"/>
      <c r="BR1594" s="10"/>
      <c r="BS1594" s="10"/>
      <c r="BT1594" s="10"/>
      <c r="BU1594" s="10"/>
    </row>
    <row r="1595" spans="1:73" ht="18" x14ac:dyDescent="0.35">
      <c r="A1595" s="43"/>
      <c r="C1595" s="393"/>
      <c r="E1595" s="394"/>
      <c r="F1595" s="394">
        <v>0</v>
      </c>
      <c r="G1595" s="394"/>
      <c r="H1595" s="8" t="s">
        <v>235</v>
      </c>
      <c r="I1595" s="368">
        <f t="shared" si="73"/>
        <v>0</v>
      </c>
      <c r="J1595" s="365">
        <f t="shared" ref="J1595:J1658" si="75">+C1595</f>
        <v>0</v>
      </c>
      <c r="K1595" s="369">
        <f t="shared" si="74"/>
        <v>6</v>
      </c>
      <c r="L1595" s="369">
        <f>+IF((C1595&gt;='Resultats - informe'!$E$16)*(C1595&lt;='Resultats - informe'!$G$16),1,0)</f>
        <v>1</v>
      </c>
      <c r="M1595" s="369" cm="1">
        <f t="array" ref="M1595">+_xlfn.IFS((C1595&gt;='Resultats - informe'!$D$26)*(C1595&lt;='Resultats - informe'!$E$26),0,(C1595&gt;='Resultats - informe'!$D$27)*(C1595&lt;='Resultats - informe'!$E$27),0,(C1595&gt;='Resultats - informe'!$D$28)*(C1595&lt;='Resultats - informe'!$E$28),0,(C1595&gt;='Resultats - informe'!$D$29)*(C1595&lt;='Resultats - informe'!$E$29),0,1,1)</f>
        <v>0</v>
      </c>
      <c r="N1595" s="366">
        <f>+VLOOKUP(D1595,'Resultats - informe'!$Y$18:$AG$42,'Introducció dades consum'!K1595+1,0)</f>
        <v>0</v>
      </c>
      <c r="O1595" s="370" cm="1">
        <f t="array" ref="O1595">+_xlfn.SWITCH(MONTH(C1595),1,1,2,1,3,1,4,2,5,2,6,3,7,3,8,3,9,3,10,2,11,2,12,1,2)</f>
        <v>1</v>
      </c>
      <c r="P1595" s="43"/>
      <c r="AS1595" s="10"/>
      <c r="AT1595" s="10"/>
      <c r="AU1595" s="10"/>
      <c r="AV1595" s="10"/>
      <c r="AW1595" s="10"/>
      <c r="AX1595" s="10"/>
      <c r="AY1595" s="10"/>
      <c r="AZ1595" s="10"/>
      <c r="BA1595" s="10"/>
      <c r="BB1595" s="10"/>
      <c r="BC1595" s="10"/>
      <c r="BD1595" s="10"/>
      <c r="BE1595" s="10"/>
      <c r="BF1595" s="10"/>
      <c r="BG1595" s="10"/>
      <c r="BH1595" s="10"/>
      <c r="BI1595" s="10"/>
      <c r="BJ1595" s="10"/>
      <c r="BK1595" s="10"/>
      <c r="BL1595" s="10"/>
      <c r="BM1595" s="10"/>
      <c r="BN1595" s="10"/>
      <c r="BO1595" s="10"/>
      <c r="BP1595" s="10"/>
      <c r="BQ1595" s="10"/>
      <c r="BR1595" s="10"/>
      <c r="BS1595" s="10"/>
      <c r="BT1595" s="10"/>
      <c r="BU1595" s="10"/>
    </row>
    <row r="1596" spans="1:73" ht="18" x14ac:dyDescent="0.35">
      <c r="A1596" s="43"/>
      <c r="C1596" s="393"/>
      <c r="E1596" s="394"/>
      <c r="F1596" s="394">
        <v>0</v>
      </c>
      <c r="G1596" s="394"/>
      <c r="H1596" s="8" t="s">
        <v>235</v>
      </c>
      <c r="I1596" s="368">
        <f t="shared" si="73"/>
        <v>0</v>
      </c>
      <c r="J1596" s="365">
        <f t="shared" si="75"/>
        <v>0</v>
      </c>
      <c r="K1596" s="369">
        <f t="shared" si="74"/>
        <v>6</v>
      </c>
      <c r="L1596" s="369">
        <f>+IF((C1596&gt;='Resultats - informe'!$E$16)*(C1596&lt;='Resultats - informe'!$G$16),1,0)</f>
        <v>1</v>
      </c>
      <c r="M1596" s="369" cm="1">
        <f t="array" ref="M1596">+_xlfn.IFS((C1596&gt;='Resultats - informe'!$D$26)*(C1596&lt;='Resultats - informe'!$E$26),0,(C1596&gt;='Resultats - informe'!$D$27)*(C1596&lt;='Resultats - informe'!$E$27),0,(C1596&gt;='Resultats - informe'!$D$28)*(C1596&lt;='Resultats - informe'!$E$28),0,(C1596&gt;='Resultats - informe'!$D$29)*(C1596&lt;='Resultats - informe'!$E$29),0,1,1)</f>
        <v>0</v>
      </c>
      <c r="N1596" s="366">
        <f>+VLOOKUP(D1596,'Resultats - informe'!$Y$18:$AG$42,'Introducció dades consum'!K1596+1,0)</f>
        <v>0</v>
      </c>
      <c r="O1596" s="370" cm="1">
        <f t="array" ref="O1596">+_xlfn.SWITCH(MONTH(C1596),1,1,2,1,3,1,4,2,5,2,6,3,7,3,8,3,9,3,10,2,11,2,12,1,2)</f>
        <v>1</v>
      </c>
      <c r="P1596" s="43"/>
      <c r="AS1596" s="10"/>
      <c r="AT1596" s="10"/>
      <c r="AU1596" s="10"/>
      <c r="AV1596" s="10"/>
      <c r="AW1596" s="10"/>
      <c r="AX1596" s="10"/>
      <c r="AY1596" s="10"/>
      <c r="AZ1596" s="10"/>
      <c r="BA1596" s="10"/>
      <c r="BB1596" s="10"/>
      <c r="BC1596" s="10"/>
      <c r="BD1596" s="10"/>
      <c r="BE1596" s="10"/>
      <c r="BF1596" s="10"/>
      <c r="BG1596" s="10"/>
      <c r="BH1596" s="10"/>
      <c r="BI1596" s="10"/>
      <c r="BJ1596" s="10"/>
      <c r="BK1596" s="10"/>
      <c r="BL1596" s="10"/>
      <c r="BM1596" s="10"/>
      <c r="BN1596" s="10"/>
      <c r="BO1596" s="10"/>
      <c r="BP1596" s="10"/>
      <c r="BQ1596" s="10"/>
      <c r="BR1596" s="10"/>
      <c r="BS1596" s="10"/>
      <c r="BT1596" s="10"/>
      <c r="BU1596" s="10"/>
    </row>
    <row r="1597" spans="1:73" ht="18" x14ac:dyDescent="0.35">
      <c r="A1597" s="43"/>
      <c r="C1597" s="393"/>
      <c r="E1597" s="394"/>
      <c r="F1597" s="394">
        <v>0</v>
      </c>
      <c r="G1597" s="394"/>
      <c r="H1597" s="8" t="s">
        <v>61</v>
      </c>
      <c r="I1597" s="368">
        <f t="shared" si="73"/>
        <v>0</v>
      </c>
      <c r="J1597" s="365">
        <f t="shared" si="75"/>
        <v>0</v>
      </c>
      <c r="K1597" s="369">
        <f t="shared" si="74"/>
        <v>6</v>
      </c>
      <c r="L1597" s="369">
        <f>+IF((C1597&gt;='Resultats - informe'!$E$16)*(C1597&lt;='Resultats - informe'!$G$16),1,0)</f>
        <v>1</v>
      </c>
      <c r="M1597" s="369" cm="1">
        <f t="array" ref="M1597">+_xlfn.IFS((C1597&gt;='Resultats - informe'!$D$26)*(C1597&lt;='Resultats - informe'!$E$26),0,(C1597&gt;='Resultats - informe'!$D$27)*(C1597&lt;='Resultats - informe'!$E$27),0,(C1597&gt;='Resultats - informe'!$D$28)*(C1597&lt;='Resultats - informe'!$E$28),0,(C1597&gt;='Resultats - informe'!$D$29)*(C1597&lt;='Resultats - informe'!$E$29),0,1,1)</f>
        <v>0</v>
      </c>
      <c r="N1597" s="366">
        <f>+VLOOKUP(D1597,'Resultats - informe'!$Y$18:$AG$42,'Introducció dades consum'!K1597+1,0)</f>
        <v>0</v>
      </c>
      <c r="O1597" s="370" cm="1">
        <f t="array" ref="O1597">+_xlfn.SWITCH(MONTH(C1597),1,1,2,1,3,1,4,2,5,2,6,3,7,3,8,3,9,3,10,2,11,2,12,1,2)</f>
        <v>1</v>
      </c>
      <c r="P1597" s="43"/>
      <c r="AS1597" s="10"/>
      <c r="AT1597" s="10"/>
      <c r="AU1597" s="10"/>
      <c r="AV1597" s="10"/>
      <c r="AW1597" s="10"/>
      <c r="AX1597" s="10"/>
      <c r="AY1597" s="10"/>
      <c r="AZ1597" s="10"/>
      <c r="BA1597" s="10"/>
      <c r="BB1597" s="10"/>
      <c r="BC1597" s="10"/>
      <c r="BD1597" s="10"/>
      <c r="BE1597" s="10"/>
      <c r="BF1597" s="10"/>
      <c r="BG1597" s="10"/>
      <c r="BH1597" s="10"/>
      <c r="BI1597" s="10"/>
      <c r="BJ1597" s="10"/>
      <c r="BK1597" s="10"/>
      <c r="BL1597" s="10"/>
      <c r="BM1597" s="10"/>
      <c r="BN1597" s="10"/>
      <c r="BO1597" s="10"/>
      <c r="BP1597" s="10"/>
      <c r="BQ1597" s="10"/>
      <c r="BR1597" s="10"/>
      <c r="BS1597" s="10"/>
      <c r="BT1597" s="10"/>
      <c r="BU1597" s="10"/>
    </row>
    <row r="1598" spans="1:73" ht="18" x14ac:dyDescent="0.35">
      <c r="A1598" s="43"/>
      <c r="C1598" s="393"/>
      <c r="E1598" s="394"/>
      <c r="F1598" s="394">
        <v>0.184</v>
      </c>
      <c r="G1598" s="394"/>
      <c r="H1598" s="8" t="s">
        <v>61</v>
      </c>
      <c r="I1598" s="368">
        <f t="shared" si="73"/>
        <v>0</v>
      </c>
      <c r="J1598" s="365">
        <f t="shared" si="75"/>
        <v>0</v>
      </c>
      <c r="K1598" s="369">
        <f t="shared" si="74"/>
        <v>6</v>
      </c>
      <c r="L1598" s="369">
        <f>+IF((C1598&gt;='Resultats - informe'!$E$16)*(C1598&lt;='Resultats - informe'!$G$16),1,0)</f>
        <v>1</v>
      </c>
      <c r="M1598" s="369" cm="1">
        <f t="array" ref="M1598">+_xlfn.IFS((C1598&gt;='Resultats - informe'!$D$26)*(C1598&lt;='Resultats - informe'!$E$26),0,(C1598&gt;='Resultats - informe'!$D$27)*(C1598&lt;='Resultats - informe'!$E$27),0,(C1598&gt;='Resultats - informe'!$D$28)*(C1598&lt;='Resultats - informe'!$E$28),0,(C1598&gt;='Resultats - informe'!$D$29)*(C1598&lt;='Resultats - informe'!$E$29),0,1,1)</f>
        <v>0</v>
      </c>
      <c r="N1598" s="366">
        <f>+VLOOKUP(D1598,'Resultats - informe'!$Y$18:$AG$42,'Introducció dades consum'!K1598+1,0)</f>
        <v>0</v>
      </c>
      <c r="O1598" s="370" cm="1">
        <f t="array" ref="O1598">+_xlfn.SWITCH(MONTH(C1598),1,1,2,1,3,1,4,2,5,2,6,3,7,3,8,3,9,3,10,2,11,2,12,1,2)</f>
        <v>1</v>
      </c>
      <c r="P1598" s="43"/>
      <c r="AS1598" s="10"/>
      <c r="AT1598" s="10"/>
      <c r="AU1598" s="10"/>
      <c r="AV1598" s="10"/>
      <c r="AW1598" s="10"/>
      <c r="AX1598" s="10"/>
      <c r="AY1598" s="10"/>
      <c r="AZ1598" s="10"/>
      <c r="BA1598" s="10"/>
      <c r="BB1598" s="10"/>
      <c r="BC1598" s="10"/>
      <c r="BD1598" s="10"/>
      <c r="BE1598" s="10"/>
      <c r="BF1598" s="10"/>
      <c r="BG1598" s="10"/>
      <c r="BH1598" s="10"/>
      <c r="BI1598" s="10"/>
      <c r="BJ1598" s="10"/>
      <c r="BK1598" s="10"/>
      <c r="BL1598" s="10"/>
      <c r="BM1598" s="10"/>
      <c r="BN1598" s="10"/>
      <c r="BO1598" s="10"/>
      <c r="BP1598" s="10"/>
      <c r="BQ1598" s="10"/>
      <c r="BR1598" s="10"/>
      <c r="BS1598" s="10"/>
      <c r="BT1598" s="10"/>
      <c r="BU1598" s="10"/>
    </row>
    <row r="1599" spans="1:73" ht="18" x14ac:dyDescent="0.35">
      <c r="A1599" s="43"/>
      <c r="C1599" s="393"/>
      <c r="E1599" s="394"/>
      <c r="F1599" s="394">
        <v>0.51100000000000001</v>
      </c>
      <c r="G1599" s="394"/>
      <c r="H1599" s="8" t="s">
        <v>61</v>
      </c>
      <c r="I1599" s="368">
        <f t="shared" si="73"/>
        <v>0</v>
      </c>
      <c r="J1599" s="365">
        <f t="shared" si="75"/>
        <v>0</v>
      </c>
      <c r="K1599" s="369">
        <f t="shared" si="74"/>
        <v>6</v>
      </c>
      <c r="L1599" s="369">
        <f>+IF((C1599&gt;='Resultats - informe'!$E$16)*(C1599&lt;='Resultats - informe'!$G$16),1,0)</f>
        <v>1</v>
      </c>
      <c r="M1599" s="369" cm="1">
        <f t="array" ref="M1599">+_xlfn.IFS((C1599&gt;='Resultats - informe'!$D$26)*(C1599&lt;='Resultats - informe'!$E$26),0,(C1599&gt;='Resultats - informe'!$D$27)*(C1599&lt;='Resultats - informe'!$E$27),0,(C1599&gt;='Resultats - informe'!$D$28)*(C1599&lt;='Resultats - informe'!$E$28),0,(C1599&gt;='Resultats - informe'!$D$29)*(C1599&lt;='Resultats - informe'!$E$29),0,1,1)</f>
        <v>0</v>
      </c>
      <c r="N1599" s="366">
        <f>+VLOOKUP(D1599,'Resultats - informe'!$Y$18:$AG$42,'Introducció dades consum'!K1599+1,0)</f>
        <v>0</v>
      </c>
      <c r="O1599" s="370" cm="1">
        <f t="array" ref="O1599">+_xlfn.SWITCH(MONTH(C1599),1,1,2,1,3,1,4,2,5,2,6,3,7,3,8,3,9,3,10,2,11,2,12,1,2)</f>
        <v>1</v>
      </c>
      <c r="P1599" s="43"/>
      <c r="AS1599" s="10"/>
      <c r="AT1599" s="10"/>
      <c r="AU1599" s="10"/>
      <c r="AV1599" s="10"/>
      <c r="AW1599" s="10"/>
      <c r="AX1599" s="10"/>
      <c r="AY1599" s="10"/>
      <c r="AZ1599" s="10"/>
      <c r="BA1599" s="10"/>
      <c r="BB1599" s="10"/>
      <c r="BC1599" s="10"/>
      <c r="BD1599" s="10"/>
      <c r="BE1599" s="10"/>
      <c r="BF1599" s="10"/>
      <c r="BG1599" s="10"/>
      <c r="BH1599" s="10"/>
      <c r="BI1599" s="10"/>
      <c r="BJ1599" s="10"/>
      <c r="BK1599" s="10"/>
      <c r="BL1599" s="10"/>
      <c r="BM1599" s="10"/>
      <c r="BN1599" s="10"/>
      <c r="BO1599" s="10"/>
      <c r="BP1599" s="10"/>
      <c r="BQ1599" s="10"/>
      <c r="BR1599" s="10"/>
      <c r="BS1599" s="10"/>
      <c r="BT1599" s="10"/>
      <c r="BU1599" s="10"/>
    </row>
    <row r="1600" spans="1:73" ht="18" x14ac:dyDescent="0.35">
      <c r="A1600" s="43"/>
      <c r="C1600" s="393"/>
      <c r="E1600" s="394"/>
      <c r="F1600" s="394">
        <v>0.245</v>
      </c>
      <c r="G1600" s="394"/>
      <c r="H1600" s="8" t="s">
        <v>61</v>
      </c>
      <c r="I1600" s="368">
        <f t="shared" si="73"/>
        <v>0</v>
      </c>
      <c r="J1600" s="365">
        <f t="shared" si="75"/>
        <v>0</v>
      </c>
      <c r="K1600" s="369">
        <f t="shared" si="74"/>
        <v>6</v>
      </c>
      <c r="L1600" s="369">
        <f>+IF((C1600&gt;='Resultats - informe'!$E$16)*(C1600&lt;='Resultats - informe'!$G$16),1,0)</f>
        <v>1</v>
      </c>
      <c r="M1600" s="369" cm="1">
        <f t="array" ref="M1600">+_xlfn.IFS((C1600&gt;='Resultats - informe'!$D$26)*(C1600&lt;='Resultats - informe'!$E$26),0,(C1600&gt;='Resultats - informe'!$D$27)*(C1600&lt;='Resultats - informe'!$E$27),0,(C1600&gt;='Resultats - informe'!$D$28)*(C1600&lt;='Resultats - informe'!$E$28),0,(C1600&gt;='Resultats - informe'!$D$29)*(C1600&lt;='Resultats - informe'!$E$29),0,1,1)</f>
        <v>0</v>
      </c>
      <c r="N1600" s="366">
        <f>+VLOOKUP(D1600,'Resultats - informe'!$Y$18:$AG$42,'Introducció dades consum'!K1600+1,0)</f>
        <v>0</v>
      </c>
      <c r="O1600" s="370" cm="1">
        <f t="array" ref="O1600">+_xlfn.SWITCH(MONTH(C1600),1,1,2,1,3,1,4,2,5,2,6,3,7,3,8,3,9,3,10,2,11,2,12,1,2)</f>
        <v>1</v>
      </c>
      <c r="P1600" s="43"/>
      <c r="AS1600" s="10"/>
      <c r="AT1600" s="10"/>
      <c r="AU1600" s="10"/>
      <c r="AV1600" s="10"/>
      <c r="AW1600" s="10"/>
      <c r="AX1600" s="10"/>
      <c r="AY1600" s="10"/>
      <c r="AZ1600" s="10"/>
      <c r="BA1600" s="10"/>
      <c r="BB1600" s="10"/>
      <c r="BC1600" s="10"/>
      <c r="BD1600" s="10"/>
      <c r="BE1600" s="10"/>
      <c r="BF1600" s="10"/>
      <c r="BG1600" s="10"/>
      <c r="BH1600" s="10"/>
      <c r="BI1600" s="10"/>
      <c r="BJ1600" s="10"/>
      <c r="BK1600" s="10"/>
      <c r="BL1600" s="10"/>
      <c r="BM1600" s="10"/>
      <c r="BN1600" s="10"/>
      <c r="BO1600" s="10"/>
      <c r="BP1600" s="10"/>
      <c r="BQ1600" s="10"/>
      <c r="BR1600" s="10"/>
      <c r="BS1600" s="10"/>
      <c r="BT1600" s="10"/>
      <c r="BU1600" s="10"/>
    </row>
    <row r="1601" spans="1:73" ht="18" x14ac:dyDescent="0.35">
      <c r="A1601" s="43"/>
      <c r="C1601" s="393"/>
      <c r="E1601" s="394"/>
      <c r="F1601" s="394">
        <v>7.3999999999999996E-2</v>
      </c>
      <c r="G1601" s="394"/>
      <c r="H1601" s="8" t="s">
        <v>61</v>
      </c>
      <c r="I1601" s="368">
        <f t="shared" si="73"/>
        <v>0</v>
      </c>
      <c r="J1601" s="365">
        <f t="shared" si="75"/>
        <v>0</v>
      </c>
      <c r="K1601" s="369">
        <f t="shared" si="74"/>
        <v>6</v>
      </c>
      <c r="L1601" s="369">
        <f>+IF((C1601&gt;='Resultats - informe'!$E$16)*(C1601&lt;='Resultats - informe'!$G$16),1,0)</f>
        <v>1</v>
      </c>
      <c r="M1601" s="369" cm="1">
        <f t="array" ref="M1601">+_xlfn.IFS((C1601&gt;='Resultats - informe'!$D$26)*(C1601&lt;='Resultats - informe'!$E$26),0,(C1601&gt;='Resultats - informe'!$D$27)*(C1601&lt;='Resultats - informe'!$E$27),0,(C1601&gt;='Resultats - informe'!$D$28)*(C1601&lt;='Resultats - informe'!$E$28),0,(C1601&gt;='Resultats - informe'!$D$29)*(C1601&lt;='Resultats - informe'!$E$29),0,1,1)</f>
        <v>0</v>
      </c>
      <c r="N1601" s="366">
        <f>+VLOOKUP(D1601,'Resultats - informe'!$Y$18:$AG$42,'Introducció dades consum'!K1601+1,0)</f>
        <v>0</v>
      </c>
      <c r="O1601" s="370" cm="1">
        <f t="array" ref="O1601">+_xlfn.SWITCH(MONTH(C1601),1,1,2,1,3,1,4,2,5,2,6,3,7,3,8,3,9,3,10,2,11,2,12,1,2)</f>
        <v>1</v>
      </c>
      <c r="P1601" s="43"/>
      <c r="AS1601" s="10"/>
      <c r="AT1601" s="10"/>
      <c r="AU1601" s="10"/>
      <c r="AV1601" s="10"/>
      <c r="AW1601" s="10"/>
      <c r="AX1601" s="10"/>
      <c r="AY1601" s="10"/>
      <c r="AZ1601" s="10"/>
      <c r="BA1601" s="10"/>
      <c r="BB1601" s="10"/>
      <c r="BC1601" s="10"/>
      <c r="BD1601" s="10"/>
      <c r="BE1601" s="10"/>
      <c r="BF1601" s="10"/>
      <c r="BG1601" s="10"/>
      <c r="BH1601" s="10"/>
      <c r="BI1601" s="10"/>
      <c r="BJ1601" s="10"/>
      <c r="BK1601" s="10"/>
      <c r="BL1601" s="10"/>
      <c r="BM1601" s="10"/>
      <c r="BN1601" s="10"/>
      <c r="BO1601" s="10"/>
      <c r="BP1601" s="10"/>
      <c r="BQ1601" s="10"/>
      <c r="BR1601" s="10"/>
      <c r="BS1601" s="10"/>
      <c r="BT1601" s="10"/>
      <c r="BU1601" s="10"/>
    </row>
    <row r="1602" spans="1:73" ht="18" x14ac:dyDescent="0.35">
      <c r="A1602" s="43"/>
      <c r="C1602" s="393"/>
      <c r="E1602" s="394"/>
      <c r="F1602" s="394">
        <v>2.0459999999999998</v>
      </c>
      <c r="G1602" s="394"/>
      <c r="H1602" s="8" t="s">
        <v>235</v>
      </c>
      <c r="I1602" s="368">
        <f t="shared" si="73"/>
        <v>0</v>
      </c>
      <c r="J1602" s="365">
        <f t="shared" si="75"/>
        <v>0</v>
      </c>
      <c r="K1602" s="369">
        <f t="shared" si="74"/>
        <v>6</v>
      </c>
      <c r="L1602" s="369">
        <f>+IF((C1602&gt;='Resultats - informe'!$E$16)*(C1602&lt;='Resultats - informe'!$G$16),1,0)</f>
        <v>1</v>
      </c>
      <c r="M1602" s="369" cm="1">
        <f t="array" ref="M1602">+_xlfn.IFS((C1602&gt;='Resultats - informe'!$D$26)*(C1602&lt;='Resultats - informe'!$E$26),0,(C1602&gt;='Resultats - informe'!$D$27)*(C1602&lt;='Resultats - informe'!$E$27),0,(C1602&gt;='Resultats - informe'!$D$28)*(C1602&lt;='Resultats - informe'!$E$28),0,(C1602&gt;='Resultats - informe'!$D$29)*(C1602&lt;='Resultats - informe'!$E$29),0,1,1)</f>
        <v>0</v>
      </c>
      <c r="N1602" s="366">
        <f>+VLOOKUP(D1602,'Resultats - informe'!$Y$18:$AG$42,'Introducció dades consum'!K1602+1,0)</f>
        <v>0</v>
      </c>
      <c r="O1602" s="370" cm="1">
        <f t="array" ref="O1602">+_xlfn.SWITCH(MONTH(C1602),1,1,2,1,3,1,4,2,5,2,6,3,7,3,8,3,9,3,10,2,11,2,12,1,2)</f>
        <v>1</v>
      </c>
      <c r="P1602" s="43"/>
      <c r="AS1602" s="10"/>
      <c r="AT1602" s="10"/>
      <c r="AU1602" s="10"/>
      <c r="AV1602" s="10"/>
      <c r="AW1602" s="10"/>
      <c r="AX1602" s="10"/>
      <c r="AY1602" s="10"/>
      <c r="AZ1602" s="10"/>
      <c r="BA1602" s="10"/>
      <c r="BB1602" s="10"/>
      <c r="BC1602" s="10"/>
      <c r="BD1602" s="10"/>
      <c r="BE1602" s="10"/>
      <c r="BF1602" s="10"/>
      <c r="BG1602" s="10"/>
      <c r="BH1602" s="10"/>
      <c r="BI1602" s="10"/>
      <c r="BJ1602" s="10"/>
      <c r="BK1602" s="10"/>
      <c r="BL1602" s="10"/>
      <c r="BM1602" s="10"/>
      <c r="BN1602" s="10"/>
      <c r="BO1602" s="10"/>
      <c r="BP1602" s="10"/>
      <c r="BQ1602" s="10"/>
      <c r="BR1602" s="10"/>
      <c r="BS1602" s="10"/>
      <c r="BT1602" s="10"/>
      <c r="BU1602" s="10"/>
    </row>
    <row r="1603" spans="1:73" ht="18" x14ac:dyDescent="0.35">
      <c r="A1603" s="43"/>
      <c r="C1603" s="393"/>
      <c r="E1603" s="394"/>
      <c r="F1603" s="394">
        <v>1.5549999999999999</v>
      </c>
      <c r="G1603" s="394"/>
      <c r="H1603" s="8" t="s">
        <v>235</v>
      </c>
      <c r="I1603" s="368">
        <f t="shared" si="73"/>
        <v>0</v>
      </c>
      <c r="J1603" s="365">
        <f t="shared" si="75"/>
        <v>0</v>
      </c>
      <c r="K1603" s="369">
        <f t="shared" si="74"/>
        <v>6</v>
      </c>
      <c r="L1603" s="369">
        <f>+IF((C1603&gt;='Resultats - informe'!$E$16)*(C1603&lt;='Resultats - informe'!$G$16),1,0)</f>
        <v>1</v>
      </c>
      <c r="M1603" s="369" cm="1">
        <f t="array" ref="M1603">+_xlfn.IFS((C1603&gt;='Resultats - informe'!$D$26)*(C1603&lt;='Resultats - informe'!$E$26),0,(C1603&gt;='Resultats - informe'!$D$27)*(C1603&lt;='Resultats - informe'!$E$27),0,(C1603&gt;='Resultats - informe'!$D$28)*(C1603&lt;='Resultats - informe'!$E$28),0,(C1603&gt;='Resultats - informe'!$D$29)*(C1603&lt;='Resultats - informe'!$E$29),0,1,1)</f>
        <v>0</v>
      </c>
      <c r="N1603" s="366">
        <f>+VLOOKUP(D1603,'Resultats - informe'!$Y$18:$AG$42,'Introducció dades consum'!K1603+1,0)</f>
        <v>0</v>
      </c>
      <c r="O1603" s="370" cm="1">
        <f t="array" ref="O1603">+_xlfn.SWITCH(MONTH(C1603),1,1,2,1,3,1,4,2,5,2,6,3,7,3,8,3,9,3,10,2,11,2,12,1,2)</f>
        <v>1</v>
      </c>
      <c r="P1603" s="43"/>
      <c r="AS1603" s="10"/>
      <c r="AT1603" s="10"/>
      <c r="AU1603" s="10"/>
      <c r="AV1603" s="10"/>
      <c r="AW1603" s="10"/>
      <c r="AX1603" s="10"/>
      <c r="AY1603" s="10"/>
      <c r="AZ1603" s="10"/>
      <c r="BA1603" s="10"/>
      <c r="BB1603" s="10"/>
      <c r="BC1603" s="10"/>
      <c r="BD1603" s="10"/>
      <c r="BE1603" s="10"/>
      <c r="BF1603" s="10"/>
      <c r="BG1603" s="10"/>
      <c r="BH1603" s="10"/>
      <c r="BI1603" s="10"/>
      <c r="BJ1603" s="10"/>
      <c r="BK1603" s="10"/>
      <c r="BL1603" s="10"/>
      <c r="BM1603" s="10"/>
      <c r="BN1603" s="10"/>
      <c r="BO1603" s="10"/>
      <c r="BP1603" s="10"/>
      <c r="BQ1603" s="10"/>
      <c r="BR1603" s="10"/>
      <c r="BS1603" s="10"/>
      <c r="BT1603" s="10"/>
      <c r="BU1603" s="10"/>
    </row>
    <row r="1604" spans="1:73" ht="18" x14ac:dyDescent="0.35">
      <c r="A1604" s="43"/>
      <c r="C1604" s="393"/>
      <c r="E1604" s="394"/>
      <c r="F1604" s="394">
        <v>0.80500000000000005</v>
      </c>
      <c r="G1604" s="394"/>
      <c r="H1604" s="8" t="s">
        <v>235</v>
      </c>
      <c r="I1604" s="368">
        <f t="shared" si="73"/>
        <v>0</v>
      </c>
      <c r="J1604" s="365">
        <f t="shared" si="75"/>
        <v>0</v>
      </c>
      <c r="K1604" s="369">
        <f t="shared" si="74"/>
        <v>6</v>
      </c>
      <c r="L1604" s="369">
        <f>+IF((C1604&gt;='Resultats - informe'!$E$16)*(C1604&lt;='Resultats - informe'!$G$16),1,0)</f>
        <v>1</v>
      </c>
      <c r="M1604" s="369" cm="1">
        <f t="array" ref="M1604">+_xlfn.IFS((C1604&gt;='Resultats - informe'!$D$26)*(C1604&lt;='Resultats - informe'!$E$26),0,(C1604&gt;='Resultats - informe'!$D$27)*(C1604&lt;='Resultats - informe'!$E$27),0,(C1604&gt;='Resultats - informe'!$D$28)*(C1604&lt;='Resultats - informe'!$E$28),0,(C1604&gt;='Resultats - informe'!$D$29)*(C1604&lt;='Resultats - informe'!$E$29),0,1,1)</f>
        <v>0</v>
      </c>
      <c r="N1604" s="366">
        <f>+VLOOKUP(D1604,'Resultats - informe'!$Y$18:$AG$42,'Introducció dades consum'!K1604+1,0)</f>
        <v>0</v>
      </c>
      <c r="O1604" s="370" cm="1">
        <f t="array" ref="O1604">+_xlfn.SWITCH(MONTH(C1604),1,1,2,1,3,1,4,2,5,2,6,3,7,3,8,3,9,3,10,2,11,2,12,1,2)</f>
        <v>1</v>
      </c>
      <c r="P1604" s="43"/>
      <c r="AS1604" s="10"/>
      <c r="AT1604" s="10"/>
      <c r="AU1604" s="10"/>
      <c r="AV1604" s="10"/>
      <c r="AW1604" s="10"/>
      <c r="AX1604" s="10"/>
      <c r="AY1604" s="10"/>
      <c r="AZ1604" s="10"/>
      <c r="BA1604" s="10"/>
      <c r="BB1604" s="10"/>
      <c r="BC1604" s="10"/>
      <c r="BD1604" s="10"/>
      <c r="BE1604" s="10"/>
      <c r="BF1604" s="10"/>
      <c r="BG1604" s="10"/>
      <c r="BH1604" s="10"/>
      <c r="BI1604" s="10"/>
      <c r="BJ1604" s="10"/>
      <c r="BK1604" s="10"/>
      <c r="BL1604" s="10"/>
      <c r="BM1604" s="10"/>
      <c r="BN1604" s="10"/>
      <c r="BO1604" s="10"/>
      <c r="BP1604" s="10"/>
      <c r="BQ1604" s="10"/>
      <c r="BR1604" s="10"/>
      <c r="BS1604" s="10"/>
      <c r="BT1604" s="10"/>
      <c r="BU1604" s="10"/>
    </row>
    <row r="1605" spans="1:73" ht="18" x14ac:dyDescent="0.35">
      <c r="A1605" s="43"/>
      <c r="C1605" s="393"/>
      <c r="E1605" s="394"/>
      <c r="F1605" s="394">
        <v>5.7000000000000002E-2</v>
      </c>
      <c r="G1605" s="394"/>
      <c r="H1605" s="8" t="s">
        <v>235</v>
      </c>
      <c r="I1605" s="368">
        <f t="shared" si="73"/>
        <v>0</v>
      </c>
      <c r="J1605" s="365">
        <f t="shared" si="75"/>
        <v>0</v>
      </c>
      <c r="K1605" s="369">
        <f t="shared" si="74"/>
        <v>6</v>
      </c>
      <c r="L1605" s="369">
        <f>+IF((C1605&gt;='Resultats - informe'!$E$16)*(C1605&lt;='Resultats - informe'!$G$16),1,0)</f>
        <v>1</v>
      </c>
      <c r="M1605" s="369" cm="1">
        <f t="array" ref="M1605">+_xlfn.IFS((C1605&gt;='Resultats - informe'!$D$26)*(C1605&lt;='Resultats - informe'!$E$26),0,(C1605&gt;='Resultats - informe'!$D$27)*(C1605&lt;='Resultats - informe'!$E$27),0,(C1605&gt;='Resultats - informe'!$D$28)*(C1605&lt;='Resultats - informe'!$E$28),0,(C1605&gt;='Resultats - informe'!$D$29)*(C1605&lt;='Resultats - informe'!$E$29),0,1,1)</f>
        <v>0</v>
      </c>
      <c r="N1605" s="366">
        <f>+VLOOKUP(D1605,'Resultats - informe'!$Y$18:$AG$42,'Introducció dades consum'!K1605+1,0)</f>
        <v>0</v>
      </c>
      <c r="O1605" s="370" cm="1">
        <f t="array" ref="O1605">+_xlfn.SWITCH(MONTH(C1605),1,1,2,1,3,1,4,2,5,2,6,3,7,3,8,3,9,3,10,2,11,2,12,1,2)</f>
        <v>1</v>
      </c>
      <c r="P1605" s="43"/>
      <c r="AS1605" s="10"/>
      <c r="AT1605" s="10"/>
      <c r="AU1605" s="10"/>
      <c r="AV1605" s="10"/>
      <c r="AW1605" s="10"/>
      <c r="AX1605" s="10"/>
      <c r="AY1605" s="10"/>
      <c r="AZ1605" s="10"/>
      <c r="BA1605" s="10"/>
      <c r="BB1605" s="10"/>
      <c r="BC1605" s="10"/>
      <c r="BD1605" s="10"/>
      <c r="BE1605" s="10"/>
      <c r="BF1605" s="10"/>
      <c r="BG1605" s="10"/>
      <c r="BH1605" s="10"/>
      <c r="BI1605" s="10"/>
      <c r="BJ1605" s="10"/>
      <c r="BK1605" s="10"/>
      <c r="BL1605" s="10"/>
      <c r="BM1605" s="10"/>
      <c r="BN1605" s="10"/>
      <c r="BO1605" s="10"/>
      <c r="BP1605" s="10"/>
      <c r="BQ1605" s="10"/>
      <c r="BR1605" s="10"/>
      <c r="BS1605" s="10"/>
      <c r="BT1605" s="10"/>
      <c r="BU1605" s="10"/>
    </row>
    <row r="1606" spans="1:73" ht="18" x14ac:dyDescent="0.35">
      <c r="A1606" s="43"/>
      <c r="C1606" s="393"/>
      <c r="E1606" s="394"/>
      <c r="F1606" s="394">
        <v>0</v>
      </c>
      <c r="G1606" s="394"/>
      <c r="H1606" s="8" t="s">
        <v>61</v>
      </c>
      <c r="I1606" s="368">
        <f t="shared" ref="I1606:I1669" si="76">+E1606+G1606</f>
        <v>0</v>
      </c>
      <c r="J1606" s="365">
        <f t="shared" si="75"/>
        <v>0</v>
      </c>
      <c r="K1606" s="369">
        <f t="shared" ref="K1606:K1669" si="77">+WEEKDAY(C1606,2)</f>
        <v>6</v>
      </c>
      <c r="L1606" s="369">
        <f>+IF((C1606&gt;='Resultats - informe'!$E$16)*(C1606&lt;='Resultats - informe'!$G$16),1,0)</f>
        <v>1</v>
      </c>
      <c r="M1606" s="369" cm="1">
        <f t="array" ref="M1606">+_xlfn.IFS((C1606&gt;='Resultats - informe'!$D$26)*(C1606&lt;='Resultats - informe'!$E$26),0,(C1606&gt;='Resultats - informe'!$D$27)*(C1606&lt;='Resultats - informe'!$E$27),0,(C1606&gt;='Resultats - informe'!$D$28)*(C1606&lt;='Resultats - informe'!$E$28),0,(C1606&gt;='Resultats - informe'!$D$29)*(C1606&lt;='Resultats - informe'!$E$29),0,1,1)</f>
        <v>0</v>
      </c>
      <c r="N1606" s="366">
        <f>+VLOOKUP(D1606,'Resultats - informe'!$Y$18:$AG$42,'Introducció dades consum'!K1606+1,0)</f>
        <v>0</v>
      </c>
      <c r="O1606" s="370" cm="1">
        <f t="array" ref="O1606">+_xlfn.SWITCH(MONTH(C1606),1,1,2,1,3,1,4,2,5,2,6,3,7,3,8,3,9,3,10,2,11,2,12,1,2)</f>
        <v>1</v>
      </c>
      <c r="P1606" s="43"/>
      <c r="AS1606" s="10"/>
      <c r="AT1606" s="10"/>
      <c r="AU1606" s="10"/>
      <c r="AV1606" s="10"/>
      <c r="AW1606" s="10"/>
      <c r="AX1606" s="10"/>
      <c r="AY1606" s="10"/>
      <c r="AZ1606" s="10"/>
      <c r="BA1606" s="10"/>
      <c r="BB1606" s="10"/>
      <c r="BC1606" s="10"/>
      <c r="BD1606" s="10"/>
      <c r="BE1606" s="10"/>
      <c r="BF1606" s="10"/>
      <c r="BG1606" s="10"/>
      <c r="BH1606" s="10"/>
      <c r="BI1606" s="10"/>
      <c r="BJ1606" s="10"/>
      <c r="BK1606" s="10"/>
      <c r="BL1606" s="10"/>
      <c r="BM1606" s="10"/>
      <c r="BN1606" s="10"/>
      <c r="BO1606" s="10"/>
      <c r="BP1606" s="10"/>
      <c r="BQ1606" s="10"/>
      <c r="BR1606" s="10"/>
      <c r="BS1606" s="10"/>
      <c r="BT1606" s="10"/>
      <c r="BU1606" s="10"/>
    </row>
    <row r="1607" spans="1:73" ht="18" x14ac:dyDescent="0.35">
      <c r="A1607" s="43"/>
      <c r="C1607" s="393"/>
      <c r="E1607" s="394"/>
      <c r="F1607" s="394">
        <v>0</v>
      </c>
      <c r="G1607" s="394"/>
      <c r="H1607" s="8" t="s">
        <v>235</v>
      </c>
      <c r="I1607" s="368">
        <f t="shared" si="76"/>
        <v>0</v>
      </c>
      <c r="J1607" s="365">
        <f t="shared" si="75"/>
        <v>0</v>
      </c>
      <c r="K1607" s="369">
        <f t="shared" si="77"/>
        <v>6</v>
      </c>
      <c r="L1607" s="369">
        <f>+IF((C1607&gt;='Resultats - informe'!$E$16)*(C1607&lt;='Resultats - informe'!$G$16),1,0)</f>
        <v>1</v>
      </c>
      <c r="M1607" s="369" cm="1">
        <f t="array" ref="M1607">+_xlfn.IFS((C1607&gt;='Resultats - informe'!$D$26)*(C1607&lt;='Resultats - informe'!$E$26),0,(C1607&gt;='Resultats - informe'!$D$27)*(C1607&lt;='Resultats - informe'!$E$27),0,(C1607&gt;='Resultats - informe'!$D$28)*(C1607&lt;='Resultats - informe'!$E$28),0,(C1607&gt;='Resultats - informe'!$D$29)*(C1607&lt;='Resultats - informe'!$E$29),0,1,1)</f>
        <v>0</v>
      </c>
      <c r="N1607" s="366">
        <f>+VLOOKUP(D1607,'Resultats - informe'!$Y$18:$AG$42,'Introducció dades consum'!K1607+1,0)</f>
        <v>0</v>
      </c>
      <c r="O1607" s="370" cm="1">
        <f t="array" ref="O1607">+_xlfn.SWITCH(MONTH(C1607),1,1,2,1,3,1,4,2,5,2,6,3,7,3,8,3,9,3,10,2,11,2,12,1,2)</f>
        <v>1</v>
      </c>
      <c r="P1607" s="43"/>
      <c r="AS1607" s="10"/>
      <c r="AT1607" s="10"/>
      <c r="AU1607" s="10"/>
      <c r="AV1607" s="10"/>
      <c r="AW1607" s="10"/>
      <c r="AX1607" s="10"/>
      <c r="AY1607" s="10"/>
      <c r="AZ1607" s="10"/>
      <c r="BA1607" s="10"/>
      <c r="BB1607" s="10"/>
      <c r="BC1607" s="10"/>
      <c r="BD1607" s="10"/>
      <c r="BE1607" s="10"/>
      <c r="BF1607" s="10"/>
      <c r="BG1607" s="10"/>
      <c r="BH1607" s="10"/>
      <c r="BI1607" s="10"/>
      <c r="BJ1607" s="10"/>
      <c r="BK1607" s="10"/>
      <c r="BL1607" s="10"/>
      <c r="BM1607" s="10"/>
      <c r="BN1607" s="10"/>
      <c r="BO1607" s="10"/>
      <c r="BP1607" s="10"/>
      <c r="BQ1607" s="10"/>
      <c r="BR1607" s="10"/>
      <c r="BS1607" s="10"/>
      <c r="BT1607" s="10"/>
      <c r="BU1607" s="10"/>
    </row>
    <row r="1608" spans="1:73" ht="18" x14ac:dyDescent="0.35">
      <c r="A1608" s="43"/>
      <c r="C1608" s="393"/>
      <c r="E1608" s="394"/>
      <c r="F1608" s="394">
        <v>0</v>
      </c>
      <c r="G1608" s="394"/>
      <c r="H1608" s="8" t="s">
        <v>235</v>
      </c>
      <c r="I1608" s="368">
        <f t="shared" si="76"/>
        <v>0</v>
      </c>
      <c r="J1608" s="365">
        <f t="shared" si="75"/>
        <v>0</v>
      </c>
      <c r="K1608" s="369">
        <f t="shared" si="77"/>
        <v>6</v>
      </c>
      <c r="L1608" s="369">
        <f>+IF((C1608&gt;='Resultats - informe'!$E$16)*(C1608&lt;='Resultats - informe'!$G$16),1,0)</f>
        <v>1</v>
      </c>
      <c r="M1608" s="369" cm="1">
        <f t="array" ref="M1608">+_xlfn.IFS((C1608&gt;='Resultats - informe'!$D$26)*(C1608&lt;='Resultats - informe'!$E$26),0,(C1608&gt;='Resultats - informe'!$D$27)*(C1608&lt;='Resultats - informe'!$E$27),0,(C1608&gt;='Resultats - informe'!$D$28)*(C1608&lt;='Resultats - informe'!$E$28),0,(C1608&gt;='Resultats - informe'!$D$29)*(C1608&lt;='Resultats - informe'!$E$29),0,1,1)</f>
        <v>0</v>
      </c>
      <c r="N1608" s="366">
        <f>+VLOOKUP(D1608,'Resultats - informe'!$Y$18:$AG$42,'Introducció dades consum'!K1608+1,0)</f>
        <v>0</v>
      </c>
      <c r="O1608" s="370" cm="1">
        <f t="array" ref="O1608">+_xlfn.SWITCH(MONTH(C1608),1,1,2,1,3,1,4,2,5,2,6,3,7,3,8,3,9,3,10,2,11,2,12,1,2)</f>
        <v>1</v>
      </c>
      <c r="P1608" s="43"/>
      <c r="AS1608" s="10"/>
      <c r="AT1608" s="10"/>
      <c r="AU1608" s="10"/>
      <c r="AV1608" s="10"/>
      <c r="AW1608" s="10"/>
      <c r="AX1608" s="10"/>
      <c r="AY1608" s="10"/>
      <c r="AZ1608" s="10"/>
      <c r="BA1608" s="10"/>
      <c r="BB1608" s="10"/>
      <c r="BC1608" s="10"/>
      <c r="BD1608" s="10"/>
      <c r="BE1608" s="10"/>
      <c r="BF1608" s="10"/>
      <c r="BG1608" s="10"/>
      <c r="BH1608" s="10"/>
      <c r="BI1608" s="10"/>
      <c r="BJ1608" s="10"/>
      <c r="BK1608" s="10"/>
      <c r="BL1608" s="10"/>
      <c r="BM1608" s="10"/>
      <c r="BN1608" s="10"/>
      <c r="BO1608" s="10"/>
      <c r="BP1608" s="10"/>
      <c r="BQ1608" s="10"/>
      <c r="BR1608" s="10"/>
      <c r="BS1608" s="10"/>
      <c r="BT1608" s="10"/>
      <c r="BU1608" s="10"/>
    </row>
    <row r="1609" spans="1:73" ht="18" x14ac:dyDescent="0.35">
      <c r="A1609" s="43"/>
      <c r="C1609" s="393"/>
      <c r="E1609" s="394"/>
      <c r="F1609" s="394">
        <v>0</v>
      </c>
      <c r="G1609" s="394"/>
      <c r="H1609" s="8" t="s">
        <v>235</v>
      </c>
      <c r="I1609" s="368">
        <f t="shared" si="76"/>
        <v>0</v>
      </c>
      <c r="J1609" s="365">
        <f t="shared" si="75"/>
        <v>0</v>
      </c>
      <c r="K1609" s="369">
        <f t="shared" si="77"/>
        <v>6</v>
      </c>
      <c r="L1609" s="369">
        <f>+IF((C1609&gt;='Resultats - informe'!$E$16)*(C1609&lt;='Resultats - informe'!$G$16),1,0)</f>
        <v>1</v>
      </c>
      <c r="M1609" s="369" cm="1">
        <f t="array" ref="M1609">+_xlfn.IFS((C1609&gt;='Resultats - informe'!$D$26)*(C1609&lt;='Resultats - informe'!$E$26),0,(C1609&gt;='Resultats - informe'!$D$27)*(C1609&lt;='Resultats - informe'!$E$27),0,(C1609&gt;='Resultats - informe'!$D$28)*(C1609&lt;='Resultats - informe'!$E$28),0,(C1609&gt;='Resultats - informe'!$D$29)*(C1609&lt;='Resultats - informe'!$E$29),0,1,1)</f>
        <v>0</v>
      </c>
      <c r="N1609" s="366">
        <f>+VLOOKUP(D1609,'Resultats - informe'!$Y$18:$AG$42,'Introducció dades consum'!K1609+1,0)</f>
        <v>0</v>
      </c>
      <c r="O1609" s="370" cm="1">
        <f t="array" ref="O1609">+_xlfn.SWITCH(MONTH(C1609),1,1,2,1,3,1,4,2,5,2,6,3,7,3,8,3,9,3,10,2,11,2,12,1,2)</f>
        <v>1</v>
      </c>
      <c r="P1609" s="43"/>
      <c r="AS1609" s="10"/>
      <c r="AT1609" s="10"/>
      <c r="AU1609" s="10"/>
      <c r="AV1609" s="10"/>
      <c r="AW1609" s="10"/>
      <c r="AX1609" s="10"/>
      <c r="AY1609" s="10"/>
      <c r="AZ1609" s="10"/>
      <c r="BA1609" s="10"/>
      <c r="BB1609" s="10"/>
      <c r="BC1609" s="10"/>
      <c r="BD1609" s="10"/>
      <c r="BE1609" s="10"/>
      <c r="BF1609" s="10"/>
      <c r="BG1609" s="10"/>
      <c r="BH1609" s="10"/>
      <c r="BI1609" s="10"/>
      <c r="BJ1609" s="10"/>
      <c r="BK1609" s="10"/>
      <c r="BL1609" s="10"/>
      <c r="BM1609" s="10"/>
      <c r="BN1609" s="10"/>
      <c r="BO1609" s="10"/>
      <c r="BP1609" s="10"/>
      <c r="BQ1609" s="10"/>
      <c r="BR1609" s="10"/>
      <c r="BS1609" s="10"/>
      <c r="BT1609" s="10"/>
      <c r="BU1609" s="10"/>
    </row>
    <row r="1610" spans="1:73" ht="18" x14ac:dyDescent="0.35">
      <c r="A1610" s="43"/>
      <c r="C1610" s="393"/>
      <c r="E1610" s="394"/>
      <c r="F1610" s="394">
        <v>0</v>
      </c>
      <c r="G1610" s="394"/>
      <c r="H1610" s="8" t="s">
        <v>235</v>
      </c>
      <c r="I1610" s="368">
        <f t="shared" si="76"/>
        <v>0</v>
      </c>
      <c r="J1610" s="365">
        <f t="shared" si="75"/>
        <v>0</v>
      </c>
      <c r="K1610" s="369">
        <f t="shared" si="77"/>
        <v>6</v>
      </c>
      <c r="L1610" s="369">
        <f>+IF((C1610&gt;='Resultats - informe'!$E$16)*(C1610&lt;='Resultats - informe'!$G$16),1,0)</f>
        <v>1</v>
      </c>
      <c r="M1610" s="369" cm="1">
        <f t="array" ref="M1610">+_xlfn.IFS((C1610&gt;='Resultats - informe'!$D$26)*(C1610&lt;='Resultats - informe'!$E$26),0,(C1610&gt;='Resultats - informe'!$D$27)*(C1610&lt;='Resultats - informe'!$E$27),0,(C1610&gt;='Resultats - informe'!$D$28)*(C1610&lt;='Resultats - informe'!$E$28),0,(C1610&gt;='Resultats - informe'!$D$29)*(C1610&lt;='Resultats - informe'!$E$29),0,1,1)</f>
        <v>0</v>
      </c>
      <c r="N1610" s="366">
        <f>+VLOOKUP(D1610,'Resultats - informe'!$Y$18:$AG$42,'Introducció dades consum'!K1610+1,0)</f>
        <v>0</v>
      </c>
      <c r="O1610" s="370" cm="1">
        <f t="array" ref="O1610">+_xlfn.SWITCH(MONTH(C1610),1,1,2,1,3,1,4,2,5,2,6,3,7,3,8,3,9,3,10,2,11,2,12,1,2)</f>
        <v>1</v>
      </c>
      <c r="P1610" s="43"/>
      <c r="AS1610" s="10"/>
      <c r="AT1610" s="10"/>
      <c r="AU1610" s="10"/>
      <c r="AV1610" s="10"/>
      <c r="AW1610" s="10"/>
      <c r="AX1610" s="10"/>
      <c r="AY1610" s="10"/>
      <c r="AZ1610" s="10"/>
      <c r="BA1610" s="10"/>
      <c r="BB1610" s="10"/>
      <c r="BC1610" s="10"/>
      <c r="BD1610" s="10"/>
      <c r="BE1610" s="10"/>
      <c r="BF1610" s="10"/>
      <c r="BG1610" s="10"/>
      <c r="BH1610" s="10"/>
      <c r="BI1610" s="10"/>
      <c r="BJ1610" s="10"/>
      <c r="BK1610" s="10"/>
      <c r="BL1610" s="10"/>
      <c r="BM1610" s="10"/>
      <c r="BN1610" s="10"/>
      <c r="BO1610" s="10"/>
      <c r="BP1610" s="10"/>
      <c r="BQ1610" s="10"/>
      <c r="BR1610" s="10"/>
      <c r="BS1610" s="10"/>
      <c r="BT1610" s="10"/>
      <c r="BU1610" s="10"/>
    </row>
    <row r="1611" spans="1:73" ht="18" x14ac:dyDescent="0.35">
      <c r="A1611" s="43"/>
      <c r="C1611" s="393"/>
      <c r="E1611" s="394"/>
      <c r="F1611" s="394">
        <v>0</v>
      </c>
      <c r="G1611" s="394"/>
      <c r="H1611" s="8" t="s">
        <v>235</v>
      </c>
      <c r="I1611" s="368">
        <f t="shared" si="76"/>
        <v>0</v>
      </c>
      <c r="J1611" s="365">
        <f t="shared" si="75"/>
        <v>0</v>
      </c>
      <c r="K1611" s="369">
        <f t="shared" si="77"/>
        <v>6</v>
      </c>
      <c r="L1611" s="369">
        <f>+IF((C1611&gt;='Resultats - informe'!$E$16)*(C1611&lt;='Resultats - informe'!$G$16),1,0)</f>
        <v>1</v>
      </c>
      <c r="M1611" s="369" cm="1">
        <f t="array" ref="M1611">+_xlfn.IFS((C1611&gt;='Resultats - informe'!$D$26)*(C1611&lt;='Resultats - informe'!$E$26),0,(C1611&gt;='Resultats - informe'!$D$27)*(C1611&lt;='Resultats - informe'!$E$27),0,(C1611&gt;='Resultats - informe'!$D$28)*(C1611&lt;='Resultats - informe'!$E$28),0,(C1611&gt;='Resultats - informe'!$D$29)*(C1611&lt;='Resultats - informe'!$E$29),0,1,1)</f>
        <v>0</v>
      </c>
      <c r="N1611" s="366">
        <f>+VLOOKUP(D1611,'Resultats - informe'!$Y$18:$AG$42,'Introducció dades consum'!K1611+1,0)</f>
        <v>0</v>
      </c>
      <c r="O1611" s="370" cm="1">
        <f t="array" ref="O1611">+_xlfn.SWITCH(MONTH(C1611),1,1,2,1,3,1,4,2,5,2,6,3,7,3,8,3,9,3,10,2,11,2,12,1,2)</f>
        <v>1</v>
      </c>
      <c r="P1611" s="43"/>
      <c r="AS1611" s="10"/>
      <c r="AT1611" s="10"/>
      <c r="AU1611" s="10"/>
      <c r="AV1611" s="10"/>
      <c r="AW1611" s="10"/>
      <c r="AX1611" s="10"/>
      <c r="AY1611" s="10"/>
      <c r="AZ1611" s="10"/>
      <c r="BA1611" s="10"/>
      <c r="BB1611" s="10"/>
      <c r="BC1611" s="10"/>
      <c r="BD1611" s="10"/>
      <c r="BE1611" s="10"/>
      <c r="BF1611" s="10"/>
      <c r="BG1611" s="10"/>
      <c r="BH1611" s="10"/>
      <c r="BI1611" s="10"/>
      <c r="BJ1611" s="10"/>
      <c r="BK1611" s="10"/>
      <c r="BL1611" s="10"/>
      <c r="BM1611" s="10"/>
      <c r="BN1611" s="10"/>
      <c r="BO1611" s="10"/>
      <c r="BP1611" s="10"/>
      <c r="BQ1611" s="10"/>
      <c r="BR1611" s="10"/>
      <c r="BS1611" s="10"/>
      <c r="BT1611" s="10"/>
      <c r="BU1611" s="10"/>
    </row>
    <row r="1612" spans="1:73" ht="18" x14ac:dyDescent="0.35">
      <c r="A1612" s="43"/>
      <c r="C1612" s="393"/>
      <c r="E1612" s="394"/>
      <c r="F1612" s="394">
        <v>0</v>
      </c>
      <c r="G1612" s="394"/>
      <c r="H1612" s="8" t="s">
        <v>235</v>
      </c>
      <c r="I1612" s="368">
        <f t="shared" si="76"/>
        <v>0</v>
      </c>
      <c r="J1612" s="365">
        <f t="shared" si="75"/>
        <v>0</v>
      </c>
      <c r="K1612" s="369">
        <f t="shared" si="77"/>
        <v>6</v>
      </c>
      <c r="L1612" s="369">
        <f>+IF((C1612&gt;='Resultats - informe'!$E$16)*(C1612&lt;='Resultats - informe'!$G$16),1,0)</f>
        <v>1</v>
      </c>
      <c r="M1612" s="369" cm="1">
        <f t="array" ref="M1612">+_xlfn.IFS((C1612&gt;='Resultats - informe'!$D$26)*(C1612&lt;='Resultats - informe'!$E$26),0,(C1612&gt;='Resultats - informe'!$D$27)*(C1612&lt;='Resultats - informe'!$E$27),0,(C1612&gt;='Resultats - informe'!$D$28)*(C1612&lt;='Resultats - informe'!$E$28),0,(C1612&gt;='Resultats - informe'!$D$29)*(C1612&lt;='Resultats - informe'!$E$29),0,1,1)</f>
        <v>0</v>
      </c>
      <c r="N1612" s="366">
        <f>+VLOOKUP(D1612,'Resultats - informe'!$Y$18:$AG$42,'Introducció dades consum'!K1612+1,0)</f>
        <v>0</v>
      </c>
      <c r="O1612" s="370" cm="1">
        <f t="array" ref="O1612">+_xlfn.SWITCH(MONTH(C1612),1,1,2,1,3,1,4,2,5,2,6,3,7,3,8,3,9,3,10,2,11,2,12,1,2)</f>
        <v>1</v>
      </c>
      <c r="P1612" s="43"/>
      <c r="AS1612" s="10"/>
      <c r="AT1612" s="10"/>
      <c r="AU1612" s="10"/>
      <c r="AV1612" s="10"/>
      <c r="AW1612" s="10"/>
      <c r="AX1612" s="10"/>
      <c r="AY1612" s="10"/>
      <c r="AZ1612" s="10"/>
      <c r="BA1612" s="10"/>
      <c r="BB1612" s="10"/>
      <c r="BC1612" s="10"/>
      <c r="BD1612" s="10"/>
      <c r="BE1612" s="10"/>
      <c r="BF1612" s="10"/>
      <c r="BG1612" s="10"/>
      <c r="BH1612" s="10"/>
      <c r="BI1612" s="10"/>
      <c r="BJ1612" s="10"/>
      <c r="BK1612" s="10"/>
      <c r="BL1612" s="10"/>
      <c r="BM1612" s="10"/>
      <c r="BN1612" s="10"/>
      <c r="BO1612" s="10"/>
      <c r="BP1612" s="10"/>
      <c r="BQ1612" s="10"/>
      <c r="BR1612" s="10"/>
      <c r="BS1612" s="10"/>
      <c r="BT1612" s="10"/>
      <c r="BU1612" s="10"/>
    </row>
    <row r="1613" spans="1:73" ht="18" x14ac:dyDescent="0.35">
      <c r="A1613" s="43"/>
      <c r="C1613" s="393"/>
      <c r="E1613" s="394"/>
      <c r="F1613" s="394">
        <v>0</v>
      </c>
      <c r="G1613" s="394"/>
      <c r="H1613" s="8" t="s">
        <v>235</v>
      </c>
      <c r="I1613" s="368">
        <f t="shared" si="76"/>
        <v>0</v>
      </c>
      <c r="J1613" s="365">
        <f t="shared" si="75"/>
        <v>0</v>
      </c>
      <c r="K1613" s="369">
        <f t="shared" si="77"/>
        <v>6</v>
      </c>
      <c r="L1613" s="369">
        <f>+IF((C1613&gt;='Resultats - informe'!$E$16)*(C1613&lt;='Resultats - informe'!$G$16),1,0)</f>
        <v>1</v>
      </c>
      <c r="M1613" s="369" cm="1">
        <f t="array" ref="M1613">+_xlfn.IFS((C1613&gt;='Resultats - informe'!$D$26)*(C1613&lt;='Resultats - informe'!$E$26),0,(C1613&gt;='Resultats - informe'!$D$27)*(C1613&lt;='Resultats - informe'!$E$27),0,(C1613&gt;='Resultats - informe'!$D$28)*(C1613&lt;='Resultats - informe'!$E$28),0,(C1613&gt;='Resultats - informe'!$D$29)*(C1613&lt;='Resultats - informe'!$E$29),0,1,1)</f>
        <v>0</v>
      </c>
      <c r="N1613" s="366">
        <f>+VLOOKUP(D1613,'Resultats - informe'!$Y$18:$AG$42,'Introducció dades consum'!K1613+1,0)</f>
        <v>0</v>
      </c>
      <c r="O1613" s="370" cm="1">
        <f t="array" ref="O1613">+_xlfn.SWITCH(MONTH(C1613),1,1,2,1,3,1,4,2,5,2,6,3,7,3,8,3,9,3,10,2,11,2,12,1,2)</f>
        <v>1</v>
      </c>
      <c r="P1613" s="43"/>
      <c r="AS1613" s="10"/>
      <c r="AT1613" s="10"/>
      <c r="AU1613" s="10"/>
      <c r="AV1613" s="10"/>
      <c r="AW1613" s="10"/>
      <c r="AX1613" s="10"/>
      <c r="AY1613" s="10"/>
      <c r="AZ1613" s="10"/>
      <c r="BA1613" s="10"/>
      <c r="BB1613" s="10"/>
      <c r="BC1613" s="10"/>
      <c r="BD1613" s="10"/>
      <c r="BE1613" s="10"/>
      <c r="BF1613" s="10"/>
      <c r="BG1613" s="10"/>
      <c r="BH1613" s="10"/>
      <c r="BI1613" s="10"/>
      <c r="BJ1613" s="10"/>
      <c r="BK1613" s="10"/>
      <c r="BL1613" s="10"/>
      <c r="BM1613" s="10"/>
      <c r="BN1613" s="10"/>
      <c r="BO1613" s="10"/>
      <c r="BP1613" s="10"/>
      <c r="BQ1613" s="10"/>
      <c r="BR1613" s="10"/>
      <c r="BS1613" s="10"/>
      <c r="BT1613" s="10"/>
      <c r="BU1613" s="10"/>
    </row>
    <row r="1614" spans="1:73" ht="18" x14ac:dyDescent="0.35">
      <c r="A1614" s="43"/>
      <c r="C1614" s="393"/>
      <c r="E1614" s="394"/>
      <c r="F1614" s="394">
        <v>0</v>
      </c>
      <c r="G1614" s="394"/>
      <c r="H1614" s="8" t="s">
        <v>235</v>
      </c>
      <c r="I1614" s="368">
        <f t="shared" si="76"/>
        <v>0</v>
      </c>
      <c r="J1614" s="365">
        <f t="shared" si="75"/>
        <v>0</v>
      </c>
      <c r="K1614" s="369">
        <f t="shared" si="77"/>
        <v>6</v>
      </c>
      <c r="L1614" s="369">
        <f>+IF((C1614&gt;='Resultats - informe'!$E$16)*(C1614&lt;='Resultats - informe'!$G$16),1,0)</f>
        <v>1</v>
      </c>
      <c r="M1614" s="369" cm="1">
        <f t="array" ref="M1614">+_xlfn.IFS((C1614&gt;='Resultats - informe'!$D$26)*(C1614&lt;='Resultats - informe'!$E$26),0,(C1614&gt;='Resultats - informe'!$D$27)*(C1614&lt;='Resultats - informe'!$E$27),0,(C1614&gt;='Resultats - informe'!$D$28)*(C1614&lt;='Resultats - informe'!$E$28),0,(C1614&gt;='Resultats - informe'!$D$29)*(C1614&lt;='Resultats - informe'!$E$29),0,1,1)</f>
        <v>0</v>
      </c>
      <c r="N1614" s="366">
        <f>+VLOOKUP(D1614,'Resultats - informe'!$Y$18:$AG$42,'Introducció dades consum'!K1614+1,0)</f>
        <v>0</v>
      </c>
      <c r="O1614" s="370" cm="1">
        <f t="array" ref="O1614">+_xlfn.SWITCH(MONTH(C1614),1,1,2,1,3,1,4,2,5,2,6,3,7,3,8,3,9,3,10,2,11,2,12,1,2)</f>
        <v>1</v>
      </c>
      <c r="P1614" s="43"/>
      <c r="AS1614" s="10"/>
      <c r="AT1614" s="10"/>
      <c r="AU1614" s="10"/>
      <c r="AV1614" s="10"/>
      <c r="AW1614" s="10"/>
      <c r="AX1614" s="10"/>
      <c r="AY1614" s="10"/>
      <c r="AZ1614" s="10"/>
      <c r="BA1614" s="10"/>
      <c r="BB1614" s="10"/>
      <c r="BC1614" s="10"/>
      <c r="BD1614" s="10"/>
      <c r="BE1614" s="10"/>
      <c r="BF1614" s="10"/>
      <c r="BG1614" s="10"/>
      <c r="BH1614" s="10"/>
      <c r="BI1614" s="10"/>
      <c r="BJ1614" s="10"/>
      <c r="BK1614" s="10"/>
      <c r="BL1614" s="10"/>
      <c r="BM1614" s="10"/>
      <c r="BN1614" s="10"/>
      <c r="BO1614" s="10"/>
      <c r="BP1614" s="10"/>
      <c r="BQ1614" s="10"/>
      <c r="BR1614" s="10"/>
      <c r="BS1614" s="10"/>
      <c r="BT1614" s="10"/>
      <c r="BU1614" s="10"/>
    </row>
    <row r="1615" spans="1:73" ht="18" x14ac:dyDescent="0.35">
      <c r="A1615" s="43"/>
      <c r="C1615" s="393"/>
      <c r="E1615" s="394"/>
      <c r="F1615" s="394">
        <v>0</v>
      </c>
      <c r="G1615" s="394"/>
      <c r="H1615" s="8" t="s">
        <v>235</v>
      </c>
      <c r="I1615" s="368">
        <f t="shared" si="76"/>
        <v>0</v>
      </c>
      <c r="J1615" s="365">
        <f t="shared" si="75"/>
        <v>0</v>
      </c>
      <c r="K1615" s="369">
        <f t="shared" si="77"/>
        <v>6</v>
      </c>
      <c r="L1615" s="369">
        <f>+IF((C1615&gt;='Resultats - informe'!$E$16)*(C1615&lt;='Resultats - informe'!$G$16),1,0)</f>
        <v>1</v>
      </c>
      <c r="M1615" s="369" cm="1">
        <f t="array" ref="M1615">+_xlfn.IFS((C1615&gt;='Resultats - informe'!$D$26)*(C1615&lt;='Resultats - informe'!$E$26),0,(C1615&gt;='Resultats - informe'!$D$27)*(C1615&lt;='Resultats - informe'!$E$27),0,(C1615&gt;='Resultats - informe'!$D$28)*(C1615&lt;='Resultats - informe'!$E$28),0,(C1615&gt;='Resultats - informe'!$D$29)*(C1615&lt;='Resultats - informe'!$E$29),0,1,1)</f>
        <v>0</v>
      </c>
      <c r="N1615" s="366">
        <f>+VLOOKUP(D1615,'Resultats - informe'!$Y$18:$AG$42,'Introducció dades consum'!K1615+1,0)</f>
        <v>0</v>
      </c>
      <c r="O1615" s="370" cm="1">
        <f t="array" ref="O1615">+_xlfn.SWITCH(MONTH(C1615),1,1,2,1,3,1,4,2,5,2,6,3,7,3,8,3,9,3,10,2,11,2,12,1,2)</f>
        <v>1</v>
      </c>
      <c r="P1615" s="43"/>
      <c r="AS1615" s="10"/>
      <c r="AT1615" s="10"/>
      <c r="AU1615" s="10"/>
      <c r="AV1615" s="10"/>
      <c r="AW1615" s="10"/>
      <c r="AX1615" s="10"/>
      <c r="AY1615" s="10"/>
      <c r="AZ1615" s="10"/>
      <c r="BA1615" s="10"/>
      <c r="BB1615" s="10"/>
      <c r="BC1615" s="10"/>
      <c r="BD1615" s="10"/>
      <c r="BE1615" s="10"/>
      <c r="BF1615" s="10"/>
      <c r="BG1615" s="10"/>
      <c r="BH1615" s="10"/>
      <c r="BI1615" s="10"/>
      <c r="BJ1615" s="10"/>
      <c r="BK1615" s="10"/>
      <c r="BL1615" s="10"/>
      <c r="BM1615" s="10"/>
      <c r="BN1615" s="10"/>
      <c r="BO1615" s="10"/>
      <c r="BP1615" s="10"/>
      <c r="BQ1615" s="10"/>
      <c r="BR1615" s="10"/>
      <c r="BS1615" s="10"/>
      <c r="BT1615" s="10"/>
      <c r="BU1615" s="10"/>
    </row>
    <row r="1616" spans="1:73" ht="18" x14ac:dyDescent="0.35">
      <c r="A1616" s="43"/>
      <c r="C1616" s="393"/>
      <c r="E1616" s="394"/>
      <c r="F1616" s="394">
        <v>0</v>
      </c>
      <c r="G1616" s="394"/>
      <c r="H1616" s="8" t="s">
        <v>235</v>
      </c>
      <c r="I1616" s="368">
        <f t="shared" si="76"/>
        <v>0</v>
      </c>
      <c r="J1616" s="365">
        <f t="shared" si="75"/>
        <v>0</v>
      </c>
      <c r="K1616" s="369">
        <f t="shared" si="77"/>
        <v>6</v>
      </c>
      <c r="L1616" s="369">
        <f>+IF((C1616&gt;='Resultats - informe'!$E$16)*(C1616&lt;='Resultats - informe'!$G$16),1,0)</f>
        <v>1</v>
      </c>
      <c r="M1616" s="369" cm="1">
        <f t="array" ref="M1616">+_xlfn.IFS((C1616&gt;='Resultats - informe'!$D$26)*(C1616&lt;='Resultats - informe'!$E$26),0,(C1616&gt;='Resultats - informe'!$D$27)*(C1616&lt;='Resultats - informe'!$E$27),0,(C1616&gt;='Resultats - informe'!$D$28)*(C1616&lt;='Resultats - informe'!$E$28),0,(C1616&gt;='Resultats - informe'!$D$29)*(C1616&lt;='Resultats - informe'!$E$29),0,1,1)</f>
        <v>0</v>
      </c>
      <c r="N1616" s="366">
        <f>+VLOOKUP(D1616,'Resultats - informe'!$Y$18:$AG$42,'Introducció dades consum'!K1616+1,0)</f>
        <v>0</v>
      </c>
      <c r="O1616" s="370" cm="1">
        <f t="array" ref="O1616">+_xlfn.SWITCH(MONTH(C1616),1,1,2,1,3,1,4,2,5,2,6,3,7,3,8,3,9,3,10,2,11,2,12,1,2)</f>
        <v>1</v>
      </c>
      <c r="P1616" s="43"/>
      <c r="AS1616" s="10"/>
      <c r="AT1616" s="10"/>
      <c r="AU1616" s="10"/>
      <c r="AV1616" s="10"/>
      <c r="AW1616" s="10"/>
      <c r="AX1616" s="10"/>
      <c r="AY1616" s="10"/>
      <c r="AZ1616" s="10"/>
      <c r="BA1616" s="10"/>
      <c r="BB1616" s="10"/>
      <c r="BC1616" s="10"/>
      <c r="BD1616" s="10"/>
      <c r="BE1616" s="10"/>
      <c r="BF1616" s="10"/>
      <c r="BG1616" s="10"/>
      <c r="BH1616" s="10"/>
      <c r="BI1616" s="10"/>
      <c r="BJ1616" s="10"/>
      <c r="BK1616" s="10"/>
      <c r="BL1616" s="10"/>
      <c r="BM1616" s="10"/>
      <c r="BN1616" s="10"/>
      <c r="BO1616" s="10"/>
      <c r="BP1616" s="10"/>
      <c r="BQ1616" s="10"/>
      <c r="BR1616" s="10"/>
      <c r="BS1616" s="10"/>
      <c r="BT1616" s="10"/>
      <c r="BU1616" s="10"/>
    </row>
    <row r="1617" spans="1:73" ht="18" x14ac:dyDescent="0.35">
      <c r="A1617" s="43"/>
      <c r="C1617" s="393"/>
      <c r="E1617" s="394"/>
      <c r="F1617" s="394">
        <v>0</v>
      </c>
      <c r="G1617" s="394"/>
      <c r="H1617" s="8" t="s">
        <v>235</v>
      </c>
      <c r="I1617" s="368">
        <f t="shared" si="76"/>
        <v>0</v>
      </c>
      <c r="J1617" s="365">
        <f t="shared" si="75"/>
        <v>0</v>
      </c>
      <c r="K1617" s="369">
        <f t="shared" si="77"/>
        <v>6</v>
      </c>
      <c r="L1617" s="369">
        <f>+IF((C1617&gt;='Resultats - informe'!$E$16)*(C1617&lt;='Resultats - informe'!$G$16),1,0)</f>
        <v>1</v>
      </c>
      <c r="M1617" s="369" cm="1">
        <f t="array" ref="M1617">+_xlfn.IFS((C1617&gt;='Resultats - informe'!$D$26)*(C1617&lt;='Resultats - informe'!$E$26),0,(C1617&gt;='Resultats - informe'!$D$27)*(C1617&lt;='Resultats - informe'!$E$27),0,(C1617&gt;='Resultats - informe'!$D$28)*(C1617&lt;='Resultats - informe'!$E$28),0,(C1617&gt;='Resultats - informe'!$D$29)*(C1617&lt;='Resultats - informe'!$E$29),0,1,1)</f>
        <v>0</v>
      </c>
      <c r="N1617" s="366">
        <f>+VLOOKUP(D1617,'Resultats - informe'!$Y$18:$AG$42,'Introducció dades consum'!K1617+1,0)</f>
        <v>0</v>
      </c>
      <c r="O1617" s="370" cm="1">
        <f t="array" ref="O1617">+_xlfn.SWITCH(MONTH(C1617),1,1,2,1,3,1,4,2,5,2,6,3,7,3,8,3,9,3,10,2,11,2,12,1,2)</f>
        <v>1</v>
      </c>
      <c r="P1617" s="43"/>
      <c r="AS1617" s="10"/>
      <c r="AT1617" s="10"/>
      <c r="AU1617" s="10"/>
      <c r="AV1617" s="10"/>
      <c r="AW1617" s="10"/>
      <c r="AX1617" s="10"/>
      <c r="AY1617" s="10"/>
      <c r="AZ1617" s="10"/>
      <c r="BA1617" s="10"/>
      <c r="BB1617" s="10"/>
      <c r="BC1617" s="10"/>
      <c r="BD1617" s="10"/>
      <c r="BE1617" s="10"/>
      <c r="BF1617" s="10"/>
      <c r="BG1617" s="10"/>
      <c r="BH1617" s="10"/>
      <c r="BI1617" s="10"/>
      <c r="BJ1617" s="10"/>
      <c r="BK1617" s="10"/>
      <c r="BL1617" s="10"/>
      <c r="BM1617" s="10"/>
      <c r="BN1617" s="10"/>
      <c r="BO1617" s="10"/>
      <c r="BP1617" s="10"/>
      <c r="BQ1617" s="10"/>
      <c r="BR1617" s="10"/>
      <c r="BS1617" s="10"/>
      <c r="BT1617" s="10"/>
      <c r="BU1617" s="10"/>
    </row>
    <row r="1618" spans="1:73" ht="18" x14ac:dyDescent="0.35">
      <c r="A1618" s="43"/>
      <c r="C1618" s="393"/>
      <c r="E1618" s="394"/>
      <c r="F1618" s="394">
        <v>0</v>
      </c>
      <c r="G1618" s="394"/>
      <c r="H1618" s="8" t="s">
        <v>235</v>
      </c>
      <c r="I1618" s="368">
        <f t="shared" si="76"/>
        <v>0</v>
      </c>
      <c r="J1618" s="365">
        <f t="shared" si="75"/>
        <v>0</v>
      </c>
      <c r="K1618" s="369">
        <f t="shared" si="77"/>
        <v>6</v>
      </c>
      <c r="L1618" s="369">
        <f>+IF((C1618&gt;='Resultats - informe'!$E$16)*(C1618&lt;='Resultats - informe'!$G$16),1,0)</f>
        <v>1</v>
      </c>
      <c r="M1618" s="369" cm="1">
        <f t="array" ref="M1618">+_xlfn.IFS((C1618&gt;='Resultats - informe'!$D$26)*(C1618&lt;='Resultats - informe'!$E$26),0,(C1618&gt;='Resultats - informe'!$D$27)*(C1618&lt;='Resultats - informe'!$E$27),0,(C1618&gt;='Resultats - informe'!$D$28)*(C1618&lt;='Resultats - informe'!$E$28),0,(C1618&gt;='Resultats - informe'!$D$29)*(C1618&lt;='Resultats - informe'!$E$29),0,1,1)</f>
        <v>0</v>
      </c>
      <c r="N1618" s="366">
        <f>+VLOOKUP(D1618,'Resultats - informe'!$Y$18:$AG$42,'Introducció dades consum'!K1618+1,0)</f>
        <v>0</v>
      </c>
      <c r="O1618" s="370" cm="1">
        <f t="array" ref="O1618">+_xlfn.SWITCH(MONTH(C1618),1,1,2,1,3,1,4,2,5,2,6,3,7,3,8,3,9,3,10,2,11,2,12,1,2)</f>
        <v>1</v>
      </c>
      <c r="P1618" s="43"/>
      <c r="AS1618" s="10"/>
      <c r="AT1618" s="10"/>
      <c r="AU1618" s="10"/>
      <c r="AV1618" s="10"/>
      <c r="AW1618" s="10"/>
      <c r="AX1618" s="10"/>
      <c r="AY1618" s="10"/>
      <c r="AZ1618" s="10"/>
      <c r="BA1618" s="10"/>
      <c r="BB1618" s="10"/>
      <c r="BC1618" s="10"/>
      <c r="BD1618" s="10"/>
      <c r="BE1618" s="10"/>
      <c r="BF1618" s="10"/>
      <c r="BG1618" s="10"/>
      <c r="BH1618" s="10"/>
      <c r="BI1618" s="10"/>
      <c r="BJ1618" s="10"/>
      <c r="BK1618" s="10"/>
      <c r="BL1618" s="10"/>
      <c r="BM1618" s="10"/>
      <c r="BN1618" s="10"/>
      <c r="BO1618" s="10"/>
      <c r="BP1618" s="10"/>
      <c r="BQ1618" s="10"/>
      <c r="BR1618" s="10"/>
      <c r="BS1618" s="10"/>
      <c r="BT1618" s="10"/>
      <c r="BU1618" s="10"/>
    </row>
    <row r="1619" spans="1:73" ht="18" x14ac:dyDescent="0.35">
      <c r="A1619" s="43"/>
      <c r="C1619" s="393"/>
      <c r="E1619" s="394"/>
      <c r="F1619" s="394">
        <v>5.2999999999999999E-2</v>
      </c>
      <c r="G1619" s="394"/>
      <c r="H1619" s="8" t="s">
        <v>235</v>
      </c>
      <c r="I1619" s="368">
        <f t="shared" si="76"/>
        <v>0</v>
      </c>
      <c r="J1619" s="365">
        <f t="shared" si="75"/>
        <v>0</v>
      </c>
      <c r="K1619" s="369">
        <f t="shared" si="77"/>
        <v>6</v>
      </c>
      <c r="L1619" s="369">
        <f>+IF((C1619&gt;='Resultats - informe'!$E$16)*(C1619&lt;='Resultats - informe'!$G$16),1,0)</f>
        <v>1</v>
      </c>
      <c r="M1619" s="369" cm="1">
        <f t="array" ref="M1619">+_xlfn.IFS((C1619&gt;='Resultats - informe'!$D$26)*(C1619&lt;='Resultats - informe'!$E$26),0,(C1619&gt;='Resultats - informe'!$D$27)*(C1619&lt;='Resultats - informe'!$E$27),0,(C1619&gt;='Resultats - informe'!$D$28)*(C1619&lt;='Resultats - informe'!$E$28),0,(C1619&gt;='Resultats - informe'!$D$29)*(C1619&lt;='Resultats - informe'!$E$29),0,1,1)</f>
        <v>0</v>
      </c>
      <c r="N1619" s="366">
        <f>+VLOOKUP(D1619,'Resultats - informe'!$Y$18:$AG$42,'Introducció dades consum'!K1619+1,0)</f>
        <v>0</v>
      </c>
      <c r="O1619" s="370" cm="1">
        <f t="array" ref="O1619">+_xlfn.SWITCH(MONTH(C1619),1,1,2,1,3,1,4,2,5,2,6,3,7,3,8,3,9,3,10,2,11,2,12,1,2)</f>
        <v>1</v>
      </c>
      <c r="P1619" s="43"/>
      <c r="AS1619" s="10"/>
      <c r="AT1619" s="10"/>
      <c r="AU1619" s="10"/>
      <c r="AV1619" s="10"/>
      <c r="AW1619" s="10"/>
      <c r="AX1619" s="10"/>
      <c r="AY1619" s="10"/>
      <c r="AZ1619" s="10"/>
      <c r="BA1619" s="10"/>
      <c r="BB1619" s="10"/>
      <c r="BC1619" s="10"/>
      <c r="BD1619" s="10"/>
      <c r="BE1619" s="10"/>
      <c r="BF1619" s="10"/>
      <c r="BG1619" s="10"/>
      <c r="BH1619" s="10"/>
      <c r="BI1619" s="10"/>
      <c r="BJ1619" s="10"/>
      <c r="BK1619" s="10"/>
      <c r="BL1619" s="10"/>
      <c r="BM1619" s="10"/>
      <c r="BN1619" s="10"/>
      <c r="BO1619" s="10"/>
      <c r="BP1619" s="10"/>
      <c r="BQ1619" s="10"/>
      <c r="BR1619" s="10"/>
      <c r="BS1619" s="10"/>
      <c r="BT1619" s="10"/>
      <c r="BU1619" s="10"/>
    </row>
    <row r="1620" spans="1:73" ht="18" x14ac:dyDescent="0.35">
      <c r="A1620" s="43"/>
      <c r="C1620" s="393"/>
      <c r="E1620" s="394"/>
      <c r="F1620" s="394">
        <v>0</v>
      </c>
      <c r="G1620" s="394"/>
      <c r="H1620" s="8" t="s">
        <v>235</v>
      </c>
      <c r="I1620" s="368">
        <f t="shared" si="76"/>
        <v>0</v>
      </c>
      <c r="J1620" s="365">
        <f t="shared" si="75"/>
        <v>0</v>
      </c>
      <c r="K1620" s="369">
        <f t="shared" si="77"/>
        <v>6</v>
      </c>
      <c r="L1620" s="369">
        <f>+IF((C1620&gt;='Resultats - informe'!$E$16)*(C1620&lt;='Resultats - informe'!$G$16),1,0)</f>
        <v>1</v>
      </c>
      <c r="M1620" s="369" cm="1">
        <f t="array" ref="M1620">+_xlfn.IFS((C1620&gt;='Resultats - informe'!$D$26)*(C1620&lt;='Resultats - informe'!$E$26),0,(C1620&gt;='Resultats - informe'!$D$27)*(C1620&lt;='Resultats - informe'!$E$27),0,(C1620&gt;='Resultats - informe'!$D$28)*(C1620&lt;='Resultats - informe'!$E$28),0,(C1620&gt;='Resultats - informe'!$D$29)*(C1620&lt;='Resultats - informe'!$E$29),0,1,1)</f>
        <v>0</v>
      </c>
      <c r="N1620" s="366">
        <f>+VLOOKUP(D1620,'Resultats - informe'!$Y$18:$AG$42,'Introducció dades consum'!K1620+1,0)</f>
        <v>0</v>
      </c>
      <c r="O1620" s="370" cm="1">
        <f t="array" ref="O1620">+_xlfn.SWITCH(MONTH(C1620),1,1,2,1,3,1,4,2,5,2,6,3,7,3,8,3,9,3,10,2,11,2,12,1,2)</f>
        <v>1</v>
      </c>
      <c r="P1620" s="43"/>
      <c r="AS1620" s="10"/>
      <c r="AT1620" s="10"/>
      <c r="AU1620" s="10"/>
      <c r="AV1620" s="10"/>
      <c r="AW1620" s="10"/>
      <c r="AX1620" s="10"/>
      <c r="AY1620" s="10"/>
      <c r="AZ1620" s="10"/>
      <c r="BA1620" s="10"/>
      <c r="BB1620" s="10"/>
      <c r="BC1620" s="10"/>
      <c r="BD1620" s="10"/>
      <c r="BE1620" s="10"/>
      <c r="BF1620" s="10"/>
      <c r="BG1620" s="10"/>
      <c r="BH1620" s="10"/>
      <c r="BI1620" s="10"/>
      <c r="BJ1620" s="10"/>
      <c r="BK1620" s="10"/>
      <c r="BL1620" s="10"/>
      <c r="BM1620" s="10"/>
      <c r="BN1620" s="10"/>
      <c r="BO1620" s="10"/>
      <c r="BP1620" s="10"/>
      <c r="BQ1620" s="10"/>
      <c r="BR1620" s="10"/>
      <c r="BS1620" s="10"/>
      <c r="BT1620" s="10"/>
      <c r="BU1620" s="10"/>
    </row>
    <row r="1621" spans="1:73" ht="18" x14ac:dyDescent="0.35">
      <c r="A1621" s="43"/>
      <c r="C1621" s="393"/>
      <c r="E1621" s="394"/>
      <c r="F1621" s="394">
        <v>1.554</v>
      </c>
      <c r="G1621" s="394"/>
      <c r="H1621" s="8" t="s">
        <v>235</v>
      </c>
      <c r="I1621" s="368">
        <f t="shared" si="76"/>
        <v>0</v>
      </c>
      <c r="J1621" s="365">
        <f t="shared" si="75"/>
        <v>0</v>
      </c>
      <c r="K1621" s="369">
        <f t="shared" si="77"/>
        <v>6</v>
      </c>
      <c r="L1621" s="369">
        <f>+IF((C1621&gt;='Resultats - informe'!$E$16)*(C1621&lt;='Resultats - informe'!$G$16),1,0)</f>
        <v>1</v>
      </c>
      <c r="M1621" s="369" cm="1">
        <f t="array" ref="M1621">+_xlfn.IFS((C1621&gt;='Resultats - informe'!$D$26)*(C1621&lt;='Resultats - informe'!$E$26),0,(C1621&gt;='Resultats - informe'!$D$27)*(C1621&lt;='Resultats - informe'!$E$27),0,(C1621&gt;='Resultats - informe'!$D$28)*(C1621&lt;='Resultats - informe'!$E$28),0,(C1621&gt;='Resultats - informe'!$D$29)*(C1621&lt;='Resultats - informe'!$E$29),0,1,1)</f>
        <v>0</v>
      </c>
      <c r="N1621" s="366">
        <f>+VLOOKUP(D1621,'Resultats - informe'!$Y$18:$AG$42,'Introducció dades consum'!K1621+1,0)</f>
        <v>0</v>
      </c>
      <c r="O1621" s="370" cm="1">
        <f t="array" ref="O1621">+_xlfn.SWITCH(MONTH(C1621),1,1,2,1,3,1,4,2,5,2,6,3,7,3,8,3,9,3,10,2,11,2,12,1,2)</f>
        <v>1</v>
      </c>
      <c r="P1621" s="43"/>
      <c r="AS1621" s="10"/>
      <c r="AT1621" s="10"/>
      <c r="AU1621" s="10"/>
      <c r="AV1621" s="10"/>
      <c r="AW1621" s="10"/>
      <c r="AX1621" s="10"/>
      <c r="AY1621" s="10"/>
      <c r="AZ1621" s="10"/>
      <c r="BA1621" s="10"/>
      <c r="BB1621" s="10"/>
      <c r="BC1621" s="10"/>
      <c r="BD1621" s="10"/>
      <c r="BE1621" s="10"/>
      <c r="BF1621" s="10"/>
      <c r="BG1621" s="10"/>
      <c r="BH1621" s="10"/>
      <c r="BI1621" s="10"/>
      <c r="BJ1621" s="10"/>
      <c r="BK1621" s="10"/>
      <c r="BL1621" s="10"/>
      <c r="BM1621" s="10"/>
      <c r="BN1621" s="10"/>
      <c r="BO1621" s="10"/>
      <c r="BP1621" s="10"/>
      <c r="BQ1621" s="10"/>
      <c r="BR1621" s="10"/>
      <c r="BS1621" s="10"/>
      <c r="BT1621" s="10"/>
      <c r="BU1621" s="10"/>
    </row>
    <row r="1622" spans="1:73" ht="18" x14ac:dyDescent="0.35">
      <c r="A1622" s="43"/>
      <c r="C1622" s="393"/>
      <c r="E1622" s="394"/>
      <c r="F1622" s="394">
        <v>2.1779999999999999</v>
      </c>
      <c r="G1622" s="394"/>
      <c r="H1622" s="8" t="s">
        <v>235</v>
      </c>
      <c r="I1622" s="368">
        <f t="shared" si="76"/>
        <v>0</v>
      </c>
      <c r="J1622" s="365">
        <f t="shared" si="75"/>
        <v>0</v>
      </c>
      <c r="K1622" s="369">
        <f t="shared" si="77"/>
        <v>6</v>
      </c>
      <c r="L1622" s="369">
        <f>+IF((C1622&gt;='Resultats - informe'!$E$16)*(C1622&lt;='Resultats - informe'!$G$16),1,0)</f>
        <v>1</v>
      </c>
      <c r="M1622" s="369" cm="1">
        <f t="array" ref="M1622">+_xlfn.IFS((C1622&gt;='Resultats - informe'!$D$26)*(C1622&lt;='Resultats - informe'!$E$26),0,(C1622&gt;='Resultats - informe'!$D$27)*(C1622&lt;='Resultats - informe'!$E$27),0,(C1622&gt;='Resultats - informe'!$D$28)*(C1622&lt;='Resultats - informe'!$E$28),0,(C1622&gt;='Resultats - informe'!$D$29)*(C1622&lt;='Resultats - informe'!$E$29),0,1,1)</f>
        <v>0</v>
      </c>
      <c r="N1622" s="366">
        <f>+VLOOKUP(D1622,'Resultats - informe'!$Y$18:$AG$42,'Introducció dades consum'!K1622+1,0)</f>
        <v>0</v>
      </c>
      <c r="O1622" s="370" cm="1">
        <f t="array" ref="O1622">+_xlfn.SWITCH(MONTH(C1622),1,1,2,1,3,1,4,2,5,2,6,3,7,3,8,3,9,3,10,2,11,2,12,1,2)</f>
        <v>1</v>
      </c>
      <c r="P1622" s="43"/>
      <c r="AS1622" s="10"/>
      <c r="AT1622" s="10"/>
      <c r="AU1622" s="10"/>
      <c r="AV1622" s="10"/>
      <c r="AW1622" s="10"/>
      <c r="AX1622" s="10"/>
      <c r="AY1622" s="10"/>
      <c r="AZ1622" s="10"/>
      <c r="BA1622" s="10"/>
      <c r="BB1622" s="10"/>
      <c r="BC1622" s="10"/>
      <c r="BD1622" s="10"/>
      <c r="BE1622" s="10"/>
      <c r="BF1622" s="10"/>
      <c r="BG1622" s="10"/>
      <c r="BH1622" s="10"/>
      <c r="BI1622" s="10"/>
      <c r="BJ1622" s="10"/>
      <c r="BK1622" s="10"/>
      <c r="BL1622" s="10"/>
      <c r="BM1622" s="10"/>
      <c r="BN1622" s="10"/>
      <c r="BO1622" s="10"/>
      <c r="BP1622" s="10"/>
      <c r="BQ1622" s="10"/>
      <c r="BR1622" s="10"/>
      <c r="BS1622" s="10"/>
      <c r="BT1622" s="10"/>
      <c r="BU1622" s="10"/>
    </row>
    <row r="1623" spans="1:73" ht="18" x14ac:dyDescent="0.35">
      <c r="A1623" s="43"/>
      <c r="C1623" s="393"/>
      <c r="E1623" s="394"/>
      <c r="F1623" s="394">
        <v>0.16800000000000001</v>
      </c>
      <c r="G1623" s="394"/>
      <c r="H1623" s="8" t="s">
        <v>61</v>
      </c>
      <c r="I1623" s="368">
        <f t="shared" si="76"/>
        <v>0</v>
      </c>
      <c r="J1623" s="365">
        <f t="shared" si="75"/>
        <v>0</v>
      </c>
      <c r="K1623" s="369">
        <f t="shared" si="77"/>
        <v>6</v>
      </c>
      <c r="L1623" s="369">
        <f>+IF((C1623&gt;='Resultats - informe'!$E$16)*(C1623&lt;='Resultats - informe'!$G$16),1,0)</f>
        <v>1</v>
      </c>
      <c r="M1623" s="369" cm="1">
        <f t="array" ref="M1623">+_xlfn.IFS((C1623&gt;='Resultats - informe'!$D$26)*(C1623&lt;='Resultats - informe'!$E$26),0,(C1623&gt;='Resultats - informe'!$D$27)*(C1623&lt;='Resultats - informe'!$E$27),0,(C1623&gt;='Resultats - informe'!$D$28)*(C1623&lt;='Resultats - informe'!$E$28),0,(C1623&gt;='Resultats - informe'!$D$29)*(C1623&lt;='Resultats - informe'!$E$29),0,1,1)</f>
        <v>0</v>
      </c>
      <c r="N1623" s="366">
        <f>+VLOOKUP(D1623,'Resultats - informe'!$Y$18:$AG$42,'Introducció dades consum'!K1623+1,0)</f>
        <v>0</v>
      </c>
      <c r="O1623" s="370" cm="1">
        <f t="array" ref="O1623">+_xlfn.SWITCH(MONTH(C1623),1,1,2,1,3,1,4,2,5,2,6,3,7,3,8,3,9,3,10,2,11,2,12,1,2)</f>
        <v>1</v>
      </c>
      <c r="P1623" s="43"/>
      <c r="AS1623" s="10"/>
      <c r="AT1623" s="10"/>
      <c r="AU1623" s="10"/>
      <c r="AV1623" s="10"/>
      <c r="AW1623" s="10"/>
      <c r="AX1623" s="10"/>
      <c r="AY1623" s="10"/>
      <c r="AZ1623" s="10"/>
      <c r="BA1623" s="10"/>
      <c r="BB1623" s="10"/>
      <c r="BC1623" s="10"/>
      <c r="BD1623" s="10"/>
      <c r="BE1623" s="10"/>
      <c r="BF1623" s="10"/>
      <c r="BG1623" s="10"/>
      <c r="BH1623" s="10"/>
      <c r="BI1623" s="10"/>
      <c r="BJ1623" s="10"/>
      <c r="BK1623" s="10"/>
      <c r="BL1623" s="10"/>
      <c r="BM1623" s="10"/>
      <c r="BN1623" s="10"/>
      <c r="BO1623" s="10"/>
      <c r="BP1623" s="10"/>
      <c r="BQ1623" s="10"/>
      <c r="BR1623" s="10"/>
      <c r="BS1623" s="10"/>
      <c r="BT1623" s="10"/>
      <c r="BU1623" s="10"/>
    </row>
    <row r="1624" spans="1:73" ht="18" x14ac:dyDescent="0.35">
      <c r="A1624" s="43"/>
      <c r="C1624" s="393"/>
      <c r="E1624" s="394"/>
      <c r="F1624" s="394">
        <v>2.8069999999999999</v>
      </c>
      <c r="G1624" s="394"/>
      <c r="H1624" s="8" t="s">
        <v>235</v>
      </c>
      <c r="I1624" s="368">
        <f t="shared" si="76"/>
        <v>0</v>
      </c>
      <c r="J1624" s="365">
        <f t="shared" si="75"/>
        <v>0</v>
      </c>
      <c r="K1624" s="369">
        <f t="shared" si="77"/>
        <v>6</v>
      </c>
      <c r="L1624" s="369">
        <f>+IF((C1624&gt;='Resultats - informe'!$E$16)*(C1624&lt;='Resultats - informe'!$G$16),1,0)</f>
        <v>1</v>
      </c>
      <c r="M1624" s="369" cm="1">
        <f t="array" ref="M1624">+_xlfn.IFS((C1624&gt;='Resultats - informe'!$D$26)*(C1624&lt;='Resultats - informe'!$E$26),0,(C1624&gt;='Resultats - informe'!$D$27)*(C1624&lt;='Resultats - informe'!$E$27),0,(C1624&gt;='Resultats - informe'!$D$28)*(C1624&lt;='Resultats - informe'!$E$28),0,(C1624&gt;='Resultats - informe'!$D$29)*(C1624&lt;='Resultats - informe'!$E$29),0,1,1)</f>
        <v>0</v>
      </c>
      <c r="N1624" s="366">
        <f>+VLOOKUP(D1624,'Resultats - informe'!$Y$18:$AG$42,'Introducció dades consum'!K1624+1,0)</f>
        <v>0</v>
      </c>
      <c r="O1624" s="370" cm="1">
        <f t="array" ref="O1624">+_xlfn.SWITCH(MONTH(C1624),1,1,2,1,3,1,4,2,5,2,6,3,7,3,8,3,9,3,10,2,11,2,12,1,2)</f>
        <v>1</v>
      </c>
      <c r="P1624" s="43"/>
      <c r="AS1624" s="10"/>
      <c r="AT1624" s="10"/>
      <c r="AU1624" s="10"/>
      <c r="AV1624" s="10"/>
      <c r="AW1624" s="10"/>
      <c r="AX1624" s="10"/>
      <c r="AY1624" s="10"/>
      <c r="AZ1624" s="10"/>
      <c r="BA1624" s="10"/>
      <c r="BB1624" s="10"/>
      <c r="BC1624" s="10"/>
      <c r="BD1624" s="10"/>
      <c r="BE1624" s="10"/>
      <c r="BF1624" s="10"/>
      <c r="BG1624" s="10"/>
      <c r="BH1624" s="10"/>
      <c r="BI1624" s="10"/>
      <c r="BJ1624" s="10"/>
      <c r="BK1624" s="10"/>
      <c r="BL1624" s="10"/>
      <c r="BM1624" s="10"/>
      <c r="BN1624" s="10"/>
      <c r="BO1624" s="10"/>
      <c r="BP1624" s="10"/>
      <c r="BQ1624" s="10"/>
      <c r="BR1624" s="10"/>
      <c r="BS1624" s="10"/>
      <c r="BT1624" s="10"/>
      <c r="BU1624" s="10"/>
    </row>
    <row r="1625" spans="1:73" ht="18" x14ac:dyDescent="0.35">
      <c r="A1625" s="43"/>
      <c r="C1625" s="393"/>
      <c r="E1625" s="394"/>
      <c r="F1625" s="394">
        <v>2.6659999999999999</v>
      </c>
      <c r="G1625" s="394"/>
      <c r="H1625" s="8" t="s">
        <v>235</v>
      </c>
      <c r="I1625" s="368">
        <f t="shared" si="76"/>
        <v>0</v>
      </c>
      <c r="J1625" s="365">
        <f t="shared" si="75"/>
        <v>0</v>
      </c>
      <c r="K1625" s="369">
        <f t="shared" si="77"/>
        <v>6</v>
      </c>
      <c r="L1625" s="369">
        <f>+IF((C1625&gt;='Resultats - informe'!$E$16)*(C1625&lt;='Resultats - informe'!$G$16),1,0)</f>
        <v>1</v>
      </c>
      <c r="M1625" s="369" cm="1">
        <f t="array" ref="M1625">+_xlfn.IFS((C1625&gt;='Resultats - informe'!$D$26)*(C1625&lt;='Resultats - informe'!$E$26),0,(C1625&gt;='Resultats - informe'!$D$27)*(C1625&lt;='Resultats - informe'!$E$27),0,(C1625&gt;='Resultats - informe'!$D$28)*(C1625&lt;='Resultats - informe'!$E$28),0,(C1625&gt;='Resultats - informe'!$D$29)*(C1625&lt;='Resultats - informe'!$E$29),0,1,1)</f>
        <v>0</v>
      </c>
      <c r="N1625" s="366">
        <f>+VLOOKUP(D1625,'Resultats - informe'!$Y$18:$AG$42,'Introducció dades consum'!K1625+1,0)</f>
        <v>0</v>
      </c>
      <c r="O1625" s="370" cm="1">
        <f t="array" ref="O1625">+_xlfn.SWITCH(MONTH(C1625),1,1,2,1,3,1,4,2,5,2,6,3,7,3,8,3,9,3,10,2,11,2,12,1,2)</f>
        <v>1</v>
      </c>
      <c r="P1625" s="43"/>
      <c r="AS1625" s="10"/>
      <c r="AT1625" s="10"/>
      <c r="AU1625" s="10"/>
      <c r="AV1625" s="10"/>
      <c r="AW1625" s="10"/>
      <c r="AX1625" s="10"/>
      <c r="AY1625" s="10"/>
      <c r="AZ1625" s="10"/>
      <c r="BA1625" s="10"/>
      <c r="BB1625" s="10"/>
      <c r="BC1625" s="10"/>
      <c r="BD1625" s="10"/>
      <c r="BE1625" s="10"/>
      <c r="BF1625" s="10"/>
      <c r="BG1625" s="10"/>
      <c r="BH1625" s="10"/>
      <c r="BI1625" s="10"/>
      <c r="BJ1625" s="10"/>
      <c r="BK1625" s="10"/>
      <c r="BL1625" s="10"/>
      <c r="BM1625" s="10"/>
      <c r="BN1625" s="10"/>
      <c r="BO1625" s="10"/>
      <c r="BP1625" s="10"/>
      <c r="BQ1625" s="10"/>
      <c r="BR1625" s="10"/>
      <c r="BS1625" s="10"/>
      <c r="BT1625" s="10"/>
      <c r="BU1625" s="10"/>
    </row>
    <row r="1626" spans="1:73" ht="18" x14ac:dyDescent="0.35">
      <c r="A1626" s="43"/>
      <c r="C1626" s="393"/>
      <c r="E1626" s="394"/>
      <c r="F1626" s="394">
        <v>2.0659999999999998</v>
      </c>
      <c r="G1626" s="394"/>
      <c r="H1626" s="8" t="s">
        <v>61</v>
      </c>
      <c r="I1626" s="368">
        <f t="shared" si="76"/>
        <v>0</v>
      </c>
      <c r="J1626" s="365">
        <f t="shared" si="75"/>
        <v>0</v>
      </c>
      <c r="K1626" s="369">
        <f t="shared" si="77"/>
        <v>6</v>
      </c>
      <c r="L1626" s="369">
        <f>+IF((C1626&gt;='Resultats - informe'!$E$16)*(C1626&lt;='Resultats - informe'!$G$16),1,0)</f>
        <v>1</v>
      </c>
      <c r="M1626" s="369" cm="1">
        <f t="array" ref="M1626">+_xlfn.IFS((C1626&gt;='Resultats - informe'!$D$26)*(C1626&lt;='Resultats - informe'!$E$26),0,(C1626&gt;='Resultats - informe'!$D$27)*(C1626&lt;='Resultats - informe'!$E$27),0,(C1626&gt;='Resultats - informe'!$D$28)*(C1626&lt;='Resultats - informe'!$E$28),0,(C1626&gt;='Resultats - informe'!$D$29)*(C1626&lt;='Resultats - informe'!$E$29),0,1,1)</f>
        <v>0</v>
      </c>
      <c r="N1626" s="366">
        <f>+VLOOKUP(D1626,'Resultats - informe'!$Y$18:$AG$42,'Introducció dades consum'!K1626+1,0)</f>
        <v>0</v>
      </c>
      <c r="O1626" s="370" cm="1">
        <f t="array" ref="O1626">+_xlfn.SWITCH(MONTH(C1626),1,1,2,1,3,1,4,2,5,2,6,3,7,3,8,3,9,3,10,2,11,2,12,1,2)</f>
        <v>1</v>
      </c>
      <c r="P1626" s="43"/>
      <c r="AS1626" s="10"/>
      <c r="AT1626" s="10"/>
      <c r="AU1626" s="10"/>
      <c r="AV1626" s="10"/>
      <c r="AW1626" s="10"/>
      <c r="AX1626" s="10"/>
      <c r="AY1626" s="10"/>
      <c r="AZ1626" s="10"/>
      <c r="BA1626" s="10"/>
      <c r="BB1626" s="10"/>
      <c r="BC1626" s="10"/>
      <c r="BD1626" s="10"/>
      <c r="BE1626" s="10"/>
      <c r="BF1626" s="10"/>
      <c r="BG1626" s="10"/>
      <c r="BH1626" s="10"/>
      <c r="BI1626" s="10"/>
      <c r="BJ1626" s="10"/>
      <c r="BK1626" s="10"/>
      <c r="BL1626" s="10"/>
      <c r="BM1626" s="10"/>
      <c r="BN1626" s="10"/>
      <c r="BO1626" s="10"/>
      <c r="BP1626" s="10"/>
      <c r="BQ1626" s="10"/>
      <c r="BR1626" s="10"/>
      <c r="BS1626" s="10"/>
      <c r="BT1626" s="10"/>
      <c r="BU1626" s="10"/>
    </row>
    <row r="1627" spans="1:73" ht="18" x14ac:dyDescent="0.35">
      <c r="A1627" s="43"/>
      <c r="C1627" s="393"/>
      <c r="E1627" s="394"/>
      <c r="F1627" s="394">
        <v>3.83</v>
      </c>
      <c r="G1627" s="394"/>
      <c r="H1627" s="8" t="s">
        <v>61</v>
      </c>
      <c r="I1627" s="368">
        <f t="shared" si="76"/>
        <v>0</v>
      </c>
      <c r="J1627" s="365">
        <f t="shared" si="75"/>
        <v>0</v>
      </c>
      <c r="K1627" s="369">
        <f t="shared" si="77"/>
        <v>6</v>
      </c>
      <c r="L1627" s="369">
        <f>+IF((C1627&gt;='Resultats - informe'!$E$16)*(C1627&lt;='Resultats - informe'!$G$16),1,0)</f>
        <v>1</v>
      </c>
      <c r="M1627" s="369" cm="1">
        <f t="array" ref="M1627">+_xlfn.IFS((C1627&gt;='Resultats - informe'!$D$26)*(C1627&lt;='Resultats - informe'!$E$26),0,(C1627&gt;='Resultats - informe'!$D$27)*(C1627&lt;='Resultats - informe'!$E$27),0,(C1627&gt;='Resultats - informe'!$D$28)*(C1627&lt;='Resultats - informe'!$E$28),0,(C1627&gt;='Resultats - informe'!$D$29)*(C1627&lt;='Resultats - informe'!$E$29),0,1,1)</f>
        <v>0</v>
      </c>
      <c r="N1627" s="366">
        <f>+VLOOKUP(D1627,'Resultats - informe'!$Y$18:$AG$42,'Introducció dades consum'!K1627+1,0)</f>
        <v>0</v>
      </c>
      <c r="O1627" s="370" cm="1">
        <f t="array" ref="O1627">+_xlfn.SWITCH(MONTH(C1627),1,1,2,1,3,1,4,2,5,2,6,3,7,3,8,3,9,3,10,2,11,2,12,1,2)</f>
        <v>1</v>
      </c>
      <c r="P1627" s="43"/>
      <c r="AS1627" s="10"/>
      <c r="AT1627" s="10"/>
      <c r="AU1627" s="10"/>
      <c r="AV1627" s="10"/>
      <c r="AW1627" s="10"/>
      <c r="AX1627" s="10"/>
      <c r="AY1627" s="10"/>
      <c r="AZ1627" s="10"/>
      <c r="BA1627" s="10"/>
      <c r="BB1627" s="10"/>
      <c r="BC1627" s="10"/>
      <c r="BD1627" s="10"/>
      <c r="BE1627" s="10"/>
      <c r="BF1627" s="10"/>
      <c r="BG1627" s="10"/>
      <c r="BH1627" s="10"/>
      <c r="BI1627" s="10"/>
      <c r="BJ1627" s="10"/>
      <c r="BK1627" s="10"/>
      <c r="BL1627" s="10"/>
      <c r="BM1627" s="10"/>
      <c r="BN1627" s="10"/>
      <c r="BO1627" s="10"/>
      <c r="BP1627" s="10"/>
      <c r="BQ1627" s="10"/>
      <c r="BR1627" s="10"/>
      <c r="BS1627" s="10"/>
      <c r="BT1627" s="10"/>
      <c r="BU1627" s="10"/>
    </row>
    <row r="1628" spans="1:73" ht="18" x14ac:dyDescent="0.35">
      <c r="A1628" s="43"/>
      <c r="C1628" s="393"/>
      <c r="E1628" s="394"/>
      <c r="F1628" s="394">
        <v>0.76900000000000002</v>
      </c>
      <c r="G1628" s="394"/>
      <c r="H1628" s="8" t="s">
        <v>235</v>
      </c>
      <c r="I1628" s="368">
        <f t="shared" si="76"/>
        <v>0</v>
      </c>
      <c r="J1628" s="365">
        <f t="shared" si="75"/>
        <v>0</v>
      </c>
      <c r="K1628" s="369">
        <f t="shared" si="77"/>
        <v>6</v>
      </c>
      <c r="L1628" s="369">
        <f>+IF((C1628&gt;='Resultats - informe'!$E$16)*(C1628&lt;='Resultats - informe'!$G$16),1,0)</f>
        <v>1</v>
      </c>
      <c r="M1628" s="369" cm="1">
        <f t="array" ref="M1628">+_xlfn.IFS((C1628&gt;='Resultats - informe'!$D$26)*(C1628&lt;='Resultats - informe'!$E$26),0,(C1628&gt;='Resultats - informe'!$D$27)*(C1628&lt;='Resultats - informe'!$E$27),0,(C1628&gt;='Resultats - informe'!$D$28)*(C1628&lt;='Resultats - informe'!$E$28),0,(C1628&gt;='Resultats - informe'!$D$29)*(C1628&lt;='Resultats - informe'!$E$29),0,1,1)</f>
        <v>0</v>
      </c>
      <c r="N1628" s="366">
        <f>+VLOOKUP(D1628,'Resultats - informe'!$Y$18:$AG$42,'Introducció dades consum'!K1628+1,0)</f>
        <v>0</v>
      </c>
      <c r="O1628" s="370" cm="1">
        <f t="array" ref="O1628">+_xlfn.SWITCH(MONTH(C1628),1,1,2,1,3,1,4,2,5,2,6,3,7,3,8,3,9,3,10,2,11,2,12,1,2)</f>
        <v>1</v>
      </c>
      <c r="P1628" s="43"/>
      <c r="AS1628" s="10"/>
      <c r="AT1628" s="10"/>
      <c r="AU1628" s="10"/>
      <c r="AV1628" s="10"/>
      <c r="AW1628" s="10"/>
      <c r="AX1628" s="10"/>
      <c r="AY1628" s="10"/>
      <c r="AZ1628" s="10"/>
      <c r="BA1628" s="10"/>
      <c r="BB1628" s="10"/>
      <c r="BC1628" s="10"/>
      <c r="BD1628" s="10"/>
      <c r="BE1628" s="10"/>
      <c r="BF1628" s="10"/>
      <c r="BG1628" s="10"/>
      <c r="BH1628" s="10"/>
      <c r="BI1628" s="10"/>
      <c r="BJ1628" s="10"/>
      <c r="BK1628" s="10"/>
      <c r="BL1628" s="10"/>
      <c r="BM1628" s="10"/>
      <c r="BN1628" s="10"/>
      <c r="BO1628" s="10"/>
      <c r="BP1628" s="10"/>
      <c r="BQ1628" s="10"/>
      <c r="BR1628" s="10"/>
      <c r="BS1628" s="10"/>
      <c r="BT1628" s="10"/>
      <c r="BU1628" s="10"/>
    </row>
    <row r="1629" spans="1:73" ht="18" x14ac:dyDescent="0.35">
      <c r="A1629" s="43"/>
      <c r="C1629" s="393"/>
      <c r="E1629" s="394"/>
      <c r="F1629" s="394">
        <v>6.4000000000000001E-2</v>
      </c>
      <c r="G1629" s="394"/>
      <c r="H1629" s="8" t="s">
        <v>235</v>
      </c>
      <c r="I1629" s="368">
        <f t="shared" si="76"/>
        <v>0</v>
      </c>
      <c r="J1629" s="365">
        <f t="shared" si="75"/>
        <v>0</v>
      </c>
      <c r="K1629" s="369">
        <f t="shared" si="77"/>
        <v>6</v>
      </c>
      <c r="L1629" s="369">
        <f>+IF((C1629&gt;='Resultats - informe'!$E$16)*(C1629&lt;='Resultats - informe'!$G$16),1,0)</f>
        <v>1</v>
      </c>
      <c r="M1629" s="369" cm="1">
        <f t="array" ref="M1629">+_xlfn.IFS((C1629&gt;='Resultats - informe'!$D$26)*(C1629&lt;='Resultats - informe'!$E$26),0,(C1629&gt;='Resultats - informe'!$D$27)*(C1629&lt;='Resultats - informe'!$E$27),0,(C1629&gt;='Resultats - informe'!$D$28)*(C1629&lt;='Resultats - informe'!$E$28),0,(C1629&gt;='Resultats - informe'!$D$29)*(C1629&lt;='Resultats - informe'!$E$29),0,1,1)</f>
        <v>0</v>
      </c>
      <c r="N1629" s="366">
        <f>+VLOOKUP(D1629,'Resultats - informe'!$Y$18:$AG$42,'Introducció dades consum'!K1629+1,0)</f>
        <v>0</v>
      </c>
      <c r="O1629" s="370" cm="1">
        <f t="array" ref="O1629">+_xlfn.SWITCH(MONTH(C1629),1,1,2,1,3,1,4,2,5,2,6,3,7,3,8,3,9,3,10,2,11,2,12,1,2)</f>
        <v>1</v>
      </c>
      <c r="P1629" s="43"/>
      <c r="AS1629" s="10"/>
      <c r="AT1629" s="10"/>
      <c r="AU1629" s="10"/>
      <c r="AV1629" s="10"/>
      <c r="AW1629" s="10"/>
      <c r="AX1629" s="10"/>
      <c r="AY1629" s="10"/>
      <c r="AZ1629" s="10"/>
      <c r="BA1629" s="10"/>
      <c r="BB1629" s="10"/>
      <c r="BC1629" s="10"/>
      <c r="BD1629" s="10"/>
      <c r="BE1629" s="10"/>
      <c r="BF1629" s="10"/>
      <c r="BG1629" s="10"/>
      <c r="BH1629" s="10"/>
      <c r="BI1629" s="10"/>
      <c r="BJ1629" s="10"/>
      <c r="BK1629" s="10"/>
      <c r="BL1629" s="10"/>
      <c r="BM1629" s="10"/>
      <c r="BN1629" s="10"/>
      <c r="BO1629" s="10"/>
      <c r="BP1629" s="10"/>
      <c r="BQ1629" s="10"/>
      <c r="BR1629" s="10"/>
      <c r="BS1629" s="10"/>
      <c r="BT1629" s="10"/>
      <c r="BU1629" s="10"/>
    </row>
    <row r="1630" spans="1:73" ht="18" x14ac:dyDescent="0.35">
      <c r="A1630" s="43"/>
      <c r="C1630" s="393"/>
      <c r="E1630" s="394"/>
      <c r="F1630" s="394">
        <v>0</v>
      </c>
      <c r="G1630" s="394"/>
      <c r="H1630" s="8" t="s">
        <v>61</v>
      </c>
      <c r="I1630" s="368">
        <f t="shared" si="76"/>
        <v>0</v>
      </c>
      <c r="J1630" s="365">
        <f t="shared" si="75"/>
        <v>0</v>
      </c>
      <c r="K1630" s="369">
        <f t="shared" si="77"/>
        <v>6</v>
      </c>
      <c r="L1630" s="369">
        <f>+IF((C1630&gt;='Resultats - informe'!$E$16)*(C1630&lt;='Resultats - informe'!$G$16),1,0)</f>
        <v>1</v>
      </c>
      <c r="M1630" s="369" cm="1">
        <f t="array" ref="M1630">+_xlfn.IFS((C1630&gt;='Resultats - informe'!$D$26)*(C1630&lt;='Resultats - informe'!$E$26),0,(C1630&gt;='Resultats - informe'!$D$27)*(C1630&lt;='Resultats - informe'!$E$27),0,(C1630&gt;='Resultats - informe'!$D$28)*(C1630&lt;='Resultats - informe'!$E$28),0,(C1630&gt;='Resultats - informe'!$D$29)*(C1630&lt;='Resultats - informe'!$E$29),0,1,1)</f>
        <v>0</v>
      </c>
      <c r="N1630" s="366">
        <f>+VLOOKUP(D1630,'Resultats - informe'!$Y$18:$AG$42,'Introducció dades consum'!K1630+1,0)</f>
        <v>0</v>
      </c>
      <c r="O1630" s="370" cm="1">
        <f t="array" ref="O1630">+_xlfn.SWITCH(MONTH(C1630),1,1,2,1,3,1,4,2,5,2,6,3,7,3,8,3,9,3,10,2,11,2,12,1,2)</f>
        <v>1</v>
      </c>
      <c r="P1630" s="43"/>
      <c r="AS1630" s="10"/>
      <c r="AT1630" s="10"/>
      <c r="AU1630" s="10"/>
      <c r="AV1630" s="10"/>
      <c r="AW1630" s="10"/>
      <c r="AX1630" s="10"/>
      <c r="AY1630" s="10"/>
      <c r="AZ1630" s="10"/>
      <c r="BA1630" s="10"/>
      <c r="BB1630" s="10"/>
      <c r="BC1630" s="10"/>
      <c r="BD1630" s="10"/>
      <c r="BE1630" s="10"/>
      <c r="BF1630" s="10"/>
      <c r="BG1630" s="10"/>
      <c r="BH1630" s="10"/>
      <c r="BI1630" s="10"/>
      <c r="BJ1630" s="10"/>
      <c r="BK1630" s="10"/>
      <c r="BL1630" s="10"/>
      <c r="BM1630" s="10"/>
      <c r="BN1630" s="10"/>
      <c r="BO1630" s="10"/>
      <c r="BP1630" s="10"/>
      <c r="BQ1630" s="10"/>
      <c r="BR1630" s="10"/>
      <c r="BS1630" s="10"/>
      <c r="BT1630" s="10"/>
      <c r="BU1630" s="10"/>
    </row>
    <row r="1631" spans="1:73" ht="18" x14ac:dyDescent="0.35">
      <c r="A1631" s="43"/>
      <c r="C1631" s="393"/>
      <c r="E1631" s="394"/>
      <c r="F1631" s="394">
        <v>0</v>
      </c>
      <c r="G1631" s="394"/>
      <c r="H1631" s="8" t="s">
        <v>235</v>
      </c>
      <c r="I1631" s="368">
        <f t="shared" si="76"/>
        <v>0</v>
      </c>
      <c r="J1631" s="365">
        <f t="shared" si="75"/>
        <v>0</v>
      </c>
      <c r="K1631" s="369">
        <f t="shared" si="77"/>
        <v>6</v>
      </c>
      <c r="L1631" s="369">
        <f>+IF((C1631&gt;='Resultats - informe'!$E$16)*(C1631&lt;='Resultats - informe'!$G$16),1,0)</f>
        <v>1</v>
      </c>
      <c r="M1631" s="369" cm="1">
        <f t="array" ref="M1631">+_xlfn.IFS((C1631&gt;='Resultats - informe'!$D$26)*(C1631&lt;='Resultats - informe'!$E$26),0,(C1631&gt;='Resultats - informe'!$D$27)*(C1631&lt;='Resultats - informe'!$E$27),0,(C1631&gt;='Resultats - informe'!$D$28)*(C1631&lt;='Resultats - informe'!$E$28),0,(C1631&gt;='Resultats - informe'!$D$29)*(C1631&lt;='Resultats - informe'!$E$29),0,1,1)</f>
        <v>0</v>
      </c>
      <c r="N1631" s="366">
        <f>+VLOOKUP(D1631,'Resultats - informe'!$Y$18:$AG$42,'Introducció dades consum'!K1631+1,0)</f>
        <v>0</v>
      </c>
      <c r="O1631" s="370" cm="1">
        <f t="array" ref="O1631">+_xlfn.SWITCH(MONTH(C1631),1,1,2,1,3,1,4,2,5,2,6,3,7,3,8,3,9,3,10,2,11,2,12,1,2)</f>
        <v>1</v>
      </c>
      <c r="P1631" s="43"/>
      <c r="AS1631" s="10"/>
      <c r="AT1631" s="10"/>
      <c r="AU1631" s="10"/>
      <c r="AV1631" s="10"/>
      <c r="AW1631" s="10"/>
      <c r="AX1631" s="10"/>
      <c r="AY1631" s="10"/>
      <c r="AZ1631" s="10"/>
      <c r="BA1631" s="10"/>
      <c r="BB1631" s="10"/>
      <c r="BC1631" s="10"/>
      <c r="BD1631" s="10"/>
      <c r="BE1631" s="10"/>
      <c r="BF1631" s="10"/>
      <c r="BG1631" s="10"/>
      <c r="BH1631" s="10"/>
      <c r="BI1631" s="10"/>
      <c r="BJ1631" s="10"/>
      <c r="BK1631" s="10"/>
      <c r="BL1631" s="10"/>
      <c r="BM1631" s="10"/>
      <c r="BN1631" s="10"/>
      <c r="BO1631" s="10"/>
      <c r="BP1631" s="10"/>
      <c r="BQ1631" s="10"/>
      <c r="BR1631" s="10"/>
      <c r="BS1631" s="10"/>
      <c r="BT1631" s="10"/>
      <c r="BU1631" s="10"/>
    </row>
    <row r="1632" spans="1:73" ht="18" x14ac:dyDescent="0.35">
      <c r="A1632" s="43"/>
      <c r="C1632" s="393"/>
      <c r="E1632" s="394"/>
      <c r="F1632" s="394">
        <v>0</v>
      </c>
      <c r="G1632" s="394"/>
      <c r="H1632" s="8" t="s">
        <v>235</v>
      </c>
      <c r="I1632" s="368">
        <f t="shared" si="76"/>
        <v>0</v>
      </c>
      <c r="J1632" s="365">
        <f t="shared" si="75"/>
        <v>0</v>
      </c>
      <c r="K1632" s="369">
        <f t="shared" si="77"/>
        <v>6</v>
      </c>
      <c r="L1632" s="369">
        <f>+IF((C1632&gt;='Resultats - informe'!$E$16)*(C1632&lt;='Resultats - informe'!$G$16),1,0)</f>
        <v>1</v>
      </c>
      <c r="M1632" s="369" cm="1">
        <f t="array" ref="M1632">+_xlfn.IFS((C1632&gt;='Resultats - informe'!$D$26)*(C1632&lt;='Resultats - informe'!$E$26),0,(C1632&gt;='Resultats - informe'!$D$27)*(C1632&lt;='Resultats - informe'!$E$27),0,(C1632&gt;='Resultats - informe'!$D$28)*(C1632&lt;='Resultats - informe'!$E$28),0,(C1632&gt;='Resultats - informe'!$D$29)*(C1632&lt;='Resultats - informe'!$E$29),0,1,1)</f>
        <v>0</v>
      </c>
      <c r="N1632" s="366">
        <f>+VLOOKUP(D1632,'Resultats - informe'!$Y$18:$AG$42,'Introducció dades consum'!K1632+1,0)</f>
        <v>0</v>
      </c>
      <c r="O1632" s="370" cm="1">
        <f t="array" ref="O1632">+_xlfn.SWITCH(MONTH(C1632),1,1,2,1,3,1,4,2,5,2,6,3,7,3,8,3,9,3,10,2,11,2,12,1,2)</f>
        <v>1</v>
      </c>
      <c r="P1632" s="43"/>
      <c r="AS1632" s="10"/>
      <c r="AT1632" s="10"/>
      <c r="AU1632" s="10"/>
      <c r="AV1632" s="10"/>
      <c r="AW1632" s="10"/>
      <c r="AX1632" s="10"/>
      <c r="AY1632" s="10"/>
      <c r="AZ1632" s="10"/>
      <c r="BA1632" s="10"/>
      <c r="BB1632" s="10"/>
      <c r="BC1632" s="10"/>
      <c r="BD1632" s="10"/>
      <c r="BE1632" s="10"/>
      <c r="BF1632" s="10"/>
      <c r="BG1632" s="10"/>
      <c r="BH1632" s="10"/>
      <c r="BI1632" s="10"/>
      <c r="BJ1632" s="10"/>
      <c r="BK1632" s="10"/>
      <c r="BL1632" s="10"/>
      <c r="BM1632" s="10"/>
      <c r="BN1632" s="10"/>
      <c r="BO1632" s="10"/>
      <c r="BP1632" s="10"/>
      <c r="BQ1632" s="10"/>
      <c r="BR1632" s="10"/>
      <c r="BS1632" s="10"/>
      <c r="BT1632" s="10"/>
      <c r="BU1632" s="10"/>
    </row>
    <row r="1633" spans="1:73" ht="18" x14ac:dyDescent="0.35">
      <c r="A1633" s="43"/>
      <c r="C1633" s="393"/>
      <c r="E1633" s="394"/>
      <c r="F1633" s="394">
        <v>0</v>
      </c>
      <c r="G1633" s="394"/>
      <c r="H1633" s="8" t="s">
        <v>235</v>
      </c>
      <c r="I1633" s="368">
        <f t="shared" si="76"/>
        <v>0</v>
      </c>
      <c r="J1633" s="365">
        <f t="shared" si="75"/>
        <v>0</v>
      </c>
      <c r="K1633" s="369">
        <f t="shared" si="77"/>
        <v>6</v>
      </c>
      <c r="L1633" s="369">
        <f>+IF((C1633&gt;='Resultats - informe'!$E$16)*(C1633&lt;='Resultats - informe'!$G$16),1,0)</f>
        <v>1</v>
      </c>
      <c r="M1633" s="369" cm="1">
        <f t="array" ref="M1633">+_xlfn.IFS((C1633&gt;='Resultats - informe'!$D$26)*(C1633&lt;='Resultats - informe'!$E$26),0,(C1633&gt;='Resultats - informe'!$D$27)*(C1633&lt;='Resultats - informe'!$E$27),0,(C1633&gt;='Resultats - informe'!$D$28)*(C1633&lt;='Resultats - informe'!$E$28),0,(C1633&gt;='Resultats - informe'!$D$29)*(C1633&lt;='Resultats - informe'!$E$29),0,1,1)</f>
        <v>0</v>
      </c>
      <c r="N1633" s="366">
        <f>+VLOOKUP(D1633,'Resultats - informe'!$Y$18:$AG$42,'Introducció dades consum'!K1633+1,0)</f>
        <v>0</v>
      </c>
      <c r="O1633" s="370" cm="1">
        <f t="array" ref="O1633">+_xlfn.SWITCH(MONTH(C1633),1,1,2,1,3,1,4,2,5,2,6,3,7,3,8,3,9,3,10,2,11,2,12,1,2)</f>
        <v>1</v>
      </c>
      <c r="P1633" s="43"/>
      <c r="AS1633" s="10"/>
      <c r="AT1633" s="10"/>
      <c r="AU1633" s="10"/>
      <c r="AV1633" s="10"/>
      <c r="AW1633" s="10"/>
      <c r="AX1633" s="10"/>
      <c r="AY1633" s="10"/>
      <c r="AZ1633" s="10"/>
      <c r="BA1633" s="10"/>
      <c r="BB1633" s="10"/>
      <c r="BC1633" s="10"/>
      <c r="BD1633" s="10"/>
      <c r="BE1633" s="10"/>
      <c r="BF1633" s="10"/>
      <c r="BG1633" s="10"/>
      <c r="BH1633" s="10"/>
      <c r="BI1633" s="10"/>
      <c r="BJ1633" s="10"/>
      <c r="BK1633" s="10"/>
      <c r="BL1633" s="10"/>
      <c r="BM1633" s="10"/>
      <c r="BN1633" s="10"/>
      <c r="BO1633" s="10"/>
      <c r="BP1633" s="10"/>
      <c r="BQ1633" s="10"/>
      <c r="BR1633" s="10"/>
      <c r="BS1633" s="10"/>
      <c r="BT1633" s="10"/>
      <c r="BU1633" s="10"/>
    </row>
    <row r="1634" spans="1:73" ht="18" x14ac:dyDescent="0.35">
      <c r="A1634" s="43"/>
      <c r="C1634" s="393"/>
      <c r="E1634" s="394"/>
      <c r="F1634" s="394">
        <v>0</v>
      </c>
      <c r="G1634" s="394"/>
      <c r="H1634" s="8" t="s">
        <v>235</v>
      </c>
      <c r="I1634" s="368">
        <f t="shared" si="76"/>
        <v>0</v>
      </c>
      <c r="J1634" s="365">
        <f t="shared" si="75"/>
        <v>0</v>
      </c>
      <c r="K1634" s="369">
        <f t="shared" si="77"/>
        <v>6</v>
      </c>
      <c r="L1634" s="369">
        <f>+IF((C1634&gt;='Resultats - informe'!$E$16)*(C1634&lt;='Resultats - informe'!$G$16),1,0)</f>
        <v>1</v>
      </c>
      <c r="M1634" s="369" cm="1">
        <f t="array" ref="M1634">+_xlfn.IFS((C1634&gt;='Resultats - informe'!$D$26)*(C1634&lt;='Resultats - informe'!$E$26),0,(C1634&gt;='Resultats - informe'!$D$27)*(C1634&lt;='Resultats - informe'!$E$27),0,(C1634&gt;='Resultats - informe'!$D$28)*(C1634&lt;='Resultats - informe'!$E$28),0,(C1634&gt;='Resultats - informe'!$D$29)*(C1634&lt;='Resultats - informe'!$E$29),0,1,1)</f>
        <v>0</v>
      </c>
      <c r="N1634" s="366">
        <f>+VLOOKUP(D1634,'Resultats - informe'!$Y$18:$AG$42,'Introducció dades consum'!K1634+1,0)</f>
        <v>0</v>
      </c>
      <c r="O1634" s="370" cm="1">
        <f t="array" ref="O1634">+_xlfn.SWITCH(MONTH(C1634),1,1,2,1,3,1,4,2,5,2,6,3,7,3,8,3,9,3,10,2,11,2,12,1,2)</f>
        <v>1</v>
      </c>
      <c r="P1634" s="43"/>
      <c r="AS1634" s="10"/>
      <c r="AT1634" s="10"/>
      <c r="AU1634" s="10"/>
      <c r="AV1634" s="10"/>
      <c r="AW1634" s="10"/>
      <c r="AX1634" s="10"/>
      <c r="AY1634" s="10"/>
      <c r="AZ1634" s="10"/>
      <c r="BA1634" s="10"/>
      <c r="BB1634" s="10"/>
      <c r="BC1634" s="10"/>
      <c r="BD1634" s="10"/>
      <c r="BE1634" s="10"/>
      <c r="BF1634" s="10"/>
      <c r="BG1634" s="10"/>
      <c r="BH1634" s="10"/>
      <c r="BI1634" s="10"/>
      <c r="BJ1634" s="10"/>
      <c r="BK1634" s="10"/>
      <c r="BL1634" s="10"/>
      <c r="BM1634" s="10"/>
      <c r="BN1634" s="10"/>
      <c r="BO1634" s="10"/>
      <c r="BP1634" s="10"/>
      <c r="BQ1634" s="10"/>
      <c r="BR1634" s="10"/>
      <c r="BS1634" s="10"/>
      <c r="BT1634" s="10"/>
      <c r="BU1634" s="10"/>
    </row>
    <row r="1635" spans="1:73" ht="18" x14ac:dyDescent="0.35">
      <c r="A1635" s="43"/>
      <c r="C1635" s="393"/>
      <c r="E1635" s="394"/>
      <c r="F1635" s="394">
        <v>0</v>
      </c>
      <c r="G1635" s="394"/>
      <c r="H1635" s="8" t="s">
        <v>235</v>
      </c>
      <c r="I1635" s="368">
        <f t="shared" si="76"/>
        <v>0</v>
      </c>
      <c r="J1635" s="365">
        <f t="shared" si="75"/>
        <v>0</v>
      </c>
      <c r="K1635" s="369">
        <f t="shared" si="77"/>
        <v>6</v>
      </c>
      <c r="L1635" s="369">
        <f>+IF((C1635&gt;='Resultats - informe'!$E$16)*(C1635&lt;='Resultats - informe'!$G$16),1,0)</f>
        <v>1</v>
      </c>
      <c r="M1635" s="369" cm="1">
        <f t="array" ref="M1635">+_xlfn.IFS((C1635&gt;='Resultats - informe'!$D$26)*(C1635&lt;='Resultats - informe'!$E$26),0,(C1635&gt;='Resultats - informe'!$D$27)*(C1635&lt;='Resultats - informe'!$E$27),0,(C1635&gt;='Resultats - informe'!$D$28)*(C1635&lt;='Resultats - informe'!$E$28),0,(C1635&gt;='Resultats - informe'!$D$29)*(C1635&lt;='Resultats - informe'!$E$29),0,1,1)</f>
        <v>0</v>
      </c>
      <c r="N1635" s="366">
        <f>+VLOOKUP(D1635,'Resultats - informe'!$Y$18:$AG$42,'Introducció dades consum'!K1635+1,0)</f>
        <v>0</v>
      </c>
      <c r="O1635" s="370" cm="1">
        <f t="array" ref="O1635">+_xlfn.SWITCH(MONTH(C1635),1,1,2,1,3,1,4,2,5,2,6,3,7,3,8,3,9,3,10,2,11,2,12,1,2)</f>
        <v>1</v>
      </c>
      <c r="P1635" s="43"/>
      <c r="AS1635" s="10"/>
      <c r="AT1635" s="10"/>
      <c r="AU1635" s="10"/>
      <c r="AV1635" s="10"/>
      <c r="AW1635" s="10"/>
      <c r="AX1635" s="10"/>
      <c r="AY1635" s="10"/>
      <c r="AZ1635" s="10"/>
      <c r="BA1635" s="10"/>
      <c r="BB1635" s="10"/>
      <c r="BC1635" s="10"/>
      <c r="BD1635" s="10"/>
      <c r="BE1635" s="10"/>
      <c r="BF1635" s="10"/>
      <c r="BG1635" s="10"/>
      <c r="BH1635" s="10"/>
      <c r="BI1635" s="10"/>
      <c r="BJ1635" s="10"/>
      <c r="BK1635" s="10"/>
      <c r="BL1635" s="10"/>
      <c r="BM1635" s="10"/>
      <c r="BN1635" s="10"/>
      <c r="BO1635" s="10"/>
      <c r="BP1635" s="10"/>
      <c r="BQ1635" s="10"/>
      <c r="BR1635" s="10"/>
      <c r="BS1635" s="10"/>
      <c r="BT1635" s="10"/>
      <c r="BU1635" s="10"/>
    </row>
    <row r="1636" spans="1:73" ht="18" x14ac:dyDescent="0.35">
      <c r="A1636" s="43"/>
      <c r="C1636" s="393"/>
      <c r="E1636" s="394"/>
      <c r="F1636" s="394">
        <v>0</v>
      </c>
      <c r="G1636" s="394"/>
      <c r="H1636" s="8" t="s">
        <v>235</v>
      </c>
      <c r="I1636" s="368">
        <f t="shared" si="76"/>
        <v>0</v>
      </c>
      <c r="J1636" s="365">
        <f t="shared" si="75"/>
        <v>0</v>
      </c>
      <c r="K1636" s="369">
        <f t="shared" si="77"/>
        <v>6</v>
      </c>
      <c r="L1636" s="369">
        <f>+IF((C1636&gt;='Resultats - informe'!$E$16)*(C1636&lt;='Resultats - informe'!$G$16),1,0)</f>
        <v>1</v>
      </c>
      <c r="M1636" s="369" cm="1">
        <f t="array" ref="M1636">+_xlfn.IFS((C1636&gt;='Resultats - informe'!$D$26)*(C1636&lt;='Resultats - informe'!$E$26),0,(C1636&gt;='Resultats - informe'!$D$27)*(C1636&lt;='Resultats - informe'!$E$27),0,(C1636&gt;='Resultats - informe'!$D$28)*(C1636&lt;='Resultats - informe'!$E$28),0,(C1636&gt;='Resultats - informe'!$D$29)*(C1636&lt;='Resultats - informe'!$E$29),0,1,1)</f>
        <v>0</v>
      </c>
      <c r="N1636" s="366">
        <f>+VLOOKUP(D1636,'Resultats - informe'!$Y$18:$AG$42,'Introducció dades consum'!K1636+1,0)</f>
        <v>0</v>
      </c>
      <c r="O1636" s="370" cm="1">
        <f t="array" ref="O1636">+_xlfn.SWITCH(MONTH(C1636),1,1,2,1,3,1,4,2,5,2,6,3,7,3,8,3,9,3,10,2,11,2,12,1,2)</f>
        <v>1</v>
      </c>
      <c r="P1636" s="43"/>
      <c r="AS1636" s="10"/>
      <c r="AT1636" s="10"/>
      <c r="AU1636" s="10"/>
      <c r="AV1636" s="10"/>
      <c r="AW1636" s="10"/>
      <c r="AX1636" s="10"/>
      <c r="AY1636" s="10"/>
      <c r="AZ1636" s="10"/>
      <c r="BA1636" s="10"/>
      <c r="BB1636" s="10"/>
      <c r="BC1636" s="10"/>
      <c r="BD1636" s="10"/>
      <c r="BE1636" s="10"/>
      <c r="BF1636" s="10"/>
      <c r="BG1636" s="10"/>
      <c r="BH1636" s="10"/>
      <c r="BI1636" s="10"/>
      <c r="BJ1636" s="10"/>
      <c r="BK1636" s="10"/>
      <c r="BL1636" s="10"/>
      <c r="BM1636" s="10"/>
      <c r="BN1636" s="10"/>
      <c r="BO1636" s="10"/>
      <c r="BP1636" s="10"/>
      <c r="BQ1636" s="10"/>
      <c r="BR1636" s="10"/>
      <c r="BS1636" s="10"/>
      <c r="BT1636" s="10"/>
      <c r="BU1636" s="10"/>
    </row>
    <row r="1637" spans="1:73" ht="18" x14ac:dyDescent="0.35">
      <c r="A1637" s="43"/>
      <c r="C1637" s="393"/>
      <c r="E1637" s="394"/>
      <c r="F1637" s="394">
        <v>0</v>
      </c>
      <c r="G1637" s="394"/>
      <c r="H1637" s="8" t="s">
        <v>235</v>
      </c>
      <c r="I1637" s="368">
        <f t="shared" si="76"/>
        <v>0</v>
      </c>
      <c r="J1637" s="365">
        <f t="shared" si="75"/>
        <v>0</v>
      </c>
      <c r="K1637" s="369">
        <f t="shared" si="77"/>
        <v>6</v>
      </c>
      <c r="L1637" s="369">
        <f>+IF((C1637&gt;='Resultats - informe'!$E$16)*(C1637&lt;='Resultats - informe'!$G$16),1,0)</f>
        <v>1</v>
      </c>
      <c r="M1637" s="369" cm="1">
        <f t="array" ref="M1637">+_xlfn.IFS((C1637&gt;='Resultats - informe'!$D$26)*(C1637&lt;='Resultats - informe'!$E$26),0,(C1637&gt;='Resultats - informe'!$D$27)*(C1637&lt;='Resultats - informe'!$E$27),0,(C1637&gt;='Resultats - informe'!$D$28)*(C1637&lt;='Resultats - informe'!$E$28),0,(C1637&gt;='Resultats - informe'!$D$29)*(C1637&lt;='Resultats - informe'!$E$29),0,1,1)</f>
        <v>0</v>
      </c>
      <c r="N1637" s="366">
        <f>+VLOOKUP(D1637,'Resultats - informe'!$Y$18:$AG$42,'Introducció dades consum'!K1637+1,0)</f>
        <v>0</v>
      </c>
      <c r="O1637" s="370" cm="1">
        <f t="array" ref="O1637">+_xlfn.SWITCH(MONTH(C1637),1,1,2,1,3,1,4,2,5,2,6,3,7,3,8,3,9,3,10,2,11,2,12,1,2)</f>
        <v>1</v>
      </c>
      <c r="P1637" s="43"/>
      <c r="AS1637" s="10"/>
      <c r="AT1637" s="10"/>
      <c r="AU1637" s="10"/>
      <c r="AV1637" s="10"/>
      <c r="AW1637" s="10"/>
      <c r="AX1637" s="10"/>
      <c r="AY1637" s="10"/>
      <c r="AZ1637" s="10"/>
      <c r="BA1637" s="10"/>
      <c r="BB1637" s="10"/>
      <c r="BC1637" s="10"/>
      <c r="BD1637" s="10"/>
      <c r="BE1637" s="10"/>
      <c r="BF1637" s="10"/>
      <c r="BG1637" s="10"/>
      <c r="BH1637" s="10"/>
      <c r="BI1637" s="10"/>
      <c r="BJ1637" s="10"/>
      <c r="BK1637" s="10"/>
      <c r="BL1637" s="10"/>
      <c r="BM1637" s="10"/>
      <c r="BN1637" s="10"/>
      <c r="BO1637" s="10"/>
      <c r="BP1637" s="10"/>
      <c r="BQ1637" s="10"/>
      <c r="BR1637" s="10"/>
      <c r="BS1637" s="10"/>
      <c r="BT1637" s="10"/>
      <c r="BU1637" s="10"/>
    </row>
    <row r="1638" spans="1:73" ht="18" x14ac:dyDescent="0.35">
      <c r="A1638" s="43"/>
      <c r="C1638" s="393"/>
      <c r="E1638" s="394"/>
      <c r="F1638" s="394">
        <v>0</v>
      </c>
      <c r="G1638" s="394"/>
      <c r="H1638" s="8" t="s">
        <v>235</v>
      </c>
      <c r="I1638" s="368">
        <f t="shared" si="76"/>
        <v>0</v>
      </c>
      <c r="J1638" s="365">
        <f t="shared" si="75"/>
        <v>0</v>
      </c>
      <c r="K1638" s="369">
        <f t="shared" si="77"/>
        <v>6</v>
      </c>
      <c r="L1638" s="369">
        <f>+IF((C1638&gt;='Resultats - informe'!$E$16)*(C1638&lt;='Resultats - informe'!$G$16),1,0)</f>
        <v>1</v>
      </c>
      <c r="M1638" s="369" cm="1">
        <f t="array" ref="M1638">+_xlfn.IFS((C1638&gt;='Resultats - informe'!$D$26)*(C1638&lt;='Resultats - informe'!$E$26),0,(C1638&gt;='Resultats - informe'!$D$27)*(C1638&lt;='Resultats - informe'!$E$27),0,(C1638&gt;='Resultats - informe'!$D$28)*(C1638&lt;='Resultats - informe'!$E$28),0,(C1638&gt;='Resultats - informe'!$D$29)*(C1638&lt;='Resultats - informe'!$E$29),0,1,1)</f>
        <v>0</v>
      </c>
      <c r="N1638" s="366">
        <f>+VLOOKUP(D1638,'Resultats - informe'!$Y$18:$AG$42,'Introducció dades consum'!K1638+1,0)</f>
        <v>0</v>
      </c>
      <c r="O1638" s="370" cm="1">
        <f t="array" ref="O1638">+_xlfn.SWITCH(MONTH(C1638),1,1,2,1,3,1,4,2,5,2,6,3,7,3,8,3,9,3,10,2,11,2,12,1,2)</f>
        <v>1</v>
      </c>
      <c r="P1638" s="43"/>
      <c r="AS1638" s="10"/>
      <c r="AT1638" s="10"/>
      <c r="AU1638" s="10"/>
      <c r="AV1638" s="10"/>
      <c r="AW1638" s="10"/>
      <c r="AX1638" s="10"/>
      <c r="AY1638" s="10"/>
      <c r="AZ1638" s="10"/>
      <c r="BA1638" s="10"/>
      <c r="BB1638" s="10"/>
      <c r="BC1638" s="10"/>
      <c r="BD1638" s="10"/>
      <c r="BE1638" s="10"/>
      <c r="BF1638" s="10"/>
      <c r="BG1638" s="10"/>
      <c r="BH1638" s="10"/>
      <c r="BI1638" s="10"/>
      <c r="BJ1638" s="10"/>
      <c r="BK1638" s="10"/>
      <c r="BL1638" s="10"/>
      <c r="BM1638" s="10"/>
      <c r="BN1638" s="10"/>
      <c r="BO1638" s="10"/>
      <c r="BP1638" s="10"/>
      <c r="BQ1638" s="10"/>
      <c r="BR1638" s="10"/>
      <c r="BS1638" s="10"/>
      <c r="BT1638" s="10"/>
      <c r="BU1638" s="10"/>
    </row>
    <row r="1639" spans="1:73" ht="18" x14ac:dyDescent="0.35">
      <c r="A1639" s="43"/>
      <c r="C1639" s="393"/>
      <c r="E1639" s="394"/>
      <c r="F1639" s="394">
        <v>0</v>
      </c>
      <c r="G1639" s="394"/>
      <c r="H1639" s="8" t="s">
        <v>235</v>
      </c>
      <c r="I1639" s="368">
        <f t="shared" si="76"/>
        <v>0</v>
      </c>
      <c r="J1639" s="365">
        <f t="shared" si="75"/>
        <v>0</v>
      </c>
      <c r="K1639" s="369">
        <f t="shared" si="77"/>
        <v>6</v>
      </c>
      <c r="L1639" s="369">
        <f>+IF((C1639&gt;='Resultats - informe'!$E$16)*(C1639&lt;='Resultats - informe'!$G$16),1,0)</f>
        <v>1</v>
      </c>
      <c r="M1639" s="369" cm="1">
        <f t="array" ref="M1639">+_xlfn.IFS((C1639&gt;='Resultats - informe'!$D$26)*(C1639&lt;='Resultats - informe'!$E$26),0,(C1639&gt;='Resultats - informe'!$D$27)*(C1639&lt;='Resultats - informe'!$E$27),0,(C1639&gt;='Resultats - informe'!$D$28)*(C1639&lt;='Resultats - informe'!$E$28),0,(C1639&gt;='Resultats - informe'!$D$29)*(C1639&lt;='Resultats - informe'!$E$29),0,1,1)</f>
        <v>0</v>
      </c>
      <c r="N1639" s="366">
        <f>+VLOOKUP(D1639,'Resultats - informe'!$Y$18:$AG$42,'Introducció dades consum'!K1639+1,0)</f>
        <v>0</v>
      </c>
      <c r="O1639" s="370" cm="1">
        <f t="array" ref="O1639">+_xlfn.SWITCH(MONTH(C1639),1,1,2,1,3,1,4,2,5,2,6,3,7,3,8,3,9,3,10,2,11,2,12,1,2)</f>
        <v>1</v>
      </c>
      <c r="P1639" s="43"/>
      <c r="AS1639" s="10"/>
      <c r="AT1639" s="10"/>
      <c r="AU1639" s="10"/>
      <c r="AV1639" s="10"/>
      <c r="AW1639" s="10"/>
      <c r="AX1639" s="10"/>
      <c r="AY1639" s="10"/>
      <c r="AZ1639" s="10"/>
      <c r="BA1639" s="10"/>
      <c r="BB1639" s="10"/>
      <c r="BC1639" s="10"/>
      <c r="BD1639" s="10"/>
      <c r="BE1639" s="10"/>
      <c r="BF1639" s="10"/>
      <c r="BG1639" s="10"/>
      <c r="BH1639" s="10"/>
      <c r="BI1639" s="10"/>
      <c r="BJ1639" s="10"/>
      <c r="BK1639" s="10"/>
      <c r="BL1639" s="10"/>
      <c r="BM1639" s="10"/>
      <c r="BN1639" s="10"/>
      <c r="BO1639" s="10"/>
      <c r="BP1639" s="10"/>
      <c r="BQ1639" s="10"/>
      <c r="BR1639" s="10"/>
      <c r="BS1639" s="10"/>
      <c r="BT1639" s="10"/>
      <c r="BU1639" s="10"/>
    </row>
    <row r="1640" spans="1:73" ht="18" x14ac:dyDescent="0.35">
      <c r="A1640" s="43"/>
      <c r="C1640" s="393"/>
      <c r="E1640" s="394"/>
      <c r="F1640" s="394">
        <v>0</v>
      </c>
      <c r="G1640" s="394"/>
      <c r="H1640" s="8" t="s">
        <v>235</v>
      </c>
      <c r="I1640" s="368">
        <f t="shared" si="76"/>
        <v>0</v>
      </c>
      <c r="J1640" s="365">
        <f t="shared" si="75"/>
        <v>0</v>
      </c>
      <c r="K1640" s="369">
        <f t="shared" si="77"/>
        <v>6</v>
      </c>
      <c r="L1640" s="369">
        <f>+IF((C1640&gt;='Resultats - informe'!$E$16)*(C1640&lt;='Resultats - informe'!$G$16),1,0)</f>
        <v>1</v>
      </c>
      <c r="M1640" s="369" cm="1">
        <f t="array" ref="M1640">+_xlfn.IFS((C1640&gt;='Resultats - informe'!$D$26)*(C1640&lt;='Resultats - informe'!$E$26),0,(C1640&gt;='Resultats - informe'!$D$27)*(C1640&lt;='Resultats - informe'!$E$27),0,(C1640&gt;='Resultats - informe'!$D$28)*(C1640&lt;='Resultats - informe'!$E$28),0,(C1640&gt;='Resultats - informe'!$D$29)*(C1640&lt;='Resultats - informe'!$E$29),0,1,1)</f>
        <v>0</v>
      </c>
      <c r="N1640" s="366">
        <f>+VLOOKUP(D1640,'Resultats - informe'!$Y$18:$AG$42,'Introducció dades consum'!K1640+1,0)</f>
        <v>0</v>
      </c>
      <c r="O1640" s="370" cm="1">
        <f t="array" ref="O1640">+_xlfn.SWITCH(MONTH(C1640),1,1,2,1,3,1,4,2,5,2,6,3,7,3,8,3,9,3,10,2,11,2,12,1,2)</f>
        <v>1</v>
      </c>
      <c r="P1640" s="43"/>
      <c r="AS1640" s="10"/>
      <c r="AT1640" s="10"/>
      <c r="AU1640" s="10"/>
      <c r="AV1640" s="10"/>
      <c r="AW1640" s="10"/>
      <c r="AX1640" s="10"/>
      <c r="AY1640" s="10"/>
      <c r="AZ1640" s="10"/>
      <c r="BA1640" s="10"/>
      <c r="BB1640" s="10"/>
      <c r="BC1640" s="10"/>
      <c r="BD1640" s="10"/>
      <c r="BE1640" s="10"/>
      <c r="BF1640" s="10"/>
      <c r="BG1640" s="10"/>
      <c r="BH1640" s="10"/>
      <c r="BI1640" s="10"/>
      <c r="BJ1640" s="10"/>
      <c r="BK1640" s="10"/>
      <c r="BL1640" s="10"/>
      <c r="BM1640" s="10"/>
      <c r="BN1640" s="10"/>
      <c r="BO1640" s="10"/>
      <c r="BP1640" s="10"/>
      <c r="BQ1640" s="10"/>
      <c r="BR1640" s="10"/>
      <c r="BS1640" s="10"/>
      <c r="BT1640" s="10"/>
      <c r="BU1640" s="10"/>
    </row>
    <row r="1641" spans="1:73" ht="18" x14ac:dyDescent="0.35">
      <c r="A1641" s="43"/>
      <c r="C1641" s="393"/>
      <c r="E1641" s="394"/>
      <c r="F1641" s="394">
        <v>0</v>
      </c>
      <c r="G1641" s="394"/>
      <c r="H1641" s="8" t="s">
        <v>235</v>
      </c>
      <c r="I1641" s="368">
        <f t="shared" si="76"/>
        <v>0</v>
      </c>
      <c r="J1641" s="365">
        <f t="shared" si="75"/>
        <v>0</v>
      </c>
      <c r="K1641" s="369">
        <f t="shared" si="77"/>
        <v>6</v>
      </c>
      <c r="L1641" s="369">
        <f>+IF((C1641&gt;='Resultats - informe'!$E$16)*(C1641&lt;='Resultats - informe'!$G$16),1,0)</f>
        <v>1</v>
      </c>
      <c r="M1641" s="369" cm="1">
        <f t="array" ref="M1641">+_xlfn.IFS((C1641&gt;='Resultats - informe'!$D$26)*(C1641&lt;='Resultats - informe'!$E$26),0,(C1641&gt;='Resultats - informe'!$D$27)*(C1641&lt;='Resultats - informe'!$E$27),0,(C1641&gt;='Resultats - informe'!$D$28)*(C1641&lt;='Resultats - informe'!$E$28),0,(C1641&gt;='Resultats - informe'!$D$29)*(C1641&lt;='Resultats - informe'!$E$29),0,1,1)</f>
        <v>0</v>
      </c>
      <c r="N1641" s="366">
        <f>+VLOOKUP(D1641,'Resultats - informe'!$Y$18:$AG$42,'Introducció dades consum'!K1641+1,0)</f>
        <v>0</v>
      </c>
      <c r="O1641" s="370" cm="1">
        <f t="array" ref="O1641">+_xlfn.SWITCH(MONTH(C1641),1,1,2,1,3,1,4,2,5,2,6,3,7,3,8,3,9,3,10,2,11,2,12,1,2)</f>
        <v>1</v>
      </c>
      <c r="P1641" s="43"/>
      <c r="AS1641" s="10"/>
      <c r="AT1641" s="10"/>
      <c r="AU1641" s="10"/>
      <c r="AV1641" s="10"/>
      <c r="AW1641" s="10"/>
      <c r="AX1641" s="10"/>
      <c r="AY1641" s="10"/>
      <c r="AZ1641" s="10"/>
      <c r="BA1641" s="10"/>
      <c r="BB1641" s="10"/>
      <c r="BC1641" s="10"/>
      <c r="BD1641" s="10"/>
      <c r="BE1641" s="10"/>
      <c r="BF1641" s="10"/>
      <c r="BG1641" s="10"/>
      <c r="BH1641" s="10"/>
      <c r="BI1641" s="10"/>
      <c r="BJ1641" s="10"/>
      <c r="BK1641" s="10"/>
      <c r="BL1641" s="10"/>
      <c r="BM1641" s="10"/>
      <c r="BN1641" s="10"/>
      <c r="BO1641" s="10"/>
      <c r="BP1641" s="10"/>
      <c r="BQ1641" s="10"/>
      <c r="BR1641" s="10"/>
      <c r="BS1641" s="10"/>
      <c r="BT1641" s="10"/>
      <c r="BU1641" s="10"/>
    </row>
    <row r="1642" spans="1:73" ht="18" x14ac:dyDescent="0.35">
      <c r="A1642" s="43"/>
      <c r="C1642" s="393"/>
      <c r="E1642" s="394"/>
      <c r="F1642" s="394">
        <v>0</v>
      </c>
      <c r="G1642" s="394"/>
      <c r="H1642" s="8" t="s">
        <v>235</v>
      </c>
      <c r="I1642" s="368">
        <f t="shared" si="76"/>
        <v>0</v>
      </c>
      <c r="J1642" s="365">
        <f t="shared" si="75"/>
        <v>0</v>
      </c>
      <c r="K1642" s="369">
        <f t="shared" si="77"/>
        <v>6</v>
      </c>
      <c r="L1642" s="369">
        <f>+IF((C1642&gt;='Resultats - informe'!$E$16)*(C1642&lt;='Resultats - informe'!$G$16),1,0)</f>
        <v>1</v>
      </c>
      <c r="M1642" s="369" cm="1">
        <f t="array" ref="M1642">+_xlfn.IFS((C1642&gt;='Resultats - informe'!$D$26)*(C1642&lt;='Resultats - informe'!$E$26),0,(C1642&gt;='Resultats - informe'!$D$27)*(C1642&lt;='Resultats - informe'!$E$27),0,(C1642&gt;='Resultats - informe'!$D$28)*(C1642&lt;='Resultats - informe'!$E$28),0,(C1642&gt;='Resultats - informe'!$D$29)*(C1642&lt;='Resultats - informe'!$E$29),0,1,1)</f>
        <v>0</v>
      </c>
      <c r="N1642" s="366">
        <f>+VLOOKUP(D1642,'Resultats - informe'!$Y$18:$AG$42,'Introducció dades consum'!K1642+1,0)</f>
        <v>0</v>
      </c>
      <c r="O1642" s="370" cm="1">
        <f t="array" ref="O1642">+_xlfn.SWITCH(MONTH(C1642),1,1,2,1,3,1,4,2,5,2,6,3,7,3,8,3,9,3,10,2,11,2,12,1,2)</f>
        <v>1</v>
      </c>
      <c r="P1642" s="43"/>
      <c r="AS1642" s="10"/>
      <c r="AT1642" s="10"/>
      <c r="AU1642" s="10"/>
      <c r="AV1642" s="10"/>
      <c r="AW1642" s="10"/>
      <c r="AX1642" s="10"/>
      <c r="AY1642" s="10"/>
      <c r="AZ1642" s="10"/>
      <c r="BA1642" s="10"/>
      <c r="BB1642" s="10"/>
      <c r="BC1642" s="10"/>
      <c r="BD1642" s="10"/>
      <c r="BE1642" s="10"/>
      <c r="BF1642" s="10"/>
      <c r="BG1642" s="10"/>
      <c r="BH1642" s="10"/>
      <c r="BI1642" s="10"/>
      <c r="BJ1642" s="10"/>
      <c r="BK1642" s="10"/>
      <c r="BL1642" s="10"/>
      <c r="BM1642" s="10"/>
      <c r="BN1642" s="10"/>
      <c r="BO1642" s="10"/>
      <c r="BP1642" s="10"/>
      <c r="BQ1642" s="10"/>
      <c r="BR1642" s="10"/>
      <c r="BS1642" s="10"/>
      <c r="BT1642" s="10"/>
      <c r="BU1642" s="10"/>
    </row>
    <row r="1643" spans="1:73" ht="18" x14ac:dyDescent="0.35">
      <c r="A1643" s="43"/>
      <c r="C1643" s="393"/>
      <c r="E1643" s="394"/>
      <c r="F1643" s="394">
        <v>0</v>
      </c>
      <c r="G1643" s="394"/>
      <c r="H1643" s="8" t="s">
        <v>235</v>
      </c>
      <c r="I1643" s="368">
        <f t="shared" si="76"/>
        <v>0</v>
      </c>
      <c r="J1643" s="365">
        <f t="shared" si="75"/>
        <v>0</v>
      </c>
      <c r="K1643" s="369">
        <f t="shared" si="77"/>
        <v>6</v>
      </c>
      <c r="L1643" s="369">
        <f>+IF((C1643&gt;='Resultats - informe'!$E$16)*(C1643&lt;='Resultats - informe'!$G$16),1,0)</f>
        <v>1</v>
      </c>
      <c r="M1643" s="369" cm="1">
        <f t="array" ref="M1643">+_xlfn.IFS((C1643&gt;='Resultats - informe'!$D$26)*(C1643&lt;='Resultats - informe'!$E$26),0,(C1643&gt;='Resultats - informe'!$D$27)*(C1643&lt;='Resultats - informe'!$E$27),0,(C1643&gt;='Resultats - informe'!$D$28)*(C1643&lt;='Resultats - informe'!$E$28),0,(C1643&gt;='Resultats - informe'!$D$29)*(C1643&lt;='Resultats - informe'!$E$29),0,1,1)</f>
        <v>0</v>
      </c>
      <c r="N1643" s="366">
        <f>+VLOOKUP(D1643,'Resultats - informe'!$Y$18:$AG$42,'Introducció dades consum'!K1643+1,0)</f>
        <v>0</v>
      </c>
      <c r="O1643" s="370" cm="1">
        <f t="array" ref="O1643">+_xlfn.SWITCH(MONTH(C1643),1,1,2,1,3,1,4,2,5,2,6,3,7,3,8,3,9,3,10,2,11,2,12,1,2)</f>
        <v>1</v>
      </c>
      <c r="P1643" s="43"/>
      <c r="AS1643" s="10"/>
      <c r="AT1643" s="10"/>
      <c r="AU1643" s="10"/>
      <c r="AV1643" s="10"/>
      <c r="AW1643" s="10"/>
      <c r="AX1643" s="10"/>
      <c r="AY1643" s="10"/>
      <c r="AZ1643" s="10"/>
      <c r="BA1643" s="10"/>
      <c r="BB1643" s="10"/>
      <c r="BC1643" s="10"/>
      <c r="BD1643" s="10"/>
      <c r="BE1643" s="10"/>
      <c r="BF1643" s="10"/>
      <c r="BG1643" s="10"/>
      <c r="BH1643" s="10"/>
      <c r="BI1643" s="10"/>
      <c r="BJ1643" s="10"/>
      <c r="BK1643" s="10"/>
      <c r="BL1643" s="10"/>
      <c r="BM1643" s="10"/>
      <c r="BN1643" s="10"/>
      <c r="BO1643" s="10"/>
      <c r="BP1643" s="10"/>
      <c r="BQ1643" s="10"/>
      <c r="BR1643" s="10"/>
      <c r="BS1643" s="10"/>
      <c r="BT1643" s="10"/>
      <c r="BU1643" s="10"/>
    </row>
    <row r="1644" spans="1:73" ht="18" x14ac:dyDescent="0.35">
      <c r="A1644" s="43"/>
      <c r="C1644" s="393"/>
      <c r="E1644" s="394"/>
      <c r="F1644" s="394">
        <v>0.33800000000000002</v>
      </c>
      <c r="G1644" s="394"/>
      <c r="H1644" s="8" t="s">
        <v>235</v>
      </c>
      <c r="I1644" s="368">
        <f t="shared" si="76"/>
        <v>0</v>
      </c>
      <c r="J1644" s="365">
        <f t="shared" si="75"/>
        <v>0</v>
      </c>
      <c r="K1644" s="369">
        <f t="shared" si="77"/>
        <v>6</v>
      </c>
      <c r="L1644" s="369">
        <f>+IF((C1644&gt;='Resultats - informe'!$E$16)*(C1644&lt;='Resultats - informe'!$G$16),1,0)</f>
        <v>1</v>
      </c>
      <c r="M1644" s="369" cm="1">
        <f t="array" ref="M1644">+_xlfn.IFS((C1644&gt;='Resultats - informe'!$D$26)*(C1644&lt;='Resultats - informe'!$E$26),0,(C1644&gt;='Resultats - informe'!$D$27)*(C1644&lt;='Resultats - informe'!$E$27),0,(C1644&gt;='Resultats - informe'!$D$28)*(C1644&lt;='Resultats - informe'!$E$28),0,(C1644&gt;='Resultats - informe'!$D$29)*(C1644&lt;='Resultats - informe'!$E$29),0,1,1)</f>
        <v>0</v>
      </c>
      <c r="N1644" s="366">
        <f>+VLOOKUP(D1644,'Resultats - informe'!$Y$18:$AG$42,'Introducció dades consum'!K1644+1,0)</f>
        <v>0</v>
      </c>
      <c r="O1644" s="370" cm="1">
        <f t="array" ref="O1644">+_xlfn.SWITCH(MONTH(C1644),1,1,2,1,3,1,4,2,5,2,6,3,7,3,8,3,9,3,10,2,11,2,12,1,2)</f>
        <v>1</v>
      </c>
      <c r="P1644" s="43"/>
      <c r="AS1644" s="10"/>
      <c r="AT1644" s="10"/>
      <c r="AU1644" s="10"/>
      <c r="AV1644" s="10"/>
      <c r="AW1644" s="10"/>
      <c r="AX1644" s="10"/>
      <c r="AY1644" s="10"/>
      <c r="AZ1644" s="10"/>
      <c r="BA1644" s="10"/>
      <c r="BB1644" s="10"/>
      <c r="BC1644" s="10"/>
      <c r="BD1644" s="10"/>
      <c r="BE1644" s="10"/>
      <c r="BF1644" s="10"/>
      <c r="BG1644" s="10"/>
      <c r="BH1644" s="10"/>
      <c r="BI1644" s="10"/>
      <c r="BJ1644" s="10"/>
      <c r="BK1644" s="10"/>
      <c r="BL1644" s="10"/>
      <c r="BM1644" s="10"/>
      <c r="BN1644" s="10"/>
      <c r="BO1644" s="10"/>
      <c r="BP1644" s="10"/>
      <c r="BQ1644" s="10"/>
      <c r="BR1644" s="10"/>
      <c r="BS1644" s="10"/>
      <c r="BT1644" s="10"/>
      <c r="BU1644" s="10"/>
    </row>
    <row r="1645" spans="1:73" ht="18" x14ac:dyDescent="0.35">
      <c r="A1645" s="43"/>
      <c r="C1645" s="393"/>
      <c r="E1645" s="394"/>
      <c r="F1645" s="394">
        <v>0.88400000000000001</v>
      </c>
      <c r="G1645" s="394"/>
      <c r="H1645" s="8" t="s">
        <v>235</v>
      </c>
      <c r="I1645" s="368">
        <f t="shared" si="76"/>
        <v>0</v>
      </c>
      <c r="J1645" s="365">
        <f t="shared" si="75"/>
        <v>0</v>
      </c>
      <c r="K1645" s="369">
        <f t="shared" si="77"/>
        <v>6</v>
      </c>
      <c r="L1645" s="369">
        <f>+IF((C1645&gt;='Resultats - informe'!$E$16)*(C1645&lt;='Resultats - informe'!$G$16),1,0)</f>
        <v>1</v>
      </c>
      <c r="M1645" s="369" cm="1">
        <f t="array" ref="M1645">+_xlfn.IFS((C1645&gt;='Resultats - informe'!$D$26)*(C1645&lt;='Resultats - informe'!$E$26),0,(C1645&gt;='Resultats - informe'!$D$27)*(C1645&lt;='Resultats - informe'!$E$27),0,(C1645&gt;='Resultats - informe'!$D$28)*(C1645&lt;='Resultats - informe'!$E$28),0,(C1645&gt;='Resultats - informe'!$D$29)*(C1645&lt;='Resultats - informe'!$E$29),0,1,1)</f>
        <v>0</v>
      </c>
      <c r="N1645" s="366">
        <f>+VLOOKUP(D1645,'Resultats - informe'!$Y$18:$AG$42,'Introducció dades consum'!K1645+1,0)</f>
        <v>0</v>
      </c>
      <c r="O1645" s="370" cm="1">
        <f t="array" ref="O1645">+_xlfn.SWITCH(MONTH(C1645),1,1,2,1,3,1,4,2,5,2,6,3,7,3,8,3,9,3,10,2,11,2,12,1,2)</f>
        <v>1</v>
      </c>
      <c r="P1645" s="43"/>
      <c r="AS1645" s="10"/>
      <c r="AT1645" s="10"/>
      <c r="AU1645" s="10"/>
      <c r="AV1645" s="10"/>
      <c r="AW1645" s="10"/>
      <c r="AX1645" s="10"/>
      <c r="AY1645" s="10"/>
      <c r="AZ1645" s="10"/>
      <c r="BA1645" s="10"/>
      <c r="BB1645" s="10"/>
      <c r="BC1645" s="10"/>
      <c r="BD1645" s="10"/>
      <c r="BE1645" s="10"/>
      <c r="BF1645" s="10"/>
      <c r="BG1645" s="10"/>
      <c r="BH1645" s="10"/>
      <c r="BI1645" s="10"/>
      <c r="BJ1645" s="10"/>
      <c r="BK1645" s="10"/>
      <c r="BL1645" s="10"/>
      <c r="BM1645" s="10"/>
      <c r="BN1645" s="10"/>
      <c r="BO1645" s="10"/>
      <c r="BP1645" s="10"/>
      <c r="BQ1645" s="10"/>
      <c r="BR1645" s="10"/>
      <c r="BS1645" s="10"/>
      <c r="BT1645" s="10"/>
      <c r="BU1645" s="10"/>
    </row>
    <row r="1646" spans="1:73" ht="18" x14ac:dyDescent="0.35">
      <c r="A1646" s="43"/>
      <c r="C1646" s="393"/>
      <c r="E1646" s="394"/>
      <c r="F1646" s="394">
        <v>2.7069999999999999</v>
      </c>
      <c r="G1646" s="394"/>
      <c r="H1646" s="8" t="s">
        <v>235</v>
      </c>
      <c r="I1646" s="368">
        <f t="shared" si="76"/>
        <v>0</v>
      </c>
      <c r="J1646" s="365">
        <f t="shared" si="75"/>
        <v>0</v>
      </c>
      <c r="K1646" s="369">
        <f t="shared" si="77"/>
        <v>6</v>
      </c>
      <c r="L1646" s="369">
        <f>+IF((C1646&gt;='Resultats - informe'!$E$16)*(C1646&lt;='Resultats - informe'!$G$16),1,0)</f>
        <v>1</v>
      </c>
      <c r="M1646" s="369" cm="1">
        <f t="array" ref="M1646">+_xlfn.IFS((C1646&gt;='Resultats - informe'!$D$26)*(C1646&lt;='Resultats - informe'!$E$26),0,(C1646&gt;='Resultats - informe'!$D$27)*(C1646&lt;='Resultats - informe'!$E$27),0,(C1646&gt;='Resultats - informe'!$D$28)*(C1646&lt;='Resultats - informe'!$E$28),0,(C1646&gt;='Resultats - informe'!$D$29)*(C1646&lt;='Resultats - informe'!$E$29),0,1,1)</f>
        <v>0</v>
      </c>
      <c r="N1646" s="366">
        <f>+VLOOKUP(D1646,'Resultats - informe'!$Y$18:$AG$42,'Introducció dades consum'!K1646+1,0)</f>
        <v>0</v>
      </c>
      <c r="O1646" s="370" cm="1">
        <f t="array" ref="O1646">+_xlfn.SWITCH(MONTH(C1646),1,1,2,1,3,1,4,2,5,2,6,3,7,3,8,3,9,3,10,2,11,2,12,1,2)</f>
        <v>1</v>
      </c>
      <c r="P1646" s="43"/>
      <c r="AS1646" s="10"/>
      <c r="AT1646" s="10"/>
      <c r="AU1646" s="10"/>
      <c r="AV1646" s="10"/>
      <c r="AW1646" s="10"/>
      <c r="AX1646" s="10"/>
      <c r="AY1646" s="10"/>
      <c r="AZ1646" s="10"/>
      <c r="BA1646" s="10"/>
      <c r="BB1646" s="10"/>
      <c r="BC1646" s="10"/>
      <c r="BD1646" s="10"/>
      <c r="BE1646" s="10"/>
      <c r="BF1646" s="10"/>
      <c r="BG1646" s="10"/>
      <c r="BH1646" s="10"/>
      <c r="BI1646" s="10"/>
      <c r="BJ1646" s="10"/>
      <c r="BK1646" s="10"/>
      <c r="BL1646" s="10"/>
      <c r="BM1646" s="10"/>
      <c r="BN1646" s="10"/>
      <c r="BO1646" s="10"/>
      <c r="BP1646" s="10"/>
      <c r="BQ1646" s="10"/>
      <c r="BR1646" s="10"/>
      <c r="BS1646" s="10"/>
      <c r="BT1646" s="10"/>
      <c r="BU1646" s="10"/>
    </row>
    <row r="1647" spans="1:73" ht="18" x14ac:dyDescent="0.35">
      <c r="A1647" s="43"/>
      <c r="C1647" s="393"/>
      <c r="E1647" s="394"/>
      <c r="F1647" s="394">
        <v>2.1539999999999999</v>
      </c>
      <c r="G1647" s="394"/>
      <c r="H1647" s="8" t="s">
        <v>235</v>
      </c>
      <c r="I1647" s="368">
        <f t="shared" si="76"/>
        <v>0</v>
      </c>
      <c r="J1647" s="365">
        <f t="shared" si="75"/>
        <v>0</v>
      </c>
      <c r="K1647" s="369">
        <f t="shared" si="77"/>
        <v>6</v>
      </c>
      <c r="L1647" s="369">
        <f>+IF((C1647&gt;='Resultats - informe'!$E$16)*(C1647&lt;='Resultats - informe'!$G$16),1,0)</f>
        <v>1</v>
      </c>
      <c r="M1647" s="369" cm="1">
        <f t="array" ref="M1647">+_xlfn.IFS((C1647&gt;='Resultats - informe'!$D$26)*(C1647&lt;='Resultats - informe'!$E$26),0,(C1647&gt;='Resultats - informe'!$D$27)*(C1647&lt;='Resultats - informe'!$E$27),0,(C1647&gt;='Resultats - informe'!$D$28)*(C1647&lt;='Resultats - informe'!$E$28),0,(C1647&gt;='Resultats - informe'!$D$29)*(C1647&lt;='Resultats - informe'!$E$29),0,1,1)</f>
        <v>0</v>
      </c>
      <c r="N1647" s="366">
        <f>+VLOOKUP(D1647,'Resultats - informe'!$Y$18:$AG$42,'Introducció dades consum'!K1647+1,0)</f>
        <v>0</v>
      </c>
      <c r="O1647" s="370" cm="1">
        <f t="array" ref="O1647">+_xlfn.SWITCH(MONTH(C1647),1,1,2,1,3,1,4,2,5,2,6,3,7,3,8,3,9,3,10,2,11,2,12,1,2)</f>
        <v>1</v>
      </c>
      <c r="P1647" s="43"/>
      <c r="AS1647" s="10"/>
      <c r="AT1647" s="10"/>
      <c r="AU1647" s="10"/>
      <c r="AV1647" s="10"/>
      <c r="AW1647" s="10"/>
      <c r="AX1647" s="10"/>
      <c r="AY1647" s="10"/>
      <c r="AZ1647" s="10"/>
      <c r="BA1647" s="10"/>
      <c r="BB1647" s="10"/>
      <c r="BC1647" s="10"/>
      <c r="BD1647" s="10"/>
      <c r="BE1647" s="10"/>
      <c r="BF1647" s="10"/>
      <c r="BG1647" s="10"/>
      <c r="BH1647" s="10"/>
      <c r="BI1647" s="10"/>
      <c r="BJ1647" s="10"/>
      <c r="BK1647" s="10"/>
      <c r="BL1647" s="10"/>
      <c r="BM1647" s="10"/>
      <c r="BN1647" s="10"/>
      <c r="BO1647" s="10"/>
      <c r="BP1647" s="10"/>
      <c r="BQ1647" s="10"/>
      <c r="BR1647" s="10"/>
      <c r="BS1647" s="10"/>
      <c r="BT1647" s="10"/>
      <c r="BU1647" s="10"/>
    </row>
    <row r="1648" spans="1:73" ht="18" x14ac:dyDescent="0.35">
      <c r="A1648" s="43"/>
      <c r="C1648" s="393"/>
      <c r="E1648" s="394"/>
      <c r="F1648" s="394">
        <v>2.2839999999999998</v>
      </c>
      <c r="G1648" s="394"/>
      <c r="H1648" s="8" t="s">
        <v>235</v>
      </c>
      <c r="I1648" s="368">
        <f t="shared" si="76"/>
        <v>0</v>
      </c>
      <c r="J1648" s="365">
        <f t="shared" si="75"/>
        <v>0</v>
      </c>
      <c r="K1648" s="369">
        <f t="shared" si="77"/>
        <v>6</v>
      </c>
      <c r="L1648" s="369">
        <f>+IF((C1648&gt;='Resultats - informe'!$E$16)*(C1648&lt;='Resultats - informe'!$G$16),1,0)</f>
        <v>1</v>
      </c>
      <c r="M1648" s="369" cm="1">
        <f t="array" ref="M1648">+_xlfn.IFS((C1648&gt;='Resultats - informe'!$D$26)*(C1648&lt;='Resultats - informe'!$E$26),0,(C1648&gt;='Resultats - informe'!$D$27)*(C1648&lt;='Resultats - informe'!$E$27),0,(C1648&gt;='Resultats - informe'!$D$28)*(C1648&lt;='Resultats - informe'!$E$28),0,(C1648&gt;='Resultats - informe'!$D$29)*(C1648&lt;='Resultats - informe'!$E$29),0,1,1)</f>
        <v>0</v>
      </c>
      <c r="N1648" s="366">
        <f>+VLOOKUP(D1648,'Resultats - informe'!$Y$18:$AG$42,'Introducció dades consum'!K1648+1,0)</f>
        <v>0</v>
      </c>
      <c r="O1648" s="370" cm="1">
        <f t="array" ref="O1648">+_xlfn.SWITCH(MONTH(C1648),1,1,2,1,3,1,4,2,5,2,6,3,7,3,8,3,9,3,10,2,11,2,12,1,2)</f>
        <v>1</v>
      </c>
      <c r="P1648" s="43"/>
      <c r="AS1648" s="10"/>
      <c r="AT1648" s="10"/>
      <c r="AU1648" s="10"/>
      <c r="AV1648" s="10"/>
      <c r="AW1648" s="10"/>
      <c r="AX1648" s="10"/>
      <c r="AY1648" s="10"/>
      <c r="AZ1648" s="10"/>
      <c r="BA1648" s="10"/>
      <c r="BB1648" s="10"/>
      <c r="BC1648" s="10"/>
      <c r="BD1648" s="10"/>
      <c r="BE1648" s="10"/>
      <c r="BF1648" s="10"/>
      <c r="BG1648" s="10"/>
      <c r="BH1648" s="10"/>
      <c r="BI1648" s="10"/>
      <c r="BJ1648" s="10"/>
      <c r="BK1648" s="10"/>
      <c r="BL1648" s="10"/>
      <c r="BM1648" s="10"/>
      <c r="BN1648" s="10"/>
      <c r="BO1648" s="10"/>
      <c r="BP1648" s="10"/>
      <c r="BQ1648" s="10"/>
      <c r="BR1648" s="10"/>
      <c r="BS1648" s="10"/>
      <c r="BT1648" s="10"/>
      <c r="BU1648" s="10"/>
    </row>
    <row r="1649" spans="1:73" ht="18" x14ac:dyDescent="0.35">
      <c r="A1649" s="43"/>
      <c r="C1649" s="393"/>
      <c r="E1649" s="394"/>
      <c r="F1649" s="394">
        <v>1.732</v>
      </c>
      <c r="G1649" s="394"/>
      <c r="H1649" s="8" t="s">
        <v>235</v>
      </c>
      <c r="I1649" s="368">
        <f t="shared" si="76"/>
        <v>0</v>
      </c>
      <c r="J1649" s="365">
        <f t="shared" si="75"/>
        <v>0</v>
      </c>
      <c r="K1649" s="369">
        <f t="shared" si="77"/>
        <v>6</v>
      </c>
      <c r="L1649" s="369">
        <f>+IF((C1649&gt;='Resultats - informe'!$E$16)*(C1649&lt;='Resultats - informe'!$G$16),1,0)</f>
        <v>1</v>
      </c>
      <c r="M1649" s="369" cm="1">
        <f t="array" ref="M1649">+_xlfn.IFS((C1649&gt;='Resultats - informe'!$D$26)*(C1649&lt;='Resultats - informe'!$E$26),0,(C1649&gt;='Resultats - informe'!$D$27)*(C1649&lt;='Resultats - informe'!$E$27),0,(C1649&gt;='Resultats - informe'!$D$28)*(C1649&lt;='Resultats - informe'!$E$28),0,(C1649&gt;='Resultats - informe'!$D$29)*(C1649&lt;='Resultats - informe'!$E$29),0,1,1)</f>
        <v>0</v>
      </c>
      <c r="N1649" s="366">
        <f>+VLOOKUP(D1649,'Resultats - informe'!$Y$18:$AG$42,'Introducció dades consum'!K1649+1,0)</f>
        <v>0</v>
      </c>
      <c r="O1649" s="370" cm="1">
        <f t="array" ref="O1649">+_xlfn.SWITCH(MONTH(C1649),1,1,2,1,3,1,4,2,5,2,6,3,7,3,8,3,9,3,10,2,11,2,12,1,2)</f>
        <v>1</v>
      </c>
      <c r="P1649" s="43"/>
      <c r="AS1649" s="10"/>
      <c r="AT1649" s="10"/>
      <c r="AU1649" s="10"/>
      <c r="AV1649" s="10"/>
      <c r="AW1649" s="10"/>
      <c r="AX1649" s="10"/>
      <c r="AY1649" s="10"/>
      <c r="AZ1649" s="10"/>
      <c r="BA1649" s="10"/>
      <c r="BB1649" s="10"/>
      <c r="BC1649" s="10"/>
      <c r="BD1649" s="10"/>
      <c r="BE1649" s="10"/>
      <c r="BF1649" s="10"/>
      <c r="BG1649" s="10"/>
      <c r="BH1649" s="10"/>
      <c r="BI1649" s="10"/>
      <c r="BJ1649" s="10"/>
      <c r="BK1649" s="10"/>
      <c r="BL1649" s="10"/>
      <c r="BM1649" s="10"/>
      <c r="BN1649" s="10"/>
      <c r="BO1649" s="10"/>
      <c r="BP1649" s="10"/>
      <c r="BQ1649" s="10"/>
      <c r="BR1649" s="10"/>
      <c r="BS1649" s="10"/>
      <c r="BT1649" s="10"/>
      <c r="BU1649" s="10"/>
    </row>
    <row r="1650" spans="1:73" ht="18" x14ac:dyDescent="0.35">
      <c r="A1650" s="43"/>
      <c r="C1650" s="393"/>
      <c r="E1650" s="394"/>
      <c r="F1650" s="394">
        <v>1.262</v>
      </c>
      <c r="G1650" s="394"/>
      <c r="H1650" s="8" t="s">
        <v>235</v>
      </c>
      <c r="I1650" s="368">
        <f t="shared" si="76"/>
        <v>0</v>
      </c>
      <c r="J1650" s="365">
        <f t="shared" si="75"/>
        <v>0</v>
      </c>
      <c r="K1650" s="369">
        <f t="shared" si="77"/>
        <v>6</v>
      </c>
      <c r="L1650" s="369">
        <f>+IF((C1650&gt;='Resultats - informe'!$E$16)*(C1650&lt;='Resultats - informe'!$G$16),1,0)</f>
        <v>1</v>
      </c>
      <c r="M1650" s="369" cm="1">
        <f t="array" ref="M1650">+_xlfn.IFS((C1650&gt;='Resultats - informe'!$D$26)*(C1650&lt;='Resultats - informe'!$E$26),0,(C1650&gt;='Resultats - informe'!$D$27)*(C1650&lt;='Resultats - informe'!$E$27),0,(C1650&gt;='Resultats - informe'!$D$28)*(C1650&lt;='Resultats - informe'!$E$28),0,(C1650&gt;='Resultats - informe'!$D$29)*(C1650&lt;='Resultats - informe'!$E$29),0,1,1)</f>
        <v>0</v>
      </c>
      <c r="N1650" s="366">
        <f>+VLOOKUP(D1650,'Resultats - informe'!$Y$18:$AG$42,'Introducció dades consum'!K1650+1,0)</f>
        <v>0</v>
      </c>
      <c r="O1650" s="370" cm="1">
        <f t="array" ref="O1650">+_xlfn.SWITCH(MONTH(C1650),1,1,2,1,3,1,4,2,5,2,6,3,7,3,8,3,9,3,10,2,11,2,12,1,2)</f>
        <v>1</v>
      </c>
      <c r="P1650" s="43"/>
      <c r="AS1650" s="10"/>
      <c r="AT1650" s="10"/>
      <c r="AU1650" s="10"/>
      <c r="AV1650" s="10"/>
      <c r="AW1650" s="10"/>
      <c r="AX1650" s="10"/>
      <c r="AY1650" s="10"/>
      <c r="AZ1650" s="10"/>
      <c r="BA1650" s="10"/>
      <c r="BB1650" s="10"/>
      <c r="BC1650" s="10"/>
      <c r="BD1650" s="10"/>
      <c r="BE1650" s="10"/>
      <c r="BF1650" s="10"/>
      <c r="BG1650" s="10"/>
      <c r="BH1650" s="10"/>
      <c r="BI1650" s="10"/>
      <c r="BJ1650" s="10"/>
      <c r="BK1650" s="10"/>
      <c r="BL1650" s="10"/>
      <c r="BM1650" s="10"/>
      <c r="BN1650" s="10"/>
      <c r="BO1650" s="10"/>
      <c r="BP1650" s="10"/>
      <c r="BQ1650" s="10"/>
      <c r="BR1650" s="10"/>
      <c r="BS1650" s="10"/>
      <c r="BT1650" s="10"/>
      <c r="BU1650" s="10"/>
    </row>
    <row r="1651" spans="1:73" ht="18" x14ac:dyDescent="0.35">
      <c r="A1651" s="43"/>
      <c r="C1651" s="393"/>
      <c r="E1651" s="394"/>
      <c r="F1651" s="394">
        <v>1.599</v>
      </c>
      <c r="G1651" s="394"/>
      <c r="H1651" s="8" t="s">
        <v>235</v>
      </c>
      <c r="I1651" s="368">
        <f t="shared" si="76"/>
        <v>0</v>
      </c>
      <c r="J1651" s="365">
        <f t="shared" si="75"/>
        <v>0</v>
      </c>
      <c r="K1651" s="369">
        <f t="shared" si="77"/>
        <v>6</v>
      </c>
      <c r="L1651" s="369">
        <f>+IF((C1651&gt;='Resultats - informe'!$E$16)*(C1651&lt;='Resultats - informe'!$G$16),1,0)</f>
        <v>1</v>
      </c>
      <c r="M1651" s="369" cm="1">
        <f t="array" ref="M1651">+_xlfn.IFS((C1651&gt;='Resultats - informe'!$D$26)*(C1651&lt;='Resultats - informe'!$E$26),0,(C1651&gt;='Resultats - informe'!$D$27)*(C1651&lt;='Resultats - informe'!$E$27),0,(C1651&gt;='Resultats - informe'!$D$28)*(C1651&lt;='Resultats - informe'!$E$28),0,(C1651&gt;='Resultats - informe'!$D$29)*(C1651&lt;='Resultats - informe'!$E$29),0,1,1)</f>
        <v>0</v>
      </c>
      <c r="N1651" s="366">
        <f>+VLOOKUP(D1651,'Resultats - informe'!$Y$18:$AG$42,'Introducció dades consum'!K1651+1,0)</f>
        <v>0</v>
      </c>
      <c r="O1651" s="370" cm="1">
        <f t="array" ref="O1651">+_xlfn.SWITCH(MONTH(C1651),1,1,2,1,3,1,4,2,5,2,6,3,7,3,8,3,9,3,10,2,11,2,12,1,2)</f>
        <v>1</v>
      </c>
      <c r="P1651" s="43"/>
      <c r="AS1651" s="10"/>
      <c r="AT1651" s="10"/>
      <c r="AU1651" s="10"/>
      <c r="AV1651" s="10"/>
      <c r="AW1651" s="10"/>
      <c r="AX1651" s="10"/>
      <c r="AY1651" s="10"/>
      <c r="AZ1651" s="10"/>
      <c r="BA1651" s="10"/>
      <c r="BB1651" s="10"/>
      <c r="BC1651" s="10"/>
      <c r="BD1651" s="10"/>
      <c r="BE1651" s="10"/>
      <c r="BF1651" s="10"/>
      <c r="BG1651" s="10"/>
      <c r="BH1651" s="10"/>
      <c r="BI1651" s="10"/>
      <c r="BJ1651" s="10"/>
      <c r="BK1651" s="10"/>
      <c r="BL1651" s="10"/>
      <c r="BM1651" s="10"/>
      <c r="BN1651" s="10"/>
      <c r="BO1651" s="10"/>
      <c r="BP1651" s="10"/>
      <c r="BQ1651" s="10"/>
      <c r="BR1651" s="10"/>
      <c r="BS1651" s="10"/>
      <c r="BT1651" s="10"/>
      <c r="BU1651" s="10"/>
    </row>
    <row r="1652" spans="1:73" ht="18" x14ac:dyDescent="0.35">
      <c r="A1652" s="43"/>
      <c r="C1652" s="393"/>
      <c r="E1652" s="394"/>
      <c r="F1652" s="394">
        <v>0.51800000000000002</v>
      </c>
      <c r="G1652" s="394"/>
      <c r="H1652" s="8" t="s">
        <v>235</v>
      </c>
      <c r="I1652" s="368">
        <f t="shared" si="76"/>
        <v>0</v>
      </c>
      <c r="J1652" s="365">
        <f t="shared" si="75"/>
        <v>0</v>
      </c>
      <c r="K1652" s="369">
        <f t="shared" si="77"/>
        <v>6</v>
      </c>
      <c r="L1652" s="369">
        <f>+IF((C1652&gt;='Resultats - informe'!$E$16)*(C1652&lt;='Resultats - informe'!$G$16),1,0)</f>
        <v>1</v>
      </c>
      <c r="M1652" s="369" cm="1">
        <f t="array" ref="M1652">+_xlfn.IFS((C1652&gt;='Resultats - informe'!$D$26)*(C1652&lt;='Resultats - informe'!$E$26),0,(C1652&gt;='Resultats - informe'!$D$27)*(C1652&lt;='Resultats - informe'!$E$27),0,(C1652&gt;='Resultats - informe'!$D$28)*(C1652&lt;='Resultats - informe'!$E$28),0,(C1652&gt;='Resultats - informe'!$D$29)*(C1652&lt;='Resultats - informe'!$E$29),0,1,1)</f>
        <v>0</v>
      </c>
      <c r="N1652" s="366">
        <f>+VLOOKUP(D1652,'Resultats - informe'!$Y$18:$AG$42,'Introducció dades consum'!K1652+1,0)</f>
        <v>0</v>
      </c>
      <c r="O1652" s="370" cm="1">
        <f t="array" ref="O1652">+_xlfn.SWITCH(MONTH(C1652),1,1,2,1,3,1,4,2,5,2,6,3,7,3,8,3,9,3,10,2,11,2,12,1,2)</f>
        <v>1</v>
      </c>
      <c r="P1652" s="43"/>
      <c r="AS1652" s="10"/>
      <c r="AT1652" s="10"/>
      <c r="AU1652" s="10"/>
      <c r="AV1652" s="10"/>
      <c r="AW1652" s="10"/>
      <c r="AX1652" s="10"/>
      <c r="AY1652" s="10"/>
      <c r="AZ1652" s="10"/>
      <c r="BA1652" s="10"/>
      <c r="BB1652" s="10"/>
      <c r="BC1652" s="10"/>
      <c r="BD1652" s="10"/>
      <c r="BE1652" s="10"/>
      <c r="BF1652" s="10"/>
      <c r="BG1652" s="10"/>
      <c r="BH1652" s="10"/>
      <c r="BI1652" s="10"/>
      <c r="BJ1652" s="10"/>
      <c r="BK1652" s="10"/>
      <c r="BL1652" s="10"/>
      <c r="BM1652" s="10"/>
      <c r="BN1652" s="10"/>
      <c r="BO1652" s="10"/>
      <c r="BP1652" s="10"/>
      <c r="BQ1652" s="10"/>
      <c r="BR1652" s="10"/>
      <c r="BS1652" s="10"/>
      <c r="BT1652" s="10"/>
      <c r="BU1652" s="10"/>
    </row>
    <row r="1653" spans="1:73" ht="18" x14ac:dyDescent="0.35">
      <c r="A1653" s="43"/>
      <c r="C1653" s="393"/>
      <c r="E1653" s="394"/>
      <c r="F1653" s="394">
        <v>0</v>
      </c>
      <c r="G1653" s="394"/>
      <c r="H1653" s="8" t="s">
        <v>235</v>
      </c>
      <c r="I1653" s="368">
        <f t="shared" si="76"/>
        <v>0</v>
      </c>
      <c r="J1653" s="365">
        <f t="shared" si="75"/>
        <v>0</v>
      </c>
      <c r="K1653" s="369">
        <f t="shared" si="77"/>
        <v>6</v>
      </c>
      <c r="L1653" s="369">
        <f>+IF((C1653&gt;='Resultats - informe'!$E$16)*(C1653&lt;='Resultats - informe'!$G$16),1,0)</f>
        <v>1</v>
      </c>
      <c r="M1653" s="369" cm="1">
        <f t="array" ref="M1653">+_xlfn.IFS((C1653&gt;='Resultats - informe'!$D$26)*(C1653&lt;='Resultats - informe'!$E$26),0,(C1653&gt;='Resultats - informe'!$D$27)*(C1653&lt;='Resultats - informe'!$E$27),0,(C1653&gt;='Resultats - informe'!$D$28)*(C1653&lt;='Resultats - informe'!$E$28),0,(C1653&gt;='Resultats - informe'!$D$29)*(C1653&lt;='Resultats - informe'!$E$29),0,1,1)</f>
        <v>0</v>
      </c>
      <c r="N1653" s="366">
        <f>+VLOOKUP(D1653,'Resultats - informe'!$Y$18:$AG$42,'Introducció dades consum'!K1653+1,0)</f>
        <v>0</v>
      </c>
      <c r="O1653" s="370" cm="1">
        <f t="array" ref="O1653">+_xlfn.SWITCH(MONTH(C1653),1,1,2,1,3,1,4,2,5,2,6,3,7,3,8,3,9,3,10,2,11,2,12,1,2)</f>
        <v>1</v>
      </c>
      <c r="P1653" s="43"/>
      <c r="AS1653" s="10"/>
      <c r="AT1653" s="10"/>
      <c r="AU1653" s="10"/>
      <c r="AV1653" s="10"/>
      <c r="AW1653" s="10"/>
      <c r="AX1653" s="10"/>
      <c r="AY1653" s="10"/>
      <c r="AZ1653" s="10"/>
      <c r="BA1653" s="10"/>
      <c r="BB1653" s="10"/>
      <c r="BC1653" s="10"/>
      <c r="BD1653" s="10"/>
      <c r="BE1653" s="10"/>
      <c r="BF1653" s="10"/>
      <c r="BG1653" s="10"/>
      <c r="BH1653" s="10"/>
      <c r="BI1653" s="10"/>
      <c r="BJ1653" s="10"/>
      <c r="BK1653" s="10"/>
      <c r="BL1653" s="10"/>
      <c r="BM1653" s="10"/>
      <c r="BN1653" s="10"/>
      <c r="BO1653" s="10"/>
      <c r="BP1653" s="10"/>
      <c r="BQ1653" s="10"/>
      <c r="BR1653" s="10"/>
      <c r="BS1653" s="10"/>
      <c r="BT1653" s="10"/>
      <c r="BU1653" s="10"/>
    </row>
    <row r="1654" spans="1:73" ht="18" x14ac:dyDescent="0.35">
      <c r="A1654" s="43"/>
      <c r="C1654" s="393"/>
      <c r="E1654" s="394"/>
      <c r="F1654" s="394">
        <v>0</v>
      </c>
      <c r="G1654" s="394"/>
      <c r="H1654" s="8" t="s">
        <v>235</v>
      </c>
      <c r="I1654" s="368">
        <f t="shared" si="76"/>
        <v>0</v>
      </c>
      <c r="J1654" s="365">
        <f t="shared" si="75"/>
        <v>0</v>
      </c>
      <c r="K1654" s="369">
        <f t="shared" si="77"/>
        <v>6</v>
      </c>
      <c r="L1654" s="369">
        <f>+IF((C1654&gt;='Resultats - informe'!$E$16)*(C1654&lt;='Resultats - informe'!$G$16),1,0)</f>
        <v>1</v>
      </c>
      <c r="M1654" s="369" cm="1">
        <f t="array" ref="M1654">+_xlfn.IFS((C1654&gt;='Resultats - informe'!$D$26)*(C1654&lt;='Resultats - informe'!$E$26),0,(C1654&gt;='Resultats - informe'!$D$27)*(C1654&lt;='Resultats - informe'!$E$27),0,(C1654&gt;='Resultats - informe'!$D$28)*(C1654&lt;='Resultats - informe'!$E$28),0,(C1654&gt;='Resultats - informe'!$D$29)*(C1654&lt;='Resultats - informe'!$E$29),0,1,1)</f>
        <v>0</v>
      </c>
      <c r="N1654" s="366">
        <f>+VLOOKUP(D1654,'Resultats - informe'!$Y$18:$AG$42,'Introducció dades consum'!K1654+1,0)</f>
        <v>0</v>
      </c>
      <c r="O1654" s="370" cm="1">
        <f t="array" ref="O1654">+_xlfn.SWITCH(MONTH(C1654),1,1,2,1,3,1,4,2,5,2,6,3,7,3,8,3,9,3,10,2,11,2,12,1,2)</f>
        <v>1</v>
      </c>
      <c r="P1654" s="43"/>
      <c r="AS1654" s="10"/>
      <c r="AT1654" s="10"/>
      <c r="AU1654" s="10"/>
      <c r="AV1654" s="10"/>
      <c r="AW1654" s="10"/>
      <c r="AX1654" s="10"/>
      <c r="AY1654" s="10"/>
      <c r="AZ1654" s="10"/>
      <c r="BA1654" s="10"/>
      <c r="BB1654" s="10"/>
      <c r="BC1654" s="10"/>
      <c r="BD1654" s="10"/>
      <c r="BE1654" s="10"/>
      <c r="BF1654" s="10"/>
      <c r="BG1654" s="10"/>
      <c r="BH1654" s="10"/>
      <c r="BI1654" s="10"/>
      <c r="BJ1654" s="10"/>
      <c r="BK1654" s="10"/>
      <c r="BL1654" s="10"/>
      <c r="BM1654" s="10"/>
      <c r="BN1654" s="10"/>
      <c r="BO1654" s="10"/>
      <c r="BP1654" s="10"/>
      <c r="BQ1654" s="10"/>
      <c r="BR1654" s="10"/>
      <c r="BS1654" s="10"/>
      <c r="BT1654" s="10"/>
      <c r="BU1654" s="10"/>
    </row>
    <row r="1655" spans="1:73" ht="18" x14ac:dyDescent="0.35">
      <c r="A1655" s="43"/>
      <c r="C1655" s="393"/>
      <c r="E1655" s="394"/>
      <c r="F1655" s="394">
        <v>0</v>
      </c>
      <c r="G1655" s="394"/>
      <c r="H1655" s="8" t="s">
        <v>61</v>
      </c>
      <c r="I1655" s="368">
        <f t="shared" si="76"/>
        <v>0</v>
      </c>
      <c r="J1655" s="365">
        <f t="shared" si="75"/>
        <v>0</v>
      </c>
      <c r="K1655" s="369">
        <f t="shared" si="77"/>
        <v>6</v>
      </c>
      <c r="L1655" s="369">
        <f>+IF((C1655&gt;='Resultats - informe'!$E$16)*(C1655&lt;='Resultats - informe'!$G$16),1,0)</f>
        <v>1</v>
      </c>
      <c r="M1655" s="369" cm="1">
        <f t="array" ref="M1655">+_xlfn.IFS((C1655&gt;='Resultats - informe'!$D$26)*(C1655&lt;='Resultats - informe'!$E$26),0,(C1655&gt;='Resultats - informe'!$D$27)*(C1655&lt;='Resultats - informe'!$E$27),0,(C1655&gt;='Resultats - informe'!$D$28)*(C1655&lt;='Resultats - informe'!$E$28),0,(C1655&gt;='Resultats - informe'!$D$29)*(C1655&lt;='Resultats - informe'!$E$29),0,1,1)</f>
        <v>0</v>
      </c>
      <c r="N1655" s="366">
        <f>+VLOOKUP(D1655,'Resultats - informe'!$Y$18:$AG$42,'Introducció dades consum'!K1655+1,0)</f>
        <v>0</v>
      </c>
      <c r="O1655" s="370" cm="1">
        <f t="array" ref="O1655">+_xlfn.SWITCH(MONTH(C1655),1,1,2,1,3,1,4,2,5,2,6,3,7,3,8,3,9,3,10,2,11,2,12,1,2)</f>
        <v>1</v>
      </c>
      <c r="P1655" s="43"/>
      <c r="AS1655" s="10"/>
      <c r="AT1655" s="10"/>
      <c r="AU1655" s="10"/>
      <c r="AV1655" s="10"/>
      <c r="AW1655" s="10"/>
      <c r="AX1655" s="10"/>
      <c r="AY1655" s="10"/>
      <c r="AZ1655" s="10"/>
      <c r="BA1655" s="10"/>
      <c r="BB1655" s="10"/>
      <c r="BC1655" s="10"/>
      <c r="BD1655" s="10"/>
      <c r="BE1655" s="10"/>
      <c r="BF1655" s="10"/>
      <c r="BG1655" s="10"/>
      <c r="BH1655" s="10"/>
      <c r="BI1655" s="10"/>
      <c r="BJ1655" s="10"/>
      <c r="BK1655" s="10"/>
      <c r="BL1655" s="10"/>
      <c r="BM1655" s="10"/>
      <c r="BN1655" s="10"/>
      <c r="BO1655" s="10"/>
      <c r="BP1655" s="10"/>
      <c r="BQ1655" s="10"/>
      <c r="BR1655" s="10"/>
      <c r="BS1655" s="10"/>
      <c r="BT1655" s="10"/>
      <c r="BU1655" s="10"/>
    </row>
    <row r="1656" spans="1:73" ht="18" x14ac:dyDescent="0.35">
      <c r="A1656" s="43"/>
      <c r="C1656" s="393"/>
      <c r="E1656" s="394"/>
      <c r="F1656" s="394">
        <v>0</v>
      </c>
      <c r="G1656" s="394"/>
      <c r="H1656" s="8" t="s">
        <v>235</v>
      </c>
      <c r="I1656" s="368">
        <f t="shared" si="76"/>
        <v>0</v>
      </c>
      <c r="J1656" s="365">
        <f t="shared" si="75"/>
        <v>0</v>
      </c>
      <c r="K1656" s="369">
        <f t="shared" si="77"/>
        <v>6</v>
      </c>
      <c r="L1656" s="369">
        <f>+IF((C1656&gt;='Resultats - informe'!$E$16)*(C1656&lt;='Resultats - informe'!$G$16),1,0)</f>
        <v>1</v>
      </c>
      <c r="M1656" s="369" cm="1">
        <f t="array" ref="M1656">+_xlfn.IFS((C1656&gt;='Resultats - informe'!$D$26)*(C1656&lt;='Resultats - informe'!$E$26),0,(C1656&gt;='Resultats - informe'!$D$27)*(C1656&lt;='Resultats - informe'!$E$27),0,(C1656&gt;='Resultats - informe'!$D$28)*(C1656&lt;='Resultats - informe'!$E$28),0,(C1656&gt;='Resultats - informe'!$D$29)*(C1656&lt;='Resultats - informe'!$E$29),0,1,1)</f>
        <v>0</v>
      </c>
      <c r="N1656" s="366">
        <f>+VLOOKUP(D1656,'Resultats - informe'!$Y$18:$AG$42,'Introducció dades consum'!K1656+1,0)</f>
        <v>0</v>
      </c>
      <c r="O1656" s="370" cm="1">
        <f t="array" ref="O1656">+_xlfn.SWITCH(MONTH(C1656),1,1,2,1,3,1,4,2,5,2,6,3,7,3,8,3,9,3,10,2,11,2,12,1,2)</f>
        <v>1</v>
      </c>
      <c r="P1656" s="43"/>
      <c r="AS1656" s="10"/>
      <c r="AT1656" s="10"/>
      <c r="AU1656" s="10"/>
      <c r="AV1656" s="10"/>
      <c r="AW1656" s="10"/>
      <c r="AX1656" s="10"/>
      <c r="AY1656" s="10"/>
      <c r="AZ1656" s="10"/>
      <c r="BA1656" s="10"/>
      <c r="BB1656" s="10"/>
      <c r="BC1656" s="10"/>
      <c r="BD1656" s="10"/>
      <c r="BE1656" s="10"/>
      <c r="BF1656" s="10"/>
      <c r="BG1656" s="10"/>
      <c r="BH1656" s="10"/>
      <c r="BI1656" s="10"/>
      <c r="BJ1656" s="10"/>
      <c r="BK1656" s="10"/>
      <c r="BL1656" s="10"/>
      <c r="BM1656" s="10"/>
      <c r="BN1656" s="10"/>
      <c r="BO1656" s="10"/>
      <c r="BP1656" s="10"/>
      <c r="BQ1656" s="10"/>
      <c r="BR1656" s="10"/>
      <c r="BS1656" s="10"/>
      <c r="BT1656" s="10"/>
      <c r="BU1656" s="10"/>
    </row>
    <row r="1657" spans="1:73" ht="18" x14ac:dyDescent="0.35">
      <c r="A1657" s="43"/>
      <c r="C1657" s="393"/>
      <c r="E1657" s="394"/>
      <c r="F1657" s="394">
        <v>0</v>
      </c>
      <c r="G1657" s="394"/>
      <c r="H1657" s="8" t="s">
        <v>235</v>
      </c>
      <c r="I1657" s="368">
        <f t="shared" si="76"/>
        <v>0</v>
      </c>
      <c r="J1657" s="365">
        <f t="shared" si="75"/>
        <v>0</v>
      </c>
      <c r="K1657" s="369">
        <f t="shared" si="77"/>
        <v>6</v>
      </c>
      <c r="L1657" s="369">
        <f>+IF((C1657&gt;='Resultats - informe'!$E$16)*(C1657&lt;='Resultats - informe'!$G$16),1,0)</f>
        <v>1</v>
      </c>
      <c r="M1657" s="369" cm="1">
        <f t="array" ref="M1657">+_xlfn.IFS((C1657&gt;='Resultats - informe'!$D$26)*(C1657&lt;='Resultats - informe'!$E$26),0,(C1657&gt;='Resultats - informe'!$D$27)*(C1657&lt;='Resultats - informe'!$E$27),0,(C1657&gt;='Resultats - informe'!$D$28)*(C1657&lt;='Resultats - informe'!$E$28),0,(C1657&gt;='Resultats - informe'!$D$29)*(C1657&lt;='Resultats - informe'!$E$29),0,1,1)</f>
        <v>0</v>
      </c>
      <c r="N1657" s="366">
        <f>+VLOOKUP(D1657,'Resultats - informe'!$Y$18:$AG$42,'Introducció dades consum'!K1657+1,0)</f>
        <v>0</v>
      </c>
      <c r="O1657" s="370" cm="1">
        <f t="array" ref="O1657">+_xlfn.SWITCH(MONTH(C1657),1,1,2,1,3,1,4,2,5,2,6,3,7,3,8,3,9,3,10,2,11,2,12,1,2)</f>
        <v>1</v>
      </c>
      <c r="P1657" s="43"/>
      <c r="AS1657" s="10"/>
      <c r="AT1657" s="10"/>
      <c r="AU1657" s="10"/>
      <c r="AV1657" s="10"/>
      <c r="AW1657" s="10"/>
      <c r="AX1657" s="10"/>
      <c r="AY1657" s="10"/>
      <c r="AZ1657" s="10"/>
      <c r="BA1657" s="10"/>
      <c r="BB1657" s="10"/>
      <c r="BC1657" s="10"/>
      <c r="BD1657" s="10"/>
      <c r="BE1657" s="10"/>
      <c r="BF1657" s="10"/>
      <c r="BG1657" s="10"/>
      <c r="BH1657" s="10"/>
      <c r="BI1657" s="10"/>
      <c r="BJ1657" s="10"/>
      <c r="BK1657" s="10"/>
      <c r="BL1657" s="10"/>
      <c r="BM1657" s="10"/>
      <c r="BN1657" s="10"/>
      <c r="BO1657" s="10"/>
      <c r="BP1657" s="10"/>
      <c r="BQ1657" s="10"/>
      <c r="BR1657" s="10"/>
      <c r="BS1657" s="10"/>
      <c r="BT1657" s="10"/>
      <c r="BU1657" s="10"/>
    </row>
    <row r="1658" spans="1:73" ht="18" x14ac:dyDescent="0.35">
      <c r="A1658" s="43"/>
      <c r="C1658" s="393"/>
      <c r="E1658" s="394"/>
      <c r="F1658" s="394">
        <v>0</v>
      </c>
      <c r="G1658" s="394"/>
      <c r="H1658" s="8" t="s">
        <v>235</v>
      </c>
      <c r="I1658" s="368">
        <f t="shared" si="76"/>
        <v>0</v>
      </c>
      <c r="J1658" s="365">
        <f t="shared" si="75"/>
        <v>0</v>
      </c>
      <c r="K1658" s="369">
        <f t="shared" si="77"/>
        <v>6</v>
      </c>
      <c r="L1658" s="369">
        <f>+IF((C1658&gt;='Resultats - informe'!$E$16)*(C1658&lt;='Resultats - informe'!$G$16),1,0)</f>
        <v>1</v>
      </c>
      <c r="M1658" s="369" cm="1">
        <f t="array" ref="M1658">+_xlfn.IFS((C1658&gt;='Resultats - informe'!$D$26)*(C1658&lt;='Resultats - informe'!$E$26),0,(C1658&gt;='Resultats - informe'!$D$27)*(C1658&lt;='Resultats - informe'!$E$27),0,(C1658&gt;='Resultats - informe'!$D$28)*(C1658&lt;='Resultats - informe'!$E$28),0,(C1658&gt;='Resultats - informe'!$D$29)*(C1658&lt;='Resultats - informe'!$E$29),0,1,1)</f>
        <v>0</v>
      </c>
      <c r="N1658" s="366">
        <f>+VLOOKUP(D1658,'Resultats - informe'!$Y$18:$AG$42,'Introducció dades consum'!K1658+1,0)</f>
        <v>0</v>
      </c>
      <c r="O1658" s="370" cm="1">
        <f t="array" ref="O1658">+_xlfn.SWITCH(MONTH(C1658),1,1,2,1,3,1,4,2,5,2,6,3,7,3,8,3,9,3,10,2,11,2,12,1,2)</f>
        <v>1</v>
      </c>
      <c r="P1658" s="43"/>
      <c r="AS1658" s="10"/>
      <c r="AT1658" s="10"/>
      <c r="AU1658" s="10"/>
      <c r="AV1658" s="10"/>
      <c r="AW1658" s="10"/>
      <c r="AX1658" s="10"/>
      <c r="AY1658" s="10"/>
      <c r="AZ1658" s="10"/>
      <c r="BA1658" s="10"/>
      <c r="BB1658" s="10"/>
      <c r="BC1658" s="10"/>
      <c r="BD1658" s="10"/>
      <c r="BE1658" s="10"/>
      <c r="BF1658" s="10"/>
      <c r="BG1658" s="10"/>
      <c r="BH1658" s="10"/>
      <c r="BI1658" s="10"/>
      <c r="BJ1658" s="10"/>
      <c r="BK1658" s="10"/>
      <c r="BL1658" s="10"/>
      <c r="BM1658" s="10"/>
      <c r="BN1658" s="10"/>
      <c r="BO1658" s="10"/>
      <c r="BP1658" s="10"/>
      <c r="BQ1658" s="10"/>
      <c r="BR1658" s="10"/>
      <c r="BS1658" s="10"/>
      <c r="BT1658" s="10"/>
      <c r="BU1658" s="10"/>
    </row>
    <row r="1659" spans="1:73" ht="18" x14ac:dyDescent="0.35">
      <c r="A1659" s="43"/>
      <c r="C1659" s="393"/>
      <c r="E1659" s="394"/>
      <c r="F1659" s="394">
        <v>0</v>
      </c>
      <c r="G1659" s="394"/>
      <c r="H1659" s="8" t="s">
        <v>235</v>
      </c>
      <c r="I1659" s="368">
        <f t="shared" si="76"/>
        <v>0</v>
      </c>
      <c r="J1659" s="365">
        <f t="shared" ref="J1659:J1722" si="78">+C1659</f>
        <v>0</v>
      </c>
      <c r="K1659" s="369">
        <f t="shared" si="77"/>
        <v>6</v>
      </c>
      <c r="L1659" s="369">
        <f>+IF((C1659&gt;='Resultats - informe'!$E$16)*(C1659&lt;='Resultats - informe'!$G$16),1,0)</f>
        <v>1</v>
      </c>
      <c r="M1659" s="369" cm="1">
        <f t="array" ref="M1659">+_xlfn.IFS((C1659&gt;='Resultats - informe'!$D$26)*(C1659&lt;='Resultats - informe'!$E$26),0,(C1659&gt;='Resultats - informe'!$D$27)*(C1659&lt;='Resultats - informe'!$E$27),0,(C1659&gt;='Resultats - informe'!$D$28)*(C1659&lt;='Resultats - informe'!$E$28),0,(C1659&gt;='Resultats - informe'!$D$29)*(C1659&lt;='Resultats - informe'!$E$29),0,1,1)</f>
        <v>0</v>
      </c>
      <c r="N1659" s="366">
        <f>+VLOOKUP(D1659,'Resultats - informe'!$Y$18:$AG$42,'Introducció dades consum'!K1659+1,0)</f>
        <v>0</v>
      </c>
      <c r="O1659" s="370" cm="1">
        <f t="array" ref="O1659">+_xlfn.SWITCH(MONTH(C1659),1,1,2,1,3,1,4,2,5,2,6,3,7,3,8,3,9,3,10,2,11,2,12,1,2)</f>
        <v>1</v>
      </c>
      <c r="P1659" s="43"/>
      <c r="AS1659" s="10"/>
      <c r="AT1659" s="10"/>
      <c r="AU1659" s="10"/>
      <c r="AV1659" s="10"/>
      <c r="AW1659" s="10"/>
      <c r="AX1659" s="10"/>
      <c r="AY1659" s="10"/>
      <c r="AZ1659" s="10"/>
      <c r="BA1659" s="10"/>
      <c r="BB1659" s="10"/>
      <c r="BC1659" s="10"/>
      <c r="BD1659" s="10"/>
      <c r="BE1659" s="10"/>
      <c r="BF1659" s="10"/>
      <c r="BG1659" s="10"/>
      <c r="BH1659" s="10"/>
      <c r="BI1659" s="10"/>
      <c r="BJ1659" s="10"/>
      <c r="BK1659" s="10"/>
      <c r="BL1659" s="10"/>
      <c r="BM1659" s="10"/>
      <c r="BN1659" s="10"/>
      <c r="BO1659" s="10"/>
      <c r="BP1659" s="10"/>
      <c r="BQ1659" s="10"/>
      <c r="BR1659" s="10"/>
      <c r="BS1659" s="10"/>
      <c r="BT1659" s="10"/>
      <c r="BU1659" s="10"/>
    </row>
    <row r="1660" spans="1:73" ht="18" x14ac:dyDescent="0.35">
      <c r="A1660" s="43"/>
      <c r="C1660" s="393"/>
      <c r="E1660" s="394"/>
      <c r="F1660" s="394">
        <v>0</v>
      </c>
      <c r="G1660" s="394"/>
      <c r="H1660" s="8" t="s">
        <v>235</v>
      </c>
      <c r="I1660" s="368">
        <f t="shared" si="76"/>
        <v>0</v>
      </c>
      <c r="J1660" s="365">
        <f t="shared" si="78"/>
        <v>0</v>
      </c>
      <c r="K1660" s="369">
        <f t="shared" si="77"/>
        <v>6</v>
      </c>
      <c r="L1660" s="369">
        <f>+IF((C1660&gt;='Resultats - informe'!$E$16)*(C1660&lt;='Resultats - informe'!$G$16),1,0)</f>
        <v>1</v>
      </c>
      <c r="M1660" s="369" cm="1">
        <f t="array" ref="M1660">+_xlfn.IFS((C1660&gt;='Resultats - informe'!$D$26)*(C1660&lt;='Resultats - informe'!$E$26),0,(C1660&gt;='Resultats - informe'!$D$27)*(C1660&lt;='Resultats - informe'!$E$27),0,(C1660&gt;='Resultats - informe'!$D$28)*(C1660&lt;='Resultats - informe'!$E$28),0,(C1660&gt;='Resultats - informe'!$D$29)*(C1660&lt;='Resultats - informe'!$E$29),0,1,1)</f>
        <v>0</v>
      </c>
      <c r="N1660" s="366">
        <f>+VLOOKUP(D1660,'Resultats - informe'!$Y$18:$AG$42,'Introducció dades consum'!K1660+1,0)</f>
        <v>0</v>
      </c>
      <c r="O1660" s="370" cm="1">
        <f t="array" ref="O1660">+_xlfn.SWITCH(MONTH(C1660),1,1,2,1,3,1,4,2,5,2,6,3,7,3,8,3,9,3,10,2,11,2,12,1,2)</f>
        <v>1</v>
      </c>
      <c r="P1660" s="43"/>
      <c r="AS1660" s="10"/>
      <c r="AT1660" s="10"/>
      <c r="AU1660" s="10"/>
      <c r="AV1660" s="10"/>
      <c r="AW1660" s="10"/>
      <c r="AX1660" s="10"/>
      <c r="AY1660" s="10"/>
      <c r="AZ1660" s="10"/>
      <c r="BA1660" s="10"/>
      <c r="BB1660" s="10"/>
      <c r="BC1660" s="10"/>
      <c r="BD1660" s="10"/>
      <c r="BE1660" s="10"/>
      <c r="BF1660" s="10"/>
      <c r="BG1660" s="10"/>
      <c r="BH1660" s="10"/>
      <c r="BI1660" s="10"/>
      <c r="BJ1660" s="10"/>
      <c r="BK1660" s="10"/>
      <c r="BL1660" s="10"/>
      <c r="BM1660" s="10"/>
      <c r="BN1660" s="10"/>
      <c r="BO1660" s="10"/>
      <c r="BP1660" s="10"/>
      <c r="BQ1660" s="10"/>
      <c r="BR1660" s="10"/>
      <c r="BS1660" s="10"/>
      <c r="BT1660" s="10"/>
      <c r="BU1660" s="10"/>
    </row>
    <row r="1661" spans="1:73" ht="18" x14ac:dyDescent="0.35">
      <c r="A1661" s="43"/>
      <c r="C1661" s="393"/>
      <c r="E1661" s="394"/>
      <c r="F1661" s="394">
        <v>0</v>
      </c>
      <c r="G1661" s="394"/>
      <c r="H1661" s="8" t="s">
        <v>235</v>
      </c>
      <c r="I1661" s="368">
        <f t="shared" si="76"/>
        <v>0</v>
      </c>
      <c r="J1661" s="365">
        <f t="shared" si="78"/>
        <v>0</v>
      </c>
      <c r="K1661" s="369">
        <f t="shared" si="77"/>
        <v>6</v>
      </c>
      <c r="L1661" s="369">
        <f>+IF((C1661&gt;='Resultats - informe'!$E$16)*(C1661&lt;='Resultats - informe'!$G$16),1,0)</f>
        <v>1</v>
      </c>
      <c r="M1661" s="369" cm="1">
        <f t="array" ref="M1661">+_xlfn.IFS((C1661&gt;='Resultats - informe'!$D$26)*(C1661&lt;='Resultats - informe'!$E$26),0,(C1661&gt;='Resultats - informe'!$D$27)*(C1661&lt;='Resultats - informe'!$E$27),0,(C1661&gt;='Resultats - informe'!$D$28)*(C1661&lt;='Resultats - informe'!$E$28),0,(C1661&gt;='Resultats - informe'!$D$29)*(C1661&lt;='Resultats - informe'!$E$29),0,1,1)</f>
        <v>0</v>
      </c>
      <c r="N1661" s="366">
        <f>+VLOOKUP(D1661,'Resultats - informe'!$Y$18:$AG$42,'Introducció dades consum'!K1661+1,0)</f>
        <v>0</v>
      </c>
      <c r="O1661" s="370" cm="1">
        <f t="array" ref="O1661">+_xlfn.SWITCH(MONTH(C1661),1,1,2,1,3,1,4,2,5,2,6,3,7,3,8,3,9,3,10,2,11,2,12,1,2)</f>
        <v>1</v>
      </c>
      <c r="P1661" s="43"/>
      <c r="AS1661" s="10"/>
      <c r="AT1661" s="10"/>
      <c r="AU1661" s="10"/>
      <c r="AV1661" s="10"/>
      <c r="AW1661" s="10"/>
      <c r="AX1661" s="10"/>
      <c r="AY1661" s="10"/>
      <c r="AZ1661" s="10"/>
      <c r="BA1661" s="10"/>
      <c r="BB1661" s="10"/>
      <c r="BC1661" s="10"/>
      <c r="BD1661" s="10"/>
      <c r="BE1661" s="10"/>
      <c r="BF1661" s="10"/>
      <c r="BG1661" s="10"/>
      <c r="BH1661" s="10"/>
      <c r="BI1661" s="10"/>
      <c r="BJ1661" s="10"/>
      <c r="BK1661" s="10"/>
      <c r="BL1661" s="10"/>
      <c r="BM1661" s="10"/>
      <c r="BN1661" s="10"/>
      <c r="BO1661" s="10"/>
      <c r="BP1661" s="10"/>
      <c r="BQ1661" s="10"/>
      <c r="BR1661" s="10"/>
      <c r="BS1661" s="10"/>
      <c r="BT1661" s="10"/>
      <c r="BU1661" s="10"/>
    </row>
    <row r="1662" spans="1:73" ht="18" x14ac:dyDescent="0.35">
      <c r="A1662" s="43"/>
      <c r="C1662" s="393"/>
      <c r="E1662" s="394"/>
      <c r="F1662" s="394">
        <v>0</v>
      </c>
      <c r="G1662" s="394"/>
      <c r="H1662" s="8" t="s">
        <v>235</v>
      </c>
      <c r="I1662" s="368">
        <f t="shared" si="76"/>
        <v>0</v>
      </c>
      <c r="J1662" s="365">
        <f t="shared" si="78"/>
        <v>0</v>
      </c>
      <c r="K1662" s="369">
        <f t="shared" si="77"/>
        <v>6</v>
      </c>
      <c r="L1662" s="369">
        <f>+IF((C1662&gt;='Resultats - informe'!$E$16)*(C1662&lt;='Resultats - informe'!$G$16),1,0)</f>
        <v>1</v>
      </c>
      <c r="M1662" s="369" cm="1">
        <f t="array" ref="M1662">+_xlfn.IFS((C1662&gt;='Resultats - informe'!$D$26)*(C1662&lt;='Resultats - informe'!$E$26),0,(C1662&gt;='Resultats - informe'!$D$27)*(C1662&lt;='Resultats - informe'!$E$27),0,(C1662&gt;='Resultats - informe'!$D$28)*(C1662&lt;='Resultats - informe'!$E$28),0,(C1662&gt;='Resultats - informe'!$D$29)*(C1662&lt;='Resultats - informe'!$E$29),0,1,1)</f>
        <v>0</v>
      </c>
      <c r="N1662" s="366">
        <f>+VLOOKUP(D1662,'Resultats - informe'!$Y$18:$AG$42,'Introducció dades consum'!K1662+1,0)</f>
        <v>0</v>
      </c>
      <c r="O1662" s="370" cm="1">
        <f t="array" ref="O1662">+_xlfn.SWITCH(MONTH(C1662),1,1,2,1,3,1,4,2,5,2,6,3,7,3,8,3,9,3,10,2,11,2,12,1,2)</f>
        <v>1</v>
      </c>
      <c r="P1662" s="43"/>
      <c r="AS1662" s="10"/>
      <c r="AT1662" s="10"/>
      <c r="AU1662" s="10"/>
      <c r="AV1662" s="10"/>
      <c r="AW1662" s="10"/>
      <c r="AX1662" s="10"/>
      <c r="AY1662" s="10"/>
      <c r="AZ1662" s="10"/>
      <c r="BA1662" s="10"/>
      <c r="BB1662" s="10"/>
      <c r="BC1662" s="10"/>
      <c r="BD1662" s="10"/>
      <c r="BE1662" s="10"/>
      <c r="BF1662" s="10"/>
      <c r="BG1662" s="10"/>
      <c r="BH1662" s="10"/>
      <c r="BI1662" s="10"/>
      <c r="BJ1662" s="10"/>
      <c r="BK1662" s="10"/>
      <c r="BL1662" s="10"/>
      <c r="BM1662" s="10"/>
      <c r="BN1662" s="10"/>
      <c r="BO1662" s="10"/>
      <c r="BP1662" s="10"/>
      <c r="BQ1662" s="10"/>
      <c r="BR1662" s="10"/>
      <c r="BS1662" s="10"/>
      <c r="BT1662" s="10"/>
      <c r="BU1662" s="10"/>
    </row>
    <row r="1663" spans="1:73" ht="18" x14ac:dyDescent="0.35">
      <c r="A1663" s="43"/>
      <c r="C1663" s="393"/>
      <c r="E1663" s="394"/>
      <c r="F1663" s="394">
        <v>0</v>
      </c>
      <c r="G1663" s="394"/>
      <c r="H1663" s="8" t="s">
        <v>235</v>
      </c>
      <c r="I1663" s="368">
        <f t="shared" si="76"/>
        <v>0</v>
      </c>
      <c r="J1663" s="365">
        <f t="shared" si="78"/>
        <v>0</v>
      </c>
      <c r="K1663" s="369">
        <f t="shared" si="77"/>
        <v>6</v>
      </c>
      <c r="L1663" s="369">
        <f>+IF((C1663&gt;='Resultats - informe'!$E$16)*(C1663&lt;='Resultats - informe'!$G$16),1,0)</f>
        <v>1</v>
      </c>
      <c r="M1663" s="369" cm="1">
        <f t="array" ref="M1663">+_xlfn.IFS((C1663&gt;='Resultats - informe'!$D$26)*(C1663&lt;='Resultats - informe'!$E$26),0,(C1663&gt;='Resultats - informe'!$D$27)*(C1663&lt;='Resultats - informe'!$E$27),0,(C1663&gt;='Resultats - informe'!$D$28)*(C1663&lt;='Resultats - informe'!$E$28),0,(C1663&gt;='Resultats - informe'!$D$29)*(C1663&lt;='Resultats - informe'!$E$29),0,1,1)</f>
        <v>0</v>
      </c>
      <c r="N1663" s="366">
        <f>+VLOOKUP(D1663,'Resultats - informe'!$Y$18:$AG$42,'Introducció dades consum'!K1663+1,0)</f>
        <v>0</v>
      </c>
      <c r="O1663" s="370" cm="1">
        <f t="array" ref="O1663">+_xlfn.SWITCH(MONTH(C1663),1,1,2,1,3,1,4,2,5,2,6,3,7,3,8,3,9,3,10,2,11,2,12,1,2)</f>
        <v>1</v>
      </c>
      <c r="P1663" s="43"/>
      <c r="AS1663" s="10"/>
      <c r="AT1663" s="10"/>
      <c r="AU1663" s="10"/>
      <c r="AV1663" s="10"/>
      <c r="AW1663" s="10"/>
      <c r="AX1663" s="10"/>
      <c r="AY1663" s="10"/>
      <c r="AZ1663" s="10"/>
      <c r="BA1663" s="10"/>
      <c r="BB1663" s="10"/>
      <c r="BC1663" s="10"/>
      <c r="BD1663" s="10"/>
      <c r="BE1663" s="10"/>
      <c r="BF1663" s="10"/>
      <c r="BG1663" s="10"/>
      <c r="BH1663" s="10"/>
      <c r="BI1663" s="10"/>
      <c r="BJ1663" s="10"/>
      <c r="BK1663" s="10"/>
      <c r="BL1663" s="10"/>
      <c r="BM1663" s="10"/>
      <c r="BN1663" s="10"/>
      <c r="BO1663" s="10"/>
      <c r="BP1663" s="10"/>
      <c r="BQ1663" s="10"/>
      <c r="BR1663" s="10"/>
      <c r="BS1663" s="10"/>
      <c r="BT1663" s="10"/>
      <c r="BU1663" s="10"/>
    </row>
    <row r="1664" spans="1:73" ht="18" x14ac:dyDescent="0.35">
      <c r="A1664" s="43"/>
      <c r="C1664" s="393"/>
      <c r="E1664" s="394"/>
      <c r="F1664" s="394">
        <v>0</v>
      </c>
      <c r="G1664" s="394"/>
      <c r="H1664" s="8" t="s">
        <v>235</v>
      </c>
      <c r="I1664" s="368">
        <f t="shared" si="76"/>
        <v>0</v>
      </c>
      <c r="J1664" s="365">
        <f t="shared" si="78"/>
        <v>0</v>
      </c>
      <c r="K1664" s="369">
        <f t="shared" si="77"/>
        <v>6</v>
      </c>
      <c r="L1664" s="369">
        <f>+IF((C1664&gt;='Resultats - informe'!$E$16)*(C1664&lt;='Resultats - informe'!$G$16),1,0)</f>
        <v>1</v>
      </c>
      <c r="M1664" s="369" cm="1">
        <f t="array" ref="M1664">+_xlfn.IFS((C1664&gt;='Resultats - informe'!$D$26)*(C1664&lt;='Resultats - informe'!$E$26),0,(C1664&gt;='Resultats - informe'!$D$27)*(C1664&lt;='Resultats - informe'!$E$27),0,(C1664&gt;='Resultats - informe'!$D$28)*(C1664&lt;='Resultats - informe'!$E$28),0,(C1664&gt;='Resultats - informe'!$D$29)*(C1664&lt;='Resultats - informe'!$E$29),0,1,1)</f>
        <v>0</v>
      </c>
      <c r="N1664" s="366">
        <f>+VLOOKUP(D1664,'Resultats - informe'!$Y$18:$AG$42,'Introducció dades consum'!K1664+1,0)</f>
        <v>0</v>
      </c>
      <c r="O1664" s="370" cm="1">
        <f t="array" ref="O1664">+_xlfn.SWITCH(MONTH(C1664),1,1,2,1,3,1,4,2,5,2,6,3,7,3,8,3,9,3,10,2,11,2,12,1,2)</f>
        <v>1</v>
      </c>
      <c r="P1664" s="43"/>
      <c r="AS1664" s="10"/>
      <c r="AT1664" s="10"/>
      <c r="AU1664" s="10"/>
      <c r="AV1664" s="10"/>
      <c r="AW1664" s="10"/>
      <c r="AX1664" s="10"/>
      <c r="AY1664" s="10"/>
      <c r="AZ1664" s="10"/>
      <c r="BA1664" s="10"/>
      <c r="BB1664" s="10"/>
      <c r="BC1664" s="10"/>
      <c r="BD1664" s="10"/>
      <c r="BE1664" s="10"/>
      <c r="BF1664" s="10"/>
      <c r="BG1664" s="10"/>
      <c r="BH1664" s="10"/>
      <c r="BI1664" s="10"/>
      <c r="BJ1664" s="10"/>
      <c r="BK1664" s="10"/>
      <c r="BL1664" s="10"/>
      <c r="BM1664" s="10"/>
      <c r="BN1664" s="10"/>
      <c r="BO1664" s="10"/>
      <c r="BP1664" s="10"/>
      <c r="BQ1664" s="10"/>
      <c r="BR1664" s="10"/>
      <c r="BS1664" s="10"/>
      <c r="BT1664" s="10"/>
      <c r="BU1664" s="10"/>
    </row>
    <row r="1665" spans="1:73" ht="18" x14ac:dyDescent="0.35">
      <c r="A1665" s="43"/>
      <c r="C1665" s="393"/>
      <c r="E1665" s="394"/>
      <c r="F1665" s="394">
        <v>0</v>
      </c>
      <c r="G1665" s="394"/>
      <c r="H1665" s="8" t="s">
        <v>235</v>
      </c>
      <c r="I1665" s="368">
        <f t="shared" si="76"/>
        <v>0</v>
      </c>
      <c r="J1665" s="365">
        <f t="shared" si="78"/>
        <v>0</v>
      </c>
      <c r="K1665" s="369">
        <f t="shared" si="77"/>
        <v>6</v>
      </c>
      <c r="L1665" s="369">
        <f>+IF((C1665&gt;='Resultats - informe'!$E$16)*(C1665&lt;='Resultats - informe'!$G$16),1,0)</f>
        <v>1</v>
      </c>
      <c r="M1665" s="369" cm="1">
        <f t="array" ref="M1665">+_xlfn.IFS((C1665&gt;='Resultats - informe'!$D$26)*(C1665&lt;='Resultats - informe'!$E$26),0,(C1665&gt;='Resultats - informe'!$D$27)*(C1665&lt;='Resultats - informe'!$E$27),0,(C1665&gt;='Resultats - informe'!$D$28)*(C1665&lt;='Resultats - informe'!$E$28),0,(C1665&gt;='Resultats - informe'!$D$29)*(C1665&lt;='Resultats - informe'!$E$29),0,1,1)</f>
        <v>0</v>
      </c>
      <c r="N1665" s="366">
        <f>+VLOOKUP(D1665,'Resultats - informe'!$Y$18:$AG$42,'Introducció dades consum'!K1665+1,0)</f>
        <v>0</v>
      </c>
      <c r="O1665" s="370" cm="1">
        <f t="array" ref="O1665">+_xlfn.SWITCH(MONTH(C1665),1,1,2,1,3,1,4,2,5,2,6,3,7,3,8,3,9,3,10,2,11,2,12,1,2)</f>
        <v>1</v>
      </c>
      <c r="P1665" s="43"/>
      <c r="AS1665" s="10"/>
      <c r="AT1665" s="10"/>
      <c r="AU1665" s="10"/>
      <c r="AV1665" s="10"/>
      <c r="AW1665" s="10"/>
      <c r="AX1665" s="10"/>
      <c r="AY1665" s="10"/>
      <c r="AZ1665" s="10"/>
      <c r="BA1665" s="10"/>
      <c r="BB1665" s="10"/>
      <c r="BC1665" s="10"/>
      <c r="BD1665" s="10"/>
      <c r="BE1665" s="10"/>
      <c r="BF1665" s="10"/>
      <c r="BG1665" s="10"/>
      <c r="BH1665" s="10"/>
      <c r="BI1665" s="10"/>
      <c r="BJ1665" s="10"/>
      <c r="BK1665" s="10"/>
      <c r="BL1665" s="10"/>
      <c r="BM1665" s="10"/>
      <c r="BN1665" s="10"/>
      <c r="BO1665" s="10"/>
      <c r="BP1665" s="10"/>
      <c r="BQ1665" s="10"/>
      <c r="BR1665" s="10"/>
      <c r="BS1665" s="10"/>
      <c r="BT1665" s="10"/>
      <c r="BU1665" s="10"/>
    </row>
    <row r="1666" spans="1:73" ht="18" x14ac:dyDescent="0.35">
      <c r="A1666" s="43"/>
      <c r="C1666" s="393"/>
      <c r="E1666" s="394"/>
      <c r="F1666" s="394">
        <v>0</v>
      </c>
      <c r="G1666" s="394"/>
      <c r="H1666" s="8" t="s">
        <v>235</v>
      </c>
      <c r="I1666" s="368">
        <f t="shared" si="76"/>
        <v>0</v>
      </c>
      <c r="J1666" s="365">
        <f t="shared" si="78"/>
        <v>0</v>
      </c>
      <c r="K1666" s="369">
        <f t="shared" si="77"/>
        <v>6</v>
      </c>
      <c r="L1666" s="369">
        <f>+IF((C1666&gt;='Resultats - informe'!$E$16)*(C1666&lt;='Resultats - informe'!$G$16),1,0)</f>
        <v>1</v>
      </c>
      <c r="M1666" s="369" cm="1">
        <f t="array" ref="M1666">+_xlfn.IFS((C1666&gt;='Resultats - informe'!$D$26)*(C1666&lt;='Resultats - informe'!$E$26),0,(C1666&gt;='Resultats - informe'!$D$27)*(C1666&lt;='Resultats - informe'!$E$27),0,(C1666&gt;='Resultats - informe'!$D$28)*(C1666&lt;='Resultats - informe'!$E$28),0,(C1666&gt;='Resultats - informe'!$D$29)*(C1666&lt;='Resultats - informe'!$E$29),0,1,1)</f>
        <v>0</v>
      </c>
      <c r="N1666" s="366">
        <f>+VLOOKUP(D1666,'Resultats - informe'!$Y$18:$AG$42,'Introducció dades consum'!K1666+1,0)</f>
        <v>0</v>
      </c>
      <c r="O1666" s="370" cm="1">
        <f t="array" ref="O1666">+_xlfn.SWITCH(MONTH(C1666),1,1,2,1,3,1,4,2,5,2,6,3,7,3,8,3,9,3,10,2,11,2,12,1,2)</f>
        <v>1</v>
      </c>
      <c r="P1666" s="43"/>
    </row>
    <row r="1667" spans="1:73" ht="18" x14ac:dyDescent="0.35">
      <c r="A1667" s="43"/>
      <c r="C1667" s="393"/>
      <c r="E1667" s="394"/>
      <c r="F1667" s="394">
        <v>0</v>
      </c>
      <c r="G1667" s="394"/>
      <c r="H1667" s="8" t="s">
        <v>235</v>
      </c>
      <c r="I1667" s="368">
        <f t="shared" si="76"/>
        <v>0</v>
      </c>
      <c r="J1667" s="365">
        <f t="shared" si="78"/>
        <v>0</v>
      </c>
      <c r="K1667" s="369">
        <f t="shared" si="77"/>
        <v>6</v>
      </c>
      <c r="L1667" s="369">
        <f>+IF((C1667&gt;='Resultats - informe'!$E$16)*(C1667&lt;='Resultats - informe'!$G$16),1,0)</f>
        <v>1</v>
      </c>
      <c r="M1667" s="369" cm="1">
        <f t="array" ref="M1667">+_xlfn.IFS((C1667&gt;='Resultats - informe'!$D$26)*(C1667&lt;='Resultats - informe'!$E$26),0,(C1667&gt;='Resultats - informe'!$D$27)*(C1667&lt;='Resultats - informe'!$E$27),0,(C1667&gt;='Resultats - informe'!$D$28)*(C1667&lt;='Resultats - informe'!$E$28),0,(C1667&gt;='Resultats - informe'!$D$29)*(C1667&lt;='Resultats - informe'!$E$29),0,1,1)</f>
        <v>0</v>
      </c>
      <c r="N1667" s="366">
        <f>+VLOOKUP(D1667,'Resultats - informe'!$Y$18:$AG$42,'Introducció dades consum'!K1667+1,0)</f>
        <v>0</v>
      </c>
      <c r="O1667" s="370" cm="1">
        <f t="array" ref="O1667">+_xlfn.SWITCH(MONTH(C1667),1,1,2,1,3,1,4,2,5,2,6,3,7,3,8,3,9,3,10,2,11,2,12,1,2)</f>
        <v>1</v>
      </c>
      <c r="P1667" s="43"/>
    </row>
    <row r="1668" spans="1:73" ht="18" x14ac:dyDescent="0.35">
      <c r="A1668" s="43"/>
      <c r="C1668" s="393"/>
      <c r="E1668" s="394"/>
      <c r="F1668" s="394">
        <v>0</v>
      </c>
      <c r="G1668" s="394"/>
      <c r="H1668" s="8" t="s">
        <v>235</v>
      </c>
      <c r="I1668" s="368">
        <f t="shared" si="76"/>
        <v>0</v>
      </c>
      <c r="J1668" s="365">
        <f t="shared" si="78"/>
        <v>0</v>
      </c>
      <c r="K1668" s="369">
        <f t="shared" si="77"/>
        <v>6</v>
      </c>
      <c r="L1668" s="369">
        <f>+IF((C1668&gt;='Resultats - informe'!$E$16)*(C1668&lt;='Resultats - informe'!$G$16),1,0)</f>
        <v>1</v>
      </c>
      <c r="M1668" s="369" cm="1">
        <f t="array" ref="M1668">+_xlfn.IFS((C1668&gt;='Resultats - informe'!$D$26)*(C1668&lt;='Resultats - informe'!$E$26),0,(C1668&gt;='Resultats - informe'!$D$27)*(C1668&lt;='Resultats - informe'!$E$27),0,(C1668&gt;='Resultats - informe'!$D$28)*(C1668&lt;='Resultats - informe'!$E$28),0,(C1668&gt;='Resultats - informe'!$D$29)*(C1668&lt;='Resultats - informe'!$E$29),0,1,1)</f>
        <v>0</v>
      </c>
      <c r="N1668" s="366">
        <f>+VLOOKUP(D1668,'Resultats - informe'!$Y$18:$AG$42,'Introducció dades consum'!K1668+1,0)</f>
        <v>0</v>
      </c>
      <c r="O1668" s="370" cm="1">
        <f t="array" ref="O1668">+_xlfn.SWITCH(MONTH(C1668),1,1,2,1,3,1,4,2,5,2,6,3,7,3,8,3,9,3,10,2,11,2,12,1,2)</f>
        <v>1</v>
      </c>
      <c r="P1668" s="43"/>
    </row>
    <row r="1669" spans="1:73" ht="18" x14ac:dyDescent="0.35">
      <c r="A1669" s="43"/>
      <c r="C1669" s="393"/>
      <c r="E1669" s="394"/>
      <c r="F1669" s="394">
        <v>0</v>
      </c>
      <c r="G1669" s="394"/>
      <c r="H1669" s="8" t="s">
        <v>61</v>
      </c>
      <c r="I1669" s="368">
        <f t="shared" si="76"/>
        <v>0</v>
      </c>
      <c r="J1669" s="365">
        <f t="shared" si="78"/>
        <v>0</v>
      </c>
      <c r="K1669" s="369">
        <f t="shared" si="77"/>
        <v>6</v>
      </c>
      <c r="L1669" s="369">
        <f>+IF((C1669&gt;='Resultats - informe'!$E$16)*(C1669&lt;='Resultats - informe'!$G$16),1,0)</f>
        <v>1</v>
      </c>
      <c r="M1669" s="369" cm="1">
        <f t="array" ref="M1669">+_xlfn.IFS((C1669&gt;='Resultats - informe'!$D$26)*(C1669&lt;='Resultats - informe'!$E$26),0,(C1669&gt;='Resultats - informe'!$D$27)*(C1669&lt;='Resultats - informe'!$E$27),0,(C1669&gt;='Resultats - informe'!$D$28)*(C1669&lt;='Resultats - informe'!$E$28),0,(C1669&gt;='Resultats - informe'!$D$29)*(C1669&lt;='Resultats - informe'!$E$29),0,1,1)</f>
        <v>0</v>
      </c>
      <c r="N1669" s="366">
        <f>+VLOOKUP(D1669,'Resultats - informe'!$Y$18:$AG$42,'Introducció dades consum'!K1669+1,0)</f>
        <v>0</v>
      </c>
      <c r="O1669" s="370" cm="1">
        <f t="array" ref="O1669">+_xlfn.SWITCH(MONTH(C1669),1,1,2,1,3,1,4,2,5,2,6,3,7,3,8,3,9,3,10,2,11,2,12,1,2)</f>
        <v>1</v>
      </c>
      <c r="P1669" s="43"/>
    </row>
    <row r="1670" spans="1:73" ht="18" x14ac:dyDescent="0.35">
      <c r="A1670" s="43"/>
      <c r="C1670" s="393"/>
      <c r="E1670" s="394"/>
      <c r="F1670" s="394">
        <v>0</v>
      </c>
      <c r="G1670" s="394"/>
      <c r="H1670" s="8" t="s">
        <v>61</v>
      </c>
      <c r="I1670" s="368">
        <f t="shared" ref="I1670:I1733" si="79">+E1670+G1670</f>
        <v>0</v>
      </c>
      <c r="J1670" s="365">
        <f t="shared" si="78"/>
        <v>0</v>
      </c>
      <c r="K1670" s="369">
        <f t="shared" ref="K1670:K1733" si="80">+WEEKDAY(C1670,2)</f>
        <v>6</v>
      </c>
      <c r="L1670" s="369">
        <f>+IF((C1670&gt;='Resultats - informe'!$E$16)*(C1670&lt;='Resultats - informe'!$G$16),1,0)</f>
        <v>1</v>
      </c>
      <c r="M1670" s="369" cm="1">
        <f t="array" ref="M1670">+_xlfn.IFS((C1670&gt;='Resultats - informe'!$D$26)*(C1670&lt;='Resultats - informe'!$E$26),0,(C1670&gt;='Resultats - informe'!$D$27)*(C1670&lt;='Resultats - informe'!$E$27),0,(C1670&gt;='Resultats - informe'!$D$28)*(C1670&lt;='Resultats - informe'!$E$28),0,(C1670&gt;='Resultats - informe'!$D$29)*(C1670&lt;='Resultats - informe'!$E$29),0,1,1)</f>
        <v>0</v>
      </c>
      <c r="N1670" s="366">
        <f>+VLOOKUP(D1670,'Resultats - informe'!$Y$18:$AG$42,'Introducció dades consum'!K1670+1,0)</f>
        <v>0</v>
      </c>
      <c r="O1670" s="370" cm="1">
        <f t="array" ref="O1670">+_xlfn.SWITCH(MONTH(C1670),1,1,2,1,3,1,4,2,5,2,6,3,7,3,8,3,9,3,10,2,11,2,12,1,2)</f>
        <v>1</v>
      </c>
      <c r="P1670" s="43"/>
    </row>
    <row r="1671" spans="1:73" ht="18" x14ac:dyDescent="0.35">
      <c r="A1671" s="43"/>
      <c r="C1671" s="393"/>
      <c r="E1671" s="394"/>
      <c r="F1671" s="394">
        <v>1.254</v>
      </c>
      <c r="G1671" s="394"/>
      <c r="H1671" s="8" t="s">
        <v>235</v>
      </c>
      <c r="I1671" s="368">
        <f t="shared" si="79"/>
        <v>0</v>
      </c>
      <c r="J1671" s="365">
        <f t="shared" si="78"/>
        <v>0</v>
      </c>
      <c r="K1671" s="369">
        <f t="shared" si="80"/>
        <v>6</v>
      </c>
      <c r="L1671" s="369">
        <f>+IF((C1671&gt;='Resultats - informe'!$E$16)*(C1671&lt;='Resultats - informe'!$G$16),1,0)</f>
        <v>1</v>
      </c>
      <c r="M1671" s="369" cm="1">
        <f t="array" ref="M1671">+_xlfn.IFS((C1671&gt;='Resultats - informe'!$D$26)*(C1671&lt;='Resultats - informe'!$E$26),0,(C1671&gt;='Resultats - informe'!$D$27)*(C1671&lt;='Resultats - informe'!$E$27),0,(C1671&gt;='Resultats - informe'!$D$28)*(C1671&lt;='Resultats - informe'!$E$28),0,(C1671&gt;='Resultats - informe'!$D$29)*(C1671&lt;='Resultats - informe'!$E$29),0,1,1)</f>
        <v>0</v>
      </c>
      <c r="N1671" s="366">
        <f>+VLOOKUP(D1671,'Resultats - informe'!$Y$18:$AG$42,'Introducció dades consum'!K1671+1,0)</f>
        <v>0</v>
      </c>
      <c r="O1671" s="370" cm="1">
        <f t="array" ref="O1671">+_xlfn.SWITCH(MONTH(C1671),1,1,2,1,3,1,4,2,5,2,6,3,7,3,8,3,9,3,10,2,11,2,12,1,2)</f>
        <v>1</v>
      </c>
      <c r="P1671" s="43"/>
    </row>
    <row r="1672" spans="1:73" ht="18" x14ac:dyDescent="0.35">
      <c r="A1672" s="43"/>
      <c r="C1672" s="393"/>
      <c r="E1672" s="394"/>
      <c r="F1672" s="394">
        <v>1.298</v>
      </c>
      <c r="G1672" s="394"/>
      <c r="H1672" s="8" t="s">
        <v>235</v>
      </c>
      <c r="I1672" s="368">
        <f t="shared" si="79"/>
        <v>0</v>
      </c>
      <c r="J1672" s="365">
        <f t="shared" si="78"/>
        <v>0</v>
      </c>
      <c r="K1672" s="369">
        <f t="shared" si="80"/>
        <v>6</v>
      </c>
      <c r="L1672" s="369">
        <f>+IF((C1672&gt;='Resultats - informe'!$E$16)*(C1672&lt;='Resultats - informe'!$G$16),1,0)</f>
        <v>1</v>
      </c>
      <c r="M1672" s="369" cm="1">
        <f t="array" ref="M1672">+_xlfn.IFS((C1672&gt;='Resultats - informe'!$D$26)*(C1672&lt;='Resultats - informe'!$E$26),0,(C1672&gt;='Resultats - informe'!$D$27)*(C1672&lt;='Resultats - informe'!$E$27),0,(C1672&gt;='Resultats - informe'!$D$28)*(C1672&lt;='Resultats - informe'!$E$28),0,(C1672&gt;='Resultats - informe'!$D$29)*(C1672&lt;='Resultats - informe'!$E$29),0,1,1)</f>
        <v>0</v>
      </c>
      <c r="N1672" s="366">
        <f>+VLOOKUP(D1672,'Resultats - informe'!$Y$18:$AG$42,'Introducció dades consum'!K1672+1,0)</f>
        <v>0</v>
      </c>
      <c r="O1672" s="370" cm="1">
        <f t="array" ref="O1672">+_xlfn.SWITCH(MONTH(C1672),1,1,2,1,3,1,4,2,5,2,6,3,7,3,8,3,9,3,10,2,11,2,12,1,2)</f>
        <v>1</v>
      </c>
      <c r="P1672" s="43"/>
    </row>
    <row r="1673" spans="1:73" ht="18" x14ac:dyDescent="0.35">
      <c r="A1673" s="43"/>
      <c r="C1673" s="393"/>
      <c r="E1673" s="394"/>
      <c r="F1673" s="394">
        <v>0.09</v>
      </c>
      <c r="G1673" s="394"/>
      <c r="H1673" s="8" t="s">
        <v>61</v>
      </c>
      <c r="I1673" s="368">
        <f t="shared" si="79"/>
        <v>0</v>
      </c>
      <c r="J1673" s="365">
        <f t="shared" si="78"/>
        <v>0</v>
      </c>
      <c r="K1673" s="369">
        <f t="shared" si="80"/>
        <v>6</v>
      </c>
      <c r="L1673" s="369">
        <f>+IF((C1673&gt;='Resultats - informe'!$E$16)*(C1673&lt;='Resultats - informe'!$G$16),1,0)</f>
        <v>1</v>
      </c>
      <c r="M1673" s="369" cm="1">
        <f t="array" ref="M1673">+_xlfn.IFS((C1673&gt;='Resultats - informe'!$D$26)*(C1673&lt;='Resultats - informe'!$E$26),0,(C1673&gt;='Resultats - informe'!$D$27)*(C1673&lt;='Resultats - informe'!$E$27),0,(C1673&gt;='Resultats - informe'!$D$28)*(C1673&lt;='Resultats - informe'!$E$28),0,(C1673&gt;='Resultats - informe'!$D$29)*(C1673&lt;='Resultats - informe'!$E$29),0,1,1)</f>
        <v>0</v>
      </c>
      <c r="N1673" s="366">
        <f>+VLOOKUP(D1673,'Resultats - informe'!$Y$18:$AG$42,'Introducció dades consum'!K1673+1,0)</f>
        <v>0</v>
      </c>
      <c r="O1673" s="370" cm="1">
        <f t="array" ref="O1673">+_xlfn.SWITCH(MONTH(C1673),1,1,2,1,3,1,4,2,5,2,6,3,7,3,8,3,9,3,10,2,11,2,12,1,2)</f>
        <v>1</v>
      </c>
      <c r="P1673" s="43"/>
    </row>
    <row r="1674" spans="1:73" ht="18" x14ac:dyDescent="0.35">
      <c r="A1674" s="43"/>
      <c r="C1674" s="393"/>
      <c r="E1674" s="394"/>
      <c r="F1674" s="394">
        <v>0.59</v>
      </c>
      <c r="G1674" s="394"/>
      <c r="H1674" s="8" t="s">
        <v>235</v>
      </c>
      <c r="I1674" s="368">
        <f t="shared" si="79"/>
        <v>0</v>
      </c>
      <c r="J1674" s="365">
        <f t="shared" si="78"/>
        <v>0</v>
      </c>
      <c r="K1674" s="369">
        <f t="shared" si="80"/>
        <v>6</v>
      </c>
      <c r="L1674" s="369">
        <f>+IF((C1674&gt;='Resultats - informe'!$E$16)*(C1674&lt;='Resultats - informe'!$G$16),1,0)</f>
        <v>1</v>
      </c>
      <c r="M1674" s="369" cm="1">
        <f t="array" ref="M1674">+_xlfn.IFS((C1674&gt;='Resultats - informe'!$D$26)*(C1674&lt;='Resultats - informe'!$E$26),0,(C1674&gt;='Resultats - informe'!$D$27)*(C1674&lt;='Resultats - informe'!$E$27),0,(C1674&gt;='Resultats - informe'!$D$28)*(C1674&lt;='Resultats - informe'!$E$28),0,(C1674&gt;='Resultats - informe'!$D$29)*(C1674&lt;='Resultats - informe'!$E$29),0,1,1)</f>
        <v>0</v>
      </c>
      <c r="N1674" s="366">
        <f>+VLOOKUP(D1674,'Resultats - informe'!$Y$18:$AG$42,'Introducció dades consum'!K1674+1,0)</f>
        <v>0</v>
      </c>
      <c r="O1674" s="370" cm="1">
        <f t="array" ref="O1674">+_xlfn.SWITCH(MONTH(C1674),1,1,2,1,3,1,4,2,5,2,6,3,7,3,8,3,9,3,10,2,11,2,12,1,2)</f>
        <v>1</v>
      </c>
      <c r="P1674" s="43"/>
    </row>
    <row r="1675" spans="1:73" ht="18" x14ac:dyDescent="0.35">
      <c r="A1675" s="43"/>
      <c r="C1675" s="393"/>
      <c r="E1675" s="394"/>
      <c r="F1675" s="394">
        <v>1.4650000000000001</v>
      </c>
      <c r="G1675" s="394"/>
      <c r="H1675" s="8" t="s">
        <v>235</v>
      </c>
      <c r="I1675" s="368">
        <f t="shared" si="79"/>
        <v>0</v>
      </c>
      <c r="J1675" s="365">
        <f t="shared" si="78"/>
        <v>0</v>
      </c>
      <c r="K1675" s="369">
        <f t="shared" si="80"/>
        <v>6</v>
      </c>
      <c r="L1675" s="369">
        <f>+IF((C1675&gt;='Resultats - informe'!$E$16)*(C1675&lt;='Resultats - informe'!$G$16),1,0)</f>
        <v>1</v>
      </c>
      <c r="M1675" s="369" cm="1">
        <f t="array" ref="M1675">+_xlfn.IFS((C1675&gt;='Resultats - informe'!$D$26)*(C1675&lt;='Resultats - informe'!$E$26),0,(C1675&gt;='Resultats - informe'!$D$27)*(C1675&lt;='Resultats - informe'!$E$27),0,(C1675&gt;='Resultats - informe'!$D$28)*(C1675&lt;='Resultats - informe'!$E$28),0,(C1675&gt;='Resultats - informe'!$D$29)*(C1675&lt;='Resultats - informe'!$E$29),0,1,1)</f>
        <v>0</v>
      </c>
      <c r="N1675" s="366">
        <f>+VLOOKUP(D1675,'Resultats - informe'!$Y$18:$AG$42,'Introducció dades consum'!K1675+1,0)</f>
        <v>0</v>
      </c>
      <c r="O1675" s="370" cm="1">
        <f t="array" ref="O1675">+_xlfn.SWITCH(MONTH(C1675),1,1,2,1,3,1,4,2,5,2,6,3,7,3,8,3,9,3,10,2,11,2,12,1,2)</f>
        <v>1</v>
      </c>
      <c r="P1675" s="43"/>
    </row>
    <row r="1676" spans="1:73" ht="18" x14ac:dyDescent="0.35">
      <c r="A1676" s="43"/>
      <c r="C1676" s="393"/>
      <c r="E1676" s="394"/>
      <c r="F1676" s="394">
        <v>0.97399999999999998</v>
      </c>
      <c r="G1676" s="394"/>
      <c r="H1676" s="8" t="s">
        <v>235</v>
      </c>
      <c r="I1676" s="368">
        <f t="shared" si="79"/>
        <v>0</v>
      </c>
      <c r="J1676" s="365">
        <f t="shared" si="78"/>
        <v>0</v>
      </c>
      <c r="K1676" s="369">
        <f t="shared" si="80"/>
        <v>6</v>
      </c>
      <c r="L1676" s="369">
        <f>+IF((C1676&gt;='Resultats - informe'!$E$16)*(C1676&lt;='Resultats - informe'!$G$16),1,0)</f>
        <v>1</v>
      </c>
      <c r="M1676" s="369" cm="1">
        <f t="array" ref="M1676">+_xlfn.IFS((C1676&gt;='Resultats - informe'!$D$26)*(C1676&lt;='Resultats - informe'!$E$26),0,(C1676&gt;='Resultats - informe'!$D$27)*(C1676&lt;='Resultats - informe'!$E$27),0,(C1676&gt;='Resultats - informe'!$D$28)*(C1676&lt;='Resultats - informe'!$E$28),0,(C1676&gt;='Resultats - informe'!$D$29)*(C1676&lt;='Resultats - informe'!$E$29),0,1,1)</f>
        <v>0</v>
      </c>
      <c r="N1676" s="366">
        <f>+VLOOKUP(D1676,'Resultats - informe'!$Y$18:$AG$42,'Introducció dades consum'!K1676+1,0)</f>
        <v>0</v>
      </c>
      <c r="O1676" s="370" cm="1">
        <f t="array" ref="O1676">+_xlfn.SWITCH(MONTH(C1676),1,1,2,1,3,1,4,2,5,2,6,3,7,3,8,3,9,3,10,2,11,2,12,1,2)</f>
        <v>1</v>
      </c>
      <c r="P1676" s="43"/>
    </row>
    <row r="1677" spans="1:73" ht="18" x14ac:dyDescent="0.35">
      <c r="A1677" s="43"/>
      <c r="C1677" s="393"/>
      <c r="E1677" s="394"/>
      <c r="F1677" s="394">
        <v>0</v>
      </c>
      <c r="G1677" s="394"/>
      <c r="H1677" s="8" t="s">
        <v>235</v>
      </c>
      <c r="I1677" s="368">
        <f t="shared" si="79"/>
        <v>0</v>
      </c>
      <c r="J1677" s="365">
        <f t="shared" si="78"/>
        <v>0</v>
      </c>
      <c r="K1677" s="369">
        <f t="shared" si="80"/>
        <v>6</v>
      </c>
      <c r="L1677" s="369">
        <f>+IF((C1677&gt;='Resultats - informe'!$E$16)*(C1677&lt;='Resultats - informe'!$G$16),1,0)</f>
        <v>1</v>
      </c>
      <c r="M1677" s="369" cm="1">
        <f t="array" ref="M1677">+_xlfn.IFS((C1677&gt;='Resultats - informe'!$D$26)*(C1677&lt;='Resultats - informe'!$E$26),0,(C1677&gt;='Resultats - informe'!$D$27)*(C1677&lt;='Resultats - informe'!$E$27),0,(C1677&gt;='Resultats - informe'!$D$28)*(C1677&lt;='Resultats - informe'!$E$28),0,(C1677&gt;='Resultats - informe'!$D$29)*(C1677&lt;='Resultats - informe'!$E$29),0,1,1)</f>
        <v>0</v>
      </c>
      <c r="N1677" s="366">
        <f>+VLOOKUP(D1677,'Resultats - informe'!$Y$18:$AG$42,'Introducció dades consum'!K1677+1,0)</f>
        <v>0</v>
      </c>
      <c r="O1677" s="370" cm="1">
        <f t="array" ref="O1677">+_xlfn.SWITCH(MONTH(C1677),1,1,2,1,3,1,4,2,5,2,6,3,7,3,8,3,9,3,10,2,11,2,12,1,2)</f>
        <v>1</v>
      </c>
      <c r="P1677" s="43"/>
    </row>
    <row r="1678" spans="1:73" ht="18" x14ac:dyDescent="0.35">
      <c r="A1678" s="43"/>
      <c r="C1678" s="393"/>
      <c r="E1678" s="394"/>
      <c r="F1678" s="394">
        <v>0</v>
      </c>
      <c r="G1678" s="394"/>
      <c r="H1678" s="8" t="s">
        <v>235</v>
      </c>
      <c r="I1678" s="368">
        <f t="shared" si="79"/>
        <v>0</v>
      </c>
      <c r="J1678" s="365">
        <f t="shared" si="78"/>
        <v>0</v>
      </c>
      <c r="K1678" s="369">
        <f t="shared" si="80"/>
        <v>6</v>
      </c>
      <c r="L1678" s="369">
        <f>+IF((C1678&gt;='Resultats - informe'!$E$16)*(C1678&lt;='Resultats - informe'!$G$16),1,0)</f>
        <v>1</v>
      </c>
      <c r="M1678" s="369" cm="1">
        <f t="array" ref="M1678">+_xlfn.IFS((C1678&gt;='Resultats - informe'!$D$26)*(C1678&lt;='Resultats - informe'!$E$26),0,(C1678&gt;='Resultats - informe'!$D$27)*(C1678&lt;='Resultats - informe'!$E$27),0,(C1678&gt;='Resultats - informe'!$D$28)*(C1678&lt;='Resultats - informe'!$E$28),0,(C1678&gt;='Resultats - informe'!$D$29)*(C1678&lt;='Resultats - informe'!$E$29),0,1,1)</f>
        <v>0</v>
      </c>
      <c r="N1678" s="366">
        <f>+VLOOKUP(D1678,'Resultats - informe'!$Y$18:$AG$42,'Introducció dades consum'!K1678+1,0)</f>
        <v>0</v>
      </c>
      <c r="O1678" s="370" cm="1">
        <f t="array" ref="O1678">+_xlfn.SWITCH(MONTH(C1678),1,1,2,1,3,1,4,2,5,2,6,3,7,3,8,3,9,3,10,2,11,2,12,1,2)</f>
        <v>1</v>
      </c>
      <c r="P1678" s="43"/>
    </row>
    <row r="1679" spans="1:73" ht="18" x14ac:dyDescent="0.35">
      <c r="A1679" s="43"/>
      <c r="C1679" s="393"/>
      <c r="E1679" s="394"/>
      <c r="F1679" s="394">
        <v>0</v>
      </c>
      <c r="G1679" s="394"/>
      <c r="H1679" s="8" t="s">
        <v>235</v>
      </c>
      <c r="I1679" s="368">
        <f t="shared" si="79"/>
        <v>0</v>
      </c>
      <c r="J1679" s="365">
        <f t="shared" si="78"/>
        <v>0</v>
      </c>
      <c r="K1679" s="369">
        <f t="shared" si="80"/>
        <v>6</v>
      </c>
      <c r="L1679" s="369">
        <f>+IF((C1679&gt;='Resultats - informe'!$E$16)*(C1679&lt;='Resultats - informe'!$G$16),1,0)</f>
        <v>1</v>
      </c>
      <c r="M1679" s="369" cm="1">
        <f t="array" ref="M1679">+_xlfn.IFS((C1679&gt;='Resultats - informe'!$D$26)*(C1679&lt;='Resultats - informe'!$E$26),0,(C1679&gt;='Resultats - informe'!$D$27)*(C1679&lt;='Resultats - informe'!$E$27),0,(C1679&gt;='Resultats - informe'!$D$28)*(C1679&lt;='Resultats - informe'!$E$28),0,(C1679&gt;='Resultats - informe'!$D$29)*(C1679&lt;='Resultats - informe'!$E$29),0,1,1)</f>
        <v>0</v>
      </c>
      <c r="N1679" s="366">
        <f>+VLOOKUP(D1679,'Resultats - informe'!$Y$18:$AG$42,'Introducció dades consum'!K1679+1,0)</f>
        <v>0</v>
      </c>
      <c r="O1679" s="370" cm="1">
        <f t="array" ref="O1679">+_xlfn.SWITCH(MONTH(C1679),1,1,2,1,3,1,4,2,5,2,6,3,7,3,8,3,9,3,10,2,11,2,12,1,2)</f>
        <v>1</v>
      </c>
      <c r="P1679" s="43"/>
    </row>
    <row r="1680" spans="1:73" ht="18" x14ac:dyDescent="0.35">
      <c r="A1680" s="43"/>
      <c r="C1680" s="393"/>
      <c r="E1680" s="394"/>
      <c r="F1680" s="394">
        <v>0</v>
      </c>
      <c r="G1680" s="394"/>
      <c r="H1680" s="8" t="s">
        <v>235</v>
      </c>
      <c r="I1680" s="368">
        <f t="shared" si="79"/>
        <v>0</v>
      </c>
      <c r="J1680" s="365">
        <f t="shared" si="78"/>
        <v>0</v>
      </c>
      <c r="K1680" s="369">
        <f t="shared" si="80"/>
        <v>6</v>
      </c>
      <c r="L1680" s="369">
        <f>+IF((C1680&gt;='Resultats - informe'!$E$16)*(C1680&lt;='Resultats - informe'!$G$16),1,0)</f>
        <v>1</v>
      </c>
      <c r="M1680" s="369" cm="1">
        <f t="array" ref="M1680">+_xlfn.IFS((C1680&gt;='Resultats - informe'!$D$26)*(C1680&lt;='Resultats - informe'!$E$26),0,(C1680&gt;='Resultats - informe'!$D$27)*(C1680&lt;='Resultats - informe'!$E$27),0,(C1680&gt;='Resultats - informe'!$D$28)*(C1680&lt;='Resultats - informe'!$E$28),0,(C1680&gt;='Resultats - informe'!$D$29)*(C1680&lt;='Resultats - informe'!$E$29),0,1,1)</f>
        <v>0</v>
      </c>
      <c r="N1680" s="366">
        <f>+VLOOKUP(D1680,'Resultats - informe'!$Y$18:$AG$42,'Introducció dades consum'!K1680+1,0)</f>
        <v>0</v>
      </c>
      <c r="O1680" s="370" cm="1">
        <f t="array" ref="O1680">+_xlfn.SWITCH(MONTH(C1680),1,1,2,1,3,1,4,2,5,2,6,3,7,3,8,3,9,3,10,2,11,2,12,1,2)</f>
        <v>1</v>
      </c>
      <c r="P1680" s="43"/>
    </row>
    <row r="1681" spans="1:16" ht="18" x14ac:dyDescent="0.35">
      <c r="A1681" s="43"/>
      <c r="C1681" s="393"/>
      <c r="E1681" s="394"/>
      <c r="F1681" s="394">
        <v>0</v>
      </c>
      <c r="G1681" s="394"/>
      <c r="H1681" s="8" t="s">
        <v>235</v>
      </c>
      <c r="I1681" s="368">
        <f t="shared" si="79"/>
        <v>0</v>
      </c>
      <c r="J1681" s="365">
        <f t="shared" si="78"/>
        <v>0</v>
      </c>
      <c r="K1681" s="369">
        <f t="shared" si="80"/>
        <v>6</v>
      </c>
      <c r="L1681" s="369">
        <f>+IF((C1681&gt;='Resultats - informe'!$E$16)*(C1681&lt;='Resultats - informe'!$G$16),1,0)</f>
        <v>1</v>
      </c>
      <c r="M1681" s="369" cm="1">
        <f t="array" ref="M1681">+_xlfn.IFS((C1681&gt;='Resultats - informe'!$D$26)*(C1681&lt;='Resultats - informe'!$E$26),0,(C1681&gt;='Resultats - informe'!$D$27)*(C1681&lt;='Resultats - informe'!$E$27),0,(C1681&gt;='Resultats - informe'!$D$28)*(C1681&lt;='Resultats - informe'!$E$28),0,(C1681&gt;='Resultats - informe'!$D$29)*(C1681&lt;='Resultats - informe'!$E$29),0,1,1)</f>
        <v>0</v>
      </c>
      <c r="N1681" s="366">
        <f>+VLOOKUP(D1681,'Resultats - informe'!$Y$18:$AG$42,'Introducció dades consum'!K1681+1,0)</f>
        <v>0</v>
      </c>
      <c r="O1681" s="370" cm="1">
        <f t="array" ref="O1681">+_xlfn.SWITCH(MONTH(C1681),1,1,2,1,3,1,4,2,5,2,6,3,7,3,8,3,9,3,10,2,11,2,12,1,2)</f>
        <v>1</v>
      </c>
      <c r="P1681" s="43"/>
    </row>
    <row r="1682" spans="1:16" ht="18" x14ac:dyDescent="0.35">
      <c r="A1682" s="43"/>
      <c r="C1682" s="393"/>
      <c r="E1682" s="394"/>
      <c r="F1682" s="394">
        <v>0</v>
      </c>
      <c r="G1682" s="394"/>
      <c r="H1682" s="8" t="s">
        <v>235</v>
      </c>
      <c r="I1682" s="368">
        <f t="shared" si="79"/>
        <v>0</v>
      </c>
      <c r="J1682" s="365">
        <f t="shared" si="78"/>
        <v>0</v>
      </c>
      <c r="K1682" s="369">
        <f t="shared" si="80"/>
        <v>6</v>
      </c>
      <c r="L1682" s="369">
        <f>+IF((C1682&gt;='Resultats - informe'!$E$16)*(C1682&lt;='Resultats - informe'!$G$16),1,0)</f>
        <v>1</v>
      </c>
      <c r="M1682" s="369" cm="1">
        <f t="array" ref="M1682">+_xlfn.IFS((C1682&gt;='Resultats - informe'!$D$26)*(C1682&lt;='Resultats - informe'!$E$26),0,(C1682&gt;='Resultats - informe'!$D$27)*(C1682&lt;='Resultats - informe'!$E$27),0,(C1682&gt;='Resultats - informe'!$D$28)*(C1682&lt;='Resultats - informe'!$E$28),0,(C1682&gt;='Resultats - informe'!$D$29)*(C1682&lt;='Resultats - informe'!$E$29),0,1,1)</f>
        <v>0</v>
      </c>
      <c r="N1682" s="366">
        <f>+VLOOKUP(D1682,'Resultats - informe'!$Y$18:$AG$42,'Introducció dades consum'!K1682+1,0)</f>
        <v>0</v>
      </c>
      <c r="O1682" s="370" cm="1">
        <f t="array" ref="O1682">+_xlfn.SWITCH(MONTH(C1682),1,1,2,1,3,1,4,2,5,2,6,3,7,3,8,3,9,3,10,2,11,2,12,1,2)</f>
        <v>1</v>
      </c>
      <c r="P1682" s="43"/>
    </row>
    <row r="1683" spans="1:16" ht="18" x14ac:dyDescent="0.35">
      <c r="A1683" s="43"/>
      <c r="C1683" s="393"/>
      <c r="E1683" s="394"/>
      <c r="F1683" s="394">
        <v>0</v>
      </c>
      <c r="G1683" s="394"/>
      <c r="H1683" s="8" t="s">
        <v>235</v>
      </c>
      <c r="I1683" s="368">
        <f t="shared" si="79"/>
        <v>0</v>
      </c>
      <c r="J1683" s="365">
        <f t="shared" si="78"/>
        <v>0</v>
      </c>
      <c r="K1683" s="369">
        <f t="shared" si="80"/>
        <v>6</v>
      </c>
      <c r="L1683" s="369">
        <f>+IF((C1683&gt;='Resultats - informe'!$E$16)*(C1683&lt;='Resultats - informe'!$G$16),1,0)</f>
        <v>1</v>
      </c>
      <c r="M1683" s="369" cm="1">
        <f t="array" ref="M1683">+_xlfn.IFS((C1683&gt;='Resultats - informe'!$D$26)*(C1683&lt;='Resultats - informe'!$E$26),0,(C1683&gt;='Resultats - informe'!$D$27)*(C1683&lt;='Resultats - informe'!$E$27),0,(C1683&gt;='Resultats - informe'!$D$28)*(C1683&lt;='Resultats - informe'!$E$28),0,(C1683&gt;='Resultats - informe'!$D$29)*(C1683&lt;='Resultats - informe'!$E$29),0,1,1)</f>
        <v>0</v>
      </c>
      <c r="N1683" s="366">
        <f>+VLOOKUP(D1683,'Resultats - informe'!$Y$18:$AG$42,'Introducció dades consum'!K1683+1,0)</f>
        <v>0</v>
      </c>
      <c r="O1683" s="370" cm="1">
        <f t="array" ref="O1683">+_xlfn.SWITCH(MONTH(C1683),1,1,2,1,3,1,4,2,5,2,6,3,7,3,8,3,9,3,10,2,11,2,12,1,2)</f>
        <v>1</v>
      </c>
      <c r="P1683" s="43"/>
    </row>
    <row r="1684" spans="1:16" ht="18" x14ac:dyDescent="0.35">
      <c r="A1684" s="43"/>
      <c r="C1684" s="393"/>
      <c r="E1684" s="394"/>
      <c r="F1684" s="394">
        <v>0</v>
      </c>
      <c r="G1684" s="394"/>
      <c r="H1684" s="8" t="s">
        <v>235</v>
      </c>
      <c r="I1684" s="368">
        <f t="shared" si="79"/>
        <v>0</v>
      </c>
      <c r="J1684" s="365">
        <f t="shared" si="78"/>
        <v>0</v>
      </c>
      <c r="K1684" s="369">
        <f t="shared" si="80"/>
        <v>6</v>
      </c>
      <c r="L1684" s="369">
        <f>+IF((C1684&gt;='Resultats - informe'!$E$16)*(C1684&lt;='Resultats - informe'!$G$16),1,0)</f>
        <v>1</v>
      </c>
      <c r="M1684" s="369" cm="1">
        <f t="array" ref="M1684">+_xlfn.IFS((C1684&gt;='Resultats - informe'!$D$26)*(C1684&lt;='Resultats - informe'!$E$26),0,(C1684&gt;='Resultats - informe'!$D$27)*(C1684&lt;='Resultats - informe'!$E$27),0,(C1684&gt;='Resultats - informe'!$D$28)*(C1684&lt;='Resultats - informe'!$E$28),0,(C1684&gt;='Resultats - informe'!$D$29)*(C1684&lt;='Resultats - informe'!$E$29),0,1,1)</f>
        <v>0</v>
      </c>
      <c r="N1684" s="366">
        <f>+VLOOKUP(D1684,'Resultats - informe'!$Y$18:$AG$42,'Introducció dades consum'!K1684+1,0)</f>
        <v>0</v>
      </c>
      <c r="O1684" s="370" cm="1">
        <f t="array" ref="O1684">+_xlfn.SWITCH(MONTH(C1684),1,1,2,1,3,1,4,2,5,2,6,3,7,3,8,3,9,3,10,2,11,2,12,1,2)</f>
        <v>1</v>
      </c>
      <c r="P1684" s="43"/>
    </row>
    <row r="1685" spans="1:16" ht="18" x14ac:dyDescent="0.35">
      <c r="A1685" s="43"/>
      <c r="C1685" s="393"/>
      <c r="E1685" s="394"/>
      <c r="F1685" s="394">
        <v>0</v>
      </c>
      <c r="G1685" s="394"/>
      <c r="H1685" s="8" t="s">
        <v>235</v>
      </c>
      <c r="I1685" s="368">
        <f t="shared" si="79"/>
        <v>0</v>
      </c>
      <c r="J1685" s="365">
        <f t="shared" si="78"/>
        <v>0</v>
      </c>
      <c r="K1685" s="369">
        <f t="shared" si="80"/>
        <v>6</v>
      </c>
      <c r="L1685" s="369">
        <f>+IF((C1685&gt;='Resultats - informe'!$E$16)*(C1685&lt;='Resultats - informe'!$G$16),1,0)</f>
        <v>1</v>
      </c>
      <c r="M1685" s="369" cm="1">
        <f t="array" ref="M1685">+_xlfn.IFS((C1685&gt;='Resultats - informe'!$D$26)*(C1685&lt;='Resultats - informe'!$E$26),0,(C1685&gt;='Resultats - informe'!$D$27)*(C1685&lt;='Resultats - informe'!$E$27),0,(C1685&gt;='Resultats - informe'!$D$28)*(C1685&lt;='Resultats - informe'!$E$28),0,(C1685&gt;='Resultats - informe'!$D$29)*(C1685&lt;='Resultats - informe'!$E$29),0,1,1)</f>
        <v>0</v>
      </c>
      <c r="N1685" s="366">
        <f>+VLOOKUP(D1685,'Resultats - informe'!$Y$18:$AG$42,'Introducció dades consum'!K1685+1,0)</f>
        <v>0</v>
      </c>
      <c r="O1685" s="370" cm="1">
        <f t="array" ref="O1685">+_xlfn.SWITCH(MONTH(C1685),1,1,2,1,3,1,4,2,5,2,6,3,7,3,8,3,9,3,10,2,11,2,12,1,2)</f>
        <v>1</v>
      </c>
      <c r="P1685" s="43"/>
    </row>
    <row r="1686" spans="1:16" ht="18" x14ac:dyDescent="0.35">
      <c r="A1686" s="43"/>
      <c r="C1686" s="393"/>
      <c r="E1686" s="394"/>
      <c r="F1686" s="394">
        <v>0</v>
      </c>
      <c r="G1686" s="394"/>
      <c r="H1686" s="8" t="s">
        <v>235</v>
      </c>
      <c r="I1686" s="368">
        <f t="shared" si="79"/>
        <v>0</v>
      </c>
      <c r="J1686" s="365">
        <f t="shared" si="78"/>
        <v>0</v>
      </c>
      <c r="K1686" s="369">
        <f t="shared" si="80"/>
        <v>6</v>
      </c>
      <c r="L1686" s="369">
        <f>+IF((C1686&gt;='Resultats - informe'!$E$16)*(C1686&lt;='Resultats - informe'!$G$16),1,0)</f>
        <v>1</v>
      </c>
      <c r="M1686" s="369" cm="1">
        <f t="array" ref="M1686">+_xlfn.IFS((C1686&gt;='Resultats - informe'!$D$26)*(C1686&lt;='Resultats - informe'!$E$26),0,(C1686&gt;='Resultats - informe'!$D$27)*(C1686&lt;='Resultats - informe'!$E$27),0,(C1686&gt;='Resultats - informe'!$D$28)*(C1686&lt;='Resultats - informe'!$E$28),0,(C1686&gt;='Resultats - informe'!$D$29)*(C1686&lt;='Resultats - informe'!$E$29),0,1,1)</f>
        <v>0</v>
      </c>
      <c r="N1686" s="366">
        <f>+VLOOKUP(D1686,'Resultats - informe'!$Y$18:$AG$42,'Introducció dades consum'!K1686+1,0)</f>
        <v>0</v>
      </c>
      <c r="O1686" s="370" cm="1">
        <f t="array" ref="O1686">+_xlfn.SWITCH(MONTH(C1686),1,1,2,1,3,1,4,2,5,2,6,3,7,3,8,3,9,3,10,2,11,2,12,1,2)</f>
        <v>1</v>
      </c>
      <c r="P1686" s="43"/>
    </row>
    <row r="1687" spans="1:16" ht="18" x14ac:dyDescent="0.35">
      <c r="A1687" s="43"/>
      <c r="C1687" s="393"/>
      <c r="E1687" s="394"/>
      <c r="F1687" s="394">
        <v>0</v>
      </c>
      <c r="G1687" s="394"/>
      <c r="H1687" s="8" t="s">
        <v>235</v>
      </c>
      <c r="I1687" s="368">
        <f t="shared" si="79"/>
        <v>0</v>
      </c>
      <c r="J1687" s="365">
        <f t="shared" si="78"/>
        <v>0</v>
      </c>
      <c r="K1687" s="369">
        <f t="shared" si="80"/>
        <v>6</v>
      </c>
      <c r="L1687" s="369">
        <f>+IF((C1687&gt;='Resultats - informe'!$E$16)*(C1687&lt;='Resultats - informe'!$G$16),1,0)</f>
        <v>1</v>
      </c>
      <c r="M1687" s="369" cm="1">
        <f t="array" ref="M1687">+_xlfn.IFS((C1687&gt;='Resultats - informe'!$D$26)*(C1687&lt;='Resultats - informe'!$E$26),0,(C1687&gt;='Resultats - informe'!$D$27)*(C1687&lt;='Resultats - informe'!$E$27),0,(C1687&gt;='Resultats - informe'!$D$28)*(C1687&lt;='Resultats - informe'!$E$28),0,(C1687&gt;='Resultats - informe'!$D$29)*(C1687&lt;='Resultats - informe'!$E$29),0,1,1)</f>
        <v>0</v>
      </c>
      <c r="N1687" s="366">
        <f>+VLOOKUP(D1687,'Resultats - informe'!$Y$18:$AG$42,'Introducció dades consum'!K1687+1,0)</f>
        <v>0</v>
      </c>
      <c r="O1687" s="370" cm="1">
        <f t="array" ref="O1687">+_xlfn.SWITCH(MONTH(C1687),1,1,2,1,3,1,4,2,5,2,6,3,7,3,8,3,9,3,10,2,11,2,12,1,2)</f>
        <v>1</v>
      </c>
      <c r="P1687" s="43"/>
    </row>
    <row r="1688" spans="1:16" ht="18" x14ac:dyDescent="0.35">
      <c r="A1688" s="43"/>
      <c r="C1688" s="393"/>
      <c r="E1688" s="394"/>
      <c r="F1688" s="394">
        <v>0</v>
      </c>
      <c r="G1688" s="394"/>
      <c r="H1688" s="8" t="s">
        <v>235</v>
      </c>
      <c r="I1688" s="368">
        <f t="shared" si="79"/>
        <v>0</v>
      </c>
      <c r="J1688" s="365">
        <f t="shared" si="78"/>
        <v>0</v>
      </c>
      <c r="K1688" s="369">
        <f t="shared" si="80"/>
        <v>6</v>
      </c>
      <c r="L1688" s="369">
        <f>+IF((C1688&gt;='Resultats - informe'!$E$16)*(C1688&lt;='Resultats - informe'!$G$16),1,0)</f>
        <v>1</v>
      </c>
      <c r="M1688" s="369" cm="1">
        <f t="array" ref="M1688">+_xlfn.IFS((C1688&gt;='Resultats - informe'!$D$26)*(C1688&lt;='Resultats - informe'!$E$26),0,(C1688&gt;='Resultats - informe'!$D$27)*(C1688&lt;='Resultats - informe'!$E$27),0,(C1688&gt;='Resultats - informe'!$D$28)*(C1688&lt;='Resultats - informe'!$E$28),0,(C1688&gt;='Resultats - informe'!$D$29)*(C1688&lt;='Resultats - informe'!$E$29),0,1,1)</f>
        <v>0</v>
      </c>
      <c r="N1688" s="366">
        <f>+VLOOKUP(D1688,'Resultats - informe'!$Y$18:$AG$42,'Introducció dades consum'!K1688+1,0)</f>
        <v>0</v>
      </c>
      <c r="O1688" s="370" cm="1">
        <f t="array" ref="O1688">+_xlfn.SWITCH(MONTH(C1688),1,1,2,1,3,1,4,2,5,2,6,3,7,3,8,3,9,3,10,2,11,2,12,1,2)</f>
        <v>1</v>
      </c>
      <c r="P1688" s="43"/>
    </row>
    <row r="1689" spans="1:16" ht="18" x14ac:dyDescent="0.35">
      <c r="A1689" s="43"/>
      <c r="C1689" s="393"/>
      <c r="E1689" s="394"/>
      <c r="F1689" s="394">
        <v>0</v>
      </c>
      <c r="G1689" s="394"/>
      <c r="H1689" s="8" t="s">
        <v>235</v>
      </c>
      <c r="I1689" s="368">
        <f t="shared" si="79"/>
        <v>0</v>
      </c>
      <c r="J1689" s="365">
        <f t="shared" si="78"/>
        <v>0</v>
      </c>
      <c r="K1689" s="369">
        <f t="shared" si="80"/>
        <v>6</v>
      </c>
      <c r="L1689" s="369">
        <f>+IF((C1689&gt;='Resultats - informe'!$E$16)*(C1689&lt;='Resultats - informe'!$G$16),1,0)</f>
        <v>1</v>
      </c>
      <c r="M1689" s="369" cm="1">
        <f t="array" ref="M1689">+_xlfn.IFS((C1689&gt;='Resultats - informe'!$D$26)*(C1689&lt;='Resultats - informe'!$E$26),0,(C1689&gt;='Resultats - informe'!$D$27)*(C1689&lt;='Resultats - informe'!$E$27),0,(C1689&gt;='Resultats - informe'!$D$28)*(C1689&lt;='Resultats - informe'!$E$28),0,(C1689&gt;='Resultats - informe'!$D$29)*(C1689&lt;='Resultats - informe'!$E$29),0,1,1)</f>
        <v>0</v>
      </c>
      <c r="N1689" s="366">
        <f>+VLOOKUP(D1689,'Resultats - informe'!$Y$18:$AG$42,'Introducció dades consum'!K1689+1,0)</f>
        <v>0</v>
      </c>
      <c r="O1689" s="370" cm="1">
        <f t="array" ref="O1689">+_xlfn.SWITCH(MONTH(C1689),1,1,2,1,3,1,4,2,5,2,6,3,7,3,8,3,9,3,10,2,11,2,12,1,2)</f>
        <v>1</v>
      </c>
      <c r="P1689" s="43"/>
    </row>
    <row r="1690" spans="1:16" ht="18" x14ac:dyDescent="0.35">
      <c r="A1690" s="43"/>
      <c r="C1690" s="393"/>
      <c r="E1690" s="394"/>
      <c r="F1690" s="394">
        <v>0</v>
      </c>
      <c r="G1690" s="394"/>
      <c r="H1690" s="8" t="s">
        <v>235</v>
      </c>
      <c r="I1690" s="368">
        <f t="shared" si="79"/>
        <v>0</v>
      </c>
      <c r="J1690" s="365">
        <f t="shared" si="78"/>
        <v>0</v>
      </c>
      <c r="K1690" s="369">
        <f t="shared" si="80"/>
        <v>6</v>
      </c>
      <c r="L1690" s="369">
        <f>+IF((C1690&gt;='Resultats - informe'!$E$16)*(C1690&lt;='Resultats - informe'!$G$16),1,0)</f>
        <v>1</v>
      </c>
      <c r="M1690" s="369" cm="1">
        <f t="array" ref="M1690">+_xlfn.IFS((C1690&gt;='Resultats - informe'!$D$26)*(C1690&lt;='Resultats - informe'!$E$26),0,(C1690&gt;='Resultats - informe'!$D$27)*(C1690&lt;='Resultats - informe'!$E$27),0,(C1690&gt;='Resultats - informe'!$D$28)*(C1690&lt;='Resultats - informe'!$E$28),0,(C1690&gt;='Resultats - informe'!$D$29)*(C1690&lt;='Resultats - informe'!$E$29),0,1,1)</f>
        <v>0</v>
      </c>
      <c r="N1690" s="366">
        <f>+VLOOKUP(D1690,'Resultats - informe'!$Y$18:$AG$42,'Introducció dades consum'!K1690+1,0)</f>
        <v>0</v>
      </c>
      <c r="O1690" s="370" cm="1">
        <f t="array" ref="O1690">+_xlfn.SWITCH(MONTH(C1690),1,1,2,1,3,1,4,2,5,2,6,3,7,3,8,3,9,3,10,2,11,2,12,1,2)</f>
        <v>1</v>
      </c>
      <c r="P1690" s="43"/>
    </row>
    <row r="1691" spans="1:16" ht="18" x14ac:dyDescent="0.35">
      <c r="A1691" s="43"/>
      <c r="C1691" s="393"/>
      <c r="E1691" s="394"/>
      <c r="F1691" s="394">
        <v>0</v>
      </c>
      <c r="G1691" s="394"/>
      <c r="H1691" s="8" t="s">
        <v>235</v>
      </c>
      <c r="I1691" s="368">
        <f t="shared" si="79"/>
        <v>0</v>
      </c>
      <c r="J1691" s="365">
        <f t="shared" si="78"/>
        <v>0</v>
      </c>
      <c r="K1691" s="369">
        <f t="shared" si="80"/>
        <v>6</v>
      </c>
      <c r="L1691" s="369">
        <f>+IF((C1691&gt;='Resultats - informe'!$E$16)*(C1691&lt;='Resultats - informe'!$G$16),1,0)</f>
        <v>1</v>
      </c>
      <c r="M1691" s="369" cm="1">
        <f t="array" ref="M1691">+_xlfn.IFS((C1691&gt;='Resultats - informe'!$D$26)*(C1691&lt;='Resultats - informe'!$E$26),0,(C1691&gt;='Resultats - informe'!$D$27)*(C1691&lt;='Resultats - informe'!$E$27),0,(C1691&gt;='Resultats - informe'!$D$28)*(C1691&lt;='Resultats - informe'!$E$28),0,(C1691&gt;='Resultats - informe'!$D$29)*(C1691&lt;='Resultats - informe'!$E$29),0,1,1)</f>
        <v>0</v>
      </c>
      <c r="N1691" s="366">
        <f>+VLOOKUP(D1691,'Resultats - informe'!$Y$18:$AG$42,'Introducció dades consum'!K1691+1,0)</f>
        <v>0</v>
      </c>
      <c r="O1691" s="370" cm="1">
        <f t="array" ref="O1691">+_xlfn.SWITCH(MONTH(C1691),1,1,2,1,3,1,4,2,5,2,6,3,7,3,8,3,9,3,10,2,11,2,12,1,2)</f>
        <v>1</v>
      </c>
      <c r="P1691" s="43"/>
    </row>
    <row r="1692" spans="1:16" ht="18" x14ac:dyDescent="0.35">
      <c r="A1692" s="43"/>
      <c r="C1692" s="393"/>
      <c r="E1692" s="394"/>
      <c r="F1692" s="394">
        <v>0</v>
      </c>
      <c r="G1692" s="394"/>
      <c r="H1692" s="8" t="s">
        <v>235</v>
      </c>
      <c r="I1692" s="368">
        <f t="shared" si="79"/>
        <v>0</v>
      </c>
      <c r="J1692" s="365">
        <f t="shared" si="78"/>
        <v>0</v>
      </c>
      <c r="K1692" s="369">
        <f t="shared" si="80"/>
        <v>6</v>
      </c>
      <c r="L1692" s="369">
        <f>+IF((C1692&gt;='Resultats - informe'!$E$16)*(C1692&lt;='Resultats - informe'!$G$16),1,0)</f>
        <v>1</v>
      </c>
      <c r="M1692" s="369" cm="1">
        <f t="array" ref="M1692">+_xlfn.IFS((C1692&gt;='Resultats - informe'!$D$26)*(C1692&lt;='Resultats - informe'!$E$26),0,(C1692&gt;='Resultats - informe'!$D$27)*(C1692&lt;='Resultats - informe'!$E$27),0,(C1692&gt;='Resultats - informe'!$D$28)*(C1692&lt;='Resultats - informe'!$E$28),0,(C1692&gt;='Resultats - informe'!$D$29)*(C1692&lt;='Resultats - informe'!$E$29),0,1,1)</f>
        <v>0</v>
      </c>
      <c r="N1692" s="366">
        <f>+VLOOKUP(D1692,'Resultats - informe'!$Y$18:$AG$42,'Introducció dades consum'!K1692+1,0)</f>
        <v>0</v>
      </c>
      <c r="O1692" s="370" cm="1">
        <f t="array" ref="O1692">+_xlfn.SWITCH(MONTH(C1692),1,1,2,1,3,1,4,2,5,2,6,3,7,3,8,3,9,3,10,2,11,2,12,1,2)</f>
        <v>1</v>
      </c>
      <c r="P1692" s="43"/>
    </row>
    <row r="1693" spans="1:16" ht="18" x14ac:dyDescent="0.35">
      <c r="A1693" s="43"/>
      <c r="C1693" s="393"/>
      <c r="E1693" s="394"/>
      <c r="F1693" s="394">
        <v>0</v>
      </c>
      <c r="G1693" s="394"/>
      <c r="H1693" s="8" t="s">
        <v>61</v>
      </c>
      <c r="I1693" s="368">
        <f t="shared" si="79"/>
        <v>0</v>
      </c>
      <c r="J1693" s="365">
        <f t="shared" si="78"/>
        <v>0</v>
      </c>
      <c r="K1693" s="369">
        <f t="shared" si="80"/>
        <v>6</v>
      </c>
      <c r="L1693" s="369">
        <f>+IF((C1693&gt;='Resultats - informe'!$E$16)*(C1693&lt;='Resultats - informe'!$G$16),1,0)</f>
        <v>1</v>
      </c>
      <c r="M1693" s="369" cm="1">
        <f t="array" ref="M1693">+_xlfn.IFS((C1693&gt;='Resultats - informe'!$D$26)*(C1693&lt;='Resultats - informe'!$E$26),0,(C1693&gt;='Resultats - informe'!$D$27)*(C1693&lt;='Resultats - informe'!$E$27),0,(C1693&gt;='Resultats - informe'!$D$28)*(C1693&lt;='Resultats - informe'!$E$28),0,(C1693&gt;='Resultats - informe'!$D$29)*(C1693&lt;='Resultats - informe'!$E$29),0,1,1)</f>
        <v>0</v>
      </c>
      <c r="N1693" s="366">
        <f>+VLOOKUP(D1693,'Resultats - informe'!$Y$18:$AG$42,'Introducció dades consum'!K1693+1,0)</f>
        <v>0</v>
      </c>
      <c r="O1693" s="370" cm="1">
        <f t="array" ref="O1693">+_xlfn.SWITCH(MONTH(C1693),1,1,2,1,3,1,4,2,5,2,6,3,7,3,8,3,9,3,10,2,11,2,12,1,2)</f>
        <v>1</v>
      </c>
      <c r="P1693" s="43"/>
    </row>
    <row r="1694" spans="1:16" ht="18" x14ac:dyDescent="0.35">
      <c r="A1694" s="43"/>
      <c r="C1694" s="393"/>
      <c r="E1694" s="394"/>
      <c r="F1694" s="394">
        <v>0</v>
      </c>
      <c r="G1694" s="394"/>
      <c r="H1694" s="8" t="s">
        <v>235</v>
      </c>
      <c r="I1694" s="368">
        <f t="shared" si="79"/>
        <v>0</v>
      </c>
      <c r="J1694" s="365">
        <f t="shared" si="78"/>
        <v>0</v>
      </c>
      <c r="K1694" s="369">
        <f t="shared" si="80"/>
        <v>6</v>
      </c>
      <c r="L1694" s="369">
        <f>+IF((C1694&gt;='Resultats - informe'!$E$16)*(C1694&lt;='Resultats - informe'!$G$16),1,0)</f>
        <v>1</v>
      </c>
      <c r="M1694" s="369" cm="1">
        <f t="array" ref="M1694">+_xlfn.IFS((C1694&gt;='Resultats - informe'!$D$26)*(C1694&lt;='Resultats - informe'!$E$26),0,(C1694&gt;='Resultats - informe'!$D$27)*(C1694&lt;='Resultats - informe'!$E$27),0,(C1694&gt;='Resultats - informe'!$D$28)*(C1694&lt;='Resultats - informe'!$E$28),0,(C1694&gt;='Resultats - informe'!$D$29)*(C1694&lt;='Resultats - informe'!$E$29),0,1,1)</f>
        <v>0</v>
      </c>
      <c r="N1694" s="366">
        <f>+VLOOKUP(D1694,'Resultats - informe'!$Y$18:$AG$42,'Introducció dades consum'!K1694+1,0)</f>
        <v>0</v>
      </c>
      <c r="O1694" s="370" cm="1">
        <f t="array" ref="O1694">+_xlfn.SWITCH(MONTH(C1694),1,1,2,1,3,1,4,2,5,2,6,3,7,3,8,3,9,3,10,2,11,2,12,1,2)</f>
        <v>1</v>
      </c>
      <c r="P1694" s="43"/>
    </row>
    <row r="1695" spans="1:16" ht="18" x14ac:dyDescent="0.35">
      <c r="A1695" s="43"/>
      <c r="C1695" s="393"/>
      <c r="E1695" s="394"/>
      <c r="F1695" s="394">
        <v>1.2370000000000001</v>
      </c>
      <c r="G1695" s="394"/>
      <c r="H1695" s="8" t="s">
        <v>61</v>
      </c>
      <c r="I1695" s="368">
        <f t="shared" si="79"/>
        <v>0</v>
      </c>
      <c r="J1695" s="365">
        <f t="shared" si="78"/>
        <v>0</v>
      </c>
      <c r="K1695" s="369">
        <f t="shared" si="80"/>
        <v>6</v>
      </c>
      <c r="L1695" s="369">
        <f>+IF((C1695&gt;='Resultats - informe'!$E$16)*(C1695&lt;='Resultats - informe'!$G$16),1,0)</f>
        <v>1</v>
      </c>
      <c r="M1695" s="369" cm="1">
        <f t="array" ref="M1695">+_xlfn.IFS((C1695&gt;='Resultats - informe'!$D$26)*(C1695&lt;='Resultats - informe'!$E$26),0,(C1695&gt;='Resultats - informe'!$D$27)*(C1695&lt;='Resultats - informe'!$E$27),0,(C1695&gt;='Resultats - informe'!$D$28)*(C1695&lt;='Resultats - informe'!$E$28),0,(C1695&gt;='Resultats - informe'!$D$29)*(C1695&lt;='Resultats - informe'!$E$29),0,1,1)</f>
        <v>0</v>
      </c>
      <c r="N1695" s="366">
        <f>+VLOOKUP(D1695,'Resultats - informe'!$Y$18:$AG$42,'Introducció dades consum'!K1695+1,0)</f>
        <v>0</v>
      </c>
      <c r="O1695" s="370" cm="1">
        <f t="array" ref="O1695">+_xlfn.SWITCH(MONTH(C1695),1,1,2,1,3,1,4,2,5,2,6,3,7,3,8,3,9,3,10,2,11,2,12,1,2)</f>
        <v>1</v>
      </c>
      <c r="P1695" s="43"/>
    </row>
    <row r="1696" spans="1:16" ht="18" x14ac:dyDescent="0.35">
      <c r="A1696" s="43"/>
      <c r="C1696" s="393"/>
      <c r="E1696" s="394"/>
      <c r="F1696" s="394">
        <v>0</v>
      </c>
      <c r="G1696" s="394"/>
      <c r="H1696" s="8" t="s">
        <v>61</v>
      </c>
      <c r="I1696" s="368">
        <f t="shared" si="79"/>
        <v>0</v>
      </c>
      <c r="J1696" s="365">
        <f t="shared" si="78"/>
        <v>0</v>
      </c>
      <c r="K1696" s="369">
        <f t="shared" si="80"/>
        <v>6</v>
      </c>
      <c r="L1696" s="369">
        <f>+IF((C1696&gt;='Resultats - informe'!$E$16)*(C1696&lt;='Resultats - informe'!$G$16),1,0)</f>
        <v>1</v>
      </c>
      <c r="M1696" s="369" cm="1">
        <f t="array" ref="M1696">+_xlfn.IFS((C1696&gt;='Resultats - informe'!$D$26)*(C1696&lt;='Resultats - informe'!$E$26),0,(C1696&gt;='Resultats - informe'!$D$27)*(C1696&lt;='Resultats - informe'!$E$27),0,(C1696&gt;='Resultats - informe'!$D$28)*(C1696&lt;='Resultats - informe'!$E$28),0,(C1696&gt;='Resultats - informe'!$D$29)*(C1696&lt;='Resultats - informe'!$E$29),0,1,1)</f>
        <v>0</v>
      </c>
      <c r="N1696" s="366">
        <f>+VLOOKUP(D1696,'Resultats - informe'!$Y$18:$AG$42,'Introducció dades consum'!K1696+1,0)</f>
        <v>0</v>
      </c>
      <c r="O1696" s="370" cm="1">
        <f t="array" ref="O1696">+_xlfn.SWITCH(MONTH(C1696),1,1,2,1,3,1,4,2,5,2,6,3,7,3,8,3,9,3,10,2,11,2,12,1,2)</f>
        <v>1</v>
      </c>
      <c r="P1696" s="43"/>
    </row>
    <row r="1697" spans="1:16" ht="18" x14ac:dyDescent="0.35">
      <c r="A1697" s="43"/>
      <c r="C1697" s="393"/>
      <c r="E1697" s="394"/>
      <c r="F1697" s="394">
        <v>1.756</v>
      </c>
      <c r="G1697" s="394"/>
      <c r="H1697" s="8" t="s">
        <v>235</v>
      </c>
      <c r="I1697" s="368">
        <f t="shared" si="79"/>
        <v>0</v>
      </c>
      <c r="J1697" s="365">
        <f t="shared" si="78"/>
        <v>0</v>
      </c>
      <c r="K1697" s="369">
        <f t="shared" si="80"/>
        <v>6</v>
      </c>
      <c r="L1697" s="369">
        <f>+IF((C1697&gt;='Resultats - informe'!$E$16)*(C1697&lt;='Resultats - informe'!$G$16),1,0)</f>
        <v>1</v>
      </c>
      <c r="M1697" s="369" cm="1">
        <f t="array" ref="M1697">+_xlfn.IFS((C1697&gt;='Resultats - informe'!$D$26)*(C1697&lt;='Resultats - informe'!$E$26),0,(C1697&gt;='Resultats - informe'!$D$27)*(C1697&lt;='Resultats - informe'!$E$27),0,(C1697&gt;='Resultats - informe'!$D$28)*(C1697&lt;='Resultats - informe'!$E$28),0,(C1697&gt;='Resultats - informe'!$D$29)*(C1697&lt;='Resultats - informe'!$E$29),0,1,1)</f>
        <v>0</v>
      </c>
      <c r="N1697" s="366">
        <f>+VLOOKUP(D1697,'Resultats - informe'!$Y$18:$AG$42,'Introducció dades consum'!K1697+1,0)</f>
        <v>0</v>
      </c>
      <c r="O1697" s="370" cm="1">
        <f t="array" ref="O1697">+_xlfn.SWITCH(MONTH(C1697),1,1,2,1,3,1,4,2,5,2,6,3,7,3,8,3,9,3,10,2,11,2,12,1,2)</f>
        <v>1</v>
      </c>
      <c r="P1697" s="43"/>
    </row>
    <row r="1698" spans="1:16" ht="18" x14ac:dyDescent="0.35">
      <c r="A1698" s="43"/>
      <c r="C1698" s="393"/>
      <c r="E1698" s="394"/>
      <c r="F1698" s="394">
        <v>1.448</v>
      </c>
      <c r="G1698" s="394"/>
      <c r="H1698" s="8" t="s">
        <v>235</v>
      </c>
      <c r="I1698" s="368">
        <f t="shared" si="79"/>
        <v>0</v>
      </c>
      <c r="J1698" s="365">
        <f t="shared" si="78"/>
        <v>0</v>
      </c>
      <c r="K1698" s="369">
        <f t="shared" si="80"/>
        <v>6</v>
      </c>
      <c r="L1698" s="369">
        <f>+IF((C1698&gt;='Resultats - informe'!$E$16)*(C1698&lt;='Resultats - informe'!$G$16),1,0)</f>
        <v>1</v>
      </c>
      <c r="M1698" s="369" cm="1">
        <f t="array" ref="M1698">+_xlfn.IFS((C1698&gt;='Resultats - informe'!$D$26)*(C1698&lt;='Resultats - informe'!$E$26),0,(C1698&gt;='Resultats - informe'!$D$27)*(C1698&lt;='Resultats - informe'!$E$27),0,(C1698&gt;='Resultats - informe'!$D$28)*(C1698&lt;='Resultats - informe'!$E$28),0,(C1698&gt;='Resultats - informe'!$D$29)*(C1698&lt;='Resultats - informe'!$E$29),0,1,1)</f>
        <v>0</v>
      </c>
      <c r="N1698" s="366">
        <f>+VLOOKUP(D1698,'Resultats - informe'!$Y$18:$AG$42,'Introducció dades consum'!K1698+1,0)</f>
        <v>0</v>
      </c>
      <c r="O1698" s="370" cm="1">
        <f t="array" ref="O1698">+_xlfn.SWITCH(MONTH(C1698),1,1,2,1,3,1,4,2,5,2,6,3,7,3,8,3,9,3,10,2,11,2,12,1,2)</f>
        <v>1</v>
      </c>
      <c r="P1698" s="43"/>
    </row>
    <row r="1699" spans="1:16" ht="18" x14ac:dyDescent="0.35">
      <c r="A1699" s="43"/>
      <c r="C1699" s="393"/>
      <c r="E1699" s="394"/>
      <c r="F1699" s="394">
        <v>0.17499999999999999</v>
      </c>
      <c r="G1699" s="394"/>
      <c r="H1699" s="8" t="s">
        <v>61</v>
      </c>
      <c r="I1699" s="368">
        <f t="shared" si="79"/>
        <v>0</v>
      </c>
      <c r="J1699" s="365">
        <f t="shared" si="78"/>
        <v>0</v>
      </c>
      <c r="K1699" s="369">
        <f t="shared" si="80"/>
        <v>6</v>
      </c>
      <c r="L1699" s="369">
        <f>+IF((C1699&gt;='Resultats - informe'!$E$16)*(C1699&lt;='Resultats - informe'!$G$16),1,0)</f>
        <v>1</v>
      </c>
      <c r="M1699" s="369" cm="1">
        <f t="array" ref="M1699">+_xlfn.IFS((C1699&gt;='Resultats - informe'!$D$26)*(C1699&lt;='Resultats - informe'!$E$26),0,(C1699&gt;='Resultats - informe'!$D$27)*(C1699&lt;='Resultats - informe'!$E$27),0,(C1699&gt;='Resultats - informe'!$D$28)*(C1699&lt;='Resultats - informe'!$E$28),0,(C1699&gt;='Resultats - informe'!$D$29)*(C1699&lt;='Resultats - informe'!$E$29),0,1,1)</f>
        <v>0</v>
      </c>
      <c r="N1699" s="366">
        <f>+VLOOKUP(D1699,'Resultats - informe'!$Y$18:$AG$42,'Introducció dades consum'!K1699+1,0)</f>
        <v>0</v>
      </c>
      <c r="O1699" s="370" cm="1">
        <f t="array" ref="O1699">+_xlfn.SWITCH(MONTH(C1699),1,1,2,1,3,1,4,2,5,2,6,3,7,3,8,3,9,3,10,2,11,2,12,1,2)</f>
        <v>1</v>
      </c>
      <c r="P1699" s="43"/>
    </row>
    <row r="1700" spans="1:16" ht="18" x14ac:dyDescent="0.35">
      <c r="A1700" s="43"/>
      <c r="C1700" s="393"/>
      <c r="E1700" s="394"/>
      <c r="F1700" s="394">
        <v>0.51900000000000002</v>
      </c>
      <c r="G1700" s="394"/>
      <c r="H1700" s="8" t="s">
        <v>61</v>
      </c>
      <c r="I1700" s="368">
        <f t="shared" si="79"/>
        <v>0</v>
      </c>
      <c r="J1700" s="365">
        <f t="shared" si="78"/>
        <v>0</v>
      </c>
      <c r="K1700" s="369">
        <f t="shared" si="80"/>
        <v>6</v>
      </c>
      <c r="L1700" s="369">
        <f>+IF((C1700&gt;='Resultats - informe'!$E$16)*(C1700&lt;='Resultats - informe'!$G$16),1,0)</f>
        <v>1</v>
      </c>
      <c r="M1700" s="369" cm="1">
        <f t="array" ref="M1700">+_xlfn.IFS((C1700&gt;='Resultats - informe'!$D$26)*(C1700&lt;='Resultats - informe'!$E$26),0,(C1700&gt;='Resultats - informe'!$D$27)*(C1700&lt;='Resultats - informe'!$E$27),0,(C1700&gt;='Resultats - informe'!$D$28)*(C1700&lt;='Resultats - informe'!$E$28),0,(C1700&gt;='Resultats - informe'!$D$29)*(C1700&lt;='Resultats - informe'!$E$29),0,1,1)</f>
        <v>0</v>
      </c>
      <c r="N1700" s="366">
        <f>+VLOOKUP(D1700,'Resultats - informe'!$Y$18:$AG$42,'Introducció dades consum'!K1700+1,0)</f>
        <v>0</v>
      </c>
      <c r="O1700" s="370" cm="1">
        <f t="array" ref="O1700">+_xlfn.SWITCH(MONTH(C1700),1,1,2,1,3,1,4,2,5,2,6,3,7,3,8,3,9,3,10,2,11,2,12,1,2)</f>
        <v>1</v>
      </c>
      <c r="P1700" s="43"/>
    </row>
    <row r="1701" spans="1:16" ht="18" x14ac:dyDescent="0.35">
      <c r="A1701" s="43"/>
      <c r="C1701" s="393"/>
      <c r="E1701" s="394"/>
      <c r="F1701" s="394">
        <v>0</v>
      </c>
      <c r="G1701" s="394"/>
      <c r="H1701" s="8" t="s">
        <v>235</v>
      </c>
      <c r="I1701" s="368">
        <f t="shared" si="79"/>
        <v>0</v>
      </c>
      <c r="J1701" s="365">
        <f t="shared" si="78"/>
        <v>0</v>
      </c>
      <c r="K1701" s="369">
        <f t="shared" si="80"/>
        <v>6</v>
      </c>
      <c r="L1701" s="369">
        <f>+IF((C1701&gt;='Resultats - informe'!$E$16)*(C1701&lt;='Resultats - informe'!$G$16),1,0)</f>
        <v>1</v>
      </c>
      <c r="M1701" s="369" cm="1">
        <f t="array" ref="M1701">+_xlfn.IFS((C1701&gt;='Resultats - informe'!$D$26)*(C1701&lt;='Resultats - informe'!$E$26),0,(C1701&gt;='Resultats - informe'!$D$27)*(C1701&lt;='Resultats - informe'!$E$27),0,(C1701&gt;='Resultats - informe'!$D$28)*(C1701&lt;='Resultats - informe'!$E$28),0,(C1701&gt;='Resultats - informe'!$D$29)*(C1701&lt;='Resultats - informe'!$E$29),0,1,1)</f>
        <v>0</v>
      </c>
      <c r="N1701" s="366">
        <f>+VLOOKUP(D1701,'Resultats - informe'!$Y$18:$AG$42,'Introducció dades consum'!K1701+1,0)</f>
        <v>0</v>
      </c>
      <c r="O1701" s="370" cm="1">
        <f t="array" ref="O1701">+_xlfn.SWITCH(MONTH(C1701),1,1,2,1,3,1,4,2,5,2,6,3,7,3,8,3,9,3,10,2,11,2,12,1,2)</f>
        <v>1</v>
      </c>
      <c r="P1701" s="43"/>
    </row>
    <row r="1702" spans="1:16" ht="18" x14ac:dyDescent="0.35">
      <c r="A1702" s="43"/>
      <c r="C1702" s="393"/>
      <c r="E1702" s="394"/>
      <c r="F1702" s="394">
        <v>0</v>
      </c>
      <c r="G1702" s="394"/>
      <c r="H1702" s="8" t="s">
        <v>235</v>
      </c>
      <c r="I1702" s="368">
        <f t="shared" si="79"/>
        <v>0</v>
      </c>
      <c r="J1702" s="365">
        <f t="shared" si="78"/>
        <v>0</v>
      </c>
      <c r="K1702" s="369">
        <f t="shared" si="80"/>
        <v>6</v>
      </c>
      <c r="L1702" s="369">
        <f>+IF((C1702&gt;='Resultats - informe'!$E$16)*(C1702&lt;='Resultats - informe'!$G$16),1,0)</f>
        <v>1</v>
      </c>
      <c r="M1702" s="369" cm="1">
        <f t="array" ref="M1702">+_xlfn.IFS((C1702&gt;='Resultats - informe'!$D$26)*(C1702&lt;='Resultats - informe'!$E$26),0,(C1702&gt;='Resultats - informe'!$D$27)*(C1702&lt;='Resultats - informe'!$E$27),0,(C1702&gt;='Resultats - informe'!$D$28)*(C1702&lt;='Resultats - informe'!$E$28),0,(C1702&gt;='Resultats - informe'!$D$29)*(C1702&lt;='Resultats - informe'!$E$29),0,1,1)</f>
        <v>0</v>
      </c>
      <c r="N1702" s="366">
        <f>+VLOOKUP(D1702,'Resultats - informe'!$Y$18:$AG$42,'Introducció dades consum'!K1702+1,0)</f>
        <v>0</v>
      </c>
      <c r="O1702" s="370" cm="1">
        <f t="array" ref="O1702">+_xlfn.SWITCH(MONTH(C1702),1,1,2,1,3,1,4,2,5,2,6,3,7,3,8,3,9,3,10,2,11,2,12,1,2)</f>
        <v>1</v>
      </c>
      <c r="P1702" s="43"/>
    </row>
    <row r="1703" spans="1:16" ht="18" x14ac:dyDescent="0.35">
      <c r="A1703" s="43"/>
      <c r="C1703" s="393"/>
      <c r="E1703" s="394"/>
      <c r="F1703" s="394">
        <v>0</v>
      </c>
      <c r="G1703" s="394"/>
      <c r="H1703" s="8" t="s">
        <v>235</v>
      </c>
      <c r="I1703" s="368">
        <f t="shared" si="79"/>
        <v>0</v>
      </c>
      <c r="J1703" s="365">
        <f t="shared" si="78"/>
        <v>0</v>
      </c>
      <c r="K1703" s="369">
        <f t="shared" si="80"/>
        <v>6</v>
      </c>
      <c r="L1703" s="369">
        <f>+IF((C1703&gt;='Resultats - informe'!$E$16)*(C1703&lt;='Resultats - informe'!$G$16),1,0)</f>
        <v>1</v>
      </c>
      <c r="M1703" s="369" cm="1">
        <f t="array" ref="M1703">+_xlfn.IFS((C1703&gt;='Resultats - informe'!$D$26)*(C1703&lt;='Resultats - informe'!$E$26),0,(C1703&gt;='Resultats - informe'!$D$27)*(C1703&lt;='Resultats - informe'!$E$27),0,(C1703&gt;='Resultats - informe'!$D$28)*(C1703&lt;='Resultats - informe'!$E$28),0,(C1703&gt;='Resultats - informe'!$D$29)*(C1703&lt;='Resultats - informe'!$E$29),0,1,1)</f>
        <v>0</v>
      </c>
      <c r="N1703" s="366">
        <f>+VLOOKUP(D1703,'Resultats - informe'!$Y$18:$AG$42,'Introducció dades consum'!K1703+1,0)</f>
        <v>0</v>
      </c>
      <c r="O1703" s="370" cm="1">
        <f t="array" ref="O1703">+_xlfn.SWITCH(MONTH(C1703),1,1,2,1,3,1,4,2,5,2,6,3,7,3,8,3,9,3,10,2,11,2,12,1,2)</f>
        <v>1</v>
      </c>
      <c r="P1703" s="43"/>
    </row>
    <row r="1704" spans="1:16" ht="18" x14ac:dyDescent="0.35">
      <c r="A1704" s="43"/>
      <c r="C1704" s="393"/>
      <c r="E1704" s="394"/>
      <c r="F1704" s="394">
        <v>0</v>
      </c>
      <c r="G1704" s="394"/>
      <c r="H1704" s="8" t="s">
        <v>235</v>
      </c>
      <c r="I1704" s="368">
        <f t="shared" si="79"/>
        <v>0</v>
      </c>
      <c r="J1704" s="365">
        <f t="shared" si="78"/>
        <v>0</v>
      </c>
      <c r="K1704" s="369">
        <f t="shared" si="80"/>
        <v>6</v>
      </c>
      <c r="L1704" s="369">
        <f>+IF((C1704&gt;='Resultats - informe'!$E$16)*(C1704&lt;='Resultats - informe'!$G$16),1,0)</f>
        <v>1</v>
      </c>
      <c r="M1704" s="369" cm="1">
        <f t="array" ref="M1704">+_xlfn.IFS((C1704&gt;='Resultats - informe'!$D$26)*(C1704&lt;='Resultats - informe'!$E$26),0,(C1704&gt;='Resultats - informe'!$D$27)*(C1704&lt;='Resultats - informe'!$E$27),0,(C1704&gt;='Resultats - informe'!$D$28)*(C1704&lt;='Resultats - informe'!$E$28),0,(C1704&gt;='Resultats - informe'!$D$29)*(C1704&lt;='Resultats - informe'!$E$29),0,1,1)</f>
        <v>0</v>
      </c>
      <c r="N1704" s="366">
        <f>+VLOOKUP(D1704,'Resultats - informe'!$Y$18:$AG$42,'Introducció dades consum'!K1704+1,0)</f>
        <v>0</v>
      </c>
      <c r="O1704" s="370" cm="1">
        <f t="array" ref="O1704">+_xlfn.SWITCH(MONTH(C1704),1,1,2,1,3,1,4,2,5,2,6,3,7,3,8,3,9,3,10,2,11,2,12,1,2)</f>
        <v>1</v>
      </c>
      <c r="P1704" s="43"/>
    </row>
    <row r="1705" spans="1:16" ht="18" x14ac:dyDescent="0.35">
      <c r="A1705" s="43"/>
      <c r="C1705" s="393"/>
      <c r="E1705" s="394"/>
      <c r="F1705" s="394">
        <v>0</v>
      </c>
      <c r="G1705" s="394"/>
      <c r="H1705" s="8" t="s">
        <v>235</v>
      </c>
      <c r="I1705" s="368">
        <f t="shared" si="79"/>
        <v>0</v>
      </c>
      <c r="J1705" s="365">
        <f t="shared" si="78"/>
        <v>0</v>
      </c>
      <c r="K1705" s="369">
        <f t="shared" si="80"/>
        <v>6</v>
      </c>
      <c r="L1705" s="369">
        <f>+IF((C1705&gt;='Resultats - informe'!$E$16)*(C1705&lt;='Resultats - informe'!$G$16),1,0)</f>
        <v>1</v>
      </c>
      <c r="M1705" s="369" cm="1">
        <f t="array" ref="M1705">+_xlfn.IFS((C1705&gt;='Resultats - informe'!$D$26)*(C1705&lt;='Resultats - informe'!$E$26),0,(C1705&gt;='Resultats - informe'!$D$27)*(C1705&lt;='Resultats - informe'!$E$27),0,(C1705&gt;='Resultats - informe'!$D$28)*(C1705&lt;='Resultats - informe'!$E$28),0,(C1705&gt;='Resultats - informe'!$D$29)*(C1705&lt;='Resultats - informe'!$E$29),0,1,1)</f>
        <v>0</v>
      </c>
      <c r="N1705" s="366">
        <f>+VLOOKUP(D1705,'Resultats - informe'!$Y$18:$AG$42,'Introducció dades consum'!K1705+1,0)</f>
        <v>0</v>
      </c>
      <c r="O1705" s="370" cm="1">
        <f t="array" ref="O1705">+_xlfn.SWITCH(MONTH(C1705),1,1,2,1,3,1,4,2,5,2,6,3,7,3,8,3,9,3,10,2,11,2,12,1,2)</f>
        <v>1</v>
      </c>
      <c r="P1705" s="43"/>
    </row>
    <row r="1706" spans="1:16" ht="18" x14ac:dyDescent="0.35">
      <c r="A1706" s="43"/>
      <c r="C1706" s="393"/>
      <c r="E1706" s="394"/>
      <c r="F1706" s="394">
        <v>0</v>
      </c>
      <c r="G1706" s="394"/>
      <c r="H1706" s="8" t="s">
        <v>235</v>
      </c>
      <c r="I1706" s="368">
        <f t="shared" si="79"/>
        <v>0</v>
      </c>
      <c r="J1706" s="365">
        <f t="shared" si="78"/>
        <v>0</v>
      </c>
      <c r="K1706" s="369">
        <f t="shared" si="80"/>
        <v>6</v>
      </c>
      <c r="L1706" s="369">
        <f>+IF((C1706&gt;='Resultats - informe'!$E$16)*(C1706&lt;='Resultats - informe'!$G$16),1,0)</f>
        <v>1</v>
      </c>
      <c r="M1706" s="369" cm="1">
        <f t="array" ref="M1706">+_xlfn.IFS((C1706&gt;='Resultats - informe'!$D$26)*(C1706&lt;='Resultats - informe'!$E$26),0,(C1706&gt;='Resultats - informe'!$D$27)*(C1706&lt;='Resultats - informe'!$E$27),0,(C1706&gt;='Resultats - informe'!$D$28)*(C1706&lt;='Resultats - informe'!$E$28),0,(C1706&gt;='Resultats - informe'!$D$29)*(C1706&lt;='Resultats - informe'!$E$29),0,1,1)</f>
        <v>0</v>
      </c>
      <c r="N1706" s="366">
        <f>+VLOOKUP(D1706,'Resultats - informe'!$Y$18:$AG$42,'Introducció dades consum'!K1706+1,0)</f>
        <v>0</v>
      </c>
      <c r="O1706" s="370" cm="1">
        <f t="array" ref="O1706">+_xlfn.SWITCH(MONTH(C1706),1,1,2,1,3,1,4,2,5,2,6,3,7,3,8,3,9,3,10,2,11,2,12,1,2)</f>
        <v>1</v>
      </c>
      <c r="P1706" s="43"/>
    </row>
    <row r="1707" spans="1:16" ht="18" x14ac:dyDescent="0.35">
      <c r="A1707" s="43"/>
      <c r="C1707" s="393"/>
      <c r="E1707" s="394"/>
      <c r="F1707" s="394">
        <v>0</v>
      </c>
      <c r="G1707" s="394"/>
      <c r="H1707" s="8" t="s">
        <v>235</v>
      </c>
      <c r="I1707" s="368">
        <f t="shared" si="79"/>
        <v>0</v>
      </c>
      <c r="J1707" s="365">
        <f t="shared" si="78"/>
        <v>0</v>
      </c>
      <c r="K1707" s="369">
        <f t="shared" si="80"/>
        <v>6</v>
      </c>
      <c r="L1707" s="369">
        <f>+IF((C1707&gt;='Resultats - informe'!$E$16)*(C1707&lt;='Resultats - informe'!$G$16),1,0)</f>
        <v>1</v>
      </c>
      <c r="M1707" s="369" cm="1">
        <f t="array" ref="M1707">+_xlfn.IFS((C1707&gt;='Resultats - informe'!$D$26)*(C1707&lt;='Resultats - informe'!$E$26),0,(C1707&gt;='Resultats - informe'!$D$27)*(C1707&lt;='Resultats - informe'!$E$27),0,(C1707&gt;='Resultats - informe'!$D$28)*(C1707&lt;='Resultats - informe'!$E$28),0,(C1707&gt;='Resultats - informe'!$D$29)*(C1707&lt;='Resultats - informe'!$E$29),0,1,1)</f>
        <v>0</v>
      </c>
      <c r="N1707" s="366">
        <f>+VLOOKUP(D1707,'Resultats - informe'!$Y$18:$AG$42,'Introducció dades consum'!K1707+1,0)</f>
        <v>0</v>
      </c>
      <c r="O1707" s="370" cm="1">
        <f t="array" ref="O1707">+_xlfn.SWITCH(MONTH(C1707),1,1,2,1,3,1,4,2,5,2,6,3,7,3,8,3,9,3,10,2,11,2,12,1,2)</f>
        <v>1</v>
      </c>
      <c r="P1707" s="43"/>
    </row>
    <row r="1708" spans="1:16" ht="18" x14ac:dyDescent="0.35">
      <c r="A1708" s="43"/>
      <c r="C1708" s="393"/>
      <c r="E1708" s="394"/>
      <c r="F1708" s="394">
        <v>0</v>
      </c>
      <c r="G1708" s="394"/>
      <c r="H1708" s="8" t="s">
        <v>235</v>
      </c>
      <c r="I1708" s="368">
        <f t="shared" si="79"/>
        <v>0</v>
      </c>
      <c r="J1708" s="365">
        <f t="shared" si="78"/>
        <v>0</v>
      </c>
      <c r="K1708" s="369">
        <f t="shared" si="80"/>
        <v>6</v>
      </c>
      <c r="L1708" s="369">
        <f>+IF((C1708&gt;='Resultats - informe'!$E$16)*(C1708&lt;='Resultats - informe'!$G$16),1,0)</f>
        <v>1</v>
      </c>
      <c r="M1708" s="369" cm="1">
        <f t="array" ref="M1708">+_xlfn.IFS((C1708&gt;='Resultats - informe'!$D$26)*(C1708&lt;='Resultats - informe'!$E$26),0,(C1708&gt;='Resultats - informe'!$D$27)*(C1708&lt;='Resultats - informe'!$E$27),0,(C1708&gt;='Resultats - informe'!$D$28)*(C1708&lt;='Resultats - informe'!$E$28),0,(C1708&gt;='Resultats - informe'!$D$29)*(C1708&lt;='Resultats - informe'!$E$29),0,1,1)</f>
        <v>0</v>
      </c>
      <c r="N1708" s="366">
        <f>+VLOOKUP(D1708,'Resultats - informe'!$Y$18:$AG$42,'Introducció dades consum'!K1708+1,0)</f>
        <v>0</v>
      </c>
      <c r="O1708" s="370" cm="1">
        <f t="array" ref="O1708">+_xlfn.SWITCH(MONTH(C1708),1,1,2,1,3,1,4,2,5,2,6,3,7,3,8,3,9,3,10,2,11,2,12,1,2)</f>
        <v>1</v>
      </c>
      <c r="P1708" s="43"/>
    </row>
    <row r="1709" spans="1:16" ht="18" x14ac:dyDescent="0.35">
      <c r="A1709" s="43"/>
      <c r="C1709" s="393"/>
      <c r="E1709" s="394"/>
      <c r="F1709" s="394">
        <v>0</v>
      </c>
      <c r="G1709" s="394"/>
      <c r="H1709" s="8" t="s">
        <v>235</v>
      </c>
      <c r="I1709" s="368">
        <f t="shared" si="79"/>
        <v>0</v>
      </c>
      <c r="J1709" s="365">
        <f t="shared" si="78"/>
        <v>0</v>
      </c>
      <c r="K1709" s="369">
        <f t="shared" si="80"/>
        <v>6</v>
      </c>
      <c r="L1709" s="369">
        <f>+IF((C1709&gt;='Resultats - informe'!$E$16)*(C1709&lt;='Resultats - informe'!$G$16),1,0)</f>
        <v>1</v>
      </c>
      <c r="M1709" s="369" cm="1">
        <f t="array" ref="M1709">+_xlfn.IFS((C1709&gt;='Resultats - informe'!$D$26)*(C1709&lt;='Resultats - informe'!$E$26),0,(C1709&gt;='Resultats - informe'!$D$27)*(C1709&lt;='Resultats - informe'!$E$27),0,(C1709&gt;='Resultats - informe'!$D$28)*(C1709&lt;='Resultats - informe'!$E$28),0,(C1709&gt;='Resultats - informe'!$D$29)*(C1709&lt;='Resultats - informe'!$E$29),0,1,1)</f>
        <v>0</v>
      </c>
      <c r="N1709" s="366">
        <f>+VLOOKUP(D1709,'Resultats - informe'!$Y$18:$AG$42,'Introducció dades consum'!K1709+1,0)</f>
        <v>0</v>
      </c>
      <c r="O1709" s="370" cm="1">
        <f t="array" ref="O1709">+_xlfn.SWITCH(MONTH(C1709),1,1,2,1,3,1,4,2,5,2,6,3,7,3,8,3,9,3,10,2,11,2,12,1,2)</f>
        <v>1</v>
      </c>
      <c r="P1709" s="43"/>
    </row>
    <row r="1710" spans="1:16" ht="18" x14ac:dyDescent="0.35">
      <c r="A1710" s="43"/>
      <c r="C1710" s="393"/>
      <c r="E1710" s="394"/>
      <c r="F1710" s="394">
        <v>0</v>
      </c>
      <c r="G1710" s="394"/>
      <c r="H1710" s="8" t="s">
        <v>235</v>
      </c>
      <c r="I1710" s="368">
        <f t="shared" si="79"/>
        <v>0</v>
      </c>
      <c r="J1710" s="365">
        <f t="shared" si="78"/>
        <v>0</v>
      </c>
      <c r="K1710" s="369">
        <f t="shared" si="80"/>
        <v>6</v>
      </c>
      <c r="L1710" s="369">
        <f>+IF((C1710&gt;='Resultats - informe'!$E$16)*(C1710&lt;='Resultats - informe'!$G$16),1,0)</f>
        <v>1</v>
      </c>
      <c r="M1710" s="369" cm="1">
        <f t="array" ref="M1710">+_xlfn.IFS((C1710&gt;='Resultats - informe'!$D$26)*(C1710&lt;='Resultats - informe'!$E$26),0,(C1710&gt;='Resultats - informe'!$D$27)*(C1710&lt;='Resultats - informe'!$E$27),0,(C1710&gt;='Resultats - informe'!$D$28)*(C1710&lt;='Resultats - informe'!$E$28),0,(C1710&gt;='Resultats - informe'!$D$29)*(C1710&lt;='Resultats - informe'!$E$29),0,1,1)</f>
        <v>0</v>
      </c>
      <c r="N1710" s="366">
        <f>+VLOOKUP(D1710,'Resultats - informe'!$Y$18:$AG$42,'Introducció dades consum'!K1710+1,0)</f>
        <v>0</v>
      </c>
      <c r="O1710" s="370" cm="1">
        <f t="array" ref="O1710">+_xlfn.SWITCH(MONTH(C1710),1,1,2,1,3,1,4,2,5,2,6,3,7,3,8,3,9,3,10,2,11,2,12,1,2)</f>
        <v>1</v>
      </c>
      <c r="P1710" s="43"/>
    </row>
    <row r="1711" spans="1:16" ht="18" x14ac:dyDescent="0.35">
      <c r="A1711" s="43"/>
      <c r="C1711" s="393"/>
      <c r="E1711" s="394"/>
      <c r="F1711" s="394">
        <v>0</v>
      </c>
      <c r="G1711" s="394"/>
      <c r="H1711" s="8" t="s">
        <v>235</v>
      </c>
      <c r="I1711" s="368">
        <f t="shared" si="79"/>
        <v>0</v>
      </c>
      <c r="J1711" s="365">
        <f t="shared" si="78"/>
        <v>0</v>
      </c>
      <c r="K1711" s="369">
        <f t="shared" si="80"/>
        <v>6</v>
      </c>
      <c r="L1711" s="369">
        <f>+IF((C1711&gt;='Resultats - informe'!$E$16)*(C1711&lt;='Resultats - informe'!$G$16),1,0)</f>
        <v>1</v>
      </c>
      <c r="M1711" s="369" cm="1">
        <f t="array" ref="M1711">+_xlfn.IFS((C1711&gt;='Resultats - informe'!$D$26)*(C1711&lt;='Resultats - informe'!$E$26),0,(C1711&gt;='Resultats - informe'!$D$27)*(C1711&lt;='Resultats - informe'!$E$27),0,(C1711&gt;='Resultats - informe'!$D$28)*(C1711&lt;='Resultats - informe'!$E$28),0,(C1711&gt;='Resultats - informe'!$D$29)*(C1711&lt;='Resultats - informe'!$E$29),0,1,1)</f>
        <v>0</v>
      </c>
      <c r="N1711" s="366">
        <f>+VLOOKUP(D1711,'Resultats - informe'!$Y$18:$AG$42,'Introducció dades consum'!K1711+1,0)</f>
        <v>0</v>
      </c>
      <c r="O1711" s="370" cm="1">
        <f t="array" ref="O1711">+_xlfn.SWITCH(MONTH(C1711),1,1,2,1,3,1,4,2,5,2,6,3,7,3,8,3,9,3,10,2,11,2,12,1,2)</f>
        <v>1</v>
      </c>
      <c r="P1711" s="43"/>
    </row>
    <row r="1712" spans="1:16" ht="18" x14ac:dyDescent="0.35">
      <c r="A1712" s="43"/>
      <c r="C1712" s="393"/>
      <c r="E1712" s="394"/>
      <c r="F1712" s="394">
        <v>0</v>
      </c>
      <c r="G1712" s="394"/>
      <c r="H1712" s="8" t="s">
        <v>235</v>
      </c>
      <c r="I1712" s="368">
        <f t="shared" si="79"/>
        <v>0</v>
      </c>
      <c r="J1712" s="365">
        <f t="shared" si="78"/>
        <v>0</v>
      </c>
      <c r="K1712" s="369">
        <f t="shared" si="80"/>
        <v>6</v>
      </c>
      <c r="L1712" s="369">
        <f>+IF((C1712&gt;='Resultats - informe'!$E$16)*(C1712&lt;='Resultats - informe'!$G$16),1,0)</f>
        <v>1</v>
      </c>
      <c r="M1712" s="369" cm="1">
        <f t="array" ref="M1712">+_xlfn.IFS((C1712&gt;='Resultats - informe'!$D$26)*(C1712&lt;='Resultats - informe'!$E$26),0,(C1712&gt;='Resultats - informe'!$D$27)*(C1712&lt;='Resultats - informe'!$E$27),0,(C1712&gt;='Resultats - informe'!$D$28)*(C1712&lt;='Resultats - informe'!$E$28),0,(C1712&gt;='Resultats - informe'!$D$29)*(C1712&lt;='Resultats - informe'!$E$29),0,1,1)</f>
        <v>0</v>
      </c>
      <c r="N1712" s="366">
        <f>+VLOOKUP(D1712,'Resultats - informe'!$Y$18:$AG$42,'Introducció dades consum'!K1712+1,0)</f>
        <v>0</v>
      </c>
      <c r="O1712" s="370" cm="1">
        <f t="array" ref="O1712">+_xlfn.SWITCH(MONTH(C1712),1,1,2,1,3,1,4,2,5,2,6,3,7,3,8,3,9,3,10,2,11,2,12,1,2)</f>
        <v>1</v>
      </c>
      <c r="P1712" s="43"/>
    </row>
    <row r="1713" spans="1:16" ht="18" x14ac:dyDescent="0.35">
      <c r="A1713" s="43"/>
      <c r="C1713" s="393"/>
      <c r="E1713" s="394"/>
      <c r="F1713" s="394">
        <v>0</v>
      </c>
      <c r="G1713" s="394"/>
      <c r="H1713" s="8" t="s">
        <v>235</v>
      </c>
      <c r="I1713" s="368">
        <f t="shared" si="79"/>
        <v>0</v>
      </c>
      <c r="J1713" s="365">
        <f t="shared" si="78"/>
        <v>0</v>
      </c>
      <c r="K1713" s="369">
        <f t="shared" si="80"/>
        <v>6</v>
      </c>
      <c r="L1713" s="369">
        <f>+IF((C1713&gt;='Resultats - informe'!$E$16)*(C1713&lt;='Resultats - informe'!$G$16),1,0)</f>
        <v>1</v>
      </c>
      <c r="M1713" s="369" cm="1">
        <f t="array" ref="M1713">+_xlfn.IFS((C1713&gt;='Resultats - informe'!$D$26)*(C1713&lt;='Resultats - informe'!$E$26),0,(C1713&gt;='Resultats - informe'!$D$27)*(C1713&lt;='Resultats - informe'!$E$27),0,(C1713&gt;='Resultats - informe'!$D$28)*(C1713&lt;='Resultats - informe'!$E$28),0,(C1713&gt;='Resultats - informe'!$D$29)*(C1713&lt;='Resultats - informe'!$E$29),0,1,1)</f>
        <v>0</v>
      </c>
      <c r="N1713" s="366">
        <f>+VLOOKUP(D1713,'Resultats - informe'!$Y$18:$AG$42,'Introducció dades consum'!K1713+1,0)</f>
        <v>0</v>
      </c>
      <c r="O1713" s="370" cm="1">
        <f t="array" ref="O1713">+_xlfn.SWITCH(MONTH(C1713),1,1,2,1,3,1,4,2,5,2,6,3,7,3,8,3,9,3,10,2,11,2,12,1,2)</f>
        <v>1</v>
      </c>
      <c r="P1713" s="43"/>
    </row>
    <row r="1714" spans="1:16" ht="18" x14ac:dyDescent="0.35">
      <c r="A1714" s="43"/>
      <c r="C1714" s="393"/>
      <c r="E1714" s="394"/>
      <c r="F1714" s="394">
        <v>0</v>
      </c>
      <c r="G1714" s="394"/>
      <c r="H1714" s="8" t="s">
        <v>235</v>
      </c>
      <c r="I1714" s="368">
        <f t="shared" si="79"/>
        <v>0</v>
      </c>
      <c r="J1714" s="365">
        <f t="shared" si="78"/>
        <v>0</v>
      </c>
      <c r="K1714" s="369">
        <f t="shared" si="80"/>
        <v>6</v>
      </c>
      <c r="L1714" s="369">
        <f>+IF((C1714&gt;='Resultats - informe'!$E$16)*(C1714&lt;='Resultats - informe'!$G$16),1,0)</f>
        <v>1</v>
      </c>
      <c r="M1714" s="369" cm="1">
        <f t="array" ref="M1714">+_xlfn.IFS((C1714&gt;='Resultats - informe'!$D$26)*(C1714&lt;='Resultats - informe'!$E$26),0,(C1714&gt;='Resultats - informe'!$D$27)*(C1714&lt;='Resultats - informe'!$E$27),0,(C1714&gt;='Resultats - informe'!$D$28)*(C1714&lt;='Resultats - informe'!$E$28),0,(C1714&gt;='Resultats - informe'!$D$29)*(C1714&lt;='Resultats - informe'!$E$29),0,1,1)</f>
        <v>0</v>
      </c>
      <c r="N1714" s="366">
        <f>+VLOOKUP(D1714,'Resultats - informe'!$Y$18:$AG$42,'Introducció dades consum'!K1714+1,0)</f>
        <v>0</v>
      </c>
      <c r="O1714" s="370" cm="1">
        <f t="array" ref="O1714">+_xlfn.SWITCH(MONTH(C1714),1,1,2,1,3,1,4,2,5,2,6,3,7,3,8,3,9,3,10,2,11,2,12,1,2)</f>
        <v>1</v>
      </c>
      <c r="P1714" s="43"/>
    </row>
    <row r="1715" spans="1:16" ht="18" x14ac:dyDescent="0.35">
      <c r="A1715" s="43"/>
      <c r="C1715" s="393"/>
      <c r="E1715" s="394"/>
      <c r="F1715" s="394">
        <v>0</v>
      </c>
      <c r="G1715" s="394"/>
      <c r="H1715" s="8" t="s">
        <v>235</v>
      </c>
      <c r="I1715" s="368">
        <f t="shared" si="79"/>
        <v>0</v>
      </c>
      <c r="J1715" s="365">
        <f t="shared" si="78"/>
        <v>0</v>
      </c>
      <c r="K1715" s="369">
        <f t="shared" si="80"/>
        <v>6</v>
      </c>
      <c r="L1715" s="369">
        <f>+IF((C1715&gt;='Resultats - informe'!$E$16)*(C1715&lt;='Resultats - informe'!$G$16),1,0)</f>
        <v>1</v>
      </c>
      <c r="M1715" s="369" cm="1">
        <f t="array" ref="M1715">+_xlfn.IFS((C1715&gt;='Resultats - informe'!$D$26)*(C1715&lt;='Resultats - informe'!$E$26),0,(C1715&gt;='Resultats - informe'!$D$27)*(C1715&lt;='Resultats - informe'!$E$27),0,(C1715&gt;='Resultats - informe'!$D$28)*(C1715&lt;='Resultats - informe'!$E$28),0,(C1715&gt;='Resultats - informe'!$D$29)*(C1715&lt;='Resultats - informe'!$E$29),0,1,1)</f>
        <v>0</v>
      </c>
      <c r="N1715" s="366">
        <f>+VLOOKUP(D1715,'Resultats - informe'!$Y$18:$AG$42,'Introducció dades consum'!K1715+1,0)</f>
        <v>0</v>
      </c>
      <c r="O1715" s="370" cm="1">
        <f t="array" ref="O1715">+_xlfn.SWITCH(MONTH(C1715),1,1,2,1,3,1,4,2,5,2,6,3,7,3,8,3,9,3,10,2,11,2,12,1,2)</f>
        <v>1</v>
      </c>
      <c r="P1715" s="43"/>
    </row>
    <row r="1716" spans="1:16" ht="18" x14ac:dyDescent="0.35">
      <c r="A1716" s="43"/>
      <c r="C1716" s="393"/>
      <c r="E1716" s="394"/>
      <c r="F1716" s="394">
        <v>0</v>
      </c>
      <c r="G1716" s="394"/>
      <c r="H1716" s="8" t="s">
        <v>61</v>
      </c>
      <c r="I1716" s="368">
        <f t="shared" si="79"/>
        <v>0</v>
      </c>
      <c r="J1716" s="365">
        <f t="shared" si="78"/>
        <v>0</v>
      </c>
      <c r="K1716" s="369">
        <f t="shared" si="80"/>
        <v>6</v>
      </c>
      <c r="L1716" s="369">
        <f>+IF((C1716&gt;='Resultats - informe'!$E$16)*(C1716&lt;='Resultats - informe'!$G$16),1,0)</f>
        <v>1</v>
      </c>
      <c r="M1716" s="369" cm="1">
        <f t="array" ref="M1716">+_xlfn.IFS((C1716&gt;='Resultats - informe'!$D$26)*(C1716&lt;='Resultats - informe'!$E$26),0,(C1716&gt;='Resultats - informe'!$D$27)*(C1716&lt;='Resultats - informe'!$E$27),0,(C1716&gt;='Resultats - informe'!$D$28)*(C1716&lt;='Resultats - informe'!$E$28),0,(C1716&gt;='Resultats - informe'!$D$29)*(C1716&lt;='Resultats - informe'!$E$29),0,1,1)</f>
        <v>0</v>
      </c>
      <c r="N1716" s="366">
        <f>+VLOOKUP(D1716,'Resultats - informe'!$Y$18:$AG$42,'Introducció dades consum'!K1716+1,0)</f>
        <v>0</v>
      </c>
      <c r="O1716" s="370" cm="1">
        <f t="array" ref="O1716">+_xlfn.SWITCH(MONTH(C1716),1,1,2,1,3,1,4,2,5,2,6,3,7,3,8,3,9,3,10,2,11,2,12,1,2)</f>
        <v>1</v>
      </c>
      <c r="P1716" s="43"/>
    </row>
    <row r="1717" spans="1:16" ht="18" x14ac:dyDescent="0.35">
      <c r="A1717" s="43"/>
      <c r="C1717" s="393"/>
      <c r="E1717" s="394"/>
      <c r="F1717" s="394">
        <v>0</v>
      </c>
      <c r="G1717" s="394"/>
      <c r="H1717" s="8" t="s">
        <v>61</v>
      </c>
      <c r="I1717" s="368">
        <f t="shared" si="79"/>
        <v>0</v>
      </c>
      <c r="J1717" s="365">
        <f t="shared" si="78"/>
        <v>0</v>
      </c>
      <c r="K1717" s="369">
        <f t="shared" si="80"/>
        <v>6</v>
      </c>
      <c r="L1717" s="369">
        <f>+IF((C1717&gt;='Resultats - informe'!$E$16)*(C1717&lt;='Resultats - informe'!$G$16),1,0)</f>
        <v>1</v>
      </c>
      <c r="M1717" s="369" cm="1">
        <f t="array" ref="M1717">+_xlfn.IFS((C1717&gt;='Resultats - informe'!$D$26)*(C1717&lt;='Resultats - informe'!$E$26),0,(C1717&gt;='Resultats - informe'!$D$27)*(C1717&lt;='Resultats - informe'!$E$27),0,(C1717&gt;='Resultats - informe'!$D$28)*(C1717&lt;='Resultats - informe'!$E$28),0,(C1717&gt;='Resultats - informe'!$D$29)*(C1717&lt;='Resultats - informe'!$E$29),0,1,1)</f>
        <v>0</v>
      </c>
      <c r="N1717" s="366">
        <f>+VLOOKUP(D1717,'Resultats - informe'!$Y$18:$AG$42,'Introducció dades consum'!K1717+1,0)</f>
        <v>0</v>
      </c>
      <c r="O1717" s="370" cm="1">
        <f t="array" ref="O1717">+_xlfn.SWITCH(MONTH(C1717),1,1,2,1,3,1,4,2,5,2,6,3,7,3,8,3,9,3,10,2,11,2,12,1,2)</f>
        <v>1</v>
      </c>
      <c r="P1717" s="43"/>
    </row>
    <row r="1718" spans="1:16" ht="18" x14ac:dyDescent="0.35">
      <c r="A1718" s="43"/>
      <c r="C1718" s="393"/>
      <c r="E1718" s="394"/>
      <c r="F1718" s="394">
        <v>0</v>
      </c>
      <c r="G1718" s="394"/>
      <c r="H1718" s="8" t="s">
        <v>61</v>
      </c>
      <c r="I1718" s="368">
        <f t="shared" si="79"/>
        <v>0</v>
      </c>
      <c r="J1718" s="365">
        <f t="shared" si="78"/>
        <v>0</v>
      </c>
      <c r="K1718" s="369">
        <f t="shared" si="80"/>
        <v>6</v>
      </c>
      <c r="L1718" s="369">
        <f>+IF((C1718&gt;='Resultats - informe'!$E$16)*(C1718&lt;='Resultats - informe'!$G$16),1,0)</f>
        <v>1</v>
      </c>
      <c r="M1718" s="369" cm="1">
        <f t="array" ref="M1718">+_xlfn.IFS((C1718&gt;='Resultats - informe'!$D$26)*(C1718&lt;='Resultats - informe'!$E$26),0,(C1718&gt;='Resultats - informe'!$D$27)*(C1718&lt;='Resultats - informe'!$E$27),0,(C1718&gt;='Resultats - informe'!$D$28)*(C1718&lt;='Resultats - informe'!$E$28),0,(C1718&gt;='Resultats - informe'!$D$29)*(C1718&lt;='Resultats - informe'!$E$29),0,1,1)</f>
        <v>0</v>
      </c>
      <c r="N1718" s="366">
        <f>+VLOOKUP(D1718,'Resultats - informe'!$Y$18:$AG$42,'Introducció dades consum'!K1718+1,0)</f>
        <v>0</v>
      </c>
      <c r="O1718" s="370" cm="1">
        <f t="array" ref="O1718">+_xlfn.SWITCH(MONTH(C1718),1,1,2,1,3,1,4,2,5,2,6,3,7,3,8,3,9,3,10,2,11,2,12,1,2)</f>
        <v>1</v>
      </c>
      <c r="P1718" s="43"/>
    </row>
    <row r="1719" spans="1:16" ht="18" x14ac:dyDescent="0.35">
      <c r="A1719" s="43"/>
      <c r="C1719" s="393"/>
      <c r="E1719" s="394"/>
      <c r="F1719" s="394">
        <v>0</v>
      </c>
      <c r="G1719" s="394"/>
      <c r="H1719" s="8" t="s">
        <v>61</v>
      </c>
      <c r="I1719" s="368">
        <f t="shared" si="79"/>
        <v>0</v>
      </c>
      <c r="J1719" s="365">
        <f t="shared" si="78"/>
        <v>0</v>
      </c>
      <c r="K1719" s="369">
        <f t="shared" si="80"/>
        <v>6</v>
      </c>
      <c r="L1719" s="369">
        <f>+IF((C1719&gt;='Resultats - informe'!$E$16)*(C1719&lt;='Resultats - informe'!$G$16),1,0)</f>
        <v>1</v>
      </c>
      <c r="M1719" s="369" cm="1">
        <f t="array" ref="M1719">+_xlfn.IFS((C1719&gt;='Resultats - informe'!$D$26)*(C1719&lt;='Resultats - informe'!$E$26),0,(C1719&gt;='Resultats - informe'!$D$27)*(C1719&lt;='Resultats - informe'!$E$27),0,(C1719&gt;='Resultats - informe'!$D$28)*(C1719&lt;='Resultats - informe'!$E$28),0,(C1719&gt;='Resultats - informe'!$D$29)*(C1719&lt;='Resultats - informe'!$E$29),0,1,1)</f>
        <v>0</v>
      </c>
      <c r="N1719" s="366">
        <f>+VLOOKUP(D1719,'Resultats - informe'!$Y$18:$AG$42,'Introducció dades consum'!K1719+1,0)</f>
        <v>0</v>
      </c>
      <c r="O1719" s="370" cm="1">
        <f t="array" ref="O1719">+_xlfn.SWITCH(MONTH(C1719),1,1,2,1,3,1,4,2,5,2,6,3,7,3,8,3,9,3,10,2,11,2,12,1,2)</f>
        <v>1</v>
      </c>
      <c r="P1719" s="43"/>
    </row>
    <row r="1720" spans="1:16" ht="18" x14ac:dyDescent="0.35">
      <c r="A1720" s="43"/>
      <c r="C1720" s="393"/>
      <c r="E1720" s="394"/>
      <c r="F1720" s="394">
        <v>1.849</v>
      </c>
      <c r="G1720" s="394"/>
      <c r="H1720" s="8" t="s">
        <v>235</v>
      </c>
      <c r="I1720" s="368">
        <f t="shared" si="79"/>
        <v>0</v>
      </c>
      <c r="J1720" s="365">
        <f t="shared" si="78"/>
        <v>0</v>
      </c>
      <c r="K1720" s="369">
        <f t="shared" si="80"/>
        <v>6</v>
      </c>
      <c r="L1720" s="369">
        <f>+IF((C1720&gt;='Resultats - informe'!$E$16)*(C1720&lt;='Resultats - informe'!$G$16),1,0)</f>
        <v>1</v>
      </c>
      <c r="M1720" s="369" cm="1">
        <f t="array" ref="M1720">+_xlfn.IFS((C1720&gt;='Resultats - informe'!$D$26)*(C1720&lt;='Resultats - informe'!$E$26),0,(C1720&gt;='Resultats - informe'!$D$27)*(C1720&lt;='Resultats - informe'!$E$27),0,(C1720&gt;='Resultats - informe'!$D$28)*(C1720&lt;='Resultats - informe'!$E$28),0,(C1720&gt;='Resultats - informe'!$D$29)*(C1720&lt;='Resultats - informe'!$E$29),0,1,1)</f>
        <v>0</v>
      </c>
      <c r="N1720" s="366">
        <f>+VLOOKUP(D1720,'Resultats - informe'!$Y$18:$AG$42,'Introducció dades consum'!K1720+1,0)</f>
        <v>0</v>
      </c>
      <c r="O1720" s="370" cm="1">
        <f t="array" ref="O1720">+_xlfn.SWITCH(MONTH(C1720),1,1,2,1,3,1,4,2,5,2,6,3,7,3,8,3,9,3,10,2,11,2,12,1,2)</f>
        <v>1</v>
      </c>
      <c r="P1720" s="43"/>
    </row>
    <row r="1721" spans="1:16" ht="18" x14ac:dyDescent="0.35">
      <c r="A1721" s="43"/>
      <c r="C1721" s="393"/>
      <c r="E1721" s="394"/>
      <c r="F1721" s="394">
        <v>1.0109999999999999</v>
      </c>
      <c r="G1721" s="394"/>
      <c r="H1721" s="8" t="s">
        <v>235</v>
      </c>
      <c r="I1721" s="368">
        <f t="shared" si="79"/>
        <v>0</v>
      </c>
      <c r="J1721" s="365">
        <f t="shared" si="78"/>
        <v>0</v>
      </c>
      <c r="K1721" s="369">
        <f t="shared" si="80"/>
        <v>6</v>
      </c>
      <c r="L1721" s="369">
        <f>+IF((C1721&gt;='Resultats - informe'!$E$16)*(C1721&lt;='Resultats - informe'!$G$16),1,0)</f>
        <v>1</v>
      </c>
      <c r="M1721" s="369" cm="1">
        <f t="array" ref="M1721">+_xlfn.IFS((C1721&gt;='Resultats - informe'!$D$26)*(C1721&lt;='Resultats - informe'!$E$26),0,(C1721&gt;='Resultats - informe'!$D$27)*(C1721&lt;='Resultats - informe'!$E$27),0,(C1721&gt;='Resultats - informe'!$D$28)*(C1721&lt;='Resultats - informe'!$E$28),0,(C1721&gt;='Resultats - informe'!$D$29)*(C1721&lt;='Resultats - informe'!$E$29),0,1,1)</f>
        <v>0</v>
      </c>
      <c r="N1721" s="366">
        <f>+VLOOKUP(D1721,'Resultats - informe'!$Y$18:$AG$42,'Introducció dades consum'!K1721+1,0)</f>
        <v>0</v>
      </c>
      <c r="O1721" s="370" cm="1">
        <f t="array" ref="O1721">+_xlfn.SWITCH(MONTH(C1721),1,1,2,1,3,1,4,2,5,2,6,3,7,3,8,3,9,3,10,2,11,2,12,1,2)</f>
        <v>1</v>
      </c>
      <c r="P1721" s="43"/>
    </row>
    <row r="1722" spans="1:16" ht="18" x14ac:dyDescent="0.35">
      <c r="A1722" s="43"/>
      <c r="C1722" s="393"/>
      <c r="E1722" s="394"/>
      <c r="F1722" s="394">
        <v>1.708</v>
      </c>
      <c r="G1722" s="394"/>
      <c r="H1722" s="8" t="s">
        <v>235</v>
      </c>
      <c r="I1722" s="368">
        <f t="shared" si="79"/>
        <v>0</v>
      </c>
      <c r="J1722" s="365">
        <f t="shared" si="78"/>
        <v>0</v>
      </c>
      <c r="K1722" s="369">
        <f t="shared" si="80"/>
        <v>6</v>
      </c>
      <c r="L1722" s="369">
        <f>+IF((C1722&gt;='Resultats - informe'!$E$16)*(C1722&lt;='Resultats - informe'!$G$16),1,0)</f>
        <v>1</v>
      </c>
      <c r="M1722" s="369" cm="1">
        <f t="array" ref="M1722">+_xlfn.IFS((C1722&gt;='Resultats - informe'!$D$26)*(C1722&lt;='Resultats - informe'!$E$26),0,(C1722&gt;='Resultats - informe'!$D$27)*(C1722&lt;='Resultats - informe'!$E$27),0,(C1722&gt;='Resultats - informe'!$D$28)*(C1722&lt;='Resultats - informe'!$E$28),0,(C1722&gt;='Resultats - informe'!$D$29)*(C1722&lt;='Resultats - informe'!$E$29),0,1,1)</f>
        <v>0</v>
      </c>
      <c r="N1722" s="366">
        <f>+VLOOKUP(D1722,'Resultats - informe'!$Y$18:$AG$42,'Introducció dades consum'!K1722+1,0)</f>
        <v>0</v>
      </c>
      <c r="O1722" s="370" cm="1">
        <f t="array" ref="O1722">+_xlfn.SWITCH(MONTH(C1722),1,1,2,1,3,1,4,2,5,2,6,3,7,3,8,3,9,3,10,2,11,2,12,1,2)</f>
        <v>1</v>
      </c>
      <c r="P1722" s="43"/>
    </row>
    <row r="1723" spans="1:16" ht="18" x14ac:dyDescent="0.35">
      <c r="A1723" s="43"/>
      <c r="C1723" s="393"/>
      <c r="E1723" s="394"/>
      <c r="F1723" s="394">
        <v>1.45</v>
      </c>
      <c r="G1723" s="394"/>
      <c r="H1723" s="8" t="s">
        <v>235</v>
      </c>
      <c r="I1723" s="368">
        <f t="shared" si="79"/>
        <v>0</v>
      </c>
      <c r="J1723" s="365">
        <f t="shared" ref="J1723:J1786" si="81">+C1723</f>
        <v>0</v>
      </c>
      <c r="K1723" s="369">
        <f t="shared" si="80"/>
        <v>6</v>
      </c>
      <c r="L1723" s="369">
        <f>+IF((C1723&gt;='Resultats - informe'!$E$16)*(C1723&lt;='Resultats - informe'!$G$16),1,0)</f>
        <v>1</v>
      </c>
      <c r="M1723" s="369" cm="1">
        <f t="array" ref="M1723">+_xlfn.IFS((C1723&gt;='Resultats - informe'!$D$26)*(C1723&lt;='Resultats - informe'!$E$26),0,(C1723&gt;='Resultats - informe'!$D$27)*(C1723&lt;='Resultats - informe'!$E$27),0,(C1723&gt;='Resultats - informe'!$D$28)*(C1723&lt;='Resultats - informe'!$E$28),0,(C1723&gt;='Resultats - informe'!$D$29)*(C1723&lt;='Resultats - informe'!$E$29),0,1,1)</f>
        <v>0</v>
      </c>
      <c r="N1723" s="366">
        <f>+VLOOKUP(D1723,'Resultats - informe'!$Y$18:$AG$42,'Introducció dades consum'!K1723+1,0)</f>
        <v>0</v>
      </c>
      <c r="O1723" s="370" cm="1">
        <f t="array" ref="O1723">+_xlfn.SWITCH(MONTH(C1723),1,1,2,1,3,1,4,2,5,2,6,3,7,3,8,3,9,3,10,2,11,2,12,1,2)</f>
        <v>1</v>
      </c>
      <c r="P1723" s="43"/>
    </row>
    <row r="1724" spans="1:16" ht="18" x14ac:dyDescent="0.35">
      <c r="A1724" s="43"/>
      <c r="C1724" s="393"/>
      <c r="E1724" s="394"/>
      <c r="F1724" s="394">
        <v>1.536</v>
      </c>
      <c r="G1724" s="394"/>
      <c r="H1724" s="8" t="s">
        <v>235</v>
      </c>
      <c r="I1724" s="368">
        <f t="shared" si="79"/>
        <v>0</v>
      </c>
      <c r="J1724" s="365">
        <f t="shared" si="81"/>
        <v>0</v>
      </c>
      <c r="K1724" s="369">
        <f t="shared" si="80"/>
        <v>6</v>
      </c>
      <c r="L1724" s="369">
        <f>+IF((C1724&gt;='Resultats - informe'!$E$16)*(C1724&lt;='Resultats - informe'!$G$16),1,0)</f>
        <v>1</v>
      </c>
      <c r="M1724" s="369" cm="1">
        <f t="array" ref="M1724">+_xlfn.IFS((C1724&gt;='Resultats - informe'!$D$26)*(C1724&lt;='Resultats - informe'!$E$26),0,(C1724&gt;='Resultats - informe'!$D$27)*(C1724&lt;='Resultats - informe'!$E$27),0,(C1724&gt;='Resultats - informe'!$D$28)*(C1724&lt;='Resultats - informe'!$E$28),0,(C1724&gt;='Resultats - informe'!$D$29)*(C1724&lt;='Resultats - informe'!$E$29),0,1,1)</f>
        <v>0</v>
      </c>
      <c r="N1724" s="366">
        <f>+VLOOKUP(D1724,'Resultats - informe'!$Y$18:$AG$42,'Introducció dades consum'!K1724+1,0)</f>
        <v>0</v>
      </c>
      <c r="O1724" s="370" cm="1">
        <f t="array" ref="O1724">+_xlfn.SWITCH(MONTH(C1724),1,1,2,1,3,1,4,2,5,2,6,3,7,3,8,3,9,3,10,2,11,2,12,1,2)</f>
        <v>1</v>
      </c>
      <c r="P1724" s="43"/>
    </row>
    <row r="1725" spans="1:16" ht="18" x14ac:dyDescent="0.35">
      <c r="A1725" s="43"/>
      <c r="C1725" s="393"/>
      <c r="E1725" s="394"/>
      <c r="F1725" s="394">
        <v>0.33</v>
      </c>
      <c r="G1725" s="394"/>
      <c r="H1725" s="8" t="s">
        <v>235</v>
      </c>
      <c r="I1725" s="368">
        <f t="shared" si="79"/>
        <v>0</v>
      </c>
      <c r="J1725" s="365">
        <f t="shared" si="81"/>
        <v>0</v>
      </c>
      <c r="K1725" s="369">
        <f t="shared" si="80"/>
        <v>6</v>
      </c>
      <c r="L1725" s="369">
        <f>+IF((C1725&gt;='Resultats - informe'!$E$16)*(C1725&lt;='Resultats - informe'!$G$16),1,0)</f>
        <v>1</v>
      </c>
      <c r="M1725" s="369" cm="1">
        <f t="array" ref="M1725">+_xlfn.IFS((C1725&gt;='Resultats - informe'!$D$26)*(C1725&lt;='Resultats - informe'!$E$26),0,(C1725&gt;='Resultats - informe'!$D$27)*(C1725&lt;='Resultats - informe'!$E$27),0,(C1725&gt;='Resultats - informe'!$D$28)*(C1725&lt;='Resultats - informe'!$E$28),0,(C1725&gt;='Resultats - informe'!$D$29)*(C1725&lt;='Resultats - informe'!$E$29),0,1,1)</f>
        <v>0</v>
      </c>
      <c r="N1725" s="366">
        <f>+VLOOKUP(D1725,'Resultats - informe'!$Y$18:$AG$42,'Introducció dades consum'!K1725+1,0)</f>
        <v>0</v>
      </c>
      <c r="O1725" s="370" cm="1">
        <f t="array" ref="O1725">+_xlfn.SWITCH(MONTH(C1725),1,1,2,1,3,1,4,2,5,2,6,3,7,3,8,3,9,3,10,2,11,2,12,1,2)</f>
        <v>1</v>
      </c>
      <c r="P1725" s="43"/>
    </row>
    <row r="1726" spans="1:16" ht="18" x14ac:dyDescent="0.35">
      <c r="A1726" s="43"/>
      <c r="C1726" s="393"/>
      <c r="E1726" s="394"/>
      <c r="F1726" s="394">
        <v>0</v>
      </c>
      <c r="G1726" s="394"/>
      <c r="H1726" s="8" t="s">
        <v>61</v>
      </c>
      <c r="I1726" s="368">
        <f t="shared" si="79"/>
        <v>0</v>
      </c>
      <c r="J1726" s="365">
        <f t="shared" si="81"/>
        <v>0</v>
      </c>
      <c r="K1726" s="369">
        <f t="shared" si="80"/>
        <v>6</v>
      </c>
      <c r="L1726" s="369">
        <f>+IF((C1726&gt;='Resultats - informe'!$E$16)*(C1726&lt;='Resultats - informe'!$G$16),1,0)</f>
        <v>1</v>
      </c>
      <c r="M1726" s="369" cm="1">
        <f t="array" ref="M1726">+_xlfn.IFS((C1726&gt;='Resultats - informe'!$D$26)*(C1726&lt;='Resultats - informe'!$E$26),0,(C1726&gt;='Resultats - informe'!$D$27)*(C1726&lt;='Resultats - informe'!$E$27),0,(C1726&gt;='Resultats - informe'!$D$28)*(C1726&lt;='Resultats - informe'!$E$28),0,(C1726&gt;='Resultats - informe'!$D$29)*(C1726&lt;='Resultats - informe'!$E$29),0,1,1)</f>
        <v>0</v>
      </c>
      <c r="N1726" s="366">
        <f>+VLOOKUP(D1726,'Resultats - informe'!$Y$18:$AG$42,'Introducció dades consum'!K1726+1,0)</f>
        <v>0</v>
      </c>
      <c r="O1726" s="370" cm="1">
        <f t="array" ref="O1726">+_xlfn.SWITCH(MONTH(C1726),1,1,2,1,3,1,4,2,5,2,6,3,7,3,8,3,9,3,10,2,11,2,12,1,2)</f>
        <v>1</v>
      </c>
      <c r="P1726" s="43"/>
    </row>
    <row r="1727" spans="1:16" ht="18" x14ac:dyDescent="0.35">
      <c r="A1727" s="43"/>
      <c r="C1727" s="393"/>
      <c r="E1727" s="394"/>
      <c r="F1727" s="394">
        <v>0</v>
      </c>
      <c r="G1727" s="394"/>
      <c r="H1727" s="8" t="s">
        <v>235</v>
      </c>
      <c r="I1727" s="368">
        <f t="shared" si="79"/>
        <v>0</v>
      </c>
      <c r="J1727" s="365">
        <f t="shared" si="81"/>
        <v>0</v>
      </c>
      <c r="K1727" s="369">
        <f t="shared" si="80"/>
        <v>6</v>
      </c>
      <c r="L1727" s="369">
        <f>+IF((C1727&gt;='Resultats - informe'!$E$16)*(C1727&lt;='Resultats - informe'!$G$16),1,0)</f>
        <v>1</v>
      </c>
      <c r="M1727" s="369" cm="1">
        <f t="array" ref="M1727">+_xlfn.IFS((C1727&gt;='Resultats - informe'!$D$26)*(C1727&lt;='Resultats - informe'!$E$26),0,(C1727&gt;='Resultats - informe'!$D$27)*(C1727&lt;='Resultats - informe'!$E$27),0,(C1727&gt;='Resultats - informe'!$D$28)*(C1727&lt;='Resultats - informe'!$E$28),0,(C1727&gt;='Resultats - informe'!$D$29)*(C1727&lt;='Resultats - informe'!$E$29),0,1,1)</f>
        <v>0</v>
      </c>
      <c r="N1727" s="366">
        <f>+VLOOKUP(D1727,'Resultats - informe'!$Y$18:$AG$42,'Introducció dades consum'!K1727+1,0)</f>
        <v>0</v>
      </c>
      <c r="O1727" s="370" cm="1">
        <f t="array" ref="O1727">+_xlfn.SWITCH(MONTH(C1727),1,1,2,1,3,1,4,2,5,2,6,3,7,3,8,3,9,3,10,2,11,2,12,1,2)</f>
        <v>1</v>
      </c>
      <c r="P1727" s="43"/>
    </row>
    <row r="1728" spans="1:16" ht="18" x14ac:dyDescent="0.35">
      <c r="A1728" s="43"/>
      <c r="C1728" s="393"/>
      <c r="E1728" s="394"/>
      <c r="F1728" s="394">
        <v>0</v>
      </c>
      <c r="G1728" s="394"/>
      <c r="H1728" s="8" t="s">
        <v>235</v>
      </c>
      <c r="I1728" s="368">
        <f t="shared" si="79"/>
        <v>0</v>
      </c>
      <c r="J1728" s="365">
        <f t="shared" si="81"/>
        <v>0</v>
      </c>
      <c r="K1728" s="369">
        <f t="shared" si="80"/>
        <v>6</v>
      </c>
      <c r="L1728" s="369">
        <f>+IF((C1728&gt;='Resultats - informe'!$E$16)*(C1728&lt;='Resultats - informe'!$G$16),1,0)</f>
        <v>1</v>
      </c>
      <c r="M1728" s="369" cm="1">
        <f t="array" ref="M1728">+_xlfn.IFS((C1728&gt;='Resultats - informe'!$D$26)*(C1728&lt;='Resultats - informe'!$E$26),0,(C1728&gt;='Resultats - informe'!$D$27)*(C1728&lt;='Resultats - informe'!$E$27),0,(C1728&gt;='Resultats - informe'!$D$28)*(C1728&lt;='Resultats - informe'!$E$28),0,(C1728&gt;='Resultats - informe'!$D$29)*(C1728&lt;='Resultats - informe'!$E$29),0,1,1)</f>
        <v>0</v>
      </c>
      <c r="N1728" s="366">
        <f>+VLOOKUP(D1728,'Resultats - informe'!$Y$18:$AG$42,'Introducció dades consum'!K1728+1,0)</f>
        <v>0</v>
      </c>
      <c r="O1728" s="370" cm="1">
        <f t="array" ref="O1728">+_xlfn.SWITCH(MONTH(C1728),1,1,2,1,3,1,4,2,5,2,6,3,7,3,8,3,9,3,10,2,11,2,12,1,2)</f>
        <v>1</v>
      </c>
      <c r="P1728" s="43"/>
    </row>
    <row r="1729" spans="1:16" ht="18" x14ac:dyDescent="0.35">
      <c r="A1729" s="43"/>
      <c r="C1729" s="393"/>
      <c r="E1729" s="394"/>
      <c r="F1729" s="394">
        <v>0</v>
      </c>
      <c r="G1729" s="394"/>
      <c r="H1729" s="8" t="s">
        <v>235</v>
      </c>
      <c r="I1729" s="368">
        <f t="shared" si="79"/>
        <v>0</v>
      </c>
      <c r="J1729" s="365">
        <f t="shared" si="81"/>
        <v>0</v>
      </c>
      <c r="K1729" s="369">
        <f t="shared" si="80"/>
        <v>6</v>
      </c>
      <c r="L1729" s="369">
        <f>+IF((C1729&gt;='Resultats - informe'!$E$16)*(C1729&lt;='Resultats - informe'!$G$16),1,0)</f>
        <v>1</v>
      </c>
      <c r="M1729" s="369" cm="1">
        <f t="array" ref="M1729">+_xlfn.IFS((C1729&gt;='Resultats - informe'!$D$26)*(C1729&lt;='Resultats - informe'!$E$26),0,(C1729&gt;='Resultats - informe'!$D$27)*(C1729&lt;='Resultats - informe'!$E$27),0,(C1729&gt;='Resultats - informe'!$D$28)*(C1729&lt;='Resultats - informe'!$E$28),0,(C1729&gt;='Resultats - informe'!$D$29)*(C1729&lt;='Resultats - informe'!$E$29),0,1,1)</f>
        <v>0</v>
      </c>
      <c r="N1729" s="366">
        <f>+VLOOKUP(D1729,'Resultats - informe'!$Y$18:$AG$42,'Introducció dades consum'!K1729+1,0)</f>
        <v>0</v>
      </c>
      <c r="O1729" s="370" cm="1">
        <f t="array" ref="O1729">+_xlfn.SWITCH(MONTH(C1729),1,1,2,1,3,1,4,2,5,2,6,3,7,3,8,3,9,3,10,2,11,2,12,1,2)</f>
        <v>1</v>
      </c>
      <c r="P1729" s="43"/>
    </row>
    <row r="1730" spans="1:16" ht="18" x14ac:dyDescent="0.35">
      <c r="A1730" s="43"/>
      <c r="C1730" s="393"/>
      <c r="E1730" s="394"/>
      <c r="F1730" s="394">
        <v>0</v>
      </c>
      <c r="G1730" s="394"/>
      <c r="H1730" s="8" t="s">
        <v>235</v>
      </c>
      <c r="I1730" s="368">
        <f t="shared" si="79"/>
        <v>0</v>
      </c>
      <c r="J1730" s="365">
        <f t="shared" si="81"/>
        <v>0</v>
      </c>
      <c r="K1730" s="369">
        <f t="shared" si="80"/>
        <v>6</v>
      </c>
      <c r="L1730" s="369">
        <f>+IF((C1730&gt;='Resultats - informe'!$E$16)*(C1730&lt;='Resultats - informe'!$G$16),1,0)</f>
        <v>1</v>
      </c>
      <c r="M1730" s="369" cm="1">
        <f t="array" ref="M1730">+_xlfn.IFS((C1730&gt;='Resultats - informe'!$D$26)*(C1730&lt;='Resultats - informe'!$E$26),0,(C1730&gt;='Resultats - informe'!$D$27)*(C1730&lt;='Resultats - informe'!$E$27),0,(C1730&gt;='Resultats - informe'!$D$28)*(C1730&lt;='Resultats - informe'!$E$28),0,(C1730&gt;='Resultats - informe'!$D$29)*(C1730&lt;='Resultats - informe'!$E$29),0,1,1)</f>
        <v>0</v>
      </c>
      <c r="N1730" s="366">
        <f>+VLOOKUP(D1730,'Resultats - informe'!$Y$18:$AG$42,'Introducció dades consum'!K1730+1,0)</f>
        <v>0</v>
      </c>
      <c r="O1730" s="370" cm="1">
        <f t="array" ref="O1730">+_xlfn.SWITCH(MONTH(C1730),1,1,2,1,3,1,4,2,5,2,6,3,7,3,8,3,9,3,10,2,11,2,12,1,2)</f>
        <v>1</v>
      </c>
      <c r="P1730" s="43"/>
    </row>
    <row r="1731" spans="1:16" ht="18" x14ac:dyDescent="0.35">
      <c r="A1731" s="43"/>
      <c r="C1731" s="393"/>
      <c r="E1731" s="394"/>
      <c r="F1731" s="394">
        <v>0</v>
      </c>
      <c r="G1731" s="394"/>
      <c r="H1731" s="8" t="s">
        <v>235</v>
      </c>
      <c r="I1731" s="368">
        <f t="shared" si="79"/>
        <v>0</v>
      </c>
      <c r="J1731" s="365">
        <f t="shared" si="81"/>
        <v>0</v>
      </c>
      <c r="K1731" s="369">
        <f t="shared" si="80"/>
        <v>6</v>
      </c>
      <c r="L1731" s="369">
        <f>+IF((C1731&gt;='Resultats - informe'!$E$16)*(C1731&lt;='Resultats - informe'!$G$16),1,0)</f>
        <v>1</v>
      </c>
      <c r="M1731" s="369" cm="1">
        <f t="array" ref="M1731">+_xlfn.IFS((C1731&gt;='Resultats - informe'!$D$26)*(C1731&lt;='Resultats - informe'!$E$26),0,(C1731&gt;='Resultats - informe'!$D$27)*(C1731&lt;='Resultats - informe'!$E$27),0,(C1731&gt;='Resultats - informe'!$D$28)*(C1731&lt;='Resultats - informe'!$E$28),0,(C1731&gt;='Resultats - informe'!$D$29)*(C1731&lt;='Resultats - informe'!$E$29),0,1,1)</f>
        <v>0</v>
      </c>
      <c r="N1731" s="366">
        <f>+VLOOKUP(D1731,'Resultats - informe'!$Y$18:$AG$42,'Introducció dades consum'!K1731+1,0)</f>
        <v>0</v>
      </c>
      <c r="O1731" s="370" cm="1">
        <f t="array" ref="O1731">+_xlfn.SWITCH(MONTH(C1731),1,1,2,1,3,1,4,2,5,2,6,3,7,3,8,3,9,3,10,2,11,2,12,1,2)</f>
        <v>1</v>
      </c>
      <c r="P1731" s="43"/>
    </row>
    <row r="1732" spans="1:16" ht="18" x14ac:dyDescent="0.35">
      <c r="A1732" s="43"/>
      <c r="C1732" s="393"/>
      <c r="E1732" s="394"/>
      <c r="F1732" s="394">
        <v>0</v>
      </c>
      <c r="G1732" s="394"/>
      <c r="H1732" s="8" t="s">
        <v>235</v>
      </c>
      <c r="I1732" s="368">
        <f t="shared" si="79"/>
        <v>0</v>
      </c>
      <c r="J1732" s="365">
        <f t="shared" si="81"/>
        <v>0</v>
      </c>
      <c r="K1732" s="369">
        <f t="shared" si="80"/>
        <v>6</v>
      </c>
      <c r="L1732" s="369">
        <f>+IF((C1732&gt;='Resultats - informe'!$E$16)*(C1732&lt;='Resultats - informe'!$G$16),1,0)</f>
        <v>1</v>
      </c>
      <c r="M1732" s="369" cm="1">
        <f t="array" ref="M1732">+_xlfn.IFS((C1732&gt;='Resultats - informe'!$D$26)*(C1732&lt;='Resultats - informe'!$E$26),0,(C1732&gt;='Resultats - informe'!$D$27)*(C1732&lt;='Resultats - informe'!$E$27),0,(C1732&gt;='Resultats - informe'!$D$28)*(C1732&lt;='Resultats - informe'!$E$28),0,(C1732&gt;='Resultats - informe'!$D$29)*(C1732&lt;='Resultats - informe'!$E$29),0,1,1)</f>
        <v>0</v>
      </c>
      <c r="N1732" s="366">
        <f>+VLOOKUP(D1732,'Resultats - informe'!$Y$18:$AG$42,'Introducció dades consum'!K1732+1,0)</f>
        <v>0</v>
      </c>
      <c r="O1732" s="370" cm="1">
        <f t="array" ref="O1732">+_xlfn.SWITCH(MONTH(C1732),1,1,2,1,3,1,4,2,5,2,6,3,7,3,8,3,9,3,10,2,11,2,12,1,2)</f>
        <v>1</v>
      </c>
      <c r="P1732" s="43"/>
    </row>
    <row r="1733" spans="1:16" ht="18" x14ac:dyDescent="0.35">
      <c r="A1733" s="43"/>
      <c r="C1733" s="393"/>
      <c r="E1733" s="394"/>
      <c r="F1733" s="394">
        <v>0</v>
      </c>
      <c r="G1733" s="394"/>
      <c r="H1733" s="8" t="s">
        <v>235</v>
      </c>
      <c r="I1733" s="368">
        <f t="shared" si="79"/>
        <v>0</v>
      </c>
      <c r="J1733" s="365">
        <f t="shared" si="81"/>
        <v>0</v>
      </c>
      <c r="K1733" s="369">
        <f t="shared" si="80"/>
        <v>6</v>
      </c>
      <c r="L1733" s="369">
        <f>+IF((C1733&gt;='Resultats - informe'!$E$16)*(C1733&lt;='Resultats - informe'!$G$16),1,0)</f>
        <v>1</v>
      </c>
      <c r="M1733" s="369" cm="1">
        <f t="array" ref="M1733">+_xlfn.IFS((C1733&gt;='Resultats - informe'!$D$26)*(C1733&lt;='Resultats - informe'!$E$26),0,(C1733&gt;='Resultats - informe'!$D$27)*(C1733&lt;='Resultats - informe'!$E$27),0,(C1733&gt;='Resultats - informe'!$D$28)*(C1733&lt;='Resultats - informe'!$E$28),0,(C1733&gt;='Resultats - informe'!$D$29)*(C1733&lt;='Resultats - informe'!$E$29),0,1,1)</f>
        <v>0</v>
      </c>
      <c r="N1733" s="366">
        <f>+VLOOKUP(D1733,'Resultats - informe'!$Y$18:$AG$42,'Introducció dades consum'!K1733+1,0)</f>
        <v>0</v>
      </c>
      <c r="O1733" s="370" cm="1">
        <f t="array" ref="O1733">+_xlfn.SWITCH(MONTH(C1733),1,1,2,1,3,1,4,2,5,2,6,3,7,3,8,3,9,3,10,2,11,2,12,1,2)</f>
        <v>1</v>
      </c>
      <c r="P1733" s="43"/>
    </row>
    <row r="1734" spans="1:16" ht="18" x14ac:dyDescent="0.35">
      <c r="A1734" s="43"/>
      <c r="C1734" s="393"/>
      <c r="E1734" s="394"/>
      <c r="F1734" s="394">
        <v>0</v>
      </c>
      <c r="G1734" s="394"/>
      <c r="H1734" s="8" t="s">
        <v>235</v>
      </c>
      <c r="I1734" s="368">
        <f t="shared" ref="I1734:I1797" si="82">+E1734+G1734</f>
        <v>0</v>
      </c>
      <c r="J1734" s="365">
        <f t="shared" si="81"/>
        <v>0</v>
      </c>
      <c r="K1734" s="369">
        <f t="shared" ref="K1734:K1797" si="83">+WEEKDAY(C1734,2)</f>
        <v>6</v>
      </c>
      <c r="L1734" s="369">
        <f>+IF((C1734&gt;='Resultats - informe'!$E$16)*(C1734&lt;='Resultats - informe'!$G$16),1,0)</f>
        <v>1</v>
      </c>
      <c r="M1734" s="369" cm="1">
        <f t="array" ref="M1734">+_xlfn.IFS((C1734&gt;='Resultats - informe'!$D$26)*(C1734&lt;='Resultats - informe'!$E$26),0,(C1734&gt;='Resultats - informe'!$D$27)*(C1734&lt;='Resultats - informe'!$E$27),0,(C1734&gt;='Resultats - informe'!$D$28)*(C1734&lt;='Resultats - informe'!$E$28),0,(C1734&gt;='Resultats - informe'!$D$29)*(C1734&lt;='Resultats - informe'!$E$29),0,1,1)</f>
        <v>0</v>
      </c>
      <c r="N1734" s="366">
        <f>+VLOOKUP(D1734,'Resultats - informe'!$Y$18:$AG$42,'Introducció dades consum'!K1734+1,0)</f>
        <v>0</v>
      </c>
      <c r="O1734" s="370" cm="1">
        <f t="array" ref="O1734">+_xlfn.SWITCH(MONTH(C1734),1,1,2,1,3,1,4,2,5,2,6,3,7,3,8,3,9,3,10,2,11,2,12,1,2)</f>
        <v>1</v>
      </c>
      <c r="P1734" s="43"/>
    </row>
    <row r="1735" spans="1:16" ht="18" x14ac:dyDescent="0.35">
      <c r="A1735" s="43"/>
      <c r="C1735" s="393"/>
      <c r="E1735" s="394"/>
      <c r="F1735" s="394">
        <v>0</v>
      </c>
      <c r="G1735" s="394"/>
      <c r="H1735" s="8" t="s">
        <v>235</v>
      </c>
      <c r="I1735" s="368">
        <f t="shared" si="82"/>
        <v>0</v>
      </c>
      <c r="J1735" s="365">
        <f t="shared" si="81"/>
        <v>0</v>
      </c>
      <c r="K1735" s="369">
        <f t="shared" si="83"/>
        <v>6</v>
      </c>
      <c r="L1735" s="369">
        <f>+IF((C1735&gt;='Resultats - informe'!$E$16)*(C1735&lt;='Resultats - informe'!$G$16),1,0)</f>
        <v>1</v>
      </c>
      <c r="M1735" s="369" cm="1">
        <f t="array" ref="M1735">+_xlfn.IFS((C1735&gt;='Resultats - informe'!$D$26)*(C1735&lt;='Resultats - informe'!$E$26),0,(C1735&gt;='Resultats - informe'!$D$27)*(C1735&lt;='Resultats - informe'!$E$27),0,(C1735&gt;='Resultats - informe'!$D$28)*(C1735&lt;='Resultats - informe'!$E$28),0,(C1735&gt;='Resultats - informe'!$D$29)*(C1735&lt;='Resultats - informe'!$E$29),0,1,1)</f>
        <v>0</v>
      </c>
      <c r="N1735" s="366">
        <f>+VLOOKUP(D1735,'Resultats - informe'!$Y$18:$AG$42,'Introducció dades consum'!K1735+1,0)</f>
        <v>0</v>
      </c>
      <c r="O1735" s="370" cm="1">
        <f t="array" ref="O1735">+_xlfn.SWITCH(MONTH(C1735),1,1,2,1,3,1,4,2,5,2,6,3,7,3,8,3,9,3,10,2,11,2,12,1,2)</f>
        <v>1</v>
      </c>
      <c r="P1735" s="43"/>
    </row>
    <row r="1736" spans="1:16" ht="18" x14ac:dyDescent="0.35">
      <c r="A1736" s="43"/>
      <c r="C1736" s="393"/>
      <c r="E1736" s="394"/>
      <c r="F1736" s="394">
        <v>0</v>
      </c>
      <c r="G1736" s="394"/>
      <c r="H1736" s="8" t="s">
        <v>235</v>
      </c>
      <c r="I1736" s="368">
        <f t="shared" si="82"/>
        <v>0</v>
      </c>
      <c r="J1736" s="365">
        <f t="shared" si="81"/>
        <v>0</v>
      </c>
      <c r="K1736" s="369">
        <f t="shared" si="83"/>
        <v>6</v>
      </c>
      <c r="L1736" s="369">
        <f>+IF((C1736&gt;='Resultats - informe'!$E$16)*(C1736&lt;='Resultats - informe'!$G$16),1,0)</f>
        <v>1</v>
      </c>
      <c r="M1736" s="369" cm="1">
        <f t="array" ref="M1736">+_xlfn.IFS((C1736&gt;='Resultats - informe'!$D$26)*(C1736&lt;='Resultats - informe'!$E$26),0,(C1736&gt;='Resultats - informe'!$D$27)*(C1736&lt;='Resultats - informe'!$E$27),0,(C1736&gt;='Resultats - informe'!$D$28)*(C1736&lt;='Resultats - informe'!$E$28),0,(C1736&gt;='Resultats - informe'!$D$29)*(C1736&lt;='Resultats - informe'!$E$29),0,1,1)</f>
        <v>0</v>
      </c>
      <c r="N1736" s="366">
        <f>+VLOOKUP(D1736,'Resultats - informe'!$Y$18:$AG$42,'Introducció dades consum'!K1736+1,0)</f>
        <v>0</v>
      </c>
      <c r="O1736" s="370" cm="1">
        <f t="array" ref="O1736">+_xlfn.SWITCH(MONTH(C1736),1,1,2,1,3,1,4,2,5,2,6,3,7,3,8,3,9,3,10,2,11,2,12,1,2)</f>
        <v>1</v>
      </c>
      <c r="P1736" s="43"/>
    </row>
    <row r="1737" spans="1:16" ht="18" x14ac:dyDescent="0.35">
      <c r="A1737" s="43"/>
      <c r="C1737" s="393"/>
      <c r="E1737" s="394"/>
      <c r="F1737" s="394">
        <v>0</v>
      </c>
      <c r="G1737" s="394"/>
      <c r="H1737" s="8" t="s">
        <v>235</v>
      </c>
      <c r="I1737" s="368">
        <f t="shared" si="82"/>
        <v>0</v>
      </c>
      <c r="J1737" s="365">
        <f t="shared" si="81"/>
        <v>0</v>
      </c>
      <c r="K1737" s="369">
        <f t="shared" si="83"/>
        <v>6</v>
      </c>
      <c r="L1737" s="369">
        <f>+IF((C1737&gt;='Resultats - informe'!$E$16)*(C1737&lt;='Resultats - informe'!$G$16),1,0)</f>
        <v>1</v>
      </c>
      <c r="M1737" s="369" cm="1">
        <f t="array" ref="M1737">+_xlfn.IFS((C1737&gt;='Resultats - informe'!$D$26)*(C1737&lt;='Resultats - informe'!$E$26),0,(C1737&gt;='Resultats - informe'!$D$27)*(C1737&lt;='Resultats - informe'!$E$27),0,(C1737&gt;='Resultats - informe'!$D$28)*(C1737&lt;='Resultats - informe'!$E$28),0,(C1737&gt;='Resultats - informe'!$D$29)*(C1737&lt;='Resultats - informe'!$E$29),0,1,1)</f>
        <v>0</v>
      </c>
      <c r="N1737" s="366">
        <f>+VLOOKUP(D1737,'Resultats - informe'!$Y$18:$AG$42,'Introducció dades consum'!K1737+1,0)</f>
        <v>0</v>
      </c>
      <c r="O1737" s="370" cm="1">
        <f t="array" ref="O1737">+_xlfn.SWITCH(MONTH(C1737),1,1,2,1,3,1,4,2,5,2,6,3,7,3,8,3,9,3,10,2,11,2,12,1,2)</f>
        <v>1</v>
      </c>
      <c r="P1737" s="43"/>
    </row>
    <row r="1738" spans="1:16" ht="18" x14ac:dyDescent="0.35">
      <c r="A1738" s="43"/>
      <c r="C1738" s="393"/>
      <c r="E1738" s="394"/>
      <c r="F1738" s="394">
        <v>0</v>
      </c>
      <c r="G1738" s="394"/>
      <c r="H1738" s="8" t="s">
        <v>235</v>
      </c>
      <c r="I1738" s="368">
        <f t="shared" si="82"/>
        <v>0</v>
      </c>
      <c r="J1738" s="365">
        <f t="shared" si="81"/>
        <v>0</v>
      </c>
      <c r="K1738" s="369">
        <f t="shared" si="83"/>
        <v>6</v>
      </c>
      <c r="L1738" s="369">
        <f>+IF((C1738&gt;='Resultats - informe'!$E$16)*(C1738&lt;='Resultats - informe'!$G$16),1,0)</f>
        <v>1</v>
      </c>
      <c r="M1738" s="369" cm="1">
        <f t="array" ref="M1738">+_xlfn.IFS((C1738&gt;='Resultats - informe'!$D$26)*(C1738&lt;='Resultats - informe'!$E$26),0,(C1738&gt;='Resultats - informe'!$D$27)*(C1738&lt;='Resultats - informe'!$E$27),0,(C1738&gt;='Resultats - informe'!$D$28)*(C1738&lt;='Resultats - informe'!$E$28),0,(C1738&gt;='Resultats - informe'!$D$29)*(C1738&lt;='Resultats - informe'!$E$29),0,1,1)</f>
        <v>0</v>
      </c>
      <c r="N1738" s="366">
        <f>+VLOOKUP(D1738,'Resultats - informe'!$Y$18:$AG$42,'Introducció dades consum'!K1738+1,0)</f>
        <v>0</v>
      </c>
      <c r="O1738" s="370" cm="1">
        <f t="array" ref="O1738">+_xlfn.SWITCH(MONTH(C1738),1,1,2,1,3,1,4,2,5,2,6,3,7,3,8,3,9,3,10,2,11,2,12,1,2)</f>
        <v>1</v>
      </c>
      <c r="P1738" s="43"/>
    </row>
    <row r="1739" spans="1:16" ht="18" x14ac:dyDescent="0.35">
      <c r="A1739" s="43"/>
      <c r="C1739" s="393"/>
      <c r="E1739" s="394"/>
      <c r="F1739" s="394">
        <v>0</v>
      </c>
      <c r="G1739" s="394"/>
      <c r="H1739" s="8" t="s">
        <v>235</v>
      </c>
      <c r="I1739" s="368">
        <f t="shared" si="82"/>
        <v>0</v>
      </c>
      <c r="J1739" s="365">
        <f t="shared" si="81"/>
        <v>0</v>
      </c>
      <c r="K1739" s="369">
        <f t="shared" si="83"/>
        <v>6</v>
      </c>
      <c r="L1739" s="369">
        <f>+IF((C1739&gt;='Resultats - informe'!$E$16)*(C1739&lt;='Resultats - informe'!$G$16),1,0)</f>
        <v>1</v>
      </c>
      <c r="M1739" s="369" cm="1">
        <f t="array" ref="M1739">+_xlfn.IFS((C1739&gt;='Resultats - informe'!$D$26)*(C1739&lt;='Resultats - informe'!$E$26),0,(C1739&gt;='Resultats - informe'!$D$27)*(C1739&lt;='Resultats - informe'!$E$27),0,(C1739&gt;='Resultats - informe'!$D$28)*(C1739&lt;='Resultats - informe'!$E$28),0,(C1739&gt;='Resultats - informe'!$D$29)*(C1739&lt;='Resultats - informe'!$E$29),0,1,1)</f>
        <v>0</v>
      </c>
      <c r="N1739" s="366">
        <f>+VLOOKUP(D1739,'Resultats - informe'!$Y$18:$AG$42,'Introducció dades consum'!K1739+1,0)</f>
        <v>0</v>
      </c>
      <c r="O1739" s="370" cm="1">
        <f t="array" ref="O1739">+_xlfn.SWITCH(MONTH(C1739),1,1,2,1,3,1,4,2,5,2,6,3,7,3,8,3,9,3,10,2,11,2,12,1,2)</f>
        <v>1</v>
      </c>
      <c r="P1739" s="43"/>
    </row>
    <row r="1740" spans="1:16" ht="18" x14ac:dyDescent="0.35">
      <c r="A1740" s="43"/>
      <c r="C1740" s="393"/>
      <c r="E1740" s="394"/>
      <c r="F1740" s="394">
        <v>0.59699999999999998</v>
      </c>
      <c r="G1740" s="394"/>
      <c r="H1740" s="8" t="s">
        <v>235</v>
      </c>
      <c r="I1740" s="368">
        <f t="shared" si="82"/>
        <v>0</v>
      </c>
      <c r="J1740" s="365">
        <f t="shared" si="81"/>
        <v>0</v>
      </c>
      <c r="K1740" s="369">
        <f t="shared" si="83"/>
        <v>6</v>
      </c>
      <c r="L1740" s="369">
        <f>+IF((C1740&gt;='Resultats - informe'!$E$16)*(C1740&lt;='Resultats - informe'!$G$16),1,0)</f>
        <v>1</v>
      </c>
      <c r="M1740" s="369" cm="1">
        <f t="array" ref="M1740">+_xlfn.IFS((C1740&gt;='Resultats - informe'!$D$26)*(C1740&lt;='Resultats - informe'!$E$26),0,(C1740&gt;='Resultats - informe'!$D$27)*(C1740&lt;='Resultats - informe'!$E$27),0,(C1740&gt;='Resultats - informe'!$D$28)*(C1740&lt;='Resultats - informe'!$E$28),0,(C1740&gt;='Resultats - informe'!$D$29)*(C1740&lt;='Resultats - informe'!$E$29),0,1,1)</f>
        <v>0</v>
      </c>
      <c r="N1740" s="366">
        <f>+VLOOKUP(D1740,'Resultats - informe'!$Y$18:$AG$42,'Introducció dades consum'!K1740+1,0)</f>
        <v>0</v>
      </c>
      <c r="O1740" s="370" cm="1">
        <f t="array" ref="O1740">+_xlfn.SWITCH(MONTH(C1740),1,1,2,1,3,1,4,2,5,2,6,3,7,3,8,3,9,3,10,2,11,2,12,1,2)</f>
        <v>1</v>
      </c>
      <c r="P1740" s="43"/>
    </row>
    <row r="1741" spans="1:16" ht="18" x14ac:dyDescent="0.35">
      <c r="A1741" s="43"/>
      <c r="C1741" s="393"/>
      <c r="E1741" s="394"/>
      <c r="F1741" s="394">
        <v>0.96799999999999997</v>
      </c>
      <c r="G1741" s="394"/>
      <c r="H1741" s="8" t="s">
        <v>235</v>
      </c>
      <c r="I1741" s="368">
        <f t="shared" si="82"/>
        <v>0</v>
      </c>
      <c r="J1741" s="365">
        <f t="shared" si="81"/>
        <v>0</v>
      </c>
      <c r="K1741" s="369">
        <f t="shared" si="83"/>
        <v>6</v>
      </c>
      <c r="L1741" s="369">
        <f>+IF((C1741&gt;='Resultats - informe'!$E$16)*(C1741&lt;='Resultats - informe'!$G$16),1,0)</f>
        <v>1</v>
      </c>
      <c r="M1741" s="369" cm="1">
        <f t="array" ref="M1741">+_xlfn.IFS((C1741&gt;='Resultats - informe'!$D$26)*(C1741&lt;='Resultats - informe'!$E$26),0,(C1741&gt;='Resultats - informe'!$D$27)*(C1741&lt;='Resultats - informe'!$E$27),0,(C1741&gt;='Resultats - informe'!$D$28)*(C1741&lt;='Resultats - informe'!$E$28),0,(C1741&gt;='Resultats - informe'!$D$29)*(C1741&lt;='Resultats - informe'!$E$29),0,1,1)</f>
        <v>0</v>
      </c>
      <c r="N1741" s="366">
        <f>+VLOOKUP(D1741,'Resultats - informe'!$Y$18:$AG$42,'Introducció dades consum'!K1741+1,0)</f>
        <v>0</v>
      </c>
      <c r="O1741" s="370" cm="1">
        <f t="array" ref="O1741">+_xlfn.SWITCH(MONTH(C1741),1,1,2,1,3,1,4,2,5,2,6,3,7,3,8,3,9,3,10,2,11,2,12,1,2)</f>
        <v>1</v>
      </c>
      <c r="P1741" s="43"/>
    </row>
    <row r="1742" spans="1:16" ht="18" x14ac:dyDescent="0.35">
      <c r="A1742" s="43"/>
      <c r="C1742" s="393"/>
      <c r="E1742" s="394"/>
      <c r="F1742" s="394">
        <v>2.1549999999999998</v>
      </c>
      <c r="G1742" s="394"/>
      <c r="H1742" s="8" t="s">
        <v>235</v>
      </c>
      <c r="I1742" s="368">
        <f t="shared" si="82"/>
        <v>0</v>
      </c>
      <c r="J1742" s="365">
        <f t="shared" si="81"/>
        <v>0</v>
      </c>
      <c r="K1742" s="369">
        <f t="shared" si="83"/>
        <v>6</v>
      </c>
      <c r="L1742" s="369">
        <f>+IF((C1742&gt;='Resultats - informe'!$E$16)*(C1742&lt;='Resultats - informe'!$G$16),1,0)</f>
        <v>1</v>
      </c>
      <c r="M1742" s="369" cm="1">
        <f t="array" ref="M1742">+_xlfn.IFS((C1742&gt;='Resultats - informe'!$D$26)*(C1742&lt;='Resultats - informe'!$E$26),0,(C1742&gt;='Resultats - informe'!$D$27)*(C1742&lt;='Resultats - informe'!$E$27),0,(C1742&gt;='Resultats - informe'!$D$28)*(C1742&lt;='Resultats - informe'!$E$28),0,(C1742&gt;='Resultats - informe'!$D$29)*(C1742&lt;='Resultats - informe'!$E$29),0,1,1)</f>
        <v>0</v>
      </c>
      <c r="N1742" s="366">
        <f>+VLOOKUP(D1742,'Resultats - informe'!$Y$18:$AG$42,'Introducció dades consum'!K1742+1,0)</f>
        <v>0</v>
      </c>
      <c r="O1742" s="370" cm="1">
        <f t="array" ref="O1742">+_xlfn.SWITCH(MONTH(C1742),1,1,2,1,3,1,4,2,5,2,6,3,7,3,8,3,9,3,10,2,11,2,12,1,2)</f>
        <v>1</v>
      </c>
      <c r="P1742" s="43"/>
    </row>
    <row r="1743" spans="1:16" ht="18" x14ac:dyDescent="0.35">
      <c r="A1743" s="43"/>
      <c r="C1743" s="393"/>
      <c r="E1743" s="394"/>
      <c r="F1743" s="394">
        <v>1.3169999999999999</v>
      </c>
      <c r="G1743" s="394"/>
      <c r="H1743" s="8" t="s">
        <v>235</v>
      </c>
      <c r="I1743" s="368">
        <f t="shared" si="82"/>
        <v>0</v>
      </c>
      <c r="J1743" s="365">
        <f t="shared" si="81"/>
        <v>0</v>
      </c>
      <c r="K1743" s="369">
        <f t="shared" si="83"/>
        <v>6</v>
      </c>
      <c r="L1743" s="369">
        <f>+IF((C1743&gt;='Resultats - informe'!$E$16)*(C1743&lt;='Resultats - informe'!$G$16),1,0)</f>
        <v>1</v>
      </c>
      <c r="M1743" s="369" cm="1">
        <f t="array" ref="M1743">+_xlfn.IFS((C1743&gt;='Resultats - informe'!$D$26)*(C1743&lt;='Resultats - informe'!$E$26),0,(C1743&gt;='Resultats - informe'!$D$27)*(C1743&lt;='Resultats - informe'!$E$27),0,(C1743&gt;='Resultats - informe'!$D$28)*(C1743&lt;='Resultats - informe'!$E$28),0,(C1743&gt;='Resultats - informe'!$D$29)*(C1743&lt;='Resultats - informe'!$E$29),0,1,1)</f>
        <v>0</v>
      </c>
      <c r="N1743" s="366">
        <f>+VLOOKUP(D1743,'Resultats - informe'!$Y$18:$AG$42,'Introducció dades consum'!K1743+1,0)</f>
        <v>0</v>
      </c>
      <c r="O1743" s="370" cm="1">
        <f t="array" ref="O1743">+_xlfn.SWITCH(MONTH(C1743),1,1,2,1,3,1,4,2,5,2,6,3,7,3,8,3,9,3,10,2,11,2,12,1,2)</f>
        <v>1</v>
      </c>
      <c r="P1743" s="43"/>
    </row>
    <row r="1744" spans="1:16" ht="18" x14ac:dyDescent="0.35">
      <c r="A1744" s="43"/>
      <c r="C1744" s="393"/>
      <c r="E1744" s="394"/>
      <c r="F1744" s="394">
        <v>0</v>
      </c>
      <c r="G1744" s="394"/>
      <c r="H1744" s="8" t="s">
        <v>61</v>
      </c>
      <c r="I1744" s="368">
        <f t="shared" si="82"/>
        <v>0</v>
      </c>
      <c r="J1744" s="365">
        <f t="shared" si="81"/>
        <v>0</v>
      </c>
      <c r="K1744" s="369">
        <f t="shared" si="83"/>
        <v>6</v>
      </c>
      <c r="L1744" s="369">
        <f>+IF((C1744&gt;='Resultats - informe'!$E$16)*(C1744&lt;='Resultats - informe'!$G$16),1,0)</f>
        <v>1</v>
      </c>
      <c r="M1744" s="369" cm="1">
        <f t="array" ref="M1744">+_xlfn.IFS((C1744&gt;='Resultats - informe'!$D$26)*(C1744&lt;='Resultats - informe'!$E$26),0,(C1744&gt;='Resultats - informe'!$D$27)*(C1744&lt;='Resultats - informe'!$E$27),0,(C1744&gt;='Resultats - informe'!$D$28)*(C1744&lt;='Resultats - informe'!$E$28),0,(C1744&gt;='Resultats - informe'!$D$29)*(C1744&lt;='Resultats - informe'!$E$29),0,1,1)</f>
        <v>0</v>
      </c>
      <c r="N1744" s="366">
        <f>+VLOOKUP(D1744,'Resultats - informe'!$Y$18:$AG$42,'Introducció dades consum'!K1744+1,0)</f>
        <v>0</v>
      </c>
      <c r="O1744" s="370" cm="1">
        <f t="array" ref="O1744">+_xlfn.SWITCH(MONTH(C1744),1,1,2,1,3,1,4,2,5,2,6,3,7,3,8,3,9,3,10,2,11,2,12,1,2)</f>
        <v>1</v>
      </c>
      <c r="P1744" s="43"/>
    </row>
    <row r="1745" spans="1:16" ht="18" x14ac:dyDescent="0.35">
      <c r="A1745" s="43"/>
      <c r="C1745" s="393"/>
      <c r="E1745" s="394"/>
      <c r="F1745" s="394">
        <v>0</v>
      </c>
      <c r="G1745" s="394"/>
      <c r="H1745" s="8" t="s">
        <v>61</v>
      </c>
      <c r="I1745" s="368">
        <f t="shared" si="82"/>
        <v>0</v>
      </c>
      <c r="J1745" s="365">
        <f t="shared" si="81"/>
        <v>0</v>
      </c>
      <c r="K1745" s="369">
        <f t="shared" si="83"/>
        <v>6</v>
      </c>
      <c r="L1745" s="369">
        <f>+IF((C1745&gt;='Resultats - informe'!$E$16)*(C1745&lt;='Resultats - informe'!$G$16),1,0)</f>
        <v>1</v>
      </c>
      <c r="M1745" s="369" cm="1">
        <f t="array" ref="M1745">+_xlfn.IFS((C1745&gt;='Resultats - informe'!$D$26)*(C1745&lt;='Resultats - informe'!$E$26),0,(C1745&gt;='Resultats - informe'!$D$27)*(C1745&lt;='Resultats - informe'!$E$27),0,(C1745&gt;='Resultats - informe'!$D$28)*(C1745&lt;='Resultats - informe'!$E$28),0,(C1745&gt;='Resultats - informe'!$D$29)*(C1745&lt;='Resultats - informe'!$E$29),0,1,1)</f>
        <v>0</v>
      </c>
      <c r="N1745" s="366">
        <f>+VLOOKUP(D1745,'Resultats - informe'!$Y$18:$AG$42,'Introducció dades consum'!K1745+1,0)</f>
        <v>0</v>
      </c>
      <c r="O1745" s="370" cm="1">
        <f t="array" ref="O1745">+_xlfn.SWITCH(MONTH(C1745),1,1,2,1,3,1,4,2,5,2,6,3,7,3,8,3,9,3,10,2,11,2,12,1,2)</f>
        <v>1</v>
      </c>
      <c r="P1745" s="43"/>
    </row>
    <row r="1746" spans="1:16" ht="18" x14ac:dyDescent="0.35">
      <c r="A1746" s="43"/>
      <c r="C1746" s="393"/>
      <c r="E1746" s="394"/>
      <c r="F1746" s="394">
        <v>0.97599999999999998</v>
      </c>
      <c r="G1746" s="394"/>
      <c r="H1746" s="8" t="s">
        <v>61</v>
      </c>
      <c r="I1746" s="368">
        <f t="shared" si="82"/>
        <v>0</v>
      </c>
      <c r="J1746" s="365">
        <f t="shared" si="81"/>
        <v>0</v>
      </c>
      <c r="K1746" s="369">
        <f t="shared" si="83"/>
        <v>6</v>
      </c>
      <c r="L1746" s="369">
        <f>+IF((C1746&gt;='Resultats - informe'!$E$16)*(C1746&lt;='Resultats - informe'!$G$16),1,0)</f>
        <v>1</v>
      </c>
      <c r="M1746" s="369" cm="1">
        <f t="array" ref="M1746">+_xlfn.IFS((C1746&gt;='Resultats - informe'!$D$26)*(C1746&lt;='Resultats - informe'!$E$26),0,(C1746&gt;='Resultats - informe'!$D$27)*(C1746&lt;='Resultats - informe'!$E$27),0,(C1746&gt;='Resultats - informe'!$D$28)*(C1746&lt;='Resultats - informe'!$E$28),0,(C1746&gt;='Resultats - informe'!$D$29)*(C1746&lt;='Resultats - informe'!$E$29),0,1,1)</f>
        <v>0</v>
      </c>
      <c r="N1746" s="366">
        <f>+VLOOKUP(D1746,'Resultats - informe'!$Y$18:$AG$42,'Introducció dades consum'!K1746+1,0)</f>
        <v>0</v>
      </c>
      <c r="O1746" s="370" cm="1">
        <f t="array" ref="O1746">+_xlfn.SWITCH(MONTH(C1746),1,1,2,1,3,1,4,2,5,2,6,3,7,3,8,3,9,3,10,2,11,2,12,1,2)</f>
        <v>1</v>
      </c>
      <c r="P1746" s="43"/>
    </row>
    <row r="1747" spans="1:16" ht="18" x14ac:dyDescent="0.35">
      <c r="A1747" s="43"/>
      <c r="C1747" s="393"/>
      <c r="E1747" s="394"/>
      <c r="F1747" s="394">
        <v>0</v>
      </c>
      <c r="G1747" s="394"/>
      <c r="H1747" s="8" t="s">
        <v>61</v>
      </c>
      <c r="I1747" s="368">
        <f t="shared" si="82"/>
        <v>0</v>
      </c>
      <c r="J1747" s="365">
        <f t="shared" si="81"/>
        <v>0</v>
      </c>
      <c r="K1747" s="369">
        <f t="shared" si="83"/>
        <v>6</v>
      </c>
      <c r="L1747" s="369">
        <f>+IF((C1747&gt;='Resultats - informe'!$E$16)*(C1747&lt;='Resultats - informe'!$G$16),1,0)</f>
        <v>1</v>
      </c>
      <c r="M1747" s="369" cm="1">
        <f t="array" ref="M1747">+_xlfn.IFS((C1747&gt;='Resultats - informe'!$D$26)*(C1747&lt;='Resultats - informe'!$E$26),0,(C1747&gt;='Resultats - informe'!$D$27)*(C1747&lt;='Resultats - informe'!$E$27),0,(C1747&gt;='Resultats - informe'!$D$28)*(C1747&lt;='Resultats - informe'!$E$28),0,(C1747&gt;='Resultats - informe'!$D$29)*(C1747&lt;='Resultats - informe'!$E$29),0,1,1)</f>
        <v>0</v>
      </c>
      <c r="N1747" s="366">
        <f>+VLOOKUP(D1747,'Resultats - informe'!$Y$18:$AG$42,'Introducció dades consum'!K1747+1,0)</f>
        <v>0</v>
      </c>
      <c r="O1747" s="370" cm="1">
        <f t="array" ref="O1747">+_xlfn.SWITCH(MONTH(C1747),1,1,2,1,3,1,4,2,5,2,6,3,7,3,8,3,9,3,10,2,11,2,12,1,2)</f>
        <v>1</v>
      </c>
      <c r="P1747" s="43"/>
    </row>
    <row r="1748" spans="1:16" ht="18" x14ac:dyDescent="0.35">
      <c r="A1748" s="43"/>
      <c r="C1748" s="393"/>
      <c r="E1748" s="394"/>
      <c r="F1748" s="394">
        <v>0.56499999999999995</v>
      </c>
      <c r="G1748" s="394"/>
      <c r="H1748" s="8" t="s">
        <v>61</v>
      </c>
      <c r="I1748" s="368">
        <f t="shared" si="82"/>
        <v>0</v>
      </c>
      <c r="J1748" s="365">
        <f t="shared" si="81"/>
        <v>0</v>
      </c>
      <c r="K1748" s="369">
        <f t="shared" si="83"/>
        <v>6</v>
      </c>
      <c r="L1748" s="369">
        <f>+IF((C1748&gt;='Resultats - informe'!$E$16)*(C1748&lt;='Resultats - informe'!$G$16),1,0)</f>
        <v>1</v>
      </c>
      <c r="M1748" s="369" cm="1">
        <f t="array" ref="M1748">+_xlfn.IFS((C1748&gt;='Resultats - informe'!$D$26)*(C1748&lt;='Resultats - informe'!$E$26),0,(C1748&gt;='Resultats - informe'!$D$27)*(C1748&lt;='Resultats - informe'!$E$27),0,(C1748&gt;='Resultats - informe'!$D$28)*(C1748&lt;='Resultats - informe'!$E$28),0,(C1748&gt;='Resultats - informe'!$D$29)*(C1748&lt;='Resultats - informe'!$E$29),0,1,1)</f>
        <v>0</v>
      </c>
      <c r="N1748" s="366">
        <f>+VLOOKUP(D1748,'Resultats - informe'!$Y$18:$AG$42,'Introducció dades consum'!K1748+1,0)</f>
        <v>0</v>
      </c>
      <c r="O1748" s="370" cm="1">
        <f t="array" ref="O1748">+_xlfn.SWITCH(MONTH(C1748),1,1,2,1,3,1,4,2,5,2,6,3,7,3,8,3,9,3,10,2,11,2,12,1,2)</f>
        <v>1</v>
      </c>
      <c r="P1748" s="43"/>
    </row>
    <row r="1749" spans="1:16" ht="18" x14ac:dyDescent="0.35">
      <c r="A1749" s="43"/>
      <c r="C1749" s="393"/>
      <c r="E1749" s="394"/>
      <c r="F1749" s="394">
        <v>0</v>
      </c>
      <c r="G1749" s="394"/>
      <c r="H1749" s="8" t="s">
        <v>61</v>
      </c>
      <c r="I1749" s="368">
        <f t="shared" si="82"/>
        <v>0</v>
      </c>
      <c r="J1749" s="365">
        <f t="shared" si="81"/>
        <v>0</v>
      </c>
      <c r="K1749" s="369">
        <f t="shared" si="83"/>
        <v>6</v>
      </c>
      <c r="L1749" s="369">
        <f>+IF((C1749&gt;='Resultats - informe'!$E$16)*(C1749&lt;='Resultats - informe'!$G$16),1,0)</f>
        <v>1</v>
      </c>
      <c r="M1749" s="369" cm="1">
        <f t="array" ref="M1749">+_xlfn.IFS((C1749&gt;='Resultats - informe'!$D$26)*(C1749&lt;='Resultats - informe'!$E$26),0,(C1749&gt;='Resultats - informe'!$D$27)*(C1749&lt;='Resultats - informe'!$E$27),0,(C1749&gt;='Resultats - informe'!$D$28)*(C1749&lt;='Resultats - informe'!$E$28),0,(C1749&gt;='Resultats - informe'!$D$29)*(C1749&lt;='Resultats - informe'!$E$29),0,1,1)</f>
        <v>0</v>
      </c>
      <c r="N1749" s="366">
        <f>+VLOOKUP(D1749,'Resultats - informe'!$Y$18:$AG$42,'Introducció dades consum'!K1749+1,0)</f>
        <v>0</v>
      </c>
      <c r="O1749" s="370" cm="1">
        <f t="array" ref="O1749">+_xlfn.SWITCH(MONTH(C1749),1,1,2,1,3,1,4,2,5,2,6,3,7,3,8,3,9,3,10,2,11,2,12,1,2)</f>
        <v>1</v>
      </c>
      <c r="P1749" s="43"/>
    </row>
    <row r="1750" spans="1:16" ht="18" x14ac:dyDescent="0.35">
      <c r="A1750" s="43"/>
      <c r="C1750" s="393"/>
      <c r="E1750" s="394"/>
      <c r="F1750" s="394">
        <v>0</v>
      </c>
      <c r="G1750" s="394"/>
      <c r="H1750" s="8" t="s">
        <v>61</v>
      </c>
      <c r="I1750" s="368">
        <f t="shared" si="82"/>
        <v>0</v>
      </c>
      <c r="J1750" s="365">
        <f t="shared" si="81"/>
        <v>0</v>
      </c>
      <c r="K1750" s="369">
        <f t="shared" si="83"/>
        <v>6</v>
      </c>
      <c r="L1750" s="369">
        <f>+IF((C1750&gt;='Resultats - informe'!$E$16)*(C1750&lt;='Resultats - informe'!$G$16),1,0)</f>
        <v>1</v>
      </c>
      <c r="M1750" s="369" cm="1">
        <f t="array" ref="M1750">+_xlfn.IFS((C1750&gt;='Resultats - informe'!$D$26)*(C1750&lt;='Resultats - informe'!$E$26),0,(C1750&gt;='Resultats - informe'!$D$27)*(C1750&lt;='Resultats - informe'!$E$27),0,(C1750&gt;='Resultats - informe'!$D$28)*(C1750&lt;='Resultats - informe'!$E$28),0,(C1750&gt;='Resultats - informe'!$D$29)*(C1750&lt;='Resultats - informe'!$E$29),0,1,1)</f>
        <v>0</v>
      </c>
      <c r="N1750" s="366">
        <f>+VLOOKUP(D1750,'Resultats - informe'!$Y$18:$AG$42,'Introducció dades consum'!K1750+1,0)</f>
        <v>0</v>
      </c>
      <c r="O1750" s="370" cm="1">
        <f t="array" ref="O1750">+_xlfn.SWITCH(MONTH(C1750),1,1,2,1,3,1,4,2,5,2,6,3,7,3,8,3,9,3,10,2,11,2,12,1,2)</f>
        <v>1</v>
      </c>
      <c r="P1750" s="43"/>
    </row>
    <row r="1751" spans="1:16" ht="18" x14ac:dyDescent="0.35">
      <c r="A1751" s="43"/>
      <c r="C1751" s="393"/>
      <c r="E1751" s="394"/>
      <c r="F1751" s="394">
        <v>0</v>
      </c>
      <c r="G1751" s="394"/>
      <c r="H1751" s="8" t="s">
        <v>61</v>
      </c>
      <c r="I1751" s="368">
        <f t="shared" si="82"/>
        <v>0</v>
      </c>
      <c r="J1751" s="365">
        <f t="shared" si="81"/>
        <v>0</v>
      </c>
      <c r="K1751" s="369">
        <f t="shared" si="83"/>
        <v>6</v>
      </c>
      <c r="L1751" s="369">
        <f>+IF((C1751&gt;='Resultats - informe'!$E$16)*(C1751&lt;='Resultats - informe'!$G$16),1,0)</f>
        <v>1</v>
      </c>
      <c r="M1751" s="369" cm="1">
        <f t="array" ref="M1751">+_xlfn.IFS((C1751&gt;='Resultats - informe'!$D$26)*(C1751&lt;='Resultats - informe'!$E$26),0,(C1751&gt;='Resultats - informe'!$D$27)*(C1751&lt;='Resultats - informe'!$E$27),0,(C1751&gt;='Resultats - informe'!$D$28)*(C1751&lt;='Resultats - informe'!$E$28),0,(C1751&gt;='Resultats - informe'!$D$29)*(C1751&lt;='Resultats - informe'!$E$29),0,1,1)</f>
        <v>0</v>
      </c>
      <c r="N1751" s="366">
        <f>+VLOOKUP(D1751,'Resultats - informe'!$Y$18:$AG$42,'Introducció dades consum'!K1751+1,0)</f>
        <v>0</v>
      </c>
      <c r="O1751" s="370" cm="1">
        <f t="array" ref="O1751">+_xlfn.SWITCH(MONTH(C1751),1,1,2,1,3,1,4,2,5,2,6,3,7,3,8,3,9,3,10,2,11,2,12,1,2)</f>
        <v>1</v>
      </c>
      <c r="P1751" s="43"/>
    </row>
    <row r="1752" spans="1:16" ht="18" x14ac:dyDescent="0.35">
      <c r="A1752" s="43"/>
      <c r="C1752" s="393"/>
      <c r="E1752" s="394"/>
      <c r="F1752" s="394">
        <v>0</v>
      </c>
      <c r="G1752" s="394"/>
      <c r="H1752" s="8" t="s">
        <v>235</v>
      </c>
      <c r="I1752" s="368">
        <f t="shared" si="82"/>
        <v>0</v>
      </c>
      <c r="J1752" s="365">
        <f t="shared" si="81"/>
        <v>0</v>
      </c>
      <c r="K1752" s="369">
        <f t="shared" si="83"/>
        <v>6</v>
      </c>
      <c r="L1752" s="369">
        <f>+IF((C1752&gt;='Resultats - informe'!$E$16)*(C1752&lt;='Resultats - informe'!$G$16),1,0)</f>
        <v>1</v>
      </c>
      <c r="M1752" s="369" cm="1">
        <f t="array" ref="M1752">+_xlfn.IFS((C1752&gt;='Resultats - informe'!$D$26)*(C1752&lt;='Resultats - informe'!$E$26),0,(C1752&gt;='Resultats - informe'!$D$27)*(C1752&lt;='Resultats - informe'!$E$27),0,(C1752&gt;='Resultats - informe'!$D$28)*(C1752&lt;='Resultats - informe'!$E$28),0,(C1752&gt;='Resultats - informe'!$D$29)*(C1752&lt;='Resultats - informe'!$E$29),0,1,1)</f>
        <v>0</v>
      </c>
      <c r="N1752" s="366">
        <f>+VLOOKUP(D1752,'Resultats - informe'!$Y$18:$AG$42,'Introducció dades consum'!K1752+1,0)</f>
        <v>0</v>
      </c>
      <c r="O1752" s="370" cm="1">
        <f t="array" ref="O1752">+_xlfn.SWITCH(MONTH(C1752),1,1,2,1,3,1,4,2,5,2,6,3,7,3,8,3,9,3,10,2,11,2,12,1,2)</f>
        <v>1</v>
      </c>
      <c r="P1752" s="43"/>
    </row>
    <row r="1753" spans="1:16" ht="18" x14ac:dyDescent="0.35">
      <c r="A1753" s="43"/>
      <c r="C1753" s="393"/>
      <c r="E1753" s="394"/>
      <c r="F1753" s="394">
        <v>0</v>
      </c>
      <c r="G1753" s="394"/>
      <c r="H1753" s="8" t="s">
        <v>235</v>
      </c>
      <c r="I1753" s="368">
        <f t="shared" si="82"/>
        <v>0</v>
      </c>
      <c r="J1753" s="365">
        <f t="shared" si="81"/>
        <v>0</v>
      </c>
      <c r="K1753" s="369">
        <f t="shared" si="83"/>
        <v>6</v>
      </c>
      <c r="L1753" s="369">
        <f>+IF((C1753&gt;='Resultats - informe'!$E$16)*(C1753&lt;='Resultats - informe'!$G$16),1,0)</f>
        <v>1</v>
      </c>
      <c r="M1753" s="369" cm="1">
        <f t="array" ref="M1753">+_xlfn.IFS((C1753&gt;='Resultats - informe'!$D$26)*(C1753&lt;='Resultats - informe'!$E$26),0,(C1753&gt;='Resultats - informe'!$D$27)*(C1753&lt;='Resultats - informe'!$E$27),0,(C1753&gt;='Resultats - informe'!$D$28)*(C1753&lt;='Resultats - informe'!$E$28),0,(C1753&gt;='Resultats - informe'!$D$29)*(C1753&lt;='Resultats - informe'!$E$29),0,1,1)</f>
        <v>0</v>
      </c>
      <c r="N1753" s="366">
        <f>+VLOOKUP(D1753,'Resultats - informe'!$Y$18:$AG$42,'Introducció dades consum'!K1753+1,0)</f>
        <v>0</v>
      </c>
      <c r="O1753" s="370" cm="1">
        <f t="array" ref="O1753">+_xlfn.SWITCH(MONTH(C1753),1,1,2,1,3,1,4,2,5,2,6,3,7,3,8,3,9,3,10,2,11,2,12,1,2)</f>
        <v>1</v>
      </c>
      <c r="P1753" s="43"/>
    </row>
    <row r="1754" spans="1:16" ht="18" x14ac:dyDescent="0.35">
      <c r="A1754" s="43"/>
      <c r="C1754" s="393"/>
      <c r="E1754" s="394"/>
      <c r="F1754" s="394">
        <v>0</v>
      </c>
      <c r="G1754" s="394"/>
      <c r="H1754" s="8" t="s">
        <v>235</v>
      </c>
      <c r="I1754" s="368">
        <f t="shared" si="82"/>
        <v>0</v>
      </c>
      <c r="J1754" s="365">
        <f t="shared" si="81"/>
        <v>0</v>
      </c>
      <c r="K1754" s="369">
        <f t="shared" si="83"/>
        <v>6</v>
      </c>
      <c r="L1754" s="369">
        <f>+IF((C1754&gt;='Resultats - informe'!$E$16)*(C1754&lt;='Resultats - informe'!$G$16),1,0)</f>
        <v>1</v>
      </c>
      <c r="M1754" s="369" cm="1">
        <f t="array" ref="M1754">+_xlfn.IFS((C1754&gt;='Resultats - informe'!$D$26)*(C1754&lt;='Resultats - informe'!$E$26),0,(C1754&gt;='Resultats - informe'!$D$27)*(C1754&lt;='Resultats - informe'!$E$27),0,(C1754&gt;='Resultats - informe'!$D$28)*(C1754&lt;='Resultats - informe'!$E$28),0,(C1754&gt;='Resultats - informe'!$D$29)*(C1754&lt;='Resultats - informe'!$E$29),0,1,1)</f>
        <v>0</v>
      </c>
      <c r="N1754" s="366">
        <f>+VLOOKUP(D1754,'Resultats - informe'!$Y$18:$AG$42,'Introducció dades consum'!K1754+1,0)</f>
        <v>0</v>
      </c>
      <c r="O1754" s="370" cm="1">
        <f t="array" ref="O1754">+_xlfn.SWITCH(MONTH(C1754),1,1,2,1,3,1,4,2,5,2,6,3,7,3,8,3,9,3,10,2,11,2,12,1,2)</f>
        <v>1</v>
      </c>
      <c r="P1754" s="43"/>
    </row>
    <row r="1755" spans="1:16" ht="18" x14ac:dyDescent="0.35">
      <c r="A1755" s="43"/>
      <c r="C1755" s="393"/>
      <c r="E1755" s="394"/>
      <c r="F1755" s="394">
        <v>0</v>
      </c>
      <c r="G1755" s="394"/>
      <c r="H1755" s="8" t="s">
        <v>235</v>
      </c>
      <c r="I1755" s="368">
        <f t="shared" si="82"/>
        <v>0</v>
      </c>
      <c r="J1755" s="365">
        <f t="shared" si="81"/>
        <v>0</v>
      </c>
      <c r="K1755" s="369">
        <f t="shared" si="83"/>
        <v>6</v>
      </c>
      <c r="L1755" s="369">
        <f>+IF((C1755&gt;='Resultats - informe'!$E$16)*(C1755&lt;='Resultats - informe'!$G$16),1,0)</f>
        <v>1</v>
      </c>
      <c r="M1755" s="369" cm="1">
        <f t="array" ref="M1755">+_xlfn.IFS((C1755&gt;='Resultats - informe'!$D$26)*(C1755&lt;='Resultats - informe'!$E$26),0,(C1755&gt;='Resultats - informe'!$D$27)*(C1755&lt;='Resultats - informe'!$E$27),0,(C1755&gt;='Resultats - informe'!$D$28)*(C1755&lt;='Resultats - informe'!$E$28),0,(C1755&gt;='Resultats - informe'!$D$29)*(C1755&lt;='Resultats - informe'!$E$29),0,1,1)</f>
        <v>0</v>
      </c>
      <c r="N1755" s="366">
        <f>+VLOOKUP(D1755,'Resultats - informe'!$Y$18:$AG$42,'Introducció dades consum'!K1755+1,0)</f>
        <v>0</v>
      </c>
      <c r="O1755" s="370" cm="1">
        <f t="array" ref="O1755">+_xlfn.SWITCH(MONTH(C1755),1,1,2,1,3,1,4,2,5,2,6,3,7,3,8,3,9,3,10,2,11,2,12,1,2)</f>
        <v>1</v>
      </c>
      <c r="P1755" s="43"/>
    </row>
    <row r="1756" spans="1:16" ht="18" x14ac:dyDescent="0.35">
      <c r="A1756" s="43"/>
      <c r="C1756" s="393"/>
      <c r="E1756" s="394"/>
      <c r="F1756" s="394">
        <v>0</v>
      </c>
      <c r="G1756" s="394"/>
      <c r="H1756" s="8" t="s">
        <v>235</v>
      </c>
      <c r="I1756" s="368">
        <f t="shared" si="82"/>
        <v>0</v>
      </c>
      <c r="J1756" s="365">
        <f t="shared" si="81"/>
        <v>0</v>
      </c>
      <c r="K1756" s="369">
        <f t="shared" si="83"/>
        <v>6</v>
      </c>
      <c r="L1756" s="369">
        <f>+IF((C1756&gt;='Resultats - informe'!$E$16)*(C1756&lt;='Resultats - informe'!$G$16),1,0)</f>
        <v>1</v>
      </c>
      <c r="M1756" s="369" cm="1">
        <f t="array" ref="M1756">+_xlfn.IFS((C1756&gt;='Resultats - informe'!$D$26)*(C1756&lt;='Resultats - informe'!$E$26),0,(C1756&gt;='Resultats - informe'!$D$27)*(C1756&lt;='Resultats - informe'!$E$27),0,(C1756&gt;='Resultats - informe'!$D$28)*(C1756&lt;='Resultats - informe'!$E$28),0,(C1756&gt;='Resultats - informe'!$D$29)*(C1756&lt;='Resultats - informe'!$E$29),0,1,1)</f>
        <v>0</v>
      </c>
      <c r="N1756" s="366">
        <f>+VLOOKUP(D1756,'Resultats - informe'!$Y$18:$AG$42,'Introducció dades consum'!K1756+1,0)</f>
        <v>0</v>
      </c>
      <c r="O1756" s="370" cm="1">
        <f t="array" ref="O1756">+_xlfn.SWITCH(MONTH(C1756),1,1,2,1,3,1,4,2,5,2,6,3,7,3,8,3,9,3,10,2,11,2,12,1,2)</f>
        <v>1</v>
      </c>
      <c r="P1756" s="43"/>
    </row>
    <row r="1757" spans="1:16" ht="18" x14ac:dyDescent="0.35">
      <c r="A1757" s="43"/>
      <c r="C1757" s="393"/>
      <c r="E1757" s="394"/>
      <c r="F1757" s="394">
        <v>0</v>
      </c>
      <c r="G1757" s="394"/>
      <c r="H1757" s="8" t="s">
        <v>235</v>
      </c>
      <c r="I1757" s="368">
        <f t="shared" si="82"/>
        <v>0</v>
      </c>
      <c r="J1757" s="365">
        <f t="shared" si="81"/>
        <v>0</v>
      </c>
      <c r="K1757" s="369">
        <f t="shared" si="83"/>
        <v>6</v>
      </c>
      <c r="L1757" s="369">
        <f>+IF((C1757&gt;='Resultats - informe'!$E$16)*(C1757&lt;='Resultats - informe'!$G$16),1,0)</f>
        <v>1</v>
      </c>
      <c r="M1757" s="369" cm="1">
        <f t="array" ref="M1757">+_xlfn.IFS((C1757&gt;='Resultats - informe'!$D$26)*(C1757&lt;='Resultats - informe'!$E$26),0,(C1757&gt;='Resultats - informe'!$D$27)*(C1757&lt;='Resultats - informe'!$E$27),0,(C1757&gt;='Resultats - informe'!$D$28)*(C1757&lt;='Resultats - informe'!$E$28),0,(C1757&gt;='Resultats - informe'!$D$29)*(C1757&lt;='Resultats - informe'!$E$29),0,1,1)</f>
        <v>0</v>
      </c>
      <c r="N1757" s="366">
        <f>+VLOOKUP(D1757,'Resultats - informe'!$Y$18:$AG$42,'Introducció dades consum'!K1757+1,0)</f>
        <v>0</v>
      </c>
      <c r="O1757" s="370" cm="1">
        <f t="array" ref="O1757">+_xlfn.SWITCH(MONTH(C1757),1,1,2,1,3,1,4,2,5,2,6,3,7,3,8,3,9,3,10,2,11,2,12,1,2)</f>
        <v>1</v>
      </c>
      <c r="P1757" s="43"/>
    </row>
    <row r="1758" spans="1:16" ht="18" x14ac:dyDescent="0.35">
      <c r="A1758" s="43"/>
      <c r="C1758" s="393"/>
      <c r="E1758" s="394"/>
      <c r="F1758" s="394">
        <v>0</v>
      </c>
      <c r="G1758" s="394"/>
      <c r="H1758" s="8" t="s">
        <v>235</v>
      </c>
      <c r="I1758" s="368">
        <f t="shared" si="82"/>
        <v>0</v>
      </c>
      <c r="J1758" s="365">
        <f t="shared" si="81"/>
        <v>0</v>
      </c>
      <c r="K1758" s="369">
        <f t="shared" si="83"/>
        <v>6</v>
      </c>
      <c r="L1758" s="369">
        <f>+IF((C1758&gt;='Resultats - informe'!$E$16)*(C1758&lt;='Resultats - informe'!$G$16),1,0)</f>
        <v>1</v>
      </c>
      <c r="M1758" s="369" cm="1">
        <f t="array" ref="M1758">+_xlfn.IFS((C1758&gt;='Resultats - informe'!$D$26)*(C1758&lt;='Resultats - informe'!$E$26),0,(C1758&gt;='Resultats - informe'!$D$27)*(C1758&lt;='Resultats - informe'!$E$27),0,(C1758&gt;='Resultats - informe'!$D$28)*(C1758&lt;='Resultats - informe'!$E$28),0,(C1758&gt;='Resultats - informe'!$D$29)*(C1758&lt;='Resultats - informe'!$E$29),0,1,1)</f>
        <v>0</v>
      </c>
      <c r="N1758" s="366">
        <f>+VLOOKUP(D1758,'Resultats - informe'!$Y$18:$AG$42,'Introducció dades consum'!K1758+1,0)</f>
        <v>0</v>
      </c>
      <c r="O1758" s="370" cm="1">
        <f t="array" ref="O1758">+_xlfn.SWITCH(MONTH(C1758),1,1,2,1,3,1,4,2,5,2,6,3,7,3,8,3,9,3,10,2,11,2,12,1,2)</f>
        <v>1</v>
      </c>
      <c r="P1758" s="43"/>
    </row>
    <row r="1759" spans="1:16" ht="18" x14ac:dyDescent="0.35">
      <c r="A1759" s="43"/>
      <c r="C1759" s="393"/>
      <c r="E1759" s="394"/>
      <c r="F1759" s="394">
        <v>0</v>
      </c>
      <c r="G1759" s="394"/>
      <c r="H1759" s="8" t="s">
        <v>235</v>
      </c>
      <c r="I1759" s="368">
        <f t="shared" si="82"/>
        <v>0</v>
      </c>
      <c r="J1759" s="365">
        <f t="shared" si="81"/>
        <v>0</v>
      </c>
      <c r="K1759" s="369">
        <f t="shared" si="83"/>
        <v>6</v>
      </c>
      <c r="L1759" s="369">
        <f>+IF((C1759&gt;='Resultats - informe'!$E$16)*(C1759&lt;='Resultats - informe'!$G$16),1,0)</f>
        <v>1</v>
      </c>
      <c r="M1759" s="369" cm="1">
        <f t="array" ref="M1759">+_xlfn.IFS((C1759&gt;='Resultats - informe'!$D$26)*(C1759&lt;='Resultats - informe'!$E$26),0,(C1759&gt;='Resultats - informe'!$D$27)*(C1759&lt;='Resultats - informe'!$E$27),0,(C1759&gt;='Resultats - informe'!$D$28)*(C1759&lt;='Resultats - informe'!$E$28),0,(C1759&gt;='Resultats - informe'!$D$29)*(C1759&lt;='Resultats - informe'!$E$29),0,1,1)</f>
        <v>0</v>
      </c>
      <c r="N1759" s="366">
        <f>+VLOOKUP(D1759,'Resultats - informe'!$Y$18:$AG$42,'Introducció dades consum'!K1759+1,0)</f>
        <v>0</v>
      </c>
      <c r="O1759" s="370" cm="1">
        <f t="array" ref="O1759">+_xlfn.SWITCH(MONTH(C1759),1,1,2,1,3,1,4,2,5,2,6,3,7,3,8,3,9,3,10,2,11,2,12,1,2)</f>
        <v>1</v>
      </c>
      <c r="P1759" s="43"/>
    </row>
    <row r="1760" spans="1:16" ht="18" x14ac:dyDescent="0.35">
      <c r="A1760" s="43"/>
      <c r="C1760" s="393"/>
      <c r="E1760" s="394"/>
      <c r="F1760" s="394">
        <v>0</v>
      </c>
      <c r="G1760" s="394"/>
      <c r="H1760" s="8" t="s">
        <v>235</v>
      </c>
      <c r="I1760" s="368">
        <f t="shared" si="82"/>
        <v>0</v>
      </c>
      <c r="J1760" s="365">
        <f t="shared" si="81"/>
        <v>0</v>
      </c>
      <c r="K1760" s="369">
        <f t="shared" si="83"/>
        <v>6</v>
      </c>
      <c r="L1760" s="369">
        <f>+IF((C1760&gt;='Resultats - informe'!$E$16)*(C1760&lt;='Resultats - informe'!$G$16),1,0)</f>
        <v>1</v>
      </c>
      <c r="M1760" s="369" cm="1">
        <f t="array" ref="M1760">+_xlfn.IFS((C1760&gt;='Resultats - informe'!$D$26)*(C1760&lt;='Resultats - informe'!$E$26),0,(C1760&gt;='Resultats - informe'!$D$27)*(C1760&lt;='Resultats - informe'!$E$27),0,(C1760&gt;='Resultats - informe'!$D$28)*(C1760&lt;='Resultats - informe'!$E$28),0,(C1760&gt;='Resultats - informe'!$D$29)*(C1760&lt;='Resultats - informe'!$E$29),0,1,1)</f>
        <v>0</v>
      </c>
      <c r="N1760" s="366">
        <f>+VLOOKUP(D1760,'Resultats - informe'!$Y$18:$AG$42,'Introducció dades consum'!K1760+1,0)</f>
        <v>0</v>
      </c>
      <c r="O1760" s="370" cm="1">
        <f t="array" ref="O1760">+_xlfn.SWITCH(MONTH(C1760),1,1,2,1,3,1,4,2,5,2,6,3,7,3,8,3,9,3,10,2,11,2,12,1,2)</f>
        <v>1</v>
      </c>
      <c r="P1760" s="43"/>
    </row>
    <row r="1761" spans="1:16" ht="18" x14ac:dyDescent="0.35">
      <c r="A1761" s="43"/>
      <c r="C1761" s="393"/>
      <c r="E1761" s="394"/>
      <c r="F1761" s="394">
        <v>0</v>
      </c>
      <c r="G1761" s="394"/>
      <c r="H1761" s="8" t="s">
        <v>235</v>
      </c>
      <c r="I1761" s="368">
        <f t="shared" si="82"/>
        <v>0</v>
      </c>
      <c r="J1761" s="365">
        <f t="shared" si="81"/>
        <v>0</v>
      </c>
      <c r="K1761" s="369">
        <f t="shared" si="83"/>
        <v>6</v>
      </c>
      <c r="L1761" s="369">
        <f>+IF((C1761&gt;='Resultats - informe'!$E$16)*(C1761&lt;='Resultats - informe'!$G$16),1,0)</f>
        <v>1</v>
      </c>
      <c r="M1761" s="369" cm="1">
        <f t="array" ref="M1761">+_xlfn.IFS((C1761&gt;='Resultats - informe'!$D$26)*(C1761&lt;='Resultats - informe'!$E$26),0,(C1761&gt;='Resultats - informe'!$D$27)*(C1761&lt;='Resultats - informe'!$E$27),0,(C1761&gt;='Resultats - informe'!$D$28)*(C1761&lt;='Resultats - informe'!$E$28),0,(C1761&gt;='Resultats - informe'!$D$29)*(C1761&lt;='Resultats - informe'!$E$29),0,1,1)</f>
        <v>0</v>
      </c>
      <c r="N1761" s="366">
        <f>+VLOOKUP(D1761,'Resultats - informe'!$Y$18:$AG$42,'Introducció dades consum'!K1761+1,0)</f>
        <v>0</v>
      </c>
      <c r="O1761" s="370" cm="1">
        <f t="array" ref="O1761">+_xlfn.SWITCH(MONTH(C1761),1,1,2,1,3,1,4,2,5,2,6,3,7,3,8,3,9,3,10,2,11,2,12,1,2)</f>
        <v>1</v>
      </c>
      <c r="P1761" s="43"/>
    </row>
    <row r="1762" spans="1:16" ht="18" x14ac:dyDescent="0.35">
      <c r="A1762" s="43"/>
      <c r="C1762" s="393"/>
      <c r="E1762" s="394"/>
      <c r="F1762" s="394">
        <v>0</v>
      </c>
      <c r="G1762" s="394"/>
      <c r="H1762" s="8" t="s">
        <v>235</v>
      </c>
      <c r="I1762" s="368">
        <f t="shared" si="82"/>
        <v>0</v>
      </c>
      <c r="J1762" s="365">
        <f t="shared" si="81"/>
        <v>0</v>
      </c>
      <c r="K1762" s="369">
        <f t="shared" si="83"/>
        <v>6</v>
      </c>
      <c r="L1762" s="369">
        <f>+IF((C1762&gt;='Resultats - informe'!$E$16)*(C1762&lt;='Resultats - informe'!$G$16),1,0)</f>
        <v>1</v>
      </c>
      <c r="M1762" s="369" cm="1">
        <f t="array" ref="M1762">+_xlfn.IFS((C1762&gt;='Resultats - informe'!$D$26)*(C1762&lt;='Resultats - informe'!$E$26),0,(C1762&gt;='Resultats - informe'!$D$27)*(C1762&lt;='Resultats - informe'!$E$27),0,(C1762&gt;='Resultats - informe'!$D$28)*(C1762&lt;='Resultats - informe'!$E$28),0,(C1762&gt;='Resultats - informe'!$D$29)*(C1762&lt;='Resultats - informe'!$E$29),0,1,1)</f>
        <v>0</v>
      </c>
      <c r="N1762" s="366">
        <f>+VLOOKUP(D1762,'Resultats - informe'!$Y$18:$AG$42,'Introducció dades consum'!K1762+1,0)</f>
        <v>0</v>
      </c>
      <c r="O1762" s="370" cm="1">
        <f t="array" ref="O1762">+_xlfn.SWITCH(MONTH(C1762),1,1,2,1,3,1,4,2,5,2,6,3,7,3,8,3,9,3,10,2,11,2,12,1,2)</f>
        <v>1</v>
      </c>
      <c r="P1762" s="43"/>
    </row>
    <row r="1763" spans="1:16" ht="18" x14ac:dyDescent="0.35">
      <c r="A1763" s="43"/>
      <c r="C1763" s="393"/>
      <c r="E1763" s="394"/>
      <c r="F1763" s="394">
        <v>0</v>
      </c>
      <c r="G1763" s="394"/>
      <c r="H1763" s="8" t="s">
        <v>235</v>
      </c>
      <c r="I1763" s="368">
        <f t="shared" si="82"/>
        <v>0</v>
      </c>
      <c r="J1763" s="365">
        <f t="shared" si="81"/>
        <v>0</v>
      </c>
      <c r="K1763" s="369">
        <f t="shared" si="83"/>
        <v>6</v>
      </c>
      <c r="L1763" s="369">
        <f>+IF((C1763&gt;='Resultats - informe'!$E$16)*(C1763&lt;='Resultats - informe'!$G$16),1,0)</f>
        <v>1</v>
      </c>
      <c r="M1763" s="369" cm="1">
        <f t="array" ref="M1763">+_xlfn.IFS((C1763&gt;='Resultats - informe'!$D$26)*(C1763&lt;='Resultats - informe'!$E$26),0,(C1763&gt;='Resultats - informe'!$D$27)*(C1763&lt;='Resultats - informe'!$E$27),0,(C1763&gt;='Resultats - informe'!$D$28)*(C1763&lt;='Resultats - informe'!$E$28),0,(C1763&gt;='Resultats - informe'!$D$29)*(C1763&lt;='Resultats - informe'!$E$29),0,1,1)</f>
        <v>0</v>
      </c>
      <c r="N1763" s="366">
        <f>+VLOOKUP(D1763,'Resultats - informe'!$Y$18:$AG$42,'Introducció dades consum'!K1763+1,0)</f>
        <v>0</v>
      </c>
      <c r="O1763" s="370" cm="1">
        <f t="array" ref="O1763">+_xlfn.SWITCH(MONTH(C1763),1,1,2,1,3,1,4,2,5,2,6,3,7,3,8,3,9,3,10,2,11,2,12,1,2)</f>
        <v>1</v>
      </c>
      <c r="P1763" s="43"/>
    </row>
    <row r="1764" spans="1:16" ht="18" x14ac:dyDescent="0.35">
      <c r="A1764" s="43"/>
      <c r="C1764" s="393"/>
      <c r="E1764" s="394"/>
      <c r="F1764" s="394">
        <v>0</v>
      </c>
      <c r="G1764" s="394"/>
      <c r="H1764" s="8" t="s">
        <v>61</v>
      </c>
      <c r="I1764" s="368">
        <f t="shared" si="82"/>
        <v>0</v>
      </c>
      <c r="J1764" s="365">
        <f t="shared" si="81"/>
        <v>0</v>
      </c>
      <c r="K1764" s="369">
        <f t="shared" si="83"/>
        <v>6</v>
      </c>
      <c r="L1764" s="369">
        <f>+IF((C1764&gt;='Resultats - informe'!$E$16)*(C1764&lt;='Resultats - informe'!$G$16),1,0)</f>
        <v>1</v>
      </c>
      <c r="M1764" s="369" cm="1">
        <f t="array" ref="M1764">+_xlfn.IFS((C1764&gt;='Resultats - informe'!$D$26)*(C1764&lt;='Resultats - informe'!$E$26),0,(C1764&gt;='Resultats - informe'!$D$27)*(C1764&lt;='Resultats - informe'!$E$27),0,(C1764&gt;='Resultats - informe'!$D$28)*(C1764&lt;='Resultats - informe'!$E$28),0,(C1764&gt;='Resultats - informe'!$D$29)*(C1764&lt;='Resultats - informe'!$E$29),0,1,1)</f>
        <v>0</v>
      </c>
      <c r="N1764" s="366">
        <f>+VLOOKUP(D1764,'Resultats - informe'!$Y$18:$AG$42,'Introducció dades consum'!K1764+1,0)</f>
        <v>0</v>
      </c>
      <c r="O1764" s="370" cm="1">
        <f t="array" ref="O1764">+_xlfn.SWITCH(MONTH(C1764),1,1,2,1,3,1,4,2,5,2,6,3,7,3,8,3,9,3,10,2,11,2,12,1,2)</f>
        <v>1</v>
      </c>
      <c r="P1764" s="43"/>
    </row>
    <row r="1765" spans="1:16" ht="18" x14ac:dyDescent="0.35">
      <c r="A1765" s="43"/>
      <c r="C1765" s="393"/>
      <c r="E1765" s="394"/>
      <c r="F1765" s="394">
        <v>0</v>
      </c>
      <c r="G1765" s="394"/>
      <c r="H1765" s="8" t="s">
        <v>61</v>
      </c>
      <c r="I1765" s="368">
        <f t="shared" si="82"/>
        <v>0</v>
      </c>
      <c r="J1765" s="365">
        <f t="shared" si="81"/>
        <v>0</v>
      </c>
      <c r="K1765" s="369">
        <f t="shared" si="83"/>
        <v>6</v>
      </c>
      <c r="L1765" s="369">
        <f>+IF((C1765&gt;='Resultats - informe'!$E$16)*(C1765&lt;='Resultats - informe'!$G$16),1,0)</f>
        <v>1</v>
      </c>
      <c r="M1765" s="369" cm="1">
        <f t="array" ref="M1765">+_xlfn.IFS((C1765&gt;='Resultats - informe'!$D$26)*(C1765&lt;='Resultats - informe'!$E$26),0,(C1765&gt;='Resultats - informe'!$D$27)*(C1765&lt;='Resultats - informe'!$E$27),0,(C1765&gt;='Resultats - informe'!$D$28)*(C1765&lt;='Resultats - informe'!$E$28),0,(C1765&gt;='Resultats - informe'!$D$29)*(C1765&lt;='Resultats - informe'!$E$29),0,1,1)</f>
        <v>0</v>
      </c>
      <c r="N1765" s="366">
        <f>+VLOOKUP(D1765,'Resultats - informe'!$Y$18:$AG$42,'Introducció dades consum'!K1765+1,0)</f>
        <v>0</v>
      </c>
      <c r="O1765" s="370" cm="1">
        <f t="array" ref="O1765">+_xlfn.SWITCH(MONTH(C1765),1,1,2,1,3,1,4,2,5,2,6,3,7,3,8,3,9,3,10,2,11,2,12,1,2)</f>
        <v>1</v>
      </c>
      <c r="P1765" s="43"/>
    </row>
    <row r="1766" spans="1:16" ht="18" x14ac:dyDescent="0.35">
      <c r="A1766" s="43"/>
      <c r="C1766" s="393"/>
      <c r="E1766" s="394"/>
      <c r="F1766" s="394">
        <v>2.9609999999999999</v>
      </c>
      <c r="G1766" s="394"/>
      <c r="H1766" s="8" t="s">
        <v>61</v>
      </c>
      <c r="I1766" s="368">
        <f t="shared" si="82"/>
        <v>0</v>
      </c>
      <c r="J1766" s="365">
        <f t="shared" si="81"/>
        <v>0</v>
      </c>
      <c r="K1766" s="369">
        <f t="shared" si="83"/>
        <v>6</v>
      </c>
      <c r="L1766" s="369">
        <f>+IF((C1766&gt;='Resultats - informe'!$E$16)*(C1766&lt;='Resultats - informe'!$G$16),1,0)</f>
        <v>1</v>
      </c>
      <c r="M1766" s="369" cm="1">
        <f t="array" ref="M1766">+_xlfn.IFS((C1766&gt;='Resultats - informe'!$D$26)*(C1766&lt;='Resultats - informe'!$E$26),0,(C1766&gt;='Resultats - informe'!$D$27)*(C1766&lt;='Resultats - informe'!$E$27),0,(C1766&gt;='Resultats - informe'!$D$28)*(C1766&lt;='Resultats - informe'!$E$28),0,(C1766&gt;='Resultats - informe'!$D$29)*(C1766&lt;='Resultats - informe'!$E$29),0,1,1)</f>
        <v>0</v>
      </c>
      <c r="N1766" s="366">
        <f>+VLOOKUP(D1766,'Resultats - informe'!$Y$18:$AG$42,'Introducció dades consum'!K1766+1,0)</f>
        <v>0</v>
      </c>
      <c r="O1766" s="370" cm="1">
        <f t="array" ref="O1766">+_xlfn.SWITCH(MONTH(C1766),1,1,2,1,3,1,4,2,5,2,6,3,7,3,8,3,9,3,10,2,11,2,12,1,2)</f>
        <v>1</v>
      </c>
      <c r="P1766" s="43"/>
    </row>
    <row r="1767" spans="1:16" ht="18" x14ac:dyDescent="0.35">
      <c r="A1767" s="43"/>
      <c r="C1767" s="393"/>
      <c r="E1767" s="394"/>
      <c r="F1767" s="394">
        <v>4.3789999999999996</v>
      </c>
      <c r="G1767" s="394"/>
      <c r="H1767" s="8" t="s">
        <v>61</v>
      </c>
      <c r="I1767" s="368">
        <f t="shared" si="82"/>
        <v>0</v>
      </c>
      <c r="J1767" s="365">
        <f t="shared" si="81"/>
        <v>0</v>
      </c>
      <c r="K1767" s="369">
        <f t="shared" si="83"/>
        <v>6</v>
      </c>
      <c r="L1767" s="369">
        <f>+IF((C1767&gt;='Resultats - informe'!$E$16)*(C1767&lt;='Resultats - informe'!$G$16),1,0)</f>
        <v>1</v>
      </c>
      <c r="M1767" s="369" cm="1">
        <f t="array" ref="M1767">+_xlfn.IFS((C1767&gt;='Resultats - informe'!$D$26)*(C1767&lt;='Resultats - informe'!$E$26),0,(C1767&gt;='Resultats - informe'!$D$27)*(C1767&lt;='Resultats - informe'!$E$27),0,(C1767&gt;='Resultats - informe'!$D$28)*(C1767&lt;='Resultats - informe'!$E$28),0,(C1767&gt;='Resultats - informe'!$D$29)*(C1767&lt;='Resultats - informe'!$E$29),0,1,1)</f>
        <v>0</v>
      </c>
      <c r="N1767" s="366">
        <f>+VLOOKUP(D1767,'Resultats - informe'!$Y$18:$AG$42,'Introducció dades consum'!K1767+1,0)</f>
        <v>0</v>
      </c>
      <c r="O1767" s="370" cm="1">
        <f t="array" ref="O1767">+_xlfn.SWITCH(MONTH(C1767),1,1,2,1,3,1,4,2,5,2,6,3,7,3,8,3,9,3,10,2,11,2,12,1,2)</f>
        <v>1</v>
      </c>
      <c r="P1767" s="43"/>
    </row>
    <row r="1768" spans="1:16" ht="18" x14ac:dyDescent="0.35">
      <c r="A1768" s="43"/>
      <c r="C1768" s="393"/>
      <c r="E1768" s="394"/>
      <c r="F1768" s="394">
        <v>6.0570000000000004</v>
      </c>
      <c r="G1768" s="394"/>
      <c r="H1768" s="8" t="s">
        <v>61</v>
      </c>
      <c r="I1768" s="368">
        <f t="shared" si="82"/>
        <v>0</v>
      </c>
      <c r="J1768" s="365">
        <f t="shared" si="81"/>
        <v>0</v>
      </c>
      <c r="K1768" s="369">
        <f t="shared" si="83"/>
        <v>6</v>
      </c>
      <c r="L1768" s="369">
        <f>+IF((C1768&gt;='Resultats - informe'!$E$16)*(C1768&lt;='Resultats - informe'!$G$16),1,0)</f>
        <v>1</v>
      </c>
      <c r="M1768" s="369" cm="1">
        <f t="array" ref="M1768">+_xlfn.IFS((C1768&gt;='Resultats - informe'!$D$26)*(C1768&lt;='Resultats - informe'!$E$26),0,(C1768&gt;='Resultats - informe'!$D$27)*(C1768&lt;='Resultats - informe'!$E$27),0,(C1768&gt;='Resultats - informe'!$D$28)*(C1768&lt;='Resultats - informe'!$E$28),0,(C1768&gt;='Resultats - informe'!$D$29)*(C1768&lt;='Resultats - informe'!$E$29),0,1,1)</f>
        <v>0</v>
      </c>
      <c r="N1768" s="366">
        <f>+VLOOKUP(D1768,'Resultats - informe'!$Y$18:$AG$42,'Introducció dades consum'!K1768+1,0)</f>
        <v>0</v>
      </c>
      <c r="O1768" s="370" cm="1">
        <f t="array" ref="O1768">+_xlfn.SWITCH(MONTH(C1768),1,1,2,1,3,1,4,2,5,2,6,3,7,3,8,3,9,3,10,2,11,2,12,1,2)</f>
        <v>1</v>
      </c>
      <c r="P1768" s="43"/>
    </row>
    <row r="1769" spans="1:16" ht="18" x14ac:dyDescent="0.35">
      <c r="A1769" s="43"/>
      <c r="C1769" s="393"/>
      <c r="E1769" s="394"/>
      <c r="F1769" s="394">
        <v>5.22</v>
      </c>
      <c r="G1769" s="394"/>
      <c r="H1769" s="8" t="s">
        <v>61</v>
      </c>
      <c r="I1769" s="368">
        <f t="shared" si="82"/>
        <v>0</v>
      </c>
      <c r="J1769" s="365">
        <f t="shared" si="81"/>
        <v>0</v>
      </c>
      <c r="K1769" s="369">
        <f t="shared" si="83"/>
        <v>6</v>
      </c>
      <c r="L1769" s="369">
        <f>+IF((C1769&gt;='Resultats - informe'!$E$16)*(C1769&lt;='Resultats - informe'!$G$16),1,0)</f>
        <v>1</v>
      </c>
      <c r="M1769" s="369" cm="1">
        <f t="array" ref="M1769">+_xlfn.IFS((C1769&gt;='Resultats - informe'!$D$26)*(C1769&lt;='Resultats - informe'!$E$26),0,(C1769&gt;='Resultats - informe'!$D$27)*(C1769&lt;='Resultats - informe'!$E$27),0,(C1769&gt;='Resultats - informe'!$D$28)*(C1769&lt;='Resultats - informe'!$E$28),0,(C1769&gt;='Resultats - informe'!$D$29)*(C1769&lt;='Resultats - informe'!$E$29),0,1,1)</f>
        <v>0</v>
      </c>
      <c r="N1769" s="366">
        <f>+VLOOKUP(D1769,'Resultats - informe'!$Y$18:$AG$42,'Introducció dades consum'!K1769+1,0)</f>
        <v>0</v>
      </c>
      <c r="O1769" s="370" cm="1">
        <f t="array" ref="O1769">+_xlfn.SWITCH(MONTH(C1769),1,1,2,1,3,1,4,2,5,2,6,3,7,3,8,3,9,3,10,2,11,2,12,1,2)</f>
        <v>1</v>
      </c>
      <c r="P1769" s="43"/>
    </row>
    <row r="1770" spans="1:16" ht="18" x14ac:dyDescent="0.35">
      <c r="A1770" s="43"/>
      <c r="C1770" s="393"/>
      <c r="E1770" s="394"/>
      <c r="F1770" s="394">
        <v>4.7039999999999997</v>
      </c>
      <c r="G1770" s="394"/>
      <c r="H1770" s="8" t="s">
        <v>61</v>
      </c>
      <c r="I1770" s="368">
        <f t="shared" si="82"/>
        <v>0</v>
      </c>
      <c r="J1770" s="365">
        <f t="shared" si="81"/>
        <v>0</v>
      </c>
      <c r="K1770" s="369">
        <f t="shared" si="83"/>
        <v>6</v>
      </c>
      <c r="L1770" s="369">
        <f>+IF((C1770&gt;='Resultats - informe'!$E$16)*(C1770&lt;='Resultats - informe'!$G$16),1,0)</f>
        <v>1</v>
      </c>
      <c r="M1770" s="369" cm="1">
        <f t="array" ref="M1770">+_xlfn.IFS((C1770&gt;='Resultats - informe'!$D$26)*(C1770&lt;='Resultats - informe'!$E$26),0,(C1770&gt;='Resultats - informe'!$D$27)*(C1770&lt;='Resultats - informe'!$E$27),0,(C1770&gt;='Resultats - informe'!$D$28)*(C1770&lt;='Resultats - informe'!$E$28),0,(C1770&gt;='Resultats - informe'!$D$29)*(C1770&lt;='Resultats - informe'!$E$29),0,1,1)</f>
        <v>0</v>
      </c>
      <c r="N1770" s="366">
        <f>+VLOOKUP(D1770,'Resultats - informe'!$Y$18:$AG$42,'Introducció dades consum'!K1770+1,0)</f>
        <v>0</v>
      </c>
      <c r="O1770" s="370" cm="1">
        <f t="array" ref="O1770">+_xlfn.SWITCH(MONTH(C1770),1,1,2,1,3,1,4,2,5,2,6,3,7,3,8,3,9,3,10,2,11,2,12,1,2)</f>
        <v>1</v>
      </c>
      <c r="P1770" s="43"/>
    </row>
    <row r="1771" spans="1:16" ht="18" x14ac:dyDescent="0.35">
      <c r="A1771" s="43"/>
      <c r="C1771" s="393"/>
      <c r="E1771" s="394"/>
      <c r="F1771" s="394">
        <v>1.5169999999999999</v>
      </c>
      <c r="G1771" s="394"/>
      <c r="H1771" s="8" t="s">
        <v>235</v>
      </c>
      <c r="I1771" s="368">
        <f t="shared" si="82"/>
        <v>0</v>
      </c>
      <c r="J1771" s="365">
        <f t="shared" si="81"/>
        <v>0</v>
      </c>
      <c r="K1771" s="369">
        <f t="shared" si="83"/>
        <v>6</v>
      </c>
      <c r="L1771" s="369">
        <f>+IF((C1771&gt;='Resultats - informe'!$E$16)*(C1771&lt;='Resultats - informe'!$G$16),1,0)</f>
        <v>1</v>
      </c>
      <c r="M1771" s="369" cm="1">
        <f t="array" ref="M1771">+_xlfn.IFS((C1771&gt;='Resultats - informe'!$D$26)*(C1771&lt;='Resultats - informe'!$E$26),0,(C1771&gt;='Resultats - informe'!$D$27)*(C1771&lt;='Resultats - informe'!$E$27),0,(C1771&gt;='Resultats - informe'!$D$28)*(C1771&lt;='Resultats - informe'!$E$28),0,(C1771&gt;='Resultats - informe'!$D$29)*(C1771&lt;='Resultats - informe'!$E$29),0,1,1)</f>
        <v>0</v>
      </c>
      <c r="N1771" s="366">
        <f>+VLOOKUP(D1771,'Resultats - informe'!$Y$18:$AG$42,'Introducció dades consum'!K1771+1,0)</f>
        <v>0</v>
      </c>
      <c r="O1771" s="370" cm="1">
        <f t="array" ref="O1771">+_xlfn.SWITCH(MONTH(C1771),1,1,2,1,3,1,4,2,5,2,6,3,7,3,8,3,9,3,10,2,11,2,12,1,2)</f>
        <v>1</v>
      </c>
      <c r="P1771" s="43"/>
    </row>
    <row r="1772" spans="1:16" ht="18" x14ac:dyDescent="0.35">
      <c r="A1772" s="43"/>
      <c r="C1772" s="393"/>
      <c r="E1772" s="394"/>
      <c r="F1772" s="394">
        <v>0.745</v>
      </c>
      <c r="G1772" s="394"/>
      <c r="H1772" s="8" t="s">
        <v>235</v>
      </c>
      <c r="I1772" s="368">
        <f t="shared" si="82"/>
        <v>0</v>
      </c>
      <c r="J1772" s="365">
        <f t="shared" si="81"/>
        <v>0</v>
      </c>
      <c r="K1772" s="369">
        <f t="shared" si="83"/>
        <v>6</v>
      </c>
      <c r="L1772" s="369">
        <f>+IF((C1772&gt;='Resultats - informe'!$E$16)*(C1772&lt;='Resultats - informe'!$G$16),1,0)</f>
        <v>1</v>
      </c>
      <c r="M1772" s="369" cm="1">
        <f t="array" ref="M1772">+_xlfn.IFS((C1772&gt;='Resultats - informe'!$D$26)*(C1772&lt;='Resultats - informe'!$E$26),0,(C1772&gt;='Resultats - informe'!$D$27)*(C1772&lt;='Resultats - informe'!$E$27),0,(C1772&gt;='Resultats - informe'!$D$28)*(C1772&lt;='Resultats - informe'!$E$28),0,(C1772&gt;='Resultats - informe'!$D$29)*(C1772&lt;='Resultats - informe'!$E$29),0,1,1)</f>
        <v>0</v>
      </c>
      <c r="N1772" s="366">
        <f>+VLOOKUP(D1772,'Resultats - informe'!$Y$18:$AG$42,'Introducció dades consum'!K1772+1,0)</f>
        <v>0</v>
      </c>
      <c r="O1772" s="370" cm="1">
        <f t="array" ref="O1772">+_xlfn.SWITCH(MONTH(C1772),1,1,2,1,3,1,4,2,5,2,6,3,7,3,8,3,9,3,10,2,11,2,12,1,2)</f>
        <v>1</v>
      </c>
      <c r="P1772" s="43"/>
    </row>
    <row r="1773" spans="1:16" ht="18" x14ac:dyDescent="0.35">
      <c r="A1773" s="43"/>
      <c r="C1773" s="393"/>
      <c r="E1773" s="394"/>
      <c r="F1773" s="394">
        <v>5.3999999999999999E-2</v>
      </c>
      <c r="G1773" s="394"/>
      <c r="H1773" s="8" t="s">
        <v>235</v>
      </c>
      <c r="I1773" s="368">
        <f t="shared" si="82"/>
        <v>0</v>
      </c>
      <c r="J1773" s="365">
        <f t="shared" si="81"/>
        <v>0</v>
      </c>
      <c r="K1773" s="369">
        <f t="shared" si="83"/>
        <v>6</v>
      </c>
      <c r="L1773" s="369">
        <f>+IF((C1773&gt;='Resultats - informe'!$E$16)*(C1773&lt;='Resultats - informe'!$G$16),1,0)</f>
        <v>1</v>
      </c>
      <c r="M1773" s="369" cm="1">
        <f t="array" ref="M1773">+_xlfn.IFS((C1773&gt;='Resultats - informe'!$D$26)*(C1773&lt;='Resultats - informe'!$E$26),0,(C1773&gt;='Resultats - informe'!$D$27)*(C1773&lt;='Resultats - informe'!$E$27),0,(C1773&gt;='Resultats - informe'!$D$28)*(C1773&lt;='Resultats - informe'!$E$28),0,(C1773&gt;='Resultats - informe'!$D$29)*(C1773&lt;='Resultats - informe'!$E$29),0,1,1)</f>
        <v>0</v>
      </c>
      <c r="N1773" s="366">
        <f>+VLOOKUP(D1773,'Resultats - informe'!$Y$18:$AG$42,'Introducció dades consum'!K1773+1,0)</f>
        <v>0</v>
      </c>
      <c r="O1773" s="370" cm="1">
        <f t="array" ref="O1773">+_xlfn.SWITCH(MONTH(C1773),1,1,2,1,3,1,4,2,5,2,6,3,7,3,8,3,9,3,10,2,11,2,12,1,2)</f>
        <v>1</v>
      </c>
      <c r="P1773" s="43"/>
    </row>
    <row r="1774" spans="1:16" ht="18" x14ac:dyDescent="0.35">
      <c r="A1774" s="43"/>
      <c r="C1774" s="393"/>
      <c r="E1774" s="394"/>
      <c r="F1774" s="394">
        <v>1.9419999999999999</v>
      </c>
      <c r="G1774" s="394"/>
      <c r="H1774" s="8" t="s">
        <v>61</v>
      </c>
      <c r="I1774" s="368">
        <f t="shared" si="82"/>
        <v>0</v>
      </c>
      <c r="J1774" s="365">
        <f t="shared" si="81"/>
        <v>0</v>
      </c>
      <c r="K1774" s="369">
        <f t="shared" si="83"/>
        <v>6</v>
      </c>
      <c r="L1774" s="369">
        <f>+IF((C1774&gt;='Resultats - informe'!$E$16)*(C1774&lt;='Resultats - informe'!$G$16),1,0)</f>
        <v>1</v>
      </c>
      <c r="M1774" s="369" cm="1">
        <f t="array" ref="M1774">+_xlfn.IFS((C1774&gt;='Resultats - informe'!$D$26)*(C1774&lt;='Resultats - informe'!$E$26),0,(C1774&gt;='Resultats - informe'!$D$27)*(C1774&lt;='Resultats - informe'!$E$27),0,(C1774&gt;='Resultats - informe'!$D$28)*(C1774&lt;='Resultats - informe'!$E$28),0,(C1774&gt;='Resultats - informe'!$D$29)*(C1774&lt;='Resultats - informe'!$E$29),0,1,1)</f>
        <v>0</v>
      </c>
      <c r="N1774" s="366">
        <f>+VLOOKUP(D1774,'Resultats - informe'!$Y$18:$AG$42,'Introducció dades consum'!K1774+1,0)</f>
        <v>0</v>
      </c>
      <c r="O1774" s="370" cm="1">
        <f t="array" ref="O1774">+_xlfn.SWITCH(MONTH(C1774),1,1,2,1,3,1,4,2,5,2,6,3,7,3,8,3,9,3,10,2,11,2,12,1,2)</f>
        <v>1</v>
      </c>
      <c r="P1774" s="43"/>
    </row>
    <row r="1775" spans="1:16" ht="18" x14ac:dyDescent="0.35">
      <c r="A1775" s="43"/>
      <c r="C1775" s="393"/>
      <c r="E1775" s="394"/>
      <c r="F1775" s="394">
        <v>5.6000000000000001E-2</v>
      </c>
      <c r="G1775" s="394"/>
      <c r="H1775" s="8" t="s">
        <v>61</v>
      </c>
      <c r="I1775" s="368">
        <f t="shared" si="82"/>
        <v>0</v>
      </c>
      <c r="J1775" s="365">
        <f t="shared" si="81"/>
        <v>0</v>
      </c>
      <c r="K1775" s="369">
        <f t="shared" si="83"/>
        <v>6</v>
      </c>
      <c r="L1775" s="369">
        <f>+IF((C1775&gt;='Resultats - informe'!$E$16)*(C1775&lt;='Resultats - informe'!$G$16),1,0)</f>
        <v>1</v>
      </c>
      <c r="M1775" s="369" cm="1">
        <f t="array" ref="M1775">+_xlfn.IFS((C1775&gt;='Resultats - informe'!$D$26)*(C1775&lt;='Resultats - informe'!$E$26),0,(C1775&gt;='Resultats - informe'!$D$27)*(C1775&lt;='Resultats - informe'!$E$27),0,(C1775&gt;='Resultats - informe'!$D$28)*(C1775&lt;='Resultats - informe'!$E$28),0,(C1775&gt;='Resultats - informe'!$D$29)*(C1775&lt;='Resultats - informe'!$E$29),0,1,1)</f>
        <v>0</v>
      </c>
      <c r="N1775" s="366">
        <f>+VLOOKUP(D1775,'Resultats - informe'!$Y$18:$AG$42,'Introducció dades consum'!K1775+1,0)</f>
        <v>0</v>
      </c>
      <c r="O1775" s="370" cm="1">
        <f t="array" ref="O1775">+_xlfn.SWITCH(MONTH(C1775),1,1,2,1,3,1,4,2,5,2,6,3,7,3,8,3,9,3,10,2,11,2,12,1,2)</f>
        <v>1</v>
      </c>
      <c r="P1775" s="43"/>
    </row>
    <row r="1776" spans="1:16" ht="18" x14ac:dyDescent="0.35">
      <c r="A1776" s="43"/>
      <c r="C1776" s="393"/>
      <c r="E1776" s="394"/>
      <c r="F1776" s="394">
        <v>0</v>
      </c>
      <c r="G1776" s="394"/>
      <c r="H1776" s="8" t="s">
        <v>235</v>
      </c>
      <c r="I1776" s="368">
        <f t="shared" si="82"/>
        <v>0</v>
      </c>
      <c r="J1776" s="365">
        <f t="shared" si="81"/>
        <v>0</v>
      </c>
      <c r="K1776" s="369">
        <f t="shared" si="83"/>
        <v>6</v>
      </c>
      <c r="L1776" s="369">
        <f>+IF((C1776&gt;='Resultats - informe'!$E$16)*(C1776&lt;='Resultats - informe'!$G$16),1,0)</f>
        <v>1</v>
      </c>
      <c r="M1776" s="369" cm="1">
        <f t="array" ref="M1776">+_xlfn.IFS((C1776&gt;='Resultats - informe'!$D$26)*(C1776&lt;='Resultats - informe'!$E$26),0,(C1776&gt;='Resultats - informe'!$D$27)*(C1776&lt;='Resultats - informe'!$E$27),0,(C1776&gt;='Resultats - informe'!$D$28)*(C1776&lt;='Resultats - informe'!$E$28),0,(C1776&gt;='Resultats - informe'!$D$29)*(C1776&lt;='Resultats - informe'!$E$29),0,1,1)</f>
        <v>0</v>
      </c>
      <c r="N1776" s="366">
        <f>+VLOOKUP(D1776,'Resultats - informe'!$Y$18:$AG$42,'Introducció dades consum'!K1776+1,0)</f>
        <v>0</v>
      </c>
      <c r="O1776" s="370" cm="1">
        <f t="array" ref="O1776">+_xlfn.SWITCH(MONTH(C1776),1,1,2,1,3,1,4,2,5,2,6,3,7,3,8,3,9,3,10,2,11,2,12,1,2)</f>
        <v>1</v>
      </c>
      <c r="P1776" s="43"/>
    </row>
    <row r="1777" spans="1:16" ht="18" x14ac:dyDescent="0.35">
      <c r="A1777" s="43"/>
      <c r="C1777" s="393"/>
      <c r="E1777" s="394"/>
      <c r="F1777" s="394">
        <v>0</v>
      </c>
      <c r="G1777" s="394"/>
      <c r="H1777" s="8" t="s">
        <v>235</v>
      </c>
      <c r="I1777" s="368">
        <f t="shared" si="82"/>
        <v>0</v>
      </c>
      <c r="J1777" s="365">
        <f t="shared" si="81"/>
        <v>0</v>
      </c>
      <c r="K1777" s="369">
        <f t="shared" si="83"/>
        <v>6</v>
      </c>
      <c r="L1777" s="369">
        <f>+IF((C1777&gt;='Resultats - informe'!$E$16)*(C1777&lt;='Resultats - informe'!$G$16),1,0)</f>
        <v>1</v>
      </c>
      <c r="M1777" s="369" cm="1">
        <f t="array" ref="M1777">+_xlfn.IFS((C1777&gt;='Resultats - informe'!$D$26)*(C1777&lt;='Resultats - informe'!$E$26),0,(C1777&gt;='Resultats - informe'!$D$27)*(C1777&lt;='Resultats - informe'!$E$27),0,(C1777&gt;='Resultats - informe'!$D$28)*(C1777&lt;='Resultats - informe'!$E$28),0,(C1777&gt;='Resultats - informe'!$D$29)*(C1777&lt;='Resultats - informe'!$E$29),0,1,1)</f>
        <v>0</v>
      </c>
      <c r="N1777" s="366">
        <f>+VLOOKUP(D1777,'Resultats - informe'!$Y$18:$AG$42,'Introducció dades consum'!K1777+1,0)</f>
        <v>0</v>
      </c>
      <c r="O1777" s="370" cm="1">
        <f t="array" ref="O1777">+_xlfn.SWITCH(MONTH(C1777),1,1,2,1,3,1,4,2,5,2,6,3,7,3,8,3,9,3,10,2,11,2,12,1,2)</f>
        <v>1</v>
      </c>
      <c r="P1777" s="43"/>
    </row>
    <row r="1778" spans="1:16" ht="18" x14ac:dyDescent="0.35">
      <c r="A1778" s="43"/>
      <c r="C1778" s="393"/>
      <c r="E1778" s="394"/>
      <c r="F1778" s="394">
        <v>0</v>
      </c>
      <c r="G1778" s="394"/>
      <c r="H1778" s="8" t="s">
        <v>235</v>
      </c>
      <c r="I1778" s="368">
        <f t="shared" si="82"/>
        <v>0</v>
      </c>
      <c r="J1778" s="365">
        <f t="shared" si="81"/>
        <v>0</v>
      </c>
      <c r="K1778" s="369">
        <f t="shared" si="83"/>
        <v>6</v>
      </c>
      <c r="L1778" s="369">
        <f>+IF((C1778&gt;='Resultats - informe'!$E$16)*(C1778&lt;='Resultats - informe'!$G$16),1,0)</f>
        <v>1</v>
      </c>
      <c r="M1778" s="369" cm="1">
        <f t="array" ref="M1778">+_xlfn.IFS((C1778&gt;='Resultats - informe'!$D$26)*(C1778&lt;='Resultats - informe'!$E$26),0,(C1778&gt;='Resultats - informe'!$D$27)*(C1778&lt;='Resultats - informe'!$E$27),0,(C1778&gt;='Resultats - informe'!$D$28)*(C1778&lt;='Resultats - informe'!$E$28),0,(C1778&gt;='Resultats - informe'!$D$29)*(C1778&lt;='Resultats - informe'!$E$29),0,1,1)</f>
        <v>0</v>
      </c>
      <c r="N1778" s="366">
        <f>+VLOOKUP(D1778,'Resultats - informe'!$Y$18:$AG$42,'Introducció dades consum'!K1778+1,0)</f>
        <v>0</v>
      </c>
      <c r="O1778" s="370" cm="1">
        <f t="array" ref="O1778">+_xlfn.SWITCH(MONTH(C1778),1,1,2,1,3,1,4,2,5,2,6,3,7,3,8,3,9,3,10,2,11,2,12,1,2)</f>
        <v>1</v>
      </c>
      <c r="P1778" s="43"/>
    </row>
    <row r="1779" spans="1:16" ht="18" x14ac:dyDescent="0.35">
      <c r="A1779" s="43"/>
      <c r="C1779" s="393"/>
      <c r="E1779" s="394"/>
      <c r="F1779" s="394">
        <v>0</v>
      </c>
      <c r="G1779" s="394"/>
      <c r="H1779" s="8" t="s">
        <v>235</v>
      </c>
      <c r="I1779" s="368">
        <f t="shared" si="82"/>
        <v>0</v>
      </c>
      <c r="J1779" s="365">
        <f t="shared" si="81"/>
        <v>0</v>
      </c>
      <c r="K1779" s="369">
        <f t="shared" si="83"/>
        <v>6</v>
      </c>
      <c r="L1779" s="369">
        <f>+IF((C1779&gt;='Resultats - informe'!$E$16)*(C1779&lt;='Resultats - informe'!$G$16),1,0)</f>
        <v>1</v>
      </c>
      <c r="M1779" s="369" cm="1">
        <f t="array" ref="M1779">+_xlfn.IFS((C1779&gt;='Resultats - informe'!$D$26)*(C1779&lt;='Resultats - informe'!$E$26),0,(C1779&gt;='Resultats - informe'!$D$27)*(C1779&lt;='Resultats - informe'!$E$27),0,(C1779&gt;='Resultats - informe'!$D$28)*(C1779&lt;='Resultats - informe'!$E$28),0,(C1779&gt;='Resultats - informe'!$D$29)*(C1779&lt;='Resultats - informe'!$E$29),0,1,1)</f>
        <v>0</v>
      </c>
      <c r="N1779" s="366">
        <f>+VLOOKUP(D1779,'Resultats - informe'!$Y$18:$AG$42,'Introducció dades consum'!K1779+1,0)</f>
        <v>0</v>
      </c>
      <c r="O1779" s="370" cm="1">
        <f t="array" ref="O1779">+_xlfn.SWITCH(MONTH(C1779),1,1,2,1,3,1,4,2,5,2,6,3,7,3,8,3,9,3,10,2,11,2,12,1,2)</f>
        <v>1</v>
      </c>
      <c r="P1779" s="43"/>
    </row>
    <row r="1780" spans="1:16" ht="18" x14ac:dyDescent="0.35">
      <c r="A1780" s="43"/>
      <c r="C1780" s="393"/>
      <c r="E1780" s="394"/>
      <c r="F1780" s="394">
        <v>0</v>
      </c>
      <c r="G1780" s="394"/>
      <c r="H1780" s="8" t="s">
        <v>235</v>
      </c>
      <c r="I1780" s="368">
        <f t="shared" si="82"/>
        <v>0</v>
      </c>
      <c r="J1780" s="365">
        <f t="shared" si="81"/>
        <v>0</v>
      </c>
      <c r="K1780" s="369">
        <f t="shared" si="83"/>
        <v>6</v>
      </c>
      <c r="L1780" s="369">
        <f>+IF((C1780&gt;='Resultats - informe'!$E$16)*(C1780&lt;='Resultats - informe'!$G$16),1,0)</f>
        <v>1</v>
      </c>
      <c r="M1780" s="369" cm="1">
        <f t="array" ref="M1780">+_xlfn.IFS((C1780&gt;='Resultats - informe'!$D$26)*(C1780&lt;='Resultats - informe'!$E$26),0,(C1780&gt;='Resultats - informe'!$D$27)*(C1780&lt;='Resultats - informe'!$E$27),0,(C1780&gt;='Resultats - informe'!$D$28)*(C1780&lt;='Resultats - informe'!$E$28),0,(C1780&gt;='Resultats - informe'!$D$29)*(C1780&lt;='Resultats - informe'!$E$29),0,1,1)</f>
        <v>0</v>
      </c>
      <c r="N1780" s="366">
        <f>+VLOOKUP(D1780,'Resultats - informe'!$Y$18:$AG$42,'Introducció dades consum'!K1780+1,0)</f>
        <v>0</v>
      </c>
      <c r="O1780" s="370" cm="1">
        <f t="array" ref="O1780">+_xlfn.SWITCH(MONTH(C1780),1,1,2,1,3,1,4,2,5,2,6,3,7,3,8,3,9,3,10,2,11,2,12,1,2)</f>
        <v>1</v>
      </c>
      <c r="P1780" s="43"/>
    </row>
    <row r="1781" spans="1:16" ht="18" x14ac:dyDescent="0.35">
      <c r="A1781" s="43"/>
      <c r="C1781" s="393"/>
      <c r="E1781" s="394"/>
      <c r="F1781" s="394">
        <v>0</v>
      </c>
      <c r="G1781" s="394"/>
      <c r="H1781" s="8" t="s">
        <v>235</v>
      </c>
      <c r="I1781" s="368">
        <f t="shared" si="82"/>
        <v>0</v>
      </c>
      <c r="J1781" s="365">
        <f t="shared" si="81"/>
        <v>0</v>
      </c>
      <c r="K1781" s="369">
        <f t="shared" si="83"/>
        <v>6</v>
      </c>
      <c r="L1781" s="369">
        <f>+IF((C1781&gt;='Resultats - informe'!$E$16)*(C1781&lt;='Resultats - informe'!$G$16),1,0)</f>
        <v>1</v>
      </c>
      <c r="M1781" s="369" cm="1">
        <f t="array" ref="M1781">+_xlfn.IFS((C1781&gt;='Resultats - informe'!$D$26)*(C1781&lt;='Resultats - informe'!$E$26),0,(C1781&gt;='Resultats - informe'!$D$27)*(C1781&lt;='Resultats - informe'!$E$27),0,(C1781&gt;='Resultats - informe'!$D$28)*(C1781&lt;='Resultats - informe'!$E$28),0,(C1781&gt;='Resultats - informe'!$D$29)*(C1781&lt;='Resultats - informe'!$E$29),0,1,1)</f>
        <v>0</v>
      </c>
      <c r="N1781" s="366">
        <f>+VLOOKUP(D1781,'Resultats - informe'!$Y$18:$AG$42,'Introducció dades consum'!K1781+1,0)</f>
        <v>0</v>
      </c>
      <c r="O1781" s="370" cm="1">
        <f t="array" ref="O1781">+_xlfn.SWITCH(MONTH(C1781),1,1,2,1,3,1,4,2,5,2,6,3,7,3,8,3,9,3,10,2,11,2,12,1,2)</f>
        <v>1</v>
      </c>
      <c r="P1781" s="43"/>
    </row>
    <row r="1782" spans="1:16" ht="18" x14ac:dyDescent="0.35">
      <c r="A1782" s="43"/>
      <c r="C1782" s="393"/>
      <c r="E1782" s="394"/>
      <c r="F1782" s="394">
        <v>0</v>
      </c>
      <c r="G1782" s="394"/>
      <c r="H1782" s="8" t="s">
        <v>235</v>
      </c>
      <c r="I1782" s="368">
        <f t="shared" si="82"/>
        <v>0</v>
      </c>
      <c r="J1782" s="365">
        <f t="shared" si="81"/>
        <v>0</v>
      </c>
      <c r="K1782" s="369">
        <f t="shared" si="83"/>
        <v>6</v>
      </c>
      <c r="L1782" s="369">
        <f>+IF((C1782&gt;='Resultats - informe'!$E$16)*(C1782&lt;='Resultats - informe'!$G$16),1,0)</f>
        <v>1</v>
      </c>
      <c r="M1782" s="369" cm="1">
        <f t="array" ref="M1782">+_xlfn.IFS((C1782&gt;='Resultats - informe'!$D$26)*(C1782&lt;='Resultats - informe'!$E$26),0,(C1782&gt;='Resultats - informe'!$D$27)*(C1782&lt;='Resultats - informe'!$E$27),0,(C1782&gt;='Resultats - informe'!$D$28)*(C1782&lt;='Resultats - informe'!$E$28),0,(C1782&gt;='Resultats - informe'!$D$29)*(C1782&lt;='Resultats - informe'!$E$29),0,1,1)</f>
        <v>0</v>
      </c>
      <c r="N1782" s="366">
        <f>+VLOOKUP(D1782,'Resultats - informe'!$Y$18:$AG$42,'Introducció dades consum'!K1782+1,0)</f>
        <v>0</v>
      </c>
      <c r="O1782" s="370" cm="1">
        <f t="array" ref="O1782">+_xlfn.SWITCH(MONTH(C1782),1,1,2,1,3,1,4,2,5,2,6,3,7,3,8,3,9,3,10,2,11,2,12,1,2)</f>
        <v>1</v>
      </c>
      <c r="P1782" s="43"/>
    </row>
    <row r="1783" spans="1:16" ht="18" x14ac:dyDescent="0.35">
      <c r="A1783" s="43"/>
      <c r="C1783" s="393"/>
      <c r="E1783" s="394"/>
      <c r="F1783" s="394">
        <v>0</v>
      </c>
      <c r="G1783" s="394"/>
      <c r="H1783" s="8" t="s">
        <v>235</v>
      </c>
      <c r="I1783" s="368">
        <f t="shared" si="82"/>
        <v>0</v>
      </c>
      <c r="J1783" s="365">
        <f t="shared" si="81"/>
        <v>0</v>
      </c>
      <c r="K1783" s="369">
        <f t="shared" si="83"/>
        <v>6</v>
      </c>
      <c r="L1783" s="369">
        <f>+IF((C1783&gt;='Resultats - informe'!$E$16)*(C1783&lt;='Resultats - informe'!$G$16),1,0)</f>
        <v>1</v>
      </c>
      <c r="M1783" s="369" cm="1">
        <f t="array" ref="M1783">+_xlfn.IFS((C1783&gt;='Resultats - informe'!$D$26)*(C1783&lt;='Resultats - informe'!$E$26),0,(C1783&gt;='Resultats - informe'!$D$27)*(C1783&lt;='Resultats - informe'!$E$27),0,(C1783&gt;='Resultats - informe'!$D$28)*(C1783&lt;='Resultats - informe'!$E$28),0,(C1783&gt;='Resultats - informe'!$D$29)*(C1783&lt;='Resultats - informe'!$E$29),0,1,1)</f>
        <v>0</v>
      </c>
      <c r="N1783" s="366">
        <f>+VLOOKUP(D1783,'Resultats - informe'!$Y$18:$AG$42,'Introducció dades consum'!K1783+1,0)</f>
        <v>0</v>
      </c>
      <c r="O1783" s="370" cm="1">
        <f t="array" ref="O1783">+_xlfn.SWITCH(MONTH(C1783),1,1,2,1,3,1,4,2,5,2,6,3,7,3,8,3,9,3,10,2,11,2,12,1,2)</f>
        <v>1</v>
      </c>
      <c r="P1783" s="43"/>
    </row>
    <row r="1784" spans="1:16" ht="18" x14ac:dyDescent="0.35">
      <c r="A1784" s="43"/>
      <c r="C1784" s="393"/>
      <c r="E1784" s="394"/>
      <c r="F1784" s="394">
        <v>0</v>
      </c>
      <c r="G1784" s="394"/>
      <c r="H1784" s="8" t="s">
        <v>235</v>
      </c>
      <c r="I1784" s="368">
        <f t="shared" si="82"/>
        <v>0</v>
      </c>
      <c r="J1784" s="365">
        <f t="shared" si="81"/>
        <v>0</v>
      </c>
      <c r="K1784" s="369">
        <f t="shared" si="83"/>
        <v>6</v>
      </c>
      <c r="L1784" s="369">
        <f>+IF((C1784&gt;='Resultats - informe'!$E$16)*(C1784&lt;='Resultats - informe'!$G$16),1,0)</f>
        <v>1</v>
      </c>
      <c r="M1784" s="369" cm="1">
        <f t="array" ref="M1784">+_xlfn.IFS((C1784&gt;='Resultats - informe'!$D$26)*(C1784&lt;='Resultats - informe'!$E$26),0,(C1784&gt;='Resultats - informe'!$D$27)*(C1784&lt;='Resultats - informe'!$E$27),0,(C1784&gt;='Resultats - informe'!$D$28)*(C1784&lt;='Resultats - informe'!$E$28),0,(C1784&gt;='Resultats - informe'!$D$29)*(C1784&lt;='Resultats - informe'!$E$29),0,1,1)</f>
        <v>0</v>
      </c>
      <c r="N1784" s="366">
        <f>+VLOOKUP(D1784,'Resultats - informe'!$Y$18:$AG$42,'Introducció dades consum'!K1784+1,0)</f>
        <v>0</v>
      </c>
      <c r="O1784" s="370" cm="1">
        <f t="array" ref="O1784">+_xlfn.SWITCH(MONTH(C1784),1,1,2,1,3,1,4,2,5,2,6,3,7,3,8,3,9,3,10,2,11,2,12,1,2)</f>
        <v>1</v>
      </c>
      <c r="P1784" s="43"/>
    </row>
    <row r="1785" spans="1:16" ht="18" x14ac:dyDescent="0.35">
      <c r="A1785" s="43"/>
      <c r="C1785" s="393"/>
      <c r="E1785" s="394"/>
      <c r="F1785" s="394">
        <v>0</v>
      </c>
      <c r="G1785" s="394"/>
      <c r="H1785" s="8" t="s">
        <v>235</v>
      </c>
      <c r="I1785" s="368">
        <f t="shared" si="82"/>
        <v>0</v>
      </c>
      <c r="J1785" s="365">
        <f t="shared" si="81"/>
        <v>0</v>
      </c>
      <c r="K1785" s="369">
        <f t="shared" si="83"/>
        <v>6</v>
      </c>
      <c r="L1785" s="369">
        <f>+IF((C1785&gt;='Resultats - informe'!$E$16)*(C1785&lt;='Resultats - informe'!$G$16),1,0)</f>
        <v>1</v>
      </c>
      <c r="M1785" s="369" cm="1">
        <f t="array" ref="M1785">+_xlfn.IFS((C1785&gt;='Resultats - informe'!$D$26)*(C1785&lt;='Resultats - informe'!$E$26),0,(C1785&gt;='Resultats - informe'!$D$27)*(C1785&lt;='Resultats - informe'!$E$27),0,(C1785&gt;='Resultats - informe'!$D$28)*(C1785&lt;='Resultats - informe'!$E$28),0,(C1785&gt;='Resultats - informe'!$D$29)*(C1785&lt;='Resultats - informe'!$E$29),0,1,1)</f>
        <v>0</v>
      </c>
      <c r="N1785" s="366">
        <f>+VLOOKUP(D1785,'Resultats - informe'!$Y$18:$AG$42,'Introducció dades consum'!K1785+1,0)</f>
        <v>0</v>
      </c>
      <c r="O1785" s="370" cm="1">
        <f t="array" ref="O1785">+_xlfn.SWITCH(MONTH(C1785),1,1,2,1,3,1,4,2,5,2,6,3,7,3,8,3,9,3,10,2,11,2,12,1,2)</f>
        <v>1</v>
      </c>
      <c r="P1785" s="43"/>
    </row>
    <row r="1786" spans="1:16" ht="18" x14ac:dyDescent="0.35">
      <c r="A1786" s="43"/>
      <c r="C1786" s="393"/>
      <c r="E1786" s="394"/>
      <c r="F1786" s="394">
        <v>0</v>
      </c>
      <c r="G1786" s="394"/>
      <c r="H1786" s="8" t="s">
        <v>235</v>
      </c>
      <c r="I1786" s="368">
        <f t="shared" si="82"/>
        <v>0</v>
      </c>
      <c r="J1786" s="365">
        <f t="shared" si="81"/>
        <v>0</v>
      </c>
      <c r="K1786" s="369">
        <f t="shared" si="83"/>
        <v>6</v>
      </c>
      <c r="L1786" s="369">
        <f>+IF((C1786&gt;='Resultats - informe'!$E$16)*(C1786&lt;='Resultats - informe'!$G$16),1,0)</f>
        <v>1</v>
      </c>
      <c r="M1786" s="369" cm="1">
        <f t="array" ref="M1786">+_xlfn.IFS((C1786&gt;='Resultats - informe'!$D$26)*(C1786&lt;='Resultats - informe'!$E$26),0,(C1786&gt;='Resultats - informe'!$D$27)*(C1786&lt;='Resultats - informe'!$E$27),0,(C1786&gt;='Resultats - informe'!$D$28)*(C1786&lt;='Resultats - informe'!$E$28),0,(C1786&gt;='Resultats - informe'!$D$29)*(C1786&lt;='Resultats - informe'!$E$29),0,1,1)</f>
        <v>0</v>
      </c>
      <c r="N1786" s="366">
        <f>+VLOOKUP(D1786,'Resultats - informe'!$Y$18:$AG$42,'Introducció dades consum'!K1786+1,0)</f>
        <v>0</v>
      </c>
      <c r="O1786" s="370" cm="1">
        <f t="array" ref="O1786">+_xlfn.SWITCH(MONTH(C1786),1,1,2,1,3,1,4,2,5,2,6,3,7,3,8,3,9,3,10,2,11,2,12,1,2)</f>
        <v>1</v>
      </c>
      <c r="P1786" s="43"/>
    </row>
    <row r="1787" spans="1:16" ht="18" x14ac:dyDescent="0.35">
      <c r="A1787" s="43"/>
      <c r="C1787" s="393"/>
      <c r="E1787" s="394"/>
      <c r="F1787" s="394">
        <v>1.4999999999999999E-2</v>
      </c>
      <c r="G1787" s="394"/>
      <c r="H1787" s="8" t="s">
        <v>235</v>
      </c>
      <c r="I1787" s="368">
        <f t="shared" si="82"/>
        <v>0</v>
      </c>
      <c r="J1787" s="365">
        <f t="shared" ref="J1787:J1850" si="84">+C1787</f>
        <v>0</v>
      </c>
      <c r="K1787" s="369">
        <f t="shared" si="83"/>
        <v>6</v>
      </c>
      <c r="L1787" s="369">
        <f>+IF((C1787&gt;='Resultats - informe'!$E$16)*(C1787&lt;='Resultats - informe'!$G$16),1,0)</f>
        <v>1</v>
      </c>
      <c r="M1787" s="369" cm="1">
        <f t="array" ref="M1787">+_xlfn.IFS((C1787&gt;='Resultats - informe'!$D$26)*(C1787&lt;='Resultats - informe'!$E$26),0,(C1787&gt;='Resultats - informe'!$D$27)*(C1787&lt;='Resultats - informe'!$E$27),0,(C1787&gt;='Resultats - informe'!$D$28)*(C1787&lt;='Resultats - informe'!$E$28),0,(C1787&gt;='Resultats - informe'!$D$29)*(C1787&lt;='Resultats - informe'!$E$29),0,1,1)</f>
        <v>0</v>
      </c>
      <c r="N1787" s="366">
        <f>+VLOOKUP(D1787,'Resultats - informe'!$Y$18:$AG$42,'Introducció dades consum'!K1787+1,0)</f>
        <v>0</v>
      </c>
      <c r="O1787" s="370" cm="1">
        <f t="array" ref="O1787">+_xlfn.SWITCH(MONTH(C1787),1,1,2,1,3,1,4,2,5,2,6,3,7,3,8,3,9,3,10,2,11,2,12,1,2)</f>
        <v>1</v>
      </c>
      <c r="P1787" s="43"/>
    </row>
    <row r="1788" spans="1:16" ht="18" x14ac:dyDescent="0.35">
      <c r="A1788" s="43"/>
      <c r="C1788" s="393"/>
      <c r="E1788" s="394"/>
      <c r="F1788" s="394">
        <v>0.62</v>
      </c>
      <c r="G1788" s="394"/>
      <c r="H1788" s="8" t="s">
        <v>235</v>
      </c>
      <c r="I1788" s="368">
        <f t="shared" si="82"/>
        <v>0</v>
      </c>
      <c r="J1788" s="365">
        <f t="shared" si="84"/>
        <v>0</v>
      </c>
      <c r="K1788" s="369">
        <f t="shared" si="83"/>
        <v>6</v>
      </c>
      <c r="L1788" s="369">
        <f>+IF((C1788&gt;='Resultats - informe'!$E$16)*(C1788&lt;='Resultats - informe'!$G$16),1,0)</f>
        <v>1</v>
      </c>
      <c r="M1788" s="369" cm="1">
        <f t="array" ref="M1788">+_xlfn.IFS((C1788&gt;='Resultats - informe'!$D$26)*(C1788&lt;='Resultats - informe'!$E$26),0,(C1788&gt;='Resultats - informe'!$D$27)*(C1788&lt;='Resultats - informe'!$E$27),0,(C1788&gt;='Resultats - informe'!$D$28)*(C1788&lt;='Resultats - informe'!$E$28),0,(C1788&gt;='Resultats - informe'!$D$29)*(C1788&lt;='Resultats - informe'!$E$29),0,1,1)</f>
        <v>0</v>
      </c>
      <c r="N1788" s="366">
        <f>+VLOOKUP(D1788,'Resultats - informe'!$Y$18:$AG$42,'Introducció dades consum'!K1788+1,0)</f>
        <v>0</v>
      </c>
      <c r="O1788" s="370" cm="1">
        <f t="array" ref="O1788">+_xlfn.SWITCH(MONTH(C1788),1,1,2,1,3,1,4,2,5,2,6,3,7,3,8,3,9,3,10,2,11,2,12,1,2)</f>
        <v>1</v>
      </c>
      <c r="P1788" s="43"/>
    </row>
    <row r="1789" spans="1:16" ht="18" x14ac:dyDescent="0.35">
      <c r="A1789" s="43"/>
      <c r="C1789" s="393"/>
      <c r="E1789" s="394"/>
      <c r="F1789" s="394">
        <v>1.359</v>
      </c>
      <c r="G1789" s="394"/>
      <c r="H1789" s="8" t="s">
        <v>235</v>
      </c>
      <c r="I1789" s="368">
        <f t="shared" si="82"/>
        <v>0</v>
      </c>
      <c r="J1789" s="365">
        <f t="shared" si="84"/>
        <v>0</v>
      </c>
      <c r="K1789" s="369">
        <f t="shared" si="83"/>
        <v>6</v>
      </c>
      <c r="L1789" s="369">
        <f>+IF((C1789&gt;='Resultats - informe'!$E$16)*(C1789&lt;='Resultats - informe'!$G$16),1,0)</f>
        <v>1</v>
      </c>
      <c r="M1789" s="369" cm="1">
        <f t="array" ref="M1789">+_xlfn.IFS((C1789&gt;='Resultats - informe'!$D$26)*(C1789&lt;='Resultats - informe'!$E$26),0,(C1789&gt;='Resultats - informe'!$D$27)*(C1789&lt;='Resultats - informe'!$E$27),0,(C1789&gt;='Resultats - informe'!$D$28)*(C1789&lt;='Resultats - informe'!$E$28),0,(C1789&gt;='Resultats - informe'!$D$29)*(C1789&lt;='Resultats - informe'!$E$29),0,1,1)</f>
        <v>0</v>
      </c>
      <c r="N1789" s="366">
        <f>+VLOOKUP(D1789,'Resultats - informe'!$Y$18:$AG$42,'Introducció dades consum'!K1789+1,0)</f>
        <v>0</v>
      </c>
      <c r="O1789" s="370" cm="1">
        <f t="array" ref="O1789">+_xlfn.SWITCH(MONTH(C1789),1,1,2,1,3,1,4,2,5,2,6,3,7,3,8,3,9,3,10,2,11,2,12,1,2)</f>
        <v>1</v>
      </c>
      <c r="P1789" s="43"/>
    </row>
    <row r="1790" spans="1:16" ht="18" x14ac:dyDescent="0.35">
      <c r="A1790" s="43"/>
      <c r="C1790" s="393"/>
      <c r="E1790" s="394"/>
      <c r="F1790" s="394">
        <v>3.649</v>
      </c>
      <c r="G1790" s="394"/>
      <c r="H1790" s="8" t="s">
        <v>61</v>
      </c>
      <c r="I1790" s="368">
        <f t="shared" si="82"/>
        <v>0</v>
      </c>
      <c r="J1790" s="365">
        <f t="shared" si="84"/>
        <v>0</v>
      </c>
      <c r="K1790" s="369">
        <f t="shared" si="83"/>
        <v>6</v>
      </c>
      <c r="L1790" s="369">
        <f>+IF((C1790&gt;='Resultats - informe'!$E$16)*(C1790&lt;='Resultats - informe'!$G$16),1,0)</f>
        <v>1</v>
      </c>
      <c r="M1790" s="369" cm="1">
        <f t="array" ref="M1790">+_xlfn.IFS((C1790&gt;='Resultats - informe'!$D$26)*(C1790&lt;='Resultats - informe'!$E$26),0,(C1790&gt;='Resultats - informe'!$D$27)*(C1790&lt;='Resultats - informe'!$E$27),0,(C1790&gt;='Resultats - informe'!$D$28)*(C1790&lt;='Resultats - informe'!$E$28),0,(C1790&gt;='Resultats - informe'!$D$29)*(C1790&lt;='Resultats - informe'!$E$29),0,1,1)</f>
        <v>0</v>
      </c>
      <c r="N1790" s="366">
        <f>+VLOOKUP(D1790,'Resultats - informe'!$Y$18:$AG$42,'Introducció dades consum'!K1790+1,0)</f>
        <v>0</v>
      </c>
      <c r="O1790" s="370" cm="1">
        <f t="array" ref="O1790">+_xlfn.SWITCH(MONTH(C1790),1,1,2,1,3,1,4,2,5,2,6,3,7,3,8,3,9,3,10,2,11,2,12,1,2)</f>
        <v>1</v>
      </c>
      <c r="P1790" s="43"/>
    </row>
    <row r="1791" spans="1:16" ht="18" x14ac:dyDescent="0.35">
      <c r="A1791" s="43"/>
      <c r="C1791" s="393"/>
      <c r="E1791" s="394"/>
      <c r="F1791" s="394">
        <v>5.476</v>
      </c>
      <c r="G1791" s="394"/>
      <c r="H1791" s="8" t="s">
        <v>61</v>
      </c>
      <c r="I1791" s="368">
        <f t="shared" si="82"/>
        <v>0</v>
      </c>
      <c r="J1791" s="365">
        <f t="shared" si="84"/>
        <v>0</v>
      </c>
      <c r="K1791" s="369">
        <f t="shared" si="83"/>
        <v>6</v>
      </c>
      <c r="L1791" s="369">
        <f>+IF((C1791&gt;='Resultats - informe'!$E$16)*(C1791&lt;='Resultats - informe'!$G$16),1,0)</f>
        <v>1</v>
      </c>
      <c r="M1791" s="369" cm="1">
        <f t="array" ref="M1791">+_xlfn.IFS((C1791&gt;='Resultats - informe'!$D$26)*(C1791&lt;='Resultats - informe'!$E$26),0,(C1791&gt;='Resultats - informe'!$D$27)*(C1791&lt;='Resultats - informe'!$E$27),0,(C1791&gt;='Resultats - informe'!$D$28)*(C1791&lt;='Resultats - informe'!$E$28),0,(C1791&gt;='Resultats - informe'!$D$29)*(C1791&lt;='Resultats - informe'!$E$29),0,1,1)</f>
        <v>0</v>
      </c>
      <c r="N1791" s="366">
        <f>+VLOOKUP(D1791,'Resultats - informe'!$Y$18:$AG$42,'Introducció dades consum'!K1791+1,0)</f>
        <v>0</v>
      </c>
      <c r="O1791" s="370" cm="1">
        <f t="array" ref="O1791">+_xlfn.SWITCH(MONTH(C1791),1,1,2,1,3,1,4,2,5,2,6,3,7,3,8,3,9,3,10,2,11,2,12,1,2)</f>
        <v>1</v>
      </c>
      <c r="P1791" s="43"/>
    </row>
    <row r="1792" spans="1:16" ht="18" x14ac:dyDescent="0.35">
      <c r="A1792" s="43"/>
      <c r="C1792" s="393"/>
      <c r="E1792" s="394"/>
      <c r="F1792" s="394">
        <v>5.4870000000000001</v>
      </c>
      <c r="G1792" s="394"/>
      <c r="H1792" s="8" t="s">
        <v>61</v>
      </c>
      <c r="I1792" s="368">
        <f t="shared" si="82"/>
        <v>0</v>
      </c>
      <c r="J1792" s="365">
        <f t="shared" si="84"/>
        <v>0</v>
      </c>
      <c r="K1792" s="369">
        <f t="shared" si="83"/>
        <v>6</v>
      </c>
      <c r="L1792" s="369">
        <f>+IF((C1792&gt;='Resultats - informe'!$E$16)*(C1792&lt;='Resultats - informe'!$G$16),1,0)</f>
        <v>1</v>
      </c>
      <c r="M1792" s="369" cm="1">
        <f t="array" ref="M1792">+_xlfn.IFS((C1792&gt;='Resultats - informe'!$D$26)*(C1792&lt;='Resultats - informe'!$E$26),0,(C1792&gt;='Resultats - informe'!$D$27)*(C1792&lt;='Resultats - informe'!$E$27),0,(C1792&gt;='Resultats - informe'!$D$28)*(C1792&lt;='Resultats - informe'!$E$28),0,(C1792&gt;='Resultats - informe'!$D$29)*(C1792&lt;='Resultats - informe'!$E$29),0,1,1)</f>
        <v>0</v>
      </c>
      <c r="N1792" s="366">
        <f>+VLOOKUP(D1792,'Resultats - informe'!$Y$18:$AG$42,'Introducció dades consum'!K1792+1,0)</f>
        <v>0</v>
      </c>
      <c r="O1792" s="370" cm="1">
        <f t="array" ref="O1792">+_xlfn.SWITCH(MONTH(C1792),1,1,2,1,3,1,4,2,5,2,6,3,7,3,8,3,9,3,10,2,11,2,12,1,2)</f>
        <v>1</v>
      </c>
      <c r="P1792" s="43"/>
    </row>
    <row r="1793" spans="1:16" ht="18" x14ac:dyDescent="0.35">
      <c r="A1793" s="43"/>
      <c r="C1793" s="393"/>
      <c r="E1793" s="394"/>
      <c r="F1793" s="394">
        <v>2.9129999999999998</v>
      </c>
      <c r="G1793" s="394"/>
      <c r="H1793" s="8" t="s">
        <v>61</v>
      </c>
      <c r="I1793" s="368">
        <f t="shared" si="82"/>
        <v>0</v>
      </c>
      <c r="J1793" s="365">
        <f t="shared" si="84"/>
        <v>0</v>
      </c>
      <c r="K1793" s="369">
        <f t="shared" si="83"/>
        <v>6</v>
      </c>
      <c r="L1793" s="369">
        <f>+IF((C1793&gt;='Resultats - informe'!$E$16)*(C1793&lt;='Resultats - informe'!$G$16),1,0)</f>
        <v>1</v>
      </c>
      <c r="M1793" s="369" cm="1">
        <f t="array" ref="M1793">+_xlfn.IFS((C1793&gt;='Resultats - informe'!$D$26)*(C1793&lt;='Resultats - informe'!$E$26),0,(C1793&gt;='Resultats - informe'!$D$27)*(C1793&lt;='Resultats - informe'!$E$27),0,(C1793&gt;='Resultats - informe'!$D$28)*(C1793&lt;='Resultats - informe'!$E$28),0,(C1793&gt;='Resultats - informe'!$D$29)*(C1793&lt;='Resultats - informe'!$E$29),0,1,1)</f>
        <v>0</v>
      </c>
      <c r="N1793" s="366">
        <f>+VLOOKUP(D1793,'Resultats - informe'!$Y$18:$AG$42,'Introducció dades consum'!K1793+1,0)</f>
        <v>0</v>
      </c>
      <c r="O1793" s="370" cm="1">
        <f t="array" ref="O1793">+_xlfn.SWITCH(MONTH(C1793),1,1,2,1,3,1,4,2,5,2,6,3,7,3,8,3,9,3,10,2,11,2,12,1,2)</f>
        <v>1</v>
      </c>
      <c r="P1793" s="43"/>
    </row>
    <row r="1794" spans="1:16" ht="18" x14ac:dyDescent="0.35">
      <c r="A1794" s="43"/>
      <c r="C1794" s="393"/>
      <c r="E1794" s="394"/>
      <c r="F1794" s="394">
        <v>4.4180000000000001</v>
      </c>
      <c r="G1794" s="394"/>
      <c r="H1794" s="8" t="s">
        <v>61</v>
      </c>
      <c r="I1794" s="368">
        <f t="shared" si="82"/>
        <v>0</v>
      </c>
      <c r="J1794" s="365">
        <f t="shared" si="84"/>
        <v>0</v>
      </c>
      <c r="K1794" s="369">
        <f t="shared" si="83"/>
        <v>6</v>
      </c>
      <c r="L1794" s="369">
        <f>+IF((C1794&gt;='Resultats - informe'!$E$16)*(C1794&lt;='Resultats - informe'!$G$16),1,0)</f>
        <v>1</v>
      </c>
      <c r="M1794" s="369" cm="1">
        <f t="array" ref="M1794">+_xlfn.IFS((C1794&gt;='Resultats - informe'!$D$26)*(C1794&lt;='Resultats - informe'!$E$26),0,(C1794&gt;='Resultats - informe'!$D$27)*(C1794&lt;='Resultats - informe'!$E$27),0,(C1794&gt;='Resultats - informe'!$D$28)*(C1794&lt;='Resultats - informe'!$E$28),0,(C1794&gt;='Resultats - informe'!$D$29)*(C1794&lt;='Resultats - informe'!$E$29),0,1,1)</f>
        <v>0</v>
      </c>
      <c r="N1794" s="366">
        <f>+VLOOKUP(D1794,'Resultats - informe'!$Y$18:$AG$42,'Introducció dades consum'!K1794+1,0)</f>
        <v>0</v>
      </c>
      <c r="O1794" s="370" cm="1">
        <f t="array" ref="O1794">+_xlfn.SWITCH(MONTH(C1794),1,1,2,1,3,1,4,2,5,2,6,3,7,3,8,3,9,3,10,2,11,2,12,1,2)</f>
        <v>1</v>
      </c>
      <c r="P1794" s="43"/>
    </row>
    <row r="1795" spans="1:16" ht="18" x14ac:dyDescent="0.35">
      <c r="A1795" s="43"/>
      <c r="C1795" s="393"/>
      <c r="E1795" s="394"/>
      <c r="F1795" s="394">
        <v>4.2329999999999997</v>
      </c>
      <c r="G1795" s="394"/>
      <c r="H1795" s="8" t="s">
        <v>61</v>
      </c>
      <c r="I1795" s="368">
        <f t="shared" si="82"/>
        <v>0</v>
      </c>
      <c r="J1795" s="365">
        <f t="shared" si="84"/>
        <v>0</v>
      </c>
      <c r="K1795" s="369">
        <f t="shared" si="83"/>
        <v>6</v>
      </c>
      <c r="L1795" s="369">
        <f>+IF((C1795&gt;='Resultats - informe'!$E$16)*(C1795&lt;='Resultats - informe'!$G$16),1,0)</f>
        <v>1</v>
      </c>
      <c r="M1795" s="369" cm="1">
        <f t="array" ref="M1795">+_xlfn.IFS((C1795&gt;='Resultats - informe'!$D$26)*(C1795&lt;='Resultats - informe'!$E$26),0,(C1795&gt;='Resultats - informe'!$D$27)*(C1795&lt;='Resultats - informe'!$E$27),0,(C1795&gt;='Resultats - informe'!$D$28)*(C1795&lt;='Resultats - informe'!$E$28),0,(C1795&gt;='Resultats - informe'!$D$29)*(C1795&lt;='Resultats - informe'!$E$29),0,1,1)</f>
        <v>0</v>
      </c>
      <c r="N1795" s="366">
        <f>+VLOOKUP(D1795,'Resultats - informe'!$Y$18:$AG$42,'Introducció dades consum'!K1795+1,0)</f>
        <v>0</v>
      </c>
      <c r="O1795" s="370" cm="1">
        <f t="array" ref="O1795">+_xlfn.SWITCH(MONTH(C1795),1,1,2,1,3,1,4,2,5,2,6,3,7,3,8,3,9,3,10,2,11,2,12,1,2)</f>
        <v>1</v>
      </c>
      <c r="P1795" s="43"/>
    </row>
    <row r="1796" spans="1:16" ht="18" x14ac:dyDescent="0.35">
      <c r="A1796" s="43"/>
      <c r="C1796" s="393"/>
      <c r="E1796" s="394"/>
      <c r="F1796" s="394">
        <v>2.242</v>
      </c>
      <c r="G1796" s="394"/>
      <c r="H1796" s="8" t="s">
        <v>61</v>
      </c>
      <c r="I1796" s="368">
        <f t="shared" si="82"/>
        <v>0</v>
      </c>
      <c r="J1796" s="365">
        <f t="shared" si="84"/>
        <v>0</v>
      </c>
      <c r="K1796" s="369">
        <f t="shared" si="83"/>
        <v>6</v>
      </c>
      <c r="L1796" s="369">
        <f>+IF((C1796&gt;='Resultats - informe'!$E$16)*(C1796&lt;='Resultats - informe'!$G$16),1,0)</f>
        <v>1</v>
      </c>
      <c r="M1796" s="369" cm="1">
        <f t="array" ref="M1796">+_xlfn.IFS((C1796&gt;='Resultats - informe'!$D$26)*(C1796&lt;='Resultats - informe'!$E$26),0,(C1796&gt;='Resultats - informe'!$D$27)*(C1796&lt;='Resultats - informe'!$E$27),0,(C1796&gt;='Resultats - informe'!$D$28)*(C1796&lt;='Resultats - informe'!$E$28),0,(C1796&gt;='Resultats - informe'!$D$29)*(C1796&lt;='Resultats - informe'!$E$29),0,1,1)</f>
        <v>0</v>
      </c>
      <c r="N1796" s="366">
        <f>+VLOOKUP(D1796,'Resultats - informe'!$Y$18:$AG$42,'Introducció dades consum'!K1796+1,0)</f>
        <v>0</v>
      </c>
      <c r="O1796" s="370" cm="1">
        <f t="array" ref="O1796">+_xlfn.SWITCH(MONTH(C1796),1,1,2,1,3,1,4,2,5,2,6,3,7,3,8,3,9,3,10,2,11,2,12,1,2)</f>
        <v>1</v>
      </c>
      <c r="P1796" s="43"/>
    </row>
    <row r="1797" spans="1:16" ht="18" x14ac:dyDescent="0.35">
      <c r="A1797" s="43"/>
      <c r="C1797" s="393"/>
      <c r="E1797" s="394"/>
      <c r="F1797" s="394">
        <v>0.05</v>
      </c>
      <c r="G1797" s="394"/>
      <c r="H1797" s="8" t="s">
        <v>235</v>
      </c>
      <c r="I1797" s="368">
        <f t="shared" si="82"/>
        <v>0</v>
      </c>
      <c r="J1797" s="365">
        <f t="shared" si="84"/>
        <v>0</v>
      </c>
      <c r="K1797" s="369">
        <f t="shared" si="83"/>
        <v>6</v>
      </c>
      <c r="L1797" s="369">
        <f>+IF((C1797&gt;='Resultats - informe'!$E$16)*(C1797&lt;='Resultats - informe'!$G$16),1,0)</f>
        <v>1</v>
      </c>
      <c r="M1797" s="369" cm="1">
        <f t="array" ref="M1797">+_xlfn.IFS((C1797&gt;='Resultats - informe'!$D$26)*(C1797&lt;='Resultats - informe'!$E$26),0,(C1797&gt;='Resultats - informe'!$D$27)*(C1797&lt;='Resultats - informe'!$E$27),0,(C1797&gt;='Resultats - informe'!$D$28)*(C1797&lt;='Resultats - informe'!$E$28),0,(C1797&gt;='Resultats - informe'!$D$29)*(C1797&lt;='Resultats - informe'!$E$29),0,1,1)</f>
        <v>0</v>
      </c>
      <c r="N1797" s="366">
        <f>+VLOOKUP(D1797,'Resultats - informe'!$Y$18:$AG$42,'Introducció dades consum'!K1797+1,0)</f>
        <v>0</v>
      </c>
      <c r="O1797" s="370" cm="1">
        <f t="array" ref="O1797">+_xlfn.SWITCH(MONTH(C1797),1,1,2,1,3,1,4,2,5,2,6,3,7,3,8,3,9,3,10,2,11,2,12,1,2)</f>
        <v>1</v>
      </c>
      <c r="P1797" s="43"/>
    </row>
    <row r="1798" spans="1:16" ht="18" x14ac:dyDescent="0.35">
      <c r="A1798" s="43"/>
      <c r="C1798" s="393"/>
      <c r="E1798" s="394"/>
      <c r="F1798" s="394">
        <v>0</v>
      </c>
      <c r="G1798" s="394"/>
      <c r="H1798" s="8" t="s">
        <v>235</v>
      </c>
      <c r="I1798" s="368">
        <f t="shared" ref="I1798:I1861" si="85">+E1798+G1798</f>
        <v>0</v>
      </c>
      <c r="J1798" s="365">
        <f t="shared" si="84"/>
        <v>0</v>
      </c>
      <c r="K1798" s="369">
        <f t="shared" ref="K1798:K1861" si="86">+WEEKDAY(C1798,2)</f>
        <v>6</v>
      </c>
      <c r="L1798" s="369">
        <f>+IF((C1798&gt;='Resultats - informe'!$E$16)*(C1798&lt;='Resultats - informe'!$G$16),1,0)</f>
        <v>1</v>
      </c>
      <c r="M1798" s="369" cm="1">
        <f t="array" ref="M1798">+_xlfn.IFS((C1798&gt;='Resultats - informe'!$D$26)*(C1798&lt;='Resultats - informe'!$E$26),0,(C1798&gt;='Resultats - informe'!$D$27)*(C1798&lt;='Resultats - informe'!$E$27),0,(C1798&gt;='Resultats - informe'!$D$28)*(C1798&lt;='Resultats - informe'!$E$28),0,(C1798&gt;='Resultats - informe'!$D$29)*(C1798&lt;='Resultats - informe'!$E$29),0,1,1)</f>
        <v>0</v>
      </c>
      <c r="N1798" s="366">
        <f>+VLOOKUP(D1798,'Resultats - informe'!$Y$18:$AG$42,'Introducció dades consum'!K1798+1,0)</f>
        <v>0</v>
      </c>
      <c r="O1798" s="370" cm="1">
        <f t="array" ref="O1798">+_xlfn.SWITCH(MONTH(C1798),1,1,2,1,3,1,4,2,5,2,6,3,7,3,8,3,9,3,10,2,11,2,12,1,2)</f>
        <v>1</v>
      </c>
      <c r="P1798" s="43"/>
    </row>
    <row r="1799" spans="1:16" ht="18" x14ac:dyDescent="0.35">
      <c r="A1799" s="43"/>
      <c r="C1799" s="393"/>
      <c r="E1799" s="394"/>
      <c r="F1799" s="394">
        <v>0</v>
      </c>
      <c r="G1799" s="394"/>
      <c r="H1799" s="8" t="s">
        <v>235</v>
      </c>
      <c r="I1799" s="368">
        <f t="shared" si="85"/>
        <v>0</v>
      </c>
      <c r="J1799" s="365">
        <f t="shared" si="84"/>
        <v>0</v>
      </c>
      <c r="K1799" s="369">
        <f t="shared" si="86"/>
        <v>6</v>
      </c>
      <c r="L1799" s="369">
        <f>+IF((C1799&gt;='Resultats - informe'!$E$16)*(C1799&lt;='Resultats - informe'!$G$16),1,0)</f>
        <v>1</v>
      </c>
      <c r="M1799" s="369" cm="1">
        <f t="array" ref="M1799">+_xlfn.IFS((C1799&gt;='Resultats - informe'!$D$26)*(C1799&lt;='Resultats - informe'!$E$26),0,(C1799&gt;='Resultats - informe'!$D$27)*(C1799&lt;='Resultats - informe'!$E$27),0,(C1799&gt;='Resultats - informe'!$D$28)*(C1799&lt;='Resultats - informe'!$E$28),0,(C1799&gt;='Resultats - informe'!$D$29)*(C1799&lt;='Resultats - informe'!$E$29),0,1,1)</f>
        <v>0</v>
      </c>
      <c r="N1799" s="366">
        <f>+VLOOKUP(D1799,'Resultats - informe'!$Y$18:$AG$42,'Introducció dades consum'!K1799+1,0)</f>
        <v>0</v>
      </c>
      <c r="O1799" s="370" cm="1">
        <f t="array" ref="O1799">+_xlfn.SWITCH(MONTH(C1799),1,1,2,1,3,1,4,2,5,2,6,3,7,3,8,3,9,3,10,2,11,2,12,1,2)</f>
        <v>1</v>
      </c>
      <c r="P1799" s="43"/>
    </row>
    <row r="1800" spans="1:16" ht="18" x14ac:dyDescent="0.35">
      <c r="A1800" s="43"/>
      <c r="C1800" s="393"/>
      <c r="E1800" s="394"/>
      <c r="F1800" s="394">
        <v>0</v>
      </c>
      <c r="G1800" s="394"/>
      <c r="H1800" s="8" t="s">
        <v>235</v>
      </c>
      <c r="I1800" s="368">
        <f t="shared" si="85"/>
        <v>0</v>
      </c>
      <c r="J1800" s="365">
        <f t="shared" si="84"/>
        <v>0</v>
      </c>
      <c r="K1800" s="369">
        <f t="shared" si="86"/>
        <v>6</v>
      </c>
      <c r="L1800" s="369">
        <f>+IF((C1800&gt;='Resultats - informe'!$E$16)*(C1800&lt;='Resultats - informe'!$G$16),1,0)</f>
        <v>1</v>
      </c>
      <c r="M1800" s="369" cm="1">
        <f t="array" ref="M1800">+_xlfn.IFS((C1800&gt;='Resultats - informe'!$D$26)*(C1800&lt;='Resultats - informe'!$E$26),0,(C1800&gt;='Resultats - informe'!$D$27)*(C1800&lt;='Resultats - informe'!$E$27),0,(C1800&gt;='Resultats - informe'!$D$28)*(C1800&lt;='Resultats - informe'!$E$28),0,(C1800&gt;='Resultats - informe'!$D$29)*(C1800&lt;='Resultats - informe'!$E$29),0,1,1)</f>
        <v>0</v>
      </c>
      <c r="N1800" s="366">
        <f>+VLOOKUP(D1800,'Resultats - informe'!$Y$18:$AG$42,'Introducció dades consum'!K1800+1,0)</f>
        <v>0</v>
      </c>
      <c r="O1800" s="370" cm="1">
        <f t="array" ref="O1800">+_xlfn.SWITCH(MONTH(C1800),1,1,2,1,3,1,4,2,5,2,6,3,7,3,8,3,9,3,10,2,11,2,12,1,2)</f>
        <v>1</v>
      </c>
      <c r="P1800" s="43"/>
    </row>
    <row r="1801" spans="1:16" ht="18" x14ac:dyDescent="0.35">
      <c r="A1801" s="43"/>
      <c r="C1801" s="393"/>
      <c r="E1801" s="394"/>
      <c r="F1801" s="394">
        <v>0</v>
      </c>
      <c r="G1801" s="394"/>
      <c r="H1801" s="8" t="s">
        <v>235</v>
      </c>
      <c r="I1801" s="368">
        <f t="shared" si="85"/>
        <v>0</v>
      </c>
      <c r="J1801" s="365">
        <f t="shared" si="84"/>
        <v>0</v>
      </c>
      <c r="K1801" s="369">
        <f t="shared" si="86"/>
        <v>6</v>
      </c>
      <c r="L1801" s="369">
        <f>+IF((C1801&gt;='Resultats - informe'!$E$16)*(C1801&lt;='Resultats - informe'!$G$16),1,0)</f>
        <v>1</v>
      </c>
      <c r="M1801" s="369" cm="1">
        <f t="array" ref="M1801">+_xlfn.IFS((C1801&gt;='Resultats - informe'!$D$26)*(C1801&lt;='Resultats - informe'!$E$26),0,(C1801&gt;='Resultats - informe'!$D$27)*(C1801&lt;='Resultats - informe'!$E$27),0,(C1801&gt;='Resultats - informe'!$D$28)*(C1801&lt;='Resultats - informe'!$E$28),0,(C1801&gt;='Resultats - informe'!$D$29)*(C1801&lt;='Resultats - informe'!$E$29),0,1,1)</f>
        <v>0</v>
      </c>
      <c r="N1801" s="366">
        <f>+VLOOKUP(D1801,'Resultats - informe'!$Y$18:$AG$42,'Introducció dades consum'!K1801+1,0)</f>
        <v>0</v>
      </c>
      <c r="O1801" s="370" cm="1">
        <f t="array" ref="O1801">+_xlfn.SWITCH(MONTH(C1801),1,1,2,1,3,1,4,2,5,2,6,3,7,3,8,3,9,3,10,2,11,2,12,1,2)</f>
        <v>1</v>
      </c>
      <c r="P1801" s="43"/>
    </row>
    <row r="1802" spans="1:16" ht="18" x14ac:dyDescent="0.35">
      <c r="A1802" s="43"/>
      <c r="C1802" s="393"/>
      <c r="E1802" s="394"/>
      <c r="F1802" s="394">
        <v>0</v>
      </c>
      <c r="G1802" s="394"/>
      <c r="H1802" s="8" t="s">
        <v>235</v>
      </c>
      <c r="I1802" s="368">
        <f t="shared" si="85"/>
        <v>0</v>
      </c>
      <c r="J1802" s="365">
        <f t="shared" si="84"/>
        <v>0</v>
      </c>
      <c r="K1802" s="369">
        <f t="shared" si="86"/>
        <v>6</v>
      </c>
      <c r="L1802" s="369">
        <f>+IF((C1802&gt;='Resultats - informe'!$E$16)*(C1802&lt;='Resultats - informe'!$G$16),1,0)</f>
        <v>1</v>
      </c>
      <c r="M1802" s="369" cm="1">
        <f t="array" ref="M1802">+_xlfn.IFS((C1802&gt;='Resultats - informe'!$D$26)*(C1802&lt;='Resultats - informe'!$E$26),0,(C1802&gt;='Resultats - informe'!$D$27)*(C1802&lt;='Resultats - informe'!$E$27),0,(C1802&gt;='Resultats - informe'!$D$28)*(C1802&lt;='Resultats - informe'!$E$28),0,(C1802&gt;='Resultats - informe'!$D$29)*(C1802&lt;='Resultats - informe'!$E$29),0,1,1)</f>
        <v>0</v>
      </c>
      <c r="N1802" s="366">
        <f>+VLOOKUP(D1802,'Resultats - informe'!$Y$18:$AG$42,'Introducció dades consum'!K1802+1,0)</f>
        <v>0</v>
      </c>
      <c r="O1802" s="370" cm="1">
        <f t="array" ref="O1802">+_xlfn.SWITCH(MONTH(C1802),1,1,2,1,3,1,4,2,5,2,6,3,7,3,8,3,9,3,10,2,11,2,12,1,2)</f>
        <v>1</v>
      </c>
      <c r="P1802" s="43"/>
    </row>
    <row r="1803" spans="1:16" ht="18" x14ac:dyDescent="0.35">
      <c r="A1803" s="43"/>
      <c r="C1803" s="393"/>
      <c r="E1803" s="394"/>
      <c r="F1803" s="394">
        <v>0</v>
      </c>
      <c r="G1803" s="394"/>
      <c r="H1803" s="8" t="s">
        <v>235</v>
      </c>
      <c r="I1803" s="368">
        <f t="shared" si="85"/>
        <v>0</v>
      </c>
      <c r="J1803" s="365">
        <f t="shared" si="84"/>
        <v>0</v>
      </c>
      <c r="K1803" s="369">
        <f t="shared" si="86"/>
        <v>6</v>
      </c>
      <c r="L1803" s="369">
        <f>+IF((C1803&gt;='Resultats - informe'!$E$16)*(C1803&lt;='Resultats - informe'!$G$16),1,0)</f>
        <v>1</v>
      </c>
      <c r="M1803" s="369" cm="1">
        <f t="array" ref="M1803">+_xlfn.IFS((C1803&gt;='Resultats - informe'!$D$26)*(C1803&lt;='Resultats - informe'!$E$26),0,(C1803&gt;='Resultats - informe'!$D$27)*(C1803&lt;='Resultats - informe'!$E$27),0,(C1803&gt;='Resultats - informe'!$D$28)*(C1803&lt;='Resultats - informe'!$E$28),0,(C1803&gt;='Resultats - informe'!$D$29)*(C1803&lt;='Resultats - informe'!$E$29),0,1,1)</f>
        <v>0</v>
      </c>
      <c r="N1803" s="366">
        <f>+VLOOKUP(D1803,'Resultats - informe'!$Y$18:$AG$42,'Introducció dades consum'!K1803+1,0)</f>
        <v>0</v>
      </c>
      <c r="O1803" s="370" cm="1">
        <f t="array" ref="O1803">+_xlfn.SWITCH(MONTH(C1803),1,1,2,1,3,1,4,2,5,2,6,3,7,3,8,3,9,3,10,2,11,2,12,1,2)</f>
        <v>1</v>
      </c>
      <c r="P1803" s="43"/>
    </row>
    <row r="1804" spans="1:16" ht="18" x14ac:dyDescent="0.35">
      <c r="A1804" s="43"/>
      <c r="C1804" s="393"/>
      <c r="E1804" s="394"/>
      <c r="F1804" s="394">
        <v>0</v>
      </c>
      <c r="G1804" s="394"/>
      <c r="H1804" s="8" t="s">
        <v>235</v>
      </c>
      <c r="I1804" s="368">
        <f t="shared" si="85"/>
        <v>0</v>
      </c>
      <c r="J1804" s="365">
        <f t="shared" si="84"/>
        <v>0</v>
      </c>
      <c r="K1804" s="369">
        <f t="shared" si="86"/>
        <v>6</v>
      </c>
      <c r="L1804" s="369">
        <f>+IF((C1804&gt;='Resultats - informe'!$E$16)*(C1804&lt;='Resultats - informe'!$G$16),1,0)</f>
        <v>1</v>
      </c>
      <c r="M1804" s="369" cm="1">
        <f t="array" ref="M1804">+_xlfn.IFS((C1804&gt;='Resultats - informe'!$D$26)*(C1804&lt;='Resultats - informe'!$E$26),0,(C1804&gt;='Resultats - informe'!$D$27)*(C1804&lt;='Resultats - informe'!$E$27),0,(C1804&gt;='Resultats - informe'!$D$28)*(C1804&lt;='Resultats - informe'!$E$28),0,(C1804&gt;='Resultats - informe'!$D$29)*(C1804&lt;='Resultats - informe'!$E$29),0,1,1)</f>
        <v>0</v>
      </c>
      <c r="N1804" s="366">
        <f>+VLOOKUP(D1804,'Resultats - informe'!$Y$18:$AG$42,'Introducció dades consum'!K1804+1,0)</f>
        <v>0</v>
      </c>
      <c r="O1804" s="370" cm="1">
        <f t="array" ref="O1804">+_xlfn.SWITCH(MONTH(C1804),1,1,2,1,3,1,4,2,5,2,6,3,7,3,8,3,9,3,10,2,11,2,12,1,2)</f>
        <v>1</v>
      </c>
      <c r="P1804" s="43"/>
    </row>
    <row r="1805" spans="1:16" ht="18" x14ac:dyDescent="0.35">
      <c r="A1805" s="43"/>
      <c r="C1805" s="393"/>
      <c r="E1805" s="394"/>
      <c r="F1805" s="394">
        <v>0</v>
      </c>
      <c r="G1805" s="394"/>
      <c r="H1805" s="8" t="s">
        <v>235</v>
      </c>
      <c r="I1805" s="368">
        <f t="shared" si="85"/>
        <v>0</v>
      </c>
      <c r="J1805" s="365">
        <f t="shared" si="84"/>
        <v>0</v>
      </c>
      <c r="K1805" s="369">
        <f t="shared" si="86"/>
        <v>6</v>
      </c>
      <c r="L1805" s="369">
        <f>+IF((C1805&gt;='Resultats - informe'!$E$16)*(C1805&lt;='Resultats - informe'!$G$16),1,0)</f>
        <v>1</v>
      </c>
      <c r="M1805" s="369" cm="1">
        <f t="array" ref="M1805">+_xlfn.IFS((C1805&gt;='Resultats - informe'!$D$26)*(C1805&lt;='Resultats - informe'!$E$26),0,(C1805&gt;='Resultats - informe'!$D$27)*(C1805&lt;='Resultats - informe'!$E$27),0,(C1805&gt;='Resultats - informe'!$D$28)*(C1805&lt;='Resultats - informe'!$E$28),0,(C1805&gt;='Resultats - informe'!$D$29)*(C1805&lt;='Resultats - informe'!$E$29),0,1,1)</f>
        <v>0</v>
      </c>
      <c r="N1805" s="366">
        <f>+VLOOKUP(D1805,'Resultats - informe'!$Y$18:$AG$42,'Introducció dades consum'!K1805+1,0)</f>
        <v>0</v>
      </c>
      <c r="O1805" s="370" cm="1">
        <f t="array" ref="O1805">+_xlfn.SWITCH(MONTH(C1805),1,1,2,1,3,1,4,2,5,2,6,3,7,3,8,3,9,3,10,2,11,2,12,1,2)</f>
        <v>1</v>
      </c>
      <c r="P1805" s="43"/>
    </row>
    <row r="1806" spans="1:16" ht="18" x14ac:dyDescent="0.35">
      <c r="A1806" s="43"/>
      <c r="C1806" s="393"/>
      <c r="E1806" s="394"/>
      <c r="F1806" s="394">
        <v>0</v>
      </c>
      <c r="G1806" s="394"/>
      <c r="H1806" s="8" t="s">
        <v>235</v>
      </c>
      <c r="I1806" s="368">
        <f t="shared" si="85"/>
        <v>0</v>
      </c>
      <c r="J1806" s="365">
        <f t="shared" si="84"/>
        <v>0</v>
      </c>
      <c r="K1806" s="369">
        <f t="shared" si="86"/>
        <v>6</v>
      </c>
      <c r="L1806" s="369">
        <f>+IF((C1806&gt;='Resultats - informe'!$E$16)*(C1806&lt;='Resultats - informe'!$G$16),1,0)</f>
        <v>1</v>
      </c>
      <c r="M1806" s="369" cm="1">
        <f t="array" ref="M1806">+_xlfn.IFS((C1806&gt;='Resultats - informe'!$D$26)*(C1806&lt;='Resultats - informe'!$E$26),0,(C1806&gt;='Resultats - informe'!$D$27)*(C1806&lt;='Resultats - informe'!$E$27),0,(C1806&gt;='Resultats - informe'!$D$28)*(C1806&lt;='Resultats - informe'!$E$28),0,(C1806&gt;='Resultats - informe'!$D$29)*(C1806&lt;='Resultats - informe'!$E$29),0,1,1)</f>
        <v>0</v>
      </c>
      <c r="N1806" s="366">
        <f>+VLOOKUP(D1806,'Resultats - informe'!$Y$18:$AG$42,'Introducció dades consum'!K1806+1,0)</f>
        <v>0</v>
      </c>
      <c r="O1806" s="370" cm="1">
        <f t="array" ref="O1806">+_xlfn.SWITCH(MONTH(C1806),1,1,2,1,3,1,4,2,5,2,6,3,7,3,8,3,9,3,10,2,11,2,12,1,2)</f>
        <v>1</v>
      </c>
      <c r="P1806" s="43"/>
    </row>
    <row r="1807" spans="1:16" ht="18" x14ac:dyDescent="0.35">
      <c r="A1807" s="43"/>
      <c r="C1807" s="393"/>
      <c r="E1807" s="394"/>
      <c r="F1807" s="394">
        <v>0</v>
      </c>
      <c r="G1807" s="394"/>
      <c r="H1807" s="8" t="s">
        <v>235</v>
      </c>
      <c r="I1807" s="368">
        <f t="shared" si="85"/>
        <v>0</v>
      </c>
      <c r="J1807" s="365">
        <f t="shared" si="84"/>
        <v>0</v>
      </c>
      <c r="K1807" s="369">
        <f t="shared" si="86"/>
        <v>6</v>
      </c>
      <c r="L1807" s="369">
        <f>+IF((C1807&gt;='Resultats - informe'!$E$16)*(C1807&lt;='Resultats - informe'!$G$16),1,0)</f>
        <v>1</v>
      </c>
      <c r="M1807" s="369" cm="1">
        <f t="array" ref="M1807">+_xlfn.IFS((C1807&gt;='Resultats - informe'!$D$26)*(C1807&lt;='Resultats - informe'!$E$26),0,(C1807&gt;='Resultats - informe'!$D$27)*(C1807&lt;='Resultats - informe'!$E$27),0,(C1807&gt;='Resultats - informe'!$D$28)*(C1807&lt;='Resultats - informe'!$E$28),0,(C1807&gt;='Resultats - informe'!$D$29)*(C1807&lt;='Resultats - informe'!$E$29),0,1,1)</f>
        <v>0</v>
      </c>
      <c r="N1807" s="366">
        <f>+VLOOKUP(D1807,'Resultats - informe'!$Y$18:$AG$42,'Introducció dades consum'!K1807+1,0)</f>
        <v>0</v>
      </c>
      <c r="O1807" s="370" cm="1">
        <f t="array" ref="O1807">+_xlfn.SWITCH(MONTH(C1807),1,1,2,1,3,1,4,2,5,2,6,3,7,3,8,3,9,3,10,2,11,2,12,1,2)</f>
        <v>1</v>
      </c>
      <c r="P1807" s="43"/>
    </row>
    <row r="1808" spans="1:16" ht="18" x14ac:dyDescent="0.35">
      <c r="A1808" s="43"/>
      <c r="C1808" s="393"/>
      <c r="E1808" s="394"/>
      <c r="F1808" s="394">
        <v>0</v>
      </c>
      <c r="G1808" s="394"/>
      <c r="H1808" s="8" t="s">
        <v>235</v>
      </c>
      <c r="I1808" s="368">
        <f t="shared" si="85"/>
        <v>0</v>
      </c>
      <c r="J1808" s="365">
        <f t="shared" si="84"/>
        <v>0</v>
      </c>
      <c r="K1808" s="369">
        <f t="shared" si="86"/>
        <v>6</v>
      </c>
      <c r="L1808" s="369">
        <f>+IF((C1808&gt;='Resultats - informe'!$E$16)*(C1808&lt;='Resultats - informe'!$G$16),1,0)</f>
        <v>1</v>
      </c>
      <c r="M1808" s="369" cm="1">
        <f t="array" ref="M1808">+_xlfn.IFS((C1808&gt;='Resultats - informe'!$D$26)*(C1808&lt;='Resultats - informe'!$E$26),0,(C1808&gt;='Resultats - informe'!$D$27)*(C1808&lt;='Resultats - informe'!$E$27),0,(C1808&gt;='Resultats - informe'!$D$28)*(C1808&lt;='Resultats - informe'!$E$28),0,(C1808&gt;='Resultats - informe'!$D$29)*(C1808&lt;='Resultats - informe'!$E$29),0,1,1)</f>
        <v>0</v>
      </c>
      <c r="N1808" s="366">
        <f>+VLOOKUP(D1808,'Resultats - informe'!$Y$18:$AG$42,'Introducció dades consum'!K1808+1,0)</f>
        <v>0</v>
      </c>
      <c r="O1808" s="370" cm="1">
        <f t="array" ref="O1808">+_xlfn.SWITCH(MONTH(C1808),1,1,2,1,3,1,4,2,5,2,6,3,7,3,8,3,9,3,10,2,11,2,12,1,2)</f>
        <v>1</v>
      </c>
      <c r="P1808" s="43"/>
    </row>
    <row r="1809" spans="1:16" ht="18" x14ac:dyDescent="0.35">
      <c r="A1809" s="43"/>
      <c r="C1809" s="393"/>
      <c r="E1809" s="394"/>
      <c r="F1809" s="394">
        <v>0</v>
      </c>
      <c r="G1809" s="394"/>
      <c r="H1809" s="8" t="s">
        <v>235</v>
      </c>
      <c r="I1809" s="368">
        <f t="shared" si="85"/>
        <v>0</v>
      </c>
      <c r="J1809" s="365">
        <f t="shared" si="84"/>
        <v>0</v>
      </c>
      <c r="K1809" s="369">
        <f t="shared" si="86"/>
        <v>6</v>
      </c>
      <c r="L1809" s="369">
        <f>+IF((C1809&gt;='Resultats - informe'!$E$16)*(C1809&lt;='Resultats - informe'!$G$16),1,0)</f>
        <v>1</v>
      </c>
      <c r="M1809" s="369" cm="1">
        <f t="array" ref="M1809">+_xlfn.IFS((C1809&gt;='Resultats - informe'!$D$26)*(C1809&lt;='Resultats - informe'!$E$26),0,(C1809&gt;='Resultats - informe'!$D$27)*(C1809&lt;='Resultats - informe'!$E$27),0,(C1809&gt;='Resultats - informe'!$D$28)*(C1809&lt;='Resultats - informe'!$E$28),0,(C1809&gt;='Resultats - informe'!$D$29)*(C1809&lt;='Resultats - informe'!$E$29),0,1,1)</f>
        <v>0</v>
      </c>
      <c r="N1809" s="366">
        <f>+VLOOKUP(D1809,'Resultats - informe'!$Y$18:$AG$42,'Introducció dades consum'!K1809+1,0)</f>
        <v>0</v>
      </c>
      <c r="O1809" s="370" cm="1">
        <f t="array" ref="O1809">+_xlfn.SWITCH(MONTH(C1809),1,1,2,1,3,1,4,2,5,2,6,3,7,3,8,3,9,3,10,2,11,2,12,1,2)</f>
        <v>1</v>
      </c>
      <c r="P1809" s="43"/>
    </row>
    <row r="1810" spans="1:16" ht="18" x14ac:dyDescent="0.35">
      <c r="A1810" s="43"/>
      <c r="C1810" s="393"/>
      <c r="E1810" s="394"/>
      <c r="F1810" s="394">
        <v>0</v>
      </c>
      <c r="G1810" s="394"/>
      <c r="H1810" s="8" t="s">
        <v>235</v>
      </c>
      <c r="I1810" s="368">
        <f t="shared" si="85"/>
        <v>0</v>
      </c>
      <c r="J1810" s="365">
        <f t="shared" si="84"/>
        <v>0</v>
      </c>
      <c r="K1810" s="369">
        <f t="shared" si="86"/>
        <v>6</v>
      </c>
      <c r="L1810" s="369">
        <f>+IF((C1810&gt;='Resultats - informe'!$E$16)*(C1810&lt;='Resultats - informe'!$G$16),1,0)</f>
        <v>1</v>
      </c>
      <c r="M1810" s="369" cm="1">
        <f t="array" ref="M1810">+_xlfn.IFS((C1810&gt;='Resultats - informe'!$D$26)*(C1810&lt;='Resultats - informe'!$E$26),0,(C1810&gt;='Resultats - informe'!$D$27)*(C1810&lt;='Resultats - informe'!$E$27),0,(C1810&gt;='Resultats - informe'!$D$28)*(C1810&lt;='Resultats - informe'!$E$28),0,(C1810&gt;='Resultats - informe'!$D$29)*(C1810&lt;='Resultats - informe'!$E$29),0,1,1)</f>
        <v>0</v>
      </c>
      <c r="N1810" s="366">
        <f>+VLOOKUP(D1810,'Resultats - informe'!$Y$18:$AG$42,'Introducció dades consum'!K1810+1,0)</f>
        <v>0</v>
      </c>
      <c r="O1810" s="370" cm="1">
        <f t="array" ref="O1810">+_xlfn.SWITCH(MONTH(C1810),1,1,2,1,3,1,4,2,5,2,6,3,7,3,8,3,9,3,10,2,11,2,12,1,2)</f>
        <v>1</v>
      </c>
      <c r="P1810" s="43"/>
    </row>
    <row r="1811" spans="1:16" ht="18" x14ac:dyDescent="0.35">
      <c r="A1811" s="43"/>
      <c r="C1811" s="393"/>
      <c r="E1811" s="394"/>
      <c r="F1811" s="394">
        <v>0</v>
      </c>
      <c r="G1811" s="394"/>
      <c r="H1811" s="8" t="s">
        <v>235</v>
      </c>
      <c r="I1811" s="368">
        <f t="shared" si="85"/>
        <v>0</v>
      </c>
      <c r="J1811" s="365">
        <f t="shared" si="84"/>
        <v>0</v>
      </c>
      <c r="K1811" s="369">
        <f t="shared" si="86"/>
        <v>6</v>
      </c>
      <c r="L1811" s="369">
        <f>+IF((C1811&gt;='Resultats - informe'!$E$16)*(C1811&lt;='Resultats - informe'!$G$16),1,0)</f>
        <v>1</v>
      </c>
      <c r="M1811" s="369" cm="1">
        <f t="array" ref="M1811">+_xlfn.IFS((C1811&gt;='Resultats - informe'!$D$26)*(C1811&lt;='Resultats - informe'!$E$26),0,(C1811&gt;='Resultats - informe'!$D$27)*(C1811&lt;='Resultats - informe'!$E$27),0,(C1811&gt;='Resultats - informe'!$D$28)*(C1811&lt;='Resultats - informe'!$E$28),0,(C1811&gt;='Resultats - informe'!$D$29)*(C1811&lt;='Resultats - informe'!$E$29),0,1,1)</f>
        <v>0</v>
      </c>
      <c r="N1811" s="366">
        <f>+VLOOKUP(D1811,'Resultats - informe'!$Y$18:$AG$42,'Introducció dades consum'!K1811+1,0)</f>
        <v>0</v>
      </c>
      <c r="O1811" s="370" cm="1">
        <f t="array" ref="O1811">+_xlfn.SWITCH(MONTH(C1811),1,1,2,1,3,1,4,2,5,2,6,3,7,3,8,3,9,3,10,2,11,2,12,1,2)</f>
        <v>1</v>
      </c>
      <c r="P1811" s="43"/>
    </row>
    <row r="1812" spans="1:16" ht="18" x14ac:dyDescent="0.35">
      <c r="A1812" s="43"/>
      <c r="C1812" s="393"/>
      <c r="E1812" s="394"/>
      <c r="F1812" s="394">
        <v>0.56200000000000006</v>
      </c>
      <c r="G1812" s="394"/>
      <c r="H1812" s="8" t="s">
        <v>235</v>
      </c>
      <c r="I1812" s="368">
        <f t="shared" si="85"/>
        <v>0</v>
      </c>
      <c r="J1812" s="365">
        <f t="shared" si="84"/>
        <v>0</v>
      </c>
      <c r="K1812" s="369">
        <f t="shared" si="86"/>
        <v>6</v>
      </c>
      <c r="L1812" s="369">
        <f>+IF((C1812&gt;='Resultats - informe'!$E$16)*(C1812&lt;='Resultats - informe'!$G$16),1,0)</f>
        <v>1</v>
      </c>
      <c r="M1812" s="369" cm="1">
        <f t="array" ref="M1812">+_xlfn.IFS((C1812&gt;='Resultats - informe'!$D$26)*(C1812&lt;='Resultats - informe'!$E$26),0,(C1812&gt;='Resultats - informe'!$D$27)*(C1812&lt;='Resultats - informe'!$E$27),0,(C1812&gt;='Resultats - informe'!$D$28)*(C1812&lt;='Resultats - informe'!$E$28),0,(C1812&gt;='Resultats - informe'!$D$29)*(C1812&lt;='Resultats - informe'!$E$29),0,1,1)</f>
        <v>0</v>
      </c>
      <c r="N1812" s="366">
        <f>+VLOOKUP(D1812,'Resultats - informe'!$Y$18:$AG$42,'Introducció dades consum'!K1812+1,0)</f>
        <v>0</v>
      </c>
      <c r="O1812" s="370" cm="1">
        <f t="array" ref="O1812">+_xlfn.SWITCH(MONTH(C1812),1,1,2,1,3,1,4,2,5,2,6,3,7,3,8,3,9,3,10,2,11,2,12,1,2)</f>
        <v>1</v>
      </c>
      <c r="P1812" s="43"/>
    </row>
    <row r="1813" spans="1:16" ht="18" x14ac:dyDescent="0.35">
      <c r="A1813" s="43"/>
      <c r="C1813" s="393"/>
      <c r="E1813" s="394"/>
      <c r="F1813" s="394">
        <v>0.21099999999999999</v>
      </c>
      <c r="G1813" s="394"/>
      <c r="H1813" s="8" t="s">
        <v>235</v>
      </c>
      <c r="I1813" s="368">
        <f t="shared" si="85"/>
        <v>0</v>
      </c>
      <c r="J1813" s="365">
        <f t="shared" si="84"/>
        <v>0</v>
      </c>
      <c r="K1813" s="369">
        <f t="shared" si="86"/>
        <v>6</v>
      </c>
      <c r="L1813" s="369">
        <f>+IF((C1813&gt;='Resultats - informe'!$E$16)*(C1813&lt;='Resultats - informe'!$G$16),1,0)</f>
        <v>1</v>
      </c>
      <c r="M1813" s="369" cm="1">
        <f t="array" ref="M1813">+_xlfn.IFS((C1813&gt;='Resultats - informe'!$D$26)*(C1813&lt;='Resultats - informe'!$E$26),0,(C1813&gt;='Resultats - informe'!$D$27)*(C1813&lt;='Resultats - informe'!$E$27),0,(C1813&gt;='Resultats - informe'!$D$28)*(C1813&lt;='Resultats - informe'!$E$28),0,(C1813&gt;='Resultats - informe'!$D$29)*(C1813&lt;='Resultats - informe'!$E$29),0,1,1)</f>
        <v>0</v>
      </c>
      <c r="N1813" s="366">
        <f>+VLOOKUP(D1813,'Resultats - informe'!$Y$18:$AG$42,'Introducció dades consum'!K1813+1,0)</f>
        <v>0</v>
      </c>
      <c r="O1813" s="370" cm="1">
        <f t="array" ref="O1813">+_xlfn.SWITCH(MONTH(C1813),1,1,2,1,3,1,4,2,5,2,6,3,7,3,8,3,9,3,10,2,11,2,12,1,2)</f>
        <v>1</v>
      </c>
      <c r="P1813" s="43"/>
    </row>
    <row r="1814" spans="1:16" ht="18" x14ac:dyDescent="0.35">
      <c r="A1814" s="43"/>
      <c r="C1814" s="393"/>
      <c r="E1814" s="394"/>
      <c r="F1814" s="394">
        <v>1.2070000000000001</v>
      </c>
      <c r="G1814" s="394"/>
      <c r="H1814" s="8" t="s">
        <v>235</v>
      </c>
      <c r="I1814" s="368">
        <f t="shared" si="85"/>
        <v>0</v>
      </c>
      <c r="J1814" s="365">
        <f t="shared" si="84"/>
        <v>0</v>
      </c>
      <c r="K1814" s="369">
        <f t="shared" si="86"/>
        <v>6</v>
      </c>
      <c r="L1814" s="369">
        <f>+IF((C1814&gt;='Resultats - informe'!$E$16)*(C1814&lt;='Resultats - informe'!$G$16),1,0)</f>
        <v>1</v>
      </c>
      <c r="M1814" s="369" cm="1">
        <f t="array" ref="M1814">+_xlfn.IFS((C1814&gt;='Resultats - informe'!$D$26)*(C1814&lt;='Resultats - informe'!$E$26),0,(C1814&gt;='Resultats - informe'!$D$27)*(C1814&lt;='Resultats - informe'!$E$27),0,(C1814&gt;='Resultats - informe'!$D$28)*(C1814&lt;='Resultats - informe'!$E$28),0,(C1814&gt;='Resultats - informe'!$D$29)*(C1814&lt;='Resultats - informe'!$E$29),0,1,1)</f>
        <v>0</v>
      </c>
      <c r="N1814" s="366">
        <f>+VLOOKUP(D1814,'Resultats - informe'!$Y$18:$AG$42,'Introducció dades consum'!K1814+1,0)</f>
        <v>0</v>
      </c>
      <c r="O1814" s="370" cm="1">
        <f t="array" ref="O1814">+_xlfn.SWITCH(MONTH(C1814),1,1,2,1,3,1,4,2,5,2,6,3,7,3,8,3,9,3,10,2,11,2,12,1,2)</f>
        <v>1</v>
      </c>
      <c r="P1814" s="43"/>
    </row>
    <row r="1815" spans="1:16" ht="18" x14ac:dyDescent="0.35">
      <c r="A1815" s="43"/>
      <c r="C1815" s="393"/>
      <c r="E1815" s="394"/>
      <c r="F1815" s="394">
        <v>0.79200000000000004</v>
      </c>
      <c r="G1815" s="394"/>
      <c r="H1815" s="8" t="s">
        <v>235</v>
      </c>
      <c r="I1815" s="368">
        <f t="shared" si="85"/>
        <v>0</v>
      </c>
      <c r="J1815" s="365">
        <f t="shared" si="84"/>
        <v>0</v>
      </c>
      <c r="K1815" s="369">
        <f t="shared" si="86"/>
        <v>6</v>
      </c>
      <c r="L1815" s="369">
        <f>+IF((C1815&gt;='Resultats - informe'!$E$16)*(C1815&lt;='Resultats - informe'!$G$16),1,0)</f>
        <v>1</v>
      </c>
      <c r="M1815" s="369" cm="1">
        <f t="array" ref="M1815">+_xlfn.IFS((C1815&gt;='Resultats - informe'!$D$26)*(C1815&lt;='Resultats - informe'!$E$26),0,(C1815&gt;='Resultats - informe'!$D$27)*(C1815&lt;='Resultats - informe'!$E$27),0,(C1815&gt;='Resultats - informe'!$D$28)*(C1815&lt;='Resultats - informe'!$E$28),0,(C1815&gt;='Resultats - informe'!$D$29)*(C1815&lt;='Resultats - informe'!$E$29),0,1,1)</f>
        <v>0</v>
      </c>
      <c r="N1815" s="366">
        <f>+VLOOKUP(D1815,'Resultats - informe'!$Y$18:$AG$42,'Introducció dades consum'!K1815+1,0)</f>
        <v>0</v>
      </c>
      <c r="O1815" s="370" cm="1">
        <f t="array" ref="O1815">+_xlfn.SWITCH(MONTH(C1815),1,1,2,1,3,1,4,2,5,2,6,3,7,3,8,3,9,3,10,2,11,2,12,1,2)</f>
        <v>1</v>
      </c>
      <c r="P1815" s="43"/>
    </row>
    <row r="1816" spans="1:16" ht="18" x14ac:dyDescent="0.35">
      <c r="A1816" s="43"/>
      <c r="C1816" s="393"/>
      <c r="E1816" s="394"/>
      <c r="F1816" s="394">
        <v>0</v>
      </c>
      <c r="G1816" s="394"/>
      <c r="H1816" s="8" t="s">
        <v>235</v>
      </c>
      <c r="I1816" s="368">
        <f t="shared" si="85"/>
        <v>0</v>
      </c>
      <c r="J1816" s="365">
        <f t="shared" si="84"/>
        <v>0</v>
      </c>
      <c r="K1816" s="369">
        <f t="shared" si="86"/>
        <v>6</v>
      </c>
      <c r="L1816" s="369">
        <f>+IF((C1816&gt;='Resultats - informe'!$E$16)*(C1816&lt;='Resultats - informe'!$G$16),1,0)</f>
        <v>1</v>
      </c>
      <c r="M1816" s="369" cm="1">
        <f t="array" ref="M1816">+_xlfn.IFS((C1816&gt;='Resultats - informe'!$D$26)*(C1816&lt;='Resultats - informe'!$E$26),0,(C1816&gt;='Resultats - informe'!$D$27)*(C1816&lt;='Resultats - informe'!$E$27),0,(C1816&gt;='Resultats - informe'!$D$28)*(C1816&lt;='Resultats - informe'!$E$28),0,(C1816&gt;='Resultats - informe'!$D$29)*(C1816&lt;='Resultats - informe'!$E$29),0,1,1)</f>
        <v>0</v>
      </c>
      <c r="N1816" s="366">
        <f>+VLOOKUP(D1816,'Resultats - informe'!$Y$18:$AG$42,'Introducció dades consum'!K1816+1,0)</f>
        <v>0</v>
      </c>
      <c r="O1816" s="370" cm="1">
        <f t="array" ref="O1816">+_xlfn.SWITCH(MONTH(C1816),1,1,2,1,3,1,4,2,5,2,6,3,7,3,8,3,9,3,10,2,11,2,12,1,2)</f>
        <v>1</v>
      </c>
      <c r="P1816" s="43"/>
    </row>
    <row r="1817" spans="1:16" ht="18" x14ac:dyDescent="0.35">
      <c r="A1817" s="43"/>
      <c r="C1817" s="393"/>
      <c r="E1817" s="394"/>
      <c r="F1817" s="394">
        <v>2.165</v>
      </c>
      <c r="G1817" s="394"/>
      <c r="H1817" s="8" t="s">
        <v>235</v>
      </c>
      <c r="I1817" s="368">
        <f t="shared" si="85"/>
        <v>0</v>
      </c>
      <c r="J1817" s="365">
        <f t="shared" si="84"/>
        <v>0</v>
      </c>
      <c r="K1817" s="369">
        <f t="shared" si="86"/>
        <v>6</v>
      </c>
      <c r="L1817" s="369">
        <f>+IF((C1817&gt;='Resultats - informe'!$E$16)*(C1817&lt;='Resultats - informe'!$G$16),1,0)</f>
        <v>1</v>
      </c>
      <c r="M1817" s="369" cm="1">
        <f t="array" ref="M1817">+_xlfn.IFS((C1817&gt;='Resultats - informe'!$D$26)*(C1817&lt;='Resultats - informe'!$E$26),0,(C1817&gt;='Resultats - informe'!$D$27)*(C1817&lt;='Resultats - informe'!$E$27),0,(C1817&gt;='Resultats - informe'!$D$28)*(C1817&lt;='Resultats - informe'!$E$28),0,(C1817&gt;='Resultats - informe'!$D$29)*(C1817&lt;='Resultats - informe'!$E$29),0,1,1)</f>
        <v>0</v>
      </c>
      <c r="N1817" s="366">
        <f>+VLOOKUP(D1817,'Resultats - informe'!$Y$18:$AG$42,'Introducció dades consum'!K1817+1,0)</f>
        <v>0</v>
      </c>
      <c r="O1817" s="370" cm="1">
        <f t="array" ref="O1817">+_xlfn.SWITCH(MONTH(C1817),1,1,2,1,3,1,4,2,5,2,6,3,7,3,8,3,9,3,10,2,11,2,12,1,2)</f>
        <v>1</v>
      </c>
      <c r="P1817" s="43"/>
    </row>
    <row r="1818" spans="1:16" ht="18" x14ac:dyDescent="0.35">
      <c r="A1818" s="43"/>
      <c r="C1818" s="393"/>
      <c r="E1818" s="394"/>
      <c r="F1818" s="394">
        <v>1.7410000000000001</v>
      </c>
      <c r="G1818" s="394"/>
      <c r="H1818" s="8" t="s">
        <v>235</v>
      </c>
      <c r="I1818" s="368">
        <f t="shared" si="85"/>
        <v>0</v>
      </c>
      <c r="J1818" s="365">
        <f t="shared" si="84"/>
        <v>0</v>
      </c>
      <c r="K1818" s="369">
        <f t="shared" si="86"/>
        <v>6</v>
      </c>
      <c r="L1818" s="369">
        <f>+IF((C1818&gt;='Resultats - informe'!$E$16)*(C1818&lt;='Resultats - informe'!$G$16),1,0)</f>
        <v>1</v>
      </c>
      <c r="M1818" s="369" cm="1">
        <f t="array" ref="M1818">+_xlfn.IFS((C1818&gt;='Resultats - informe'!$D$26)*(C1818&lt;='Resultats - informe'!$E$26),0,(C1818&gt;='Resultats - informe'!$D$27)*(C1818&lt;='Resultats - informe'!$E$27),0,(C1818&gt;='Resultats - informe'!$D$28)*(C1818&lt;='Resultats - informe'!$E$28),0,(C1818&gt;='Resultats - informe'!$D$29)*(C1818&lt;='Resultats - informe'!$E$29),0,1,1)</f>
        <v>0</v>
      </c>
      <c r="N1818" s="366">
        <f>+VLOOKUP(D1818,'Resultats - informe'!$Y$18:$AG$42,'Introducció dades consum'!K1818+1,0)</f>
        <v>0</v>
      </c>
      <c r="O1818" s="370" cm="1">
        <f t="array" ref="O1818">+_xlfn.SWITCH(MONTH(C1818),1,1,2,1,3,1,4,2,5,2,6,3,7,3,8,3,9,3,10,2,11,2,12,1,2)</f>
        <v>1</v>
      </c>
      <c r="P1818" s="43"/>
    </row>
    <row r="1819" spans="1:16" ht="18" x14ac:dyDescent="0.35">
      <c r="A1819" s="43"/>
      <c r="C1819" s="393"/>
      <c r="E1819" s="394"/>
      <c r="F1819" s="394">
        <v>1.361</v>
      </c>
      <c r="G1819" s="394"/>
      <c r="H1819" s="8" t="s">
        <v>235</v>
      </c>
      <c r="I1819" s="368">
        <f t="shared" si="85"/>
        <v>0</v>
      </c>
      <c r="J1819" s="365">
        <f t="shared" si="84"/>
        <v>0</v>
      </c>
      <c r="K1819" s="369">
        <f t="shared" si="86"/>
        <v>6</v>
      </c>
      <c r="L1819" s="369">
        <f>+IF((C1819&gt;='Resultats - informe'!$E$16)*(C1819&lt;='Resultats - informe'!$G$16),1,0)</f>
        <v>1</v>
      </c>
      <c r="M1819" s="369" cm="1">
        <f t="array" ref="M1819">+_xlfn.IFS((C1819&gt;='Resultats - informe'!$D$26)*(C1819&lt;='Resultats - informe'!$E$26),0,(C1819&gt;='Resultats - informe'!$D$27)*(C1819&lt;='Resultats - informe'!$E$27),0,(C1819&gt;='Resultats - informe'!$D$28)*(C1819&lt;='Resultats - informe'!$E$28),0,(C1819&gt;='Resultats - informe'!$D$29)*(C1819&lt;='Resultats - informe'!$E$29),0,1,1)</f>
        <v>0</v>
      </c>
      <c r="N1819" s="366">
        <f>+VLOOKUP(D1819,'Resultats - informe'!$Y$18:$AG$42,'Introducció dades consum'!K1819+1,0)</f>
        <v>0</v>
      </c>
      <c r="O1819" s="370" cm="1">
        <f t="array" ref="O1819">+_xlfn.SWITCH(MONTH(C1819),1,1,2,1,3,1,4,2,5,2,6,3,7,3,8,3,9,3,10,2,11,2,12,1,2)</f>
        <v>1</v>
      </c>
      <c r="P1819" s="43"/>
    </row>
    <row r="1820" spans="1:16" ht="18" x14ac:dyDescent="0.35">
      <c r="A1820" s="43"/>
      <c r="C1820" s="393"/>
      <c r="E1820" s="394"/>
      <c r="F1820" s="394">
        <v>0.52500000000000002</v>
      </c>
      <c r="G1820" s="394"/>
      <c r="H1820" s="8" t="s">
        <v>235</v>
      </c>
      <c r="I1820" s="368">
        <f t="shared" si="85"/>
        <v>0</v>
      </c>
      <c r="J1820" s="365">
        <f t="shared" si="84"/>
        <v>0</v>
      </c>
      <c r="K1820" s="369">
        <f t="shared" si="86"/>
        <v>6</v>
      </c>
      <c r="L1820" s="369">
        <f>+IF((C1820&gt;='Resultats - informe'!$E$16)*(C1820&lt;='Resultats - informe'!$G$16),1,0)</f>
        <v>1</v>
      </c>
      <c r="M1820" s="369" cm="1">
        <f t="array" ref="M1820">+_xlfn.IFS((C1820&gt;='Resultats - informe'!$D$26)*(C1820&lt;='Resultats - informe'!$E$26),0,(C1820&gt;='Resultats - informe'!$D$27)*(C1820&lt;='Resultats - informe'!$E$27),0,(C1820&gt;='Resultats - informe'!$D$28)*(C1820&lt;='Resultats - informe'!$E$28),0,(C1820&gt;='Resultats - informe'!$D$29)*(C1820&lt;='Resultats - informe'!$E$29),0,1,1)</f>
        <v>0</v>
      </c>
      <c r="N1820" s="366">
        <f>+VLOOKUP(D1820,'Resultats - informe'!$Y$18:$AG$42,'Introducció dades consum'!K1820+1,0)</f>
        <v>0</v>
      </c>
      <c r="O1820" s="370" cm="1">
        <f t="array" ref="O1820">+_xlfn.SWITCH(MONTH(C1820),1,1,2,1,3,1,4,2,5,2,6,3,7,3,8,3,9,3,10,2,11,2,12,1,2)</f>
        <v>1</v>
      </c>
      <c r="P1820" s="43"/>
    </row>
    <row r="1821" spans="1:16" ht="18" x14ac:dyDescent="0.35">
      <c r="A1821" s="43"/>
      <c r="C1821" s="393"/>
      <c r="E1821" s="394"/>
      <c r="F1821" s="394">
        <v>1.5589999999999999</v>
      </c>
      <c r="G1821" s="394"/>
      <c r="H1821" s="8" t="s">
        <v>61</v>
      </c>
      <c r="I1821" s="368">
        <f t="shared" si="85"/>
        <v>0</v>
      </c>
      <c r="J1821" s="365">
        <f t="shared" si="84"/>
        <v>0</v>
      </c>
      <c r="K1821" s="369">
        <f t="shared" si="86"/>
        <v>6</v>
      </c>
      <c r="L1821" s="369">
        <f>+IF((C1821&gt;='Resultats - informe'!$E$16)*(C1821&lt;='Resultats - informe'!$G$16),1,0)</f>
        <v>1</v>
      </c>
      <c r="M1821" s="369" cm="1">
        <f t="array" ref="M1821">+_xlfn.IFS((C1821&gt;='Resultats - informe'!$D$26)*(C1821&lt;='Resultats - informe'!$E$26),0,(C1821&gt;='Resultats - informe'!$D$27)*(C1821&lt;='Resultats - informe'!$E$27),0,(C1821&gt;='Resultats - informe'!$D$28)*(C1821&lt;='Resultats - informe'!$E$28),0,(C1821&gt;='Resultats - informe'!$D$29)*(C1821&lt;='Resultats - informe'!$E$29),0,1,1)</f>
        <v>0</v>
      </c>
      <c r="N1821" s="366">
        <f>+VLOOKUP(D1821,'Resultats - informe'!$Y$18:$AG$42,'Introducció dades consum'!K1821+1,0)</f>
        <v>0</v>
      </c>
      <c r="O1821" s="370" cm="1">
        <f t="array" ref="O1821">+_xlfn.SWITCH(MONTH(C1821),1,1,2,1,3,1,4,2,5,2,6,3,7,3,8,3,9,3,10,2,11,2,12,1,2)</f>
        <v>1</v>
      </c>
      <c r="P1821" s="43"/>
    </row>
    <row r="1822" spans="1:16" ht="18" x14ac:dyDescent="0.35">
      <c r="A1822" s="43"/>
      <c r="C1822" s="393"/>
      <c r="E1822" s="394"/>
      <c r="F1822" s="394">
        <v>0</v>
      </c>
      <c r="G1822" s="394"/>
      <c r="H1822" s="8" t="s">
        <v>61</v>
      </c>
      <c r="I1822" s="368">
        <f t="shared" si="85"/>
        <v>0</v>
      </c>
      <c r="J1822" s="365">
        <f t="shared" si="84"/>
        <v>0</v>
      </c>
      <c r="K1822" s="369">
        <f t="shared" si="86"/>
        <v>6</v>
      </c>
      <c r="L1822" s="369">
        <f>+IF((C1822&gt;='Resultats - informe'!$E$16)*(C1822&lt;='Resultats - informe'!$G$16),1,0)</f>
        <v>1</v>
      </c>
      <c r="M1822" s="369" cm="1">
        <f t="array" ref="M1822">+_xlfn.IFS((C1822&gt;='Resultats - informe'!$D$26)*(C1822&lt;='Resultats - informe'!$E$26),0,(C1822&gt;='Resultats - informe'!$D$27)*(C1822&lt;='Resultats - informe'!$E$27),0,(C1822&gt;='Resultats - informe'!$D$28)*(C1822&lt;='Resultats - informe'!$E$28),0,(C1822&gt;='Resultats - informe'!$D$29)*(C1822&lt;='Resultats - informe'!$E$29),0,1,1)</f>
        <v>0</v>
      </c>
      <c r="N1822" s="366">
        <f>+VLOOKUP(D1822,'Resultats - informe'!$Y$18:$AG$42,'Introducció dades consum'!K1822+1,0)</f>
        <v>0</v>
      </c>
      <c r="O1822" s="370" cm="1">
        <f t="array" ref="O1822">+_xlfn.SWITCH(MONTH(C1822),1,1,2,1,3,1,4,2,5,2,6,3,7,3,8,3,9,3,10,2,11,2,12,1,2)</f>
        <v>1</v>
      </c>
      <c r="P1822" s="43"/>
    </row>
    <row r="1823" spans="1:16" ht="18" x14ac:dyDescent="0.35">
      <c r="A1823" s="43"/>
      <c r="C1823" s="393"/>
      <c r="E1823" s="394"/>
      <c r="F1823" s="394">
        <v>0</v>
      </c>
      <c r="G1823" s="394"/>
      <c r="H1823" s="8" t="s">
        <v>61</v>
      </c>
      <c r="I1823" s="368">
        <f t="shared" si="85"/>
        <v>0</v>
      </c>
      <c r="J1823" s="365">
        <f t="shared" si="84"/>
        <v>0</v>
      </c>
      <c r="K1823" s="369">
        <f t="shared" si="86"/>
        <v>6</v>
      </c>
      <c r="L1823" s="369">
        <f>+IF((C1823&gt;='Resultats - informe'!$E$16)*(C1823&lt;='Resultats - informe'!$G$16),1,0)</f>
        <v>1</v>
      </c>
      <c r="M1823" s="369" cm="1">
        <f t="array" ref="M1823">+_xlfn.IFS((C1823&gt;='Resultats - informe'!$D$26)*(C1823&lt;='Resultats - informe'!$E$26),0,(C1823&gt;='Resultats - informe'!$D$27)*(C1823&lt;='Resultats - informe'!$E$27),0,(C1823&gt;='Resultats - informe'!$D$28)*(C1823&lt;='Resultats - informe'!$E$28),0,(C1823&gt;='Resultats - informe'!$D$29)*(C1823&lt;='Resultats - informe'!$E$29),0,1,1)</f>
        <v>0</v>
      </c>
      <c r="N1823" s="366">
        <f>+VLOOKUP(D1823,'Resultats - informe'!$Y$18:$AG$42,'Introducció dades consum'!K1823+1,0)</f>
        <v>0</v>
      </c>
      <c r="O1823" s="370" cm="1">
        <f t="array" ref="O1823">+_xlfn.SWITCH(MONTH(C1823),1,1,2,1,3,1,4,2,5,2,6,3,7,3,8,3,9,3,10,2,11,2,12,1,2)</f>
        <v>1</v>
      </c>
      <c r="P1823" s="43"/>
    </row>
    <row r="1824" spans="1:16" ht="18" x14ac:dyDescent="0.35">
      <c r="A1824" s="43"/>
      <c r="C1824" s="393"/>
      <c r="E1824" s="394"/>
      <c r="F1824" s="394">
        <v>0</v>
      </c>
      <c r="G1824" s="394"/>
      <c r="H1824" s="8" t="s">
        <v>235</v>
      </c>
      <c r="I1824" s="368">
        <f t="shared" si="85"/>
        <v>0</v>
      </c>
      <c r="J1824" s="365">
        <f t="shared" si="84"/>
        <v>0</v>
      </c>
      <c r="K1824" s="369">
        <f t="shared" si="86"/>
        <v>6</v>
      </c>
      <c r="L1824" s="369">
        <f>+IF((C1824&gt;='Resultats - informe'!$E$16)*(C1824&lt;='Resultats - informe'!$G$16),1,0)</f>
        <v>1</v>
      </c>
      <c r="M1824" s="369" cm="1">
        <f t="array" ref="M1824">+_xlfn.IFS((C1824&gt;='Resultats - informe'!$D$26)*(C1824&lt;='Resultats - informe'!$E$26),0,(C1824&gt;='Resultats - informe'!$D$27)*(C1824&lt;='Resultats - informe'!$E$27),0,(C1824&gt;='Resultats - informe'!$D$28)*(C1824&lt;='Resultats - informe'!$E$28),0,(C1824&gt;='Resultats - informe'!$D$29)*(C1824&lt;='Resultats - informe'!$E$29),0,1,1)</f>
        <v>0</v>
      </c>
      <c r="N1824" s="366">
        <f>+VLOOKUP(D1824,'Resultats - informe'!$Y$18:$AG$42,'Introducció dades consum'!K1824+1,0)</f>
        <v>0</v>
      </c>
      <c r="O1824" s="370" cm="1">
        <f t="array" ref="O1824">+_xlfn.SWITCH(MONTH(C1824),1,1,2,1,3,1,4,2,5,2,6,3,7,3,8,3,9,3,10,2,11,2,12,1,2)</f>
        <v>1</v>
      </c>
      <c r="P1824" s="43"/>
    </row>
    <row r="1825" spans="1:16" ht="18" x14ac:dyDescent="0.35">
      <c r="A1825" s="43"/>
      <c r="C1825" s="393"/>
      <c r="E1825" s="394"/>
      <c r="F1825" s="394">
        <v>0</v>
      </c>
      <c r="G1825" s="394"/>
      <c r="H1825" s="8" t="s">
        <v>235</v>
      </c>
      <c r="I1825" s="368">
        <f t="shared" si="85"/>
        <v>0</v>
      </c>
      <c r="J1825" s="365">
        <f t="shared" si="84"/>
        <v>0</v>
      </c>
      <c r="K1825" s="369">
        <f t="shared" si="86"/>
        <v>6</v>
      </c>
      <c r="L1825" s="369">
        <f>+IF((C1825&gt;='Resultats - informe'!$E$16)*(C1825&lt;='Resultats - informe'!$G$16),1,0)</f>
        <v>1</v>
      </c>
      <c r="M1825" s="369" cm="1">
        <f t="array" ref="M1825">+_xlfn.IFS((C1825&gt;='Resultats - informe'!$D$26)*(C1825&lt;='Resultats - informe'!$E$26),0,(C1825&gt;='Resultats - informe'!$D$27)*(C1825&lt;='Resultats - informe'!$E$27),0,(C1825&gt;='Resultats - informe'!$D$28)*(C1825&lt;='Resultats - informe'!$E$28),0,(C1825&gt;='Resultats - informe'!$D$29)*(C1825&lt;='Resultats - informe'!$E$29),0,1,1)</f>
        <v>0</v>
      </c>
      <c r="N1825" s="366">
        <f>+VLOOKUP(D1825,'Resultats - informe'!$Y$18:$AG$42,'Introducció dades consum'!K1825+1,0)</f>
        <v>0</v>
      </c>
      <c r="O1825" s="370" cm="1">
        <f t="array" ref="O1825">+_xlfn.SWITCH(MONTH(C1825),1,1,2,1,3,1,4,2,5,2,6,3,7,3,8,3,9,3,10,2,11,2,12,1,2)</f>
        <v>1</v>
      </c>
      <c r="P1825" s="43"/>
    </row>
    <row r="1826" spans="1:16" ht="18" x14ac:dyDescent="0.35">
      <c r="A1826" s="43"/>
      <c r="C1826" s="393"/>
      <c r="E1826" s="394"/>
      <c r="F1826" s="394">
        <v>0</v>
      </c>
      <c r="G1826" s="394"/>
      <c r="H1826" s="8" t="s">
        <v>235</v>
      </c>
      <c r="I1826" s="368">
        <f t="shared" si="85"/>
        <v>0</v>
      </c>
      <c r="J1826" s="365">
        <f t="shared" si="84"/>
        <v>0</v>
      </c>
      <c r="K1826" s="369">
        <f t="shared" si="86"/>
        <v>6</v>
      </c>
      <c r="L1826" s="369">
        <f>+IF((C1826&gt;='Resultats - informe'!$E$16)*(C1826&lt;='Resultats - informe'!$G$16),1,0)</f>
        <v>1</v>
      </c>
      <c r="M1826" s="369" cm="1">
        <f t="array" ref="M1826">+_xlfn.IFS((C1826&gt;='Resultats - informe'!$D$26)*(C1826&lt;='Resultats - informe'!$E$26),0,(C1826&gt;='Resultats - informe'!$D$27)*(C1826&lt;='Resultats - informe'!$E$27),0,(C1826&gt;='Resultats - informe'!$D$28)*(C1826&lt;='Resultats - informe'!$E$28),0,(C1826&gt;='Resultats - informe'!$D$29)*(C1826&lt;='Resultats - informe'!$E$29),0,1,1)</f>
        <v>0</v>
      </c>
      <c r="N1826" s="366">
        <f>+VLOOKUP(D1826,'Resultats - informe'!$Y$18:$AG$42,'Introducció dades consum'!K1826+1,0)</f>
        <v>0</v>
      </c>
      <c r="O1826" s="370" cm="1">
        <f t="array" ref="O1826">+_xlfn.SWITCH(MONTH(C1826),1,1,2,1,3,1,4,2,5,2,6,3,7,3,8,3,9,3,10,2,11,2,12,1,2)</f>
        <v>1</v>
      </c>
      <c r="P1826" s="43"/>
    </row>
    <row r="1827" spans="1:16" ht="18" x14ac:dyDescent="0.35">
      <c r="A1827" s="43"/>
      <c r="C1827" s="393"/>
      <c r="E1827" s="394"/>
      <c r="F1827" s="394">
        <v>0</v>
      </c>
      <c r="G1827" s="394"/>
      <c r="H1827" s="8" t="s">
        <v>235</v>
      </c>
      <c r="I1827" s="368">
        <f t="shared" si="85"/>
        <v>0</v>
      </c>
      <c r="J1827" s="365">
        <f t="shared" si="84"/>
        <v>0</v>
      </c>
      <c r="K1827" s="369">
        <f t="shared" si="86"/>
        <v>6</v>
      </c>
      <c r="L1827" s="369">
        <f>+IF((C1827&gt;='Resultats - informe'!$E$16)*(C1827&lt;='Resultats - informe'!$G$16),1,0)</f>
        <v>1</v>
      </c>
      <c r="M1827" s="369" cm="1">
        <f t="array" ref="M1827">+_xlfn.IFS((C1827&gt;='Resultats - informe'!$D$26)*(C1827&lt;='Resultats - informe'!$E$26),0,(C1827&gt;='Resultats - informe'!$D$27)*(C1827&lt;='Resultats - informe'!$E$27),0,(C1827&gt;='Resultats - informe'!$D$28)*(C1827&lt;='Resultats - informe'!$E$28),0,(C1827&gt;='Resultats - informe'!$D$29)*(C1827&lt;='Resultats - informe'!$E$29),0,1,1)</f>
        <v>0</v>
      </c>
      <c r="N1827" s="366">
        <f>+VLOOKUP(D1827,'Resultats - informe'!$Y$18:$AG$42,'Introducció dades consum'!K1827+1,0)</f>
        <v>0</v>
      </c>
      <c r="O1827" s="370" cm="1">
        <f t="array" ref="O1827">+_xlfn.SWITCH(MONTH(C1827),1,1,2,1,3,1,4,2,5,2,6,3,7,3,8,3,9,3,10,2,11,2,12,1,2)</f>
        <v>1</v>
      </c>
      <c r="P1827" s="43"/>
    </row>
    <row r="1828" spans="1:16" ht="18" x14ac:dyDescent="0.35">
      <c r="A1828" s="43"/>
      <c r="C1828" s="393"/>
      <c r="E1828" s="394"/>
      <c r="F1828" s="394">
        <v>0</v>
      </c>
      <c r="G1828" s="394"/>
      <c r="H1828" s="8" t="s">
        <v>235</v>
      </c>
      <c r="I1828" s="368">
        <f t="shared" si="85"/>
        <v>0</v>
      </c>
      <c r="J1828" s="365">
        <f t="shared" si="84"/>
        <v>0</v>
      </c>
      <c r="K1828" s="369">
        <f t="shared" si="86"/>
        <v>6</v>
      </c>
      <c r="L1828" s="369">
        <f>+IF((C1828&gt;='Resultats - informe'!$E$16)*(C1828&lt;='Resultats - informe'!$G$16),1,0)</f>
        <v>1</v>
      </c>
      <c r="M1828" s="369" cm="1">
        <f t="array" ref="M1828">+_xlfn.IFS((C1828&gt;='Resultats - informe'!$D$26)*(C1828&lt;='Resultats - informe'!$E$26),0,(C1828&gt;='Resultats - informe'!$D$27)*(C1828&lt;='Resultats - informe'!$E$27),0,(C1828&gt;='Resultats - informe'!$D$28)*(C1828&lt;='Resultats - informe'!$E$28),0,(C1828&gt;='Resultats - informe'!$D$29)*(C1828&lt;='Resultats - informe'!$E$29),0,1,1)</f>
        <v>0</v>
      </c>
      <c r="N1828" s="366">
        <f>+VLOOKUP(D1828,'Resultats - informe'!$Y$18:$AG$42,'Introducció dades consum'!K1828+1,0)</f>
        <v>0</v>
      </c>
      <c r="O1828" s="370" cm="1">
        <f t="array" ref="O1828">+_xlfn.SWITCH(MONTH(C1828),1,1,2,1,3,1,4,2,5,2,6,3,7,3,8,3,9,3,10,2,11,2,12,1,2)</f>
        <v>1</v>
      </c>
      <c r="P1828" s="43"/>
    </row>
    <row r="1829" spans="1:16" ht="18" x14ac:dyDescent="0.35">
      <c r="A1829" s="43"/>
      <c r="C1829" s="393"/>
      <c r="E1829" s="394"/>
      <c r="F1829" s="394">
        <v>0</v>
      </c>
      <c r="G1829" s="394"/>
      <c r="H1829" s="8" t="s">
        <v>235</v>
      </c>
      <c r="I1829" s="368">
        <f t="shared" si="85"/>
        <v>0</v>
      </c>
      <c r="J1829" s="365">
        <f t="shared" si="84"/>
        <v>0</v>
      </c>
      <c r="K1829" s="369">
        <f t="shared" si="86"/>
        <v>6</v>
      </c>
      <c r="L1829" s="369">
        <f>+IF((C1829&gt;='Resultats - informe'!$E$16)*(C1829&lt;='Resultats - informe'!$G$16),1,0)</f>
        <v>1</v>
      </c>
      <c r="M1829" s="369" cm="1">
        <f t="array" ref="M1829">+_xlfn.IFS((C1829&gt;='Resultats - informe'!$D$26)*(C1829&lt;='Resultats - informe'!$E$26),0,(C1829&gt;='Resultats - informe'!$D$27)*(C1829&lt;='Resultats - informe'!$E$27),0,(C1829&gt;='Resultats - informe'!$D$28)*(C1829&lt;='Resultats - informe'!$E$28),0,(C1829&gt;='Resultats - informe'!$D$29)*(C1829&lt;='Resultats - informe'!$E$29),0,1,1)</f>
        <v>0</v>
      </c>
      <c r="N1829" s="366">
        <f>+VLOOKUP(D1829,'Resultats - informe'!$Y$18:$AG$42,'Introducció dades consum'!K1829+1,0)</f>
        <v>0</v>
      </c>
      <c r="O1829" s="370" cm="1">
        <f t="array" ref="O1829">+_xlfn.SWITCH(MONTH(C1829),1,1,2,1,3,1,4,2,5,2,6,3,7,3,8,3,9,3,10,2,11,2,12,1,2)</f>
        <v>1</v>
      </c>
      <c r="P1829" s="43"/>
    </row>
    <row r="1830" spans="1:16" ht="18" x14ac:dyDescent="0.35">
      <c r="A1830" s="43"/>
      <c r="C1830" s="393"/>
      <c r="E1830" s="394"/>
      <c r="F1830" s="394">
        <v>0</v>
      </c>
      <c r="G1830" s="394"/>
      <c r="H1830" s="8" t="s">
        <v>235</v>
      </c>
      <c r="I1830" s="368">
        <f t="shared" si="85"/>
        <v>0</v>
      </c>
      <c r="J1830" s="365">
        <f t="shared" si="84"/>
        <v>0</v>
      </c>
      <c r="K1830" s="369">
        <f t="shared" si="86"/>
        <v>6</v>
      </c>
      <c r="L1830" s="369">
        <f>+IF((C1830&gt;='Resultats - informe'!$E$16)*(C1830&lt;='Resultats - informe'!$G$16),1,0)</f>
        <v>1</v>
      </c>
      <c r="M1830" s="369" cm="1">
        <f t="array" ref="M1830">+_xlfn.IFS((C1830&gt;='Resultats - informe'!$D$26)*(C1830&lt;='Resultats - informe'!$E$26),0,(C1830&gt;='Resultats - informe'!$D$27)*(C1830&lt;='Resultats - informe'!$E$27),0,(C1830&gt;='Resultats - informe'!$D$28)*(C1830&lt;='Resultats - informe'!$E$28),0,(C1830&gt;='Resultats - informe'!$D$29)*(C1830&lt;='Resultats - informe'!$E$29),0,1,1)</f>
        <v>0</v>
      </c>
      <c r="N1830" s="366">
        <f>+VLOOKUP(D1830,'Resultats - informe'!$Y$18:$AG$42,'Introducció dades consum'!K1830+1,0)</f>
        <v>0</v>
      </c>
      <c r="O1830" s="370" cm="1">
        <f t="array" ref="O1830">+_xlfn.SWITCH(MONTH(C1830),1,1,2,1,3,1,4,2,5,2,6,3,7,3,8,3,9,3,10,2,11,2,12,1,2)</f>
        <v>1</v>
      </c>
      <c r="P1830" s="43"/>
    </row>
    <row r="1831" spans="1:16" ht="18" x14ac:dyDescent="0.35">
      <c r="A1831" s="43"/>
      <c r="C1831" s="393"/>
      <c r="E1831" s="394"/>
      <c r="F1831" s="394">
        <v>0</v>
      </c>
      <c r="G1831" s="394"/>
      <c r="H1831" s="8" t="s">
        <v>235</v>
      </c>
      <c r="I1831" s="368">
        <f t="shared" si="85"/>
        <v>0</v>
      </c>
      <c r="J1831" s="365">
        <f t="shared" si="84"/>
        <v>0</v>
      </c>
      <c r="K1831" s="369">
        <f t="shared" si="86"/>
        <v>6</v>
      </c>
      <c r="L1831" s="369">
        <f>+IF((C1831&gt;='Resultats - informe'!$E$16)*(C1831&lt;='Resultats - informe'!$G$16),1,0)</f>
        <v>1</v>
      </c>
      <c r="M1831" s="369" cm="1">
        <f t="array" ref="M1831">+_xlfn.IFS((C1831&gt;='Resultats - informe'!$D$26)*(C1831&lt;='Resultats - informe'!$E$26),0,(C1831&gt;='Resultats - informe'!$D$27)*(C1831&lt;='Resultats - informe'!$E$27),0,(C1831&gt;='Resultats - informe'!$D$28)*(C1831&lt;='Resultats - informe'!$E$28),0,(C1831&gt;='Resultats - informe'!$D$29)*(C1831&lt;='Resultats - informe'!$E$29),0,1,1)</f>
        <v>0</v>
      </c>
      <c r="N1831" s="366">
        <f>+VLOOKUP(D1831,'Resultats - informe'!$Y$18:$AG$42,'Introducció dades consum'!K1831+1,0)</f>
        <v>0</v>
      </c>
      <c r="O1831" s="370" cm="1">
        <f t="array" ref="O1831">+_xlfn.SWITCH(MONTH(C1831),1,1,2,1,3,1,4,2,5,2,6,3,7,3,8,3,9,3,10,2,11,2,12,1,2)</f>
        <v>1</v>
      </c>
      <c r="P1831" s="43"/>
    </row>
    <row r="1832" spans="1:16" ht="18" x14ac:dyDescent="0.35">
      <c r="A1832" s="43"/>
      <c r="C1832" s="393"/>
      <c r="E1832" s="394"/>
      <c r="F1832" s="394">
        <v>0</v>
      </c>
      <c r="G1832" s="394"/>
      <c r="H1832" s="8" t="s">
        <v>235</v>
      </c>
      <c r="I1832" s="368">
        <f t="shared" si="85"/>
        <v>0</v>
      </c>
      <c r="J1832" s="365">
        <f t="shared" si="84"/>
        <v>0</v>
      </c>
      <c r="K1832" s="369">
        <f t="shared" si="86"/>
        <v>6</v>
      </c>
      <c r="L1832" s="369">
        <f>+IF((C1832&gt;='Resultats - informe'!$E$16)*(C1832&lt;='Resultats - informe'!$G$16),1,0)</f>
        <v>1</v>
      </c>
      <c r="M1832" s="369" cm="1">
        <f t="array" ref="M1832">+_xlfn.IFS((C1832&gt;='Resultats - informe'!$D$26)*(C1832&lt;='Resultats - informe'!$E$26),0,(C1832&gt;='Resultats - informe'!$D$27)*(C1832&lt;='Resultats - informe'!$E$27),0,(C1832&gt;='Resultats - informe'!$D$28)*(C1832&lt;='Resultats - informe'!$E$28),0,(C1832&gt;='Resultats - informe'!$D$29)*(C1832&lt;='Resultats - informe'!$E$29),0,1,1)</f>
        <v>0</v>
      </c>
      <c r="N1832" s="366">
        <f>+VLOOKUP(D1832,'Resultats - informe'!$Y$18:$AG$42,'Introducció dades consum'!K1832+1,0)</f>
        <v>0</v>
      </c>
      <c r="O1832" s="370" cm="1">
        <f t="array" ref="O1832">+_xlfn.SWITCH(MONTH(C1832),1,1,2,1,3,1,4,2,5,2,6,3,7,3,8,3,9,3,10,2,11,2,12,1,2)</f>
        <v>1</v>
      </c>
      <c r="P1832" s="43"/>
    </row>
    <row r="1833" spans="1:16" ht="18" x14ac:dyDescent="0.35">
      <c r="A1833" s="43"/>
      <c r="C1833" s="393"/>
      <c r="E1833" s="394"/>
      <c r="F1833" s="394">
        <v>0</v>
      </c>
      <c r="G1833" s="394"/>
      <c r="H1833" s="8" t="s">
        <v>235</v>
      </c>
      <c r="I1833" s="368">
        <f t="shared" si="85"/>
        <v>0</v>
      </c>
      <c r="J1833" s="365">
        <f t="shared" si="84"/>
        <v>0</v>
      </c>
      <c r="K1833" s="369">
        <f t="shared" si="86"/>
        <v>6</v>
      </c>
      <c r="L1833" s="369">
        <f>+IF((C1833&gt;='Resultats - informe'!$E$16)*(C1833&lt;='Resultats - informe'!$G$16),1,0)</f>
        <v>1</v>
      </c>
      <c r="M1833" s="369" cm="1">
        <f t="array" ref="M1833">+_xlfn.IFS((C1833&gt;='Resultats - informe'!$D$26)*(C1833&lt;='Resultats - informe'!$E$26),0,(C1833&gt;='Resultats - informe'!$D$27)*(C1833&lt;='Resultats - informe'!$E$27),0,(C1833&gt;='Resultats - informe'!$D$28)*(C1833&lt;='Resultats - informe'!$E$28),0,(C1833&gt;='Resultats - informe'!$D$29)*(C1833&lt;='Resultats - informe'!$E$29),0,1,1)</f>
        <v>0</v>
      </c>
      <c r="N1833" s="366">
        <f>+VLOOKUP(D1833,'Resultats - informe'!$Y$18:$AG$42,'Introducció dades consum'!K1833+1,0)</f>
        <v>0</v>
      </c>
      <c r="O1833" s="370" cm="1">
        <f t="array" ref="O1833">+_xlfn.SWITCH(MONTH(C1833),1,1,2,1,3,1,4,2,5,2,6,3,7,3,8,3,9,3,10,2,11,2,12,1,2)</f>
        <v>1</v>
      </c>
      <c r="P1833" s="43"/>
    </row>
    <row r="1834" spans="1:16" ht="18" x14ac:dyDescent="0.35">
      <c r="A1834" s="43"/>
      <c r="C1834" s="393"/>
      <c r="E1834" s="394"/>
      <c r="F1834" s="394">
        <v>0</v>
      </c>
      <c r="G1834" s="394"/>
      <c r="H1834" s="8" t="s">
        <v>235</v>
      </c>
      <c r="I1834" s="368">
        <f t="shared" si="85"/>
        <v>0</v>
      </c>
      <c r="J1834" s="365">
        <f t="shared" si="84"/>
        <v>0</v>
      </c>
      <c r="K1834" s="369">
        <f t="shared" si="86"/>
        <v>6</v>
      </c>
      <c r="L1834" s="369">
        <f>+IF((C1834&gt;='Resultats - informe'!$E$16)*(C1834&lt;='Resultats - informe'!$G$16),1,0)</f>
        <v>1</v>
      </c>
      <c r="M1834" s="369" cm="1">
        <f t="array" ref="M1834">+_xlfn.IFS((C1834&gt;='Resultats - informe'!$D$26)*(C1834&lt;='Resultats - informe'!$E$26),0,(C1834&gt;='Resultats - informe'!$D$27)*(C1834&lt;='Resultats - informe'!$E$27),0,(C1834&gt;='Resultats - informe'!$D$28)*(C1834&lt;='Resultats - informe'!$E$28),0,(C1834&gt;='Resultats - informe'!$D$29)*(C1834&lt;='Resultats - informe'!$E$29),0,1,1)</f>
        <v>0</v>
      </c>
      <c r="N1834" s="366">
        <f>+VLOOKUP(D1834,'Resultats - informe'!$Y$18:$AG$42,'Introducció dades consum'!K1834+1,0)</f>
        <v>0</v>
      </c>
      <c r="O1834" s="370" cm="1">
        <f t="array" ref="O1834">+_xlfn.SWITCH(MONTH(C1834),1,1,2,1,3,1,4,2,5,2,6,3,7,3,8,3,9,3,10,2,11,2,12,1,2)</f>
        <v>1</v>
      </c>
      <c r="P1834" s="43"/>
    </row>
    <row r="1835" spans="1:16" ht="18" x14ac:dyDescent="0.35">
      <c r="A1835" s="43"/>
      <c r="C1835" s="393"/>
      <c r="E1835" s="394"/>
      <c r="F1835" s="394">
        <v>0</v>
      </c>
      <c r="G1835" s="394"/>
      <c r="H1835" s="8" t="s">
        <v>235</v>
      </c>
      <c r="I1835" s="368">
        <f t="shared" si="85"/>
        <v>0</v>
      </c>
      <c r="J1835" s="365">
        <f t="shared" si="84"/>
        <v>0</v>
      </c>
      <c r="K1835" s="369">
        <f t="shared" si="86"/>
        <v>6</v>
      </c>
      <c r="L1835" s="369">
        <f>+IF((C1835&gt;='Resultats - informe'!$E$16)*(C1835&lt;='Resultats - informe'!$G$16),1,0)</f>
        <v>1</v>
      </c>
      <c r="M1835" s="369" cm="1">
        <f t="array" ref="M1835">+_xlfn.IFS((C1835&gt;='Resultats - informe'!$D$26)*(C1835&lt;='Resultats - informe'!$E$26),0,(C1835&gt;='Resultats - informe'!$D$27)*(C1835&lt;='Resultats - informe'!$E$27),0,(C1835&gt;='Resultats - informe'!$D$28)*(C1835&lt;='Resultats - informe'!$E$28),0,(C1835&gt;='Resultats - informe'!$D$29)*(C1835&lt;='Resultats - informe'!$E$29),0,1,1)</f>
        <v>0</v>
      </c>
      <c r="N1835" s="366">
        <f>+VLOOKUP(D1835,'Resultats - informe'!$Y$18:$AG$42,'Introducció dades consum'!K1835+1,0)</f>
        <v>0</v>
      </c>
      <c r="O1835" s="370" cm="1">
        <f t="array" ref="O1835">+_xlfn.SWITCH(MONTH(C1835),1,1,2,1,3,1,4,2,5,2,6,3,7,3,8,3,9,3,10,2,11,2,12,1,2)</f>
        <v>1</v>
      </c>
      <c r="P1835" s="43"/>
    </row>
    <row r="1836" spans="1:16" ht="18" x14ac:dyDescent="0.35">
      <c r="A1836" s="43"/>
      <c r="C1836" s="393"/>
      <c r="E1836" s="394"/>
      <c r="F1836" s="394">
        <v>0.56899999999999995</v>
      </c>
      <c r="G1836" s="394"/>
      <c r="H1836" s="8" t="s">
        <v>235</v>
      </c>
      <c r="I1836" s="368">
        <f t="shared" si="85"/>
        <v>0</v>
      </c>
      <c r="J1836" s="365">
        <f t="shared" si="84"/>
        <v>0</v>
      </c>
      <c r="K1836" s="369">
        <f t="shared" si="86"/>
        <v>6</v>
      </c>
      <c r="L1836" s="369">
        <f>+IF((C1836&gt;='Resultats - informe'!$E$16)*(C1836&lt;='Resultats - informe'!$G$16),1,0)</f>
        <v>1</v>
      </c>
      <c r="M1836" s="369" cm="1">
        <f t="array" ref="M1836">+_xlfn.IFS((C1836&gt;='Resultats - informe'!$D$26)*(C1836&lt;='Resultats - informe'!$E$26),0,(C1836&gt;='Resultats - informe'!$D$27)*(C1836&lt;='Resultats - informe'!$E$27),0,(C1836&gt;='Resultats - informe'!$D$28)*(C1836&lt;='Resultats - informe'!$E$28),0,(C1836&gt;='Resultats - informe'!$D$29)*(C1836&lt;='Resultats - informe'!$E$29),0,1,1)</f>
        <v>0</v>
      </c>
      <c r="N1836" s="366">
        <f>+VLOOKUP(D1836,'Resultats - informe'!$Y$18:$AG$42,'Introducció dades consum'!K1836+1,0)</f>
        <v>0</v>
      </c>
      <c r="O1836" s="370" cm="1">
        <f t="array" ref="O1836">+_xlfn.SWITCH(MONTH(C1836),1,1,2,1,3,1,4,2,5,2,6,3,7,3,8,3,9,3,10,2,11,2,12,1,2)</f>
        <v>1</v>
      </c>
      <c r="P1836" s="43"/>
    </row>
    <row r="1837" spans="1:16" ht="18" x14ac:dyDescent="0.35">
      <c r="A1837" s="43"/>
      <c r="C1837" s="393"/>
      <c r="E1837" s="394"/>
      <c r="F1837" s="394">
        <v>0</v>
      </c>
      <c r="G1837" s="394"/>
      <c r="H1837" s="8" t="s">
        <v>61</v>
      </c>
      <c r="I1837" s="368">
        <f t="shared" si="85"/>
        <v>0</v>
      </c>
      <c r="J1837" s="365">
        <f t="shared" si="84"/>
        <v>0</v>
      </c>
      <c r="K1837" s="369">
        <f t="shared" si="86"/>
        <v>6</v>
      </c>
      <c r="L1837" s="369">
        <f>+IF((C1837&gt;='Resultats - informe'!$E$16)*(C1837&lt;='Resultats - informe'!$G$16),1,0)</f>
        <v>1</v>
      </c>
      <c r="M1837" s="369" cm="1">
        <f t="array" ref="M1837">+_xlfn.IFS((C1837&gt;='Resultats - informe'!$D$26)*(C1837&lt;='Resultats - informe'!$E$26),0,(C1837&gt;='Resultats - informe'!$D$27)*(C1837&lt;='Resultats - informe'!$E$27),0,(C1837&gt;='Resultats - informe'!$D$28)*(C1837&lt;='Resultats - informe'!$E$28),0,(C1837&gt;='Resultats - informe'!$D$29)*(C1837&lt;='Resultats - informe'!$E$29),0,1,1)</f>
        <v>0</v>
      </c>
      <c r="N1837" s="366">
        <f>+VLOOKUP(D1837,'Resultats - informe'!$Y$18:$AG$42,'Introducció dades consum'!K1837+1,0)</f>
        <v>0</v>
      </c>
      <c r="O1837" s="370" cm="1">
        <f t="array" ref="O1837">+_xlfn.SWITCH(MONTH(C1837),1,1,2,1,3,1,4,2,5,2,6,3,7,3,8,3,9,3,10,2,11,2,12,1,2)</f>
        <v>1</v>
      </c>
      <c r="P1837" s="43"/>
    </row>
    <row r="1838" spans="1:16" ht="18" x14ac:dyDescent="0.35">
      <c r="A1838" s="43"/>
      <c r="C1838" s="393"/>
      <c r="E1838" s="394"/>
      <c r="F1838" s="394">
        <v>0.99399999999999999</v>
      </c>
      <c r="G1838" s="394"/>
      <c r="H1838" s="8" t="s">
        <v>61</v>
      </c>
      <c r="I1838" s="368">
        <f t="shared" si="85"/>
        <v>0</v>
      </c>
      <c r="J1838" s="365">
        <f t="shared" si="84"/>
        <v>0</v>
      </c>
      <c r="K1838" s="369">
        <f t="shared" si="86"/>
        <v>6</v>
      </c>
      <c r="L1838" s="369">
        <f>+IF((C1838&gt;='Resultats - informe'!$E$16)*(C1838&lt;='Resultats - informe'!$G$16),1,0)</f>
        <v>1</v>
      </c>
      <c r="M1838" s="369" cm="1">
        <f t="array" ref="M1838">+_xlfn.IFS((C1838&gt;='Resultats - informe'!$D$26)*(C1838&lt;='Resultats - informe'!$E$26),0,(C1838&gt;='Resultats - informe'!$D$27)*(C1838&lt;='Resultats - informe'!$E$27),0,(C1838&gt;='Resultats - informe'!$D$28)*(C1838&lt;='Resultats - informe'!$E$28),0,(C1838&gt;='Resultats - informe'!$D$29)*(C1838&lt;='Resultats - informe'!$E$29),0,1,1)</f>
        <v>0</v>
      </c>
      <c r="N1838" s="366">
        <f>+VLOOKUP(D1838,'Resultats - informe'!$Y$18:$AG$42,'Introducció dades consum'!K1838+1,0)</f>
        <v>0</v>
      </c>
      <c r="O1838" s="370" cm="1">
        <f t="array" ref="O1838">+_xlfn.SWITCH(MONTH(C1838),1,1,2,1,3,1,4,2,5,2,6,3,7,3,8,3,9,3,10,2,11,2,12,1,2)</f>
        <v>1</v>
      </c>
      <c r="P1838" s="43"/>
    </row>
    <row r="1839" spans="1:16" ht="18" x14ac:dyDescent="0.35">
      <c r="A1839" s="43"/>
      <c r="C1839" s="393"/>
      <c r="E1839" s="394"/>
      <c r="F1839" s="394">
        <v>2.69</v>
      </c>
      <c r="G1839" s="394"/>
      <c r="H1839" s="8" t="s">
        <v>61</v>
      </c>
      <c r="I1839" s="368">
        <f t="shared" si="85"/>
        <v>0</v>
      </c>
      <c r="J1839" s="365">
        <f t="shared" si="84"/>
        <v>0</v>
      </c>
      <c r="K1839" s="369">
        <f t="shared" si="86"/>
        <v>6</v>
      </c>
      <c r="L1839" s="369">
        <f>+IF((C1839&gt;='Resultats - informe'!$E$16)*(C1839&lt;='Resultats - informe'!$G$16),1,0)</f>
        <v>1</v>
      </c>
      <c r="M1839" s="369" cm="1">
        <f t="array" ref="M1839">+_xlfn.IFS((C1839&gt;='Resultats - informe'!$D$26)*(C1839&lt;='Resultats - informe'!$E$26),0,(C1839&gt;='Resultats - informe'!$D$27)*(C1839&lt;='Resultats - informe'!$E$27),0,(C1839&gt;='Resultats - informe'!$D$28)*(C1839&lt;='Resultats - informe'!$E$28),0,(C1839&gt;='Resultats - informe'!$D$29)*(C1839&lt;='Resultats - informe'!$E$29),0,1,1)</f>
        <v>0</v>
      </c>
      <c r="N1839" s="366">
        <f>+VLOOKUP(D1839,'Resultats - informe'!$Y$18:$AG$42,'Introducció dades consum'!K1839+1,0)</f>
        <v>0</v>
      </c>
      <c r="O1839" s="370" cm="1">
        <f t="array" ref="O1839">+_xlfn.SWITCH(MONTH(C1839),1,1,2,1,3,1,4,2,5,2,6,3,7,3,8,3,9,3,10,2,11,2,12,1,2)</f>
        <v>1</v>
      </c>
      <c r="P1839" s="43"/>
    </row>
    <row r="1840" spans="1:16" ht="18" x14ac:dyDescent="0.35">
      <c r="A1840" s="43"/>
      <c r="C1840" s="393"/>
      <c r="E1840" s="394"/>
      <c r="F1840" s="394">
        <v>3.859</v>
      </c>
      <c r="G1840" s="394"/>
      <c r="H1840" s="8" t="s">
        <v>61</v>
      </c>
      <c r="I1840" s="368">
        <f t="shared" si="85"/>
        <v>0</v>
      </c>
      <c r="J1840" s="365">
        <f t="shared" si="84"/>
        <v>0</v>
      </c>
      <c r="K1840" s="369">
        <f t="shared" si="86"/>
        <v>6</v>
      </c>
      <c r="L1840" s="369">
        <f>+IF((C1840&gt;='Resultats - informe'!$E$16)*(C1840&lt;='Resultats - informe'!$G$16),1,0)</f>
        <v>1</v>
      </c>
      <c r="M1840" s="369" cm="1">
        <f t="array" ref="M1840">+_xlfn.IFS((C1840&gt;='Resultats - informe'!$D$26)*(C1840&lt;='Resultats - informe'!$E$26),0,(C1840&gt;='Resultats - informe'!$D$27)*(C1840&lt;='Resultats - informe'!$E$27),0,(C1840&gt;='Resultats - informe'!$D$28)*(C1840&lt;='Resultats - informe'!$E$28),0,(C1840&gt;='Resultats - informe'!$D$29)*(C1840&lt;='Resultats - informe'!$E$29),0,1,1)</f>
        <v>0</v>
      </c>
      <c r="N1840" s="366">
        <f>+VLOOKUP(D1840,'Resultats - informe'!$Y$18:$AG$42,'Introducció dades consum'!K1840+1,0)</f>
        <v>0</v>
      </c>
      <c r="O1840" s="370" cm="1">
        <f t="array" ref="O1840">+_xlfn.SWITCH(MONTH(C1840),1,1,2,1,3,1,4,2,5,2,6,3,7,3,8,3,9,3,10,2,11,2,12,1,2)</f>
        <v>1</v>
      </c>
      <c r="P1840" s="43"/>
    </row>
    <row r="1841" spans="1:16" ht="18" x14ac:dyDescent="0.35">
      <c r="A1841" s="43"/>
      <c r="C1841" s="393"/>
      <c r="E1841" s="394"/>
      <c r="F1841" s="394">
        <v>4.3609999999999998</v>
      </c>
      <c r="G1841" s="394"/>
      <c r="H1841" s="8" t="s">
        <v>61</v>
      </c>
      <c r="I1841" s="368">
        <f t="shared" si="85"/>
        <v>0</v>
      </c>
      <c r="J1841" s="365">
        <f t="shared" si="84"/>
        <v>0</v>
      </c>
      <c r="K1841" s="369">
        <f t="shared" si="86"/>
        <v>6</v>
      </c>
      <c r="L1841" s="369">
        <f>+IF((C1841&gt;='Resultats - informe'!$E$16)*(C1841&lt;='Resultats - informe'!$G$16),1,0)</f>
        <v>1</v>
      </c>
      <c r="M1841" s="369" cm="1">
        <f t="array" ref="M1841">+_xlfn.IFS((C1841&gt;='Resultats - informe'!$D$26)*(C1841&lt;='Resultats - informe'!$E$26),0,(C1841&gt;='Resultats - informe'!$D$27)*(C1841&lt;='Resultats - informe'!$E$27),0,(C1841&gt;='Resultats - informe'!$D$28)*(C1841&lt;='Resultats - informe'!$E$28),0,(C1841&gt;='Resultats - informe'!$D$29)*(C1841&lt;='Resultats - informe'!$E$29),0,1,1)</f>
        <v>0</v>
      </c>
      <c r="N1841" s="366">
        <f>+VLOOKUP(D1841,'Resultats - informe'!$Y$18:$AG$42,'Introducció dades consum'!K1841+1,0)</f>
        <v>0</v>
      </c>
      <c r="O1841" s="370" cm="1">
        <f t="array" ref="O1841">+_xlfn.SWITCH(MONTH(C1841),1,1,2,1,3,1,4,2,5,2,6,3,7,3,8,3,9,3,10,2,11,2,12,1,2)</f>
        <v>1</v>
      </c>
      <c r="P1841" s="43"/>
    </row>
    <row r="1842" spans="1:16" ht="18" x14ac:dyDescent="0.35">
      <c r="A1842" s="43"/>
      <c r="C1842" s="393"/>
      <c r="E1842" s="394"/>
      <c r="F1842" s="394">
        <v>2.5739999999999998</v>
      </c>
      <c r="G1842" s="394"/>
      <c r="H1842" s="8" t="s">
        <v>61</v>
      </c>
      <c r="I1842" s="368">
        <f t="shared" si="85"/>
        <v>0</v>
      </c>
      <c r="J1842" s="365">
        <f t="shared" si="84"/>
        <v>0</v>
      </c>
      <c r="K1842" s="369">
        <f t="shared" si="86"/>
        <v>6</v>
      </c>
      <c r="L1842" s="369">
        <f>+IF((C1842&gt;='Resultats - informe'!$E$16)*(C1842&lt;='Resultats - informe'!$G$16),1,0)</f>
        <v>1</v>
      </c>
      <c r="M1842" s="369" cm="1">
        <f t="array" ref="M1842">+_xlfn.IFS((C1842&gt;='Resultats - informe'!$D$26)*(C1842&lt;='Resultats - informe'!$E$26),0,(C1842&gt;='Resultats - informe'!$D$27)*(C1842&lt;='Resultats - informe'!$E$27),0,(C1842&gt;='Resultats - informe'!$D$28)*(C1842&lt;='Resultats - informe'!$E$28),0,(C1842&gt;='Resultats - informe'!$D$29)*(C1842&lt;='Resultats - informe'!$E$29),0,1,1)</f>
        <v>0</v>
      </c>
      <c r="N1842" s="366">
        <f>+VLOOKUP(D1842,'Resultats - informe'!$Y$18:$AG$42,'Introducció dades consum'!K1842+1,0)</f>
        <v>0</v>
      </c>
      <c r="O1842" s="370" cm="1">
        <f t="array" ref="O1842">+_xlfn.SWITCH(MONTH(C1842),1,1,2,1,3,1,4,2,5,2,6,3,7,3,8,3,9,3,10,2,11,2,12,1,2)</f>
        <v>1</v>
      </c>
      <c r="P1842" s="43"/>
    </row>
    <row r="1843" spans="1:16" ht="18" x14ac:dyDescent="0.35">
      <c r="A1843" s="43"/>
      <c r="C1843" s="393"/>
      <c r="E1843" s="394"/>
      <c r="F1843" s="394">
        <v>0</v>
      </c>
      <c r="G1843" s="394"/>
      <c r="H1843" s="8" t="s">
        <v>61</v>
      </c>
      <c r="I1843" s="368">
        <f t="shared" si="85"/>
        <v>0</v>
      </c>
      <c r="J1843" s="365">
        <f t="shared" si="84"/>
        <v>0</v>
      </c>
      <c r="K1843" s="369">
        <f t="shared" si="86"/>
        <v>6</v>
      </c>
      <c r="L1843" s="369">
        <f>+IF((C1843&gt;='Resultats - informe'!$E$16)*(C1843&lt;='Resultats - informe'!$G$16),1,0)</f>
        <v>1</v>
      </c>
      <c r="M1843" s="369" cm="1">
        <f t="array" ref="M1843">+_xlfn.IFS((C1843&gt;='Resultats - informe'!$D$26)*(C1843&lt;='Resultats - informe'!$E$26),0,(C1843&gt;='Resultats - informe'!$D$27)*(C1843&lt;='Resultats - informe'!$E$27),0,(C1843&gt;='Resultats - informe'!$D$28)*(C1843&lt;='Resultats - informe'!$E$28),0,(C1843&gt;='Resultats - informe'!$D$29)*(C1843&lt;='Resultats - informe'!$E$29),0,1,1)</f>
        <v>0</v>
      </c>
      <c r="N1843" s="366">
        <f>+VLOOKUP(D1843,'Resultats - informe'!$Y$18:$AG$42,'Introducció dades consum'!K1843+1,0)</f>
        <v>0</v>
      </c>
      <c r="O1843" s="370" cm="1">
        <f t="array" ref="O1843">+_xlfn.SWITCH(MONTH(C1843),1,1,2,1,3,1,4,2,5,2,6,3,7,3,8,3,9,3,10,2,11,2,12,1,2)</f>
        <v>1</v>
      </c>
      <c r="P1843" s="43"/>
    </row>
    <row r="1844" spans="1:16" ht="18" x14ac:dyDescent="0.35">
      <c r="A1844" s="43"/>
      <c r="C1844" s="393"/>
      <c r="E1844" s="394"/>
      <c r="F1844" s="394">
        <v>0</v>
      </c>
      <c r="G1844" s="394"/>
      <c r="H1844" s="8" t="s">
        <v>61</v>
      </c>
      <c r="I1844" s="368">
        <f t="shared" si="85"/>
        <v>0</v>
      </c>
      <c r="J1844" s="365">
        <f t="shared" si="84"/>
        <v>0</v>
      </c>
      <c r="K1844" s="369">
        <f t="shared" si="86"/>
        <v>6</v>
      </c>
      <c r="L1844" s="369">
        <f>+IF((C1844&gt;='Resultats - informe'!$E$16)*(C1844&lt;='Resultats - informe'!$G$16),1,0)</f>
        <v>1</v>
      </c>
      <c r="M1844" s="369" cm="1">
        <f t="array" ref="M1844">+_xlfn.IFS((C1844&gt;='Resultats - informe'!$D$26)*(C1844&lt;='Resultats - informe'!$E$26),0,(C1844&gt;='Resultats - informe'!$D$27)*(C1844&lt;='Resultats - informe'!$E$27),0,(C1844&gt;='Resultats - informe'!$D$28)*(C1844&lt;='Resultats - informe'!$E$28),0,(C1844&gt;='Resultats - informe'!$D$29)*(C1844&lt;='Resultats - informe'!$E$29),0,1,1)</f>
        <v>0</v>
      </c>
      <c r="N1844" s="366">
        <f>+VLOOKUP(D1844,'Resultats - informe'!$Y$18:$AG$42,'Introducció dades consum'!K1844+1,0)</f>
        <v>0</v>
      </c>
      <c r="O1844" s="370" cm="1">
        <f t="array" ref="O1844">+_xlfn.SWITCH(MONTH(C1844),1,1,2,1,3,1,4,2,5,2,6,3,7,3,8,3,9,3,10,2,11,2,12,1,2)</f>
        <v>1</v>
      </c>
      <c r="P1844" s="43"/>
    </row>
    <row r="1845" spans="1:16" ht="18" x14ac:dyDescent="0.35">
      <c r="A1845" s="43"/>
      <c r="C1845" s="393"/>
      <c r="E1845" s="394"/>
      <c r="F1845" s="394">
        <v>0</v>
      </c>
      <c r="G1845" s="394"/>
      <c r="H1845" s="8" t="s">
        <v>61</v>
      </c>
      <c r="I1845" s="368">
        <f t="shared" si="85"/>
        <v>0</v>
      </c>
      <c r="J1845" s="365">
        <f t="shared" si="84"/>
        <v>0</v>
      </c>
      <c r="K1845" s="369">
        <f t="shared" si="86"/>
        <v>6</v>
      </c>
      <c r="L1845" s="369">
        <f>+IF((C1845&gt;='Resultats - informe'!$E$16)*(C1845&lt;='Resultats - informe'!$G$16),1,0)</f>
        <v>1</v>
      </c>
      <c r="M1845" s="369" cm="1">
        <f t="array" ref="M1845">+_xlfn.IFS((C1845&gt;='Resultats - informe'!$D$26)*(C1845&lt;='Resultats - informe'!$E$26),0,(C1845&gt;='Resultats - informe'!$D$27)*(C1845&lt;='Resultats - informe'!$E$27),0,(C1845&gt;='Resultats - informe'!$D$28)*(C1845&lt;='Resultats - informe'!$E$28),0,(C1845&gt;='Resultats - informe'!$D$29)*(C1845&lt;='Resultats - informe'!$E$29),0,1,1)</f>
        <v>0</v>
      </c>
      <c r="N1845" s="366">
        <f>+VLOOKUP(D1845,'Resultats - informe'!$Y$18:$AG$42,'Introducció dades consum'!K1845+1,0)</f>
        <v>0</v>
      </c>
      <c r="O1845" s="370" cm="1">
        <f t="array" ref="O1845">+_xlfn.SWITCH(MONTH(C1845),1,1,2,1,3,1,4,2,5,2,6,3,7,3,8,3,9,3,10,2,11,2,12,1,2)</f>
        <v>1</v>
      </c>
      <c r="P1845" s="43"/>
    </row>
    <row r="1846" spans="1:16" ht="18" x14ac:dyDescent="0.35">
      <c r="A1846" s="43"/>
      <c r="C1846" s="393"/>
      <c r="E1846" s="394"/>
      <c r="F1846" s="394">
        <v>0</v>
      </c>
      <c r="G1846" s="394"/>
      <c r="H1846" s="8" t="s">
        <v>235</v>
      </c>
      <c r="I1846" s="368">
        <f t="shared" si="85"/>
        <v>0</v>
      </c>
      <c r="J1846" s="365">
        <f t="shared" si="84"/>
        <v>0</v>
      </c>
      <c r="K1846" s="369">
        <f t="shared" si="86"/>
        <v>6</v>
      </c>
      <c r="L1846" s="369">
        <f>+IF((C1846&gt;='Resultats - informe'!$E$16)*(C1846&lt;='Resultats - informe'!$G$16),1,0)</f>
        <v>1</v>
      </c>
      <c r="M1846" s="369" cm="1">
        <f t="array" ref="M1846">+_xlfn.IFS((C1846&gt;='Resultats - informe'!$D$26)*(C1846&lt;='Resultats - informe'!$E$26),0,(C1846&gt;='Resultats - informe'!$D$27)*(C1846&lt;='Resultats - informe'!$E$27),0,(C1846&gt;='Resultats - informe'!$D$28)*(C1846&lt;='Resultats - informe'!$E$28),0,(C1846&gt;='Resultats - informe'!$D$29)*(C1846&lt;='Resultats - informe'!$E$29),0,1,1)</f>
        <v>0</v>
      </c>
      <c r="N1846" s="366">
        <f>+VLOOKUP(D1846,'Resultats - informe'!$Y$18:$AG$42,'Introducció dades consum'!K1846+1,0)</f>
        <v>0</v>
      </c>
      <c r="O1846" s="370" cm="1">
        <f t="array" ref="O1846">+_xlfn.SWITCH(MONTH(C1846),1,1,2,1,3,1,4,2,5,2,6,3,7,3,8,3,9,3,10,2,11,2,12,1,2)</f>
        <v>1</v>
      </c>
      <c r="P1846" s="43"/>
    </row>
    <row r="1847" spans="1:16" ht="18" x14ac:dyDescent="0.35">
      <c r="A1847" s="43"/>
      <c r="C1847" s="393"/>
      <c r="E1847" s="394"/>
      <c r="F1847" s="394">
        <v>0</v>
      </c>
      <c r="G1847" s="394"/>
      <c r="H1847" s="8" t="s">
        <v>235</v>
      </c>
      <c r="I1847" s="368">
        <f t="shared" si="85"/>
        <v>0</v>
      </c>
      <c r="J1847" s="365">
        <f t="shared" si="84"/>
        <v>0</v>
      </c>
      <c r="K1847" s="369">
        <f t="shared" si="86"/>
        <v>6</v>
      </c>
      <c r="L1847" s="369">
        <f>+IF((C1847&gt;='Resultats - informe'!$E$16)*(C1847&lt;='Resultats - informe'!$G$16),1,0)</f>
        <v>1</v>
      </c>
      <c r="M1847" s="369" cm="1">
        <f t="array" ref="M1847">+_xlfn.IFS((C1847&gt;='Resultats - informe'!$D$26)*(C1847&lt;='Resultats - informe'!$E$26),0,(C1847&gt;='Resultats - informe'!$D$27)*(C1847&lt;='Resultats - informe'!$E$27),0,(C1847&gt;='Resultats - informe'!$D$28)*(C1847&lt;='Resultats - informe'!$E$28),0,(C1847&gt;='Resultats - informe'!$D$29)*(C1847&lt;='Resultats - informe'!$E$29),0,1,1)</f>
        <v>0</v>
      </c>
      <c r="N1847" s="366">
        <f>+VLOOKUP(D1847,'Resultats - informe'!$Y$18:$AG$42,'Introducció dades consum'!K1847+1,0)</f>
        <v>0</v>
      </c>
      <c r="O1847" s="370" cm="1">
        <f t="array" ref="O1847">+_xlfn.SWITCH(MONTH(C1847),1,1,2,1,3,1,4,2,5,2,6,3,7,3,8,3,9,3,10,2,11,2,12,1,2)</f>
        <v>1</v>
      </c>
      <c r="P1847" s="43"/>
    </row>
    <row r="1848" spans="1:16" ht="18" x14ac:dyDescent="0.35">
      <c r="A1848" s="43"/>
      <c r="C1848" s="393"/>
      <c r="E1848" s="394"/>
      <c r="F1848" s="394">
        <v>0</v>
      </c>
      <c r="G1848" s="394"/>
      <c r="H1848" s="8" t="s">
        <v>235</v>
      </c>
      <c r="I1848" s="368">
        <f t="shared" si="85"/>
        <v>0</v>
      </c>
      <c r="J1848" s="365">
        <f t="shared" si="84"/>
        <v>0</v>
      </c>
      <c r="K1848" s="369">
        <f t="shared" si="86"/>
        <v>6</v>
      </c>
      <c r="L1848" s="369">
        <f>+IF((C1848&gt;='Resultats - informe'!$E$16)*(C1848&lt;='Resultats - informe'!$G$16),1,0)</f>
        <v>1</v>
      </c>
      <c r="M1848" s="369" cm="1">
        <f t="array" ref="M1848">+_xlfn.IFS((C1848&gt;='Resultats - informe'!$D$26)*(C1848&lt;='Resultats - informe'!$E$26),0,(C1848&gt;='Resultats - informe'!$D$27)*(C1848&lt;='Resultats - informe'!$E$27),0,(C1848&gt;='Resultats - informe'!$D$28)*(C1848&lt;='Resultats - informe'!$E$28),0,(C1848&gt;='Resultats - informe'!$D$29)*(C1848&lt;='Resultats - informe'!$E$29),0,1,1)</f>
        <v>0</v>
      </c>
      <c r="N1848" s="366">
        <f>+VLOOKUP(D1848,'Resultats - informe'!$Y$18:$AG$42,'Introducció dades consum'!K1848+1,0)</f>
        <v>0</v>
      </c>
      <c r="O1848" s="370" cm="1">
        <f t="array" ref="O1848">+_xlfn.SWITCH(MONTH(C1848),1,1,2,1,3,1,4,2,5,2,6,3,7,3,8,3,9,3,10,2,11,2,12,1,2)</f>
        <v>1</v>
      </c>
      <c r="P1848" s="43"/>
    </row>
    <row r="1849" spans="1:16" ht="18" x14ac:dyDescent="0.35">
      <c r="A1849" s="43"/>
      <c r="C1849" s="393"/>
      <c r="E1849" s="394"/>
      <c r="F1849" s="394">
        <v>0</v>
      </c>
      <c r="G1849" s="394"/>
      <c r="H1849" s="8" t="s">
        <v>235</v>
      </c>
      <c r="I1849" s="368">
        <f t="shared" si="85"/>
        <v>0</v>
      </c>
      <c r="J1849" s="365">
        <f t="shared" si="84"/>
        <v>0</v>
      </c>
      <c r="K1849" s="369">
        <f t="shared" si="86"/>
        <v>6</v>
      </c>
      <c r="L1849" s="369">
        <f>+IF((C1849&gt;='Resultats - informe'!$E$16)*(C1849&lt;='Resultats - informe'!$G$16),1,0)</f>
        <v>1</v>
      </c>
      <c r="M1849" s="369" cm="1">
        <f t="array" ref="M1849">+_xlfn.IFS((C1849&gt;='Resultats - informe'!$D$26)*(C1849&lt;='Resultats - informe'!$E$26),0,(C1849&gt;='Resultats - informe'!$D$27)*(C1849&lt;='Resultats - informe'!$E$27),0,(C1849&gt;='Resultats - informe'!$D$28)*(C1849&lt;='Resultats - informe'!$E$28),0,(C1849&gt;='Resultats - informe'!$D$29)*(C1849&lt;='Resultats - informe'!$E$29),0,1,1)</f>
        <v>0</v>
      </c>
      <c r="N1849" s="366">
        <f>+VLOOKUP(D1849,'Resultats - informe'!$Y$18:$AG$42,'Introducció dades consum'!K1849+1,0)</f>
        <v>0</v>
      </c>
      <c r="O1849" s="370" cm="1">
        <f t="array" ref="O1849">+_xlfn.SWITCH(MONTH(C1849),1,1,2,1,3,1,4,2,5,2,6,3,7,3,8,3,9,3,10,2,11,2,12,1,2)</f>
        <v>1</v>
      </c>
      <c r="P1849" s="43"/>
    </row>
    <row r="1850" spans="1:16" ht="18" x14ac:dyDescent="0.35">
      <c r="A1850" s="43"/>
      <c r="C1850" s="393"/>
      <c r="E1850" s="394"/>
      <c r="F1850" s="394">
        <v>0</v>
      </c>
      <c r="G1850" s="394"/>
      <c r="H1850" s="8" t="s">
        <v>235</v>
      </c>
      <c r="I1850" s="368">
        <f t="shared" si="85"/>
        <v>0</v>
      </c>
      <c r="J1850" s="365">
        <f t="shared" si="84"/>
        <v>0</v>
      </c>
      <c r="K1850" s="369">
        <f t="shared" si="86"/>
        <v>6</v>
      </c>
      <c r="L1850" s="369">
        <f>+IF((C1850&gt;='Resultats - informe'!$E$16)*(C1850&lt;='Resultats - informe'!$G$16),1,0)</f>
        <v>1</v>
      </c>
      <c r="M1850" s="369" cm="1">
        <f t="array" ref="M1850">+_xlfn.IFS((C1850&gt;='Resultats - informe'!$D$26)*(C1850&lt;='Resultats - informe'!$E$26),0,(C1850&gt;='Resultats - informe'!$D$27)*(C1850&lt;='Resultats - informe'!$E$27),0,(C1850&gt;='Resultats - informe'!$D$28)*(C1850&lt;='Resultats - informe'!$E$28),0,(C1850&gt;='Resultats - informe'!$D$29)*(C1850&lt;='Resultats - informe'!$E$29),0,1,1)</f>
        <v>0</v>
      </c>
      <c r="N1850" s="366">
        <f>+VLOOKUP(D1850,'Resultats - informe'!$Y$18:$AG$42,'Introducció dades consum'!K1850+1,0)</f>
        <v>0</v>
      </c>
      <c r="O1850" s="370" cm="1">
        <f t="array" ref="O1850">+_xlfn.SWITCH(MONTH(C1850),1,1,2,1,3,1,4,2,5,2,6,3,7,3,8,3,9,3,10,2,11,2,12,1,2)</f>
        <v>1</v>
      </c>
      <c r="P1850" s="43"/>
    </row>
    <row r="1851" spans="1:16" ht="18" x14ac:dyDescent="0.35">
      <c r="A1851" s="43"/>
      <c r="C1851" s="393"/>
      <c r="E1851" s="394"/>
      <c r="F1851" s="394">
        <v>0</v>
      </c>
      <c r="G1851" s="394"/>
      <c r="H1851" s="8" t="s">
        <v>235</v>
      </c>
      <c r="I1851" s="368">
        <f t="shared" si="85"/>
        <v>0</v>
      </c>
      <c r="J1851" s="365">
        <f t="shared" ref="J1851:J1914" si="87">+C1851</f>
        <v>0</v>
      </c>
      <c r="K1851" s="369">
        <f t="shared" si="86"/>
        <v>6</v>
      </c>
      <c r="L1851" s="369">
        <f>+IF((C1851&gt;='Resultats - informe'!$E$16)*(C1851&lt;='Resultats - informe'!$G$16),1,0)</f>
        <v>1</v>
      </c>
      <c r="M1851" s="369" cm="1">
        <f t="array" ref="M1851">+_xlfn.IFS((C1851&gt;='Resultats - informe'!$D$26)*(C1851&lt;='Resultats - informe'!$E$26),0,(C1851&gt;='Resultats - informe'!$D$27)*(C1851&lt;='Resultats - informe'!$E$27),0,(C1851&gt;='Resultats - informe'!$D$28)*(C1851&lt;='Resultats - informe'!$E$28),0,(C1851&gt;='Resultats - informe'!$D$29)*(C1851&lt;='Resultats - informe'!$E$29),0,1,1)</f>
        <v>0</v>
      </c>
      <c r="N1851" s="366">
        <f>+VLOOKUP(D1851,'Resultats - informe'!$Y$18:$AG$42,'Introducció dades consum'!K1851+1,0)</f>
        <v>0</v>
      </c>
      <c r="O1851" s="370" cm="1">
        <f t="array" ref="O1851">+_xlfn.SWITCH(MONTH(C1851),1,1,2,1,3,1,4,2,5,2,6,3,7,3,8,3,9,3,10,2,11,2,12,1,2)</f>
        <v>1</v>
      </c>
      <c r="P1851" s="43"/>
    </row>
    <row r="1852" spans="1:16" ht="18" x14ac:dyDescent="0.35">
      <c r="A1852" s="43"/>
      <c r="C1852" s="393"/>
      <c r="E1852" s="394"/>
      <c r="F1852" s="394">
        <v>0</v>
      </c>
      <c r="G1852" s="394"/>
      <c r="H1852" s="8" t="s">
        <v>235</v>
      </c>
      <c r="I1852" s="368">
        <f t="shared" si="85"/>
        <v>0</v>
      </c>
      <c r="J1852" s="365">
        <f t="shared" si="87"/>
        <v>0</v>
      </c>
      <c r="K1852" s="369">
        <f t="shared" si="86"/>
        <v>6</v>
      </c>
      <c r="L1852" s="369">
        <f>+IF((C1852&gt;='Resultats - informe'!$E$16)*(C1852&lt;='Resultats - informe'!$G$16),1,0)</f>
        <v>1</v>
      </c>
      <c r="M1852" s="369" cm="1">
        <f t="array" ref="M1852">+_xlfn.IFS((C1852&gt;='Resultats - informe'!$D$26)*(C1852&lt;='Resultats - informe'!$E$26),0,(C1852&gt;='Resultats - informe'!$D$27)*(C1852&lt;='Resultats - informe'!$E$27),0,(C1852&gt;='Resultats - informe'!$D$28)*(C1852&lt;='Resultats - informe'!$E$28),0,(C1852&gt;='Resultats - informe'!$D$29)*(C1852&lt;='Resultats - informe'!$E$29),0,1,1)</f>
        <v>0</v>
      </c>
      <c r="N1852" s="366">
        <f>+VLOOKUP(D1852,'Resultats - informe'!$Y$18:$AG$42,'Introducció dades consum'!K1852+1,0)</f>
        <v>0</v>
      </c>
      <c r="O1852" s="370" cm="1">
        <f t="array" ref="O1852">+_xlfn.SWITCH(MONTH(C1852),1,1,2,1,3,1,4,2,5,2,6,3,7,3,8,3,9,3,10,2,11,2,12,1,2)</f>
        <v>1</v>
      </c>
      <c r="P1852" s="43"/>
    </row>
    <row r="1853" spans="1:16" ht="18" x14ac:dyDescent="0.35">
      <c r="A1853" s="43"/>
      <c r="C1853" s="393"/>
      <c r="E1853" s="394"/>
      <c r="F1853" s="394">
        <v>0</v>
      </c>
      <c r="G1853" s="394"/>
      <c r="H1853" s="8" t="s">
        <v>235</v>
      </c>
      <c r="I1853" s="368">
        <f t="shared" si="85"/>
        <v>0</v>
      </c>
      <c r="J1853" s="365">
        <f t="shared" si="87"/>
        <v>0</v>
      </c>
      <c r="K1853" s="369">
        <f t="shared" si="86"/>
        <v>6</v>
      </c>
      <c r="L1853" s="369">
        <f>+IF((C1853&gt;='Resultats - informe'!$E$16)*(C1853&lt;='Resultats - informe'!$G$16),1,0)</f>
        <v>1</v>
      </c>
      <c r="M1853" s="369" cm="1">
        <f t="array" ref="M1853">+_xlfn.IFS((C1853&gt;='Resultats - informe'!$D$26)*(C1853&lt;='Resultats - informe'!$E$26),0,(C1853&gt;='Resultats - informe'!$D$27)*(C1853&lt;='Resultats - informe'!$E$27),0,(C1853&gt;='Resultats - informe'!$D$28)*(C1853&lt;='Resultats - informe'!$E$28),0,(C1853&gt;='Resultats - informe'!$D$29)*(C1853&lt;='Resultats - informe'!$E$29),0,1,1)</f>
        <v>0</v>
      </c>
      <c r="N1853" s="366">
        <f>+VLOOKUP(D1853,'Resultats - informe'!$Y$18:$AG$42,'Introducció dades consum'!K1853+1,0)</f>
        <v>0</v>
      </c>
      <c r="O1853" s="370" cm="1">
        <f t="array" ref="O1853">+_xlfn.SWITCH(MONTH(C1853),1,1,2,1,3,1,4,2,5,2,6,3,7,3,8,3,9,3,10,2,11,2,12,1,2)</f>
        <v>1</v>
      </c>
      <c r="P1853" s="43"/>
    </row>
    <row r="1854" spans="1:16" ht="18" x14ac:dyDescent="0.35">
      <c r="A1854" s="43"/>
      <c r="C1854" s="393"/>
      <c r="E1854" s="394"/>
      <c r="F1854" s="394">
        <v>0</v>
      </c>
      <c r="G1854" s="394"/>
      <c r="H1854" s="8" t="s">
        <v>235</v>
      </c>
      <c r="I1854" s="368">
        <f t="shared" si="85"/>
        <v>0</v>
      </c>
      <c r="J1854" s="365">
        <f t="shared" si="87"/>
        <v>0</v>
      </c>
      <c r="K1854" s="369">
        <f t="shared" si="86"/>
        <v>6</v>
      </c>
      <c r="L1854" s="369">
        <f>+IF((C1854&gt;='Resultats - informe'!$E$16)*(C1854&lt;='Resultats - informe'!$G$16),1,0)</f>
        <v>1</v>
      </c>
      <c r="M1854" s="369" cm="1">
        <f t="array" ref="M1854">+_xlfn.IFS((C1854&gt;='Resultats - informe'!$D$26)*(C1854&lt;='Resultats - informe'!$E$26),0,(C1854&gt;='Resultats - informe'!$D$27)*(C1854&lt;='Resultats - informe'!$E$27),0,(C1854&gt;='Resultats - informe'!$D$28)*(C1854&lt;='Resultats - informe'!$E$28),0,(C1854&gt;='Resultats - informe'!$D$29)*(C1854&lt;='Resultats - informe'!$E$29),0,1,1)</f>
        <v>0</v>
      </c>
      <c r="N1854" s="366">
        <f>+VLOOKUP(D1854,'Resultats - informe'!$Y$18:$AG$42,'Introducció dades consum'!K1854+1,0)</f>
        <v>0</v>
      </c>
      <c r="O1854" s="370" cm="1">
        <f t="array" ref="O1854">+_xlfn.SWITCH(MONTH(C1854),1,1,2,1,3,1,4,2,5,2,6,3,7,3,8,3,9,3,10,2,11,2,12,1,2)</f>
        <v>1</v>
      </c>
      <c r="P1854" s="43"/>
    </row>
    <row r="1855" spans="1:16" ht="18" x14ac:dyDescent="0.35">
      <c r="A1855" s="43"/>
      <c r="C1855" s="393"/>
      <c r="E1855" s="394"/>
      <c r="F1855" s="394">
        <v>0</v>
      </c>
      <c r="G1855" s="394"/>
      <c r="H1855" s="8" t="s">
        <v>235</v>
      </c>
      <c r="I1855" s="368">
        <f t="shared" si="85"/>
        <v>0</v>
      </c>
      <c r="J1855" s="365">
        <f t="shared" si="87"/>
        <v>0</v>
      </c>
      <c r="K1855" s="369">
        <f t="shared" si="86"/>
        <v>6</v>
      </c>
      <c r="L1855" s="369">
        <f>+IF((C1855&gt;='Resultats - informe'!$E$16)*(C1855&lt;='Resultats - informe'!$G$16),1,0)</f>
        <v>1</v>
      </c>
      <c r="M1855" s="369" cm="1">
        <f t="array" ref="M1855">+_xlfn.IFS((C1855&gt;='Resultats - informe'!$D$26)*(C1855&lt;='Resultats - informe'!$E$26),0,(C1855&gt;='Resultats - informe'!$D$27)*(C1855&lt;='Resultats - informe'!$E$27),0,(C1855&gt;='Resultats - informe'!$D$28)*(C1855&lt;='Resultats - informe'!$E$28),0,(C1855&gt;='Resultats - informe'!$D$29)*(C1855&lt;='Resultats - informe'!$E$29),0,1,1)</f>
        <v>0</v>
      </c>
      <c r="N1855" s="366">
        <f>+VLOOKUP(D1855,'Resultats - informe'!$Y$18:$AG$42,'Introducció dades consum'!K1855+1,0)</f>
        <v>0</v>
      </c>
      <c r="O1855" s="370" cm="1">
        <f t="array" ref="O1855">+_xlfn.SWITCH(MONTH(C1855),1,1,2,1,3,1,4,2,5,2,6,3,7,3,8,3,9,3,10,2,11,2,12,1,2)</f>
        <v>1</v>
      </c>
      <c r="P1855" s="43"/>
    </row>
    <row r="1856" spans="1:16" ht="18" x14ac:dyDescent="0.35">
      <c r="A1856" s="43"/>
      <c r="C1856" s="393"/>
      <c r="E1856" s="394"/>
      <c r="F1856" s="394">
        <v>0</v>
      </c>
      <c r="G1856" s="394"/>
      <c r="H1856" s="8" t="s">
        <v>235</v>
      </c>
      <c r="I1856" s="368">
        <f t="shared" si="85"/>
        <v>0</v>
      </c>
      <c r="J1856" s="365">
        <f t="shared" si="87"/>
        <v>0</v>
      </c>
      <c r="K1856" s="369">
        <f t="shared" si="86"/>
        <v>6</v>
      </c>
      <c r="L1856" s="369">
        <f>+IF((C1856&gt;='Resultats - informe'!$E$16)*(C1856&lt;='Resultats - informe'!$G$16),1,0)</f>
        <v>1</v>
      </c>
      <c r="M1856" s="369" cm="1">
        <f t="array" ref="M1856">+_xlfn.IFS((C1856&gt;='Resultats - informe'!$D$26)*(C1856&lt;='Resultats - informe'!$E$26),0,(C1856&gt;='Resultats - informe'!$D$27)*(C1856&lt;='Resultats - informe'!$E$27),0,(C1856&gt;='Resultats - informe'!$D$28)*(C1856&lt;='Resultats - informe'!$E$28),0,(C1856&gt;='Resultats - informe'!$D$29)*(C1856&lt;='Resultats - informe'!$E$29),0,1,1)</f>
        <v>0</v>
      </c>
      <c r="N1856" s="366">
        <f>+VLOOKUP(D1856,'Resultats - informe'!$Y$18:$AG$42,'Introducció dades consum'!K1856+1,0)</f>
        <v>0</v>
      </c>
      <c r="O1856" s="370" cm="1">
        <f t="array" ref="O1856">+_xlfn.SWITCH(MONTH(C1856),1,1,2,1,3,1,4,2,5,2,6,3,7,3,8,3,9,3,10,2,11,2,12,1,2)</f>
        <v>1</v>
      </c>
      <c r="P1856" s="43"/>
    </row>
    <row r="1857" spans="1:16" ht="18" x14ac:dyDescent="0.35">
      <c r="A1857" s="43"/>
      <c r="C1857" s="393"/>
      <c r="E1857" s="394"/>
      <c r="F1857" s="394">
        <v>0</v>
      </c>
      <c r="G1857" s="394"/>
      <c r="H1857" s="8" t="s">
        <v>235</v>
      </c>
      <c r="I1857" s="368">
        <f t="shared" si="85"/>
        <v>0</v>
      </c>
      <c r="J1857" s="365">
        <f t="shared" si="87"/>
        <v>0</v>
      </c>
      <c r="K1857" s="369">
        <f t="shared" si="86"/>
        <v>6</v>
      </c>
      <c r="L1857" s="369">
        <f>+IF((C1857&gt;='Resultats - informe'!$E$16)*(C1857&lt;='Resultats - informe'!$G$16),1,0)</f>
        <v>1</v>
      </c>
      <c r="M1857" s="369" cm="1">
        <f t="array" ref="M1857">+_xlfn.IFS((C1857&gt;='Resultats - informe'!$D$26)*(C1857&lt;='Resultats - informe'!$E$26),0,(C1857&gt;='Resultats - informe'!$D$27)*(C1857&lt;='Resultats - informe'!$E$27),0,(C1857&gt;='Resultats - informe'!$D$28)*(C1857&lt;='Resultats - informe'!$E$28),0,(C1857&gt;='Resultats - informe'!$D$29)*(C1857&lt;='Resultats - informe'!$E$29),0,1,1)</f>
        <v>0</v>
      </c>
      <c r="N1857" s="366">
        <f>+VLOOKUP(D1857,'Resultats - informe'!$Y$18:$AG$42,'Introducció dades consum'!K1857+1,0)</f>
        <v>0</v>
      </c>
      <c r="O1857" s="370" cm="1">
        <f t="array" ref="O1857">+_xlfn.SWITCH(MONTH(C1857),1,1,2,1,3,1,4,2,5,2,6,3,7,3,8,3,9,3,10,2,11,2,12,1,2)</f>
        <v>1</v>
      </c>
      <c r="P1857" s="43"/>
    </row>
    <row r="1858" spans="1:16" ht="18" x14ac:dyDescent="0.35">
      <c r="A1858" s="43"/>
      <c r="C1858" s="393"/>
      <c r="E1858" s="394"/>
      <c r="F1858" s="394">
        <v>0</v>
      </c>
      <c r="G1858" s="394"/>
      <c r="H1858" s="8" t="s">
        <v>235</v>
      </c>
      <c r="I1858" s="368">
        <f t="shared" si="85"/>
        <v>0</v>
      </c>
      <c r="J1858" s="365">
        <f t="shared" si="87"/>
        <v>0</v>
      </c>
      <c r="K1858" s="369">
        <f t="shared" si="86"/>
        <v>6</v>
      </c>
      <c r="L1858" s="369">
        <f>+IF((C1858&gt;='Resultats - informe'!$E$16)*(C1858&lt;='Resultats - informe'!$G$16),1,0)</f>
        <v>1</v>
      </c>
      <c r="M1858" s="369" cm="1">
        <f t="array" ref="M1858">+_xlfn.IFS((C1858&gt;='Resultats - informe'!$D$26)*(C1858&lt;='Resultats - informe'!$E$26),0,(C1858&gt;='Resultats - informe'!$D$27)*(C1858&lt;='Resultats - informe'!$E$27),0,(C1858&gt;='Resultats - informe'!$D$28)*(C1858&lt;='Resultats - informe'!$E$28),0,(C1858&gt;='Resultats - informe'!$D$29)*(C1858&lt;='Resultats - informe'!$E$29),0,1,1)</f>
        <v>0</v>
      </c>
      <c r="N1858" s="366">
        <f>+VLOOKUP(D1858,'Resultats - informe'!$Y$18:$AG$42,'Introducció dades consum'!K1858+1,0)</f>
        <v>0</v>
      </c>
      <c r="O1858" s="370" cm="1">
        <f t="array" ref="O1858">+_xlfn.SWITCH(MONTH(C1858),1,1,2,1,3,1,4,2,5,2,6,3,7,3,8,3,9,3,10,2,11,2,12,1,2)</f>
        <v>1</v>
      </c>
      <c r="P1858" s="43"/>
    </row>
    <row r="1859" spans="1:16" ht="18" x14ac:dyDescent="0.35">
      <c r="A1859" s="43"/>
      <c r="C1859" s="393"/>
      <c r="E1859" s="394"/>
      <c r="F1859" s="394">
        <v>0</v>
      </c>
      <c r="G1859" s="394"/>
      <c r="H1859" s="8" t="s">
        <v>235</v>
      </c>
      <c r="I1859" s="368">
        <f t="shared" si="85"/>
        <v>0</v>
      </c>
      <c r="J1859" s="365">
        <f t="shared" si="87"/>
        <v>0</v>
      </c>
      <c r="K1859" s="369">
        <f t="shared" si="86"/>
        <v>6</v>
      </c>
      <c r="L1859" s="369">
        <f>+IF((C1859&gt;='Resultats - informe'!$E$16)*(C1859&lt;='Resultats - informe'!$G$16),1,0)</f>
        <v>1</v>
      </c>
      <c r="M1859" s="369" cm="1">
        <f t="array" ref="M1859">+_xlfn.IFS((C1859&gt;='Resultats - informe'!$D$26)*(C1859&lt;='Resultats - informe'!$E$26),0,(C1859&gt;='Resultats - informe'!$D$27)*(C1859&lt;='Resultats - informe'!$E$27),0,(C1859&gt;='Resultats - informe'!$D$28)*(C1859&lt;='Resultats - informe'!$E$28),0,(C1859&gt;='Resultats - informe'!$D$29)*(C1859&lt;='Resultats - informe'!$E$29),0,1,1)</f>
        <v>0</v>
      </c>
      <c r="N1859" s="366">
        <f>+VLOOKUP(D1859,'Resultats - informe'!$Y$18:$AG$42,'Introducció dades consum'!K1859+1,0)</f>
        <v>0</v>
      </c>
      <c r="O1859" s="370" cm="1">
        <f t="array" ref="O1859">+_xlfn.SWITCH(MONTH(C1859),1,1,2,1,3,1,4,2,5,2,6,3,7,3,8,3,9,3,10,2,11,2,12,1,2)</f>
        <v>1</v>
      </c>
      <c r="P1859" s="43"/>
    </row>
    <row r="1860" spans="1:16" ht="18" x14ac:dyDescent="0.35">
      <c r="A1860" s="43"/>
      <c r="C1860" s="393"/>
      <c r="E1860" s="394"/>
      <c r="F1860" s="394">
        <v>0.59</v>
      </c>
      <c r="G1860" s="394"/>
      <c r="H1860" s="8" t="s">
        <v>235</v>
      </c>
      <c r="I1860" s="368">
        <f t="shared" si="85"/>
        <v>0</v>
      </c>
      <c r="J1860" s="365">
        <f t="shared" si="87"/>
        <v>0</v>
      </c>
      <c r="K1860" s="369">
        <f t="shared" si="86"/>
        <v>6</v>
      </c>
      <c r="L1860" s="369">
        <f>+IF((C1860&gt;='Resultats - informe'!$E$16)*(C1860&lt;='Resultats - informe'!$G$16),1,0)</f>
        <v>1</v>
      </c>
      <c r="M1860" s="369" cm="1">
        <f t="array" ref="M1860">+_xlfn.IFS((C1860&gt;='Resultats - informe'!$D$26)*(C1860&lt;='Resultats - informe'!$E$26),0,(C1860&gt;='Resultats - informe'!$D$27)*(C1860&lt;='Resultats - informe'!$E$27),0,(C1860&gt;='Resultats - informe'!$D$28)*(C1860&lt;='Resultats - informe'!$E$28),0,(C1860&gt;='Resultats - informe'!$D$29)*(C1860&lt;='Resultats - informe'!$E$29),0,1,1)</f>
        <v>0</v>
      </c>
      <c r="N1860" s="366">
        <f>+VLOOKUP(D1860,'Resultats - informe'!$Y$18:$AG$42,'Introducció dades consum'!K1860+1,0)</f>
        <v>0</v>
      </c>
      <c r="O1860" s="370" cm="1">
        <f t="array" ref="O1860">+_xlfn.SWITCH(MONTH(C1860),1,1,2,1,3,1,4,2,5,2,6,3,7,3,8,3,9,3,10,2,11,2,12,1,2)</f>
        <v>1</v>
      </c>
      <c r="P1860" s="43"/>
    </row>
    <row r="1861" spans="1:16" ht="18" x14ac:dyDescent="0.35">
      <c r="A1861" s="43"/>
      <c r="C1861" s="393"/>
      <c r="E1861" s="394"/>
      <c r="F1861" s="394">
        <v>0.67100000000000004</v>
      </c>
      <c r="G1861" s="394"/>
      <c r="H1861" s="8" t="s">
        <v>235</v>
      </c>
      <c r="I1861" s="368">
        <f t="shared" si="85"/>
        <v>0</v>
      </c>
      <c r="J1861" s="365">
        <f t="shared" si="87"/>
        <v>0</v>
      </c>
      <c r="K1861" s="369">
        <f t="shared" si="86"/>
        <v>6</v>
      </c>
      <c r="L1861" s="369">
        <f>+IF((C1861&gt;='Resultats - informe'!$E$16)*(C1861&lt;='Resultats - informe'!$G$16),1,0)</f>
        <v>1</v>
      </c>
      <c r="M1861" s="369" cm="1">
        <f t="array" ref="M1861">+_xlfn.IFS((C1861&gt;='Resultats - informe'!$D$26)*(C1861&lt;='Resultats - informe'!$E$26),0,(C1861&gt;='Resultats - informe'!$D$27)*(C1861&lt;='Resultats - informe'!$E$27),0,(C1861&gt;='Resultats - informe'!$D$28)*(C1861&lt;='Resultats - informe'!$E$28),0,(C1861&gt;='Resultats - informe'!$D$29)*(C1861&lt;='Resultats - informe'!$E$29),0,1,1)</f>
        <v>0</v>
      </c>
      <c r="N1861" s="366">
        <f>+VLOOKUP(D1861,'Resultats - informe'!$Y$18:$AG$42,'Introducció dades consum'!K1861+1,0)</f>
        <v>0</v>
      </c>
      <c r="O1861" s="370" cm="1">
        <f t="array" ref="O1861">+_xlfn.SWITCH(MONTH(C1861),1,1,2,1,3,1,4,2,5,2,6,3,7,3,8,3,9,3,10,2,11,2,12,1,2)</f>
        <v>1</v>
      </c>
      <c r="P1861" s="43"/>
    </row>
    <row r="1862" spans="1:16" ht="18" x14ac:dyDescent="0.35">
      <c r="A1862" s="43"/>
      <c r="C1862" s="393"/>
      <c r="E1862" s="394"/>
      <c r="F1862" s="394">
        <v>2.0870000000000002</v>
      </c>
      <c r="G1862" s="394"/>
      <c r="H1862" s="8" t="s">
        <v>235</v>
      </c>
      <c r="I1862" s="368">
        <f t="shared" ref="I1862:I1925" si="88">+E1862+G1862</f>
        <v>0</v>
      </c>
      <c r="J1862" s="365">
        <f t="shared" si="87"/>
        <v>0</v>
      </c>
      <c r="K1862" s="369">
        <f t="shared" ref="K1862:K1925" si="89">+WEEKDAY(C1862,2)</f>
        <v>6</v>
      </c>
      <c r="L1862" s="369">
        <f>+IF((C1862&gt;='Resultats - informe'!$E$16)*(C1862&lt;='Resultats - informe'!$G$16),1,0)</f>
        <v>1</v>
      </c>
      <c r="M1862" s="369" cm="1">
        <f t="array" ref="M1862">+_xlfn.IFS((C1862&gt;='Resultats - informe'!$D$26)*(C1862&lt;='Resultats - informe'!$E$26),0,(C1862&gt;='Resultats - informe'!$D$27)*(C1862&lt;='Resultats - informe'!$E$27),0,(C1862&gt;='Resultats - informe'!$D$28)*(C1862&lt;='Resultats - informe'!$E$28),0,(C1862&gt;='Resultats - informe'!$D$29)*(C1862&lt;='Resultats - informe'!$E$29),0,1,1)</f>
        <v>0</v>
      </c>
      <c r="N1862" s="366">
        <f>+VLOOKUP(D1862,'Resultats - informe'!$Y$18:$AG$42,'Introducció dades consum'!K1862+1,0)</f>
        <v>0</v>
      </c>
      <c r="O1862" s="370" cm="1">
        <f t="array" ref="O1862">+_xlfn.SWITCH(MONTH(C1862),1,1,2,1,3,1,4,2,5,2,6,3,7,3,8,3,9,3,10,2,11,2,12,1,2)</f>
        <v>1</v>
      </c>
      <c r="P1862" s="43"/>
    </row>
    <row r="1863" spans="1:16" ht="18" x14ac:dyDescent="0.35">
      <c r="A1863" s="43"/>
      <c r="C1863" s="393"/>
      <c r="E1863" s="394"/>
      <c r="F1863" s="394">
        <v>1.08</v>
      </c>
      <c r="G1863" s="394"/>
      <c r="H1863" s="8" t="s">
        <v>235</v>
      </c>
      <c r="I1863" s="368">
        <f t="shared" si="88"/>
        <v>0</v>
      </c>
      <c r="J1863" s="365">
        <f t="shared" si="87"/>
        <v>0</v>
      </c>
      <c r="K1863" s="369">
        <f t="shared" si="89"/>
        <v>6</v>
      </c>
      <c r="L1863" s="369">
        <f>+IF((C1863&gt;='Resultats - informe'!$E$16)*(C1863&lt;='Resultats - informe'!$G$16),1,0)</f>
        <v>1</v>
      </c>
      <c r="M1863" s="369" cm="1">
        <f t="array" ref="M1863">+_xlfn.IFS((C1863&gt;='Resultats - informe'!$D$26)*(C1863&lt;='Resultats - informe'!$E$26),0,(C1863&gt;='Resultats - informe'!$D$27)*(C1863&lt;='Resultats - informe'!$E$27),0,(C1863&gt;='Resultats - informe'!$D$28)*(C1863&lt;='Resultats - informe'!$E$28),0,(C1863&gt;='Resultats - informe'!$D$29)*(C1863&lt;='Resultats - informe'!$E$29),0,1,1)</f>
        <v>0</v>
      </c>
      <c r="N1863" s="366">
        <f>+VLOOKUP(D1863,'Resultats - informe'!$Y$18:$AG$42,'Introducció dades consum'!K1863+1,0)</f>
        <v>0</v>
      </c>
      <c r="O1863" s="370" cm="1">
        <f t="array" ref="O1863">+_xlfn.SWITCH(MONTH(C1863),1,1,2,1,3,1,4,2,5,2,6,3,7,3,8,3,9,3,10,2,11,2,12,1,2)</f>
        <v>1</v>
      </c>
      <c r="P1863" s="43"/>
    </row>
    <row r="1864" spans="1:16" ht="18" x14ac:dyDescent="0.35">
      <c r="A1864" s="43"/>
      <c r="C1864" s="393"/>
      <c r="E1864" s="394"/>
      <c r="F1864" s="394">
        <v>1.478</v>
      </c>
      <c r="G1864" s="394"/>
      <c r="H1864" s="8" t="s">
        <v>235</v>
      </c>
      <c r="I1864" s="368">
        <f t="shared" si="88"/>
        <v>0</v>
      </c>
      <c r="J1864" s="365">
        <f t="shared" si="87"/>
        <v>0</v>
      </c>
      <c r="K1864" s="369">
        <f t="shared" si="89"/>
        <v>6</v>
      </c>
      <c r="L1864" s="369">
        <f>+IF((C1864&gt;='Resultats - informe'!$E$16)*(C1864&lt;='Resultats - informe'!$G$16),1,0)</f>
        <v>1</v>
      </c>
      <c r="M1864" s="369" cm="1">
        <f t="array" ref="M1864">+_xlfn.IFS((C1864&gt;='Resultats - informe'!$D$26)*(C1864&lt;='Resultats - informe'!$E$26),0,(C1864&gt;='Resultats - informe'!$D$27)*(C1864&lt;='Resultats - informe'!$E$27),0,(C1864&gt;='Resultats - informe'!$D$28)*(C1864&lt;='Resultats - informe'!$E$28),0,(C1864&gt;='Resultats - informe'!$D$29)*(C1864&lt;='Resultats - informe'!$E$29),0,1,1)</f>
        <v>0</v>
      </c>
      <c r="N1864" s="366">
        <f>+VLOOKUP(D1864,'Resultats - informe'!$Y$18:$AG$42,'Introducció dades consum'!K1864+1,0)</f>
        <v>0</v>
      </c>
      <c r="O1864" s="370" cm="1">
        <f t="array" ref="O1864">+_xlfn.SWITCH(MONTH(C1864),1,1,2,1,3,1,4,2,5,2,6,3,7,3,8,3,9,3,10,2,11,2,12,1,2)</f>
        <v>1</v>
      </c>
      <c r="P1864" s="43"/>
    </row>
    <row r="1865" spans="1:16" ht="18" x14ac:dyDescent="0.35">
      <c r="A1865" s="43"/>
      <c r="C1865" s="393"/>
      <c r="E1865" s="394"/>
      <c r="F1865" s="394">
        <v>1.508</v>
      </c>
      <c r="G1865" s="394"/>
      <c r="H1865" s="8" t="s">
        <v>235</v>
      </c>
      <c r="I1865" s="368">
        <f t="shared" si="88"/>
        <v>0</v>
      </c>
      <c r="J1865" s="365">
        <f t="shared" si="87"/>
        <v>0</v>
      </c>
      <c r="K1865" s="369">
        <f t="shared" si="89"/>
        <v>6</v>
      </c>
      <c r="L1865" s="369">
        <f>+IF((C1865&gt;='Resultats - informe'!$E$16)*(C1865&lt;='Resultats - informe'!$G$16),1,0)</f>
        <v>1</v>
      </c>
      <c r="M1865" s="369" cm="1">
        <f t="array" ref="M1865">+_xlfn.IFS((C1865&gt;='Resultats - informe'!$D$26)*(C1865&lt;='Resultats - informe'!$E$26),0,(C1865&gt;='Resultats - informe'!$D$27)*(C1865&lt;='Resultats - informe'!$E$27),0,(C1865&gt;='Resultats - informe'!$D$28)*(C1865&lt;='Resultats - informe'!$E$28),0,(C1865&gt;='Resultats - informe'!$D$29)*(C1865&lt;='Resultats - informe'!$E$29),0,1,1)</f>
        <v>0</v>
      </c>
      <c r="N1865" s="366">
        <f>+VLOOKUP(D1865,'Resultats - informe'!$Y$18:$AG$42,'Introducció dades consum'!K1865+1,0)</f>
        <v>0</v>
      </c>
      <c r="O1865" s="370" cm="1">
        <f t="array" ref="O1865">+_xlfn.SWITCH(MONTH(C1865),1,1,2,1,3,1,4,2,5,2,6,3,7,3,8,3,9,3,10,2,11,2,12,1,2)</f>
        <v>1</v>
      </c>
      <c r="P1865" s="43"/>
    </row>
    <row r="1866" spans="1:16" ht="18" x14ac:dyDescent="0.35">
      <c r="A1866" s="43"/>
      <c r="C1866" s="393"/>
      <c r="E1866" s="394"/>
      <c r="F1866" s="394">
        <v>1.1359999999999999</v>
      </c>
      <c r="G1866" s="394"/>
      <c r="H1866" s="8" t="s">
        <v>235</v>
      </c>
      <c r="I1866" s="368">
        <f t="shared" si="88"/>
        <v>0</v>
      </c>
      <c r="J1866" s="365">
        <f t="shared" si="87"/>
        <v>0</v>
      </c>
      <c r="K1866" s="369">
        <f t="shared" si="89"/>
        <v>6</v>
      </c>
      <c r="L1866" s="369">
        <f>+IF((C1866&gt;='Resultats - informe'!$E$16)*(C1866&lt;='Resultats - informe'!$G$16),1,0)</f>
        <v>1</v>
      </c>
      <c r="M1866" s="369" cm="1">
        <f t="array" ref="M1866">+_xlfn.IFS((C1866&gt;='Resultats - informe'!$D$26)*(C1866&lt;='Resultats - informe'!$E$26),0,(C1866&gt;='Resultats - informe'!$D$27)*(C1866&lt;='Resultats - informe'!$E$27),0,(C1866&gt;='Resultats - informe'!$D$28)*(C1866&lt;='Resultats - informe'!$E$28),0,(C1866&gt;='Resultats - informe'!$D$29)*(C1866&lt;='Resultats - informe'!$E$29),0,1,1)</f>
        <v>0</v>
      </c>
      <c r="N1866" s="366">
        <f>+VLOOKUP(D1866,'Resultats - informe'!$Y$18:$AG$42,'Introducció dades consum'!K1866+1,0)</f>
        <v>0</v>
      </c>
      <c r="O1866" s="370" cm="1">
        <f t="array" ref="O1866">+_xlfn.SWITCH(MONTH(C1866),1,1,2,1,3,1,4,2,5,2,6,3,7,3,8,3,9,3,10,2,11,2,12,1,2)</f>
        <v>1</v>
      </c>
      <c r="P1866" s="43"/>
    </row>
    <row r="1867" spans="1:16" ht="18" x14ac:dyDescent="0.35">
      <c r="A1867" s="43"/>
      <c r="C1867" s="393"/>
      <c r="E1867" s="394"/>
      <c r="F1867" s="394">
        <v>1.331</v>
      </c>
      <c r="G1867" s="394"/>
      <c r="H1867" s="8" t="s">
        <v>235</v>
      </c>
      <c r="I1867" s="368">
        <f t="shared" si="88"/>
        <v>0</v>
      </c>
      <c r="J1867" s="365">
        <f t="shared" si="87"/>
        <v>0</v>
      </c>
      <c r="K1867" s="369">
        <f t="shared" si="89"/>
        <v>6</v>
      </c>
      <c r="L1867" s="369">
        <f>+IF((C1867&gt;='Resultats - informe'!$E$16)*(C1867&lt;='Resultats - informe'!$G$16),1,0)</f>
        <v>1</v>
      </c>
      <c r="M1867" s="369" cm="1">
        <f t="array" ref="M1867">+_xlfn.IFS((C1867&gt;='Resultats - informe'!$D$26)*(C1867&lt;='Resultats - informe'!$E$26),0,(C1867&gt;='Resultats - informe'!$D$27)*(C1867&lt;='Resultats - informe'!$E$27),0,(C1867&gt;='Resultats - informe'!$D$28)*(C1867&lt;='Resultats - informe'!$E$28),0,(C1867&gt;='Resultats - informe'!$D$29)*(C1867&lt;='Resultats - informe'!$E$29),0,1,1)</f>
        <v>0</v>
      </c>
      <c r="N1867" s="366">
        <f>+VLOOKUP(D1867,'Resultats - informe'!$Y$18:$AG$42,'Introducció dades consum'!K1867+1,0)</f>
        <v>0</v>
      </c>
      <c r="O1867" s="370" cm="1">
        <f t="array" ref="O1867">+_xlfn.SWITCH(MONTH(C1867),1,1,2,1,3,1,4,2,5,2,6,3,7,3,8,3,9,3,10,2,11,2,12,1,2)</f>
        <v>1</v>
      </c>
      <c r="P1867" s="43"/>
    </row>
    <row r="1868" spans="1:16" ht="18" x14ac:dyDescent="0.35">
      <c r="A1868" s="43"/>
      <c r="C1868" s="393"/>
      <c r="E1868" s="394"/>
      <c r="F1868" s="394">
        <v>1.48</v>
      </c>
      <c r="G1868" s="394"/>
      <c r="H1868" s="8" t="s">
        <v>235</v>
      </c>
      <c r="I1868" s="368">
        <f t="shared" si="88"/>
        <v>0</v>
      </c>
      <c r="J1868" s="365">
        <f t="shared" si="87"/>
        <v>0</v>
      </c>
      <c r="K1868" s="369">
        <f t="shared" si="89"/>
        <v>6</v>
      </c>
      <c r="L1868" s="369">
        <f>+IF((C1868&gt;='Resultats - informe'!$E$16)*(C1868&lt;='Resultats - informe'!$G$16),1,0)</f>
        <v>1</v>
      </c>
      <c r="M1868" s="369" cm="1">
        <f t="array" ref="M1868">+_xlfn.IFS((C1868&gt;='Resultats - informe'!$D$26)*(C1868&lt;='Resultats - informe'!$E$26),0,(C1868&gt;='Resultats - informe'!$D$27)*(C1868&lt;='Resultats - informe'!$E$27),0,(C1868&gt;='Resultats - informe'!$D$28)*(C1868&lt;='Resultats - informe'!$E$28),0,(C1868&gt;='Resultats - informe'!$D$29)*(C1868&lt;='Resultats - informe'!$E$29),0,1,1)</f>
        <v>0</v>
      </c>
      <c r="N1868" s="366">
        <f>+VLOOKUP(D1868,'Resultats - informe'!$Y$18:$AG$42,'Introducció dades consum'!K1868+1,0)</f>
        <v>0</v>
      </c>
      <c r="O1868" s="370" cm="1">
        <f t="array" ref="O1868">+_xlfn.SWITCH(MONTH(C1868),1,1,2,1,3,1,4,2,5,2,6,3,7,3,8,3,9,3,10,2,11,2,12,1,2)</f>
        <v>1</v>
      </c>
      <c r="P1868" s="43"/>
    </row>
    <row r="1869" spans="1:16" ht="18" x14ac:dyDescent="0.35">
      <c r="A1869" s="43"/>
      <c r="C1869" s="393"/>
      <c r="E1869" s="394"/>
      <c r="F1869" s="394">
        <v>0.39100000000000001</v>
      </c>
      <c r="G1869" s="394"/>
      <c r="H1869" s="8" t="s">
        <v>235</v>
      </c>
      <c r="I1869" s="368">
        <f t="shared" si="88"/>
        <v>0</v>
      </c>
      <c r="J1869" s="365">
        <f t="shared" si="87"/>
        <v>0</v>
      </c>
      <c r="K1869" s="369">
        <f t="shared" si="89"/>
        <v>6</v>
      </c>
      <c r="L1869" s="369">
        <f>+IF((C1869&gt;='Resultats - informe'!$E$16)*(C1869&lt;='Resultats - informe'!$G$16),1,0)</f>
        <v>1</v>
      </c>
      <c r="M1869" s="369" cm="1">
        <f t="array" ref="M1869">+_xlfn.IFS((C1869&gt;='Resultats - informe'!$D$26)*(C1869&lt;='Resultats - informe'!$E$26),0,(C1869&gt;='Resultats - informe'!$D$27)*(C1869&lt;='Resultats - informe'!$E$27),0,(C1869&gt;='Resultats - informe'!$D$28)*(C1869&lt;='Resultats - informe'!$E$28),0,(C1869&gt;='Resultats - informe'!$D$29)*(C1869&lt;='Resultats - informe'!$E$29),0,1,1)</f>
        <v>0</v>
      </c>
      <c r="N1869" s="366">
        <f>+VLOOKUP(D1869,'Resultats - informe'!$Y$18:$AG$42,'Introducció dades consum'!K1869+1,0)</f>
        <v>0</v>
      </c>
      <c r="O1869" s="370" cm="1">
        <f t="array" ref="O1869">+_xlfn.SWITCH(MONTH(C1869),1,1,2,1,3,1,4,2,5,2,6,3,7,3,8,3,9,3,10,2,11,2,12,1,2)</f>
        <v>1</v>
      </c>
      <c r="P1869" s="43"/>
    </row>
    <row r="1870" spans="1:16" ht="18" x14ac:dyDescent="0.35">
      <c r="A1870" s="43"/>
      <c r="C1870" s="393"/>
      <c r="E1870" s="394"/>
      <c r="F1870" s="394">
        <v>0</v>
      </c>
      <c r="G1870" s="394"/>
      <c r="H1870" s="8" t="s">
        <v>235</v>
      </c>
      <c r="I1870" s="368">
        <f t="shared" si="88"/>
        <v>0</v>
      </c>
      <c r="J1870" s="365">
        <f t="shared" si="87"/>
        <v>0</v>
      </c>
      <c r="K1870" s="369">
        <f t="shared" si="89"/>
        <v>6</v>
      </c>
      <c r="L1870" s="369">
        <f>+IF((C1870&gt;='Resultats - informe'!$E$16)*(C1870&lt;='Resultats - informe'!$G$16),1,0)</f>
        <v>1</v>
      </c>
      <c r="M1870" s="369" cm="1">
        <f t="array" ref="M1870">+_xlfn.IFS((C1870&gt;='Resultats - informe'!$D$26)*(C1870&lt;='Resultats - informe'!$E$26),0,(C1870&gt;='Resultats - informe'!$D$27)*(C1870&lt;='Resultats - informe'!$E$27),0,(C1870&gt;='Resultats - informe'!$D$28)*(C1870&lt;='Resultats - informe'!$E$28),0,(C1870&gt;='Resultats - informe'!$D$29)*(C1870&lt;='Resultats - informe'!$E$29),0,1,1)</f>
        <v>0</v>
      </c>
      <c r="N1870" s="366">
        <f>+VLOOKUP(D1870,'Resultats - informe'!$Y$18:$AG$42,'Introducció dades consum'!K1870+1,0)</f>
        <v>0</v>
      </c>
      <c r="O1870" s="370" cm="1">
        <f t="array" ref="O1870">+_xlfn.SWITCH(MONTH(C1870),1,1,2,1,3,1,4,2,5,2,6,3,7,3,8,3,9,3,10,2,11,2,12,1,2)</f>
        <v>1</v>
      </c>
      <c r="P1870" s="43"/>
    </row>
    <row r="1871" spans="1:16" ht="18" x14ac:dyDescent="0.35">
      <c r="A1871" s="43"/>
      <c r="C1871" s="393"/>
      <c r="E1871" s="394"/>
      <c r="F1871" s="394">
        <v>0</v>
      </c>
      <c r="G1871" s="394"/>
      <c r="H1871" s="8" t="s">
        <v>235</v>
      </c>
      <c r="I1871" s="368">
        <f t="shared" si="88"/>
        <v>0</v>
      </c>
      <c r="J1871" s="365">
        <f t="shared" si="87"/>
        <v>0</v>
      </c>
      <c r="K1871" s="369">
        <f t="shared" si="89"/>
        <v>6</v>
      </c>
      <c r="L1871" s="369">
        <f>+IF((C1871&gt;='Resultats - informe'!$E$16)*(C1871&lt;='Resultats - informe'!$G$16),1,0)</f>
        <v>1</v>
      </c>
      <c r="M1871" s="369" cm="1">
        <f t="array" ref="M1871">+_xlfn.IFS((C1871&gt;='Resultats - informe'!$D$26)*(C1871&lt;='Resultats - informe'!$E$26),0,(C1871&gt;='Resultats - informe'!$D$27)*(C1871&lt;='Resultats - informe'!$E$27),0,(C1871&gt;='Resultats - informe'!$D$28)*(C1871&lt;='Resultats - informe'!$E$28),0,(C1871&gt;='Resultats - informe'!$D$29)*(C1871&lt;='Resultats - informe'!$E$29),0,1,1)</f>
        <v>0</v>
      </c>
      <c r="N1871" s="366">
        <f>+VLOOKUP(D1871,'Resultats - informe'!$Y$18:$AG$42,'Introducció dades consum'!K1871+1,0)</f>
        <v>0</v>
      </c>
      <c r="O1871" s="370" cm="1">
        <f t="array" ref="O1871">+_xlfn.SWITCH(MONTH(C1871),1,1,2,1,3,1,4,2,5,2,6,3,7,3,8,3,9,3,10,2,11,2,12,1,2)</f>
        <v>1</v>
      </c>
      <c r="P1871" s="43"/>
    </row>
    <row r="1872" spans="1:16" ht="18" x14ac:dyDescent="0.35">
      <c r="A1872" s="43"/>
      <c r="C1872" s="393"/>
      <c r="E1872" s="394"/>
      <c r="F1872" s="394">
        <v>0</v>
      </c>
      <c r="G1872" s="394"/>
      <c r="H1872" s="8" t="s">
        <v>235</v>
      </c>
      <c r="I1872" s="368">
        <f t="shared" si="88"/>
        <v>0</v>
      </c>
      <c r="J1872" s="365">
        <f t="shared" si="87"/>
        <v>0</v>
      </c>
      <c r="K1872" s="369">
        <f t="shared" si="89"/>
        <v>6</v>
      </c>
      <c r="L1872" s="369">
        <f>+IF((C1872&gt;='Resultats - informe'!$E$16)*(C1872&lt;='Resultats - informe'!$G$16),1,0)</f>
        <v>1</v>
      </c>
      <c r="M1872" s="369" cm="1">
        <f t="array" ref="M1872">+_xlfn.IFS((C1872&gt;='Resultats - informe'!$D$26)*(C1872&lt;='Resultats - informe'!$E$26),0,(C1872&gt;='Resultats - informe'!$D$27)*(C1872&lt;='Resultats - informe'!$E$27),0,(C1872&gt;='Resultats - informe'!$D$28)*(C1872&lt;='Resultats - informe'!$E$28),0,(C1872&gt;='Resultats - informe'!$D$29)*(C1872&lt;='Resultats - informe'!$E$29),0,1,1)</f>
        <v>0</v>
      </c>
      <c r="N1872" s="366">
        <f>+VLOOKUP(D1872,'Resultats - informe'!$Y$18:$AG$42,'Introducció dades consum'!K1872+1,0)</f>
        <v>0</v>
      </c>
      <c r="O1872" s="370" cm="1">
        <f t="array" ref="O1872">+_xlfn.SWITCH(MONTH(C1872),1,1,2,1,3,1,4,2,5,2,6,3,7,3,8,3,9,3,10,2,11,2,12,1,2)</f>
        <v>1</v>
      </c>
      <c r="P1872" s="43"/>
    </row>
    <row r="1873" spans="1:16" ht="18" x14ac:dyDescent="0.35">
      <c r="A1873" s="43"/>
      <c r="C1873" s="393"/>
      <c r="E1873" s="394"/>
      <c r="F1873" s="394">
        <v>0</v>
      </c>
      <c r="G1873" s="394"/>
      <c r="H1873" s="8" t="s">
        <v>235</v>
      </c>
      <c r="I1873" s="368">
        <f t="shared" si="88"/>
        <v>0</v>
      </c>
      <c r="J1873" s="365">
        <f t="shared" si="87"/>
        <v>0</v>
      </c>
      <c r="K1873" s="369">
        <f t="shared" si="89"/>
        <v>6</v>
      </c>
      <c r="L1873" s="369">
        <f>+IF((C1873&gt;='Resultats - informe'!$E$16)*(C1873&lt;='Resultats - informe'!$G$16),1,0)</f>
        <v>1</v>
      </c>
      <c r="M1873" s="369" cm="1">
        <f t="array" ref="M1873">+_xlfn.IFS((C1873&gt;='Resultats - informe'!$D$26)*(C1873&lt;='Resultats - informe'!$E$26),0,(C1873&gt;='Resultats - informe'!$D$27)*(C1873&lt;='Resultats - informe'!$E$27),0,(C1873&gt;='Resultats - informe'!$D$28)*(C1873&lt;='Resultats - informe'!$E$28),0,(C1873&gt;='Resultats - informe'!$D$29)*(C1873&lt;='Resultats - informe'!$E$29),0,1,1)</f>
        <v>0</v>
      </c>
      <c r="N1873" s="366">
        <f>+VLOOKUP(D1873,'Resultats - informe'!$Y$18:$AG$42,'Introducció dades consum'!K1873+1,0)</f>
        <v>0</v>
      </c>
      <c r="O1873" s="370" cm="1">
        <f t="array" ref="O1873">+_xlfn.SWITCH(MONTH(C1873),1,1,2,1,3,1,4,2,5,2,6,3,7,3,8,3,9,3,10,2,11,2,12,1,2)</f>
        <v>1</v>
      </c>
      <c r="P1873" s="43"/>
    </row>
    <row r="1874" spans="1:16" ht="18" x14ac:dyDescent="0.35">
      <c r="A1874" s="43"/>
      <c r="C1874" s="393"/>
      <c r="E1874" s="394"/>
      <c r="F1874" s="394">
        <v>0</v>
      </c>
      <c r="G1874" s="394"/>
      <c r="H1874" s="8" t="s">
        <v>235</v>
      </c>
      <c r="I1874" s="368">
        <f t="shared" si="88"/>
        <v>0</v>
      </c>
      <c r="J1874" s="365">
        <f t="shared" si="87"/>
        <v>0</v>
      </c>
      <c r="K1874" s="369">
        <f t="shared" si="89"/>
        <v>6</v>
      </c>
      <c r="L1874" s="369">
        <f>+IF((C1874&gt;='Resultats - informe'!$E$16)*(C1874&lt;='Resultats - informe'!$G$16),1,0)</f>
        <v>1</v>
      </c>
      <c r="M1874" s="369" cm="1">
        <f t="array" ref="M1874">+_xlfn.IFS((C1874&gt;='Resultats - informe'!$D$26)*(C1874&lt;='Resultats - informe'!$E$26),0,(C1874&gt;='Resultats - informe'!$D$27)*(C1874&lt;='Resultats - informe'!$E$27),0,(C1874&gt;='Resultats - informe'!$D$28)*(C1874&lt;='Resultats - informe'!$E$28),0,(C1874&gt;='Resultats - informe'!$D$29)*(C1874&lt;='Resultats - informe'!$E$29),0,1,1)</f>
        <v>0</v>
      </c>
      <c r="N1874" s="366">
        <f>+VLOOKUP(D1874,'Resultats - informe'!$Y$18:$AG$42,'Introducció dades consum'!K1874+1,0)</f>
        <v>0</v>
      </c>
      <c r="O1874" s="370" cm="1">
        <f t="array" ref="O1874">+_xlfn.SWITCH(MONTH(C1874),1,1,2,1,3,1,4,2,5,2,6,3,7,3,8,3,9,3,10,2,11,2,12,1,2)</f>
        <v>1</v>
      </c>
      <c r="P1874" s="43"/>
    </row>
    <row r="1875" spans="1:16" ht="18" x14ac:dyDescent="0.35">
      <c r="A1875" s="43"/>
      <c r="C1875" s="393"/>
      <c r="E1875" s="394"/>
      <c r="F1875" s="394">
        <v>0</v>
      </c>
      <c r="G1875" s="394"/>
      <c r="H1875" s="8" t="s">
        <v>235</v>
      </c>
      <c r="I1875" s="368">
        <f t="shared" si="88"/>
        <v>0</v>
      </c>
      <c r="J1875" s="365">
        <f t="shared" si="87"/>
        <v>0</v>
      </c>
      <c r="K1875" s="369">
        <f t="shared" si="89"/>
        <v>6</v>
      </c>
      <c r="L1875" s="369">
        <f>+IF((C1875&gt;='Resultats - informe'!$E$16)*(C1875&lt;='Resultats - informe'!$G$16),1,0)</f>
        <v>1</v>
      </c>
      <c r="M1875" s="369" cm="1">
        <f t="array" ref="M1875">+_xlfn.IFS((C1875&gt;='Resultats - informe'!$D$26)*(C1875&lt;='Resultats - informe'!$E$26),0,(C1875&gt;='Resultats - informe'!$D$27)*(C1875&lt;='Resultats - informe'!$E$27),0,(C1875&gt;='Resultats - informe'!$D$28)*(C1875&lt;='Resultats - informe'!$E$28),0,(C1875&gt;='Resultats - informe'!$D$29)*(C1875&lt;='Resultats - informe'!$E$29),0,1,1)</f>
        <v>0</v>
      </c>
      <c r="N1875" s="366">
        <f>+VLOOKUP(D1875,'Resultats - informe'!$Y$18:$AG$42,'Introducció dades consum'!K1875+1,0)</f>
        <v>0</v>
      </c>
      <c r="O1875" s="370" cm="1">
        <f t="array" ref="O1875">+_xlfn.SWITCH(MONTH(C1875),1,1,2,1,3,1,4,2,5,2,6,3,7,3,8,3,9,3,10,2,11,2,12,1,2)</f>
        <v>1</v>
      </c>
      <c r="P1875" s="43"/>
    </row>
    <row r="1876" spans="1:16" ht="18" x14ac:dyDescent="0.35">
      <c r="A1876" s="43"/>
      <c r="C1876" s="393"/>
      <c r="E1876" s="394"/>
      <c r="F1876" s="394">
        <v>0</v>
      </c>
      <c r="G1876" s="394"/>
      <c r="H1876" s="8" t="s">
        <v>235</v>
      </c>
      <c r="I1876" s="368">
        <f t="shared" si="88"/>
        <v>0</v>
      </c>
      <c r="J1876" s="365">
        <f t="shared" si="87"/>
        <v>0</v>
      </c>
      <c r="K1876" s="369">
        <f t="shared" si="89"/>
        <v>6</v>
      </c>
      <c r="L1876" s="369">
        <f>+IF((C1876&gt;='Resultats - informe'!$E$16)*(C1876&lt;='Resultats - informe'!$G$16),1,0)</f>
        <v>1</v>
      </c>
      <c r="M1876" s="369" cm="1">
        <f t="array" ref="M1876">+_xlfn.IFS((C1876&gt;='Resultats - informe'!$D$26)*(C1876&lt;='Resultats - informe'!$E$26),0,(C1876&gt;='Resultats - informe'!$D$27)*(C1876&lt;='Resultats - informe'!$E$27),0,(C1876&gt;='Resultats - informe'!$D$28)*(C1876&lt;='Resultats - informe'!$E$28),0,(C1876&gt;='Resultats - informe'!$D$29)*(C1876&lt;='Resultats - informe'!$E$29),0,1,1)</f>
        <v>0</v>
      </c>
      <c r="N1876" s="366">
        <f>+VLOOKUP(D1876,'Resultats - informe'!$Y$18:$AG$42,'Introducció dades consum'!K1876+1,0)</f>
        <v>0</v>
      </c>
      <c r="O1876" s="370" cm="1">
        <f t="array" ref="O1876">+_xlfn.SWITCH(MONTH(C1876),1,1,2,1,3,1,4,2,5,2,6,3,7,3,8,3,9,3,10,2,11,2,12,1,2)</f>
        <v>1</v>
      </c>
      <c r="P1876" s="43"/>
    </row>
    <row r="1877" spans="1:16" ht="18" x14ac:dyDescent="0.35">
      <c r="A1877" s="43"/>
      <c r="C1877" s="393"/>
      <c r="E1877" s="394"/>
      <c r="F1877" s="394">
        <v>0</v>
      </c>
      <c r="G1877" s="394"/>
      <c r="H1877" s="8" t="s">
        <v>235</v>
      </c>
      <c r="I1877" s="368">
        <f t="shared" si="88"/>
        <v>0</v>
      </c>
      <c r="J1877" s="365">
        <f t="shared" si="87"/>
        <v>0</v>
      </c>
      <c r="K1877" s="369">
        <f t="shared" si="89"/>
        <v>6</v>
      </c>
      <c r="L1877" s="369">
        <f>+IF((C1877&gt;='Resultats - informe'!$E$16)*(C1877&lt;='Resultats - informe'!$G$16),1,0)</f>
        <v>1</v>
      </c>
      <c r="M1877" s="369" cm="1">
        <f t="array" ref="M1877">+_xlfn.IFS((C1877&gt;='Resultats - informe'!$D$26)*(C1877&lt;='Resultats - informe'!$E$26),0,(C1877&gt;='Resultats - informe'!$D$27)*(C1877&lt;='Resultats - informe'!$E$27),0,(C1877&gt;='Resultats - informe'!$D$28)*(C1877&lt;='Resultats - informe'!$E$28),0,(C1877&gt;='Resultats - informe'!$D$29)*(C1877&lt;='Resultats - informe'!$E$29),0,1,1)</f>
        <v>0</v>
      </c>
      <c r="N1877" s="366">
        <f>+VLOOKUP(D1877,'Resultats - informe'!$Y$18:$AG$42,'Introducció dades consum'!K1877+1,0)</f>
        <v>0</v>
      </c>
      <c r="O1877" s="370" cm="1">
        <f t="array" ref="O1877">+_xlfn.SWITCH(MONTH(C1877),1,1,2,1,3,1,4,2,5,2,6,3,7,3,8,3,9,3,10,2,11,2,12,1,2)</f>
        <v>1</v>
      </c>
      <c r="P1877" s="43"/>
    </row>
    <row r="1878" spans="1:16" ht="18" x14ac:dyDescent="0.35">
      <c r="A1878" s="43"/>
      <c r="C1878" s="393"/>
      <c r="E1878" s="394"/>
      <c r="F1878" s="394">
        <v>0</v>
      </c>
      <c r="G1878" s="394"/>
      <c r="H1878" s="8" t="s">
        <v>235</v>
      </c>
      <c r="I1878" s="368">
        <f t="shared" si="88"/>
        <v>0</v>
      </c>
      <c r="J1878" s="365">
        <f t="shared" si="87"/>
        <v>0</v>
      </c>
      <c r="K1878" s="369">
        <f t="shared" si="89"/>
        <v>6</v>
      </c>
      <c r="L1878" s="369">
        <f>+IF((C1878&gt;='Resultats - informe'!$E$16)*(C1878&lt;='Resultats - informe'!$G$16),1,0)</f>
        <v>1</v>
      </c>
      <c r="M1878" s="369" cm="1">
        <f t="array" ref="M1878">+_xlfn.IFS((C1878&gt;='Resultats - informe'!$D$26)*(C1878&lt;='Resultats - informe'!$E$26),0,(C1878&gt;='Resultats - informe'!$D$27)*(C1878&lt;='Resultats - informe'!$E$27),0,(C1878&gt;='Resultats - informe'!$D$28)*(C1878&lt;='Resultats - informe'!$E$28),0,(C1878&gt;='Resultats - informe'!$D$29)*(C1878&lt;='Resultats - informe'!$E$29),0,1,1)</f>
        <v>0</v>
      </c>
      <c r="N1878" s="366">
        <f>+VLOOKUP(D1878,'Resultats - informe'!$Y$18:$AG$42,'Introducció dades consum'!K1878+1,0)</f>
        <v>0</v>
      </c>
      <c r="O1878" s="370" cm="1">
        <f t="array" ref="O1878">+_xlfn.SWITCH(MONTH(C1878),1,1,2,1,3,1,4,2,5,2,6,3,7,3,8,3,9,3,10,2,11,2,12,1,2)</f>
        <v>1</v>
      </c>
      <c r="P1878" s="43"/>
    </row>
    <row r="1879" spans="1:16" ht="18" x14ac:dyDescent="0.35">
      <c r="A1879" s="43"/>
      <c r="C1879" s="393"/>
      <c r="E1879" s="394"/>
      <c r="F1879" s="394">
        <v>0</v>
      </c>
      <c r="G1879" s="394"/>
      <c r="H1879" s="8" t="s">
        <v>235</v>
      </c>
      <c r="I1879" s="368">
        <f t="shared" si="88"/>
        <v>0</v>
      </c>
      <c r="J1879" s="365">
        <f t="shared" si="87"/>
        <v>0</v>
      </c>
      <c r="K1879" s="369">
        <f t="shared" si="89"/>
        <v>6</v>
      </c>
      <c r="L1879" s="369">
        <f>+IF((C1879&gt;='Resultats - informe'!$E$16)*(C1879&lt;='Resultats - informe'!$G$16),1,0)</f>
        <v>1</v>
      </c>
      <c r="M1879" s="369" cm="1">
        <f t="array" ref="M1879">+_xlfn.IFS((C1879&gt;='Resultats - informe'!$D$26)*(C1879&lt;='Resultats - informe'!$E$26),0,(C1879&gt;='Resultats - informe'!$D$27)*(C1879&lt;='Resultats - informe'!$E$27),0,(C1879&gt;='Resultats - informe'!$D$28)*(C1879&lt;='Resultats - informe'!$E$28),0,(C1879&gt;='Resultats - informe'!$D$29)*(C1879&lt;='Resultats - informe'!$E$29),0,1,1)</f>
        <v>0</v>
      </c>
      <c r="N1879" s="366">
        <f>+VLOOKUP(D1879,'Resultats - informe'!$Y$18:$AG$42,'Introducció dades consum'!K1879+1,0)</f>
        <v>0</v>
      </c>
      <c r="O1879" s="370" cm="1">
        <f t="array" ref="O1879">+_xlfn.SWITCH(MONTH(C1879),1,1,2,1,3,1,4,2,5,2,6,3,7,3,8,3,9,3,10,2,11,2,12,1,2)</f>
        <v>1</v>
      </c>
      <c r="P1879" s="43"/>
    </row>
    <row r="1880" spans="1:16" ht="18" x14ac:dyDescent="0.35">
      <c r="A1880" s="43"/>
      <c r="C1880" s="393"/>
      <c r="E1880" s="394"/>
      <c r="F1880" s="394">
        <v>0</v>
      </c>
      <c r="G1880" s="394"/>
      <c r="H1880" s="8" t="s">
        <v>235</v>
      </c>
      <c r="I1880" s="368">
        <f t="shared" si="88"/>
        <v>0</v>
      </c>
      <c r="J1880" s="365">
        <f t="shared" si="87"/>
        <v>0</v>
      </c>
      <c r="K1880" s="369">
        <f t="shared" si="89"/>
        <v>6</v>
      </c>
      <c r="L1880" s="369">
        <f>+IF((C1880&gt;='Resultats - informe'!$E$16)*(C1880&lt;='Resultats - informe'!$G$16),1,0)</f>
        <v>1</v>
      </c>
      <c r="M1880" s="369" cm="1">
        <f t="array" ref="M1880">+_xlfn.IFS((C1880&gt;='Resultats - informe'!$D$26)*(C1880&lt;='Resultats - informe'!$E$26),0,(C1880&gt;='Resultats - informe'!$D$27)*(C1880&lt;='Resultats - informe'!$E$27),0,(C1880&gt;='Resultats - informe'!$D$28)*(C1880&lt;='Resultats - informe'!$E$28),0,(C1880&gt;='Resultats - informe'!$D$29)*(C1880&lt;='Resultats - informe'!$E$29),0,1,1)</f>
        <v>0</v>
      </c>
      <c r="N1880" s="366">
        <f>+VLOOKUP(D1880,'Resultats - informe'!$Y$18:$AG$42,'Introducció dades consum'!K1880+1,0)</f>
        <v>0</v>
      </c>
      <c r="O1880" s="370" cm="1">
        <f t="array" ref="O1880">+_xlfn.SWITCH(MONTH(C1880),1,1,2,1,3,1,4,2,5,2,6,3,7,3,8,3,9,3,10,2,11,2,12,1,2)</f>
        <v>1</v>
      </c>
      <c r="P1880" s="43"/>
    </row>
    <row r="1881" spans="1:16" ht="18" x14ac:dyDescent="0.35">
      <c r="A1881" s="43"/>
      <c r="C1881" s="393"/>
      <c r="E1881" s="394"/>
      <c r="F1881" s="394">
        <v>0</v>
      </c>
      <c r="G1881" s="394"/>
      <c r="H1881" s="8" t="s">
        <v>235</v>
      </c>
      <c r="I1881" s="368">
        <f t="shared" si="88"/>
        <v>0</v>
      </c>
      <c r="J1881" s="365">
        <f t="shared" si="87"/>
        <v>0</v>
      </c>
      <c r="K1881" s="369">
        <f t="shared" si="89"/>
        <v>6</v>
      </c>
      <c r="L1881" s="369">
        <f>+IF((C1881&gt;='Resultats - informe'!$E$16)*(C1881&lt;='Resultats - informe'!$G$16),1,0)</f>
        <v>1</v>
      </c>
      <c r="M1881" s="369" cm="1">
        <f t="array" ref="M1881">+_xlfn.IFS((C1881&gt;='Resultats - informe'!$D$26)*(C1881&lt;='Resultats - informe'!$E$26),0,(C1881&gt;='Resultats - informe'!$D$27)*(C1881&lt;='Resultats - informe'!$E$27),0,(C1881&gt;='Resultats - informe'!$D$28)*(C1881&lt;='Resultats - informe'!$E$28),0,(C1881&gt;='Resultats - informe'!$D$29)*(C1881&lt;='Resultats - informe'!$E$29),0,1,1)</f>
        <v>0</v>
      </c>
      <c r="N1881" s="366">
        <f>+VLOOKUP(D1881,'Resultats - informe'!$Y$18:$AG$42,'Introducció dades consum'!K1881+1,0)</f>
        <v>0</v>
      </c>
      <c r="O1881" s="370" cm="1">
        <f t="array" ref="O1881">+_xlfn.SWITCH(MONTH(C1881),1,1,2,1,3,1,4,2,5,2,6,3,7,3,8,3,9,3,10,2,11,2,12,1,2)</f>
        <v>1</v>
      </c>
      <c r="P1881" s="43"/>
    </row>
    <row r="1882" spans="1:16" ht="18" x14ac:dyDescent="0.35">
      <c r="A1882" s="43"/>
      <c r="C1882" s="393"/>
      <c r="E1882" s="394"/>
      <c r="F1882" s="394">
        <v>0</v>
      </c>
      <c r="G1882" s="394"/>
      <c r="H1882" s="8" t="s">
        <v>235</v>
      </c>
      <c r="I1882" s="368">
        <f t="shared" si="88"/>
        <v>0</v>
      </c>
      <c r="J1882" s="365">
        <f t="shared" si="87"/>
        <v>0</v>
      </c>
      <c r="K1882" s="369">
        <f t="shared" si="89"/>
        <v>6</v>
      </c>
      <c r="L1882" s="369">
        <f>+IF((C1882&gt;='Resultats - informe'!$E$16)*(C1882&lt;='Resultats - informe'!$G$16),1,0)</f>
        <v>1</v>
      </c>
      <c r="M1882" s="369" cm="1">
        <f t="array" ref="M1882">+_xlfn.IFS((C1882&gt;='Resultats - informe'!$D$26)*(C1882&lt;='Resultats - informe'!$E$26),0,(C1882&gt;='Resultats - informe'!$D$27)*(C1882&lt;='Resultats - informe'!$E$27),0,(C1882&gt;='Resultats - informe'!$D$28)*(C1882&lt;='Resultats - informe'!$E$28),0,(C1882&gt;='Resultats - informe'!$D$29)*(C1882&lt;='Resultats - informe'!$E$29),0,1,1)</f>
        <v>0</v>
      </c>
      <c r="N1882" s="366">
        <f>+VLOOKUP(D1882,'Resultats - informe'!$Y$18:$AG$42,'Introducció dades consum'!K1882+1,0)</f>
        <v>0</v>
      </c>
      <c r="O1882" s="370" cm="1">
        <f t="array" ref="O1882">+_xlfn.SWITCH(MONTH(C1882),1,1,2,1,3,1,4,2,5,2,6,3,7,3,8,3,9,3,10,2,11,2,12,1,2)</f>
        <v>1</v>
      </c>
      <c r="P1882" s="43"/>
    </row>
    <row r="1883" spans="1:16" ht="18" x14ac:dyDescent="0.35">
      <c r="A1883" s="43"/>
      <c r="C1883" s="393"/>
      <c r="E1883" s="394"/>
      <c r="F1883" s="394">
        <v>0</v>
      </c>
      <c r="G1883" s="394"/>
      <c r="H1883" s="8" t="s">
        <v>235</v>
      </c>
      <c r="I1883" s="368">
        <f t="shared" si="88"/>
        <v>0</v>
      </c>
      <c r="J1883" s="365">
        <f t="shared" si="87"/>
        <v>0</v>
      </c>
      <c r="K1883" s="369">
        <f t="shared" si="89"/>
        <v>6</v>
      </c>
      <c r="L1883" s="369">
        <f>+IF((C1883&gt;='Resultats - informe'!$E$16)*(C1883&lt;='Resultats - informe'!$G$16),1,0)</f>
        <v>1</v>
      </c>
      <c r="M1883" s="369" cm="1">
        <f t="array" ref="M1883">+_xlfn.IFS((C1883&gt;='Resultats - informe'!$D$26)*(C1883&lt;='Resultats - informe'!$E$26),0,(C1883&gt;='Resultats - informe'!$D$27)*(C1883&lt;='Resultats - informe'!$E$27),0,(C1883&gt;='Resultats - informe'!$D$28)*(C1883&lt;='Resultats - informe'!$E$28),0,(C1883&gt;='Resultats - informe'!$D$29)*(C1883&lt;='Resultats - informe'!$E$29),0,1,1)</f>
        <v>0</v>
      </c>
      <c r="N1883" s="366">
        <f>+VLOOKUP(D1883,'Resultats - informe'!$Y$18:$AG$42,'Introducció dades consum'!K1883+1,0)</f>
        <v>0</v>
      </c>
      <c r="O1883" s="370" cm="1">
        <f t="array" ref="O1883">+_xlfn.SWITCH(MONTH(C1883),1,1,2,1,3,1,4,2,5,2,6,3,7,3,8,3,9,3,10,2,11,2,12,1,2)</f>
        <v>1</v>
      </c>
      <c r="P1883" s="43"/>
    </row>
    <row r="1884" spans="1:16" ht="18" x14ac:dyDescent="0.35">
      <c r="A1884" s="43"/>
      <c r="C1884" s="393"/>
      <c r="E1884" s="394"/>
      <c r="F1884" s="394">
        <v>0.60499999999999998</v>
      </c>
      <c r="G1884" s="394"/>
      <c r="H1884" s="8" t="s">
        <v>235</v>
      </c>
      <c r="I1884" s="368">
        <f t="shared" si="88"/>
        <v>0</v>
      </c>
      <c r="J1884" s="365">
        <f t="shared" si="87"/>
        <v>0</v>
      </c>
      <c r="K1884" s="369">
        <f t="shared" si="89"/>
        <v>6</v>
      </c>
      <c r="L1884" s="369">
        <f>+IF((C1884&gt;='Resultats - informe'!$E$16)*(C1884&lt;='Resultats - informe'!$G$16),1,0)</f>
        <v>1</v>
      </c>
      <c r="M1884" s="369" cm="1">
        <f t="array" ref="M1884">+_xlfn.IFS((C1884&gt;='Resultats - informe'!$D$26)*(C1884&lt;='Resultats - informe'!$E$26),0,(C1884&gt;='Resultats - informe'!$D$27)*(C1884&lt;='Resultats - informe'!$E$27),0,(C1884&gt;='Resultats - informe'!$D$28)*(C1884&lt;='Resultats - informe'!$E$28),0,(C1884&gt;='Resultats - informe'!$D$29)*(C1884&lt;='Resultats - informe'!$E$29),0,1,1)</f>
        <v>0</v>
      </c>
      <c r="N1884" s="366">
        <f>+VLOOKUP(D1884,'Resultats - informe'!$Y$18:$AG$42,'Introducció dades consum'!K1884+1,0)</f>
        <v>0</v>
      </c>
      <c r="O1884" s="370" cm="1">
        <f t="array" ref="O1884">+_xlfn.SWITCH(MONTH(C1884),1,1,2,1,3,1,4,2,5,2,6,3,7,3,8,3,9,3,10,2,11,2,12,1,2)</f>
        <v>1</v>
      </c>
      <c r="P1884" s="43"/>
    </row>
    <row r="1885" spans="1:16" ht="18" x14ac:dyDescent="0.35">
      <c r="A1885" s="43"/>
      <c r="C1885" s="393"/>
      <c r="E1885" s="394"/>
      <c r="F1885" s="394">
        <v>0</v>
      </c>
      <c r="G1885" s="394"/>
      <c r="H1885" s="8" t="s">
        <v>61</v>
      </c>
      <c r="I1885" s="368">
        <f t="shared" si="88"/>
        <v>0</v>
      </c>
      <c r="J1885" s="365">
        <f t="shared" si="87"/>
        <v>0</v>
      </c>
      <c r="K1885" s="369">
        <f t="shared" si="89"/>
        <v>6</v>
      </c>
      <c r="L1885" s="369">
        <f>+IF((C1885&gt;='Resultats - informe'!$E$16)*(C1885&lt;='Resultats - informe'!$G$16),1,0)</f>
        <v>1</v>
      </c>
      <c r="M1885" s="369" cm="1">
        <f t="array" ref="M1885">+_xlfn.IFS((C1885&gt;='Resultats - informe'!$D$26)*(C1885&lt;='Resultats - informe'!$E$26),0,(C1885&gt;='Resultats - informe'!$D$27)*(C1885&lt;='Resultats - informe'!$E$27),0,(C1885&gt;='Resultats - informe'!$D$28)*(C1885&lt;='Resultats - informe'!$E$28),0,(C1885&gt;='Resultats - informe'!$D$29)*(C1885&lt;='Resultats - informe'!$E$29),0,1,1)</f>
        <v>0</v>
      </c>
      <c r="N1885" s="366">
        <f>+VLOOKUP(D1885,'Resultats - informe'!$Y$18:$AG$42,'Introducció dades consum'!K1885+1,0)</f>
        <v>0</v>
      </c>
      <c r="O1885" s="370" cm="1">
        <f t="array" ref="O1885">+_xlfn.SWITCH(MONTH(C1885),1,1,2,1,3,1,4,2,5,2,6,3,7,3,8,3,9,3,10,2,11,2,12,1,2)</f>
        <v>1</v>
      </c>
      <c r="P1885" s="43"/>
    </row>
    <row r="1886" spans="1:16" ht="18" x14ac:dyDescent="0.35">
      <c r="A1886" s="43"/>
      <c r="C1886" s="393"/>
      <c r="E1886" s="394"/>
      <c r="F1886" s="394">
        <v>0</v>
      </c>
      <c r="G1886" s="394"/>
      <c r="H1886" s="8" t="s">
        <v>61</v>
      </c>
      <c r="I1886" s="368">
        <f t="shared" si="88"/>
        <v>0</v>
      </c>
      <c r="J1886" s="365">
        <f t="shared" si="87"/>
        <v>0</v>
      </c>
      <c r="K1886" s="369">
        <f t="shared" si="89"/>
        <v>6</v>
      </c>
      <c r="L1886" s="369">
        <f>+IF((C1886&gt;='Resultats - informe'!$E$16)*(C1886&lt;='Resultats - informe'!$G$16),1,0)</f>
        <v>1</v>
      </c>
      <c r="M1886" s="369" cm="1">
        <f t="array" ref="M1886">+_xlfn.IFS((C1886&gt;='Resultats - informe'!$D$26)*(C1886&lt;='Resultats - informe'!$E$26),0,(C1886&gt;='Resultats - informe'!$D$27)*(C1886&lt;='Resultats - informe'!$E$27),0,(C1886&gt;='Resultats - informe'!$D$28)*(C1886&lt;='Resultats - informe'!$E$28),0,(C1886&gt;='Resultats - informe'!$D$29)*(C1886&lt;='Resultats - informe'!$E$29),0,1,1)</f>
        <v>0</v>
      </c>
      <c r="N1886" s="366">
        <f>+VLOOKUP(D1886,'Resultats - informe'!$Y$18:$AG$42,'Introducció dades consum'!K1886+1,0)</f>
        <v>0</v>
      </c>
      <c r="O1886" s="370" cm="1">
        <f t="array" ref="O1886">+_xlfn.SWITCH(MONTH(C1886),1,1,2,1,3,1,4,2,5,2,6,3,7,3,8,3,9,3,10,2,11,2,12,1,2)</f>
        <v>1</v>
      </c>
      <c r="P1886" s="43"/>
    </row>
    <row r="1887" spans="1:16" ht="18" x14ac:dyDescent="0.35">
      <c r="A1887" s="43"/>
      <c r="C1887" s="393"/>
      <c r="E1887" s="394"/>
      <c r="F1887" s="394">
        <v>1.4910000000000001</v>
      </c>
      <c r="G1887" s="394"/>
      <c r="H1887" s="8" t="s">
        <v>235</v>
      </c>
      <c r="I1887" s="368">
        <f t="shared" si="88"/>
        <v>0</v>
      </c>
      <c r="J1887" s="365">
        <f t="shared" si="87"/>
        <v>0</v>
      </c>
      <c r="K1887" s="369">
        <f t="shared" si="89"/>
        <v>6</v>
      </c>
      <c r="L1887" s="369">
        <f>+IF((C1887&gt;='Resultats - informe'!$E$16)*(C1887&lt;='Resultats - informe'!$G$16),1,0)</f>
        <v>1</v>
      </c>
      <c r="M1887" s="369" cm="1">
        <f t="array" ref="M1887">+_xlfn.IFS((C1887&gt;='Resultats - informe'!$D$26)*(C1887&lt;='Resultats - informe'!$E$26),0,(C1887&gt;='Resultats - informe'!$D$27)*(C1887&lt;='Resultats - informe'!$E$27),0,(C1887&gt;='Resultats - informe'!$D$28)*(C1887&lt;='Resultats - informe'!$E$28),0,(C1887&gt;='Resultats - informe'!$D$29)*(C1887&lt;='Resultats - informe'!$E$29),0,1,1)</f>
        <v>0</v>
      </c>
      <c r="N1887" s="366">
        <f>+VLOOKUP(D1887,'Resultats - informe'!$Y$18:$AG$42,'Introducció dades consum'!K1887+1,0)</f>
        <v>0</v>
      </c>
      <c r="O1887" s="370" cm="1">
        <f t="array" ref="O1887">+_xlfn.SWITCH(MONTH(C1887),1,1,2,1,3,1,4,2,5,2,6,3,7,3,8,3,9,3,10,2,11,2,12,1,2)</f>
        <v>1</v>
      </c>
      <c r="P1887" s="43"/>
    </row>
    <row r="1888" spans="1:16" ht="18" x14ac:dyDescent="0.35">
      <c r="A1888" s="43"/>
      <c r="C1888" s="393"/>
      <c r="E1888" s="394"/>
      <c r="F1888" s="394">
        <v>1.6970000000000001</v>
      </c>
      <c r="G1888" s="394"/>
      <c r="H1888" s="8" t="s">
        <v>235</v>
      </c>
      <c r="I1888" s="368">
        <f t="shared" si="88"/>
        <v>0</v>
      </c>
      <c r="J1888" s="365">
        <f t="shared" si="87"/>
        <v>0</v>
      </c>
      <c r="K1888" s="369">
        <f t="shared" si="89"/>
        <v>6</v>
      </c>
      <c r="L1888" s="369">
        <f>+IF((C1888&gt;='Resultats - informe'!$E$16)*(C1888&lt;='Resultats - informe'!$G$16),1,0)</f>
        <v>1</v>
      </c>
      <c r="M1888" s="369" cm="1">
        <f t="array" ref="M1888">+_xlfn.IFS((C1888&gt;='Resultats - informe'!$D$26)*(C1888&lt;='Resultats - informe'!$E$26),0,(C1888&gt;='Resultats - informe'!$D$27)*(C1888&lt;='Resultats - informe'!$E$27),0,(C1888&gt;='Resultats - informe'!$D$28)*(C1888&lt;='Resultats - informe'!$E$28),0,(C1888&gt;='Resultats - informe'!$D$29)*(C1888&lt;='Resultats - informe'!$E$29),0,1,1)</f>
        <v>0</v>
      </c>
      <c r="N1888" s="366">
        <f>+VLOOKUP(D1888,'Resultats - informe'!$Y$18:$AG$42,'Introducció dades consum'!K1888+1,0)</f>
        <v>0</v>
      </c>
      <c r="O1888" s="370" cm="1">
        <f t="array" ref="O1888">+_xlfn.SWITCH(MONTH(C1888),1,1,2,1,3,1,4,2,5,2,6,3,7,3,8,3,9,3,10,2,11,2,12,1,2)</f>
        <v>1</v>
      </c>
      <c r="P1888" s="43"/>
    </row>
    <row r="1889" spans="1:16" ht="18" x14ac:dyDescent="0.35">
      <c r="A1889" s="43"/>
      <c r="C1889" s="393"/>
      <c r="E1889" s="394"/>
      <c r="F1889" s="394">
        <v>0</v>
      </c>
      <c r="G1889" s="394"/>
      <c r="H1889" s="8" t="s">
        <v>61</v>
      </c>
      <c r="I1889" s="368">
        <f t="shared" si="88"/>
        <v>0</v>
      </c>
      <c r="J1889" s="365">
        <f t="shared" si="87"/>
        <v>0</v>
      </c>
      <c r="K1889" s="369">
        <f t="shared" si="89"/>
        <v>6</v>
      </c>
      <c r="L1889" s="369">
        <f>+IF((C1889&gt;='Resultats - informe'!$E$16)*(C1889&lt;='Resultats - informe'!$G$16),1,0)</f>
        <v>1</v>
      </c>
      <c r="M1889" s="369" cm="1">
        <f t="array" ref="M1889">+_xlfn.IFS((C1889&gt;='Resultats - informe'!$D$26)*(C1889&lt;='Resultats - informe'!$E$26),0,(C1889&gt;='Resultats - informe'!$D$27)*(C1889&lt;='Resultats - informe'!$E$27),0,(C1889&gt;='Resultats - informe'!$D$28)*(C1889&lt;='Resultats - informe'!$E$28),0,(C1889&gt;='Resultats - informe'!$D$29)*(C1889&lt;='Resultats - informe'!$E$29),0,1,1)</f>
        <v>0</v>
      </c>
      <c r="N1889" s="366">
        <f>+VLOOKUP(D1889,'Resultats - informe'!$Y$18:$AG$42,'Introducció dades consum'!K1889+1,0)</f>
        <v>0</v>
      </c>
      <c r="O1889" s="370" cm="1">
        <f t="array" ref="O1889">+_xlfn.SWITCH(MONTH(C1889),1,1,2,1,3,1,4,2,5,2,6,3,7,3,8,3,9,3,10,2,11,2,12,1,2)</f>
        <v>1</v>
      </c>
      <c r="P1889" s="43"/>
    </row>
    <row r="1890" spans="1:16" ht="18" x14ac:dyDescent="0.35">
      <c r="A1890" s="43"/>
      <c r="C1890" s="393"/>
      <c r="E1890" s="394"/>
      <c r="F1890" s="394">
        <v>1.2829999999999999</v>
      </c>
      <c r="G1890" s="394"/>
      <c r="H1890" s="8" t="s">
        <v>235</v>
      </c>
      <c r="I1890" s="368">
        <f t="shared" si="88"/>
        <v>0</v>
      </c>
      <c r="J1890" s="365">
        <f t="shared" si="87"/>
        <v>0</v>
      </c>
      <c r="K1890" s="369">
        <f t="shared" si="89"/>
        <v>6</v>
      </c>
      <c r="L1890" s="369">
        <f>+IF((C1890&gt;='Resultats - informe'!$E$16)*(C1890&lt;='Resultats - informe'!$G$16),1,0)</f>
        <v>1</v>
      </c>
      <c r="M1890" s="369" cm="1">
        <f t="array" ref="M1890">+_xlfn.IFS((C1890&gt;='Resultats - informe'!$D$26)*(C1890&lt;='Resultats - informe'!$E$26),0,(C1890&gt;='Resultats - informe'!$D$27)*(C1890&lt;='Resultats - informe'!$E$27),0,(C1890&gt;='Resultats - informe'!$D$28)*(C1890&lt;='Resultats - informe'!$E$28),0,(C1890&gt;='Resultats - informe'!$D$29)*(C1890&lt;='Resultats - informe'!$E$29),0,1,1)</f>
        <v>0</v>
      </c>
      <c r="N1890" s="366">
        <f>+VLOOKUP(D1890,'Resultats - informe'!$Y$18:$AG$42,'Introducció dades consum'!K1890+1,0)</f>
        <v>0</v>
      </c>
      <c r="O1890" s="370" cm="1">
        <f t="array" ref="O1890">+_xlfn.SWITCH(MONTH(C1890),1,1,2,1,3,1,4,2,5,2,6,3,7,3,8,3,9,3,10,2,11,2,12,1,2)</f>
        <v>1</v>
      </c>
      <c r="P1890" s="43"/>
    </row>
    <row r="1891" spans="1:16" ht="18" x14ac:dyDescent="0.35">
      <c r="A1891" s="43"/>
      <c r="C1891" s="393"/>
      <c r="E1891" s="394"/>
      <c r="F1891" s="394">
        <v>1.1180000000000001</v>
      </c>
      <c r="G1891" s="394"/>
      <c r="H1891" s="8" t="s">
        <v>235</v>
      </c>
      <c r="I1891" s="368">
        <f t="shared" si="88"/>
        <v>0</v>
      </c>
      <c r="J1891" s="365">
        <f t="shared" si="87"/>
        <v>0</v>
      </c>
      <c r="K1891" s="369">
        <f t="shared" si="89"/>
        <v>6</v>
      </c>
      <c r="L1891" s="369">
        <f>+IF((C1891&gt;='Resultats - informe'!$E$16)*(C1891&lt;='Resultats - informe'!$G$16),1,0)</f>
        <v>1</v>
      </c>
      <c r="M1891" s="369" cm="1">
        <f t="array" ref="M1891">+_xlfn.IFS((C1891&gt;='Resultats - informe'!$D$26)*(C1891&lt;='Resultats - informe'!$E$26),0,(C1891&gt;='Resultats - informe'!$D$27)*(C1891&lt;='Resultats - informe'!$E$27),0,(C1891&gt;='Resultats - informe'!$D$28)*(C1891&lt;='Resultats - informe'!$E$28),0,(C1891&gt;='Resultats - informe'!$D$29)*(C1891&lt;='Resultats - informe'!$E$29),0,1,1)</f>
        <v>0</v>
      </c>
      <c r="N1891" s="366">
        <f>+VLOOKUP(D1891,'Resultats - informe'!$Y$18:$AG$42,'Introducció dades consum'!K1891+1,0)</f>
        <v>0</v>
      </c>
      <c r="O1891" s="370" cm="1">
        <f t="array" ref="O1891">+_xlfn.SWITCH(MONTH(C1891),1,1,2,1,3,1,4,2,5,2,6,3,7,3,8,3,9,3,10,2,11,2,12,1,2)</f>
        <v>1</v>
      </c>
      <c r="P1891" s="43"/>
    </row>
    <row r="1892" spans="1:16" ht="18" x14ac:dyDescent="0.35">
      <c r="A1892" s="43"/>
      <c r="C1892" s="393"/>
      <c r="E1892" s="394"/>
      <c r="F1892" s="394">
        <v>1.43</v>
      </c>
      <c r="G1892" s="394"/>
      <c r="H1892" s="8" t="s">
        <v>235</v>
      </c>
      <c r="I1892" s="368">
        <f t="shared" si="88"/>
        <v>0</v>
      </c>
      <c r="J1892" s="365">
        <f t="shared" si="87"/>
        <v>0</v>
      </c>
      <c r="K1892" s="369">
        <f t="shared" si="89"/>
        <v>6</v>
      </c>
      <c r="L1892" s="369">
        <f>+IF((C1892&gt;='Resultats - informe'!$E$16)*(C1892&lt;='Resultats - informe'!$G$16),1,0)</f>
        <v>1</v>
      </c>
      <c r="M1892" s="369" cm="1">
        <f t="array" ref="M1892">+_xlfn.IFS((C1892&gt;='Resultats - informe'!$D$26)*(C1892&lt;='Resultats - informe'!$E$26),0,(C1892&gt;='Resultats - informe'!$D$27)*(C1892&lt;='Resultats - informe'!$E$27),0,(C1892&gt;='Resultats - informe'!$D$28)*(C1892&lt;='Resultats - informe'!$E$28),0,(C1892&gt;='Resultats - informe'!$D$29)*(C1892&lt;='Resultats - informe'!$E$29),0,1,1)</f>
        <v>0</v>
      </c>
      <c r="N1892" s="366">
        <f>+VLOOKUP(D1892,'Resultats - informe'!$Y$18:$AG$42,'Introducció dades consum'!K1892+1,0)</f>
        <v>0</v>
      </c>
      <c r="O1892" s="370" cm="1">
        <f t="array" ref="O1892">+_xlfn.SWITCH(MONTH(C1892),1,1,2,1,3,1,4,2,5,2,6,3,7,3,8,3,9,3,10,2,11,2,12,1,2)</f>
        <v>1</v>
      </c>
      <c r="P1892" s="43"/>
    </row>
    <row r="1893" spans="1:16" ht="18" x14ac:dyDescent="0.35">
      <c r="A1893" s="43"/>
      <c r="C1893" s="393"/>
      <c r="E1893" s="394"/>
      <c r="F1893" s="394">
        <v>0.29499999999999998</v>
      </c>
      <c r="G1893" s="394"/>
      <c r="H1893" s="8" t="s">
        <v>235</v>
      </c>
      <c r="I1893" s="368">
        <f t="shared" si="88"/>
        <v>0</v>
      </c>
      <c r="J1893" s="365">
        <f t="shared" si="87"/>
        <v>0</v>
      </c>
      <c r="K1893" s="369">
        <f t="shared" si="89"/>
        <v>6</v>
      </c>
      <c r="L1893" s="369">
        <f>+IF((C1893&gt;='Resultats - informe'!$E$16)*(C1893&lt;='Resultats - informe'!$G$16),1,0)</f>
        <v>1</v>
      </c>
      <c r="M1893" s="369" cm="1">
        <f t="array" ref="M1893">+_xlfn.IFS((C1893&gt;='Resultats - informe'!$D$26)*(C1893&lt;='Resultats - informe'!$E$26),0,(C1893&gt;='Resultats - informe'!$D$27)*(C1893&lt;='Resultats - informe'!$E$27),0,(C1893&gt;='Resultats - informe'!$D$28)*(C1893&lt;='Resultats - informe'!$E$28),0,(C1893&gt;='Resultats - informe'!$D$29)*(C1893&lt;='Resultats - informe'!$E$29),0,1,1)</f>
        <v>0</v>
      </c>
      <c r="N1893" s="366">
        <f>+VLOOKUP(D1893,'Resultats - informe'!$Y$18:$AG$42,'Introducció dades consum'!K1893+1,0)</f>
        <v>0</v>
      </c>
      <c r="O1893" s="370" cm="1">
        <f t="array" ref="O1893">+_xlfn.SWITCH(MONTH(C1893),1,1,2,1,3,1,4,2,5,2,6,3,7,3,8,3,9,3,10,2,11,2,12,1,2)</f>
        <v>1</v>
      </c>
      <c r="P1893" s="43"/>
    </row>
    <row r="1894" spans="1:16" ht="18" x14ac:dyDescent="0.35">
      <c r="A1894" s="43"/>
      <c r="C1894" s="393"/>
      <c r="E1894" s="394"/>
      <c r="F1894" s="394">
        <v>0</v>
      </c>
      <c r="G1894" s="394"/>
      <c r="H1894" s="8" t="s">
        <v>235</v>
      </c>
      <c r="I1894" s="368">
        <f t="shared" si="88"/>
        <v>0</v>
      </c>
      <c r="J1894" s="365">
        <f t="shared" si="87"/>
        <v>0</v>
      </c>
      <c r="K1894" s="369">
        <f t="shared" si="89"/>
        <v>6</v>
      </c>
      <c r="L1894" s="369">
        <f>+IF((C1894&gt;='Resultats - informe'!$E$16)*(C1894&lt;='Resultats - informe'!$G$16),1,0)</f>
        <v>1</v>
      </c>
      <c r="M1894" s="369" cm="1">
        <f t="array" ref="M1894">+_xlfn.IFS((C1894&gt;='Resultats - informe'!$D$26)*(C1894&lt;='Resultats - informe'!$E$26),0,(C1894&gt;='Resultats - informe'!$D$27)*(C1894&lt;='Resultats - informe'!$E$27),0,(C1894&gt;='Resultats - informe'!$D$28)*(C1894&lt;='Resultats - informe'!$E$28),0,(C1894&gt;='Resultats - informe'!$D$29)*(C1894&lt;='Resultats - informe'!$E$29),0,1,1)</f>
        <v>0</v>
      </c>
      <c r="N1894" s="366">
        <f>+VLOOKUP(D1894,'Resultats - informe'!$Y$18:$AG$42,'Introducció dades consum'!K1894+1,0)</f>
        <v>0</v>
      </c>
      <c r="O1894" s="370" cm="1">
        <f t="array" ref="O1894">+_xlfn.SWITCH(MONTH(C1894),1,1,2,1,3,1,4,2,5,2,6,3,7,3,8,3,9,3,10,2,11,2,12,1,2)</f>
        <v>1</v>
      </c>
      <c r="P1894" s="43"/>
    </row>
    <row r="1895" spans="1:16" ht="18" x14ac:dyDescent="0.35">
      <c r="A1895" s="43"/>
      <c r="C1895" s="393"/>
      <c r="E1895" s="394"/>
      <c r="F1895" s="394">
        <v>0</v>
      </c>
      <c r="G1895" s="394"/>
      <c r="H1895" s="8" t="s">
        <v>61</v>
      </c>
      <c r="I1895" s="368">
        <f t="shared" si="88"/>
        <v>0</v>
      </c>
      <c r="J1895" s="365">
        <f t="shared" si="87"/>
        <v>0</v>
      </c>
      <c r="K1895" s="369">
        <f t="shared" si="89"/>
        <v>6</v>
      </c>
      <c r="L1895" s="369">
        <f>+IF((C1895&gt;='Resultats - informe'!$E$16)*(C1895&lt;='Resultats - informe'!$G$16),1,0)</f>
        <v>1</v>
      </c>
      <c r="M1895" s="369" cm="1">
        <f t="array" ref="M1895">+_xlfn.IFS((C1895&gt;='Resultats - informe'!$D$26)*(C1895&lt;='Resultats - informe'!$E$26),0,(C1895&gt;='Resultats - informe'!$D$27)*(C1895&lt;='Resultats - informe'!$E$27),0,(C1895&gt;='Resultats - informe'!$D$28)*(C1895&lt;='Resultats - informe'!$E$28),0,(C1895&gt;='Resultats - informe'!$D$29)*(C1895&lt;='Resultats - informe'!$E$29),0,1,1)</f>
        <v>0</v>
      </c>
      <c r="N1895" s="366">
        <f>+VLOOKUP(D1895,'Resultats - informe'!$Y$18:$AG$42,'Introducció dades consum'!K1895+1,0)</f>
        <v>0</v>
      </c>
      <c r="O1895" s="370" cm="1">
        <f t="array" ref="O1895">+_xlfn.SWITCH(MONTH(C1895),1,1,2,1,3,1,4,2,5,2,6,3,7,3,8,3,9,3,10,2,11,2,12,1,2)</f>
        <v>1</v>
      </c>
      <c r="P1895" s="43"/>
    </row>
    <row r="1896" spans="1:16" ht="18" x14ac:dyDescent="0.35">
      <c r="A1896" s="43"/>
      <c r="C1896" s="393"/>
      <c r="E1896" s="394"/>
      <c r="F1896" s="394">
        <v>0</v>
      </c>
      <c r="G1896" s="394"/>
      <c r="H1896" s="8" t="s">
        <v>235</v>
      </c>
      <c r="I1896" s="368">
        <f t="shared" si="88"/>
        <v>0</v>
      </c>
      <c r="J1896" s="365">
        <f t="shared" si="87"/>
        <v>0</v>
      </c>
      <c r="K1896" s="369">
        <f t="shared" si="89"/>
        <v>6</v>
      </c>
      <c r="L1896" s="369">
        <f>+IF((C1896&gt;='Resultats - informe'!$E$16)*(C1896&lt;='Resultats - informe'!$G$16),1,0)</f>
        <v>1</v>
      </c>
      <c r="M1896" s="369" cm="1">
        <f t="array" ref="M1896">+_xlfn.IFS((C1896&gt;='Resultats - informe'!$D$26)*(C1896&lt;='Resultats - informe'!$E$26),0,(C1896&gt;='Resultats - informe'!$D$27)*(C1896&lt;='Resultats - informe'!$E$27),0,(C1896&gt;='Resultats - informe'!$D$28)*(C1896&lt;='Resultats - informe'!$E$28),0,(C1896&gt;='Resultats - informe'!$D$29)*(C1896&lt;='Resultats - informe'!$E$29),0,1,1)</f>
        <v>0</v>
      </c>
      <c r="N1896" s="366">
        <f>+VLOOKUP(D1896,'Resultats - informe'!$Y$18:$AG$42,'Introducció dades consum'!K1896+1,0)</f>
        <v>0</v>
      </c>
      <c r="O1896" s="370" cm="1">
        <f t="array" ref="O1896">+_xlfn.SWITCH(MONTH(C1896),1,1,2,1,3,1,4,2,5,2,6,3,7,3,8,3,9,3,10,2,11,2,12,1,2)</f>
        <v>1</v>
      </c>
      <c r="P1896" s="43"/>
    </row>
    <row r="1897" spans="1:16" ht="18" x14ac:dyDescent="0.35">
      <c r="A1897" s="43"/>
      <c r="C1897" s="393"/>
      <c r="E1897" s="394"/>
      <c r="F1897" s="394">
        <v>0</v>
      </c>
      <c r="G1897" s="394"/>
      <c r="H1897" s="8" t="s">
        <v>235</v>
      </c>
      <c r="I1897" s="368">
        <f t="shared" si="88"/>
        <v>0</v>
      </c>
      <c r="J1897" s="365">
        <f t="shared" si="87"/>
        <v>0</v>
      </c>
      <c r="K1897" s="369">
        <f t="shared" si="89"/>
        <v>6</v>
      </c>
      <c r="L1897" s="369">
        <f>+IF((C1897&gt;='Resultats - informe'!$E$16)*(C1897&lt;='Resultats - informe'!$G$16),1,0)</f>
        <v>1</v>
      </c>
      <c r="M1897" s="369" cm="1">
        <f t="array" ref="M1897">+_xlfn.IFS((C1897&gt;='Resultats - informe'!$D$26)*(C1897&lt;='Resultats - informe'!$E$26),0,(C1897&gt;='Resultats - informe'!$D$27)*(C1897&lt;='Resultats - informe'!$E$27),0,(C1897&gt;='Resultats - informe'!$D$28)*(C1897&lt;='Resultats - informe'!$E$28),0,(C1897&gt;='Resultats - informe'!$D$29)*(C1897&lt;='Resultats - informe'!$E$29),0,1,1)</f>
        <v>0</v>
      </c>
      <c r="N1897" s="366">
        <f>+VLOOKUP(D1897,'Resultats - informe'!$Y$18:$AG$42,'Introducció dades consum'!K1897+1,0)</f>
        <v>0</v>
      </c>
      <c r="O1897" s="370" cm="1">
        <f t="array" ref="O1897">+_xlfn.SWITCH(MONTH(C1897),1,1,2,1,3,1,4,2,5,2,6,3,7,3,8,3,9,3,10,2,11,2,12,1,2)</f>
        <v>1</v>
      </c>
      <c r="P1897" s="43"/>
    </row>
    <row r="1898" spans="1:16" ht="18" x14ac:dyDescent="0.35">
      <c r="A1898" s="43"/>
      <c r="C1898" s="393"/>
      <c r="E1898" s="394"/>
      <c r="F1898" s="394">
        <v>0</v>
      </c>
      <c r="G1898" s="394"/>
      <c r="H1898" s="8" t="s">
        <v>235</v>
      </c>
      <c r="I1898" s="368">
        <f t="shared" si="88"/>
        <v>0</v>
      </c>
      <c r="J1898" s="365">
        <f t="shared" si="87"/>
        <v>0</v>
      </c>
      <c r="K1898" s="369">
        <f t="shared" si="89"/>
        <v>6</v>
      </c>
      <c r="L1898" s="369">
        <f>+IF((C1898&gt;='Resultats - informe'!$E$16)*(C1898&lt;='Resultats - informe'!$G$16),1,0)</f>
        <v>1</v>
      </c>
      <c r="M1898" s="369" cm="1">
        <f t="array" ref="M1898">+_xlfn.IFS((C1898&gt;='Resultats - informe'!$D$26)*(C1898&lt;='Resultats - informe'!$E$26),0,(C1898&gt;='Resultats - informe'!$D$27)*(C1898&lt;='Resultats - informe'!$E$27),0,(C1898&gt;='Resultats - informe'!$D$28)*(C1898&lt;='Resultats - informe'!$E$28),0,(C1898&gt;='Resultats - informe'!$D$29)*(C1898&lt;='Resultats - informe'!$E$29),0,1,1)</f>
        <v>0</v>
      </c>
      <c r="N1898" s="366">
        <f>+VLOOKUP(D1898,'Resultats - informe'!$Y$18:$AG$42,'Introducció dades consum'!K1898+1,0)</f>
        <v>0</v>
      </c>
      <c r="O1898" s="370" cm="1">
        <f t="array" ref="O1898">+_xlfn.SWITCH(MONTH(C1898),1,1,2,1,3,1,4,2,5,2,6,3,7,3,8,3,9,3,10,2,11,2,12,1,2)</f>
        <v>1</v>
      </c>
      <c r="P1898" s="43"/>
    </row>
    <row r="1899" spans="1:16" ht="18" x14ac:dyDescent="0.35">
      <c r="A1899" s="43"/>
      <c r="C1899" s="393"/>
      <c r="E1899" s="394"/>
      <c r="F1899" s="394">
        <v>0</v>
      </c>
      <c r="G1899" s="394"/>
      <c r="H1899" s="8" t="s">
        <v>235</v>
      </c>
      <c r="I1899" s="368">
        <f t="shared" si="88"/>
        <v>0</v>
      </c>
      <c r="J1899" s="365">
        <f t="shared" si="87"/>
        <v>0</v>
      </c>
      <c r="K1899" s="369">
        <f t="shared" si="89"/>
        <v>6</v>
      </c>
      <c r="L1899" s="369">
        <f>+IF((C1899&gt;='Resultats - informe'!$E$16)*(C1899&lt;='Resultats - informe'!$G$16),1,0)</f>
        <v>1</v>
      </c>
      <c r="M1899" s="369" cm="1">
        <f t="array" ref="M1899">+_xlfn.IFS((C1899&gt;='Resultats - informe'!$D$26)*(C1899&lt;='Resultats - informe'!$E$26),0,(C1899&gt;='Resultats - informe'!$D$27)*(C1899&lt;='Resultats - informe'!$E$27),0,(C1899&gt;='Resultats - informe'!$D$28)*(C1899&lt;='Resultats - informe'!$E$28),0,(C1899&gt;='Resultats - informe'!$D$29)*(C1899&lt;='Resultats - informe'!$E$29),0,1,1)</f>
        <v>0</v>
      </c>
      <c r="N1899" s="366">
        <f>+VLOOKUP(D1899,'Resultats - informe'!$Y$18:$AG$42,'Introducció dades consum'!K1899+1,0)</f>
        <v>0</v>
      </c>
      <c r="O1899" s="370" cm="1">
        <f t="array" ref="O1899">+_xlfn.SWITCH(MONTH(C1899),1,1,2,1,3,1,4,2,5,2,6,3,7,3,8,3,9,3,10,2,11,2,12,1,2)</f>
        <v>1</v>
      </c>
      <c r="P1899" s="43"/>
    </row>
    <row r="1900" spans="1:16" ht="18" x14ac:dyDescent="0.35">
      <c r="A1900" s="43"/>
      <c r="C1900" s="393"/>
      <c r="E1900" s="394"/>
      <c r="F1900" s="394">
        <v>0</v>
      </c>
      <c r="G1900" s="394"/>
      <c r="H1900" s="8" t="s">
        <v>235</v>
      </c>
      <c r="I1900" s="368">
        <f t="shared" si="88"/>
        <v>0</v>
      </c>
      <c r="J1900" s="365">
        <f t="shared" si="87"/>
        <v>0</v>
      </c>
      <c r="K1900" s="369">
        <f t="shared" si="89"/>
        <v>6</v>
      </c>
      <c r="L1900" s="369">
        <f>+IF((C1900&gt;='Resultats - informe'!$E$16)*(C1900&lt;='Resultats - informe'!$G$16),1,0)</f>
        <v>1</v>
      </c>
      <c r="M1900" s="369" cm="1">
        <f t="array" ref="M1900">+_xlfn.IFS((C1900&gt;='Resultats - informe'!$D$26)*(C1900&lt;='Resultats - informe'!$E$26),0,(C1900&gt;='Resultats - informe'!$D$27)*(C1900&lt;='Resultats - informe'!$E$27),0,(C1900&gt;='Resultats - informe'!$D$28)*(C1900&lt;='Resultats - informe'!$E$28),0,(C1900&gt;='Resultats - informe'!$D$29)*(C1900&lt;='Resultats - informe'!$E$29),0,1,1)</f>
        <v>0</v>
      </c>
      <c r="N1900" s="366">
        <f>+VLOOKUP(D1900,'Resultats - informe'!$Y$18:$AG$42,'Introducció dades consum'!K1900+1,0)</f>
        <v>0</v>
      </c>
      <c r="O1900" s="370" cm="1">
        <f t="array" ref="O1900">+_xlfn.SWITCH(MONTH(C1900),1,1,2,1,3,1,4,2,5,2,6,3,7,3,8,3,9,3,10,2,11,2,12,1,2)</f>
        <v>1</v>
      </c>
      <c r="P1900" s="43"/>
    </row>
    <row r="1901" spans="1:16" ht="18" x14ac:dyDescent="0.35">
      <c r="A1901" s="43"/>
      <c r="C1901" s="393"/>
      <c r="E1901" s="394"/>
      <c r="F1901" s="394">
        <v>0</v>
      </c>
      <c r="G1901" s="394"/>
      <c r="H1901" s="8" t="s">
        <v>235</v>
      </c>
      <c r="I1901" s="368">
        <f t="shared" si="88"/>
        <v>0</v>
      </c>
      <c r="J1901" s="365">
        <f t="shared" si="87"/>
        <v>0</v>
      </c>
      <c r="K1901" s="369">
        <f t="shared" si="89"/>
        <v>6</v>
      </c>
      <c r="L1901" s="369">
        <f>+IF((C1901&gt;='Resultats - informe'!$E$16)*(C1901&lt;='Resultats - informe'!$G$16),1,0)</f>
        <v>1</v>
      </c>
      <c r="M1901" s="369" cm="1">
        <f t="array" ref="M1901">+_xlfn.IFS((C1901&gt;='Resultats - informe'!$D$26)*(C1901&lt;='Resultats - informe'!$E$26),0,(C1901&gt;='Resultats - informe'!$D$27)*(C1901&lt;='Resultats - informe'!$E$27),0,(C1901&gt;='Resultats - informe'!$D$28)*(C1901&lt;='Resultats - informe'!$E$28),0,(C1901&gt;='Resultats - informe'!$D$29)*(C1901&lt;='Resultats - informe'!$E$29),0,1,1)</f>
        <v>0</v>
      </c>
      <c r="N1901" s="366">
        <f>+VLOOKUP(D1901,'Resultats - informe'!$Y$18:$AG$42,'Introducció dades consum'!K1901+1,0)</f>
        <v>0</v>
      </c>
      <c r="O1901" s="370" cm="1">
        <f t="array" ref="O1901">+_xlfn.SWITCH(MONTH(C1901),1,1,2,1,3,1,4,2,5,2,6,3,7,3,8,3,9,3,10,2,11,2,12,1,2)</f>
        <v>1</v>
      </c>
      <c r="P1901" s="43"/>
    </row>
    <row r="1902" spans="1:16" ht="18" x14ac:dyDescent="0.35">
      <c r="A1902" s="43"/>
      <c r="C1902" s="393"/>
      <c r="E1902" s="394"/>
      <c r="F1902" s="394">
        <v>0</v>
      </c>
      <c r="G1902" s="394"/>
      <c r="H1902" s="8" t="s">
        <v>235</v>
      </c>
      <c r="I1902" s="368">
        <f t="shared" si="88"/>
        <v>0</v>
      </c>
      <c r="J1902" s="365">
        <f t="shared" si="87"/>
        <v>0</v>
      </c>
      <c r="K1902" s="369">
        <f t="shared" si="89"/>
        <v>6</v>
      </c>
      <c r="L1902" s="369">
        <f>+IF((C1902&gt;='Resultats - informe'!$E$16)*(C1902&lt;='Resultats - informe'!$G$16),1,0)</f>
        <v>1</v>
      </c>
      <c r="M1902" s="369" cm="1">
        <f t="array" ref="M1902">+_xlfn.IFS((C1902&gt;='Resultats - informe'!$D$26)*(C1902&lt;='Resultats - informe'!$E$26),0,(C1902&gt;='Resultats - informe'!$D$27)*(C1902&lt;='Resultats - informe'!$E$27),0,(C1902&gt;='Resultats - informe'!$D$28)*(C1902&lt;='Resultats - informe'!$E$28),0,(C1902&gt;='Resultats - informe'!$D$29)*(C1902&lt;='Resultats - informe'!$E$29),0,1,1)</f>
        <v>0</v>
      </c>
      <c r="N1902" s="366">
        <f>+VLOOKUP(D1902,'Resultats - informe'!$Y$18:$AG$42,'Introducció dades consum'!K1902+1,0)</f>
        <v>0</v>
      </c>
      <c r="O1902" s="370" cm="1">
        <f t="array" ref="O1902">+_xlfn.SWITCH(MONTH(C1902),1,1,2,1,3,1,4,2,5,2,6,3,7,3,8,3,9,3,10,2,11,2,12,1,2)</f>
        <v>1</v>
      </c>
      <c r="P1902" s="43"/>
    </row>
    <row r="1903" spans="1:16" ht="18" x14ac:dyDescent="0.35">
      <c r="A1903" s="43"/>
      <c r="C1903" s="393"/>
      <c r="E1903" s="394"/>
      <c r="F1903" s="394">
        <v>0</v>
      </c>
      <c r="G1903" s="394"/>
      <c r="H1903" s="8" t="s">
        <v>235</v>
      </c>
      <c r="I1903" s="368">
        <f t="shared" si="88"/>
        <v>0</v>
      </c>
      <c r="J1903" s="365">
        <f t="shared" si="87"/>
        <v>0</v>
      </c>
      <c r="K1903" s="369">
        <f t="shared" si="89"/>
        <v>6</v>
      </c>
      <c r="L1903" s="369">
        <f>+IF((C1903&gt;='Resultats - informe'!$E$16)*(C1903&lt;='Resultats - informe'!$G$16),1,0)</f>
        <v>1</v>
      </c>
      <c r="M1903" s="369" cm="1">
        <f t="array" ref="M1903">+_xlfn.IFS((C1903&gt;='Resultats - informe'!$D$26)*(C1903&lt;='Resultats - informe'!$E$26),0,(C1903&gt;='Resultats - informe'!$D$27)*(C1903&lt;='Resultats - informe'!$E$27),0,(C1903&gt;='Resultats - informe'!$D$28)*(C1903&lt;='Resultats - informe'!$E$28),0,(C1903&gt;='Resultats - informe'!$D$29)*(C1903&lt;='Resultats - informe'!$E$29),0,1,1)</f>
        <v>0</v>
      </c>
      <c r="N1903" s="366">
        <f>+VLOOKUP(D1903,'Resultats - informe'!$Y$18:$AG$42,'Introducció dades consum'!K1903+1,0)</f>
        <v>0</v>
      </c>
      <c r="O1903" s="370" cm="1">
        <f t="array" ref="O1903">+_xlfn.SWITCH(MONTH(C1903),1,1,2,1,3,1,4,2,5,2,6,3,7,3,8,3,9,3,10,2,11,2,12,1,2)</f>
        <v>1</v>
      </c>
      <c r="P1903" s="43"/>
    </row>
    <row r="1904" spans="1:16" ht="18" x14ac:dyDescent="0.35">
      <c r="A1904" s="43"/>
      <c r="C1904" s="393"/>
      <c r="E1904" s="394"/>
      <c r="F1904" s="394">
        <v>0</v>
      </c>
      <c r="G1904" s="394"/>
      <c r="H1904" s="8" t="s">
        <v>235</v>
      </c>
      <c r="I1904" s="368">
        <f t="shared" si="88"/>
        <v>0</v>
      </c>
      <c r="J1904" s="365">
        <f t="shared" si="87"/>
        <v>0</v>
      </c>
      <c r="K1904" s="369">
        <f t="shared" si="89"/>
        <v>6</v>
      </c>
      <c r="L1904" s="369">
        <f>+IF((C1904&gt;='Resultats - informe'!$E$16)*(C1904&lt;='Resultats - informe'!$G$16),1,0)</f>
        <v>1</v>
      </c>
      <c r="M1904" s="369" cm="1">
        <f t="array" ref="M1904">+_xlfn.IFS((C1904&gt;='Resultats - informe'!$D$26)*(C1904&lt;='Resultats - informe'!$E$26),0,(C1904&gt;='Resultats - informe'!$D$27)*(C1904&lt;='Resultats - informe'!$E$27),0,(C1904&gt;='Resultats - informe'!$D$28)*(C1904&lt;='Resultats - informe'!$E$28),0,(C1904&gt;='Resultats - informe'!$D$29)*(C1904&lt;='Resultats - informe'!$E$29),0,1,1)</f>
        <v>0</v>
      </c>
      <c r="N1904" s="366">
        <f>+VLOOKUP(D1904,'Resultats - informe'!$Y$18:$AG$42,'Introducció dades consum'!K1904+1,0)</f>
        <v>0</v>
      </c>
      <c r="O1904" s="370" cm="1">
        <f t="array" ref="O1904">+_xlfn.SWITCH(MONTH(C1904),1,1,2,1,3,1,4,2,5,2,6,3,7,3,8,3,9,3,10,2,11,2,12,1,2)</f>
        <v>1</v>
      </c>
      <c r="P1904" s="43"/>
    </row>
    <row r="1905" spans="1:16" ht="18" x14ac:dyDescent="0.35">
      <c r="A1905" s="43"/>
      <c r="C1905" s="393"/>
      <c r="E1905" s="394"/>
      <c r="F1905" s="394">
        <v>0</v>
      </c>
      <c r="G1905" s="394"/>
      <c r="H1905" s="8" t="s">
        <v>235</v>
      </c>
      <c r="I1905" s="368">
        <f t="shared" si="88"/>
        <v>0</v>
      </c>
      <c r="J1905" s="365">
        <f t="shared" si="87"/>
        <v>0</v>
      </c>
      <c r="K1905" s="369">
        <f t="shared" si="89"/>
        <v>6</v>
      </c>
      <c r="L1905" s="369">
        <f>+IF((C1905&gt;='Resultats - informe'!$E$16)*(C1905&lt;='Resultats - informe'!$G$16),1,0)</f>
        <v>1</v>
      </c>
      <c r="M1905" s="369" cm="1">
        <f t="array" ref="M1905">+_xlfn.IFS((C1905&gt;='Resultats - informe'!$D$26)*(C1905&lt;='Resultats - informe'!$E$26),0,(C1905&gt;='Resultats - informe'!$D$27)*(C1905&lt;='Resultats - informe'!$E$27),0,(C1905&gt;='Resultats - informe'!$D$28)*(C1905&lt;='Resultats - informe'!$E$28),0,(C1905&gt;='Resultats - informe'!$D$29)*(C1905&lt;='Resultats - informe'!$E$29),0,1,1)</f>
        <v>0</v>
      </c>
      <c r="N1905" s="366">
        <f>+VLOOKUP(D1905,'Resultats - informe'!$Y$18:$AG$42,'Introducció dades consum'!K1905+1,0)</f>
        <v>0</v>
      </c>
      <c r="O1905" s="370" cm="1">
        <f t="array" ref="O1905">+_xlfn.SWITCH(MONTH(C1905),1,1,2,1,3,1,4,2,5,2,6,3,7,3,8,3,9,3,10,2,11,2,12,1,2)</f>
        <v>1</v>
      </c>
      <c r="P1905" s="43"/>
    </row>
    <row r="1906" spans="1:16" ht="18" x14ac:dyDescent="0.35">
      <c r="A1906" s="43"/>
      <c r="C1906" s="393"/>
      <c r="E1906" s="394"/>
      <c r="F1906" s="394">
        <v>0</v>
      </c>
      <c r="G1906" s="394"/>
      <c r="H1906" s="8" t="s">
        <v>235</v>
      </c>
      <c r="I1906" s="368">
        <f t="shared" si="88"/>
        <v>0</v>
      </c>
      <c r="J1906" s="365">
        <f t="shared" si="87"/>
        <v>0</v>
      </c>
      <c r="K1906" s="369">
        <f t="shared" si="89"/>
        <v>6</v>
      </c>
      <c r="L1906" s="369">
        <f>+IF((C1906&gt;='Resultats - informe'!$E$16)*(C1906&lt;='Resultats - informe'!$G$16),1,0)</f>
        <v>1</v>
      </c>
      <c r="M1906" s="369" cm="1">
        <f t="array" ref="M1906">+_xlfn.IFS((C1906&gt;='Resultats - informe'!$D$26)*(C1906&lt;='Resultats - informe'!$E$26),0,(C1906&gt;='Resultats - informe'!$D$27)*(C1906&lt;='Resultats - informe'!$E$27),0,(C1906&gt;='Resultats - informe'!$D$28)*(C1906&lt;='Resultats - informe'!$E$28),0,(C1906&gt;='Resultats - informe'!$D$29)*(C1906&lt;='Resultats - informe'!$E$29),0,1,1)</f>
        <v>0</v>
      </c>
      <c r="N1906" s="366">
        <f>+VLOOKUP(D1906,'Resultats - informe'!$Y$18:$AG$42,'Introducció dades consum'!K1906+1,0)</f>
        <v>0</v>
      </c>
      <c r="O1906" s="370" cm="1">
        <f t="array" ref="O1906">+_xlfn.SWITCH(MONTH(C1906),1,1,2,1,3,1,4,2,5,2,6,3,7,3,8,3,9,3,10,2,11,2,12,1,2)</f>
        <v>1</v>
      </c>
      <c r="P1906" s="43"/>
    </row>
    <row r="1907" spans="1:16" ht="18" x14ac:dyDescent="0.35">
      <c r="A1907" s="43"/>
      <c r="C1907" s="393"/>
      <c r="E1907" s="394"/>
      <c r="F1907" s="394">
        <v>0</v>
      </c>
      <c r="G1907" s="394"/>
      <c r="H1907" s="8" t="s">
        <v>235</v>
      </c>
      <c r="I1907" s="368">
        <f t="shared" si="88"/>
        <v>0</v>
      </c>
      <c r="J1907" s="365">
        <f t="shared" si="87"/>
        <v>0</v>
      </c>
      <c r="K1907" s="369">
        <f t="shared" si="89"/>
        <v>6</v>
      </c>
      <c r="L1907" s="369">
        <f>+IF((C1907&gt;='Resultats - informe'!$E$16)*(C1907&lt;='Resultats - informe'!$G$16),1,0)</f>
        <v>1</v>
      </c>
      <c r="M1907" s="369" cm="1">
        <f t="array" ref="M1907">+_xlfn.IFS((C1907&gt;='Resultats - informe'!$D$26)*(C1907&lt;='Resultats - informe'!$E$26),0,(C1907&gt;='Resultats - informe'!$D$27)*(C1907&lt;='Resultats - informe'!$E$27),0,(C1907&gt;='Resultats - informe'!$D$28)*(C1907&lt;='Resultats - informe'!$E$28),0,(C1907&gt;='Resultats - informe'!$D$29)*(C1907&lt;='Resultats - informe'!$E$29),0,1,1)</f>
        <v>0</v>
      </c>
      <c r="N1907" s="366">
        <f>+VLOOKUP(D1907,'Resultats - informe'!$Y$18:$AG$42,'Introducció dades consum'!K1907+1,0)</f>
        <v>0</v>
      </c>
      <c r="O1907" s="370" cm="1">
        <f t="array" ref="O1907">+_xlfn.SWITCH(MONTH(C1907),1,1,2,1,3,1,4,2,5,2,6,3,7,3,8,3,9,3,10,2,11,2,12,1,2)</f>
        <v>1</v>
      </c>
      <c r="P1907" s="43"/>
    </row>
    <row r="1908" spans="1:16" ht="18" x14ac:dyDescent="0.35">
      <c r="A1908" s="43"/>
      <c r="C1908" s="393"/>
      <c r="E1908" s="394"/>
      <c r="F1908" s="394">
        <v>0</v>
      </c>
      <c r="G1908" s="394"/>
      <c r="H1908" s="8" t="s">
        <v>235</v>
      </c>
      <c r="I1908" s="368">
        <f t="shared" si="88"/>
        <v>0</v>
      </c>
      <c r="J1908" s="365">
        <f t="shared" si="87"/>
        <v>0</v>
      </c>
      <c r="K1908" s="369">
        <f t="shared" si="89"/>
        <v>6</v>
      </c>
      <c r="L1908" s="369">
        <f>+IF((C1908&gt;='Resultats - informe'!$E$16)*(C1908&lt;='Resultats - informe'!$G$16),1,0)</f>
        <v>1</v>
      </c>
      <c r="M1908" s="369" cm="1">
        <f t="array" ref="M1908">+_xlfn.IFS((C1908&gt;='Resultats - informe'!$D$26)*(C1908&lt;='Resultats - informe'!$E$26),0,(C1908&gt;='Resultats - informe'!$D$27)*(C1908&lt;='Resultats - informe'!$E$27),0,(C1908&gt;='Resultats - informe'!$D$28)*(C1908&lt;='Resultats - informe'!$E$28),0,(C1908&gt;='Resultats - informe'!$D$29)*(C1908&lt;='Resultats - informe'!$E$29),0,1,1)</f>
        <v>0</v>
      </c>
      <c r="N1908" s="366">
        <f>+VLOOKUP(D1908,'Resultats - informe'!$Y$18:$AG$42,'Introducció dades consum'!K1908+1,0)</f>
        <v>0</v>
      </c>
      <c r="O1908" s="370" cm="1">
        <f t="array" ref="O1908">+_xlfn.SWITCH(MONTH(C1908),1,1,2,1,3,1,4,2,5,2,6,3,7,3,8,3,9,3,10,2,11,2,12,1,2)</f>
        <v>1</v>
      </c>
      <c r="P1908" s="43"/>
    </row>
    <row r="1909" spans="1:16" ht="18" x14ac:dyDescent="0.35">
      <c r="A1909" s="43"/>
      <c r="C1909" s="393"/>
      <c r="E1909" s="394"/>
      <c r="F1909" s="394">
        <v>0</v>
      </c>
      <c r="G1909" s="394"/>
      <c r="H1909" s="8" t="s">
        <v>61</v>
      </c>
      <c r="I1909" s="368">
        <f t="shared" si="88"/>
        <v>0</v>
      </c>
      <c r="J1909" s="365">
        <f t="shared" si="87"/>
        <v>0</v>
      </c>
      <c r="K1909" s="369">
        <f t="shared" si="89"/>
        <v>6</v>
      </c>
      <c r="L1909" s="369">
        <f>+IF((C1909&gt;='Resultats - informe'!$E$16)*(C1909&lt;='Resultats - informe'!$G$16),1,0)</f>
        <v>1</v>
      </c>
      <c r="M1909" s="369" cm="1">
        <f t="array" ref="M1909">+_xlfn.IFS((C1909&gt;='Resultats - informe'!$D$26)*(C1909&lt;='Resultats - informe'!$E$26),0,(C1909&gt;='Resultats - informe'!$D$27)*(C1909&lt;='Resultats - informe'!$E$27),0,(C1909&gt;='Resultats - informe'!$D$28)*(C1909&lt;='Resultats - informe'!$E$28),0,(C1909&gt;='Resultats - informe'!$D$29)*(C1909&lt;='Resultats - informe'!$E$29),0,1,1)</f>
        <v>0</v>
      </c>
      <c r="N1909" s="366">
        <f>+VLOOKUP(D1909,'Resultats - informe'!$Y$18:$AG$42,'Introducció dades consum'!K1909+1,0)</f>
        <v>0</v>
      </c>
      <c r="O1909" s="370" cm="1">
        <f t="array" ref="O1909">+_xlfn.SWITCH(MONTH(C1909),1,1,2,1,3,1,4,2,5,2,6,3,7,3,8,3,9,3,10,2,11,2,12,1,2)</f>
        <v>1</v>
      </c>
      <c r="P1909" s="43"/>
    </row>
    <row r="1910" spans="1:16" ht="18" x14ac:dyDescent="0.35">
      <c r="A1910" s="43"/>
      <c r="C1910" s="393"/>
      <c r="E1910" s="394"/>
      <c r="F1910" s="394">
        <v>0</v>
      </c>
      <c r="G1910" s="394"/>
      <c r="H1910" s="8" t="s">
        <v>61</v>
      </c>
      <c r="I1910" s="368">
        <f t="shared" si="88"/>
        <v>0</v>
      </c>
      <c r="J1910" s="365">
        <f t="shared" si="87"/>
        <v>0</v>
      </c>
      <c r="K1910" s="369">
        <f t="shared" si="89"/>
        <v>6</v>
      </c>
      <c r="L1910" s="369">
        <f>+IF((C1910&gt;='Resultats - informe'!$E$16)*(C1910&lt;='Resultats - informe'!$G$16),1,0)</f>
        <v>1</v>
      </c>
      <c r="M1910" s="369" cm="1">
        <f t="array" ref="M1910">+_xlfn.IFS((C1910&gt;='Resultats - informe'!$D$26)*(C1910&lt;='Resultats - informe'!$E$26),0,(C1910&gt;='Resultats - informe'!$D$27)*(C1910&lt;='Resultats - informe'!$E$27),0,(C1910&gt;='Resultats - informe'!$D$28)*(C1910&lt;='Resultats - informe'!$E$28),0,(C1910&gt;='Resultats - informe'!$D$29)*(C1910&lt;='Resultats - informe'!$E$29),0,1,1)</f>
        <v>0</v>
      </c>
      <c r="N1910" s="366">
        <f>+VLOOKUP(D1910,'Resultats - informe'!$Y$18:$AG$42,'Introducció dades consum'!K1910+1,0)</f>
        <v>0</v>
      </c>
      <c r="O1910" s="370" cm="1">
        <f t="array" ref="O1910">+_xlfn.SWITCH(MONTH(C1910),1,1,2,1,3,1,4,2,5,2,6,3,7,3,8,3,9,3,10,2,11,2,12,1,2)</f>
        <v>1</v>
      </c>
      <c r="P1910" s="43"/>
    </row>
    <row r="1911" spans="1:16" ht="18" x14ac:dyDescent="0.35">
      <c r="A1911" s="43"/>
      <c r="C1911" s="393"/>
      <c r="E1911" s="394"/>
      <c r="F1911" s="394">
        <v>0</v>
      </c>
      <c r="G1911" s="394"/>
      <c r="H1911" s="8" t="s">
        <v>61</v>
      </c>
      <c r="I1911" s="368">
        <f t="shared" si="88"/>
        <v>0</v>
      </c>
      <c r="J1911" s="365">
        <f t="shared" si="87"/>
        <v>0</v>
      </c>
      <c r="K1911" s="369">
        <f t="shared" si="89"/>
        <v>6</v>
      </c>
      <c r="L1911" s="369">
        <f>+IF((C1911&gt;='Resultats - informe'!$E$16)*(C1911&lt;='Resultats - informe'!$G$16),1,0)</f>
        <v>1</v>
      </c>
      <c r="M1911" s="369" cm="1">
        <f t="array" ref="M1911">+_xlfn.IFS((C1911&gt;='Resultats - informe'!$D$26)*(C1911&lt;='Resultats - informe'!$E$26),0,(C1911&gt;='Resultats - informe'!$D$27)*(C1911&lt;='Resultats - informe'!$E$27),0,(C1911&gt;='Resultats - informe'!$D$28)*(C1911&lt;='Resultats - informe'!$E$28),0,(C1911&gt;='Resultats - informe'!$D$29)*(C1911&lt;='Resultats - informe'!$E$29),0,1,1)</f>
        <v>0</v>
      </c>
      <c r="N1911" s="366">
        <f>+VLOOKUP(D1911,'Resultats - informe'!$Y$18:$AG$42,'Introducció dades consum'!K1911+1,0)</f>
        <v>0</v>
      </c>
      <c r="O1911" s="370" cm="1">
        <f t="array" ref="O1911">+_xlfn.SWITCH(MONTH(C1911),1,1,2,1,3,1,4,2,5,2,6,3,7,3,8,3,9,3,10,2,11,2,12,1,2)</f>
        <v>1</v>
      </c>
      <c r="P1911" s="43"/>
    </row>
    <row r="1912" spans="1:16" ht="18" x14ac:dyDescent="0.35">
      <c r="A1912" s="43"/>
      <c r="C1912" s="393"/>
      <c r="E1912" s="394"/>
      <c r="F1912" s="394">
        <v>0</v>
      </c>
      <c r="G1912" s="394"/>
      <c r="H1912" s="8" t="s">
        <v>61</v>
      </c>
      <c r="I1912" s="368">
        <f t="shared" si="88"/>
        <v>0</v>
      </c>
      <c r="J1912" s="365">
        <f t="shared" si="87"/>
        <v>0</v>
      </c>
      <c r="K1912" s="369">
        <f t="shared" si="89"/>
        <v>6</v>
      </c>
      <c r="L1912" s="369">
        <f>+IF((C1912&gt;='Resultats - informe'!$E$16)*(C1912&lt;='Resultats - informe'!$G$16),1,0)</f>
        <v>1</v>
      </c>
      <c r="M1912" s="369" cm="1">
        <f t="array" ref="M1912">+_xlfn.IFS((C1912&gt;='Resultats - informe'!$D$26)*(C1912&lt;='Resultats - informe'!$E$26),0,(C1912&gt;='Resultats - informe'!$D$27)*(C1912&lt;='Resultats - informe'!$E$27),0,(C1912&gt;='Resultats - informe'!$D$28)*(C1912&lt;='Resultats - informe'!$E$28),0,(C1912&gt;='Resultats - informe'!$D$29)*(C1912&lt;='Resultats - informe'!$E$29),0,1,1)</f>
        <v>0</v>
      </c>
      <c r="N1912" s="366">
        <f>+VLOOKUP(D1912,'Resultats - informe'!$Y$18:$AG$42,'Introducció dades consum'!K1912+1,0)</f>
        <v>0</v>
      </c>
      <c r="O1912" s="370" cm="1">
        <f t="array" ref="O1912">+_xlfn.SWITCH(MONTH(C1912),1,1,2,1,3,1,4,2,5,2,6,3,7,3,8,3,9,3,10,2,11,2,12,1,2)</f>
        <v>1</v>
      </c>
      <c r="P1912" s="43"/>
    </row>
    <row r="1913" spans="1:16" ht="18" x14ac:dyDescent="0.35">
      <c r="A1913" s="43"/>
      <c r="C1913" s="393"/>
      <c r="E1913" s="394"/>
      <c r="F1913" s="394">
        <v>1.2569999999999999</v>
      </c>
      <c r="G1913" s="394"/>
      <c r="H1913" s="8" t="s">
        <v>235</v>
      </c>
      <c r="I1913" s="368">
        <f t="shared" si="88"/>
        <v>0</v>
      </c>
      <c r="J1913" s="365">
        <f t="shared" si="87"/>
        <v>0</v>
      </c>
      <c r="K1913" s="369">
        <f t="shared" si="89"/>
        <v>6</v>
      </c>
      <c r="L1913" s="369">
        <f>+IF((C1913&gt;='Resultats - informe'!$E$16)*(C1913&lt;='Resultats - informe'!$G$16),1,0)</f>
        <v>1</v>
      </c>
      <c r="M1913" s="369" cm="1">
        <f t="array" ref="M1913">+_xlfn.IFS((C1913&gt;='Resultats - informe'!$D$26)*(C1913&lt;='Resultats - informe'!$E$26),0,(C1913&gt;='Resultats - informe'!$D$27)*(C1913&lt;='Resultats - informe'!$E$27),0,(C1913&gt;='Resultats - informe'!$D$28)*(C1913&lt;='Resultats - informe'!$E$28),0,(C1913&gt;='Resultats - informe'!$D$29)*(C1913&lt;='Resultats - informe'!$E$29),0,1,1)</f>
        <v>0</v>
      </c>
      <c r="N1913" s="366">
        <f>+VLOOKUP(D1913,'Resultats - informe'!$Y$18:$AG$42,'Introducció dades consum'!K1913+1,0)</f>
        <v>0</v>
      </c>
      <c r="O1913" s="370" cm="1">
        <f t="array" ref="O1913">+_xlfn.SWITCH(MONTH(C1913),1,1,2,1,3,1,4,2,5,2,6,3,7,3,8,3,9,3,10,2,11,2,12,1,2)</f>
        <v>1</v>
      </c>
      <c r="P1913" s="43"/>
    </row>
    <row r="1914" spans="1:16" ht="18" x14ac:dyDescent="0.35">
      <c r="A1914" s="43"/>
      <c r="C1914" s="393"/>
      <c r="E1914" s="394"/>
      <c r="F1914" s="394">
        <v>0.55600000000000005</v>
      </c>
      <c r="G1914" s="394"/>
      <c r="H1914" s="8" t="s">
        <v>235</v>
      </c>
      <c r="I1914" s="368">
        <f t="shared" si="88"/>
        <v>0</v>
      </c>
      <c r="J1914" s="365">
        <f t="shared" si="87"/>
        <v>0</v>
      </c>
      <c r="K1914" s="369">
        <f t="shared" si="89"/>
        <v>6</v>
      </c>
      <c r="L1914" s="369">
        <f>+IF((C1914&gt;='Resultats - informe'!$E$16)*(C1914&lt;='Resultats - informe'!$G$16),1,0)</f>
        <v>1</v>
      </c>
      <c r="M1914" s="369" cm="1">
        <f t="array" ref="M1914">+_xlfn.IFS((C1914&gt;='Resultats - informe'!$D$26)*(C1914&lt;='Resultats - informe'!$E$26),0,(C1914&gt;='Resultats - informe'!$D$27)*(C1914&lt;='Resultats - informe'!$E$27),0,(C1914&gt;='Resultats - informe'!$D$28)*(C1914&lt;='Resultats - informe'!$E$28),0,(C1914&gt;='Resultats - informe'!$D$29)*(C1914&lt;='Resultats - informe'!$E$29),0,1,1)</f>
        <v>0</v>
      </c>
      <c r="N1914" s="366">
        <f>+VLOOKUP(D1914,'Resultats - informe'!$Y$18:$AG$42,'Introducció dades consum'!K1914+1,0)</f>
        <v>0</v>
      </c>
      <c r="O1914" s="370" cm="1">
        <f t="array" ref="O1914">+_xlfn.SWITCH(MONTH(C1914),1,1,2,1,3,1,4,2,5,2,6,3,7,3,8,3,9,3,10,2,11,2,12,1,2)</f>
        <v>1</v>
      </c>
      <c r="P1914" s="43"/>
    </row>
    <row r="1915" spans="1:16" ht="18" x14ac:dyDescent="0.35">
      <c r="A1915" s="43"/>
      <c r="C1915" s="393"/>
      <c r="E1915" s="394"/>
      <c r="F1915" s="394">
        <v>0.94599999999999995</v>
      </c>
      <c r="G1915" s="394"/>
      <c r="H1915" s="8" t="s">
        <v>235</v>
      </c>
      <c r="I1915" s="368">
        <f t="shared" si="88"/>
        <v>0</v>
      </c>
      <c r="J1915" s="365">
        <f t="shared" ref="J1915:J1978" si="90">+C1915</f>
        <v>0</v>
      </c>
      <c r="K1915" s="369">
        <f t="shared" si="89"/>
        <v>6</v>
      </c>
      <c r="L1915" s="369">
        <f>+IF((C1915&gt;='Resultats - informe'!$E$16)*(C1915&lt;='Resultats - informe'!$G$16),1,0)</f>
        <v>1</v>
      </c>
      <c r="M1915" s="369" cm="1">
        <f t="array" ref="M1915">+_xlfn.IFS((C1915&gt;='Resultats - informe'!$D$26)*(C1915&lt;='Resultats - informe'!$E$26),0,(C1915&gt;='Resultats - informe'!$D$27)*(C1915&lt;='Resultats - informe'!$E$27),0,(C1915&gt;='Resultats - informe'!$D$28)*(C1915&lt;='Resultats - informe'!$E$28),0,(C1915&gt;='Resultats - informe'!$D$29)*(C1915&lt;='Resultats - informe'!$E$29),0,1,1)</f>
        <v>0</v>
      </c>
      <c r="N1915" s="366">
        <f>+VLOOKUP(D1915,'Resultats - informe'!$Y$18:$AG$42,'Introducció dades consum'!K1915+1,0)</f>
        <v>0</v>
      </c>
      <c r="O1915" s="370" cm="1">
        <f t="array" ref="O1915">+_xlfn.SWITCH(MONTH(C1915),1,1,2,1,3,1,4,2,5,2,6,3,7,3,8,3,9,3,10,2,11,2,12,1,2)</f>
        <v>1</v>
      </c>
      <c r="P1915" s="43"/>
    </row>
    <row r="1916" spans="1:16" ht="18" x14ac:dyDescent="0.35">
      <c r="A1916" s="43"/>
      <c r="C1916" s="393"/>
      <c r="E1916" s="394"/>
      <c r="F1916" s="394">
        <v>0.33400000000000002</v>
      </c>
      <c r="G1916" s="394"/>
      <c r="H1916" s="8" t="s">
        <v>61</v>
      </c>
      <c r="I1916" s="368">
        <f t="shared" si="88"/>
        <v>0</v>
      </c>
      <c r="J1916" s="365">
        <f t="shared" si="90"/>
        <v>0</v>
      </c>
      <c r="K1916" s="369">
        <f t="shared" si="89"/>
        <v>6</v>
      </c>
      <c r="L1916" s="369">
        <f>+IF((C1916&gt;='Resultats - informe'!$E$16)*(C1916&lt;='Resultats - informe'!$G$16),1,0)</f>
        <v>1</v>
      </c>
      <c r="M1916" s="369" cm="1">
        <f t="array" ref="M1916">+_xlfn.IFS((C1916&gt;='Resultats - informe'!$D$26)*(C1916&lt;='Resultats - informe'!$E$26),0,(C1916&gt;='Resultats - informe'!$D$27)*(C1916&lt;='Resultats - informe'!$E$27),0,(C1916&gt;='Resultats - informe'!$D$28)*(C1916&lt;='Resultats - informe'!$E$28),0,(C1916&gt;='Resultats - informe'!$D$29)*(C1916&lt;='Resultats - informe'!$E$29),0,1,1)</f>
        <v>0</v>
      </c>
      <c r="N1916" s="366">
        <f>+VLOOKUP(D1916,'Resultats - informe'!$Y$18:$AG$42,'Introducció dades consum'!K1916+1,0)</f>
        <v>0</v>
      </c>
      <c r="O1916" s="370" cm="1">
        <f t="array" ref="O1916">+_xlfn.SWITCH(MONTH(C1916),1,1,2,1,3,1,4,2,5,2,6,3,7,3,8,3,9,3,10,2,11,2,12,1,2)</f>
        <v>1</v>
      </c>
      <c r="P1916" s="43"/>
    </row>
    <row r="1917" spans="1:16" ht="18" x14ac:dyDescent="0.35">
      <c r="A1917" s="43"/>
      <c r="C1917" s="393"/>
      <c r="E1917" s="394"/>
      <c r="F1917" s="394">
        <v>1.7330000000000001</v>
      </c>
      <c r="G1917" s="394"/>
      <c r="H1917" s="8" t="s">
        <v>61</v>
      </c>
      <c r="I1917" s="368">
        <f t="shared" si="88"/>
        <v>0</v>
      </c>
      <c r="J1917" s="365">
        <f t="shared" si="90"/>
        <v>0</v>
      </c>
      <c r="K1917" s="369">
        <f t="shared" si="89"/>
        <v>6</v>
      </c>
      <c r="L1917" s="369">
        <f>+IF((C1917&gt;='Resultats - informe'!$E$16)*(C1917&lt;='Resultats - informe'!$G$16),1,0)</f>
        <v>1</v>
      </c>
      <c r="M1917" s="369" cm="1">
        <f t="array" ref="M1917">+_xlfn.IFS((C1917&gt;='Resultats - informe'!$D$26)*(C1917&lt;='Resultats - informe'!$E$26),0,(C1917&gt;='Resultats - informe'!$D$27)*(C1917&lt;='Resultats - informe'!$E$27),0,(C1917&gt;='Resultats - informe'!$D$28)*(C1917&lt;='Resultats - informe'!$E$28),0,(C1917&gt;='Resultats - informe'!$D$29)*(C1917&lt;='Resultats - informe'!$E$29),0,1,1)</f>
        <v>0</v>
      </c>
      <c r="N1917" s="366">
        <f>+VLOOKUP(D1917,'Resultats - informe'!$Y$18:$AG$42,'Introducció dades consum'!K1917+1,0)</f>
        <v>0</v>
      </c>
      <c r="O1917" s="370" cm="1">
        <f t="array" ref="O1917">+_xlfn.SWITCH(MONTH(C1917),1,1,2,1,3,1,4,2,5,2,6,3,7,3,8,3,9,3,10,2,11,2,12,1,2)</f>
        <v>1</v>
      </c>
      <c r="P1917" s="43"/>
    </row>
    <row r="1918" spans="1:16" ht="18" x14ac:dyDescent="0.35">
      <c r="A1918" s="43"/>
      <c r="C1918" s="393"/>
      <c r="E1918" s="394"/>
      <c r="F1918" s="394">
        <v>0.44</v>
      </c>
      <c r="G1918" s="394"/>
      <c r="H1918" s="8" t="s">
        <v>61</v>
      </c>
      <c r="I1918" s="368">
        <f t="shared" si="88"/>
        <v>0</v>
      </c>
      <c r="J1918" s="365">
        <f t="shared" si="90"/>
        <v>0</v>
      </c>
      <c r="K1918" s="369">
        <f t="shared" si="89"/>
        <v>6</v>
      </c>
      <c r="L1918" s="369">
        <f>+IF((C1918&gt;='Resultats - informe'!$E$16)*(C1918&lt;='Resultats - informe'!$G$16),1,0)</f>
        <v>1</v>
      </c>
      <c r="M1918" s="369" cm="1">
        <f t="array" ref="M1918">+_xlfn.IFS((C1918&gt;='Resultats - informe'!$D$26)*(C1918&lt;='Resultats - informe'!$E$26),0,(C1918&gt;='Resultats - informe'!$D$27)*(C1918&lt;='Resultats - informe'!$E$27),0,(C1918&gt;='Resultats - informe'!$D$28)*(C1918&lt;='Resultats - informe'!$E$28),0,(C1918&gt;='Resultats - informe'!$D$29)*(C1918&lt;='Resultats - informe'!$E$29),0,1,1)</f>
        <v>0</v>
      </c>
      <c r="N1918" s="366">
        <f>+VLOOKUP(D1918,'Resultats - informe'!$Y$18:$AG$42,'Introducció dades consum'!K1918+1,0)</f>
        <v>0</v>
      </c>
      <c r="O1918" s="370" cm="1">
        <f t="array" ref="O1918">+_xlfn.SWITCH(MONTH(C1918),1,1,2,1,3,1,4,2,5,2,6,3,7,3,8,3,9,3,10,2,11,2,12,1,2)</f>
        <v>1</v>
      </c>
      <c r="P1918" s="43"/>
    </row>
    <row r="1919" spans="1:16" ht="18" x14ac:dyDescent="0.35">
      <c r="A1919" s="43"/>
      <c r="C1919" s="393"/>
      <c r="E1919" s="394"/>
      <c r="F1919" s="394">
        <v>0</v>
      </c>
      <c r="G1919" s="394"/>
      <c r="H1919" s="8" t="s">
        <v>235</v>
      </c>
      <c r="I1919" s="368">
        <f t="shared" si="88"/>
        <v>0</v>
      </c>
      <c r="J1919" s="365">
        <f t="shared" si="90"/>
        <v>0</v>
      </c>
      <c r="K1919" s="369">
        <f t="shared" si="89"/>
        <v>6</v>
      </c>
      <c r="L1919" s="369">
        <f>+IF((C1919&gt;='Resultats - informe'!$E$16)*(C1919&lt;='Resultats - informe'!$G$16),1,0)</f>
        <v>1</v>
      </c>
      <c r="M1919" s="369" cm="1">
        <f t="array" ref="M1919">+_xlfn.IFS((C1919&gt;='Resultats - informe'!$D$26)*(C1919&lt;='Resultats - informe'!$E$26),0,(C1919&gt;='Resultats - informe'!$D$27)*(C1919&lt;='Resultats - informe'!$E$27),0,(C1919&gt;='Resultats - informe'!$D$28)*(C1919&lt;='Resultats - informe'!$E$28),0,(C1919&gt;='Resultats - informe'!$D$29)*(C1919&lt;='Resultats - informe'!$E$29),0,1,1)</f>
        <v>0</v>
      </c>
      <c r="N1919" s="366">
        <f>+VLOOKUP(D1919,'Resultats - informe'!$Y$18:$AG$42,'Introducció dades consum'!K1919+1,0)</f>
        <v>0</v>
      </c>
      <c r="O1919" s="370" cm="1">
        <f t="array" ref="O1919">+_xlfn.SWITCH(MONTH(C1919),1,1,2,1,3,1,4,2,5,2,6,3,7,3,8,3,9,3,10,2,11,2,12,1,2)</f>
        <v>1</v>
      </c>
      <c r="P1919" s="43"/>
    </row>
    <row r="1920" spans="1:16" ht="18" x14ac:dyDescent="0.35">
      <c r="A1920" s="43"/>
      <c r="C1920" s="393"/>
      <c r="E1920" s="394"/>
      <c r="F1920" s="394">
        <v>0</v>
      </c>
      <c r="G1920" s="394"/>
      <c r="H1920" s="8" t="s">
        <v>235</v>
      </c>
      <c r="I1920" s="368">
        <f t="shared" si="88"/>
        <v>0</v>
      </c>
      <c r="J1920" s="365">
        <f t="shared" si="90"/>
        <v>0</v>
      </c>
      <c r="K1920" s="369">
        <f t="shared" si="89"/>
        <v>6</v>
      </c>
      <c r="L1920" s="369">
        <f>+IF((C1920&gt;='Resultats - informe'!$E$16)*(C1920&lt;='Resultats - informe'!$G$16),1,0)</f>
        <v>1</v>
      </c>
      <c r="M1920" s="369" cm="1">
        <f t="array" ref="M1920">+_xlfn.IFS((C1920&gt;='Resultats - informe'!$D$26)*(C1920&lt;='Resultats - informe'!$E$26),0,(C1920&gt;='Resultats - informe'!$D$27)*(C1920&lt;='Resultats - informe'!$E$27),0,(C1920&gt;='Resultats - informe'!$D$28)*(C1920&lt;='Resultats - informe'!$E$28),0,(C1920&gt;='Resultats - informe'!$D$29)*(C1920&lt;='Resultats - informe'!$E$29),0,1,1)</f>
        <v>0</v>
      </c>
      <c r="N1920" s="366">
        <f>+VLOOKUP(D1920,'Resultats - informe'!$Y$18:$AG$42,'Introducció dades consum'!K1920+1,0)</f>
        <v>0</v>
      </c>
      <c r="O1920" s="370" cm="1">
        <f t="array" ref="O1920">+_xlfn.SWITCH(MONTH(C1920),1,1,2,1,3,1,4,2,5,2,6,3,7,3,8,3,9,3,10,2,11,2,12,1,2)</f>
        <v>1</v>
      </c>
      <c r="P1920" s="43"/>
    </row>
    <row r="1921" spans="1:16" ht="18" x14ac:dyDescent="0.35">
      <c r="A1921" s="43"/>
      <c r="C1921" s="393"/>
      <c r="E1921" s="394"/>
      <c r="F1921" s="394">
        <v>0</v>
      </c>
      <c r="G1921" s="394"/>
      <c r="H1921" s="8" t="s">
        <v>235</v>
      </c>
      <c r="I1921" s="368">
        <f t="shared" si="88"/>
        <v>0</v>
      </c>
      <c r="J1921" s="365">
        <f t="shared" si="90"/>
        <v>0</v>
      </c>
      <c r="K1921" s="369">
        <f t="shared" si="89"/>
        <v>6</v>
      </c>
      <c r="L1921" s="369">
        <f>+IF((C1921&gt;='Resultats - informe'!$E$16)*(C1921&lt;='Resultats - informe'!$G$16),1,0)</f>
        <v>1</v>
      </c>
      <c r="M1921" s="369" cm="1">
        <f t="array" ref="M1921">+_xlfn.IFS((C1921&gt;='Resultats - informe'!$D$26)*(C1921&lt;='Resultats - informe'!$E$26),0,(C1921&gt;='Resultats - informe'!$D$27)*(C1921&lt;='Resultats - informe'!$E$27),0,(C1921&gt;='Resultats - informe'!$D$28)*(C1921&lt;='Resultats - informe'!$E$28),0,(C1921&gt;='Resultats - informe'!$D$29)*(C1921&lt;='Resultats - informe'!$E$29),0,1,1)</f>
        <v>0</v>
      </c>
      <c r="N1921" s="366">
        <f>+VLOOKUP(D1921,'Resultats - informe'!$Y$18:$AG$42,'Introducció dades consum'!K1921+1,0)</f>
        <v>0</v>
      </c>
      <c r="O1921" s="370" cm="1">
        <f t="array" ref="O1921">+_xlfn.SWITCH(MONTH(C1921),1,1,2,1,3,1,4,2,5,2,6,3,7,3,8,3,9,3,10,2,11,2,12,1,2)</f>
        <v>1</v>
      </c>
      <c r="P1921" s="43"/>
    </row>
    <row r="1922" spans="1:16" ht="18" x14ac:dyDescent="0.35">
      <c r="A1922" s="43"/>
      <c r="C1922" s="393"/>
      <c r="E1922" s="394"/>
      <c r="F1922" s="394">
        <v>0</v>
      </c>
      <c r="G1922" s="394"/>
      <c r="H1922" s="8" t="s">
        <v>235</v>
      </c>
      <c r="I1922" s="368">
        <f t="shared" si="88"/>
        <v>0</v>
      </c>
      <c r="J1922" s="365">
        <f t="shared" si="90"/>
        <v>0</v>
      </c>
      <c r="K1922" s="369">
        <f t="shared" si="89"/>
        <v>6</v>
      </c>
      <c r="L1922" s="369">
        <f>+IF((C1922&gt;='Resultats - informe'!$E$16)*(C1922&lt;='Resultats - informe'!$G$16),1,0)</f>
        <v>1</v>
      </c>
      <c r="M1922" s="369" cm="1">
        <f t="array" ref="M1922">+_xlfn.IFS((C1922&gt;='Resultats - informe'!$D$26)*(C1922&lt;='Resultats - informe'!$E$26),0,(C1922&gt;='Resultats - informe'!$D$27)*(C1922&lt;='Resultats - informe'!$E$27),0,(C1922&gt;='Resultats - informe'!$D$28)*(C1922&lt;='Resultats - informe'!$E$28),0,(C1922&gt;='Resultats - informe'!$D$29)*(C1922&lt;='Resultats - informe'!$E$29),0,1,1)</f>
        <v>0</v>
      </c>
      <c r="N1922" s="366">
        <f>+VLOOKUP(D1922,'Resultats - informe'!$Y$18:$AG$42,'Introducció dades consum'!K1922+1,0)</f>
        <v>0</v>
      </c>
      <c r="O1922" s="370" cm="1">
        <f t="array" ref="O1922">+_xlfn.SWITCH(MONTH(C1922),1,1,2,1,3,1,4,2,5,2,6,3,7,3,8,3,9,3,10,2,11,2,12,1,2)</f>
        <v>1</v>
      </c>
      <c r="P1922" s="43"/>
    </row>
    <row r="1923" spans="1:16" ht="18" x14ac:dyDescent="0.35">
      <c r="A1923" s="43"/>
      <c r="C1923" s="393"/>
      <c r="E1923" s="394"/>
      <c r="F1923" s="394">
        <v>0</v>
      </c>
      <c r="G1923" s="394"/>
      <c r="H1923" s="8" t="s">
        <v>235</v>
      </c>
      <c r="I1923" s="368">
        <f t="shared" si="88"/>
        <v>0</v>
      </c>
      <c r="J1923" s="365">
        <f t="shared" si="90"/>
        <v>0</v>
      </c>
      <c r="K1923" s="369">
        <f t="shared" si="89"/>
        <v>6</v>
      </c>
      <c r="L1923" s="369">
        <f>+IF((C1923&gt;='Resultats - informe'!$E$16)*(C1923&lt;='Resultats - informe'!$G$16),1,0)</f>
        <v>1</v>
      </c>
      <c r="M1923" s="369" cm="1">
        <f t="array" ref="M1923">+_xlfn.IFS((C1923&gt;='Resultats - informe'!$D$26)*(C1923&lt;='Resultats - informe'!$E$26),0,(C1923&gt;='Resultats - informe'!$D$27)*(C1923&lt;='Resultats - informe'!$E$27),0,(C1923&gt;='Resultats - informe'!$D$28)*(C1923&lt;='Resultats - informe'!$E$28),0,(C1923&gt;='Resultats - informe'!$D$29)*(C1923&lt;='Resultats - informe'!$E$29),0,1,1)</f>
        <v>0</v>
      </c>
      <c r="N1923" s="366">
        <f>+VLOOKUP(D1923,'Resultats - informe'!$Y$18:$AG$42,'Introducció dades consum'!K1923+1,0)</f>
        <v>0</v>
      </c>
      <c r="O1923" s="370" cm="1">
        <f t="array" ref="O1923">+_xlfn.SWITCH(MONTH(C1923),1,1,2,1,3,1,4,2,5,2,6,3,7,3,8,3,9,3,10,2,11,2,12,1,2)</f>
        <v>1</v>
      </c>
      <c r="P1923" s="43"/>
    </row>
    <row r="1924" spans="1:16" ht="18" x14ac:dyDescent="0.35">
      <c r="A1924" s="43"/>
      <c r="C1924" s="393"/>
      <c r="E1924" s="394"/>
      <c r="F1924" s="394">
        <v>0</v>
      </c>
      <c r="G1924" s="394"/>
      <c r="H1924" s="8" t="s">
        <v>235</v>
      </c>
      <c r="I1924" s="368">
        <f t="shared" si="88"/>
        <v>0</v>
      </c>
      <c r="J1924" s="365">
        <f t="shared" si="90"/>
        <v>0</v>
      </c>
      <c r="K1924" s="369">
        <f t="shared" si="89"/>
        <v>6</v>
      </c>
      <c r="L1924" s="369">
        <f>+IF((C1924&gt;='Resultats - informe'!$E$16)*(C1924&lt;='Resultats - informe'!$G$16),1,0)</f>
        <v>1</v>
      </c>
      <c r="M1924" s="369" cm="1">
        <f t="array" ref="M1924">+_xlfn.IFS((C1924&gt;='Resultats - informe'!$D$26)*(C1924&lt;='Resultats - informe'!$E$26),0,(C1924&gt;='Resultats - informe'!$D$27)*(C1924&lt;='Resultats - informe'!$E$27),0,(C1924&gt;='Resultats - informe'!$D$28)*(C1924&lt;='Resultats - informe'!$E$28),0,(C1924&gt;='Resultats - informe'!$D$29)*(C1924&lt;='Resultats - informe'!$E$29),0,1,1)</f>
        <v>0</v>
      </c>
      <c r="N1924" s="366">
        <f>+VLOOKUP(D1924,'Resultats - informe'!$Y$18:$AG$42,'Introducció dades consum'!K1924+1,0)</f>
        <v>0</v>
      </c>
      <c r="O1924" s="370" cm="1">
        <f t="array" ref="O1924">+_xlfn.SWITCH(MONTH(C1924),1,1,2,1,3,1,4,2,5,2,6,3,7,3,8,3,9,3,10,2,11,2,12,1,2)</f>
        <v>1</v>
      </c>
      <c r="P1924" s="43"/>
    </row>
    <row r="1925" spans="1:16" ht="18" x14ac:dyDescent="0.35">
      <c r="A1925" s="43"/>
      <c r="C1925" s="393"/>
      <c r="E1925" s="394"/>
      <c r="F1925" s="394">
        <v>0</v>
      </c>
      <c r="G1925" s="394"/>
      <c r="H1925" s="8" t="s">
        <v>235</v>
      </c>
      <c r="I1925" s="368">
        <f t="shared" si="88"/>
        <v>0</v>
      </c>
      <c r="J1925" s="365">
        <f t="shared" si="90"/>
        <v>0</v>
      </c>
      <c r="K1925" s="369">
        <f t="shared" si="89"/>
        <v>6</v>
      </c>
      <c r="L1925" s="369">
        <f>+IF((C1925&gt;='Resultats - informe'!$E$16)*(C1925&lt;='Resultats - informe'!$G$16),1,0)</f>
        <v>1</v>
      </c>
      <c r="M1925" s="369" cm="1">
        <f t="array" ref="M1925">+_xlfn.IFS((C1925&gt;='Resultats - informe'!$D$26)*(C1925&lt;='Resultats - informe'!$E$26),0,(C1925&gt;='Resultats - informe'!$D$27)*(C1925&lt;='Resultats - informe'!$E$27),0,(C1925&gt;='Resultats - informe'!$D$28)*(C1925&lt;='Resultats - informe'!$E$28),0,(C1925&gt;='Resultats - informe'!$D$29)*(C1925&lt;='Resultats - informe'!$E$29),0,1,1)</f>
        <v>0</v>
      </c>
      <c r="N1925" s="366">
        <f>+VLOOKUP(D1925,'Resultats - informe'!$Y$18:$AG$42,'Introducció dades consum'!K1925+1,0)</f>
        <v>0</v>
      </c>
      <c r="O1925" s="370" cm="1">
        <f t="array" ref="O1925">+_xlfn.SWITCH(MONTH(C1925),1,1,2,1,3,1,4,2,5,2,6,3,7,3,8,3,9,3,10,2,11,2,12,1,2)</f>
        <v>1</v>
      </c>
      <c r="P1925" s="43"/>
    </row>
    <row r="1926" spans="1:16" ht="18" x14ac:dyDescent="0.35">
      <c r="A1926" s="43"/>
      <c r="C1926" s="393"/>
      <c r="E1926" s="394"/>
      <c r="F1926" s="394">
        <v>0</v>
      </c>
      <c r="G1926" s="394"/>
      <c r="H1926" s="8" t="s">
        <v>235</v>
      </c>
      <c r="I1926" s="368">
        <f t="shared" ref="I1926:I1989" si="91">+E1926+G1926</f>
        <v>0</v>
      </c>
      <c r="J1926" s="365">
        <f t="shared" si="90"/>
        <v>0</v>
      </c>
      <c r="K1926" s="369">
        <f t="shared" ref="K1926:K1989" si="92">+WEEKDAY(C1926,2)</f>
        <v>6</v>
      </c>
      <c r="L1926" s="369">
        <f>+IF((C1926&gt;='Resultats - informe'!$E$16)*(C1926&lt;='Resultats - informe'!$G$16),1,0)</f>
        <v>1</v>
      </c>
      <c r="M1926" s="369" cm="1">
        <f t="array" ref="M1926">+_xlfn.IFS((C1926&gt;='Resultats - informe'!$D$26)*(C1926&lt;='Resultats - informe'!$E$26),0,(C1926&gt;='Resultats - informe'!$D$27)*(C1926&lt;='Resultats - informe'!$E$27),0,(C1926&gt;='Resultats - informe'!$D$28)*(C1926&lt;='Resultats - informe'!$E$28),0,(C1926&gt;='Resultats - informe'!$D$29)*(C1926&lt;='Resultats - informe'!$E$29),0,1,1)</f>
        <v>0</v>
      </c>
      <c r="N1926" s="366">
        <f>+VLOOKUP(D1926,'Resultats - informe'!$Y$18:$AG$42,'Introducció dades consum'!K1926+1,0)</f>
        <v>0</v>
      </c>
      <c r="O1926" s="370" cm="1">
        <f t="array" ref="O1926">+_xlfn.SWITCH(MONTH(C1926),1,1,2,1,3,1,4,2,5,2,6,3,7,3,8,3,9,3,10,2,11,2,12,1,2)</f>
        <v>1</v>
      </c>
      <c r="P1926" s="43"/>
    </row>
    <row r="1927" spans="1:16" ht="18" x14ac:dyDescent="0.35">
      <c r="A1927" s="43"/>
      <c r="C1927" s="393"/>
      <c r="E1927" s="394"/>
      <c r="F1927" s="394">
        <v>0</v>
      </c>
      <c r="G1927" s="394"/>
      <c r="H1927" s="8" t="s">
        <v>235</v>
      </c>
      <c r="I1927" s="368">
        <f t="shared" si="91"/>
        <v>0</v>
      </c>
      <c r="J1927" s="365">
        <f t="shared" si="90"/>
        <v>0</v>
      </c>
      <c r="K1927" s="369">
        <f t="shared" si="92"/>
        <v>6</v>
      </c>
      <c r="L1927" s="369">
        <f>+IF((C1927&gt;='Resultats - informe'!$E$16)*(C1927&lt;='Resultats - informe'!$G$16),1,0)</f>
        <v>1</v>
      </c>
      <c r="M1927" s="369" cm="1">
        <f t="array" ref="M1927">+_xlfn.IFS((C1927&gt;='Resultats - informe'!$D$26)*(C1927&lt;='Resultats - informe'!$E$26),0,(C1927&gt;='Resultats - informe'!$D$27)*(C1927&lt;='Resultats - informe'!$E$27),0,(C1927&gt;='Resultats - informe'!$D$28)*(C1927&lt;='Resultats - informe'!$E$28),0,(C1927&gt;='Resultats - informe'!$D$29)*(C1927&lt;='Resultats - informe'!$E$29),0,1,1)</f>
        <v>0</v>
      </c>
      <c r="N1927" s="366">
        <f>+VLOOKUP(D1927,'Resultats - informe'!$Y$18:$AG$42,'Introducció dades consum'!K1927+1,0)</f>
        <v>0</v>
      </c>
      <c r="O1927" s="370" cm="1">
        <f t="array" ref="O1927">+_xlfn.SWITCH(MONTH(C1927),1,1,2,1,3,1,4,2,5,2,6,3,7,3,8,3,9,3,10,2,11,2,12,1,2)</f>
        <v>1</v>
      </c>
      <c r="P1927" s="43"/>
    </row>
    <row r="1928" spans="1:16" ht="18" x14ac:dyDescent="0.35">
      <c r="A1928" s="43"/>
      <c r="C1928" s="393"/>
      <c r="E1928" s="394"/>
      <c r="F1928" s="394">
        <v>0</v>
      </c>
      <c r="G1928" s="394"/>
      <c r="H1928" s="8" t="s">
        <v>235</v>
      </c>
      <c r="I1928" s="368">
        <f t="shared" si="91"/>
        <v>0</v>
      </c>
      <c r="J1928" s="365">
        <f t="shared" si="90"/>
        <v>0</v>
      </c>
      <c r="K1928" s="369">
        <f t="shared" si="92"/>
        <v>6</v>
      </c>
      <c r="L1928" s="369">
        <f>+IF((C1928&gt;='Resultats - informe'!$E$16)*(C1928&lt;='Resultats - informe'!$G$16),1,0)</f>
        <v>1</v>
      </c>
      <c r="M1928" s="369" cm="1">
        <f t="array" ref="M1928">+_xlfn.IFS((C1928&gt;='Resultats - informe'!$D$26)*(C1928&lt;='Resultats - informe'!$E$26),0,(C1928&gt;='Resultats - informe'!$D$27)*(C1928&lt;='Resultats - informe'!$E$27),0,(C1928&gt;='Resultats - informe'!$D$28)*(C1928&lt;='Resultats - informe'!$E$28),0,(C1928&gt;='Resultats - informe'!$D$29)*(C1928&lt;='Resultats - informe'!$E$29),0,1,1)</f>
        <v>0</v>
      </c>
      <c r="N1928" s="366">
        <f>+VLOOKUP(D1928,'Resultats - informe'!$Y$18:$AG$42,'Introducció dades consum'!K1928+1,0)</f>
        <v>0</v>
      </c>
      <c r="O1928" s="370" cm="1">
        <f t="array" ref="O1928">+_xlfn.SWITCH(MONTH(C1928),1,1,2,1,3,1,4,2,5,2,6,3,7,3,8,3,9,3,10,2,11,2,12,1,2)</f>
        <v>1</v>
      </c>
      <c r="P1928" s="43"/>
    </row>
    <row r="1929" spans="1:16" ht="18" x14ac:dyDescent="0.35">
      <c r="A1929" s="43"/>
      <c r="C1929" s="393"/>
      <c r="E1929" s="394"/>
      <c r="F1929" s="394">
        <v>0</v>
      </c>
      <c r="G1929" s="394"/>
      <c r="H1929" s="8" t="s">
        <v>235</v>
      </c>
      <c r="I1929" s="368">
        <f t="shared" si="91"/>
        <v>0</v>
      </c>
      <c r="J1929" s="365">
        <f t="shared" si="90"/>
        <v>0</v>
      </c>
      <c r="K1929" s="369">
        <f t="shared" si="92"/>
        <v>6</v>
      </c>
      <c r="L1929" s="369">
        <f>+IF((C1929&gt;='Resultats - informe'!$E$16)*(C1929&lt;='Resultats - informe'!$G$16),1,0)</f>
        <v>1</v>
      </c>
      <c r="M1929" s="369" cm="1">
        <f t="array" ref="M1929">+_xlfn.IFS((C1929&gt;='Resultats - informe'!$D$26)*(C1929&lt;='Resultats - informe'!$E$26),0,(C1929&gt;='Resultats - informe'!$D$27)*(C1929&lt;='Resultats - informe'!$E$27),0,(C1929&gt;='Resultats - informe'!$D$28)*(C1929&lt;='Resultats - informe'!$E$28),0,(C1929&gt;='Resultats - informe'!$D$29)*(C1929&lt;='Resultats - informe'!$E$29),0,1,1)</f>
        <v>0</v>
      </c>
      <c r="N1929" s="366">
        <f>+VLOOKUP(D1929,'Resultats - informe'!$Y$18:$AG$42,'Introducció dades consum'!K1929+1,0)</f>
        <v>0</v>
      </c>
      <c r="O1929" s="370" cm="1">
        <f t="array" ref="O1929">+_xlfn.SWITCH(MONTH(C1929),1,1,2,1,3,1,4,2,5,2,6,3,7,3,8,3,9,3,10,2,11,2,12,1,2)</f>
        <v>1</v>
      </c>
      <c r="P1929" s="43"/>
    </row>
    <row r="1930" spans="1:16" ht="18" x14ac:dyDescent="0.35">
      <c r="A1930" s="43"/>
      <c r="C1930" s="393"/>
      <c r="E1930" s="394"/>
      <c r="F1930" s="394">
        <v>0</v>
      </c>
      <c r="G1930" s="394"/>
      <c r="H1930" s="8" t="s">
        <v>235</v>
      </c>
      <c r="I1930" s="368">
        <f t="shared" si="91"/>
        <v>0</v>
      </c>
      <c r="J1930" s="365">
        <f t="shared" si="90"/>
        <v>0</v>
      </c>
      <c r="K1930" s="369">
        <f t="shared" si="92"/>
        <v>6</v>
      </c>
      <c r="L1930" s="369">
        <f>+IF((C1930&gt;='Resultats - informe'!$E$16)*(C1930&lt;='Resultats - informe'!$G$16),1,0)</f>
        <v>1</v>
      </c>
      <c r="M1930" s="369" cm="1">
        <f t="array" ref="M1930">+_xlfn.IFS((C1930&gt;='Resultats - informe'!$D$26)*(C1930&lt;='Resultats - informe'!$E$26),0,(C1930&gt;='Resultats - informe'!$D$27)*(C1930&lt;='Resultats - informe'!$E$27),0,(C1930&gt;='Resultats - informe'!$D$28)*(C1930&lt;='Resultats - informe'!$E$28),0,(C1930&gt;='Resultats - informe'!$D$29)*(C1930&lt;='Resultats - informe'!$E$29),0,1,1)</f>
        <v>0</v>
      </c>
      <c r="N1930" s="366">
        <f>+VLOOKUP(D1930,'Resultats - informe'!$Y$18:$AG$42,'Introducció dades consum'!K1930+1,0)</f>
        <v>0</v>
      </c>
      <c r="O1930" s="370" cm="1">
        <f t="array" ref="O1930">+_xlfn.SWITCH(MONTH(C1930),1,1,2,1,3,1,4,2,5,2,6,3,7,3,8,3,9,3,10,2,11,2,12,1,2)</f>
        <v>1</v>
      </c>
      <c r="P1930" s="43"/>
    </row>
    <row r="1931" spans="1:16" ht="18" x14ac:dyDescent="0.35">
      <c r="A1931" s="43"/>
      <c r="C1931" s="393"/>
      <c r="E1931" s="394"/>
      <c r="F1931" s="394">
        <v>0</v>
      </c>
      <c r="G1931" s="394"/>
      <c r="H1931" s="8" t="s">
        <v>235</v>
      </c>
      <c r="I1931" s="368">
        <f t="shared" si="91"/>
        <v>0</v>
      </c>
      <c r="J1931" s="365">
        <f t="shared" si="90"/>
        <v>0</v>
      </c>
      <c r="K1931" s="369">
        <f t="shared" si="92"/>
        <v>6</v>
      </c>
      <c r="L1931" s="369">
        <f>+IF((C1931&gt;='Resultats - informe'!$E$16)*(C1931&lt;='Resultats - informe'!$G$16),1,0)</f>
        <v>1</v>
      </c>
      <c r="M1931" s="369" cm="1">
        <f t="array" ref="M1931">+_xlfn.IFS((C1931&gt;='Resultats - informe'!$D$26)*(C1931&lt;='Resultats - informe'!$E$26),0,(C1931&gt;='Resultats - informe'!$D$27)*(C1931&lt;='Resultats - informe'!$E$27),0,(C1931&gt;='Resultats - informe'!$D$28)*(C1931&lt;='Resultats - informe'!$E$28),0,(C1931&gt;='Resultats - informe'!$D$29)*(C1931&lt;='Resultats - informe'!$E$29),0,1,1)</f>
        <v>0</v>
      </c>
      <c r="N1931" s="366">
        <f>+VLOOKUP(D1931,'Resultats - informe'!$Y$18:$AG$42,'Introducció dades consum'!K1931+1,0)</f>
        <v>0</v>
      </c>
      <c r="O1931" s="370" cm="1">
        <f t="array" ref="O1931">+_xlfn.SWITCH(MONTH(C1931),1,1,2,1,3,1,4,2,5,2,6,3,7,3,8,3,9,3,10,2,11,2,12,1,2)</f>
        <v>1</v>
      </c>
      <c r="P1931" s="43"/>
    </row>
    <row r="1932" spans="1:16" ht="18" x14ac:dyDescent="0.35">
      <c r="A1932" s="43"/>
      <c r="C1932" s="393"/>
      <c r="E1932" s="394"/>
      <c r="F1932" s="394">
        <v>0.622</v>
      </c>
      <c r="G1932" s="394"/>
      <c r="H1932" s="8" t="s">
        <v>235</v>
      </c>
      <c r="I1932" s="368">
        <f t="shared" si="91"/>
        <v>0</v>
      </c>
      <c r="J1932" s="365">
        <f t="shared" si="90"/>
        <v>0</v>
      </c>
      <c r="K1932" s="369">
        <f t="shared" si="92"/>
        <v>6</v>
      </c>
      <c r="L1932" s="369">
        <f>+IF((C1932&gt;='Resultats - informe'!$E$16)*(C1932&lt;='Resultats - informe'!$G$16),1,0)</f>
        <v>1</v>
      </c>
      <c r="M1932" s="369" cm="1">
        <f t="array" ref="M1932">+_xlfn.IFS((C1932&gt;='Resultats - informe'!$D$26)*(C1932&lt;='Resultats - informe'!$E$26),0,(C1932&gt;='Resultats - informe'!$D$27)*(C1932&lt;='Resultats - informe'!$E$27),0,(C1932&gt;='Resultats - informe'!$D$28)*(C1932&lt;='Resultats - informe'!$E$28),0,(C1932&gt;='Resultats - informe'!$D$29)*(C1932&lt;='Resultats - informe'!$E$29),0,1,1)</f>
        <v>0</v>
      </c>
      <c r="N1932" s="366">
        <f>+VLOOKUP(D1932,'Resultats - informe'!$Y$18:$AG$42,'Introducció dades consum'!K1932+1,0)</f>
        <v>0</v>
      </c>
      <c r="O1932" s="370" cm="1">
        <f t="array" ref="O1932">+_xlfn.SWITCH(MONTH(C1932),1,1,2,1,3,1,4,2,5,2,6,3,7,3,8,3,9,3,10,2,11,2,12,1,2)</f>
        <v>1</v>
      </c>
      <c r="P1932" s="43"/>
    </row>
    <row r="1933" spans="1:16" ht="18" x14ac:dyDescent="0.35">
      <c r="A1933" s="43"/>
      <c r="C1933" s="393"/>
      <c r="E1933" s="394"/>
      <c r="F1933" s="394">
        <v>0</v>
      </c>
      <c r="G1933" s="394"/>
      <c r="H1933" s="8" t="s">
        <v>61</v>
      </c>
      <c r="I1933" s="368">
        <f t="shared" si="91"/>
        <v>0</v>
      </c>
      <c r="J1933" s="365">
        <f t="shared" si="90"/>
        <v>0</v>
      </c>
      <c r="K1933" s="369">
        <f t="shared" si="92"/>
        <v>6</v>
      </c>
      <c r="L1933" s="369">
        <f>+IF((C1933&gt;='Resultats - informe'!$E$16)*(C1933&lt;='Resultats - informe'!$G$16),1,0)</f>
        <v>1</v>
      </c>
      <c r="M1933" s="369" cm="1">
        <f t="array" ref="M1933">+_xlfn.IFS((C1933&gt;='Resultats - informe'!$D$26)*(C1933&lt;='Resultats - informe'!$E$26),0,(C1933&gt;='Resultats - informe'!$D$27)*(C1933&lt;='Resultats - informe'!$E$27),0,(C1933&gt;='Resultats - informe'!$D$28)*(C1933&lt;='Resultats - informe'!$E$28),0,(C1933&gt;='Resultats - informe'!$D$29)*(C1933&lt;='Resultats - informe'!$E$29),0,1,1)</f>
        <v>0</v>
      </c>
      <c r="N1933" s="366">
        <f>+VLOOKUP(D1933,'Resultats - informe'!$Y$18:$AG$42,'Introducció dades consum'!K1933+1,0)</f>
        <v>0</v>
      </c>
      <c r="O1933" s="370" cm="1">
        <f t="array" ref="O1933">+_xlfn.SWITCH(MONTH(C1933),1,1,2,1,3,1,4,2,5,2,6,3,7,3,8,3,9,3,10,2,11,2,12,1,2)</f>
        <v>1</v>
      </c>
      <c r="P1933" s="43"/>
    </row>
    <row r="1934" spans="1:16" ht="18" x14ac:dyDescent="0.35">
      <c r="A1934" s="43"/>
      <c r="C1934" s="393"/>
      <c r="E1934" s="394"/>
      <c r="F1934" s="394">
        <v>1.829</v>
      </c>
      <c r="G1934" s="394"/>
      <c r="H1934" s="8" t="s">
        <v>235</v>
      </c>
      <c r="I1934" s="368">
        <f t="shared" si="91"/>
        <v>0</v>
      </c>
      <c r="J1934" s="365">
        <f t="shared" si="90"/>
        <v>0</v>
      </c>
      <c r="K1934" s="369">
        <f t="shared" si="92"/>
        <v>6</v>
      </c>
      <c r="L1934" s="369">
        <f>+IF((C1934&gt;='Resultats - informe'!$E$16)*(C1934&lt;='Resultats - informe'!$G$16),1,0)</f>
        <v>1</v>
      </c>
      <c r="M1934" s="369" cm="1">
        <f t="array" ref="M1934">+_xlfn.IFS((C1934&gt;='Resultats - informe'!$D$26)*(C1934&lt;='Resultats - informe'!$E$26),0,(C1934&gt;='Resultats - informe'!$D$27)*(C1934&lt;='Resultats - informe'!$E$27),0,(C1934&gt;='Resultats - informe'!$D$28)*(C1934&lt;='Resultats - informe'!$E$28),0,(C1934&gt;='Resultats - informe'!$D$29)*(C1934&lt;='Resultats - informe'!$E$29),0,1,1)</f>
        <v>0</v>
      </c>
      <c r="N1934" s="366">
        <f>+VLOOKUP(D1934,'Resultats - informe'!$Y$18:$AG$42,'Introducció dades consum'!K1934+1,0)</f>
        <v>0</v>
      </c>
      <c r="O1934" s="370" cm="1">
        <f t="array" ref="O1934">+_xlfn.SWITCH(MONTH(C1934),1,1,2,1,3,1,4,2,5,2,6,3,7,3,8,3,9,3,10,2,11,2,12,1,2)</f>
        <v>1</v>
      </c>
      <c r="P1934" s="43"/>
    </row>
    <row r="1935" spans="1:16" ht="18" x14ac:dyDescent="0.35">
      <c r="A1935" s="43"/>
      <c r="C1935" s="393"/>
      <c r="E1935" s="394"/>
      <c r="F1935" s="394">
        <v>2.2320000000000002</v>
      </c>
      <c r="G1935" s="394"/>
      <c r="H1935" s="8" t="s">
        <v>235</v>
      </c>
      <c r="I1935" s="368">
        <f t="shared" si="91"/>
        <v>0</v>
      </c>
      <c r="J1935" s="365">
        <f t="shared" si="90"/>
        <v>0</v>
      </c>
      <c r="K1935" s="369">
        <f t="shared" si="92"/>
        <v>6</v>
      </c>
      <c r="L1935" s="369">
        <f>+IF((C1935&gt;='Resultats - informe'!$E$16)*(C1935&lt;='Resultats - informe'!$G$16),1,0)</f>
        <v>1</v>
      </c>
      <c r="M1935" s="369" cm="1">
        <f t="array" ref="M1935">+_xlfn.IFS((C1935&gt;='Resultats - informe'!$D$26)*(C1935&lt;='Resultats - informe'!$E$26),0,(C1935&gt;='Resultats - informe'!$D$27)*(C1935&lt;='Resultats - informe'!$E$27),0,(C1935&gt;='Resultats - informe'!$D$28)*(C1935&lt;='Resultats - informe'!$E$28),0,(C1935&gt;='Resultats - informe'!$D$29)*(C1935&lt;='Resultats - informe'!$E$29),0,1,1)</f>
        <v>0</v>
      </c>
      <c r="N1935" s="366">
        <f>+VLOOKUP(D1935,'Resultats - informe'!$Y$18:$AG$42,'Introducció dades consum'!K1935+1,0)</f>
        <v>0</v>
      </c>
      <c r="O1935" s="370" cm="1">
        <f t="array" ref="O1935">+_xlfn.SWITCH(MONTH(C1935),1,1,2,1,3,1,4,2,5,2,6,3,7,3,8,3,9,3,10,2,11,2,12,1,2)</f>
        <v>1</v>
      </c>
      <c r="P1935" s="43"/>
    </row>
    <row r="1936" spans="1:16" ht="18" x14ac:dyDescent="0.35">
      <c r="A1936" s="43"/>
      <c r="C1936" s="393"/>
      <c r="E1936" s="394"/>
      <c r="F1936" s="394">
        <v>1.383</v>
      </c>
      <c r="G1936" s="394"/>
      <c r="H1936" s="8" t="s">
        <v>235</v>
      </c>
      <c r="I1936" s="368">
        <f t="shared" si="91"/>
        <v>0</v>
      </c>
      <c r="J1936" s="365">
        <f t="shared" si="90"/>
        <v>0</v>
      </c>
      <c r="K1936" s="369">
        <f t="shared" si="92"/>
        <v>6</v>
      </c>
      <c r="L1936" s="369">
        <f>+IF((C1936&gt;='Resultats - informe'!$E$16)*(C1936&lt;='Resultats - informe'!$G$16),1,0)</f>
        <v>1</v>
      </c>
      <c r="M1936" s="369" cm="1">
        <f t="array" ref="M1936">+_xlfn.IFS((C1936&gt;='Resultats - informe'!$D$26)*(C1936&lt;='Resultats - informe'!$E$26),0,(C1936&gt;='Resultats - informe'!$D$27)*(C1936&lt;='Resultats - informe'!$E$27),0,(C1936&gt;='Resultats - informe'!$D$28)*(C1936&lt;='Resultats - informe'!$E$28),0,(C1936&gt;='Resultats - informe'!$D$29)*(C1936&lt;='Resultats - informe'!$E$29),0,1,1)</f>
        <v>0</v>
      </c>
      <c r="N1936" s="366">
        <f>+VLOOKUP(D1936,'Resultats - informe'!$Y$18:$AG$42,'Introducció dades consum'!K1936+1,0)</f>
        <v>0</v>
      </c>
      <c r="O1936" s="370" cm="1">
        <f t="array" ref="O1936">+_xlfn.SWITCH(MONTH(C1936),1,1,2,1,3,1,4,2,5,2,6,3,7,3,8,3,9,3,10,2,11,2,12,1,2)</f>
        <v>1</v>
      </c>
      <c r="P1936" s="43"/>
    </row>
    <row r="1937" spans="1:16" ht="18" x14ac:dyDescent="0.35">
      <c r="A1937" s="43"/>
      <c r="C1937" s="393"/>
      <c r="E1937" s="394"/>
      <c r="F1937" s="394">
        <v>2.2250000000000001</v>
      </c>
      <c r="G1937" s="394"/>
      <c r="H1937" s="8" t="s">
        <v>235</v>
      </c>
      <c r="I1937" s="368">
        <f t="shared" si="91"/>
        <v>0</v>
      </c>
      <c r="J1937" s="365">
        <f t="shared" si="90"/>
        <v>0</v>
      </c>
      <c r="K1937" s="369">
        <f t="shared" si="92"/>
        <v>6</v>
      </c>
      <c r="L1937" s="369">
        <f>+IF((C1937&gt;='Resultats - informe'!$E$16)*(C1937&lt;='Resultats - informe'!$G$16),1,0)</f>
        <v>1</v>
      </c>
      <c r="M1937" s="369" cm="1">
        <f t="array" ref="M1937">+_xlfn.IFS((C1937&gt;='Resultats - informe'!$D$26)*(C1937&lt;='Resultats - informe'!$E$26),0,(C1937&gt;='Resultats - informe'!$D$27)*(C1937&lt;='Resultats - informe'!$E$27),0,(C1937&gt;='Resultats - informe'!$D$28)*(C1937&lt;='Resultats - informe'!$E$28),0,(C1937&gt;='Resultats - informe'!$D$29)*(C1937&lt;='Resultats - informe'!$E$29),0,1,1)</f>
        <v>0</v>
      </c>
      <c r="N1937" s="366">
        <f>+VLOOKUP(D1937,'Resultats - informe'!$Y$18:$AG$42,'Introducció dades consum'!K1937+1,0)</f>
        <v>0</v>
      </c>
      <c r="O1937" s="370" cm="1">
        <f t="array" ref="O1937">+_xlfn.SWITCH(MONTH(C1937),1,1,2,1,3,1,4,2,5,2,6,3,7,3,8,3,9,3,10,2,11,2,12,1,2)</f>
        <v>1</v>
      </c>
      <c r="P1937" s="43"/>
    </row>
    <row r="1938" spans="1:16" ht="18" x14ac:dyDescent="0.35">
      <c r="A1938" s="43"/>
      <c r="C1938" s="393"/>
      <c r="E1938" s="394"/>
      <c r="F1938" s="394">
        <v>1.93</v>
      </c>
      <c r="G1938" s="394"/>
      <c r="H1938" s="8" t="s">
        <v>235</v>
      </c>
      <c r="I1938" s="368">
        <f t="shared" si="91"/>
        <v>0</v>
      </c>
      <c r="J1938" s="365">
        <f t="shared" si="90"/>
        <v>0</v>
      </c>
      <c r="K1938" s="369">
        <f t="shared" si="92"/>
        <v>6</v>
      </c>
      <c r="L1938" s="369">
        <f>+IF((C1938&gt;='Resultats - informe'!$E$16)*(C1938&lt;='Resultats - informe'!$G$16),1,0)</f>
        <v>1</v>
      </c>
      <c r="M1938" s="369" cm="1">
        <f t="array" ref="M1938">+_xlfn.IFS((C1938&gt;='Resultats - informe'!$D$26)*(C1938&lt;='Resultats - informe'!$E$26),0,(C1938&gt;='Resultats - informe'!$D$27)*(C1938&lt;='Resultats - informe'!$E$27),0,(C1938&gt;='Resultats - informe'!$D$28)*(C1938&lt;='Resultats - informe'!$E$28),0,(C1938&gt;='Resultats - informe'!$D$29)*(C1938&lt;='Resultats - informe'!$E$29),0,1,1)</f>
        <v>0</v>
      </c>
      <c r="N1938" s="366">
        <f>+VLOOKUP(D1938,'Resultats - informe'!$Y$18:$AG$42,'Introducció dades consum'!K1938+1,0)</f>
        <v>0</v>
      </c>
      <c r="O1938" s="370" cm="1">
        <f t="array" ref="O1938">+_xlfn.SWITCH(MONTH(C1938),1,1,2,1,3,1,4,2,5,2,6,3,7,3,8,3,9,3,10,2,11,2,12,1,2)</f>
        <v>1</v>
      </c>
      <c r="P1938" s="43"/>
    </row>
    <row r="1939" spans="1:16" ht="18" x14ac:dyDescent="0.35">
      <c r="A1939" s="43"/>
      <c r="C1939" s="393"/>
      <c r="E1939" s="394"/>
      <c r="F1939" s="394">
        <v>1.4179999999999999</v>
      </c>
      <c r="G1939" s="394"/>
      <c r="H1939" s="8" t="s">
        <v>235</v>
      </c>
      <c r="I1939" s="368">
        <f t="shared" si="91"/>
        <v>0</v>
      </c>
      <c r="J1939" s="365">
        <f t="shared" si="90"/>
        <v>0</v>
      </c>
      <c r="K1939" s="369">
        <f t="shared" si="92"/>
        <v>6</v>
      </c>
      <c r="L1939" s="369">
        <f>+IF((C1939&gt;='Resultats - informe'!$E$16)*(C1939&lt;='Resultats - informe'!$G$16),1,0)</f>
        <v>1</v>
      </c>
      <c r="M1939" s="369" cm="1">
        <f t="array" ref="M1939">+_xlfn.IFS((C1939&gt;='Resultats - informe'!$D$26)*(C1939&lt;='Resultats - informe'!$E$26),0,(C1939&gt;='Resultats - informe'!$D$27)*(C1939&lt;='Resultats - informe'!$E$27),0,(C1939&gt;='Resultats - informe'!$D$28)*(C1939&lt;='Resultats - informe'!$E$28),0,(C1939&gt;='Resultats - informe'!$D$29)*(C1939&lt;='Resultats - informe'!$E$29),0,1,1)</f>
        <v>0</v>
      </c>
      <c r="N1939" s="366">
        <f>+VLOOKUP(D1939,'Resultats - informe'!$Y$18:$AG$42,'Introducció dades consum'!K1939+1,0)</f>
        <v>0</v>
      </c>
      <c r="O1939" s="370" cm="1">
        <f t="array" ref="O1939">+_xlfn.SWITCH(MONTH(C1939),1,1,2,1,3,1,4,2,5,2,6,3,7,3,8,3,9,3,10,2,11,2,12,1,2)</f>
        <v>1</v>
      </c>
      <c r="P1939" s="43"/>
    </row>
    <row r="1940" spans="1:16" ht="18" x14ac:dyDescent="0.35">
      <c r="A1940" s="43"/>
      <c r="C1940" s="393"/>
      <c r="E1940" s="394"/>
      <c r="F1940" s="394">
        <v>0.63800000000000001</v>
      </c>
      <c r="G1940" s="394"/>
      <c r="H1940" s="8" t="s">
        <v>235</v>
      </c>
      <c r="I1940" s="368">
        <f t="shared" si="91"/>
        <v>0</v>
      </c>
      <c r="J1940" s="365">
        <f t="shared" si="90"/>
        <v>0</v>
      </c>
      <c r="K1940" s="369">
        <f t="shared" si="92"/>
        <v>6</v>
      </c>
      <c r="L1940" s="369">
        <f>+IF((C1940&gt;='Resultats - informe'!$E$16)*(C1940&lt;='Resultats - informe'!$G$16),1,0)</f>
        <v>1</v>
      </c>
      <c r="M1940" s="369" cm="1">
        <f t="array" ref="M1940">+_xlfn.IFS((C1940&gt;='Resultats - informe'!$D$26)*(C1940&lt;='Resultats - informe'!$E$26),0,(C1940&gt;='Resultats - informe'!$D$27)*(C1940&lt;='Resultats - informe'!$E$27),0,(C1940&gt;='Resultats - informe'!$D$28)*(C1940&lt;='Resultats - informe'!$E$28),0,(C1940&gt;='Resultats - informe'!$D$29)*(C1940&lt;='Resultats - informe'!$E$29),0,1,1)</f>
        <v>0</v>
      </c>
      <c r="N1940" s="366">
        <f>+VLOOKUP(D1940,'Resultats - informe'!$Y$18:$AG$42,'Introducció dades consum'!K1940+1,0)</f>
        <v>0</v>
      </c>
      <c r="O1940" s="370" cm="1">
        <f t="array" ref="O1940">+_xlfn.SWITCH(MONTH(C1940),1,1,2,1,3,1,4,2,5,2,6,3,7,3,8,3,9,3,10,2,11,2,12,1,2)</f>
        <v>1</v>
      </c>
      <c r="P1940" s="43"/>
    </row>
    <row r="1941" spans="1:16" ht="18" x14ac:dyDescent="0.35">
      <c r="A1941" s="43"/>
      <c r="C1941" s="393"/>
      <c r="E1941" s="394"/>
      <c r="F1941" s="394">
        <v>0</v>
      </c>
      <c r="G1941" s="394"/>
      <c r="H1941" s="8" t="s">
        <v>235</v>
      </c>
      <c r="I1941" s="368">
        <f t="shared" si="91"/>
        <v>0</v>
      </c>
      <c r="J1941" s="365">
        <f t="shared" si="90"/>
        <v>0</v>
      </c>
      <c r="K1941" s="369">
        <f t="shared" si="92"/>
        <v>6</v>
      </c>
      <c r="L1941" s="369">
        <f>+IF((C1941&gt;='Resultats - informe'!$E$16)*(C1941&lt;='Resultats - informe'!$G$16),1,0)</f>
        <v>1</v>
      </c>
      <c r="M1941" s="369" cm="1">
        <f t="array" ref="M1941">+_xlfn.IFS((C1941&gt;='Resultats - informe'!$D$26)*(C1941&lt;='Resultats - informe'!$E$26),0,(C1941&gt;='Resultats - informe'!$D$27)*(C1941&lt;='Resultats - informe'!$E$27),0,(C1941&gt;='Resultats - informe'!$D$28)*(C1941&lt;='Resultats - informe'!$E$28),0,(C1941&gt;='Resultats - informe'!$D$29)*(C1941&lt;='Resultats - informe'!$E$29),0,1,1)</f>
        <v>0</v>
      </c>
      <c r="N1941" s="366">
        <f>+VLOOKUP(D1941,'Resultats - informe'!$Y$18:$AG$42,'Introducció dades consum'!K1941+1,0)</f>
        <v>0</v>
      </c>
      <c r="O1941" s="370" cm="1">
        <f t="array" ref="O1941">+_xlfn.SWITCH(MONTH(C1941),1,1,2,1,3,1,4,2,5,2,6,3,7,3,8,3,9,3,10,2,11,2,12,1,2)</f>
        <v>1</v>
      </c>
      <c r="P1941" s="43"/>
    </row>
    <row r="1942" spans="1:16" ht="18" x14ac:dyDescent="0.35">
      <c r="A1942" s="43"/>
      <c r="C1942" s="393"/>
      <c r="E1942" s="394"/>
      <c r="F1942" s="394">
        <v>1.0349999999999999</v>
      </c>
      <c r="G1942" s="394"/>
      <c r="H1942" s="8" t="s">
        <v>61</v>
      </c>
      <c r="I1942" s="368">
        <f t="shared" si="91"/>
        <v>0</v>
      </c>
      <c r="J1942" s="365">
        <f t="shared" si="90"/>
        <v>0</v>
      </c>
      <c r="K1942" s="369">
        <f t="shared" si="92"/>
        <v>6</v>
      </c>
      <c r="L1942" s="369">
        <f>+IF((C1942&gt;='Resultats - informe'!$E$16)*(C1942&lt;='Resultats - informe'!$G$16),1,0)</f>
        <v>1</v>
      </c>
      <c r="M1942" s="369" cm="1">
        <f t="array" ref="M1942">+_xlfn.IFS((C1942&gt;='Resultats - informe'!$D$26)*(C1942&lt;='Resultats - informe'!$E$26),0,(C1942&gt;='Resultats - informe'!$D$27)*(C1942&lt;='Resultats - informe'!$E$27),0,(C1942&gt;='Resultats - informe'!$D$28)*(C1942&lt;='Resultats - informe'!$E$28),0,(C1942&gt;='Resultats - informe'!$D$29)*(C1942&lt;='Resultats - informe'!$E$29),0,1,1)</f>
        <v>0</v>
      </c>
      <c r="N1942" s="366">
        <f>+VLOOKUP(D1942,'Resultats - informe'!$Y$18:$AG$42,'Introducció dades consum'!K1942+1,0)</f>
        <v>0</v>
      </c>
      <c r="O1942" s="370" cm="1">
        <f t="array" ref="O1942">+_xlfn.SWITCH(MONTH(C1942),1,1,2,1,3,1,4,2,5,2,6,3,7,3,8,3,9,3,10,2,11,2,12,1,2)</f>
        <v>1</v>
      </c>
      <c r="P1942" s="43"/>
    </row>
    <row r="1943" spans="1:16" ht="18" x14ac:dyDescent="0.35">
      <c r="A1943" s="43"/>
      <c r="C1943" s="393"/>
      <c r="E1943" s="394"/>
      <c r="F1943" s="394">
        <v>0</v>
      </c>
      <c r="G1943" s="394"/>
      <c r="H1943" s="8" t="s">
        <v>61</v>
      </c>
      <c r="I1943" s="368">
        <f t="shared" si="91"/>
        <v>0</v>
      </c>
      <c r="J1943" s="365">
        <f t="shared" si="90"/>
        <v>0</v>
      </c>
      <c r="K1943" s="369">
        <f t="shared" si="92"/>
        <v>6</v>
      </c>
      <c r="L1943" s="369">
        <f>+IF((C1943&gt;='Resultats - informe'!$E$16)*(C1943&lt;='Resultats - informe'!$G$16),1,0)</f>
        <v>1</v>
      </c>
      <c r="M1943" s="369" cm="1">
        <f t="array" ref="M1943">+_xlfn.IFS((C1943&gt;='Resultats - informe'!$D$26)*(C1943&lt;='Resultats - informe'!$E$26),0,(C1943&gt;='Resultats - informe'!$D$27)*(C1943&lt;='Resultats - informe'!$E$27),0,(C1943&gt;='Resultats - informe'!$D$28)*(C1943&lt;='Resultats - informe'!$E$28),0,(C1943&gt;='Resultats - informe'!$D$29)*(C1943&lt;='Resultats - informe'!$E$29),0,1,1)</f>
        <v>0</v>
      </c>
      <c r="N1943" s="366">
        <f>+VLOOKUP(D1943,'Resultats - informe'!$Y$18:$AG$42,'Introducció dades consum'!K1943+1,0)</f>
        <v>0</v>
      </c>
      <c r="O1943" s="370" cm="1">
        <f t="array" ref="O1943">+_xlfn.SWITCH(MONTH(C1943),1,1,2,1,3,1,4,2,5,2,6,3,7,3,8,3,9,3,10,2,11,2,12,1,2)</f>
        <v>1</v>
      </c>
      <c r="P1943" s="43"/>
    </row>
    <row r="1944" spans="1:16" ht="18" x14ac:dyDescent="0.35">
      <c r="A1944" s="43"/>
      <c r="C1944" s="393"/>
      <c r="E1944" s="394"/>
      <c r="F1944" s="394">
        <v>0</v>
      </c>
      <c r="G1944" s="394"/>
      <c r="H1944" s="8" t="s">
        <v>235</v>
      </c>
      <c r="I1944" s="368">
        <f t="shared" si="91"/>
        <v>0</v>
      </c>
      <c r="J1944" s="365">
        <f t="shared" si="90"/>
        <v>0</v>
      </c>
      <c r="K1944" s="369">
        <f t="shared" si="92"/>
        <v>6</v>
      </c>
      <c r="L1944" s="369">
        <f>+IF((C1944&gt;='Resultats - informe'!$E$16)*(C1944&lt;='Resultats - informe'!$G$16),1,0)</f>
        <v>1</v>
      </c>
      <c r="M1944" s="369" cm="1">
        <f t="array" ref="M1944">+_xlfn.IFS((C1944&gt;='Resultats - informe'!$D$26)*(C1944&lt;='Resultats - informe'!$E$26),0,(C1944&gt;='Resultats - informe'!$D$27)*(C1944&lt;='Resultats - informe'!$E$27),0,(C1944&gt;='Resultats - informe'!$D$28)*(C1944&lt;='Resultats - informe'!$E$28),0,(C1944&gt;='Resultats - informe'!$D$29)*(C1944&lt;='Resultats - informe'!$E$29),0,1,1)</f>
        <v>0</v>
      </c>
      <c r="N1944" s="366">
        <f>+VLOOKUP(D1944,'Resultats - informe'!$Y$18:$AG$42,'Introducció dades consum'!K1944+1,0)</f>
        <v>0</v>
      </c>
      <c r="O1944" s="370" cm="1">
        <f t="array" ref="O1944">+_xlfn.SWITCH(MONTH(C1944),1,1,2,1,3,1,4,2,5,2,6,3,7,3,8,3,9,3,10,2,11,2,12,1,2)</f>
        <v>1</v>
      </c>
      <c r="P1944" s="43"/>
    </row>
    <row r="1945" spans="1:16" ht="18" x14ac:dyDescent="0.35">
      <c r="A1945" s="43"/>
      <c r="C1945" s="393"/>
      <c r="E1945" s="394"/>
      <c r="F1945" s="394">
        <v>0</v>
      </c>
      <c r="G1945" s="394"/>
      <c r="H1945" s="8" t="s">
        <v>235</v>
      </c>
      <c r="I1945" s="368">
        <f t="shared" si="91"/>
        <v>0</v>
      </c>
      <c r="J1945" s="365">
        <f t="shared" si="90"/>
        <v>0</v>
      </c>
      <c r="K1945" s="369">
        <f t="shared" si="92"/>
        <v>6</v>
      </c>
      <c r="L1945" s="369">
        <f>+IF((C1945&gt;='Resultats - informe'!$E$16)*(C1945&lt;='Resultats - informe'!$G$16),1,0)</f>
        <v>1</v>
      </c>
      <c r="M1945" s="369" cm="1">
        <f t="array" ref="M1945">+_xlfn.IFS((C1945&gt;='Resultats - informe'!$D$26)*(C1945&lt;='Resultats - informe'!$E$26),0,(C1945&gt;='Resultats - informe'!$D$27)*(C1945&lt;='Resultats - informe'!$E$27),0,(C1945&gt;='Resultats - informe'!$D$28)*(C1945&lt;='Resultats - informe'!$E$28),0,(C1945&gt;='Resultats - informe'!$D$29)*(C1945&lt;='Resultats - informe'!$E$29),0,1,1)</f>
        <v>0</v>
      </c>
      <c r="N1945" s="366">
        <f>+VLOOKUP(D1945,'Resultats - informe'!$Y$18:$AG$42,'Introducció dades consum'!K1945+1,0)</f>
        <v>0</v>
      </c>
      <c r="O1945" s="370" cm="1">
        <f t="array" ref="O1945">+_xlfn.SWITCH(MONTH(C1945),1,1,2,1,3,1,4,2,5,2,6,3,7,3,8,3,9,3,10,2,11,2,12,1,2)</f>
        <v>1</v>
      </c>
      <c r="P1945" s="43"/>
    </row>
    <row r="1946" spans="1:16" ht="18" x14ac:dyDescent="0.35">
      <c r="A1946" s="43"/>
      <c r="C1946" s="393"/>
      <c r="E1946" s="394"/>
      <c r="F1946" s="394">
        <v>0</v>
      </c>
      <c r="G1946" s="394"/>
      <c r="H1946" s="8" t="s">
        <v>235</v>
      </c>
      <c r="I1946" s="368">
        <f t="shared" si="91"/>
        <v>0</v>
      </c>
      <c r="J1946" s="365">
        <f t="shared" si="90"/>
        <v>0</v>
      </c>
      <c r="K1946" s="369">
        <f t="shared" si="92"/>
        <v>6</v>
      </c>
      <c r="L1946" s="369">
        <f>+IF((C1946&gt;='Resultats - informe'!$E$16)*(C1946&lt;='Resultats - informe'!$G$16),1,0)</f>
        <v>1</v>
      </c>
      <c r="M1946" s="369" cm="1">
        <f t="array" ref="M1946">+_xlfn.IFS((C1946&gt;='Resultats - informe'!$D$26)*(C1946&lt;='Resultats - informe'!$E$26),0,(C1946&gt;='Resultats - informe'!$D$27)*(C1946&lt;='Resultats - informe'!$E$27),0,(C1946&gt;='Resultats - informe'!$D$28)*(C1946&lt;='Resultats - informe'!$E$28),0,(C1946&gt;='Resultats - informe'!$D$29)*(C1946&lt;='Resultats - informe'!$E$29),0,1,1)</f>
        <v>0</v>
      </c>
      <c r="N1946" s="366">
        <f>+VLOOKUP(D1946,'Resultats - informe'!$Y$18:$AG$42,'Introducció dades consum'!K1946+1,0)</f>
        <v>0</v>
      </c>
      <c r="O1946" s="370" cm="1">
        <f t="array" ref="O1946">+_xlfn.SWITCH(MONTH(C1946),1,1,2,1,3,1,4,2,5,2,6,3,7,3,8,3,9,3,10,2,11,2,12,1,2)</f>
        <v>1</v>
      </c>
      <c r="P1946" s="43"/>
    </row>
    <row r="1947" spans="1:16" ht="18" x14ac:dyDescent="0.35">
      <c r="A1947" s="43"/>
      <c r="C1947" s="393"/>
      <c r="E1947" s="394"/>
      <c r="F1947" s="394">
        <v>0</v>
      </c>
      <c r="G1947" s="394"/>
      <c r="H1947" s="8" t="s">
        <v>235</v>
      </c>
      <c r="I1947" s="368">
        <f t="shared" si="91"/>
        <v>0</v>
      </c>
      <c r="J1947" s="365">
        <f t="shared" si="90"/>
        <v>0</v>
      </c>
      <c r="K1947" s="369">
        <f t="shared" si="92"/>
        <v>6</v>
      </c>
      <c r="L1947" s="369">
        <f>+IF((C1947&gt;='Resultats - informe'!$E$16)*(C1947&lt;='Resultats - informe'!$G$16),1,0)</f>
        <v>1</v>
      </c>
      <c r="M1947" s="369" cm="1">
        <f t="array" ref="M1947">+_xlfn.IFS((C1947&gt;='Resultats - informe'!$D$26)*(C1947&lt;='Resultats - informe'!$E$26),0,(C1947&gt;='Resultats - informe'!$D$27)*(C1947&lt;='Resultats - informe'!$E$27),0,(C1947&gt;='Resultats - informe'!$D$28)*(C1947&lt;='Resultats - informe'!$E$28),0,(C1947&gt;='Resultats - informe'!$D$29)*(C1947&lt;='Resultats - informe'!$E$29),0,1,1)</f>
        <v>0</v>
      </c>
      <c r="N1947" s="366">
        <f>+VLOOKUP(D1947,'Resultats - informe'!$Y$18:$AG$42,'Introducció dades consum'!K1947+1,0)</f>
        <v>0</v>
      </c>
      <c r="O1947" s="370" cm="1">
        <f t="array" ref="O1947">+_xlfn.SWITCH(MONTH(C1947),1,1,2,1,3,1,4,2,5,2,6,3,7,3,8,3,9,3,10,2,11,2,12,1,2)</f>
        <v>1</v>
      </c>
      <c r="P1947" s="43"/>
    </row>
    <row r="1948" spans="1:16" ht="18" x14ac:dyDescent="0.35">
      <c r="A1948" s="43"/>
      <c r="C1948" s="393"/>
      <c r="E1948" s="394"/>
      <c r="F1948" s="394">
        <v>0</v>
      </c>
      <c r="G1948" s="394"/>
      <c r="H1948" s="8" t="s">
        <v>235</v>
      </c>
      <c r="I1948" s="368">
        <f t="shared" si="91"/>
        <v>0</v>
      </c>
      <c r="J1948" s="365">
        <f t="shared" si="90"/>
        <v>0</v>
      </c>
      <c r="K1948" s="369">
        <f t="shared" si="92"/>
        <v>6</v>
      </c>
      <c r="L1948" s="369">
        <f>+IF((C1948&gt;='Resultats - informe'!$E$16)*(C1948&lt;='Resultats - informe'!$G$16),1,0)</f>
        <v>1</v>
      </c>
      <c r="M1948" s="369" cm="1">
        <f t="array" ref="M1948">+_xlfn.IFS((C1948&gt;='Resultats - informe'!$D$26)*(C1948&lt;='Resultats - informe'!$E$26),0,(C1948&gt;='Resultats - informe'!$D$27)*(C1948&lt;='Resultats - informe'!$E$27),0,(C1948&gt;='Resultats - informe'!$D$28)*(C1948&lt;='Resultats - informe'!$E$28),0,(C1948&gt;='Resultats - informe'!$D$29)*(C1948&lt;='Resultats - informe'!$E$29),0,1,1)</f>
        <v>0</v>
      </c>
      <c r="N1948" s="366">
        <f>+VLOOKUP(D1948,'Resultats - informe'!$Y$18:$AG$42,'Introducció dades consum'!K1948+1,0)</f>
        <v>0</v>
      </c>
      <c r="O1948" s="370" cm="1">
        <f t="array" ref="O1948">+_xlfn.SWITCH(MONTH(C1948),1,1,2,1,3,1,4,2,5,2,6,3,7,3,8,3,9,3,10,2,11,2,12,1,2)</f>
        <v>1</v>
      </c>
      <c r="P1948" s="43"/>
    </row>
    <row r="1949" spans="1:16" ht="18" x14ac:dyDescent="0.35">
      <c r="A1949" s="43"/>
      <c r="C1949" s="393"/>
      <c r="E1949" s="394"/>
      <c r="F1949" s="394">
        <v>0</v>
      </c>
      <c r="G1949" s="394"/>
      <c r="H1949" s="8" t="s">
        <v>235</v>
      </c>
      <c r="I1949" s="368">
        <f t="shared" si="91"/>
        <v>0</v>
      </c>
      <c r="J1949" s="365">
        <f t="shared" si="90"/>
        <v>0</v>
      </c>
      <c r="K1949" s="369">
        <f t="shared" si="92"/>
        <v>6</v>
      </c>
      <c r="L1949" s="369">
        <f>+IF((C1949&gt;='Resultats - informe'!$E$16)*(C1949&lt;='Resultats - informe'!$G$16),1,0)</f>
        <v>1</v>
      </c>
      <c r="M1949" s="369" cm="1">
        <f t="array" ref="M1949">+_xlfn.IFS((C1949&gt;='Resultats - informe'!$D$26)*(C1949&lt;='Resultats - informe'!$E$26),0,(C1949&gt;='Resultats - informe'!$D$27)*(C1949&lt;='Resultats - informe'!$E$27),0,(C1949&gt;='Resultats - informe'!$D$28)*(C1949&lt;='Resultats - informe'!$E$28),0,(C1949&gt;='Resultats - informe'!$D$29)*(C1949&lt;='Resultats - informe'!$E$29),0,1,1)</f>
        <v>0</v>
      </c>
      <c r="N1949" s="366">
        <f>+VLOOKUP(D1949,'Resultats - informe'!$Y$18:$AG$42,'Introducció dades consum'!K1949+1,0)</f>
        <v>0</v>
      </c>
      <c r="O1949" s="370" cm="1">
        <f t="array" ref="O1949">+_xlfn.SWITCH(MONTH(C1949),1,1,2,1,3,1,4,2,5,2,6,3,7,3,8,3,9,3,10,2,11,2,12,1,2)</f>
        <v>1</v>
      </c>
      <c r="P1949" s="43"/>
    </row>
    <row r="1950" spans="1:16" ht="18" x14ac:dyDescent="0.35">
      <c r="A1950" s="43"/>
      <c r="C1950" s="393"/>
      <c r="E1950" s="394"/>
      <c r="F1950" s="394">
        <v>0</v>
      </c>
      <c r="G1950" s="394"/>
      <c r="H1950" s="8" t="s">
        <v>235</v>
      </c>
      <c r="I1950" s="368">
        <f t="shared" si="91"/>
        <v>0</v>
      </c>
      <c r="J1950" s="365">
        <f t="shared" si="90"/>
        <v>0</v>
      </c>
      <c r="K1950" s="369">
        <f t="shared" si="92"/>
        <v>6</v>
      </c>
      <c r="L1950" s="369">
        <f>+IF((C1950&gt;='Resultats - informe'!$E$16)*(C1950&lt;='Resultats - informe'!$G$16),1,0)</f>
        <v>1</v>
      </c>
      <c r="M1950" s="369" cm="1">
        <f t="array" ref="M1950">+_xlfn.IFS((C1950&gt;='Resultats - informe'!$D$26)*(C1950&lt;='Resultats - informe'!$E$26),0,(C1950&gt;='Resultats - informe'!$D$27)*(C1950&lt;='Resultats - informe'!$E$27),0,(C1950&gt;='Resultats - informe'!$D$28)*(C1950&lt;='Resultats - informe'!$E$28),0,(C1950&gt;='Resultats - informe'!$D$29)*(C1950&lt;='Resultats - informe'!$E$29),0,1,1)</f>
        <v>0</v>
      </c>
      <c r="N1950" s="366">
        <f>+VLOOKUP(D1950,'Resultats - informe'!$Y$18:$AG$42,'Introducció dades consum'!K1950+1,0)</f>
        <v>0</v>
      </c>
      <c r="O1950" s="370" cm="1">
        <f t="array" ref="O1950">+_xlfn.SWITCH(MONTH(C1950),1,1,2,1,3,1,4,2,5,2,6,3,7,3,8,3,9,3,10,2,11,2,12,1,2)</f>
        <v>1</v>
      </c>
      <c r="P1950" s="43"/>
    </row>
    <row r="1951" spans="1:16" ht="18" x14ac:dyDescent="0.35">
      <c r="A1951" s="43"/>
      <c r="C1951" s="393"/>
      <c r="E1951" s="394"/>
      <c r="F1951" s="394">
        <v>0</v>
      </c>
      <c r="G1951" s="394"/>
      <c r="H1951" s="8" t="s">
        <v>235</v>
      </c>
      <c r="I1951" s="368">
        <f t="shared" si="91"/>
        <v>0</v>
      </c>
      <c r="J1951" s="365">
        <f t="shared" si="90"/>
        <v>0</v>
      </c>
      <c r="K1951" s="369">
        <f t="shared" si="92"/>
        <v>6</v>
      </c>
      <c r="L1951" s="369">
        <f>+IF((C1951&gt;='Resultats - informe'!$E$16)*(C1951&lt;='Resultats - informe'!$G$16),1,0)</f>
        <v>1</v>
      </c>
      <c r="M1951" s="369" cm="1">
        <f t="array" ref="M1951">+_xlfn.IFS((C1951&gt;='Resultats - informe'!$D$26)*(C1951&lt;='Resultats - informe'!$E$26),0,(C1951&gt;='Resultats - informe'!$D$27)*(C1951&lt;='Resultats - informe'!$E$27),0,(C1951&gt;='Resultats - informe'!$D$28)*(C1951&lt;='Resultats - informe'!$E$28),0,(C1951&gt;='Resultats - informe'!$D$29)*(C1951&lt;='Resultats - informe'!$E$29),0,1,1)</f>
        <v>0</v>
      </c>
      <c r="N1951" s="366">
        <f>+VLOOKUP(D1951,'Resultats - informe'!$Y$18:$AG$42,'Introducció dades consum'!K1951+1,0)</f>
        <v>0</v>
      </c>
      <c r="O1951" s="370" cm="1">
        <f t="array" ref="O1951">+_xlfn.SWITCH(MONTH(C1951),1,1,2,1,3,1,4,2,5,2,6,3,7,3,8,3,9,3,10,2,11,2,12,1,2)</f>
        <v>1</v>
      </c>
      <c r="P1951" s="43"/>
    </row>
    <row r="1952" spans="1:16" ht="18" x14ac:dyDescent="0.35">
      <c r="A1952" s="43"/>
      <c r="C1952" s="393"/>
      <c r="E1952" s="394"/>
      <c r="F1952" s="394">
        <v>0</v>
      </c>
      <c r="G1952" s="394"/>
      <c r="H1952" s="8" t="s">
        <v>235</v>
      </c>
      <c r="I1952" s="368">
        <f t="shared" si="91"/>
        <v>0</v>
      </c>
      <c r="J1952" s="365">
        <f t="shared" si="90"/>
        <v>0</v>
      </c>
      <c r="K1952" s="369">
        <f t="shared" si="92"/>
        <v>6</v>
      </c>
      <c r="L1952" s="369">
        <f>+IF((C1952&gt;='Resultats - informe'!$E$16)*(C1952&lt;='Resultats - informe'!$G$16),1,0)</f>
        <v>1</v>
      </c>
      <c r="M1952" s="369" cm="1">
        <f t="array" ref="M1952">+_xlfn.IFS((C1952&gt;='Resultats - informe'!$D$26)*(C1952&lt;='Resultats - informe'!$E$26),0,(C1952&gt;='Resultats - informe'!$D$27)*(C1952&lt;='Resultats - informe'!$E$27),0,(C1952&gt;='Resultats - informe'!$D$28)*(C1952&lt;='Resultats - informe'!$E$28),0,(C1952&gt;='Resultats - informe'!$D$29)*(C1952&lt;='Resultats - informe'!$E$29),0,1,1)</f>
        <v>0</v>
      </c>
      <c r="N1952" s="366">
        <f>+VLOOKUP(D1952,'Resultats - informe'!$Y$18:$AG$42,'Introducció dades consum'!K1952+1,0)</f>
        <v>0</v>
      </c>
      <c r="O1952" s="370" cm="1">
        <f t="array" ref="O1952">+_xlfn.SWITCH(MONTH(C1952),1,1,2,1,3,1,4,2,5,2,6,3,7,3,8,3,9,3,10,2,11,2,12,1,2)</f>
        <v>1</v>
      </c>
      <c r="P1952" s="43"/>
    </row>
    <row r="1953" spans="1:16" ht="18" x14ac:dyDescent="0.35">
      <c r="A1953" s="43"/>
      <c r="C1953" s="393"/>
      <c r="E1953" s="394"/>
      <c r="F1953" s="394">
        <v>0</v>
      </c>
      <c r="G1953" s="394"/>
      <c r="H1953" s="8" t="s">
        <v>235</v>
      </c>
      <c r="I1953" s="368">
        <f t="shared" si="91"/>
        <v>0</v>
      </c>
      <c r="J1953" s="365">
        <f t="shared" si="90"/>
        <v>0</v>
      </c>
      <c r="K1953" s="369">
        <f t="shared" si="92"/>
        <v>6</v>
      </c>
      <c r="L1953" s="369">
        <f>+IF((C1953&gt;='Resultats - informe'!$E$16)*(C1953&lt;='Resultats - informe'!$G$16),1,0)</f>
        <v>1</v>
      </c>
      <c r="M1953" s="369" cm="1">
        <f t="array" ref="M1953">+_xlfn.IFS((C1953&gt;='Resultats - informe'!$D$26)*(C1953&lt;='Resultats - informe'!$E$26),0,(C1953&gt;='Resultats - informe'!$D$27)*(C1953&lt;='Resultats - informe'!$E$27),0,(C1953&gt;='Resultats - informe'!$D$28)*(C1953&lt;='Resultats - informe'!$E$28),0,(C1953&gt;='Resultats - informe'!$D$29)*(C1953&lt;='Resultats - informe'!$E$29),0,1,1)</f>
        <v>0</v>
      </c>
      <c r="N1953" s="366">
        <f>+VLOOKUP(D1953,'Resultats - informe'!$Y$18:$AG$42,'Introducció dades consum'!K1953+1,0)</f>
        <v>0</v>
      </c>
      <c r="O1953" s="370" cm="1">
        <f t="array" ref="O1953">+_xlfn.SWITCH(MONTH(C1953),1,1,2,1,3,1,4,2,5,2,6,3,7,3,8,3,9,3,10,2,11,2,12,1,2)</f>
        <v>1</v>
      </c>
      <c r="P1953" s="43"/>
    </row>
    <row r="1954" spans="1:16" ht="18" x14ac:dyDescent="0.35">
      <c r="A1954" s="43"/>
      <c r="C1954" s="393"/>
      <c r="E1954" s="394"/>
      <c r="F1954" s="394">
        <v>0</v>
      </c>
      <c r="G1954" s="394"/>
      <c r="H1954" s="8" t="s">
        <v>235</v>
      </c>
      <c r="I1954" s="368">
        <f t="shared" si="91"/>
        <v>0</v>
      </c>
      <c r="J1954" s="365">
        <f t="shared" si="90"/>
        <v>0</v>
      </c>
      <c r="K1954" s="369">
        <f t="shared" si="92"/>
        <v>6</v>
      </c>
      <c r="L1954" s="369">
        <f>+IF((C1954&gt;='Resultats - informe'!$E$16)*(C1954&lt;='Resultats - informe'!$G$16),1,0)</f>
        <v>1</v>
      </c>
      <c r="M1954" s="369" cm="1">
        <f t="array" ref="M1954">+_xlfn.IFS((C1954&gt;='Resultats - informe'!$D$26)*(C1954&lt;='Resultats - informe'!$E$26),0,(C1954&gt;='Resultats - informe'!$D$27)*(C1954&lt;='Resultats - informe'!$E$27),0,(C1954&gt;='Resultats - informe'!$D$28)*(C1954&lt;='Resultats - informe'!$E$28),0,(C1954&gt;='Resultats - informe'!$D$29)*(C1954&lt;='Resultats - informe'!$E$29),0,1,1)</f>
        <v>0</v>
      </c>
      <c r="N1954" s="366">
        <f>+VLOOKUP(D1954,'Resultats - informe'!$Y$18:$AG$42,'Introducció dades consum'!K1954+1,0)</f>
        <v>0</v>
      </c>
      <c r="O1954" s="370" cm="1">
        <f t="array" ref="O1954">+_xlfn.SWITCH(MONTH(C1954),1,1,2,1,3,1,4,2,5,2,6,3,7,3,8,3,9,3,10,2,11,2,12,1,2)</f>
        <v>1</v>
      </c>
      <c r="P1954" s="43"/>
    </row>
    <row r="1955" spans="1:16" ht="18" x14ac:dyDescent="0.35">
      <c r="A1955" s="43"/>
      <c r="C1955" s="393"/>
      <c r="E1955" s="394"/>
      <c r="F1955" s="394">
        <v>0</v>
      </c>
      <c r="G1955" s="394"/>
      <c r="H1955" s="8" t="s">
        <v>235</v>
      </c>
      <c r="I1955" s="368">
        <f t="shared" si="91"/>
        <v>0</v>
      </c>
      <c r="J1955" s="365">
        <f t="shared" si="90"/>
        <v>0</v>
      </c>
      <c r="K1955" s="369">
        <f t="shared" si="92"/>
        <v>6</v>
      </c>
      <c r="L1955" s="369">
        <f>+IF((C1955&gt;='Resultats - informe'!$E$16)*(C1955&lt;='Resultats - informe'!$G$16),1,0)</f>
        <v>1</v>
      </c>
      <c r="M1955" s="369" cm="1">
        <f t="array" ref="M1955">+_xlfn.IFS((C1955&gt;='Resultats - informe'!$D$26)*(C1955&lt;='Resultats - informe'!$E$26),0,(C1955&gt;='Resultats - informe'!$D$27)*(C1955&lt;='Resultats - informe'!$E$27),0,(C1955&gt;='Resultats - informe'!$D$28)*(C1955&lt;='Resultats - informe'!$E$28),0,(C1955&gt;='Resultats - informe'!$D$29)*(C1955&lt;='Resultats - informe'!$E$29),0,1,1)</f>
        <v>0</v>
      </c>
      <c r="N1955" s="366">
        <f>+VLOOKUP(D1955,'Resultats - informe'!$Y$18:$AG$42,'Introducció dades consum'!K1955+1,0)</f>
        <v>0</v>
      </c>
      <c r="O1955" s="370" cm="1">
        <f t="array" ref="O1955">+_xlfn.SWITCH(MONTH(C1955),1,1,2,1,3,1,4,2,5,2,6,3,7,3,8,3,9,3,10,2,11,2,12,1,2)</f>
        <v>1</v>
      </c>
      <c r="P1955" s="43"/>
    </row>
    <row r="1956" spans="1:16" ht="18" x14ac:dyDescent="0.35">
      <c r="A1956" s="43"/>
      <c r="C1956" s="393"/>
      <c r="E1956" s="394"/>
      <c r="F1956" s="394">
        <v>0</v>
      </c>
      <c r="G1956" s="394"/>
      <c r="H1956" s="8" t="s">
        <v>235</v>
      </c>
      <c r="I1956" s="368">
        <f t="shared" si="91"/>
        <v>0</v>
      </c>
      <c r="J1956" s="365">
        <f t="shared" si="90"/>
        <v>0</v>
      </c>
      <c r="K1956" s="369">
        <f t="shared" si="92"/>
        <v>6</v>
      </c>
      <c r="L1956" s="369">
        <f>+IF((C1956&gt;='Resultats - informe'!$E$16)*(C1956&lt;='Resultats - informe'!$G$16),1,0)</f>
        <v>1</v>
      </c>
      <c r="M1956" s="369" cm="1">
        <f t="array" ref="M1956">+_xlfn.IFS((C1956&gt;='Resultats - informe'!$D$26)*(C1956&lt;='Resultats - informe'!$E$26),0,(C1956&gt;='Resultats - informe'!$D$27)*(C1956&lt;='Resultats - informe'!$E$27),0,(C1956&gt;='Resultats - informe'!$D$28)*(C1956&lt;='Resultats - informe'!$E$28),0,(C1956&gt;='Resultats - informe'!$D$29)*(C1956&lt;='Resultats - informe'!$E$29),0,1,1)</f>
        <v>0</v>
      </c>
      <c r="N1956" s="366">
        <f>+VLOOKUP(D1956,'Resultats - informe'!$Y$18:$AG$42,'Introducció dades consum'!K1956+1,0)</f>
        <v>0</v>
      </c>
      <c r="O1956" s="370" cm="1">
        <f t="array" ref="O1956">+_xlfn.SWITCH(MONTH(C1956),1,1,2,1,3,1,4,2,5,2,6,3,7,3,8,3,9,3,10,2,11,2,12,1,2)</f>
        <v>1</v>
      </c>
      <c r="P1956" s="43"/>
    </row>
    <row r="1957" spans="1:16" ht="18" x14ac:dyDescent="0.35">
      <c r="A1957" s="43"/>
      <c r="C1957" s="393"/>
      <c r="E1957" s="394"/>
      <c r="F1957" s="394">
        <v>0</v>
      </c>
      <c r="G1957" s="394"/>
      <c r="H1957" s="8" t="s">
        <v>61</v>
      </c>
      <c r="I1957" s="368">
        <f t="shared" si="91"/>
        <v>0</v>
      </c>
      <c r="J1957" s="365">
        <f t="shared" si="90"/>
        <v>0</v>
      </c>
      <c r="K1957" s="369">
        <f t="shared" si="92"/>
        <v>6</v>
      </c>
      <c r="L1957" s="369">
        <f>+IF((C1957&gt;='Resultats - informe'!$E$16)*(C1957&lt;='Resultats - informe'!$G$16),1,0)</f>
        <v>1</v>
      </c>
      <c r="M1957" s="369" cm="1">
        <f t="array" ref="M1957">+_xlfn.IFS((C1957&gt;='Resultats - informe'!$D$26)*(C1957&lt;='Resultats - informe'!$E$26),0,(C1957&gt;='Resultats - informe'!$D$27)*(C1957&lt;='Resultats - informe'!$E$27),0,(C1957&gt;='Resultats - informe'!$D$28)*(C1957&lt;='Resultats - informe'!$E$28),0,(C1957&gt;='Resultats - informe'!$D$29)*(C1957&lt;='Resultats - informe'!$E$29),0,1,1)</f>
        <v>0</v>
      </c>
      <c r="N1957" s="366">
        <f>+VLOOKUP(D1957,'Resultats - informe'!$Y$18:$AG$42,'Introducció dades consum'!K1957+1,0)</f>
        <v>0</v>
      </c>
      <c r="O1957" s="370" cm="1">
        <f t="array" ref="O1957">+_xlfn.SWITCH(MONTH(C1957),1,1,2,1,3,1,4,2,5,2,6,3,7,3,8,3,9,3,10,2,11,2,12,1,2)</f>
        <v>1</v>
      </c>
      <c r="P1957" s="43"/>
    </row>
    <row r="1958" spans="1:16" ht="18" x14ac:dyDescent="0.35">
      <c r="A1958" s="43"/>
      <c r="C1958" s="393"/>
      <c r="E1958" s="394"/>
      <c r="F1958" s="394">
        <v>0</v>
      </c>
      <c r="G1958" s="394"/>
      <c r="H1958" s="8" t="s">
        <v>61</v>
      </c>
      <c r="I1958" s="368">
        <f t="shared" si="91"/>
        <v>0</v>
      </c>
      <c r="J1958" s="365">
        <f t="shared" si="90"/>
        <v>0</v>
      </c>
      <c r="K1958" s="369">
        <f t="shared" si="92"/>
        <v>6</v>
      </c>
      <c r="L1958" s="369">
        <f>+IF((C1958&gt;='Resultats - informe'!$E$16)*(C1958&lt;='Resultats - informe'!$G$16),1,0)</f>
        <v>1</v>
      </c>
      <c r="M1958" s="369" cm="1">
        <f t="array" ref="M1958">+_xlfn.IFS((C1958&gt;='Resultats - informe'!$D$26)*(C1958&lt;='Resultats - informe'!$E$26),0,(C1958&gt;='Resultats - informe'!$D$27)*(C1958&lt;='Resultats - informe'!$E$27),0,(C1958&gt;='Resultats - informe'!$D$28)*(C1958&lt;='Resultats - informe'!$E$28),0,(C1958&gt;='Resultats - informe'!$D$29)*(C1958&lt;='Resultats - informe'!$E$29),0,1,1)</f>
        <v>0</v>
      </c>
      <c r="N1958" s="366">
        <f>+VLOOKUP(D1958,'Resultats - informe'!$Y$18:$AG$42,'Introducció dades consum'!K1958+1,0)</f>
        <v>0</v>
      </c>
      <c r="O1958" s="370" cm="1">
        <f t="array" ref="O1958">+_xlfn.SWITCH(MONTH(C1958),1,1,2,1,3,1,4,2,5,2,6,3,7,3,8,3,9,3,10,2,11,2,12,1,2)</f>
        <v>1</v>
      </c>
      <c r="P1958" s="43"/>
    </row>
    <row r="1959" spans="1:16" ht="18" x14ac:dyDescent="0.35">
      <c r="A1959" s="43"/>
      <c r="C1959" s="393"/>
      <c r="E1959" s="394"/>
      <c r="F1959" s="394">
        <v>0</v>
      </c>
      <c r="G1959" s="394"/>
      <c r="H1959" s="8" t="s">
        <v>61</v>
      </c>
      <c r="I1959" s="368">
        <f t="shared" si="91"/>
        <v>0</v>
      </c>
      <c r="J1959" s="365">
        <f t="shared" si="90"/>
        <v>0</v>
      </c>
      <c r="K1959" s="369">
        <f t="shared" si="92"/>
        <v>6</v>
      </c>
      <c r="L1959" s="369">
        <f>+IF((C1959&gt;='Resultats - informe'!$E$16)*(C1959&lt;='Resultats - informe'!$G$16),1,0)</f>
        <v>1</v>
      </c>
      <c r="M1959" s="369" cm="1">
        <f t="array" ref="M1959">+_xlfn.IFS((C1959&gt;='Resultats - informe'!$D$26)*(C1959&lt;='Resultats - informe'!$E$26),0,(C1959&gt;='Resultats - informe'!$D$27)*(C1959&lt;='Resultats - informe'!$E$27),0,(C1959&gt;='Resultats - informe'!$D$28)*(C1959&lt;='Resultats - informe'!$E$28),0,(C1959&gt;='Resultats - informe'!$D$29)*(C1959&lt;='Resultats - informe'!$E$29),0,1,1)</f>
        <v>0</v>
      </c>
      <c r="N1959" s="366">
        <f>+VLOOKUP(D1959,'Resultats - informe'!$Y$18:$AG$42,'Introducció dades consum'!K1959+1,0)</f>
        <v>0</v>
      </c>
      <c r="O1959" s="370" cm="1">
        <f t="array" ref="O1959">+_xlfn.SWITCH(MONTH(C1959),1,1,2,1,3,1,4,2,5,2,6,3,7,3,8,3,9,3,10,2,11,2,12,1,2)</f>
        <v>1</v>
      </c>
      <c r="P1959" s="43"/>
    </row>
    <row r="1960" spans="1:16" ht="18" x14ac:dyDescent="0.35">
      <c r="A1960" s="43"/>
      <c r="C1960" s="393"/>
      <c r="E1960" s="394"/>
      <c r="F1960" s="394">
        <v>1.012</v>
      </c>
      <c r="G1960" s="394"/>
      <c r="H1960" s="8" t="s">
        <v>61</v>
      </c>
      <c r="I1960" s="368">
        <f t="shared" si="91"/>
        <v>0</v>
      </c>
      <c r="J1960" s="365">
        <f t="shared" si="90"/>
        <v>0</v>
      </c>
      <c r="K1960" s="369">
        <f t="shared" si="92"/>
        <v>6</v>
      </c>
      <c r="L1960" s="369">
        <f>+IF((C1960&gt;='Resultats - informe'!$E$16)*(C1960&lt;='Resultats - informe'!$G$16),1,0)</f>
        <v>1</v>
      </c>
      <c r="M1960" s="369" cm="1">
        <f t="array" ref="M1960">+_xlfn.IFS((C1960&gt;='Resultats - informe'!$D$26)*(C1960&lt;='Resultats - informe'!$E$26),0,(C1960&gt;='Resultats - informe'!$D$27)*(C1960&lt;='Resultats - informe'!$E$27),0,(C1960&gt;='Resultats - informe'!$D$28)*(C1960&lt;='Resultats - informe'!$E$28),0,(C1960&gt;='Resultats - informe'!$D$29)*(C1960&lt;='Resultats - informe'!$E$29),0,1,1)</f>
        <v>0</v>
      </c>
      <c r="N1960" s="366">
        <f>+VLOOKUP(D1960,'Resultats - informe'!$Y$18:$AG$42,'Introducció dades consum'!K1960+1,0)</f>
        <v>0</v>
      </c>
      <c r="O1960" s="370" cm="1">
        <f t="array" ref="O1960">+_xlfn.SWITCH(MONTH(C1960),1,1,2,1,3,1,4,2,5,2,6,3,7,3,8,3,9,3,10,2,11,2,12,1,2)</f>
        <v>1</v>
      </c>
      <c r="P1960" s="43"/>
    </row>
    <row r="1961" spans="1:16" ht="18" x14ac:dyDescent="0.35">
      <c r="A1961" s="43"/>
      <c r="C1961" s="393"/>
      <c r="E1961" s="394"/>
      <c r="F1961" s="394">
        <v>2.5089999999999999</v>
      </c>
      <c r="G1961" s="394"/>
      <c r="H1961" s="8" t="s">
        <v>235</v>
      </c>
      <c r="I1961" s="368">
        <f t="shared" si="91"/>
        <v>0</v>
      </c>
      <c r="J1961" s="365">
        <f t="shared" si="90"/>
        <v>0</v>
      </c>
      <c r="K1961" s="369">
        <f t="shared" si="92"/>
        <v>6</v>
      </c>
      <c r="L1961" s="369">
        <f>+IF((C1961&gt;='Resultats - informe'!$E$16)*(C1961&lt;='Resultats - informe'!$G$16),1,0)</f>
        <v>1</v>
      </c>
      <c r="M1961" s="369" cm="1">
        <f t="array" ref="M1961">+_xlfn.IFS((C1961&gt;='Resultats - informe'!$D$26)*(C1961&lt;='Resultats - informe'!$E$26),0,(C1961&gt;='Resultats - informe'!$D$27)*(C1961&lt;='Resultats - informe'!$E$27),0,(C1961&gt;='Resultats - informe'!$D$28)*(C1961&lt;='Resultats - informe'!$E$28),0,(C1961&gt;='Resultats - informe'!$D$29)*(C1961&lt;='Resultats - informe'!$E$29),0,1,1)</f>
        <v>0</v>
      </c>
      <c r="N1961" s="366">
        <f>+VLOOKUP(D1961,'Resultats - informe'!$Y$18:$AG$42,'Introducció dades consum'!K1961+1,0)</f>
        <v>0</v>
      </c>
      <c r="O1961" s="370" cm="1">
        <f t="array" ref="O1961">+_xlfn.SWITCH(MONTH(C1961),1,1,2,1,3,1,4,2,5,2,6,3,7,3,8,3,9,3,10,2,11,2,12,1,2)</f>
        <v>1</v>
      </c>
      <c r="P1961" s="43"/>
    </row>
    <row r="1962" spans="1:16" ht="18" x14ac:dyDescent="0.35">
      <c r="A1962" s="43"/>
      <c r="C1962" s="393"/>
      <c r="E1962" s="394"/>
      <c r="F1962" s="394">
        <v>2.0510000000000002</v>
      </c>
      <c r="G1962" s="394"/>
      <c r="H1962" s="8" t="s">
        <v>235</v>
      </c>
      <c r="I1962" s="368">
        <f t="shared" si="91"/>
        <v>0</v>
      </c>
      <c r="J1962" s="365">
        <f t="shared" si="90"/>
        <v>0</v>
      </c>
      <c r="K1962" s="369">
        <f t="shared" si="92"/>
        <v>6</v>
      </c>
      <c r="L1962" s="369">
        <f>+IF((C1962&gt;='Resultats - informe'!$E$16)*(C1962&lt;='Resultats - informe'!$G$16),1,0)</f>
        <v>1</v>
      </c>
      <c r="M1962" s="369" cm="1">
        <f t="array" ref="M1962">+_xlfn.IFS((C1962&gt;='Resultats - informe'!$D$26)*(C1962&lt;='Resultats - informe'!$E$26),0,(C1962&gt;='Resultats - informe'!$D$27)*(C1962&lt;='Resultats - informe'!$E$27),0,(C1962&gt;='Resultats - informe'!$D$28)*(C1962&lt;='Resultats - informe'!$E$28),0,(C1962&gt;='Resultats - informe'!$D$29)*(C1962&lt;='Resultats - informe'!$E$29),0,1,1)</f>
        <v>0</v>
      </c>
      <c r="N1962" s="366">
        <f>+VLOOKUP(D1962,'Resultats - informe'!$Y$18:$AG$42,'Introducció dades consum'!K1962+1,0)</f>
        <v>0</v>
      </c>
      <c r="O1962" s="370" cm="1">
        <f t="array" ref="O1962">+_xlfn.SWITCH(MONTH(C1962),1,1,2,1,3,1,4,2,5,2,6,3,7,3,8,3,9,3,10,2,11,2,12,1,2)</f>
        <v>1</v>
      </c>
      <c r="P1962" s="43"/>
    </row>
    <row r="1963" spans="1:16" ht="18" x14ac:dyDescent="0.35">
      <c r="A1963" s="43"/>
      <c r="C1963" s="393"/>
      <c r="E1963" s="394"/>
      <c r="F1963" s="394">
        <v>1.399</v>
      </c>
      <c r="G1963" s="394"/>
      <c r="H1963" s="8" t="s">
        <v>235</v>
      </c>
      <c r="I1963" s="368">
        <f t="shared" si="91"/>
        <v>0</v>
      </c>
      <c r="J1963" s="365">
        <f t="shared" si="90"/>
        <v>0</v>
      </c>
      <c r="K1963" s="369">
        <f t="shared" si="92"/>
        <v>6</v>
      </c>
      <c r="L1963" s="369">
        <f>+IF((C1963&gt;='Resultats - informe'!$E$16)*(C1963&lt;='Resultats - informe'!$G$16),1,0)</f>
        <v>1</v>
      </c>
      <c r="M1963" s="369" cm="1">
        <f t="array" ref="M1963">+_xlfn.IFS((C1963&gt;='Resultats - informe'!$D$26)*(C1963&lt;='Resultats - informe'!$E$26),0,(C1963&gt;='Resultats - informe'!$D$27)*(C1963&lt;='Resultats - informe'!$E$27),0,(C1963&gt;='Resultats - informe'!$D$28)*(C1963&lt;='Resultats - informe'!$E$28),0,(C1963&gt;='Resultats - informe'!$D$29)*(C1963&lt;='Resultats - informe'!$E$29),0,1,1)</f>
        <v>0</v>
      </c>
      <c r="N1963" s="366">
        <f>+VLOOKUP(D1963,'Resultats - informe'!$Y$18:$AG$42,'Introducció dades consum'!K1963+1,0)</f>
        <v>0</v>
      </c>
      <c r="O1963" s="370" cm="1">
        <f t="array" ref="O1963">+_xlfn.SWITCH(MONTH(C1963),1,1,2,1,3,1,4,2,5,2,6,3,7,3,8,3,9,3,10,2,11,2,12,1,2)</f>
        <v>1</v>
      </c>
      <c r="P1963" s="43"/>
    </row>
    <row r="1964" spans="1:16" ht="18" x14ac:dyDescent="0.35">
      <c r="A1964" s="43"/>
      <c r="C1964" s="393"/>
      <c r="E1964" s="394"/>
      <c r="F1964" s="394">
        <v>1.0629999999999999</v>
      </c>
      <c r="G1964" s="394"/>
      <c r="H1964" s="8" t="s">
        <v>61</v>
      </c>
      <c r="I1964" s="368">
        <f t="shared" si="91"/>
        <v>0</v>
      </c>
      <c r="J1964" s="365">
        <f t="shared" si="90"/>
        <v>0</v>
      </c>
      <c r="K1964" s="369">
        <f t="shared" si="92"/>
        <v>6</v>
      </c>
      <c r="L1964" s="369">
        <f>+IF((C1964&gt;='Resultats - informe'!$E$16)*(C1964&lt;='Resultats - informe'!$G$16),1,0)</f>
        <v>1</v>
      </c>
      <c r="M1964" s="369" cm="1">
        <f t="array" ref="M1964">+_xlfn.IFS((C1964&gt;='Resultats - informe'!$D$26)*(C1964&lt;='Resultats - informe'!$E$26),0,(C1964&gt;='Resultats - informe'!$D$27)*(C1964&lt;='Resultats - informe'!$E$27),0,(C1964&gt;='Resultats - informe'!$D$28)*(C1964&lt;='Resultats - informe'!$E$28),0,(C1964&gt;='Resultats - informe'!$D$29)*(C1964&lt;='Resultats - informe'!$E$29),0,1,1)</f>
        <v>0</v>
      </c>
      <c r="N1964" s="366">
        <f>+VLOOKUP(D1964,'Resultats - informe'!$Y$18:$AG$42,'Introducció dades consum'!K1964+1,0)</f>
        <v>0</v>
      </c>
      <c r="O1964" s="370" cm="1">
        <f t="array" ref="O1964">+_xlfn.SWITCH(MONTH(C1964),1,1,2,1,3,1,4,2,5,2,6,3,7,3,8,3,9,3,10,2,11,2,12,1,2)</f>
        <v>1</v>
      </c>
      <c r="P1964" s="43"/>
    </row>
    <row r="1965" spans="1:16" ht="18" x14ac:dyDescent="0.35">
      <c r="A1965" s="43"/>
      <c r="C1965" s="393"/>
      <c r="E1965" s="394"/>
      <c r="F1965" s="394">
        <v>0.80400000000000005</v>
      </c>
      <c r="G1965" s="394"/>
      <c r="H1965" s="8" t="s">
        <v>61</v>
      </c>
      <c r="I1965" s="368">
        <f t="shared" si="91"/>
        <v>0</v>
      </c>
      <c r="J1965" s="365">
        <f t="shared" si="90"/>
        <v>0</v>
      </c>
      <c r="K1965" s="369">
        <f t="shared" si="92"/>
        <v>6</v>
      </c>
      <c r="L1965" s="369">
        <f>+IF((C1965&gt;='Resultats - informe'!$E$16)*(C1965&lt;='Resultats - informe'!$G$16),1,0)</f>
        <v>1</v>
      </c>
      <c r="M1965" s="369" cm="1">
        <f t="array" ref="M1965">+_xlfn.IFS((C1965&gt;='Resultats - informe'!$D$26)*(C1965&lt;='Resultats - informe'!$E$26),0,(C1965&gt;='Resultats - informe'!$D$27)*(C1965&lt;='Resultats - informe'!$E$27),0,(C1965&gt;='Resultats - informe'!$D$28)*(C1965&lt;='Resultats - informe'!$E$28),0,(C1965&gt;='Resultats - informe'!$D$29)*(C1965&lt;='Resultats - informe'!$E$29),0,1,1)</f>
        <v>0</v>
      </c>
      <c r="N1965" s="366">
        <f>+VLOOKUP(D1965,'Resultats - informe'!$Y$18:$AG$42,'Introducció dades consum'!K1965+1,0)</f>
        <v>0</v>
      </c>
      <c r="O1965" s="370" cm="1">
        <f t="array" ref="O1965">+_xlfn.SWITCH(MONTH(C1965),1,1,2,1,3,1,4,2,5,2,6,3,7,3,8,3,9,3,10,2,11,2,12,1,2)</f>
        <v>1</v>
      </c>
      <c r="P1965" s="43"/>
    </row>
    <row r="1966" spans="1:16" ht="18" x14ac:dyDescent="0.35">
      <c r="A1966" s="43"/>
      <c r="C1966" s="393"/>
      <c r="E1966" s="394"/>
      <c r="F1966" s="394">
        <v>0</v>
      </c>
      <c r="G1966" s="394"/>
      <c r="H1966" s="8" t="s">
        <v>61</v>
      </c>
      <c r="I1966" s="368">
        <f t="shared" si="91"/>
        <v>0</v>
      </c>
      <c r="J1966" s="365">
        <f t="shared" si="90"/>
        <v>0</v>
      </c>
      <c r="K1966" s="369">
        <f t="shared" si="92"/>
        <v>6</v>
      </c>
      <c r="L1966" s="369">
        <f>+IF((C1966&gt;='Resultats - informe'!$E$16)*(C1966&lt;='Resultats - informe'!$G$16),1,0)</f>
        <v>1</v>
      </c>
      <c r="M1966" s="369" cm="1">
        <f t="array" ref="M1966">+_xlfn.IFS((C1966&gt;='Resultats - informe'!$D$26)*(C1966&lt;='Resultats - informe'!$E$26),0,(C1966&gt;='Resultats - informe'!$D$27)*(C1966&lt;='Resultats - informe'!$E$27),0,(C1966&gt;='Resultats - informe'!$D$28)*(C1966&lt;='Resultats - informe'!$E$28),0,(C1966&gt;='Resultats - informe'!$D$29)*(C1966&lt;='Resultats - informe'!$E$29),0,1,1)</f>
        <v>0</v>
      </c>
      <c r="N1966" s="366">
        <f>+VLOOKUP(D1966,'Resultats - informe'!$Y$18:$AG$42,'Introducció dades consum'!K1966+1,0)</f>
        <v>0</v>
      </c>
      <c r="O1966" s="370" cm="1">
        <f t="array" ref="O1966">+_xlfn.SWITCH(MONTH(C1966),1,1,2,1,3,1,4,2,5,2,6,3,7,3,8,3,9,3,10,2,11,2,12,1,2)</f>
        <v>1</v>
      </c>
      <c r="P1966" s="43"/>
    </row>
    <row r="1967" spans="1:16" ht="18" x14ac:dyDescent="0.35">
      <c r="A1967" s="43"/>
      <c r="C1967" s="393"/>
      <c r="E1967" s="394"/>
      <c r="F1967" s="394">
        <v>0</v>
      </c>
      <c r="G1967" s="394"/>
      <c r="H1967" s="8" t="s">
        <v>61</v>
      </c>
      <c r="I1967" s="368">
        <f t="shared" si="91"/>
        <v>0</v>
      </c>
      <c r="J1967" s="365">
        <f t="shared" si="90"/>
        <v>0</v>
      </c>
      <c r="K1967" s="369">
        <f t="shared" si="92"/>
        <v>6</v>
      </c>
      <c r="L1967" s="369">
        <f>+IF((C1967&gt;='Resultats - informe'!$E$16)*(C1967&lt;='Resultats - informe'!$G$16),1,0)</f>
        <v>1</v>
      </c>
      <c r="M1967" s="369" cm="1">
        <f t="array" ref="M1967">+_xlfn.IFS((C1967&gt;='Resultats - informe'!$D$26)*(C1967&lt;='Resultats - informe'!$E$26),0,(C1967&gt;='Resultats - informe'!$D$27)*(C1967&lt;='Resultats - informe'!$E$27),0,(C1967&gt;='Resultats - informe'!$D$28)*(C1967&lt;='Resultats - informe'!$E$28),0,(C1967&gt;='Resultats - informe'!$D$29)*(C1967&lt;='Resultats - informe'!$E$29),0,1,1)</f>
        <v>0</v>
      </c>
      <c r="N1967" s="366">
        <f>+VLOOKUP(D1967,'Resultats - informe'!$Y$18:$AG$42,'Introducció dades consum'!K1967+1,0)</f>
        <v>0</v>
      </c>
      <c r="O1967" s="370" cm="1">
        <f t="array" ref="O1967">+_xlfn.SWITCH(MONTH(C1967),1,1,2,1,3,1,4,2,5,2,6,3,7,3,8,3,9,3,10,2,11,2,12,1,2)</f>
        <v>1</v>
      </c>
      <c r="P1967" s="43"/>
    </row>
    <row r="1968" spans="1:16" ht="18" x14ac:dyDescent="0.35">
      <c r="A1968" s="43"/>
      <c r="C1968" s="393"/>
      <c r="E1968" s="394"/>
      <c r="F1968" s="394">
        <v>0</v>
      </c>
      <c r="G1968" s="394"/>
      <c r="H1968" s="8" t="s">
        <v>235</v>
      </c>
      <c r="I1968" s="368">
        <f t="shared" si="91"/>
        <v>0</v>
      </c>
      <c r="J1968" s="365">
        <f t="shared" si="90"/>
        <v>0</v>
      </c>
      <c r="K1968" s="369">
        <f t="shared" si="92"/>
        <v>6</v>
      </c>
      <c r="L1968" s="369">
        <f>+IF((C1968&gt;='Resultats - informe'!$E$16)*(C1968&lt;='Resultats - informe'!$G$16),1,0)</f>
        <v>1</v>
      </c>
      <c r="M1968" s="369" cm="1">
        <f t="array" ref="M1968">+_xlfn.IFS((C1968&gt;='Resultats - informe'!$D$26)*(C1968&lt;='Resultats - informe'!$E$26),0,(C1968&gt;='Resultats - informe'!$D$27)*(C1968&lt;='Resultats - informe'!$E$27),0,(C1968&gt;='Resultats - informe'!$D$28)*(C1968&lt;='Resultats - informe'!$E$28),0,(C1968&gt;='Resultats - informe'!$D$29)*(C1968&lt;='Resultats - informe'!$E$29),0,1,1)</f>
        <v>0</v>
      </c>
      <c r="N1968" s="366">
        <f>+VLOOKUP(D1968,'Resultats - informe'!$Y$18:$AG$42,'Introducció dades consum'!K1968+1,0)</f>
        <v>0</v>
      </c>
      <c r="O1968" s="370" cm="1">
        <f t="array" ref="O1968">+_xlfn.SWITCH(MONTH(C1968),1,1,2,1,3,1,4,2,5,2,6,3,7,3,8,3,9,3,10,2,11,2,12,1,2)</f>
        <v>1</v>
      </c>
      <c r="P1968" s="43"/>
    </row>
    <row r="1969" spans="1:16" ht="18" x14ac:dyDescent="0.35">
      <c r="A1969" s="43"/>
      <c r="C1969" s="393"/>
      <c r="E1969" s="394"/>
      <c r="F1969" s="394">
        <v>0</v>
      </c>
      <c r="G1969" s="394"/>
      <c r="H1969" s="8" t="s">
        <v>235</v>
      </c>
      <c r="I1969" s="368">
        <f t="shared" si="91"/>
        <v>0</v>
      </c>
      <c r="J1969" s="365">
        <f t="shared" si="90"/>
        <v>0</v>
      </c>
      <c r="K1969" s="369">
        <f t="shared" si="92"/>
        <v>6</v>
      </c>
      <c r="L1969" s="369">
        <f>+IF((C1969&gt;='Resultats - informe'!$E$16)*(C1969&lt;='Resultats - informe'!$G$16),1,0)</f>
        <v>1</v>
      </c>
      <c r="M1969" s="369" cm="1">
        <f t="array" ref="M1969">+_xlfn.IFS((C1969&gt;='Resultats - informe'!$D$26)*(C1969&lt;='Resultats - informe'!$E$26),0,(C1969&gt;='Resultats - informe'!$D$27)*(C1969&lt;='Resultats - informe'!$E$27),0,(C1969&gt;='Resultats - informe'!$D$28)*(C1969&lt;='Resultats - informe'!$E$28),0,(C1969&gt;='Resultats - informe'!$D$29)*(C1969&lt;='Resultats - informe'!$E$29),0,1,1)</f>
        <v>0</v>
      </c>
      <c r="N1969" s="366">
        <f>+VLOOKUP(D1969,'Resultats - informe'!$Y$18:$AG$42,'Introducció dades consum'!K1969+1,0)</f>
        <v>0</v>
      </c>
      <c r="O1969" s="370" cm="1">
        <f t="array" ref="O1969">+_xlfn.SWITCH(MONTH(C1969),1,1,2,1,3,1,4,2,5,2,6,3,7,3,8,3,9,3,10,2,11,2,12,1,2)</f>
        <v>1</v>
      </c>
      <c r="P1969" s="43"/>
    </row>
    <row r="1970" spans="1:16" ht="18" x14ac:dyDescent="0.35">
      <c r="A1970" s="43"/>
      <c r="C1970" s="393"/>
      <c r="E1970" s="394"/>
      <c r="F1970" s="394">
        <v>0</v>
      </c>
      <c r="G1970" s="394"/>
      <c r="H1970" s="8" t="s">
        <v>235</v>
      </c>
      <c r="I1970" s="368">
        <f t="shared" si="91"/>
        <v>0</v>
      </c>
      <c r="J1970" s="365">
        <f t="shared" si="90"/>
        <v>0</v>
      </c>
      <c r="K1970" s="369">
        <f t="shared" si="92"/>
        <v>6</v>
      </c>
      <c r="L1970" s="369">
        <f>+IF((C1970&gt;='Resultats - informe'!$E$16)*(C1970&lt;='Resultats - informe'!$G$16),1,0)</f>
        <v>1</v>
      </c>
      <c r="M1970" s="369" cm="1">
        <f t="array" ref="M1970">+_xlfn.IFS((C1970&gt;='Resultats - informe'!$D$26)*(C1970&lt;='Resultats - informe'!$E$26),0,(C1970&gt;='Resultats - informe'!$D$27)*(C1970&lt;='Resultats - informe'!$E$27),0,(C1970&gt;='Resultats - informe'!$D$28)*(C1970&lt;='Resultats - informe'!$E$28),0,(C1970&gt;='Resultats - informe'!$D$29)*(C1970&lt;='Resultats - informe'!$E$29),0,1,1)</f>
        <v>0</v>
      </c>
      <c r="N1970" s="366">
        <f>+VLOOKUP(D1970,'Resultats - informe'!$Y$18:$AG$42,'Introducció dades consum'!K1970+1,0)</f>
        <v>0</v>
      </c>
      <c r="O1970" s="370" cm="1">
        <f t="array" ref="O1970">+_xlfn.SWITCH(MONTH(C1970),1,1,2,1,3,1,4,2,5,2,6,3,7,3,8,3,9,3,10,2,11,2,12,1,2)</f>
        <v>1</v>
      </c>
      <c r="P1970" s="43"/>
    </row>
    <row r="1971" spans="1:16" ht="18" x14ac:dyDescent="0.35">
      <c r="A1971" s="43"/>
      <c r="C1971" s="393"/>
      <c r="E1971" s="394"/>
      <c r="F1971" s="394">
        <v>0</v>
      </c>
      <c r="G1971" s="394"/>
      <c r="H1971" s="8" t="s">
        <v>235</v>
      </c>
      <c r="I1971" s="368">
        <f t="shared" si="91"/>
        <v>0</v>
      </c>
      <c r="J1971" s="365">
        <f t="shared" si="90"/>
        <v>0</v>
      </c>
      <c r="K1971" s="369">
        <f t="shared" si="92"/>
        <v>6</v>
      </c>
      <c r="L1971" s="369">
        <f>+IF((C1971&gt;='Resultats - informe'!$E$16)*(C1971&lt;='Resultats - informe'!$G$16),1,0)</f>
        <v>1</v>
      </c>
      <c r="M1971" s="369" cm="1">
        <f t="array" ref="M1971">+_xlfn.IFS((C1971&gt;='Resultats - informe'!$D$26)*(C1971&lt;='Resultats - informe'!$E$26),0,(C1971&gt;='Resultats - informe'!$D$27)*(C1971&lt;='Resultats - informe'!$E$27),0,(C1971&gt;='Resultats - informe'!$D$28)*(C1971&lt;='Resultats - informe'!$E$28),0,(C1971&gt;='Resultats - informe'!$D$29)*(C1971&lt;='Resultats - informe'!$E$29),0,1,1)</f>
        <v>0</v>
      </c>
      <c r="N1971" s="366">
        <f>+VLOOKUP(D1971,'Resultats - informe'!$Y$18:$AG$42,'Introducció dades consum'!K1971+1,0)</f>
        <v>0</v>
      </c>
      <c r="O1971" s="370" cm="1">
        <f t="array" ref="O1971">+_xlfn.SWITCH(MONTH(C1971),1,1,2,1,3,1,4,2,5,2,6,3,7,3,8,3,9,3,10,2,11,2,12,1,2)</f>
        <v>1</v>
      </c>
      <c r="P1971" s="43"/>
    </row>
    <row r="1972" spans="1:16" ht="18" x14ac:dyDescent="0.35">
      <c r="A1972" s="43"/>
      <c r="C1972" s="393"/>
      <c r="E1972" s="394"/>
      <c r="F1972" s="394">
        <v>0</v>
      </c>
      <c r="G1972" s="394"/>
      <c r="H1972" s="8" t="s">
        <v>235</v>
      </c>
      <c r="I1972" s="368">
        <f t="shared" si="91"/>
        <v>0</v>
      </c>
      <c r="J1972" s="365">
        <f t="shared" si="90"/>
        <v>0</v>
      </c>
      <c r="K1972" s="369">
        <f t="shared" si="92"/>
        <v>6</v>
      </c>
      <c r="L1972" s="369">
        <f>+IF((C1972&gt;='Resultats - informe'!$E$16)*(C1972&lt;='Resultats - informe'!$G$16),1,0)</f>
        <v>1</v>
      </c>
      <c r="M1972" s="369" cm="1">
        <f t="array" ref="M1972">+_xlfn.IFS((C1972&gt;='Resultats - informe'!$D$26)*(C1972&lt;='Resultats - informe'!$E$26),0,(C1972&gt;='Resultats - informe'!$D$27)*(C1972&lt;='Resultats - informe'!$E$27),0,(C1972&gt;='Resultats - informe'!$D$28)*(C1972&lt;='Resultats - informe'!$E$28),0,(C1972&gt;='Resultats - informe'!$D$29)*(C1972&lt;='Resultats - informe'!$E$29),0,1,1)</f>
        <v>0</v>
      </c>
      <c r="N1972" s="366">
        <f>+VLOOKUP(D1972,'Resultats - informe'!$Y$18:$AG$42,'Introducció dades consum'!K1972+1,0)</f>
        <v>0</v>
      </c>
      <c r="O1972" s="370" cm="1">
        <f t="array" ref="O1972">+_xlfn.SWITCH(MONTH(C1972),1,1,2,1,3,1,4,2,5,2,6,3,7,3,8,3,9,3,10,2,11,2,12,1,2)</f>
        <v>1</v>
      </c>
      <c r="P1972" s="43"/>
    </row>
    <row r="1973" spans="1:16" ht="18" x14ac:dyDescent="0.35">
      <c r="A1973" s="43"/>
      <c r="C1973" s="393"/>
      <c r="E1973" s="394"/>
      <c r="F1973" s="394">
        <v>0</v>
      </c>
      <c r="G1973" s="394"/>
      <c r="H1973" s="8" t="s">
        <v>235</v>
      </c>
      <c r="I1973" s="368">
        <f t="shared" si="91"/>
        <v>0</v>
      </c>
      <c r="J1973" s="365">
        <f t="shared" si="90"/>
        <v>0</v>
      </c>
      <c r="K1973" s="369">
        <f t="shared" si="92"/>
        <v>6</v>
      </c>
      <c r="L1973" s="369">
        <f>+IF((C1973&gt;='Resultats - informe'!$E$16)*(C1973&lt;='Resultats - informe'!$G$16),1,0)</f>
        <v>1</v>
      </c>
      <c r="M1973" s="369" cm="1">
        <f t="array" ref="M1973">+_xlfn.IFS((C1973&gt;='Resultats - informe'!$D$26)*(C1973&lt;='Resultats - informe'!$E$26),0,(C1973&gt;='Resultats - informe'!$D$27)*(C1973&lt;='Resultats - informe'!$E$27),0,(C1973&gt;='Resultats - informe'!$D$28)*(C1973&lt;='Resultats - informe'!$E$28),0,(C1973&gt;='Resultats - informe'!$D$29)*(C1973&lt;='Resultats - informe'!$E$29),0,1,1)</f>
        <v>0</v>
      </c>
      <c r="N1973" s="366">
        <f>+VLOOKUP(D1973,'Resultats - informe'!$Y$18:$AG$42,'Introducció dades consum'!K1973+1,0)</f>
        <v>0</v>
      </c>
      <c r="O1973" s="370" cm="1">
        <f t="array" ref="O1973">+_xlfn.SWITCH(MONTH(C1973),1,1,2,1,3,1,4,2,5,2,6,3,7,3,8,3,9,3,10,2,11,2,12,1,2)</f>
        <v>1</v>
      </c>
      <c r="P1973" s="43"/>
    </row>
    <row r="1974" spans="1:16" ht="18" x14ac:dyDescent="0.35">
      <c r="A1974" s="43"/>
      <c r="C1974" s="393"/>
      <c r="E1974" s="394"/>
      <c r="F1974" s="394">
        <v>0</v>
      </c>
      <c r="G1974" s="394"/>
      <c r="H1974" s="8" t="s">
        <v>235</v>
      </c>
      <c r="I1974" s="368">
        <f t="shared" si="91"/>
        <v>0</v>
      </c>
      <c r="J1974" s="365">
        <f t="shared" si="90"/>
        <v>0</v>
      </c>
      <c r="K1974" s="369">
        <f t="shared" si="92"/>
        <v>6</v>
      </c>
      <c r="L1974" s="369">
        <f>+IF((C1974&gt;='Resultats - informe'!$E$16)*(C1974&lt;='Resultats - informe'!$G$16),1,0)</f>
        <v>1</v>
      </c>
      <c r="M1974" s="369" cm="1">
        <f t="array" ref="M1974">+_xlfn.IFS((C1974&gt;='Resultats - informe'!$D$26)*(C1974&lt;='Resultats - informe'!$E$26),0,(C1974&gt;='Resultats - informe'!$D$27)*(C1974&lt;='Resultats - informe'!$E$27),0,(C1974&gt;='Resultats - informe'!$D$28)*(C1974&lt;='Resultats - informe'!$E$28),0,(C1974&gt;='Resultats - informe'!$D$29)*(C1974&lt;='Resultats - informe'!$E$29),0,1,1)</f>
        <v>0</v>
      </c>
      <c r="N1974" s="366">
        <f>+VLOOKUP(D1974,'Resultats - informe'!$Y$18:$AG$42,'Introducció dades consum'!K1974+1,0)</f>
        <v>0</v>
      </c>
      <c r="O1974" s="370" cm="1">
        <f t="array" ref="O1974">+_xlfn.SWITCH(MONTH(C1974),1,1,2,1,3,1,4,2,5,2,6,3,7,3,8,3,9,3,10,2,11,2,12,1,2)</f>
        <v>1</v>
      </c>
      <c r="P1974" s="43"/>
    </row>
    <row r="1975" spans="1:16" ht="18" x14ac:dyDescent="0.35">
      <c r="A1975" s="43"/>
      <c r="C1975" s="393"/>
      <c r="E1975" s="394"/>
      <c r="F1975" s="394">
        <v>0</v>
      </c>
      <c r="G1975" s="394"/>
      <c r="H1975" s="8" t="s">
        <v>235</v>
      </c>
      <c r="I1975" s="368">
        <f t="shared" si="91"/>
        <v>0</v>
      </c>
      <c r="J1975" s="365">
        <f t="shared" si="90"/>
        <v>0</v>
      </c>
      <c r="K1975" s="369">
        <f t="shared" si="92"/>
        <v>6</v>
      </c>
      <c r="L1975" s="369">
        <f>+IF((C1975&gt;='Resultats - informe'!$E$16)*(C1975&lt;='Resultats - informe'!$G$16),1,0)</f>
        <v>1</v>
      </c>
      <c r="M1975" s="369" cm="1">
        <f t="array" ref="M1975">+_xlfn.IFS((C1975&gt;='Resultats - informe'!$D$26)*(C1975&lt;='Resultats - informe'!$E$26),0,(C1975&gt;='Resultats - informe'!$D$27)*(C1975&lt;='Resultats - informe'!$E$27),0,(C1975&gt;='Resultats - informe'!$D$28)*(C1975&lt;='Resultats - informe'!$E$28),0,(C1975&gt;='Resultats - informe'!$D$29)*(C1975&lt;='Resultats - informe'!$E$29),0,1,1)</f>
        <v>0</v>
      </c>
      <c r="N1975" s="366">
        <f>+VLOOKUP(D1975,'Resultats - informe'!$Y$18:$AG$42,'Introducció dades consum'!K1975+1,0)</f>
        <v>0</v>
      </c>
      <c r="O1975" s="370" cm="1">
        <f t="array" ref="O1975">+_xlfn.SWITCH(MONTH(C1975),1,1,2,1,3,1,4,2,5,2,6,3,7,3,8,3,9,3,10,2,11,2,12,1,2)</f>
        <v>1</v>
      </c>
      <c r="P1975" s="43"/>
    </row>
    <row r="1976" spans="1:16" ht="18" x14ac:dyDescent="0.35">
      <c r="A1976" s="43"/>
      <c r="C1976" s="393"/>
      <c r="E1976" s="394"/>
      <c r="F1976" s="394">
        <v>0</v>
      </c>
      <c r="G1976" s="394"/>
      <c r="H1976" s="8" t="s">
        <v>235</v>
      </c>
      <c r="I1976" s="368">
        <f t="shared" si="91"/>
        <v>0</v>
      </c>
      <c r="J1976" s="365">
        <f t="shared" si="90"/>
        <v>0</v>
      </c>
      <c r="K1976" s="369">
        <f t="shared" si="92"/>
        <v>6</v>
      </c>
      <c r="L1976" s="369">
        <f>+IF((C1976&gt;='Resultats - informe'!$E$16)*(C1976&lt;='Resultats - informe'!$G$16),1,0)</f>
        <v>1</v>
      </c>
      <c r="M1976" s="369" cm="1">
        <f t="array" ref="M1976">+_xlfn.IFS((C1976&gt;='Resultats - informe'!$D$26)*(C1976&lt;='Resultats - informe'!$E$26),0,(C1976&gt;='Resultats - informe'!$D$27)*(C1976&lt;='Resultats - informe'!$E$27),0,(C1976&gt;='Resultats - informe'!$D$28)*(C1976&lt;='Resultats - informe'!$E$28),0,(C1976&gt;='Resultats - informe'!$D$29)*(C1976&lt;='Resultats - informe'!$E$29),0,1,1)</f>
        <v>0</v>
      </c>
      <c r="N1976" s="366">
        <f>+VLOOKUP(D1976,'Resultats - informe'!$Y$18:$AG$42,'Introducció dades consum'!K1976+1,0)</f>
        <v>0</v>
      </c>
      <c r="O1976" s="370" cm="1">
        <f t="array" ref="O1976">+_xlfn.SWITCH(MONTH(C1976),1,1,2,1,3,1,4,2,5,2,6,3,7,3,8,3,9,3,10,2,11,2,12,1,2)</f>
        <v>1</v>
      </c>
      <c r="P1976" s="43"/>
    </row>
    <row r="1977" spans="1:16" ht="18" x14ac:dyDescent="0.35">
      <c r="A1977" s="43"/>
      <c r="C1977" s="393"/>
      <c r="E1977" s="394"/>
      <c r="F1977" s="394">
        <v>0</v>
      </c>
      <c r="G1977" s="394"/>
      <c r="H1977" s="8" t="s">
        <v>235</v>
      </c>
      <c r="I1977" s="368">
        <f t="shared" si="91"/>
        <v>0</v>
      </c>
      <c r="J1977" s="365">
        <f t="shared" si="90"/>
        <v>0</v>
      </c>
      <c r="K1977" s="369">
        <f t="shared" si="92"/>
        <v>6</v>
      </c>
      <c r="L1977" s="369">
        <f>+IF((C1977&gt;='Resultats - informe'!$E$16)*(C1977&lt;='Resultats - informe'!$G$16),1,0)</f>
        <v>1</v>
      </c>
      <c r="M1977" s="369" cm="1">
        <f t="array" ref="M1977">+_xlfn.IFS((C1977&gt;='Resultats - informe'!$D$26)*(C1977&lt;='Resultats - informe'!$E$26),0,(C1977&gt;='Resultats - informe'!$D$27)*(C1977&lt;='Resultats - informe'!$E$27),0,(C1977&gt;='Resultats - informe'!$D$28)*(C1977&lt;='Resultats - informe'!$E$28),0,(C1977&gt;='Resultats - informe'!$D$29)*(C1977&lt;='Resultats - informe'!$E$29),0,1,1)</f>
        <v>0</v>
      </c>
      <c r="N1977" s="366">
        <f>+VLOOKUP(D1977,'Resultats - informe'!$Y$18:$AG$42,'Introducció dades consum'!K1977+1,0)</f>
        <v>0</v>
      </c>
      <c r="O1977" s="370" cm="1">
        <f t="array" ref="O1977">+_xlfn.SWITCH(MONTH(C1977),1,1,2,1,3,1,4,2,5,2,6,3,7,3,8,3,9,3,10,2,11,2,12,1,2)</f>
        <v>1</v>
      </c>
      <c r="P1977" s="43"/>
    </row>
    <row r="1978" spans="1:16" ht="18" x14ac:dyDescent="0.35">
      <c r="A1978" s="43"/>
      <c r="C1978" s="393"/>
      <c r="E1978" s="394"/>
      <c r="F1978" s="394">
        <v>0</v>
      </c>
      <c r="G1978" s="394"/>
      <c r="H1978" s="8" t="s">
        <v>235</v>
      </c>
      <c r="I1978" s="368">
        <f t="shared" si="91"/>
        <v>0</v>
      </c>
      <c r="J1978" s="365">
        <f t="shared" si="90"/>
        <v>0</v>
      </c>
      <c r="K1978" s="369">
        <f t="shared" si="92"/>
        <v>6</v>
      </c>
      <c r="L1978" s="369">
        <f>+IF((C1978&gt;='Resultats - informe'!$E$16)*(C1978&lt;='Resultats - informe'!$G$16),1,0)</f>
        <v>1</v>
      </c>
      <c r="M1978" s="369" cm="1">
        <f t="array" ref="M1978">+_xlfn.IFS((C1978&gt;='Resultats - informe'!$D$26)*(C1978&lt;='Resultats - informe'!$E$26),0,(C1978&gt;='Resultats - informe'!$D$27)*(C1978&lt;='Resultats - informe'!$E$27),0,(C1978&gt;='Resultats - informe'!$D$28)*(C1978&lt;='Resultats - informe'!$E$28),0,(C1978&gt;='Resultats - informe'!$D$29)*(C1978&lt;='Resultats - informe'!$E$29),0,1,1)</f>
        <v>0</v>
      </c>
      <c r="N1978" s="366">
        <f>+VLOOKUP(D1978,'Resultats - informe'!$Y$18:$AG$42,'Introducció dades consum'!K1978+1,0)</f>
        <v>0</v>
      </c>
      <c r="O1978" s="370" cm="1">
        <f t="array" ref="O1978">+_xlfn.SWITCH(MONTH(C1978),1,1,2,1,3,1,4,2,5,2,6,3,7,3,8,3,9,3,10,2,11,2,12,1,2)</f>
        <v>1</v>
      </c>
      <c r="P1978" s="43"/>
    </row>
    <row r="1979" spans="1:16" ht="18" x14ac:dyDescent="0.35">
      <c r="A1979" s="43"/>
      <c r="C1979" s="393"/>
      <c r="E1979" s="394"/>
      <c r="F1979" s="394">
        <v>0</v>
      </c>
      <c r="G1979" s="394"/>
      <c r="H1979" s="8" t="s">
        <v>235</v>
      </c>
      <c r="I1979" s="368">
        <f t="shared" si="91"/>
        <v>0</v>
      </c>
      <c r="J1979" s="365">
        <f t="shared" ref="J1979:J2042" si="93">+C1979</f>
        <v>0</v>
      </c>
      <c r="K1979" s="369">
        <f t="shared" si="92"/>
        <v>6</v>
      </c>
      <c r="L1979" s="369">
        <f>+IF((C1979&gt;='Resultats - informe'!$E$16)*(C1979&lt;='Resultats - informe'!$G$16),1,0)</f>
        <v>1</v>
      </c>
      <c r="M1979" s="369" cm="1">
        <f t="array" ref="M1979">+_xlfn.IFS((C1979&gt;='Resultats - informe'!$D$26)*(C1979&lt;='Resultats - informe'!$E$26),0,(C1979&gt;='Resultats - informe'!$D$27)*(C1979&lt;='Resultats - informe'!$E$27),0,(C1979&gt;='Resultats - informe'!$D$28)*(C1979&lt;='Resultats - informe'!$E$28),0,(C1979&gt;='Resultats - informe'!$D$29)*(C1979&lt;='Resultats - informe'!$E$29),0,1,1)</f>
        <v>0</v>
      </c>
      <c r="N1979" s="366">
        <f>+VLOOKUP(D1979,'Resultats - informe'!$Y$18:$AG$42,'Introducció dades consum'!K1979+1,0)</f>
        <v>0</v>
      </c>
      <c r="O1979" s="370" cm="1">
        <f t="array" ref="O1979">+_xlfn.SWITCH(MONTH(C1979),1,1,2,1,3,1,4,2,5,2,6,3,7,3,8,3,9,3,10,2,11,2,12,1,2)</f>
        <v>1</v>
      </c>
      <c r="P1979" s="43"/>
    </row>
    <row r="1980" spans="1:16" ht="18" x14ac:dyDescent="0.35">
      <c r="A1980" s="43"/>
      <c r="C1980" s="393"/>
      <c r="E1980" s="394"/>
      <c r="F1980" s="394">
        <v>0</v>
      </c>
      <c r="G1980" s="394"/>
      <c r="H1980" s="8" t="s">
        <v>61</v>
      </c>
      <c r="I1980" s="368">
        <f t="shared" si="91"/>
        <v>0</v>
      </c>
      <c r="J1980" s="365">
        <f t="shared" si="93"/>
        <v>0</v>
      </c>
      <c r="K1980" s="369">
        <f t="shared" si="92"/>
        <v>6</v>
      </c>
      <c r="L1980" s="369">
        <f>+IF((C1980&gt;='Resultats - informe'!$E$16)*(C1980&lt;='Resultats - informe'!$G$16),1,0)</f>
        <v>1</v>
      </c>
      <c r="M1980" s="369" cm="1">
        <f t="array" ref="M1980">+_xlfn.IFS((C1980&gt;='Resultats - informe'!$D$26)*(C1980&lt;='Resultats - informe'!$E$26),0,(C1980&gt;='Resultats - informe'!$D$27)*(C1980&lt;='Resultats - informe'!$E$27),0,(C1980&gt;='Resultats - informe'!$D$28)*(C1980&lt;='Resultats - informe'!$E$28),0,(C1980&gt;='Resultats - informe'!$D$29)*(C1980&lt;='Resultats - informe'!$E$29),0,1,1)</f>
        <v>0</v>
      </c>
      <c r="N1980" s="366">
        <f>+VLOOKUP(D1980,'Resultats - informe'!$Y$18:$AG$42,'Introducció dades consum'!K1980+1,0)</f>
        <v>0</v>
      </c>
      <c r="O1980" s="370" cm="1">
        <f t="array" ref="O1980">+_xlfn.SWITCH(MONTH(C1980),1,1,2,1,3,1,4,2,5,2,6,3,7,3,8,3,9,3,10,2,11,2,12,1,2)</f>
        <v>1</v>
      </c>
      <c r="P1980" s="43"/>
    </row>
    <row r="1981" spans="1:16" ht="18" x14ac:dyDescent="0.35">
      <c r="A1981" s="43"/>
      <c r="C1981" s="393"/>
      <c r="E1981" s="394"/>
      <c r="F1981" s="394">
        <v>0</v>
      </c>
      <c r="G1981" s="394"/>
      <c r="H1981" s="8" t="s">
        <v>61</v>
      </c>
      <c r="I1981" s="368">
        <f t="shared" si="91"/>
        <v>0</v>
      </c>
      <c r="J1981" s="365">
        <f t="shared" si="93"/>
        <v>0</v>
      </c>
      <c r="K1981" s="369">
        <f t="shared" si="92"/>
        <v>6</v>
      </c>
      <c r="L1981" s="369">
        <f>+IF((C1981&gt;='Resultats - informe'!$E$16)*(C1981&lt;='Resultats - informe'!$G$16),1,0)</f>
        <v>1</v>
      </c>
      <c r="M1981" s="369" cm="1">
        <f t="array" ref="M1981">+_xlfn.IFS((C1981&gt;='Resultats - informe'!$D$26)*(C1981&lt;='Resultats - informe'!$E$26),0,(C1981&gt;='Resultats - informe'!$D$27)*(C1981&lt;='Resultats - informe'!$E$27),0,(C1981&gt;='Resultats - informe'!$D$28)*(C1981&lt;='Resultats - informe'!$E$28),0,(C1981&gt;='Resultats - informe'!$D$29)*(C1981&lt;='Resultats - informe'!$E$29),0,1,1)</f>
        <v>0</v>
      </c>
      <c r="N1981" s="366">
        <f>+VLOOKUP(D1981,'Resultats - informe'!$Y$18:$AG$42,'Introducció dades consum'!K1981+1,0)</f>
        <v>0</v>
      </c>
      <c r="O1981" s="370" cm="1">
        <f t="array" ref="O1981">+_xlfn.SWITCH(MONTH(C1981),1,1,2,1,3,1,4,2,5,2,6,3,7,3,8,3,9,3,10,2,11,2,12,1,2)</f>
        <v>1</v>
      </c>
      <c r="P1981" s="43"/>
    </row>
    <row r="1982" spans="1:16" ht="18" x14ac:dyDescent="0.35">
      <c r="A1982" s="43"/>
      <c r="C1982" s="393"/>
      <c r="E1982" s="394"/>
      <c r="F1982" s="394">
        <v>0</v>
      </c>
      <c r="G1982" s="394"/>
      <c r="H1982" s="8" t="s">
        <v>61</v>
      </c>
      <c r="I1982" s="368">
        <f t="shared" si="91"/>
        <v>0</v>
      </c>
      <c r="J1982" s="365">
        <f t="shared" si="93"/>
        <v>0</v>
      </c>
      <c r="K1982" s="369">
        <f t="shared" si="92"/>
        <v>6</v>
      </c>
      <c r="L1982" s="369">
        <f>+IF((C1982&gt;='Resultats - informe'!$E$16)*(C1982&lt;='Resultats - informe'!$G$16),1,0)</f>
        <v>1</v>
      </c>
      <c r="M1982" s="369" cm="1">
        <f t="array" ref="M1982">+_xlfn.IFS((C1982&gt;='Resultats - informe'!$D$26)*(C1982&lt;='Resultats - informe'!$E$26),0,(C1982&gt;='Resultats - informe'!$D$27)*(C1982&lt;='Resultats - informe'!$E$27),0,(C1982&gt;='Resultats - informe'!$D$28)*(C1982&lt;='Resultats - informe'!$E$28),0,(C1982&gt;='Resultats - informe'!$D$29)*(C1982&lt;='Resultats - informe'!$E$29),0,1,1)</f>
        <v>0</v>
      </c>
      <c r="N1982" s="366">
        <f>+VLOOKUP(D1982,'Resultats - informe'!$Y$18:$AG$42,'Introducció dades consum'!K1982+1,0)</f>
        <v>0</v>
      </c>
      <c r="O1982" s="370" cm="1">
        <f t="array" ref="O1982">+_xlfn.SWITCH(MONTH(C1982),1,1,2,1,3,1,4,2,5,2,6,3,7,3,8,3,9,3,10,2,11,2,12,1,2)</f>
        <v>1</v>
      </c>
      <c r="P1982" s="43"/>
    </row>
    <row r="1983" spans="1:16" ht="18" x14ac:dyDescent="0.35">
      <c r="A1983" s="43"/>
      <c r="C1983" s="393"/>
      <c r="E1983" s="394"/>
      <c r="F1983" s="394">
        <v>1.6279999999999999</v>
      </c>
      <c r="G1983" s="394"/>
      <c r="H1983" s="8" t="s">
        <v>61</v>
      </c>
      <c r="I1983" s="368">
        <f t="shared" si="91"/>
        <v>0</v>
      </c>
      <c r="J1983" s="365">
        <f t="shared" si="93"/>
        <v>0</v>
      </c>
      <c r="K1983" s="369">
        <f t="shared" si="92"/>
        <v>6</v>
      </c>
      <c r="L1983" s="369">
        <f>+IF((C1983&gt;='Resultats - informe'!$E$16)*(C1983&lt;='Resultats - informe'!$G$16),1,0)</f>
        <v>1</v>
      </c>
      <c r="M1983" s="369" cm="1">
        <f t="array" ref="M1983">+_xlfn.IFS((C1983&gt;='Resultats - informe'!$D$26)*(C1983&lt;='Resultats - informe'!$E$26),0,(C1983&gt;='Resultats - informe'!$D$27)*(C1983&lt;='Resultats - informe'!$E$27),0,(C1983&gt;='Resultats - informe'!$D$28)*(C1983&lt;='Resultats - informe'!$E$28),0,(C1983&gt;='Resultats - informe'!$D$29)*(C1983&lt;='Resultats - informe'!$E$29),0,1,1)</f>
        <v>0</v>
      </c>
      <c r="N1983" s="366">
        <f>+VLOOKUP(D1983,'Resultats - informe'!$Y$18:$AG$42,'Introducció dades consum'!K1983+1,0)</f>
        <v>0</v>
      </c>
      <c r="O1983" s="370" cm="1">
        <f t="array" ref="O1983">+_xlfn.SWITCH(MONTH(C1983),1,1,2,1,3,1,4,2,5,2,6,3,7,3,8,3,9,3,10,2,11,2,12,1,2)</f>
        <v>1</v>
      </c>
      <c r="P1983" s="43"/>
    </row>
    <row r="1984" spans="1:16" ht="18" x14ac:dyDescent="0.35">
      <c r="A1984" s="43"/>
      <c r="C1984" s="393"/>
      <c r="E1984" s="394"/>
      <c r="F1984" s="394">
        <v>1.915</v>
      </c>
      <c r="G1984" s="394"/>
      <c r="H1984" s="8" t="s">
        <v>61</v>
      </c>
      <c r="I1984" s="368">
        <f t="shared" si="91"/>
        <v>0</v>
      </c>
      <c r="J1984" s="365">
        <f t="shared" si="93"/>
        <v>0</v>
      </c>
      <c r="K1984" s="369">
        <f t="shared" si="92"/>
        <v>6</v>
      </c>
      <c r="L1984" s="369">
        <f>+IF((C1984&gt;='Resultats - informe'!$E$16)*(C1984&lt;='Resultats - informe'!$G$16),1,0)</f>
        <v>1</v>
      </c>
      <c r="M1984" s="369" cm="1">
        <f t="array" ref="M1984">+_xlfn.IFS((C1984&gt;='Resultats - informe'!$D$26)*(C1984&lt;='Resultats - informe'!$E$26),0,(C1984&gt;='Resultats - informe'!$D$27)*(C1984&lt;='Resultats - informe'!$E$27),0,(C1984&gt;='Resultats - informe'!$D$28)*(C1984&lt;='Resultats - informe'!$E$28),0,(C1984&gt;='Resultats - informe'!$D$29)*(C1984&lt;='Resultats - informe'!$E$29),0,1,1)</f>
        <v>0</v>
      </c>
      <c r="N1984" s="366">
        <f>+VLOOKUP(D1984,'Resultats - informe'!$Y$18:$AG$42,'Introducció dades consum'!K1984+1,0)</f>
        <v>0</v>
      </c>
      <c r="O1984" s="370" cm="1">
        <f t="array" ref="O1984">+_xlfn.SWITCH(MONTH(C1984),1,1,2,1,3,1,4,2,5,2,6,3,7,3,8,3,9,3,10,2,11,2,12,1,2)</f>
        <v>1</v>
      </c>
      <c r="P1984" s="43"/>
    </row>
    <row r="1985" spans="1:16" ht="18" x14ac:dyDescent="0.35">
      <c r="A1985" s="43"/>
      <c r="C1985" s="393"/>
      <c r="E1985" s="394"/>
      <c r="F1985" s="394">
        <v>1.694</v>
      </c>
      <c r="G1985" s="394"/>
      <c r="H1985" s="8" t="s">
        <v>61</v>
      </c>
      <c r="I1985" s="368">
        <f t="shared" si="91"/>
        <v>0</v>
      </c>
      <c r="J1985" s="365">
        <f t="shared" si="93"/>
        <v>0</v>
      </c>
      <c r="K1985" s="369">
        <f t="shared" si="92"/>
        <v>6</v>
      </c>
      <c r="L1985" s="369">
        <f>+IF((C1985&gt;='Resultats - informe'!$E$16)*(C1985&lt;='Resultats - informe'!$G$16),1,0)</f>
        <v>1</v>
      </c>
      <c r="M1985" s="369" cm="1">
        <f t="array" ref="M1985">+_xlfn.IFS((C1985&gt;='Resultats - informe'!$D$26)*(C1985&lt;='Resultats - informe'!$E$26),0,(C1985&gt;='Resultats - informe'!$D$27)*(C1985&lt;='Resultats - informe'!$E$27),0,(C1985&gt;='Resultats - informe'!$D$28)*(C1985&lt;='Resultats - informe'!$E$28),0,(C1985&gt;='Resultats - informe'!$D$29)*(C1985&lt;='Resultats - informe'!$E$29),0,1,1)</f>
        <v>0</v>
      </c>
      <c r="N1985" s="366">
        <f>+VLOOKUP(D1985,'Resultats - informe'!$Y$18:$AG$42,'Introducció dades consum'!K1985+1,0)</f>
        <v>0</v>
      </c>
      <c r="O1985" s="370" cm="1">
        <f t="array" ref="O1985">+_xlfn.SWITCH(MONTH(C1985),1,1,2,1,3,1,4,2,5,2,6,3,7,3,8,3,9,3,10,2,11,2,12,1,2)</f>
        <v>1</v>
      </c>
      <c r="P1985" s="43"/>
    </row>
    <row r="1986" spans="1:16" ht="18" x14ac:dyDescent="0.35">
      <c r="A1986" s="43"/>
      <c r="C1986" s="393"/>
      <c r="E1986" s="394"/>
      <c r="F1986" s="394">
        <v>1.2809999999999999</v>
      </c>
      <c r="G1986" s="394"/>
      <c r="H1986" s="8" t="s">
        <v>61</v>
      </c>
      <c r="I1986" s="368">
        <f t="shared" si="91"/>
        <v>0</v>
      </c>
      <c r="J1986" s="365">
        <f t="shared" si="93"/>
        <v>0</v>
      </c>
      <c r="K1986" s="369">
        <f t="shared" si="92"/>
        <v>6</v>
      </c>
      <c r="L1986" s="369">
        <f>+IF((C1986&gt;='Resultats - informe'!$E$16)*(C1986&lt;='Resultats - informe'!$G$16),1,0)</f>
        <v>1</v>
      </c>
      <c r="M1986" s="369" cm="1">
        <f t="array" ref="M1986">+_xlfn.IFS((C1986&gt;='Resultats - informe'!$D$26)*(C1986&lt;='Resultats - informe'!$E$26),0,(C1986&gt;='Resultats - informe'!$D$27)*(C1986&lt;='Resultats - informe'!$E$27),0,(C1986&gt;='Resultats - informe'!$D$28)*(C1986&lt;='Resultats - informe'!$E$28),0,(C1986&gt;='Resultats - informe'!$D$29)*(C1986&lt;='Resultats - informe'!$E$29),0,1,1)</f>
        <v>0</v>
      </c>
      <c r="N1986" s="366">
        <f>+VLOOKUP(D1986,'Resultats - informe'!$Y$18:$AG$42,'Introducció dades consum'!K1986+1,0)</f>
        <v>0</v>
      </c>
      <c r="O1986" s="370" cm="1">
        <f t="array" ref="O1986">+_xlfn.SWITCH(MONTH(C1986),1,1,2,1,3,1,4,2,5,2,6,3,7,3,8,3,9,3,10,2,11,2,12,1,2)</f>
        <v>1</v>
      </c>
      <c r="P1986" s="43"/>
    </row>
    <row r="1987" spans="1:16" ht="18" x14ac:dyDescent="0.35">
      <c r="A1987" s="43"/>
      <c r="C1987" s="393"/>
      <c r="E1987" s="394"/>
      <c r="F1987" s="394">
        <v>2.4609999999999999</v>
      </c>
      <c r="G1987" s="394"/>
      <c r="H1987" s="8" t="s">
        <v>235</v>
      </c>
      <c r="I1987" s="368">
        <f t="shared" si="91"/>
        <v>0</v>
      </c>
      <c r="J1987" s="365">
        <f t="shared" si="93"/>
        <v>0</v>
      </c>
      <c r="K1987" s="369">
        <f t="shared" si="92"/>
        <v>6</v>
      </c>
      <c r="L1987" s="369">
        <f>+IF((C1987&gt;='Resultats - informe'!$E$16)*(C1987&lt;='Resultats - informe'!$G$16),1,0)</f>
        <v>1</v>
      </c>
      <c r="M1987" s="369" cm="1">
        <f t="array" ref="M1987">+_xlfn.IFS((C1987&gt;='Resultats - informe'!$D$26)*(C1987&lt;='Resultats - informe'!$E$26),0,(C1987&gt;='Resultats - informe'!$D$27)*(C1987&lt;='Resultats - informe'!$E$27),0,(C1987&gt;='Resultats - informe'!$D$28)*(C1987&lt;='Resultats - informe'!$E$28),0,(C1987&gt;='Resultats - informe'!$D$29)*(C1987&lt;='Resultats - informe'!$E$29),0,1,1)</f>
        <v>0</v>
      </c>
      <c r="N1987" s="366">
        <f>+VLOOKUP(D1987,'Resultats - informe'!$Y$18:$AG$42,'Introducció dades consum'!K1987+1,0)</f>
        <v>0</v>
      </c>
      <c r="O1987" s="370" cm="1">
        <f t="array" ref="O1987">+_xlfn.SWITCH(MONTH(C1987),1,1,2,1,3,1,4,2,5,2,6,3,7,3,8,3,9,3,10,2,11,2,12,1,2)</f>
        <v>1</v>
      </c>
      <c r="P1987" s="43"/>
    </row>
    <row r="1988" spans="1:16" ht="18" x14ac:dyDescent="0.35">
      <c r="A1988" s="43"/>
      <c r="C1988" s="393"/>
      <c r="E1988" s="394"/>
      <c r="F1988" s="394">
        <v>1.7490000000000001</v>
      </c>
      <c r="G1988" s="394"/>
      <c r="H1988" s="8" t="s">
        <v>235</v>
      </c>
      <c r="I1988" s="368">
        <f t="shared" si="91"/>
        <v>0</v>
      </c>
      <c r="J1988" s="365">
        <f t="shared" si="93"/>
        <v>0</v>
      </c>
      <c r="K1988" s="369">
        <f t="shared" si="92"/>
        <v>6</v>
      </c>
      <c r="L1988" s="369">
        <f>+IF((C1988&gt;='Resultats - informe'!$E$16)*(C1988&lt;='Resultats - informe'!$G$16),1,0)</f>
        <v>1</v>
      </c>
      <c r="M1988" s="369" cm="1">
        <f t="array" ref="M1988">+_xlfn.IFS((C1988&gt;='Resultats - informe'!$D$26)*(C1988&lt;='Resultats - informe'!$E$26),0,(C1988&gt;='Resultats - informe'!$D$27)*(C1988&lt;='Resultats - informe'!$E$27),0,(C1988&gt;='Resultats - informe'!$D$28)*(C1988&lt;='Resultats - informe'!$E$28),0,(C1988&gt;='Resultats - informe'!$D$29)*(C1988&lt;='Resultats - informe'!$E$29),0,1,1)</f>
        <v>0</v>
      </c>
      <c r="N1988" s="366">
        <f>+VLOOKUP(D1988,'Resultats - informe'!$Y$18:$AG$42,'Introducció dades consum'!K1988+1,0)</f>
        <v>0</v>
      </c>
      <c r="O1988" s="370" cm="1">
        <f t="array" ref="O1988">+_xlfn.SWITCH(MONTH(C1988),1,1,2,1,3,1,4,2,5,2,6,3,7,3,8,3,9,3,10,2,11,2,12,1,2)</f>
        <v>1</v>
      </c>
      <c r="P1988" s="43"/>
    </row>
    <row r="1989" spans="1:16" ht="18" x14ac:dyDescent="0.35">
      <c r="A1989" s="43"/>
      <c r="C1989" s="393"/>
      <c r="E1989" s="394"/>
      <c r="F1989" s="394">
        <v>0</v>
      </c>
      <c r="G1989" s="394"/>
      <c r="H1989" s="8" t="s">
        <v>235</v>
      </c>
      <c r="I1989" s="368">
        <f t="shared" si="91"/>
        <v>0</v>
      </c>
      <c r="J1989" s="365">
        <f t="shared" si="93"/>
        <v>0</v>
      </c>
      <c r="K1989" s="369">
        <f t="shared" si="92"/>
        <v>6</v>
      </c>
      <c r="L1989" s="369">
        <f>+IF((C1989&gt;='Resultats - informe'!$E$16)*(C1989&lt;='Resultats - informe'!$G$16),1,0)</f>
        <v>1</v>
      </c>
      <c r="M1989" s="369" cm="1">
        <f t="array" ref="M1989">+_xlfn.IFS((C1989&gt;='Resultats - informe'!$D$26)*(C1989&lt;='Resultats - informe'!$E$26),0,(C1989&gt;='Resultats - informe'!$D$27)*(C1989&lt;='Resultats - informe'!$E$27),0,(C1989&gt;='Resultats - informe'!$D$28)*(C1989&lt;='Resultats - informe'!$E$28),0,(C1989&gt;='Resultats - informe'!$D$29)*(C1989&lt;='Resultats - informe'!$E$29),0,1,1)</f>
        <v>0</v>
      </c>
      <c r="N1989" s="366">
        <f>+VLOOKUP(D1989,'Resultats - informe'!$Y$18:$AG$42,'Introducció dades consum'!K1989+1,0)</f>
        <v>0</v>
      </c>
      <c r="O1989" s="370" cm="1">
        <f t="array" ref="O1989">+_xlfn.SWITCH(MONTH(C1989),1,1,2,1,3,1,4,2,5,2,6,3,7,3,8,3,9,3,10,2,11,2,12,1,2)</f>
        <v>1</v>
      </c>
      <c r="P1989" s="43"/>
    </row>
    <row r="1990" spans="1:16" ht="18" x14ac:dyDescent="0.35">
      <c r="A1990" s="43"/>
      <c r="C1990" s="393"/>
      <c r="E1990" s="394"/>
      <c r="F1990" s="394">
        <v>0</v>
      </c>
      <c r="G1990" s="394"/>
      <c r="H1990" s="8" t="s">
        <v>235</v>
      </c>
      <c r="I1990" s="368">
        <f t="shared" ref="I1990:I2053" si="94">+E1990+G1990</f>
        <v>0</v>
      </c>
      <c r="J1990" s="365">
        <f t="shared" si="93"/>
        <v>0</v>
      </c>
      <c r="K1990" s="369">
        <f t="shared" ref="K1990:K2053" si="95">+WEEKDAY(C1990,2)</f>
        <v>6</v>
      </c>
      <c r="L1990" s="369">
        <f>+IF((C1990&gt;='Resultats - informe'!$E$16)*(C1990&lt;='Resultats - informe'!$G$16),1,0)</f>
        <v>1</v>
      </c>
      <c r="M1990" s="369" cm="1">
        <f t="array" ref="M1990">+_xlfn.IFS((C1990&gt;='Resultats - informe'!$D$26)*(C1990&lt;='Resultats - informe'!$E$26),0,(C1990&gt;='Resultats - informe'!$D$27)*(C1990&lt;='Resultats - informe'!$E$27),0,(C1990&gt;='Resultats - informe'!$D$28)*(C1990&lt;='Resultats - informe'!$E$28),0,(C1990&gt;='Resultats - informe'!$D$29)*(C1990&lt;='Resultats - informe'!$E$29),0,1,1)</f>
        <v>0</v>
      </c>
      <c r="N1990" s="366">
        <f>+VLOOKUP(D1990,'Resultats - informe'!$Y$18:$AG$42,'Introducció dades consum'!K1990+1,0)</f>
        <v>0</v>
      </c>
      <c r="O1990" s="370" cm="1">
        <f t="array" ref="O1990">+_xlfn.SWITCH(MONTH(C1990),1,1,2,1,3,1,4,2,5,2,6,3,7,3,8,3,9,3,10,2,11,2,12,1,2)</f>
        <v>1</v>
      </c>
      <c r="P1990" s="43"/>
    </row>
    <row r="1991" spans="1:16" ht="18" x14ac:dyDescent="0.35">
      <c r="A1991" s="43"/>
      <c r="C1991" s="393"/>
      <c r="E1991" s="394"/>
      <c r="F1991" s="394">
        <v>0</v>
      </c>
      <c r="G1991" s="394"/>
      <c r="H1991" s="8" t="s">
        <v>235</v>
      </c>
      <c r="I1991" s="368">
        <f t="shared" si="94"/>
        <v>0</v>
      </c>
      <c r="J1991" s="365">
        <f t="shared" si="93"/>
        <v>0</v>
      </c>
      <c r="K1991" s="369">
        <f t="shared" si="95"/>
        <v>6</v>
      </c>
      <c r="L1991" s="369">
        <f>+IF((C1991&gt;='Resultats - informe'!$E$16)*(C1991&lt;='Resultats - informe'!$G$16),1,0)</f>
        <v>1</v>
      </c>
      <c r="M1991" s="369" cm="1">
        <f t="array" ref="M1991">+_xlfn.IFS((C1991&gt;='Resultats - informe'!$D$26)*(C1991&lt;='Resultats - informe'!$E$26),0,(C1991&gt;='Resultats - informe'!$D$27)*(C1991&lt;='Resultats - informe'!$E$27),0,(C1991&gt;='Resultats - informe'!$D$28)*(C1991&lt;='Resultats - informe'!$E$28),0,(C1991&gt;='Resultats - informe'!$D$29)*(C1991&lt;='Resultats - informe'!$E$29),0,1,1)</f>
        <v>0</v>
      </c>
      <c r="N1991" s="366">
        <f>+VLOOKUP(D1991,'Resultats - informe'!$Y$18:$AG$42,'Introducció dades consum'!K1991+1,0)</f>
        <v>0</v>
      </c>
      <c r="O1991" s="370" cm="1">
        <f t="array" ref="O1991">+_xlfn.SWITCH(MONTH(C1991),1,1,2,1,3,1,4,2,5,2,6,3,7,3,8,3,9,3,10,2,11,2,12,1,2)</f>
        <v>1</v>
      </c>
      <c r="P1991" s="43"/>
    </row>
    <row r="1992" spans="1:16" ht="18" x14ac:dyDescent="0.35">
      <c r="A1992" s="43"/>
      <c r="C1992" s="393"/>
      <c r="E1992" s="394"/>
      <c r="F1992" s="394">
        <v>0</v>
      </c>
      <c r="G1992" s="394"/>
      <c r="H1992" s="8" t="s">
        <v>235</v>
      </c>
      <c r="I1992" s="368">
        <f t="shared" si="94"/>
        <v>0</v>
      </c>
      <c r="J1992" s="365">
        <f t="shared" si="93"/>
        <v>0</v>
      </c>
      <c r="K1992" s="369">
        <f t="shared" si="95"/>
        <v>6</v>
      </c>
      <c r="L1992" s="369">
        <f>+IF((C1992&gt;='Resultats - informe'!$E$16)*(C1992&lt;='Resultats - informe'!$G$16),1,0)</f>
        <v>1</v>
      </c>
      <c r="M1992" s="369" cm="1">
        <f t="array" ref="M1992">+_xlfn.IFS((C1992&gt;='Resultats - informe'!$D$26)*(C1992&lt;='Resultats - informe'!$E$26),0,(C1992&gt;='Resultats - informe'!$D$27)*(C1992&lt;='Resultats - informe'!$E$27),0,(C1992&gt;='Resultats - informe'!$D$28)*(C1992&lt;='Resultats - informe'!$E$28),0,(C1992&gt;='Resultats - informe'!$D$29)*(C1992&lt;='Resultats - informe'!$E$29),0,1,1)</f>
        <v>0</v>
      </c>
      <c r="N1992" s="366">
        <f>+VLOOKUP(D1992,'Resultats - informe'!$Y$18:$AG$42,'Introducció dades consum'!K1992+1,0)</f>
        <v>0</v>
      </c>
      <c r="O1992" s="370" cm="1">
        <f t="array" ref="O1992">+_xlfn.SWITCH(MONTH(C1992),1,1,2,1,3,1,4,2,5,2,6,3,7,3,8,3,9,3,10,2,11,2,12,1,2)</f>
        <v>1</v>
      </c>
      <c r="P1992" s="43"/>
    </row>
    <row r="1993" spans="1:16" ht="18" x14ac:dyDescent="0.35">
      <c r="A1993" s="43"/>
      <c r="C1993" s="393"/>
      <c r="E1993" s="394"/>
      <c r="F1993" s="394">
        <v>0</v>
      </c>
      <c r="G1993" s="394"/>
      <c r="H1993" s="8" t="s">
        <v>235</v>
      </c>
      <c r="I1993" s="368">
        <f t="shared" si="94"/>
        <v>0</v>
      </c>
      <c r="J1993" s="365">
        <f t="shared" si="93"/>
        <v>0</v>
      </c>
      <c r="K1993" s="369">
        <f t="shared" si="95"/>
        <v>6</v>
      </c>
      <c r="L1993" s="369">
        <f>+IF((C1993&gt;='Resultats - informe'!$E$16)*(C1993&lt;='Resultats - informe'!$G$16),1,0)</f>
        <v>1</v>
      </c>
      <c r="M1993" s="369" cm="1">
        <f t="array" ref="M1993">+_xlfn.IFS((C1993&gt;='Resultats - informe'!$D$26)*(C1993&lt;='Resultats - informe'!$E$26),0,(C1993&gt;='Resultats - informe'!$D$27)*(C1993&lt;='Resultats - informe'!$E$27),0,(C1993&gt;='Resultats - informe'!$D$28)*(C1993&lt;='Resultats - informe'!$E$28),0,(C1993&gt;='Resultats - informe'!$D$29)*(C1993&lt;='Resultats - informe'!$E$29),0,1,1)</f>
        <v>0</v>
      </c>
      <c r="N1993" s="366">
        <f>+VLOOKUP(D1993,'Resultats - informe'!$Y$18:$AG$42,'Introducció dades consum'!K1993+1,0)</f>
        <v>0</v>
      </c>
      <c r="O1993" s="370" cm="1">
        <f t="array" ref="O1993">+_xlfn.SWITCH(MONTH(C1993),1,1,2,1,3,1,4,2,5,2,6,3,7,3,8,3,9,3,10,2,11,2,12,1,2)</f>
        <v>1</v>
      </c>
      <c r="P1993" s="43"/>
    </row>
    <row r="1994" spans="1:16" ht="18" x14ac:dyDescent="0.35">
      <c r="A1994" s="43"/>
      <c r="C1994" s="393"/>
      <c r="E1994" s="394"/>
      <c r="F1994" s="394">
        <v>0</v>
      </c>
      <c r="G1994" s="394"/>
      <c r="H1994" s="8" t="s">
        <v>235</v>
      </c>
      <c r="I1994" s="368">
        <f t="shared" si="94"/>
        <v>0</v>
      </c>
      <c r="J1994" s="365">
        <f t="shared" si="93"/>
        <v>0</v>
      </c>
      <c r="K1994" s="369">
        <f t="shared" si="95"/>
        <v>6</v>
      </c>
      <c r="L1994" s="369">
        <f>+IF((C1994&gt;='Resultats - informe'!$E$16)*(C1994&lt;='Resultats - informe'!$G$16),1,0)</f>
        <v>1</v>
      </c>
      <c r="M1994" s="369" cm="1">
        <f t="array" ref="M1994">+_xlfn.IFS((C1994&gt;='Resultats - informe'!$D$26)*(C1994&lt;='Resultats - informe'!$E$26),0,(C1994&gt;='Resultats - informe'!$D$27)*(C1994&lt;='Resultats - informe'!$E$27),0,(C1994&gt;='Resultats - informe'!$D$28)*(C1994&lt;='Resultats - informe'!$E$28),0,(C1994&gt;='Resultats - informe'!$D$29)*(C1994&lt;='Resultats - informe'!$E$29),0,1,1)</f>
        <v>0</v>
      </c>
      <c r="N1994" s="366">
        <f>+VLOOKUP(D1994,'Resultats - informe'!$Y$18:$AG$42,'Introducció dades consum'!K1994+1,0)</f>
        <v>0</v>
      </c>
      <c r="O1994" s="370" cm="1">
        <f t="array" ref="O1994">+_xlfn.SWITCH(MONTH(C1994),1,1,2,1,3,1,4,2,5,2,6,3,7,3,8,3,9,3,10,2,11,2,12,1,2)</f>
        <v>1</v>
      </c>
      <c r="P1994" s="43"/>
    </row>
    <row r="1995" spans="1:16" ht="18" x14ac:dyDescent="0.35">
      <c r="A1995" s="43"/>
      <c r="C1995" s="393"/>
      <c r="E1995" s="394"/>
      <c r="F1995" s="394">
        <v>0</v>
      </c>
      <c r="G1995" s="394"/>
      <c r="H1995" s="8" t="s">
        <v>235</v>
      </c>
      <c r="I1995" s="368">
        <f t="shared" si="94"/>
        <v>0</v>
      </c>
      <c r="J1995" s="365">
        <f t="shared" si="93"/>
        <v>0</v>
      </c>
      <c r="K1995" s="369">
        <f t="shared" si="95"/>
        <v>6</v>
      </c>
      <c r="L1995" s="369">
        <f>+IF((C1995&gt;='Resultats - informe'!$E$16)*(C1995&lt;='Resultats - informe'!$G$16),1,0)</f>
        <v>1</v>
      </c>
      <c r="M1995" s="369" cm="1">
        <f t="array" ref="M1995">+_xlfn.IFS((C1995&gt;='Resultats - informe'!$D$26)*(C1995&lt;='Resultats - informe'!$E$26),0,(C1995&gt;='Resultats - informe'!$D$27)*(C1995&lt;='Resultats - informe'!$E$27),0,(C1995&gt;='Resultats - informe'!$D$28)*(C1995&lt;='Resultats - informe'!$E$28),0,(C1995&gt;='Resultats - informe'!$D$29)*(C1995&lt;='Resultats - informe'!$E$29),0,1,1)</f>
        <v>0</v>
      </c>
      <c r="N1995" s="366">
        <f>+VLOOKUP(D1995,'Resultats - informe'!$Y$18:$AG$42,'Introducció dades consum'!K1995+1,0)</f>
        <v>0</v>
      </c>
      <c r="O1995" s="370" cm="1">
        <f t="array" ref="O1995">+_xlfn.SWITCH(MONTH(C1995),1,1,2,1,3,1,4,2,5,2,6,3,7,3,8,3,9,3,10,2,11,2,12,1,2)</f>
        <v>1</v>
      </c>
      <c r="P1995" s="43"/>
    </row>
    <row r="1996" spans="1:16" ht="18" x14ac:dyDescent="0.35">
      <c r="A1996" s="43"/>
      <c r="C1996" s="393"/>
      <c r="E1996" s="394"/>
      <c r="F1996" s="394">
        <v>0</v>
      </c>
      <c r="G1996" s="394"/>
      <c r="H1996" s="8" t="s">
        <v>235</v>
      </c>
      <c r="I1996" s="368">
        <f t="shared" si="94"/>
        <v>0</v>
      </c>
      <c r="J1996" s="365">
        <f t="shared" si="93"/>
        <v>0</v>
      </c>
      <c r="K1996" s="369">
        <f t="shared" si="95"/>
        <v>6</v>
      </c>
      <c r="L1996" s="369">
        <f>+IF((C1996&gt;='Resultats - informe'!$E$16)*(C1996&lt;='Resultats - informe'!$G$16),1,0)</f>
        <v>1</v>
      </c>
      <c r="M1996" s="369" cm="1">
        <f t="array" ref="M1996">+_xlfn.IFS((C1996&gt;='Resultats - informe'!$D$26)*(C1996&lt;='Resultats - informe'!$E$26),0,(C1996&gt;='Resultats - informe'!$D$27)*(C1996&lt;='Resultats - informe'!$E$27),0,(C1996&gt;='Resultats - informe'!$D$28)*(C1996&lt;='Resultats - informe'!$E$28),0,(C1996&gt;='Resultats - informe'!$D$29)*(C1996&lt;='Resultats - informe'!$E$29),0,1,1)</f>
        <v>0</v>
      </c>
      <c r="N1996" s="366">
        <f>+VLOOKUP(D1996,'Resultats - informe'!$Y$18:$AG$42,'Introducció dades consum'!K1996+1,0)</f>
        <v>0</v>
      </c>
      <c r="O1996" s="370" cm="1">
        <f t="array" ref="O1996">+_xlfn.SWITCH(MONTH(C1996),1,1,2,1,3,1,4,2,5,2,6,3,7,3,8,3,9,3,10,2,11,2,12,1,2)</f>
        <v>1</v>
      </c>
      <c r="P1996" s="43"/>
    </row>
    <row r="1997" spans="1:16" ht="18" x14ac:dyDescent="0.35">
      <c r="A1997" s="43"/>
      <c r="C1997" s="393"/>
      <c r="E1997" s="394"/>
      <c r="F1997" s="394">
        <v>0</v>
      </c>
      <c r="G1997" s="394"/>
      <c r="H1997" s="8" t="s">
        <v>235</v>
      </c>
      <c r="I1997" s="368">
        <f t="shared" si="94"/>
        <v>0</v>
      </c>
      <c r="J1997" s="365">
        <f t="shared" si="93"/>
        <v>0</v>
      </c>
      <c r="K1997" s="369">
        <f t="shared" si="95"/>
        <v>6</v>
      </c>
      <c r="L1997" s="369">
        <f>+IF((C1997&gt;='Resultats - informe'!$E$16)*(C1997&lt;='Resultats - informe'!$G$16),1,0)</f>
        <v>1</v>
      </c>
      <c r="M1997" s="369" cm="1">
        <f t="array" ref="M1997">+_xlfn.IFS((C1997&gt;='Resultats - informe'!$D$26)*(C1997&lt;='Resultats - informe'!$E$26),0,(C1997&gt;='Resultats - informe'!$D$27)*(C1997&lt;='Resultats - informe'!$E$27),0,(C1997&gt;='Resultats - informe'!$D$28)*(C1997&lt;='Resultats - informe'!$E$28),0,(C1997&gt;='Resultats - informe'!$D$29)*(C1997&lt;='Resultats - informe'!$E$29),0,1,1)</f>
        <v>0</v>
      </c>
      <c r="N1997" s="366">
        <f>+VLOOKUP(D1997,'Resultats - informe'!$Y$18:$AG$42,'Introducció dades consum'!K1997+1,0)</f>
        <v>0</v>
      </c>
      <c r="O1997" s="370" cm="1">
        <f t="array" ref="O1997">+_xlfn.SWITCH(MONTH(C1997),1,1,2,1,3,1,4,2,5,2,6,3,7,3,8,3,9,3,10,2,11,2,12,1,2)</f>
        <v>1</v>
      </c>
      <c r="P1997" s="43"/>
    </row>
    <row r="1998" spans="1:16" ht="18" x14ac:dyDescent="0.35">
      <c r="A1998" s="43"/>
      <c r="C1998" s="393"/>
      <c r="E1998" s="394"/>
      <c r="F1998" s="394">
        <v>0</v>
      </c>
      <c r="G1998" s="394"/>
      <c r="H1998" s="8" t="s">
        <v>235</v>
      </c>
      <c r="I1998" s="368">
        <f t="shared" si="94"/>
        <v>0</v>
      </c>
      <c r="J1998" s="365">
        <f t="shared" si="93"/>
        <v>0</v>
      </c>
      <c r="K1998" s="369">
        <f t="shared" si="95"/>
        <v>6</v>
      </c>
      <c r="L1998" s="369">
        <f>+IF((C1998&gt;='Resultats - informe'!$E$16)*(C1998&lt;='Resultats - informe'!$G$16),1,0)</f>
        <v>1</v>
      </c>
      <c r="M1998" s="369" cm="1">
        <f t="array" ref="M1998">+_xlfn.IFS((C1998&gt;='Resultats - informe'!$D$26)*(C1998&lt;='Resultats - informe'!$E$26),0,(C1998&gt;='Resultats - informe'!$D$27)*(C1998&lt;='Resultats - informe'!$E$27),0,(C1998&gt;='Resultats - informe'!$D$28)*(C1998&lt;='Resultats - informe'!$E$28),0,(C1998&gt;='Resultats - informe'!$D$29)*(C1998&lt;='Resultats - informe'!$E$29),0,1,1)</f>
        <v>0</v>
      </c>
      <c r="N1998" s="366">
        <f>+VLOOKUP(D1998,'Resultats - informe'!$Y$18:$AG$42,'Introducció dades consum'!K1998+1,0)</f>
        <v>0</v>
      </c>
      <c r="O1998" s="370" cm="1">
        <f t="array" ref="O1998">+_xlfn.SWITCH(MONTH(C1998),1,1,2,1,3,1,4,2,5,2,6,3,7,3,8,3,9,3,10,2,11,2,12,1,2)</f>
        <v>1</v>
      </c>
      <c r="P1998" s="43"/>
    </row>
    <row r="1999" spans="1:16" ht="18" x14ac:dyDescent="0.35">
      <c r="A1999" s="43"/>
      <c r="C1999" s="393"/>
      <c r="E1999" s="394"/>
      <c r="F1999" s="394">
        <v>0</v>
      </c>
      <c r="G1999" s="394"/>
      <c r="H1999" s="8" t="s">
        <v>235</v>
      </c>
      <c r="I1999" s="368">
        <f t="shared" si="94"/>
        <v>0</v>
      </c>
      <c r="J1999" s="365">
        <f t="shared" si="93"/>
        <v>0</v>
      </c>
      <c r="K1999" s="369">
        <f t="shared" si="95"/>
        <v>6</v>
      </c>
      <c r="L1999" s="369">
        <f>+IF((C1999&gt;='Resultats - informe'!$E$16)*(C1999&lt;='Resultats - informe'!$G$16),1,0)</f>
        <v>1</v>
      </c>
      <c r="M1999" s="369" cm="1">
        <f t="array" ref="M1999">+_xlfn.IFS((C1999&gt;='Resultats - informe'!$D$26)*(C1999&lt;='Resultats - informe'!$E$26),0,(C1999&gt;='Resultats - informe'!$D$27)*(C1999&lt;='Resultats - informe'!$E$27),0,(C1999&gt;='Resultats - informe'!$D$28)*(C1999&lt;='Resultats - informe'!$E$28),0,(C1999&gt;='Resultats - informe'!$D$29)*(C1999&lt;='Resultats - informe'!$E$29),0,1,1)</f>
        <v>0</v>
      </c>
      <c r="N1999" s="366">
        <f>+VLOOKUP(D1999,'Resultats - informe'!$Y$18:$AG$42,'Introducció dades consum'!K1999+1,0)</f>
        <v>0</v>
      </c>
      <c r="O1999" s="370" cm="1">
        <f t="array" ref="O1999">+_xlfn.SWITCH(MONTH(C1999),1,1,2,1,3,1,4,2,5,2,6,3,7,3,8,3,9,3,10,2,11,2,12,1,2)</f>
        <v>1</v>
      </c>
      <c r="P1999" s="43"/>
    </row>
    <row r="2000" spans="1:16" ht="18" x14ac:dyDescent="0.35">
      <c r="A2000" s="43"/>
      <c r="C2000" s="393"/>
      <c r="E2000" s="394"/>
      <c r="F2000" s="394">
        <v>0</v>
      </c>
      <c r="G2000" s="394"/>
      <c r="H2000" s="8" t="s">
        <v>235</v>
      </c>
      <c r="I2000" s="368">
        <f t="shared" si="94"/>
        <v>0</v>
      </c>
      <c r="J2000" s="365">
        <f t="shared" si="93"/>
        <v>0</v>
      </c>
      <c r="K2000" s="369">
        <f t="shared" si="95"/>
        <v>6</v>
      </c>
      <c r="L2000" s="369">
        <f>+IF((C2000&gt;='Resultats - informe'!$E$16)*(C2000&lt;='Resultats - informe'!$G$16),1,0)</f>
        <v>1</v>
      </c>
      <c r="M2000" s="369" cm="1">
        <f t="array" ref="M2000">+_xlfn.IFS((C2000&gt;='Resultats - informe'!$D$26)*(C2000&lt;='Resultats - informe'!$E$26),0,(C2000&gt;='Resultats - informe'!$D$27)*(C2000&lt;='Resultats - informe'!$E$27),0,(C2000&gt;='Resultats - informe'!$D$28)*(C2000&lt;='Resultats - informe'!$E$28),0,(C2000&gt;='Resultats - informe'!$D$29)*(C2000&lt;='Resultats - informe'!$E$29),0,1,1)</f>
        <v>0</v>
      </c>
      <c r="N2000" s="366">
        <f>+VLOOKUP(D2000,'Resultats - informe'!$Y$18:$AG$42,'Introducció dades consum'!K2000+1,0)</f>
        <v>0</v>
      </c>
      <c r="O2000" s="370" cm="1">
        <f t="array" ref="O2000">+_xlfn.SWITCH(MONTH(C2000),1,1,2,1,3,1,4,2,5,2,6,3,7,3,8,3,9,3,10,2,11,2,12,1,2)</f>
        <v>1</v>
      </c>
      <c r="P2000" s="43"/>
    </row>
    <row r="2001" spans="1:16" ht="18" x14ac:dyDescent="0.35">
      <c r="A2001" s="43"/>
      <c r="C2001" s="393"/>
      <c r="E2001" s="394"/>
      <c r="F2001" s="394">
        <v>0</v>
      </c>
      <c r="G2001" s="394"/>
      <c r="H2001" s="8" t="s">
        <v>235</v>
      </c>
      <c r="I2001" s="368">
        <f t="shared" si="94"/>
        <v>0</v>
      </c>
      <c r="J2001" s="365">
        <f t="shared" si="93"/>
        <v>0</v>
      </c>
      <c r="K2001" s="369">
        <f t="shared" si="95"/>
        <v>6</v>
      </c>
      <c r="L2001" s="369">
        <f>+IF((C2001&gt;='Resultats - informe'!$E$16)*(C2001&lt;='Resultats - informe'!$G$16),1,0)</f>
        <v>1</v>
      </c>
      <c r="M2001" s="369" cm="1">
        <f t="array" ref="M2001">+_xlfn.IFS((C2001&gt;='Resultats - informe'!$D$26)*(C2001&lt;='Resultats - informe'!$E$26),0,(C2001&gt;='Resultats - informe'!$D$27)*(C2001&lt;='Resultats - informe'!$E$27),0,(C2001&gt;='Resultats - informe'!$D$28)*(C2001&lt;='Resultats - informe'!$E$28),0,(C2001&gt;='Resultats - informe'!$D$29)*(C2001&lt;='Resultats - informe'!$E$29),0,1,1)</f>
        <v>0</v>
      </c>
      <c r="N2001" s="366">
        <f>+VLOOKUP(D2001,'Resultats - informe'!$Y$18:$AG$42,'Introducció dades consum'!K2001+1,0)</f>
        <v>0</v>
      </c>
      <c r="O2001" s="370" cm="1">
        <f t="array" ref="O2001">+_xlfn.SWITCH(MONTH(C2001),1,1,2,1,3,1,4,2,5,2,6,3,7,3,8,3,9,3,10,2,11,2,12,1,2)</f>
        <v>1</v>
      </c>
      <c r="P2001" s="43"/>
    </row>
    <row r="2002" spans="1:16" ht="18" x14ac:dyDescent="0.35">
      <c r="A2002" s="43"/>
      <c r="C2002" s="393"/>
      <c r="E2002" s="394"/>
      <c r="F2002" s="394">
        <v>0</v>
      </c>
      <c r="G2002" s="394"/>
      <c r="H2002" s="8" t="s">
        <v>235</v>
      </c>
      <c r="I2002" s="368">
        <f t="shared" si="94"/>
        <v>0</v>
      </c>
      <c r="J2002" s="365">
        <f t="shared" si="93"/>
        <v>0</v>
      </c>
      <c r="K2002" s="369">
        <f t="shared" si="95"/>
        <v>6</v>
      </c>
      <c r="L2002" s="369">
        <f>+IF((C2002&gt;='Resultats - informe'!$E$16)*(C2002&lt;='Resultats - informe'!$G$16),1,0)</f>
        <v>1</v>
      </c>
      <c r="M2002" s="369" cm="1">
        <f t="array" ref="M2002">+_xlfn.IFS((C2002&gt;='Resultats - informe'!$D$26)*(C2002&lt;='Resultats - informe'!$E$26),0,(C2002&gt;='Resultats - informe'!$D$27)*(C2002&lt;='Resultats - informe'!$E$27),0,(C2002&gt;='Resultats - informe'!$D$28)*(C2002&lt;='Resultats - informe'!$E$28),0,(C2002&gt;='Resultats - informe'!$D$29)*(C2002&lt;='Resultats - informe'!$E$29),0,1,1)</f>
        <v>0</v>
      </c>
      <c r="N2002" s="366">
        <f>+VLOOKUP(D2002,'Resultats - informe'!$Y$18:$AG$42,'Introducció dades consum'!K2002+1,0)</f>
        <v>0</v>
      </c>
      <c r="O2002" s="370" cm="1">
        <f t="array" ref="O2002">+_xlfn.SWITCH(MONTH(C2002),1,1,2,1,3,1,4,2,5,2,6,3,7,3,8,3,9,3,10,2,11,2,12,1,2)</f>
        <v>1</v>
      </c>
      <c r="P2002" s="43"/>
    </row>
    <row r="2003" spans="1:16" ht="18" x14ac:dyDescent="0.35">
      <c r="A2003" s="43"/>
      <c r="C2003" s="393"/>
      <c r="E2003" s="394"/>
      <c r="F2003" s="394">
        <v>0</v>
      </c>
      <c r="G2003" s="394"/>
      <c r="H2003" s="8" t="s">
        <v>235</v>
      </c>
      <c r="I2003" s="368">
        <f t="shared" si="94"/>
        <v>0</v>
      </c>
      <c r="J2003" s="365">
        <f t="shared" si="93"/>
        <v>0</v>
      </c>
      <c r="K2003" s="369">
        <f t="shared" si="95"/>
        <v>6</v>
      </c>
      <c r="L2003" s="369">
        <f>+IF((C2003&gt;='Resultats - informe'!$E$16)*(C2003&lt;='Resultats - informe'!$G$16),1,0)</f>
        <v>1</v>
      </c>
      <c r="M2003" s="369" cm="1">
        <f t="array" ref="M2003">+_xlfn.IFS((C2003&gt;='Resultats - informe'!$D$26)*(C2003&lt;='Resultats - informe'!$E$26),0,(C2003&gt;='Resultats - informe'!$D$27)*(C2003&lt;='Resultats - informe'!$E$27),0,(C2003&gt;='Resultats - informe'!$D$28)*(C2003&lt;='Resultats - informe'!$E$28),0,(C2003&gt;='Resultats - informe'!$D$29)*(C2003&lt;='Resultats - informe'!$E$29),0,1,1)</f>
        <v>0</v>
      </c>
      <c r="N2003" s="366">
        <f>+VLOOKUP(D2003,'Resultats - informe'!$Y$18:$AG$42,'Introducció dades consum'!K2003+1,0)</f>
        <v>0</v>
      </c>
      <c r="O2003" s="370" cm="1">
        <f t="array" ref="O2003">+_xlfn.SWITCH(MONTH(C2003),1,1,2,1,3,1,4,2,5,2,6,3,7,3,8,3,9,3,10,2,11,2,12,1,2)</f>
        <v>1</v>
      </c>
      <c r="P2003" s="43"/>
    </row>
    <row r="2004" spans="1:16" ht="18" x14ac:dyDescent="0.35">
      <c r="A2004" s="43"/>
      <c r="C2004" s="393"/>
      <c r="E2004" s="394"/>
      <c r="F2004" s="394">
        <v>0</v>
      </c>
      <c r="G2004" s="394"/>
      <c r="H2004" s="8" t="s">
        <v>235</v>
      </c>
      <c r="I2004" s="368">
        <f t="shared" si="94"/>
        <v>0</v>
      </c>
      <c r="J2004" s="365">
        <f t="shared" si="93"/>
        <v>0</v>
      </c>
      <c r="K2004" s="369">
        <f t="shared" si="95"/>
        <v>6</v>
      </c>
      <c r="L2004" s="369">
        <f>+IF((C2004&gt;='Resultats - informe'!$E$16)*(C2004&lt;='Resultats - informe'!$G$16),1,0)</f>
        <v>1</v>
      </c>
      <c r="M2004" s="369" cm="1">
        <f t="array" ref="M2004">+_xlfn.IFS((C2004&gt;='Resultats - informe'!$D$26)*(C2004&lt;='Resultats - informe'!$E$26),0,(C2004&gt;='Resultats - informe'!$D$27)*(C2004&lt;='Resultats - informe'!$E$27),0,(C2004&gt;='Resultats - informe'!$D$28)*(C2004&lt;='Resultats - informe'!$E$28),0,(C2004&gt;='Resultats - informe'!$D$29)*(C2004&lt;='Resultats - informe'!$E$29),0,1,1)</f>
        <v>0</v>
      </c>
      <c r="N2004" s="366">
        <f>+VLOOKUP(D2004,'Resultats - informe'!$Y$18:$AG$42,'Introducció dades consum'!K2004+1,0)</f>
        <v>0</v>
      </c>
      <c r="O2004" s="370" cm="1">
        <f t="array" ref="O2004">+_xlfn.SWITCH(MONTH(C2004),1,1,2,1,3,1,4,2,5,2,6,3,7,3,8,3,9,3,10,2,11,2,12,1,2)</f>
        <v>1</v>
      </c>
      <c r="P2004" s="43"/>
    </row>
    <row r="2005" spans="1:16" ht="18" x14ac:dyDescent="0.35">
      <c r="A2005" s="43"/>
      <c r="C2005" s="393"/>
      <c r="E2005" s="394"/>
      <c r="F2005" s="394">
        <v>0.77900000000000003</v>
      </c>
      <c r="G2005" s="394"/>
      <c r="H2005" s="8" t="s">
        <v>235</v>
      </c>
      <c r="I2005" s="368">
        <f t="shared" si="94"/>
        <v>0</v>
      </c>
      <c r="J2005" s="365">
        <f t="shared" si="93"/>
        <v>0</v>
      </c>
      <c r="K2005" s="369">
        <f t="shared" si="95"/>
        <v>6</v>
      </c>
      <c r="L2005" s="369">
        <f>+IF((C2005&gt;='Resultats - informe'!$E$16)*(C2005&lt;='Resultats - informe'!$G$16),1,0)</f>
        <v>1</v>
      </c>
      <c r="M2005" s="369" cm="1">
        <f t="array" ref="M2005">+_xlfn.IFS((C2005&gt;='Resultats - informe'!$D$26)*(C2005&lt;='Resultats - informe'!$E$26),0,(C2005&gt;='Resultats - informe'!$D$27)*(C2005&lt;='Resultats - informe'!$E$27),0,(C2005&gt;='Resultats - informe'!$D$28)*(C2005&lt;='Resultats - informe'!$E$28),0,(C2005&gt;='Resultats - informe'!$D$29)*(C2005&lt;='Resultats - informe'!$E$29),0,1,1)</f>
        <v>0</v>
      </c>
      <c r="N2005" s="366">
        <f>+VLOOKUP(D2005,'Resultats - informe'!$Y$18:$AG$42,'Introducció dades consum'!K2005+1,0)</f>
        <v>0</v>
      </c>
      <c r="O2005" s="370" cm="1">
        <f t="array" ref="O2005">+_xlfn.SWITCH(MONTH(C2005),1,1,2,1,3,1,4,2,5,2,6,3,7,3,8,3,9,3,10,2,11,2,12,1,2)</f>
        <v>1</v>
      </c>
      <c r="P2005" s="43"/>
    </row>
    <row r="2006" spans="1:16" ht="18" x14ac:dyDescent="0.35">
      <c r="A2006" s="43"/>
      <c r="C2006" s="393"/>
      <c r="E2006" s="394"/>
      <c r="F2006" s="394">
        <v>1.583</v>
      </c>
      <c r="G2006" s="394"/>
      <c r="H2006" s="8" t="s">
        <v>235</v>
      </c>
      <c r="I2006" s="368">
        <f t="shared" si="94"/>
        <v>0</v>
      </c>
      <c r="J2006" s="365">
        <f t="shared" si="93"/>
        <v>0</v>
      </c>
      <c r="K2006" s="369">
        <f t="shared" si="95"/>
        <v>6</v>
      </c>
      <c r="L2006" s="369">
        <f>+IF((C2006&gt;='Resultats - informe'!$E$16)*(C2006&lt;='Resultats - informe'!$G$16),1,0)</f>
        <v>1</v>
      </c>
      <c r="M2006" s="369" cm="1">
        <f t="array" ref="M2006">+_xlfn.IFS((C2006&gt;='Resultats - informe'!$D$26)*(C2006&lt;='Resultats - informe'!$E$26),0,(C2006&gt;='Resultats - informe'!$D$27)*(C2006&lt;='Resultats - informe'!$E$27),0,(C2006&gt;='Resultats - informe'!$D$28)*(C2006&lt;='Resultats - informe'!$E$28),0,(C2006&gt;='Resultats - informe'!$D$29)*(C2006&lt;='Resultats - informe'!$E$29),0,1,1)</f>
        <v>0</v>
      </c>
      <c r="N2006" s="366">
        <f>+VLOOKUP(D2006,'Resultats - informe'!$Y$18:$AG$42,'Introducció dades consum'!K2006+1,0)</f>
        <v>0</v>
      </c>
      <c r="O2006" s="370" cm="1">
        <f t="array" ref="O2006">+_xlfn.SWITCH(MONTH(C2006),1,1,2,1,3,1,4,2,5,2,6,3,7,3,8,3,9,3,10,2,11,2,12,1,2)</f>
        <v>1</v>
      </c>
      <c r="P2006" s="43"/>
    </row>
    <row r="2007" spans="1:16" ht="18" x14ac:dyDescent="0.35">
      <c r="A2007" s="43"/>
      <c r="C2007" s="393"/>
      <c r="E2007" s="394"/>
      <c r="F2007" s="394">
        <v>0</v>
      </c>
      <c r="G2007" s="394"/>
      <c r="H2007" s="8" t="s">
        <v>61</v>
      </c>
      <c r="I2007" s="368">
        <f t="shared" si="94"/>
        <v>0</v>
      </c>
      <c r="J2007" s="365">
        <f t="shared" si="93"/>
        <v>0</v>
      </c>
      <c r="K2007" s="369">
        <f t="shared" si="95"/>
        <v>6</v>
      </c>
      <c r="L2007" s="369">
        <f>+IF((C2007&gt;='Resultats - informe'!$E$16)*(C2007&lt;='Resultats - informe'!$G$16),1,0)</f>
        <v>1</v>
      </c>
      <c r="M2007" s="369" cm="1">
        <f t="array" ref="M2007">+_xlfn.IFS((C2007&gt;='Resultats - informe'!$D$26)*(C2007&lt;='Resultats - informe'!$E$26),0,(C2007&gt;='Resultats - informe'!$D$27)*(C2007&lt;='Resultats - informe'!$E$27),0,(C2007&gt;='Resultats - informe'!$D$28)*(C2007&lt;='Resultats - informe'!$E$28),0,(C2007&gt;='Resultats - informe'!$D$29)*(C2007&lt;='Resultats - informe'!$E$29),0,1,1)</f>
        <v>0</v>
      </c>
      <c r="N2007" s="366">
        <f>+VLOOKUP(D2007,'Resultats - informe'!$Y$18:$AG$42,'Introducció dades consum'!K2007+1,0)</f>
        <v>0</v>
      </c>
      <c r="O2007" s="370" cm="1">
        <f t="array" ref="O2007">+_xlfn.SWITCH(MONTH(C2007),1,1,2,1,3,1,4,2,5,2,6,3,7,3,8,3,9,3,10,2,11,2,12,1,2)</f>
        <v>1</v>
      </c>
      <c r="P2007" s="43"/>
    </row>
    <row r="2008" spans="1:16" ht="18" x14ac:dyDescent="0.35">
      <c r="A2008" s="43"/>
      <c r="C2008" s="393"/>
      <c r="E2008" s="394"/>
      <c r="F2008" s="394">
        <v>1.496</v>
      </c>
      <c r="G2008" s="394"/>
      <c r="H2008" s="8" t="s">
        <v>235</v>
      </c>
      <c r="I2008" s="368">
        <f t="shared" si="94"/>
        <v>0</v>
      </c>
      <c r="J2008" s="365">
        <f t="shared" si="93"/>
        <v>0</v>
      </c>
      <c r="K2008" s="369">
        <f t="shared" si="95"/>
        <v>6</v>
      </c>
      <c r="L2008" s="369">
        <f>+IF((C2008&gt;='Resultats - informe'!$E$16)*(C2008&lt;='Resultats - informe'!$G$16),1,0)</f>
        <v>1</v>
      </c>
      <c r="M2008" s="369" cm="1">
        <f t="array" ref="M2008">+_xlfn.IFS((C2008&gt;='Resultats - informe'!$D$26)*(C2008&lt;='Resultats - informe'!$E$26),0,(C2008&gt;='Resultats - informe'!$D$27)*(C2008&lt;='Resultats - informe'!$E$27),0,(C2008&gt;='Resultats - informe'!$D$28)*(C2008&lt;='Resultats - informe'!$E$28),0,(C2008&gt;='Resultats - informe'!$D$29)*(C2008&lt;='Resultats - informe'!$E$29),0,1,1)</f>
        <v>0</v>
      </c>
      <c r="N2008" s="366">
        <f>+VLOOKUP(D2008,'Resultats - informe'!$Y$18:$AG$42,'Introducció dades consum'!K2008+1,0)</f>
        <v>0</v>
      </c>
      <c r="O2008" s="370" cm="1">
        <f t="array" ref="O2008">+_xlfn.SWITCH(MONTH(C2008),1,1,2,1,3,1,4,2,5,2,6,3,7,3,8,3,9,3,10,2,11,2,12,1,2)</f>
        <v>1</v>
      </c>
      <c r="P2008" s="43"/>
    </row>
    <row r="2009" spans="1:16" ht="18" x14ac:dyDescent="0.35">
      <c r="A2009" s="43"/>
      <c r="C2009" s="393"/>
      <c r="E2009" s="394"/>
      <c r="F2009" s="394">
        <v>1.252</v>
      </c>
      <c r="G2009" s="394"/>
      <c r="H2009" s="8" t="s">
        <v>235</v>
      </c>
      <c r="I2009" s="368">
        <f t="shared" si="94"/>
        <v>0</v>
      </c>
      <c r="J2009" s="365">
        <f t="shared" si="93"/>
        <v>0</v>
      </c>
      <c r="K2009" s="369">
        <f t="shared" si="95"/>
        <v>6</v>
      </c>
      <c r="L2009" s="369">
        <f>+IF((C2009&gt;='Resultats - informe'!$E$16)*(C2009&lt;='Resultats - informe'!$G$16),1,0)</f>
        <v>1</v>
      </c>
      <c r="M2009" s="369" cm="1">
        <f t="array" ref="M2009">+_xlfn.IFS((C2009&gt;='Resultats - informe'!$D$26)*(C2009&lt;='Resultats - informe'!$E$26),0,(C2009&gt;='Resultats - informe'!$D$27)*(C2009&lt;='Resultats - informe'!$E$27),0,(C2009&gt;='Resultats - informe'!$D$28)*(C2009&lt;='Resultats - informe'!$E$28),0,(C2009&gt;='Resultats - informe'!$D$29)*(C2009&lt;='Resultats - informe'!$E$29),0,1,1)</f>
        <v>0</v>
      </c>
      <c r="N2009" s="366">
        <f>+VLOOKUP(D2009,'Resultats - informe'!$Y$18:$AG$42,'Introducció dades consum'!K2009+1,0)</f>
        <v>0</v>
      </c>
      <c r="O2009" s="370" cm="1">
        <f t="array" ref="O2009">+_xlfn.SWITCH(MONTH(C2009),1,1,2,1,3,1,4,2,5,2,6,3,7,3,8,3,9,3,10,2,11,2,12,1,2)</f>
        <v>1</v>
      </c>
      <c r="P2009" s="43"/>
    </row>
    <row r="2010" spans="1:16" ht="18" x14ac:dyDescent="0.35">
      <c r="A2010" s="43"/>
      <c r="C2010" s="393"/>
      <c r="E2010" s="394"/>
      <c r="F2010" s="394">
        <v>2.0529999999999999</v>
      </c>
      <c r="G2010" s="394"/>
      <c r="H2010" s="8" t="s">
        <v>61</v>
      </c>
      <c r="I2010" s="368">
        <f t="shared" si="94"/>
        <v>0</v>
      </c>
      <c r="J2010" s="365">
        <f t="shared" si="93"/>
        <v>0</v>
      </c>
      <c r="K2010" s="369">
        <f t="shared" si="95"/>
        <v>6</v>
      </c>
      <c r="L2010" s="369">
        <f>+IF((C2010&gt;='Resultats - informe'!$E$16)*(C2010&lt;='Resultats - informe'!$G$16),1,0)</f>
        <v>1</v>
      </c>
      <c r="M2010" s="369" cm="1">
        <f t="array" ref="M2010">+_xlfn.IFS((C2010&gt;='Resultats - informe'!$D$26)*(C2010&lt;='Resultats - informe'!$E$26),0,(C2010&gt;='Resultats - informe'!$D$27)*(C2010&lt;='Resultats - informe'!$E$27),0,(C2010&gt;='Resultats - informe'!$D$28)*(C2010&lt;='Resultats - informe'!$E$28),0,(C2010&gt;='Resultats - informe'!$D$29)*(C2010&lt;='Resultats - informe'!$E$29),0,1,1)</f>
        <v>0</v>
      </c>
      <c r="N2010" s="366">
        <f>+VLOOKUP(D2010,'Resultats - informe'!$Y$18:$AG$42,'Introducció dades consum'!K2010+1,0)</f>
        <v>0</v>
      </c>
      <c r="O2010" s="370" cm="1">
        <f t="array" ref="O2010">+_xlfn.SWITCH(MONTH(C2010),1,1,2,1,3,1,4,2,5,2,6,3,7,3,8,3,9,3,10,2,11,2,12,1,2)</f>
        <v>1</v>
      </c>
      <c r="P2010" s="43"/>
    </row>
    <row r="2011" spans="1:16" ht="18" x14ac:dyDescent="0.35">
      <c r="A2011" s="43"/>
      <c r="C2011" s="393"/>
      <c r="E2011" s="394"/>
      <c r="F2011" s="394">
        <v>0.33400000000000002</v>
      </c>
      <c r="G2011" s="394"/>
      <c r="H2011" s="8" t="s">
        <v>61</v>
      </c>
      <c r="I2011" s="368">
        <f t="shared" si="94"/>
        <v>0</v>
      </c>
      <c r="J2011" s="365">
        <f t="shared" si="93"/>
        <v>0</v>
      </c>
      <c r="K2011" s="369">
        <f t="shared" si="95"/>
        <v>6</v>
      </c>
      <c r="L2011" s="369">
        <f>+IF((C2011&gt;='Resultats - informe'!$E$16)*(C2011&lt;='Resultats - informe'!$G$16),1,0)</f>
        <v>1</v>
      </c>
      <c r="M2011" s="369" cm="1">
        <f t="array" ref="M2011">+_xlfn.IFS((C2011&gt;='Resultats - informe'!$D$26)*(C2011&lt;='Resultats - informe'!$E$26),0,(C2011&gt;='Resultats - informe'!$D$27)*(C2011&lt;='Resultats - informe'!$E$27),0,(C2011&gt;='Resultats - informe'!$D$28)*(C2011&lt;='Resultats - informe'!$E$28),0,(C2011&gt;='Resultats - informe'!$D$29)*(C2011&lt;='Resultats - informe'!$E$29),0,1,1)</f>
        <v>0</v>
      </c>
      <c r="N2011" s="366">
        <f>+VLOOKUP(D2011,'Resultats - informe'!$Y$18:$AG$42,'Introducció dades consum'!K2011+1,0)</f>
        <v>0</v>
      </c>
      <c r="O2011" s="370" cm="1">
        <f t="array" ref="O2011">+_xlfn.SWITCH(MONTH(C2011),1,1,2,1,3,1,4,2,5,2,6,3,7,3,8,3,9,3,10,2,11,2,12,1,2)</f>
        <v>1</v>
      </c>
      <c r="P2011" s="43"/>
    </row>
    <row r="2012" spans="1:16" ht="18" x14ac:dyDescent="0.35">
      <c r="A2012" s="43"/>
      <c r="C2012" s="393"/>
      <c r="E2012" s="394"/>
      <c r="F2012" s="394">
        <v>0.51600000000000001</v>
      </c>
      <c r="G2012" s="394"/>
      <c r="H2012" s="8" t="s">
        <v>235</v>
      </c>
      <c r="I2012" s="368">
        <f t="shared" si="94"/>
        <v>0</v>
      </c>
      <c r="J2012" s="365">
        <f t="shared" si="93"/>
        <v>0</v>
      </c>
      <c r="K2012" s="369">
        <f t="shared" si="95"/>
        <v>6</v>
      </c>
      <c r="L2012" s="369">
        <f>+IF((C2012&gt;='Resultats - informe'!$E$16)*(C2012&lt;='Resultats - informe'!$G$16),1,0)</f>
        <v>1</v>
      </c>
      <c r="M2012" s="369" cm="1">
        <f t="array" ref="M2012">+_xlfn.IFS((C2012&gt;='Resultats - informe'!$D$26)*(C2012&lt;='Resultats - informe'!$E$26),0,(C2012&gt;='Resultats - informe'!$D$27)*(C2012&lt;='Resultats - informe'!$E$27),0,(C2012&gt;='Resultats - informe'!$D$28)*(C2012&lt;='Resultats - informe'!$E$28),0,(C2012&gt;='Resultats - informe'!$D$29)*(C2012&lt;='Resultats - informe'!$E$29),0,1,1)</f>
        <v>0</v>
      </c>
      <c r="N2012" s="366">
        <f>+VLOOKUP(D2012,'Resultats - informe'!$Y$18:$AG$42,'Introducció dades consum'!K2012+1,0)</f>
        <v>0</v>
      </c>
      <c r="O2012" s="370" cm="1">
        <f t="array" ref="O2012">+_xlfn.SWITCH(MONTH(C2012),1,1,2,1,3,1,4,2,5,2,6,3,7,3,8,3,9,3,10,2,11,2,12,1,2)</f>
        <v>1</v>
      </c>
      <c r="P2012" s="43"/>
    </row>
    <row r="2013" spans="1:16" ht="18" x14ac:dyDescent="0.35">
      <c r="A2013" s="43"/>
      <c r="C2013" s="393"/>
      <c r="E2013" s="394"/>
      <c r="F2013" s="394">
        <v>0</v>
      </c>
      <c r="G2013" s="394"/>
      <c r="H2013" s="8" t="s">
        <v>235</v>
      </c>
      <c r="I2013" s="368">
        <f t="shared" si="94"/>
        <v>0</v>
      </c>
      <c r="J2013" s="365">
        <f t="shared" si="93"/>
        <v>0</v>
      </c>
      <c r="K2013" s="369">
        <f t="shared" si="95"/>
        <v>6</v>
      </c>
      <c r="L2013" s="369">
        <f>+IF((C2013&gt;='Resultats - informe'!$E$16)*(C2013&lt;='Resultats - informe'!$G$16),1,0)</f>
        <v>1</v>
      </c>
      <c r="M2013" s="369" cm="1">
        <f t="array" ref="M2013">+_xlfn.IFS((C2013&gt;='Resultats - informe'!$D$26)*(C2013&lt;='Resultats - informe'!$E$26),0,(C2013&gt;='Resultats - informe'!$D$27)*(C2013&lt;='Resultats - informe'!$E$27),0,(C2013&gt;='Resultats - informe'!$D$28)*(C2013&lt;='Resultats - informe'!$E$28),0,(C2013&gt;='Resultats - informe'!$D$29)*(C2013&lt;='Resultats - informe'!$E$29),0,1,1)</f>
        <v>0</v>
      </c>
      <c r="N2013" s="366">
        <f>+VLOOKUP(D2013,'Resultats - informe'!$Y$18:$AG$42,'Introducció dades consum'!K2013+1,0)</f>
        <v>0</v>
      </c>
      <c r="O2013" s="370" cm="1">
        <f t="array" ref="O2013">+_xlfn.SWITCH(MONTH(C2013),1,1,2,1,3,1,4,2,5,2,6,3,7,3,8,3,9,3,10,2,11,2,12,1,2)</f>
        <v>1</v>
      </c>
      <c r="P2013" s="43"/>
    </row>
    <row r="2014" spans="1:16" ht="18" x14ac:dyDescent="0.35">
      <c r="A2014" s="43"/>
      <c r="C2014" s="393"/>
      <c r="E2014" s="394"/>
      <c r="F2014" s="394">
        <v>0</v>
      </c>
      <c r="G2014" s="394"/>
      <c r="H2014" s="8" t="s">
        <v>235</v>
      </c>
      <c r="I2014" s="368">
        <f t="shared" si="94"/>
        <v>0</v>
      </c>
      <c r="J2014" s="365">
        <f t="shared" si="93"/>
        <v>0</v>
      </c>
      <c r="K2014" s="369">
        <f t="shared" si="95"/>
        <v>6</v>
      </c>
      <c r="L2014" s="369">
        <f>+IF((C2014&gt;='Resultats - informe'!$E$16)*(C2014&lt;='Resultats - informe'!$G$16),1,0)</f>
        <v>1</v>
      </c>
      <c r="M2014" s="369" cm="1">
        <f t="array" ref="M2014">+_xlfn.IFS((C2014&gt;='Resultats - informe'!$D$26)*(C2014&lt;='Resultats - informe'!$E$26),0,(C2014&gt;='Resultats - informe'!$D$27)*(C2014&lt;='Resultats - informe'!$E$27),0,(C2014&gt;='Resultats - informe'!$D$28)*(C2014&lt;='Resultats - informe'!$E$28),0,(C2014&gt;='Resultats - informe'!$D$29)*(C2014&lt;='Resultats - informe'!$E$29),0,1,1)</f>
        <v>0</v>
      </c>
      <c r="N2014" s="366">
        <f>+VLOOKUP(D2014,'Resultats - informe'!$Y$18:$AG$42,'Introducció dades consum'!K2014+1,0)</f>
        <v>0</v>
      </c>
      <c r="O2014" s="370" cm="1">
        <f t="array" ref="O2014">+_xlfn.SWITCH(MONTH(C2014),1,1,2,1,3,1,4,2,5,2,6,3,7,3,8,3,9,3,10,2,11,2,12,1,2)</f>
        <v>1</v>
      </c>
      <c r="P2014" s="43"/>
    </row>
    <row r="2015" spans="1:16" ht="18" x14ac:dyDescent="0.35">
      <c r="A2015" s="43"/>
      <c r="C2015" s="393"/>
      <c r="E2015" s="394"/>
      <c r="F2015" s="394">
        <v>0</v>
      </c>
      <c r="G2015" s="394"/>
      <c r="H2015" s="8" t="s">
        <v>61</v>
      </c>
      <c r="I2015" s="368">
        <f t="shared" si="94"/>
        <v>0</v>
      </c>
      <c r="J2015" s="365">
        <f t="shared" si="93"/>
        <v>0</v>
      </c>
      <c r="K2015" s="369">
        <f t="shared" si="95"/>
        <v>6</v>
      </c>
      <c r="L2015" s="369">
        <f>+IF((C2015&gt;='Resultats - informe'!$E$16)*(C2015&lt;='Resultats - informe'!$G$16),1,0)</f>
        <v>1</v>
      </c>
      <c r="M2015" s="369" cm="1">
        <f t="array" ref="M2015">+_xlfn.IFS((C2015&gt;='Resultats - informe'!$D$26)*(C2015&lt;='Resultats - informe'!$E$26),0,(C2015&gt;='Resultats - informe'!$D$27)*(C2015&lt;='Resultats - informe'!$E$27),0,(C2015&gt;='Resultats - informe'!$D$28)*(C2015&lt;='Resultats - informe'!$E$28),0,(C2015&gt;='Resultats - informe'!$D$29)*(C2015&lt;='Resultats - informe'!$E$29),0,1,1)</f>
        <v>0</v>
      </c>
      <c r="N2015" s="366">
        <f>+VLOOKUP(D2015,'Resultats - informe'!$Y$18:$AG$42,'Introducció dades consum'!K2015+1,0)</f>
        <v>0</v>
      </c>
      <c r="O2015" s="370" cm="1">
        <f t="array" ref="O2015">+_xlfn.SWITCH(MONTH(C2015),1,1,2,1,3,1,4,2,5,2,6,3,7,3,8,3,9,3,10,2,11,2,12,1,2)</f>
        <v>1</v>
      </c>
      <c r="P2015" s="43"/>
    </row>
    <row r="2016" spans="1:16" ht="18" x14ac:dyDescent="0.35">
      <c r="A2016" s="43"/>
      <c r="C2016" s="393"/>
      <c r="E2016" s="394"/>
      <c r="F2016" s="394">
        <v>0</v>
      </c>
      <c r="G2016" s="394"/>
      <c r="H2016" s="8" t="s">
        <v>235</v>
      </c>
      <c r="I2016" s="368">
        <f t="shared" si="94"/>
        <v>0</v>
      </c>
      <c r="J2016" s="365">
        <f t="shared" si="93"/>
        <v>0</v>
      </c>
      <c r="K2016" s="369">
        <f t="shared" si="95"/>
        <v>6</v>
      </c>
      <c r="L2016" s="369">
        <f>+IF((C2016&gt;='Resultats - informe'!$E$16)*(C2016&lt;='Resultats - informe'!$G$16),1,0)</f>
        <v>1</v>
      </c>
      <c r="M2016" s="369" cm="1">
        <f t="array" ref="M2016">+_xlfn.IFS((C2016&gt;='Resultats - informe'!$D$26)*(C2016&lt;='Resultats - informe'!$E$26),0,(C2016&gt;='Resultats - informe'!$D$27)*(C2016&lt;='Resultats - informe'!$E$27),0,(C2016&gt;='Resultats - informe'!$D$28)*(C2016&lt;='Resultats - informe'!$E$28),0,(C2016&gt;='Resultats - informe'!$D$29)*(C2016&lt;='Resultats - informe'!$E$29),0,1,1)</f>
        <v>0</v>
      </c>
      <c r="N2016" s="366">
        <f>+VLOOKUP(D2016,'Resultats - informe'!$Y$18:$AG$42,'Introducció dades consum'!K2016+1,0)</f>
        <v>0</v>
      </c>
      <c r="O2016" s="370" cm="1">
        <f t="array" ref="O2016">+_xlfn.SWITCH(MONTH(C2016),1,1,2,1,3,1,4,2,5,2,6,3,7,3,8,3,9,3,10,2,11,2,12,1,2)</f>
        <v>1</v>
      </c>
      <c r="P2016" s="43"/>
    </row>
    <row r="2017" spans="1:16" ht="18" x14ac:dyDescent="0.35">
      <c r="A2017" s="43"/>
      <c r="C2017" s="393"/>
      <c r="E2017" s="394"/>
      <c r="F2017" s="394">
        <v>0</v>
      </c>
      <c r="G2017" s="394"/>
      <c r="H2017" s="8" t="s">
        <v>235</v>
      </c>
      <c r="I2017" s="368">
        <f t="shared" si="94"/>
        <v>0</v>
      </c>
      <c r="J2017" s="365">
        <f t="shared" si="93"/>
        <v>0</v>
      </c>
      <c r="K2017" s="369">
        <f t="shared" si="95"/>
        <v>6</v>
      </c>
      <c r="L2017" s="369">
        <f>+IF((C2017&gt;='Resultats - informe'!$E$16)*(C2017&lt;='Resultats - informe'!$G$16),1,0)</f>
        <v>1</v>
      </c>
      <c r="M2017" s="369" cm="1">
        <f t="array" ref="M2017">+_xlfn.IFS((C2017&gt;='Resultats - informe'!$D$26)*(C2017&lt;='Resultats - informe'!$E$26),0,(C2017&gt;='Resultats - informe'!$D$27)*(C2017&lt;='Resultats - informe'!$E$27),0,(C2017&gt;='Resultats - informe'!$D$28)*(C2017&lt;='Resultats - informe'!$E$28),0,(C2017&gt;='Resultats - informe'!$D$29)*(C2017&lt;='Resultats - informe'!$E$29),0,1,1)</f>
        <v>0</v>
      </c>
      <c r="N2017" s="366">
        <f>+VLOOKUP(D2017,'Resultats - informe'!$Y$18:$AG$42,'Introducció dades consum'!K2017+1,0)</f>
        <v>0</v>
      </c>
      <c r="O2017" s="370" cm="1">
        <f t="array" ref="O2017">+_xlfn.SWITCH(MONTH(C2017),1,1,2,1,3,1,4,2,5,2,6,3,7,3,8,3,9,3,10,2,11,2,12,1,2)</f>
        <v>1</v>
      </c>
      <c r="P2017" s="43"/>
    </row>
    <row r="2018" spans="1:16" ht="18" x14ac:dyDescent="0.35">
      <c r="A2018" s="43"/>
      <c r="C2018" s="393"/>
      <c r="E2018" s="394"/>
      <c r="F2018" s="394">
        <v>0</v>
      </c>
      <c r="G2018" s="394"/>
      <c r="H2018" s="8" t="s">
        <v>235</v>
      </c>
      <c r="I2018" s="368">
        <f t="shared" si="94"/>
        <v>0</v>
      </c>
      <c r="J2018" s="365">
        <f t="shared" si="93"/>
        <v>0</v>
      </c>
      <c r="K2018" s="369">
        <f t="shared" si="95"/>
        <v>6</v>
      </c>
      <c r="L2018" s="369">
        <f>+IF((C2018&gt;='Resultats - informe'!$E$16)*(C2018&lt;='Resultats - informe'!$G$16),1,0)</f>
        <v>1</v>
      </c>
      <c r="M2018" s="369" cm="1">
        <f t="array" ref="M2018">+_xlfn.IFS((C2018&gt;='Resultats - informe'!$D$26)*(C2018&lt;='Resultats - informe'!$E$26),0,(C2018&gt;='Resultats - informe'!$D$27)*(C2018&lt;='Resultats - informe'!$E$27),0,(C2018&gt;='Resultats - informe'!$D$28)*(C2018&lt;='Resultats - informe'!$E$28),0,(C2018&gt;='Resultats - informe'!$D$29)*(C2018&lt;='Resultats - informe'!$E$29),0,1,1)</f>
        <v>0</v>
      </c>
      <c r="N2018" s="366">
        <f>+VLOOKUP(D2018,'Resultats - informe'!$Y$18:$AG$42,'Introducció dades consum'!K2018+1,0)</f>
        <v>0</v>
      </c>
      <c r="O2018" s="370" cm="1">
        <f t="array" ref="O2018">+_xlfn.SWITCH(MONTH(C2018),1,1,2,1,3,1,4,2,5,2,6,3,7,3,8,3,9,3,10,2,11,2,12,1,2)</f>
        <v>1</v>
      </c>
      <c r="P2018" s="43"/>
    </row>
    <row r="2019" spans="1:16" ht="18" x14ac:dyDescent="0.35">
      <c r="A2019" s="43"/>
      <c r="C2019" s="393"/>
      <c r="E2019" s="394"/>
      <c r="F2019" s="394">
        <v>0</v>
      </c>
      <c r="G2019" s="394"/>
      <c r="H2019" s="8" t="s">
        <v>235</v>
      </c>
      <c r="I2019" s="368">
        <f t="shared" si="94"/>
        <v>0</v>
      </c>
      <c r="J2019" s="365">
        <f t="shared" si="93"/>
        <v>0</v>
      </c>
      <c r="K2019" s="369">
        <f t="shared" si="95"/>
        <v>6</v>
      </c>
      <c r="L2019" s="369">
        <f>+IF((C2019&gt;='Resultats - informe'!$E$16)*(C2019&lt;='Resultats - informe'!$G$16),1,0)</f>
        <v>1</v>
      </c>
      <c r="M2019" s="369" cm="1">
        <f t="array" ref="M2019">+_xlfn.IFS((C2019&gt;='Resultats - informe'!$D$26)*(C2019&lt;='Resultats - informe'!$E$26),0,(C2019&gt;='Resultats - informe'!$D$27)*(C2019&lt;='Resultats - informe'!$E$27),0,(C2019&gt;='Resultats - informe'!$D$28)*(C2019&lt;='Resultats - informe'!$E$28),0,(C2019&gt;='Resultats - informe'!$D$29)*(C2019&lt;='Resultats - informe'!$E$29),0,1,1)</f>
        <v>0</v>
      </c>
      <c r="N2019" s="366">
        <f>+VLOOKUP(D2019,'Resultats - informe'!$Y$18:$AG$42,'Introducció dades consum'!K2019+1,0)</f>
        <v>0</v>
      </c>
      <c r="O2019" s="370" cm="1">
        <f t="array" ref="O2019">+_xlfn.SWITCH(MONTH(C2019),1,1,2,1,3,1,4,2,5,2,6,3,7,3,8,3,9,3,10,2,11,2,12,1,2)</f>
        <v>1</v>
      </c>
      <c r="P2019" s="43"/>
    </row>
    <row r="2020" spans="1:16" ht="18" x14ac:dyDescent="0.35">
      <c r="A2020" s="43"/>
      <c r="C2020" s="393"/>
      <c r="E2020" s="394"/>
      <c r="F2020" s="394">
        <v>0</v>
      </c>
      <c r="G2020" s="394"/>
      <c r="H2020" s="8" t="s">
        <v>235</v>
      </c>
      <c r="I2020" s="368">
        <f t="shared" si="94"/>
        <v>0</v>
      </c>
      <c r="J2020" s="365">
        <f t="shared" si="93"/>
        <v>0</v>
      </c>
      <c r="K2020" s="369">
        <f t="shared" si="95"/>
        <v>6</v>
      </c>
      <c r="L2020" s="369">
        <f>+IF((C2020&gt;='Resultats - informe'!$E$16)*(C2020&lt;='Resultats - informe'!$G$16),1,0)</f>
        <v>1</v>
      </c>
      <c r="M2020" s="369" cm="1">
        <f t="array" ref="M2020">+_xlfn.IFS((C2020&gt;='Resultats - informe'!$D$26)*(C2020&lt;='Resultats - informe'!$E$26),0,(C2020&gt;='Resultats - informe'!$D$27)*(C2020&lt;='Resultats - informe'!$E$27),0,(C2020&gt;='Resultats - informe'!$D$28)*(C2020&lt;='Resultats - informe'!$E$28),0,(C2020&gt;='Resultats - informe'!$D$29)*(C2020&lt;='Resultats - informe'!$E$29),0,1,1)</f>
        <v>0</v>
      </c>
      <c r="N2020" s="366">
        <f>+VLOOKUP(D2020,'Resultats - informe'!$Y$18:$AG$42,'Introducció dades consum'!K2020+1,0)</f>
        <v>0</v>
      </c>
      <c r="O2020" s="370" cm="1">
        <f t="array" ref="O2020">+_xlfn.SWITCH(MONTH(C2020),1,1,2,1,3,1,4,2,5,2,6,3,7,3,8,3,9,3,10,2,11,2,12,1,2)</f>
        <v>1</v>
      </c>
      <c r="P2020" s="43"/>
    </row>
    <row r="2021" spans="1:16" ht="18" x14ac:dyDescent="0.35">
      <c r="A2021" s="43"/>
      <c r="C2021" s="393"/>
      <c r="E2021" s="394"/>
      <c r="F2021" s="394">
        <v>0</v>
      </c>
      <c r="G2021" s="394"/>
      <c r="H2021" s="8" t="s">
        <v>235</v>
      </c>
      <c r="I2021" s="368">
        <f t="shared" si="94"/>
        <v>0</v>
      </c>
      <c r="J2021" s="365">
        <f t="shared" si="93"/>
        <v>0</v>
      </c>
      <c r="K2021" s="369">
        <f t="shared" si="95"/>
        <v>6</v>
      </c>
      <c r="L2021" s="369">
        <f>+IF((C2021&gt;='Resultats - informe'!$E$16)*(C2021&lt;='Resultats - informe'!$G$16),1,0)</f>
        <v>1</v>
      </c>
      <c r="M2021" s="369" cm="1">
        <f t="array" ref="M2021">+_xlfn.IFS((C2021&gt;='Resultats - informe'!$D$26)*(C2021&lt;='Resultats - informe'!$E$26),0,(C2021&gt;='Resultats - informe'!$D$27)*(C2021&lt;='Resultats - informe'!$E$27),0,(C2021&gt;='Resultats - informe'!$D$28)*(C2021&lt;='Resultats - informe'!$E$28),0,(C2021&gt;='Resultats - informe'!$D$29)*(C2021&lt;='Resultats - informe'!$E$29),0,1,1)</f>
        <v>0</v>
      </c>
      <c r="N2021" s="366">
        <f>+VLOOKUP(D2021,'Resultats - informe'!$Y$18:$AG$42,'Introducció dades consum'!K2021+1,0)</f>
        <v>0</v>
      </c>
      <c r="O2021" s="370" cm="1">
        <f t="array" ref="O2021">+_xlfn.SWITCH(MONTH(C2021),1,1,2,1,3,1,4,2,5,2,6,3,7,3,8,3,9,3,10,2,11,2,12,1,2)</f>
        <v>1</v>
      </c>
      <c r="P2021" s="43"/>
    </row>
    <row r="2022" spans="1:16" ht="18" x14ac:dyDescent="0.35">
      <c r="A2022" s="43"/>
      <c r="C2022" s="393"/>
      <c r="E2022" s="394"/>
      <c r="F2022" s="394">
        <v>0</v>
      </c>
      <c r="G2022" s="394"/>
      <c r="H2022" s="8" t="s">
        <v>235</v>
      </c>
      <c r="I2022" s="368">
        <f t="shared" si="94"/>
        <v>0</v>
      </c>
      <c r="J2022" s="365">
        <f t="shared" si="93"/>
        <v>0</v>
      </c>
      <c r="K2022" s="369">
        <f t="shared" si="95"/>
        <v>6</v>
      </c>
      <c r="L2022" s="369">
        <f>+IF((C2022&gt;='Resultats - informe'!$E$16)*(C2022&lt;='Resultats - informe'!$G$16),1,0)</f>
        <v>1</v>
      </c>
      <c r="M2022" s="369" cm="1">
        <f t="array" ref="M2022">+_xlfn.IFS((C2022&gt;='Resultats - informe'!$D$26)*(C2022&lt;='Resultats - informe'!$E$26),0,(C2022&gt;='Resultats - informe'!$D$27)*(C2022&lt;='Resultats - informe'!$E$27),0,(C2022&gt;='Resultats - informe'!$D$28)*(C2022&lt;='Resultats - informe'!$E$28),0,(C2022&gt;='Resultats - informe'!$D$29)*(C2022&lt;='Resultats - informe'!$E$29),0,1,1)</f>
        <v>0</v>
      </c>
      <c r="N2022" s="366">
        <f>+VLOOKUP(D2022,'Resultats - informe'!$Y$18:$AG$42,'Introducció dades consum'!K2022+1,0)</f>
        <v>0</v>
      </c>
      <c r="O2022" s="370" cm="1">
        <f t="array" ref="O2022">+_xlfn.SWITCH(MONTH(C2022),1,1,2,1,3,1,4,2,5,2,6,3,7,3,8,3,9,3,10,2,11,2,12,1,2)</f>
        <v>1</v>
      </c>
      <c r="P2022" s="43"/>
    </row>
    <row r="2023" spans="1:16" ht="18" x14ac:dyDescent="0.35">
      <c r="A2023" s="43"/>
      <c r="C2023" s="393"/>
      <c r="E2023" s="394"/>
      <c r="F2023" s="394">
        <v>0</v>
      </c>
      <c r="G2023" s="394"/>
      <c r="H2023" s="8" t="s">
        <v>235</v>
      </c>
      <c r="I2023" s="368">
        <f t="shared" si="94"/>
        <v>0</v>
      </c>
      <c r="J2023" s="365">
        <f t="shared" si="93"/>
        <v>0</v>
      </c>
      <c r="K2023" s="369">
        <f t="shared" si="95"/>
        <v>6</v>
      </c>
      <c r="L2023" s="369">
        <f>+IF((C2023&gt;='Resultats - informe'!$E$16)*(C2023&lt;='Resultats - informe'!$G$16),1,0)</f>
        <v>1</v>
      </c>
      <c r="M2023" s="369" cm="1">
        <f t="array" ref="M2023">+_xlfn.IFS((C2023&gt;='Resultats - informe'!$D$26)*(C2023&lt;='Resultats - informe'!$E$26),0,(C2023&gt;='Resultats - informe'!$D$27)*(C2023&lt;='Resultats - informe'!$E$27),0,(C2023&gt;='Resultats - informe'!$D$28)*(C2023&lt;='Resultats - informe'!$E$28),0,(C2023&gt;='Resultats - informe'!$D$29)*(C2023&lt;='Resultats - informe'!$E$29),0,1,1)</f>
        <v>0</v>
      </c>
      <c r="N2023" s="366">
        <f>+VLOOKUP(D2023,'Resultats - informe'!$Y$18:$AG$42,'Introducció dades consum'!K2023+1,0)</f>
        <v>0</v>
      </c>
      <c r="O2023" s="370" cm="1">
        <f t="array" ref="O2023">+_xlfn.SWITCH(MONTH(C2023),1,1,2,1,3,1,4,2,5,2,6,3,7,3,8,3,9,3,10,2,11,2,12,1,2)</f>
        <v>1</v>
      </c>
      <c r="P2023" s="43"/>
    </row>
    <row r="2024" spans="1:16" ht="18" x14ac:dyDescent="0.35">
      <c r="A2024" s="43"/>
      <c r="C2024" s="393"/>
      <c r="E2024" s="394"/>
      <c r="F2024" s="394">
        <v>0</v>
      </c>
      <c r="G2024" s="394"/>
      <c r="H2024" s="8" t="s">
        <v>235</v>
      </c>
      <c r="I2024" s="368">
        <f t="shared" si="94"/>
        <v>0</v>
      </c>
      <c r="J2024" s="365">
        <f t="shared" si="93"/>
        <v>0</v>
      </c>
      <c r="K2024" s="369">
        <f t="shared" si="95"/>
        <v>6</v>
      </c>
      <c r="L2024" s="369">
        <f>+IF((C2024&gt;='Resultats - informe'!$E$16)*(C2024&lt;='Resultats - informe'!$G$16),1,0)</f>
        <v>1</v>
      </c>
      <c r="M2024" s="369" cm="1">
        <f t="array" ref="M2024">+_xlfn.IFS((C2024&gt;='Resultats - informe'!$D$26)*(C2024&lt;='Resultats - informe'!$E$26),0,(C2024&gt;='Resultats - informe'!$D$27)*(C2024&lt;='Resultats - informe'!$E$27),0,(C2024&gt;='Resultats - informe'!$D$28)*(C2024&lt;='Resultats - informe'!$E$28),0,(C2024&gt;='Resultats - informe'!$D$29)*(C2024&lt;='Resultats - informe'!$E$29),0,1,1)</f>
        <v>0</v>
      </c>
      <c r="N2024" s="366">
        <f>+VLOOKUP(D2024,'Resultats - informe'!$Y$18:$AG$42,'Introducció dades consum'!K2024+1,0)</f>
        <v>0</v>
      </c>
      <c r="O2024" s="370" cm="1">
        <f t="array" ref="O2024">+_xlfn.SWITCH(MONTH(C2024),1,1,2,1,3,1,4,2,5,2,6,3,7,3,8,3,9,3,10,2,11,2,12,1,2)</f>
        <v>1</v>
      </c>
      <c r="P2024" s="43"/>
    </row>
    <row r="2025" spans="1:16" ht="18" x14ac:dyDescent="0.35">
      <c r="A2025" s="43"/>
      <c r="C2025" s="393"/>
      <c r="E2025" s="394"/>
      <c r="F2025" s="394">
        <v>0</v>
      </c>
      <c r="G2025" s="394"/>
      <c r="H2025" s="8" t="s">
        <v>235</v>
      </c>
      <c r="I2025" s="368">
        <f t="shared" si="94"/>
        <v>0</v>
      </c>
      <c r="J2025" s="365">
        <f t="shared" si="93"/>
        <v>0</v>
      </c>
      <c r="K2025" s="369">
        <f t="shared" si="95"/>
        <v>6</v>
      </c>
      <c r="L2025" s="369">
        <f>+IF((C2025&gt;='Resultats - informe'!$E$16)*(C2025&lt;='Resultats - informe'!$G$16),1,0)</f>
        <v>1</v>
      </c>
      <c r="M2025" s="369" cm="1">
        <f t="array" ref="M2025">+_xlfn.IFS((C2025&gt;='Resultats - informe'!$D$26)*(C2025&lt;='Resultats - informe'!$E$26),0,(C2025&gt;='Resultats - informe'!$D$27)*(C2025&lt;='Resultats - informe'!$E$27),0,(C2025&gt;='Resultats - informe'!$D$28)*(C2025&lt;='Resultats - informe'!$E$28),0,(C2025&gt;='Resultats - informe'!$D$29)*(C2025&lt;='Resultats - informe'!$E$29),0,1,1)</f>
        <v>0</v>
      </c>
      <c r="N2025" s="366">
        <f>+VLOOKUP(D2025,'Resultats - informe'!$Y$18:$AG$42,'Introducció dades consum'!K2025+1,0)</f>
        <v>0</v>
      </c>
      <c r="O2025" s="370" cm="1">
        <f t="array" ref="O2025">+_xlfn.SWITCH(MONTH(C2025),1,1,2,1,3,1,4,2,5,2,6,3,7,3,8,3,9,3,10,2,11,2,12,1,2)</f>
        <v>1</v>
      </c>
      <c r="P2025" s="43"/>
    </row>
    <row r="2026" spans="1:16" ht="18" x14ac:dyDescent="0.35">
      <c r="A2026" s="43"/>
      <c r="C2026" s="393"/>
      <c r="E2026" s="394"/>
      <c r="F2026" s="394">
        <v>0</v>
      </c>
      <c r="G2026" s="394"/>
      <c r="H2026" s="8" t="s">
        <v>235</v>
      </c>
      <c r="I2026" s="368">
        <f t="shared" si="94"/>
        <v>0</v>
      </c>
      <c r="J2026" s="365">
        <f t="shared" si="93"/>
        <v>0</v>
      </c>
      <c r="K2026" s="369">
        <f t="shared" si="95"/>
        <v>6</v>
      </c>
      <c r="L2026" s="369">
        <f>+IF((C2026&gt;='Resultats - informe'!$E$16)*(C2026&lt;='Resultats - informe'!$G$16),1,0)</f>
        <v>1</v>
      </c>
      <c r="M2026" s="369" cm="1">
        <f t="array" ref="M2026">+_xlfn.IFS((C2026&gt;='Resultats - informe'!$D$26)*(C2026&lt;='Resultats - informe'!$E$26),0,(C2026&gt;='Resultats - informe'!$D$27)*(C2026&lt;='Resultats - informe'!$E$27),0,(C2026&gt;='Resultats - informe'!$D$28)*(C2026&lt;='Resultats - informe'!$E$28),0,(C2026&gt;='Resultats - informe'!$D$29)*(C2026&lt;='Resultats - informe'!$E$29),0,1,1)</f>
        <v>0</v>
      </c>
      <c r="N2026" s="366">
        <f>+VLOOKUP(D2026,'Resultats - informe'!$Y$18:$AG$42,'Introducció dades consum'!K2026+1,0)</f>
        <v>0</v>
      </c>
      <c r="O2026" s="370" cm="1">
        <f t="array" ref="O2026">+_xlfn.SWITCH(MONTH(C2026),1,1,2,1,3,1,4,2,5,2,6,3,7,3,8,3,9,3,10,2,11,2,12,1,2)</f>
        <v>1</v>
      </c>
      <c r="P2026" s="43"/>
    </row>
    <row r="2027" spans="1:16" ht="18" x14ac:dyDescent="0.35">
      <c r="A2027" s="43"/>
      <c r="C2027" s="393"/>
      <c r="E2027" s="394"/>
      <c r="F2027" s="394">
        <v>0</v>
      </c>
      <c r="G2027" s="394"/>
      <c r="H2027" s="8" t="s">
        <v>235</v>
      </c>
      <c r="I2027" s="368">
        <f t="shared" si="94"/>
        <v>0</v>
      </c>
      <c r="J2027" s="365">
        <f t="shared" si="93"/>
        <v>0</v>
      </c>
      <c r="K2027" s="369">
        <f t="shared" si="95"/>
        <v>6</v>
      </c>
      <c r="L2027" s="369">
        <f>+IF((C2027&gt;='Resultats - informe'!$E$16)*(C2027&lt;='Resultats - informe'!$G$16),1,0)</f>
        <v>1</v>
      </c>
      <c r="M2027" s="369" cm="1">
        <f t="array" ref="M2027">+_xlfn.IFS((C2027&gt;='Resultats - informe'!$D$26)*(C2027&lt;='Resultats - informe'!$E$26),0,(C2027&gt;='Resultats - informe'!$D$27)*(C2027&lt;='Resultats - informe'!$E$27),0,(C2027&gt;='Resultats - informe'!$D$28)*(C2027&lt;='Resultats - informe'!$E$28),0,(C2027&gt;='Resultats - informe'!$D$29)*(C2027&lt;='Resultats - informe'!$E$29),0,1,1)</f>
        <v>0</v>
      </c>
      <c r="N2027" s="366">
        <f>+VLOOKUP(D2027,'Resultats - informe'!$Y$18:$AG$42,'Introducció dades consum'!K2027+1,0)</f>
        <v>0</v>
      </c>
      <c r="O2027" s="370" cm="1">
        <f t="array" ref="O2027">+_xlfn.SWITCH(MONTH(C2027),1,1,2,1,3,1,4,2,5,2,6,3,7,3,8,3,9,3,10,2,11,2,12,1,2)</f>
        <v>1</v>
      </c>
      <c r="P2027" s="43"/>
    </row>
    <row r="2028" spans="1:16" ht="18" x14ac:dyDescent="0.35">
      <c r="A2028" s="43"/>
      <c r="C2028" s="393"/>
      <c r="E2028" s="394"/>
      <c r="F2028" s="394">
        <v>0</v>
      </c>
      <c r="G2028" s="394"/>
      <c r="H2028" s="8" t="s">
        <v>61</v>
      </c>
      <c r="I2028" s="368">
        <f t="shared" si="94"/>
        <v>0</v>
      </c>
      <c r="J2028" s="365">
        <f t="shared" si="93"/>
        <v>0</v>
      </c>
      <c r="K2028" s="369">
        <f t="shared" si="95"/>
        <v>6</v>
      </c>
      <c r="L2028" s="369">
        <f>+IF((C2028&gt;='Resultats - informe'!$E$16)*(C2028&lt;='Resultats - informe'!$G$16),1,0)</f>
        <v>1</v>
      </c>
      <c r="M2028" s="369" cm="1">
        <f t="array" ref="M2028">+_xlfn.IFS((C2028&gt;='Resultats - informe'!$D$26)*(C2028&lt;='Resultats - informe'!$E$26),0,(C2028&gt;='Resultats - informe'!$D$27)*(C2028&lt;='Resultats - informe'!$E$27),0,(C2028&gt;='Resultats - informe'!$D$28)*(C2028&lt;='Resultats - informe'!$E$28),0,(C2028&gt;='Resultats - informe'!$D$29)*(C2028&lt;='Resultats - informe'!$E$29),0,1,1)</f>
        <v>0</v>
      </c>
      <c r="N2028" s="366">
        <f>+VLOOKUP(D2028,'Resultats - informe'!$Y$18:$AG$42,'Introducció dades consum'!K2028+1,0)</f>
        <v>0</v>
      </c>
      <c r="O2028" s="370" cm="1">
        <f t="array" ref="O2028">+_xlfn.SWITCH(MONTH(C2028),1,1,2,1,3,1,4,2,5,2,6,3,7,3,8,3,9,3,10,2,11,2,12,1,2)</f>
        <v>1</v>
      </c>
      <c r="P2028" s="43"/>
    </row>
    <row r="2029" spans="1:16" ht="18" x14ac:dyDescent="0.35">
      <c r="A2029" s="43"/>
      <c r="C2029" s="393"/>
      <c r="E2029" s="394"/>
      <c r="F2029" s="394">
        <v>0</v>
      </c>
      <c r="G2029" s="394"/>
      <c r="H2029" s="8" t="s">
        <v>61</v>
      </c>
      <c r="I2029" s="368">
        <f t="shared" si="94"/>
        <v>0</v>
      </c>
      <c r="J2029" s="365">
        <f t="shared" si="93"/>
        <v>0</v>
      </c>
      <c r="K2029" s="369">
        <f t="shared" si="95"/>
        <v>6</v>
      </c>
      <c r="L2029" s="369">
        <f>+IF((C2029&gt;='Resultats - informe'!$E$16)*(C2029&lt;='Resultats - informe'!$G$16),1,0)</f>
        <v>1</v>
      </c>
      <c r="M2029" s="369" cm="1">
        <f t="array" ref="M2029">+_xlfn.IFS((C2029&gt;='Resultats - informe'!$D$26)*(C2029&lt;='Resultats - informe'!$E$26),0,(C2029&gt;='Resultats - informe'!$D$27)*(C2029&lt;='Resultats - informe'!$E$27),0,(C2029&gt;='Resultats - informe'!$D$28)*(C2029&lt;='Resultats - informe'!$E$28),0,(C2029&gt;='Resultats - informe'!$D$29)*(C2029&lt;='Resultats - informe'!$E$29),0,1,1)</f>
        <v>0</v>
      </c>
      <c r="N2029" s="366">
        <f>+VLOOKUP(D2029,'Resultats - informe'!$Y$18:$AG$42,'Introducció dades consum'!K2029+1,0)</f>
        <v>0</v>
      </c>
      <c r="O2029" s="370" cm="1">
        <f t="array" ref="O2029">+_xlfn.SWITCH(MONTH(C2029),1,1,2,1,3,1,4,2,5,2,6,3,7,3,8,3,9,3,10,2,11,2,12,1,2)</f>
        <v>1</v>
      </c>
      <c r="P2029" s="43"/>
    </row>
    <row r="2030" spans="1:16" ht="18" x14ac:dyDescent="0.35">
      <c r="A2030" s="43"/>
      <c r="C2030" s="393"/>
      <c r="E2030" s="394"/>
      <c r="F2030" s="394">
        <v>1.9770000000000001</v>
      </c>
      <c r="G2030" s="394"/>
      <c r="H2030" s="8" t="s">
        <v>61</v>
      </c>
      <c r="I2030" s="368">
        <f t="shared" si="94"/>
        <v>0</v>
      </c>
      <c r="J2030" s="365">
        <f t="shared" si="93"/>
        <v>0</v>
      </c>
      <c r="K2030" s="369">
        <f t="shared" si="95"/>
        <v>6</v>
      </c>
      <c r="L2030" s="369">
        <f>+IF((C2030&gt;='Resultats - informe'!$E$16)*(C2030&lt;='Resultats - informe'!$G$16),1,0)</f>
        <v>1</v>
      </c>
      <c r="M2030" s="369" cm="1">
        <f t="array" ref="M2030">+_xlfn.IFS((C2030&gt;='Resultats - informe'!$D$26)*(C2030&lt;='Resultats - informe'!$E$26),0,(C2030&gt;='Resultats - informe'!$D$27)*(C2030&lt;='Resultats - informe'!$E$27),0,(C2030&gt;='Resultats - informe'!$D$28)*(C2030&lt;='Resultats - informe'!$E$28),0,(C2030&gt;='Resultats - informe'!$D$29)*(C2030&lt;='Resultats - informe'!$E$29),0,1,1)</f>
        <v>0</v>
      </c>
      <c r="N2030" s="366">
        <f>+VLOOKUP(D2030,'Resultats - informe'!$Y$18:$AG$42,'Introducció dades consum'!K2030+1,0)</f>
        <v>0</v>
      </c>
      <c r="O2030" s="370" cm="1">
        <f t="array" ref="O2030">+_xlfn.SWITCH(MONTH(C2030),1,1,2,1,3,1,4,2,5,2,6,3,7,3,8,3,9,3,10,2,11,2,12,1,2)</f>
        <v>1</v>
      </c>
      <c r="P2030" s="43"/>
    </row>
    <row r="2031" spans="1:16" ht="18" x14ac:dyDescent="0.35">
      <c r="A2031" s="43"/>
      <c r="C2031" s="393"/>
      <c r="E2031" s="394"/>
      <c r="F2031" s="394">
        <v>2.831</v>
      </c>
      <c r="G2031" s="394"/>
      <c r="H2031" s="8" t="s">
        <v>61</v>
      </c>
      <c r="I2031" s="368">
        <f t="shared" si="94"/>
        <v>0</v>
      </c>
      <c r="J2031" s="365">
        <f t="shared" si="93"/>
        <v>0</v>
      </c>
      <c r="K2031" s="369">
        <f t="shared" si="95"/>
        <v>6</v>
      </c>
      <c r="L2031" s="369">
        <f>+IF((C2031&gt;='Resultats - informe'!$E$16)*(C2031&lt;='Resultats - informe'!$G$16),1,0)</f>
        <v>1</v>
      </c>
      <c r="M2031" s="369" cm="1">
        <f t="array" ref="M2031">+_xlfn.IFS((C2031&gt;='Resultats - informe'!$D$26)*(C2031&lt;='Resultats - informe'!$E$26),0,(C2031&gt;='Resultats - informe'!$D$27)*(C2031&lt;='Resultats - informe'!$E$27),0,(C2031&gt;='Resultats - informe'!$D$28)*(C2031&lt;='Resultats - informe'!$E$28),0,(C2031&gt;='Resultats - informe'!$D$29)*(C2031&lt;='Resultats - informe'!$E$29),0,1,1)</f>
        <v>0</v>
      </c>
      <c r="N2031" s="366">
        <f>+VLOOKUP(D2031,'Resultats - informe'!$Y$18:$AG$42,'Introducció dades consum'!K2031+1,0)</f>
        <v>0</v>
      </c>
      <c r="O2031" s="370" cm="1">
        <f t="array" ref="O2031">+_xlfn.SWITCH(MONTH(C2031),1,1,2,1,3,1,4,2,5,2,6,3,7,3,8,3,9,3,10,2,11,2,12,1,2)</f>
        <v>1</v>
      </c>
      <c r="P2031" s="43"/>
    </row>
    <row r="2032" spans="1:16" ht="18" x14ac:dyDescent="0.35">
      <c r="A2032" s="43"/>
      <c r="C2032" s="393"/>
      <c r="E2032" s="394"/>
      <c r="F2032" s="394">
        <v>1.696</v>
      </c>
      <c r="G2032" s="394"/>
      <c r="H2032" s="8" t="s">
        <v>235</v>
      </c>
      <c r="I2032" s="368">
        <f t="shared" si="94"/>
        <v>0</v>
      </c>
      <c r="J2032" s="365">
        <f t="shared" si="93"/>
        <v>0</v>
      </c>
      <c r="K2032" s="369">
        <f t="shared" si="95"/>
        <v>6</v>
      </c>
      <c r="L2032" s="369">
        <f>+IF((C2032&gt;='Resultats - informe'!$E$16)*(C2032&lt;='Resultats - informe'!$G$16),1,0)</f>
        <v>1</v>
      </c>
      <c r="M2032" s="369" cm="1">
        <f t="array" ref="M2032">+_xlfn.IFS((C2032&gt;='Resultats - informe'!$D$26)*(C2032&lt;='Resultats - informe'!$E$26),0,(C2032&gt;='Resultats - informe'!$D$27)*(C2032&lt;='Resultats - informe'!$E$27),0,(C2032&gt;='Resultats - informe'!$D$28)*(C2032&lt;='Resultats - informe'!$E$28),0,(C2032&gt;='Resultats - informe'!$D$29)*(C2032&lt;='Resultats - informe'!$E$29),0,1,1)</f>
        <v>0</v>
      </c>
      <c r="N2032" s="366">
        <f>+VLOOKUP(D2032,'Resultats - informe'!$Y$18:$AG$42,'Introducció dades consum'!K2032+1,0)</f>
        <v>0</v>
      </c>
      <c r="O2032" s="370" cm="1">
        <f t="array" ref="O2032">+_xlfn.SWITCH(MONTH(C2032),1,1,2,1,3,1,4,2,5,2,6,3,7,3,8,3,9,3,10,2,11,2,12,1,2)</f>
        <v>1</v>
      </c>
      <c r="P2032" s="43"/>
    </row>
    <row r="2033" spans="1:16" ht="18" x14ac:dyDescent="0.35">
      <c r="A2033" s="43"/>
      <c r="C2033" s="393"/>
      <c r="E2033" s="394"/>
      <c r="F2033" s="394">
        <v>1.6379999999999999</v>
      </c>
      <c r="G2033" s="394"/>
      <c r="H2033" s="8" t="s">
        <v>235</v>
      </c>
      <c r="I2033" s="368">
        <f t="shared" si="94"/>
        <v>0</v>
      </c>
      <c r="J2033" s="365">
        <f t="shared" si="93"/>
        <v>0</v>
      </c>
      <c r="K2033" s="369">
        <f t="shared" si="95"/>
        <v>6</v>
      </c>
      <c r="L2033" s="369">
        <f>+IF((C2033&gt;='Resultats - informe'!$E$16)*(C2033&lt;='Resultats - informe'!$G$16),1,0)</f>
        <v>1</v>
      </c>
      <c r="M2033" s="369" cm="1">
        <f t="array" ref="M2033">+_xlfn.IFS((C2033&gt;='Resultats - informe'!$D$26)*(C2033&lt;='Resultats - informe'!$E$26),0,(C2033&gt;='Resultats - informe'!$D$27)*(C2033&lt;='Resultats - informe'!$E$27),0,(C2033&gt;='Resultats - informe'!$D$28)*(C2033&lt;='Resultats - informe'!$E$28),0,(C2033&gt;='Resultats - informe'!$D$29)*(C2033&lt;='Resultats - informe'!$E$29),0,1,1)</f>
        <v>0</v>
      </c>
      <c r="N2033" s="366">
        <f>+VLOOKUP(D2033,'Resultats - informe'!$Y$18:$AG$42,'Introducció dades consum'!K2033+1,0)</f>
        <v>0</v>
      </c>
      <c r="O2033" s="370" cm="1">
        <f t="array" ref="O2033">+_xlfn.SWITCH(MONTH(C2033),1,1,2,1,3,1,4,2,5,2,6,3,7,3,8,3,9,3,10,2,11,2,12,1,2)</f>
        <v>1</v>
      </c>
      <c r="P2033" s="43"/>
    </row>
    <row r="2034" spans="1:16" ht="18" x14ac:dyDescent="0.35">
      <c r="A2034" s="43"/>
      <c r="C2034" s="393"/>
      <c r="E2034" s="394"/>
      <c r="F2034" s="394">
        <v>2.5009999999999999</v>
      </c>
      <c r="G2034" s="394"/>
      <c r="H2034" s="8" t="s">
        <v>61</v>
      </c>
      <c r="I2034" s="368">
        <f t="shared" si="94"/>
        <v>0</v>
      </c>
      <c r="J2034" s="365">
        <f t="shared" si="93"/>
        <v>0</v>
      </c>
      <c r="K2034" s="369">
        <f t="shared" si="95"/>
        <v>6</v>
      </c>
      <c r="L2034" s="369">
        <f>+IF((C2034&gt;='Resultats - informe'!$E$16)*(C2034&lt;='Resultats - informe'!$G$16),1,0)</f>
        <v>1</v>
      </c>
      <c r="M2034" s="369" cm="1">
        <f t="array" ref="M2034">+_xlfn.IFS((C2034&gt;='Resultats - informe'!$D$26)*(C2034&lt;='Resultats - informe'!$E$26),0,(C2034&gt;='Resultats - informe'!$D$27)*(C2034&lt;='Resultats - informe'!$E$27),0,(C2034&gt;='Resultats - informe'!$D$28)*(C2034&lt;='Resultats - informe'!$E$28),0,(C2034&gt;='Resultats - informe'!$D$29)*(C2034&lt;='Resultats - informe'!$E$29),0,1,1)</f>
        <v>0</v>
      </c>
      <c r="N2034" s="366">
        <f>+VLOOKUP(D2034,'Resultats - informe'!$Y$18:$AG$42,'Introducció dades consum'!K2034+1,0)</f>
        <v>0</v>
      </c>
      <c r="O2034" s="370" cm="1">
        <f t="array" ref="O2034">+_xlfn.SWITCH(MONTH(C2034),1,1,2,1,3,1,4,2,5,2,6,3,7,3,8,3,9,3,10,2,11,2,12,1,2)</f>
        <v>1</v>
      </c>
      <c r="P2034" s="43"/>
    </row>
    <row r="2035" spans="1:16" ht="18" x14ac:dyDescent="0.35">
      <c r="A2035" s="43"/>
      <c r="C2035" s="393"/>
      <c r="E2035" s="394"/>
      <c r="F2035" s="394">
        <v>2.456</v>
      </c>
      <c r="G2035" s="394"/>
      <c r="H2035" s="8" t="s">
        <v>235</v>
      </c>
      <c r="I2035" s="368">
        <f t="shared" si="94"/>
        <v>0</v>
      </c>
      <c r="J2035" s="365">
        <f t="shared" si="93"/>
        <v>0</v>
      </c>
      <c r="K2035" s="369">
        <f t="shared" si="95"/>
        <v>6</v>
      </c>
      <c r="L2035" s="369">
        <f>+IF((C2035&gt;='Resultats - informe'!$E$16)*(C2035&lt;='Resultats - informe'!$G$16),1,0)</f>
        <v>1</v>
      </c>
      <c r="M2035" s="369" cm="1">
        <f t="array" ref="M2035">+_xlfn.IFS((C2035&gt;='Resultats - informe'!$D$26)*(C2035&lt;='Resultats - informe'!$E$26),0,(C2035&gt;='Resultats - informe'!$D$27)*(C2035&lt;='Resultats - informe'!$E$27),0,(C2035&gt;='Resultats - informe'!$D$28)*(C2035&lt;='Resultats - informe'!$E$28),0,(C2035&gt;='Resultats - informe'!$D$29)*(C2035&lt;='Resultats - informe'!$E$29),0,1,1)</f>
        <v>0</v>
      </c>
      <c r="N2035" s="366">
        <f>+VLOOKUP(D2035,'Resultats - informe'!$Y$18:$AG$42,'Introducció dades consum'!K2035+1,0)</f>
        <v>0</v>
      </c>
      <c r="O2035" s="370" cm="1">
        <f t="array" ref="O2035">+_xlfn.SWITCH(MONTH(C2035),1,1,2,1,3,1,4,2,5,2,6,3,7,3,8,3,9,3,10,2,11,2,12,1,2)</f>
        <v>1</v>
      </c>
      <c r="P2035" s="43"/>
    </row>
    <row r="2036" spans="1:16" ht="18" x14ac:dyDescent="0.35">
      <c r="A2036" s="43"/>
      <c r="C2036" s="393"/>
      <c r="E2036" s="394"/>
      <c r="F2036" s="394">
        <v>1.7629999999999999</v>
      </c>
      <c r="G2036" s="394"/>
      <c r="H2036" s="8" t="s">
        <v>235</v>
      </c>
      <c r="I2036" s="368">
        <f t="shared" si="94"/>
        <v>0</v>
      </c>
      <c r="J2036" s="365">
        <f t="shared" si="93"/>
        <v>0</v>
      </c>
      <c r="K2036" s="369">
        <f t="shared" si="95"/>
        <v>6</v>
      </c>
      <c r="L2036" s="369">
        <f>+IF((C2036&gt;='Resultats - informe'!$E$16)*(C2036&lt;='Resultats - informe'!$G$16),1,0)</f>
        <v>1</v>
      </c>
      <c r="M2036" s="369" cm="1">
        <f t="array" ref="M2036">+_xlfn.IFS((C2036&gt;='Resultats - informe'!$D$26)*(C2036&lt;='Resultats - informe'!$E$26),0,(C2036&gt;='Resultats - informe'!$D$27)*(C2036&lt;='Resultats - informe'!$E$27),0,(C2036&gt;='Resultats - informe'!$D$28)*(C2036&lt;='Resultats - informe'!$E$28),0,(C2036&gt;='Resultats - informe'!$D$29)*(C2036&lt;='Resultats - informe'!$E$29),0,1,1)</f>
        <v>0</v>
      </c>
      <c r="N2036" s="366">
        <f>+VLOOKUP(D2036,'Resultats - informe'!$Y$18:$AG$42,'Introducció dades consum'!K2036+1,0)</f>
        <v>0</v>
      </c>
      <c r="O2036" s="370" cm="1">
        <f t="array" ref="O2036">+_xlfn.SWITCH(MONTH(C2036),1,1,2,1,3,1,4,2,5,2,6,3,7,3,8,3,9,3,10,2,11,2,12,1,2)</f>
        <v>1</v>
      </c>
      <c r="P2036" s="43"/>
    </row>
    <row r="2037" spans="1:16" ht="18" x14ac:dyDescent="0.35">
      <c r="A2037" s="43"/>
      <c r="C2037" s="393"/>
      <c r="E2037" s="394"/>
      <c r="F2037" s="394">
        <v>4.2889999999999997</v>
      </c>
      <c r="G2037" s="394"/>
      <c r="H2037" s="8" t="s">
        <v>61</v>
      </c>
      <c r="I2037" s="368">
        <f t="shared" si="94"/>
        <v>0</v>
      </c>
      <c r="J2037" s="365">
        <f t="shared" si="93"/>
        <v>0</v>
      </c>
      <c r="K2037" s="369">
        <f t="shared" si="95"/>
        <v>6</v>
      </c>
      <c r="L2037" s="369">
        <f>+IF((C2037&gt;='Resultats - informe'!$E$16)*(C2037&lt;='Resultats - informe'!$G$16),1,0)</f>
        <v>1</v>
      </c>
      <c r="M2037" s="369" cm="1">
        <f t="array" ref="M2037">+_xlfn.IFS((C2037&gt;='Resultats - informe'!$D$26)*(C2037&lt;='Resultats - informe'!$E$26),0,(C2037&gt;='Resultats - informe'!$D$27)*(C2037&lt;='Resultats - informe'!$E$27),0,(C2037&gt;='Resultats - informe'!$D$28)*(C2037&lt;='Resultats - informe'!$E$28),0,(C2037&gt;='Resultats - informe'!$D$29)*(C2037&lt;='Resultats - informe'!$E$29),0,1,1)</f>
        <v>0</v>
      </c>
      <c r="N2037" s="366">
        <f>+VLOOKUP(D2037,'Resultats - informe'!$Y$18:$AG$42,'Introducció dades consum'!K2037+1,0)</f>
        <v>0</v>
      </c>
      <c r="O2037" s="370" cm="1">
        <f t="array" ref="O2037">+_xlfn.SWITCH(MONTH(C2037),1,1,2,1,3,1,4,2,5,2,6,3,7,3,8,3,9,3,10,2,11,2,12,1,2)</f>
        <v>1</v>
      </c>
      <c r="P2037" s="43"/>
    </row>
    <row r="2038" spans="1:16" ht="18" x14ac:dyDescent="0.35">
      <c r="A2038" s="43"/>
      <c r="C2038" s="393"/>
      <c r="E2038" s="394"/>
      <c r="F2038" s="394">
        <v>1.986</v>
      </c>
      <c r="G2038" s="394"/>
      <c r="H2038" s="8" t="s">
        <v>61</v>
      </c>
      <c r="I2038" s="368">
        <f t="shared" si="94"/>
        <v>0</v>
      </c>
      <c r="J2038" s="365">
        <f t="shared" si="93"/>
        <v>0</v>
      </c>
      <c r="K2038" s="369">
        <f t="shared" si="95"/>
        <v>6</v>
      </c>
      <c r="L2038" s="369">
        <f>+IF((C2038&gt;='Resultats - informe'!$E$16)*(C2038&lt;='Resultats - informe'!$G$16),1,0)</f>
        <v>1</v>
      </c>
      <c r="M2038" s="369" cm="1">
        <f t="array" ref="M2038">+_xlfn.IFS((C2038&gt;='Resultats - informe'!$D$26)*(C2038&lt;='Resultats - informe'!$E$26),0,(C2038&gt;='Resultats - informe'!$D$27)*(C2038&lt;='Resultats - informe'!$E$27),0,(C2038&gt;='Resultats - informe'!$D$28)*(C2038&lt;='Resultats - informe'!$E$28),0,(C2038&gt;='Resultats - informe'!$D$29)*(C2038&lt;='Resultats - informe'!$E$29),0,1,1)</f>
        <v>0</v>
      </c>
      <c r="N2038" s="366">
        <f>+VLOOKUP(D2038,'Resultats - informe'!$Y$18:$AG$42,'Introducció dades consum'!K2038+1,0)</f>
        <v>0</v>
      </c>
      <c r="O2038" s="370" cm="1">
        <f t="array" ref="O2038">+_xlfn.SWITCH(MONTH(C2038),1,1,2,1,3,1,4,2,5,2,6,3,7,3,8,3,9,3,10,2,11,2,12,1,2)</f>
        <v>1</v>
      </c>
      <c r="P2038" s="43"/>
    </row>
    <row r="2039" spans="1:16" ht="18" x14ac:dyDescent="0.35">
      <c r="A2039" s="43"/>
      <c r="C2039" s="393"/>
      <c r="E2039" s="394"/>
      <c r="F2039" s="394">
        <v>0</v>
      </c>
      <c r="G2039" s="394"/>
      <c r="H2039" s="8" t="s">
        <v>235</v>
      </c>
      <c r="I2039" s="368">
        <f t="shared" si="94"/>
        <v>0</v>
      </c>
      <c r="J2039" s="365">
        <f t="shared" si="93"/>
        <v>0</v>
      </c>
      <c r="K2039" s="369">
        <f t="shared" si="95"/>
        <v>6</v>
      </c>
      <c r="L2039" s="369">
        <f>+IF((C2039&gt;='Resultats - informe'!$E$16)*(C2039&lt;='Resultats - informe'!$G$16),1,0)</f>
        <v>1</v>
      </c>
      <c r="M2039" s="369" cm="1">
        <f t="array" ref="M2039">+_xlfn.IFS((C2039&gt;='Resultats - informe'!$D$26)*(C2039&lt;='Resultats - informe'!$E$26),0,(C2039&gt;='Resultats - informe'!$D$27)*(C2039&lt;='Resultats - informe'!$E$27),0,(C2039&gt;='Resultats - informe'!$D$28)*(C2039&lt;='Resultats - informe'!$E$28),0,(C2039&gt;='Resultats - informe'!$D$29)*(C2039&lt;='Resultats - informe'!$E$29),0,1,1)</f>
        <v>0</v>
      </c>
      <c r="N2039" s="366">
        <f>+VLOOKUP(D2039,'Resultats - informe'!$Y$18:$AG$42,'Introducció dades consum'!K2039+1,0)</f>
        <v>0</v>
      </c>
      <c r="O2039" s="370" cm="1">
        <f t="array" ref="O2039">+_xlfn.SWITCH(MONTH(C2039),1,1,2,1,3,1,4,2,5,2,6,3,7,3,8,3,9,3,10,2,11,2,12,1,2)</f>
        <v>1</v>
      </c>
      <c r="P2039" s="43"/>
    </row>
    <row r="2040" spans="1:16" ht="18" x14ac:dyDescent="0.35">
      <c r="A2040" s="43"/>
      <c r="C2040" s="393"/>
      <c r="E2040" s="394"/>
      <c r="F2040" s="394">
        <v>0</v>
      </c>
      <c r="G2040" s="394"/>
      <c r="H2040" s="8" t="s">
        <v>235</v>
      </c>
      <c r="I2040" s="368">
        <f t="shared" si="94"/>
        <v>0</v>
      </c>
      <c r="J2040" s="365">
        <f t="shared" si="93"/>
        <v>0</v>
      </c>
      <c r="K2040" s="369">
        <f t="shared" si="95"/>
        <v>6</v>
      </c>
      <c r="L2040" s="369">
        <f>+IF((C2040&gt;='Resultats - informe'!$E$16)*(C2040&lt;='Resultats - informe'!$G$16),1,0)</f>
        <v>1</v>
      </c>
      <c r="M2040" s="369" cm="1">
        <f t="array" ref="M2040">+_xlfn.IFS((C2040&gt;='Resultats - informe'!$D$26)*(C2040&lt;='Resultats - informe'!$E$26),0,(C2040&gt;='Resultats - informe'!$D$27)*(C2040&lt;='Resultats - informe'!$E$27),0,(C2040&gt;='Resultats - informe'!$D$28)*(C2040&lt;='Resultats - informe'!$E$28),0,(C2040&gt;='Resultats - informe'!$D$29)*(C2040&lt;='Resultats - informe'!$E$29),0,1,1)</f>
        <v>0</v>
      </c>
      <c r="N2040" s="366">
        <f>+VLOOKUP(D2040,'Resultats - informe'!$Y$18:$AG$42,'Introducció dades consum'!K2040+1,0)</f>
        <v>0</v>
      </c>
      <c r="O2040" s="370" cm="1">
        <f t="array" ref="O2040">+_xlfn.SWITCH(MONTH(C2040),1,1,2,1,3,1,4,2,5,2,6,3,7,3,8,3,9,3,10,2,11,2,12,1,2)</f>
        <v>1</v>
      </c>
      <c r="P2040" s="43"/>
    </row>
    <row r="2041" spans="1:16" ht="18" x14ac:dyDescent="0.35">
      <c r="A2041" s="43"/>
      <c r="C2041" s="393"/>
      <c r="E2041" s="394"/>
      <c r="F2041" s="394">
        <v>0</v>
      </c>
      <c r="G2041" s="394"/>
      <c r="H2041" s="8" t="s">
        <v>235</v>
      </c>
      <c r="I2041" s="368">
        <f t="shared" si="94"/>
        <v>0</v>
      </c>
      <c r="J2041" s="365">
        <f t="shared" si="93"/>
        <v>0</v>
      </c>
      <c r="K2041" s="369">
        <f t="shared" si="95"/>
        <v>6</v>
      </c>
      <c r="L2041" s="369">
        <f>+IF((C2041&gt;='Resultats - informe'!$E$16)*(C2041&lt;='Resultats - informe'!$G$16),1,0)</f>
        <v>1</v>
      </c>
      <c r="M2041" s="369" cm="1">
        <f t="array" ref="M2041">+_xlfn.IFS((C2041&gt;='Resultats - informe'!$D$26)*(C2041&lt;='Resultats - informe'!$E$26),0,(C2041&gt;='Resultats - informe'!$D$27)*(C2041&lt;='Resultats - informe'!$E$27),0,(C2041&gt;='Resultats - informe'!$D$28)*(C2041&lt;='Resultats - informe'!$E$28),0,(C2041&gt;='Resultats - informe'!$D$29)*(C2041&lt;='Resultats - informe'!$E$29),0,1,1)</f>
        <v>0</v>
      </c>
      <c r="N2041" s="366">
        <f>+VLOOKUP(D2041,'Resultats - informe'!$Y$18:$AG$42,'Introducció dades consum'!K2041+1,0)</f>
        <v>0</v>
      </c>
      <c r="O2041" s="370" cm="1">
        <f t="array" ref="O2041">+_xlfn.SWITCH(MONTH(C2041),1,1,2,1,3,1,4,2,5,2,6,3,7,3,8,3,9,3,10,2,11,2,12,1,2)</f>
        <v>1</v>
      </c>
      <c r="P2041" s="43"/>
    </row>
    <row r="2042" spans="1:16" ht="18" x14ac:dyDescent="0.35">
      <c r="A2042" s="43"/>
      <c r="C2042" s="393"/>
      <c r="E2042" s="394"/>
      <c r="F2042" s="394">
        <v>0</v>
      </c>
      <c r="G2042" s="394"/>
      <c r="H2042" s="8" t="s">
        <v>235</v>
      </c>
      <c r="I2042" s="368">
        <f t="shared" si="94"/>
        <v>0</v>
      </c>
      <c r="J2042" s="365">
        <f t="shared" si="93"/>
        <v>0</v>
      </c>
      <c r="K2042" s="369">
        <f t="shared" si="95"/>
        <v>6</v>
      </c>
      <c r="L2042" s="369">
        <f>+IF((C2042&gt;='Resultats - informe'!$E$16)*(C2042&lt;='Resultats - informe'!$G$16),1,0)</f>
        <v>1</v>
      </c>
      <c r="M2042" s="369" cm="1">
        <f t="array" ref="M2042">+_xlfn.IFS((C2042&gt;='Resultats - informe'!$D$26)*(C2042&lt;='Resultats - informe'!$E$26),0,(C2042&gt;='Resultats - informe'!$D$27)*(C2042&lt;='Resultats - informe'!$E$27),0,(C2042&gt;='Resultats - informe'!$D$28)*(C2042&lt;='Resultats - informe'!$E$28),0,(C2042&gt;='Resultats - informe'!$D$29)*(C2042&lt;='Resultats - informe'!$E$29),0,1,1)</f>
        <v>0</v>
      </c>
      <c r="N2042" s="366">
        <f>+VLOOKUP(D2042,'Resultats - informe'!$Y$18:$AG$42,'Introducció dades consum'!K2042+1,0)</f>
        <v>0</v>
      </c>
      <c r="O2042" s="370" cm="1">
        <f t="array" ref="O2042">+_xlfn.SWITCH(MONTH(C2042),1,1,2,1,3,1,4,2,5,2,6,3,7,3,8,3,9,3,10,2,11,2,12,1,2)</f>
        <v>1</v>
      </c>
      <c r="P2042" s="43"/>
    </row>
    <row r="2043" spans="1:16" ht="18" x14ac:dyDescent="0.35">
      <c r="A2043" s="43"/>
      <c r="C2043" s="393"/>
      <c r="E2043" s="394"/>
      <c r="F2043" s="394">
        <v>0</v>
      </c>
      <c r="G2043" s="394"/>
      <c r="H2043" s="8" t="s">
        <v>235</v>
      </c>
      <c r="I2043" s="368">
        <f t="shared" si="94"/>
        <v>0</v>
      </c>
      <c r="J2043" s="365">
        <f t="shared" ref="J2043:J2106" si="96">+C2043</f>
        <v>0</v>
      </c>
      <c r="K2043" s="369">
        <f t="shared" si="95"/>
        <v>6</v>
      </c>
      <c r="L2043" s="369">
        <f>+IF((C2043&gt;='Resultats - informe'!$E$16)*(C2043&lt;='Resultats - informe'!$G$16),1,0)</f>
        <v>1</v>
      </c>
      <c r="M2043" s="369" cm="1">
        <f t="array" ref="M2043">+_xlfn.IFS((C2043&gt;='Resultats - informe'!$D$26)*(C2043&lt;='Resultats - informe'!$E$26),0,(C2043&gt;='Resultats - informe'!$D$27)*(C2043&lt;='Resultats - informe'!$E$27),0,(C2043&gt;='Resultats - informe'!$D$28)*(C2043&lt;='Resultats - informe'!$E$28),0,(C2043&gt;='Resultats - informe'!$D$29)*(C2043&lt;='Resultats - informe'!$E$29),0,1,1)</f>
        <v>0</v>
      </c>
      <c r="N2043" s="366">
        <f>+VLOOKUP(D2043,'Resultats - informe'!$Y$18:$AG$42,'Introducció dades consum'!K2043+1,0)</f>
        <v>0</v>
      </c>
      <c r="O2043" s="370" cm="1">
        <f t="array" ref="O2043">+_xlfn.SWITCH(MONTH(C2043),1,1,2,1,3,1,4,2,5,2,6,3,7,3,8,3,9,3,10,2,11,2,12,1,2)</f>
        <v>1</v>
      </c>
      <c r="P2043" s="43"/>
    </row>
    <row r="2044" spans="1:16" ht="18" x14ac:dyDescent="0.35">
      <c r="A2044" s="43"/>
      <c r="C2044" s="393"/>
      <c r="E2044" s="394"/>
      <c r="F2044" s="394">
        <v>0</v>
      </c>
      <c r="G2044" s="394"/>
      <c r="H2044" s="8" t="s">
        <v>235</v>
      </c>
      <c r="I2044" s="368">
        <f t="shared" si="94"/>
        <v>0</v>
      </c>
      <c r="J2044" s="365">
        <f t="shared" si="96"/>
        <v>0</v>
      </c>
      <c r="K2044" s="369">
        <f t="shared" si="95"/>
        <v>6</v>
      </c>
      <c r="L2044" s="369">
        <f>+IF((C2044&gt;='Resultats - informe'!$E$16)*(C2044&lt;='Resultats - informe'!$G$16),1,0)</f>
        <v>1</v>
      </c>
      <c r="M2044" s="369" cm="1">
        <f t="array" ref="M2044">+_xlfn.IFS((C2044&gt;='Resultats - informe'!$D$26)*(C2044&lt;='Resultats - informe'!$E$26),0,(C2044&gt;='Resultats - informe'!$D$27)*(C2044&lt;='Resultats - informe'!$E$27),0,(C2044&gt;='Resultats - informe'!$D$28)*(C2044&lt;='Resultats - informe'!$E$28),0,(C2044&gt;='Resultats - informe'!$D$29)*(C2044&lt;='Resultats - informe'!$E$29),0,1,1)</f>
        <v>0</v>
      </c>
      <c r="N2044" s="366">
        <f>+VLOOKUP(D2044,'Resultats - informe'!$Y$18:$AG$42,'Introducció dades consum'!K2044+1,0)</f>
        <v>0</v>
      </c>
      <c r="O2044" s="370" cm="1">
        <f t="array" ref="O2044">+_xlfn.SWITCH(MONTH(C2044),1,1,2,1,3,1,4,2,5,2,6,3,7,3,8,3,9,3,10,2,11,2,12,1,2)</f>
        <v>1</v>
      </c>
      <c r="P2044" s="43"/>
    </row>
    <row r="2045" spans="1:16" ht="18" x14ac:dyDescent="0.35">
      <c r="A2045" s="43"/>
      <c r="C2045" s="393"/>
      <c r="E2045" s="394"/>
      <c r="F2045" s="394">
        <v>0</v>
      </c>
      <c r="G2045" s="394"/>
      <c r="H2045" s="8" t="s">
        <v>235</v>
      </c>
      <c r="I2045" s="368">
        <f t="shared" si="94"/>
        <v>0</v>
      </c>
      <c r="J2045" s="365">
        <f t="shared" si="96"/>
        <v>0</v>
      </c>
      <c r="K2045" s="369">
        <f t="shared" si="95"/>
        <v>6</v>
      </c>
      <c r="L2045" s="369">
        <f>+IF((C2045&gt;='Resultats - informe'!$E$16)*(C2045&lt;='Resultats - informe'!$G$16),1,0)</f>
        <v>1</v>
      </c>
      <c r="M2045" s="369" cm="1">
        <f t="array" ref="M2045">+_xlfn.IFS((C2045&gt;='Resultats - informe'!$D$26)*(C2045&lt;='Resultats - informe'!$E$26),0,(C2045&gt;='Resultats - informe'!$D$27)*(C2045&lt;='Resultats - informe'!$E$27),0,(C2045&gt;='Resultats - informe'!$D$28)*(C2045&lt;='Resultats - informe'!$E$28),0,(C2045&gt;='Resultats - informe'!$D$29)*(C2045&lt;='Resultats - informe'!$E$29),0,1,1)</f>
        <v>0</v>
      </c>
      <c r="N2045" s="366">
        <f>+VLOOKUP(D2045,'Resultats - informe'!$Y$18:$AG$42,'Introducció dades consum'!K2045+1,0)</f>
        <v>0</v>
      </c>
      <c r="O2045" s="370" cm="1">
        <f t="array" ref="O2045">+_xlfn.SWITCH(MONTH(C2045),1,1,2,1,3,1,4,2,5,2,6,3,7,3,8,3,9,3,10,2,11,2,12,1,2)</f>
        <v>1</v>
      </c>
      <c r="P2045" s="43"/>
    </row>
    <row r="2046" spans="1:16" ht="18" x14ac:dyDescent="0.35">
      <c r="A2046" s="43"/>
      <c r="C2046" s="393"/>
      <c r="E2046" s="394"/>
      <c r="F2046" s="394">
        <v>0</v>
      </c>
      <c r="G2046" s="394"/>
      <c r="H2046" s="8" t="s">
        <v>235</v>
      </c>
      <c r="I2046" s="368">
        <f t="shared" si="94"/>
        <v>0</v>
      </c>
      <c r="J2046" s="365">
        <f t="shared" si="96"/>
        <v>0</v>
      </c>
      <c r="K2046" s="369">
        <f t="shared" si="95"/>
        <v>6</v>
      </c>
      <c r="L2046" s="369">
        <f>+IF((C2046&gt;='Resultats - informe'!$E$16)*(C2046&lt;='Resultats - informe'!$G$16),1,0)</f>
        <v>1</v>
      </c>
      <c r="M2046" s="369" cm="1">
        <f t="array" ref="M2046">+_xlfn.IFS((C2046&gt;='Resultats - informe'!$D$26)*(C2046&lt;='Resultats - informe'!$E$26),0,(C2046&gt;='Resultats - informe'!$D$27)*(C2046&lt;='Resultats - informe'!$E$27),0,(C2046&gt;='Resultats - informe'!$D$28)*(C2046&lt;='Resultats - informe'!$E$28),0,(C2046&gt;='Resultats - informe'!$D$29)*(C2046&lt;='Resultats - informe'!$E$29),0,1,1)</f>
        <v>0</v>
      </c>
      <c r="N2046" s="366">
        <f>+VLOOKUP(D2046,'Resultats - informe'!$Y$18:$AG$42,'Introducció dades consum'!K2046+1,0)</f>
        <v>0</v>
      </c>
      <c r="O2046" s="370" cm="1">
        <f t="array" ref="O2046">+_xlfn.SWITCH(MONTH(C2046),1,1,2,1,3,1,4,2,5,2,6,3,7,3,8,3,9,3,10,2,11,2,12,1,2)</f>
        <v>1</v>
      </c>
      <c r="P2046" s="43"/>
    </row>
    <row r="2047" spans="1:16" ht="18" x14ac:dyDescent="0.35">
      <c r="A2047" s="43"/>
      <c r="C2047" s="393"/>
      <c r="E2047" s="394"/>
      <c r="F2047" s="394">
        <v>0</v>
      </c>
      <c r="G2047" s="394"/>
      <c r="H2047" s="8" t="s">
        <v>235</v>
      </c>
      <c r="I2047" s="368">
        <f t="shared" si="94"/>
        <v>0</v>
      </c>
      <c r="J2047" s="365">
        <f t="shared" si="96"/>
        <v>0</v>
      </c>
      <c r="K2047" s="369">
        <f t="shared" si="95"/>
        <v>6</v>
      </c>
      <c r="L2047" s="369">
        <f>+IF((C2047&gt;='Resultats - informe'!$E$16)*(C2047&lt;='Resultats - informe'!$G$16),1,0)</f>
        <v>1</v>
      </c>
      <c r="M2047" s="369" cm="1">
        <f t="array" ref="M2047">+_xlfn.IFS((C2047&gt;='Resultats - informe'!$D$26)*(C2047&lt;='Resultats - informe'!$E$26),0,(C2047&gt;='Resultats - informe'!$D$27)*(C2047&lt;='Resultats - informe'!$E$27),0,(C2047&gt;='Resultats - informe'!$D$28)*(C2047&lt;='Resultats - informe'!$E$28),0,(C2047&gt;='Resultats - informe'!$D$29)*(C2047&lt;='Resultats - informe'!$E$29),0,1,1)</f>
        <v>0</v>
      </c>
      <c r="N2047" s="366">
        <f>+VLOOKUP(D2047,'Resultats - informe'!$Y$18:$AG$42,'Introducció dades consum'!K2047+1,0)</f>
        <v>0</v>
      </c>
      <c r="O2047" s="370" cm="1">
        <f t="array" ref="O2047">+_xlfn.SWITCH(MONTH(C2047),1,1,2,1,3,1,4,2,5,2,6,3,7,3,8,3,9,3,10,2,11,2,12,1,2)</f>
        <v>1</v>
      </c>
      <c r="P2047" s="43"/>
    </row>
    <row r="2048" spans="1:16" ht="18" x14ac:dyDescent="0.35">
      <c r="A2048" s="43"/>
      <c r="C2048" s="393"/>
      <c r="E2048" s="394"/>
      <c r="F2048" s="394">
        <v>0</v>
      </c>
      <c r="G2048" s="394"/>
      <c r="H2048" s="8" t="s">
        <v>235</v>
      </c>
      <c r="I2048" s="368">
        <f t="shared" si="94"/>
        <v>0</v>
      </c>
      <c r="J2048" s="365">
        <f t="shared" si="96"/>
        <v>0</v>
      </c>
      <c r="K2048" s="369">
        <f t="shared" si="95"/>
        <v>6</v>
      </c>
      <c r="L2048" s="369">
        <f>+IF((C2048&gt;='Resultats - informe'!$E$16)*(C2048&lt;='Resultats - informe'!$G$16),1,0)</f>
        <v>1</v>
      </c>
      <c r="M2048" s="369" cm="1">
        <f t="array" ref="M2048">+_xlfn.IFS((C2048&gt;='Resultats - informe'!$D$26)*(C2048&lt;='Resultats - informe'!$E$26),0,(C2048&gt;='Resultats - informe'!$D$27)*(C2048&lt;='Resultats - informe'!$E$27),0,(C2048&gt;='Resultats - informe'!$D$28)*(C2048&lt;='Resultats - informe'!$E$28),0,(C2048&gt;='Resultats - informe'!$D$29)*(C2048&lt;='Resultats - informe'!$E$29),0,1,1)</f>
        <v>0</v>
      </c>
      <c r="N2048" s="366">
        <f>+VLOOKUP(D2048,'Resultats - informe'!$Y$18:$AG$42,'Introducció dades consum'!K2048+1,0)</f>
        <v>0</v>
      </c>
      <c r="O2048" s="370" cm="1">
        <f t="array" ref="O2048">+_xlfn.SWITCH(MONTH(C2048),1,1,2,1,3,1,4,2,5,2,6,3,7,3,8,3,9,3,10,2,11,2,12,1,2)</f>
        <v>1</v>
      </c>
      <c r="P2048" s="43"/>
    </row>
    <row r="2049" spans="1:16" ht="18" x14ac:dyDescent="0.35">
      <c r="A2049" s="43"/>
      <c r="C2049" s="393"/>
      <c r="E2049" s="394"/>
      <c r="F2049" s="394">
        <v>0</v>
      </c>
      <c r="G2049" s="394"/>
      <c r="H2049" s="8" t="s">
        <v>235</v>
      </c>
      <c r="I2049" s="368">
        <f t="shared" si="94"/>
        <v>0</v>
      </c>
      <c r="J2049" s="365">
        <f t="shared" si="96"/>
        <v>0</v>
      </c>
      <c r="K2049" s="369">
        <f t="shared" si="95"/>
        <v>6</v>
      </c>
      <c r="L2049" s="369">
        <f>+IF((C2049&gt;='Resultats - informe'!$E$16)*(C2049&lt;='Resultats - informe'!$G$16),1,0)</f>
        <v>1</v>
      </c>
      <c r="M2049" s="369" cm="1">
        <f t="array" ref="M2049">+_xlfn.IFS((C2049&gt;='Resultats - informe'!$D$26)*(C2049&lt;='Resultats - informe'!$E$26),0,(C2049&gt;='Resultats - informe'!$D$27)*(C2049&lt;='Resultats - informe'!$E$27),0,(C2049&gt;='Resultats - informe'!$D$28)*(C2049&lt;='Resultats - informe'!$E$28),0,(C2049&gt;='Resultats - informe'!$D$29)*(C2049&lt;='Resultats - informe'!$E$29),0,1,1)</f>
        <v>0</v>
      </c>
      <c r="N2049" s="366">
        <f>+VLOOKUP(D2049,'Resultats - informe'!$Y$18:$AG$42,'Introducció dades consum'!K2049+1,0)</f>
        <v>0</v>
      </c>
      <c r="O2049" s="370" cm="1">
        <f t="array" ref="O2049">+_xlfn.SWITCH(MONTH(C2049),1,1,2,1,3,1,4,2,5,2,6,3,7,3,8,3,9,3,10,2,11,2,12,1,2)</f>
        <v>1</v>
      </c>
      <c r="P2049" s="43"/>
    </row>
    <row r="2050" spans="1:16" ht="18" x14ac:dyDescent="0.35">
      <c r="A2050" s="43"/>
      <c r="C2050" s="393"/>
      <c r="E2050" s="394"/>
      <c r="F2050" s="394">
        <v>0</v>
      </c>
      <c r="G2050" s="394"/>
      <c r="H2050" s="8" t="s">
        <v>235</v>
      </c>
      <c r="I2050" s="368">
        <f t="shared" si="94"/>
        <v>0</v>
      </c>
      <c r="J2050" s="365">
        <f t="shared" si="96"/>
        <v>0</v>
      </c>
      <c r="K2050" s="369">
        <f t="shared" si="95"/>
        <v>6</v>
      </c>
      <c r="L2050" s="369">
        <f>+IF((C2050&gt;='Resultats - informe'!$E$16)*(C2050&lt;='Resultats - informe'!$G$16),1,0)</f>
        <v>1</v>
      </c>
      <c r="M2050" s="369" cm="1">
        <f t="array" ref="M2050">+_xlfn.IFS((C2050&gt;='Resultats - informe'!$D$26)*(C2050&lt;='Resultats - informe'!$E$26),0,(C2050&gt;='Resultats - informe'!$D$27)*(C2050&lt;='Resultats - informe'!$E$27),0,(C2050&gt;='Resultats - informe'!$D$28)*(C2050&lt;='Resultats - informe'!$E$28),0,(C2050&gt;='Resultats - informe'!$D$29)*(C2050&lt;='Resultats - informe'!$E$29),0,1,1)</f>
        <v>0</v>
      </c>
      <c r="N2050" s="366">
        <f>+VLOOKUP(D2050,'Resultats - informe'!$Y$18:$AG$42,'Introducció dades consum'!K2050+1,0)</f>
        <v>0</v>
      </c>
      <c r="O2050" s="370" cm="1">
        <f t="array" ref="O2050">+_xlfn.SWITCH(MONTH(C2050),1,1,2,1,3,1,4,2,5,2,6,3,7,3,8,3,9,3,10,2,11,2,12,1,2)</f>
        <v>1</v>
      </c>
      <c r="P2050" s="43"/>
    </row>
    <row r="2051" spans="1:16" ht="18" x14ac:dyDescent="0.35">
      <c r="A2051" s="43"/>
      <c r="C2051" s="393"/>
      <c r="E2051" s="394"/>
      <c r="F2051" s="394">
        <v>0</v>
      </c>
      <c r="G2051" s="394"/>
      <c r="H2051" s="8" t="s">
        <v>235</v>
      </c>
      <c r="I2051" s="368">
        <f t="shared" si="94"/>
        <v>0</v>
      </c>
      <c r="J2051" s="365">
        <f t="shared" si="96"/>
        <v>0</v>
      </c>
      <c r="K2051" s="369">
        <f t="shared" si="95"/>
        <v>6</v>
      </c>
      <c r="L2051" s="369">
        <f>+IF((C2051&gt;='Resultats - informe'!$E$16)*(C2051&lt;='Resultats - informe'!$G$16),1,0)</f>
        <v>1</v>
      </c>
      <c r="M2051" s="369" cm="1">
        <f t="array" ref="M2051">+_xlfn.IFS((C2051&gt;='Resultats - informe'!$D$26)*(C2051&lt;='Resultats - informe'!$E$26),0,(C2051&gt;='Resultats - informe'!$D$27)*(C2051&lt;='Resultats - informe'!$E$27),0,(C2051&gt;='Resultats - informe'!$D$28)*(C2051&lt;='Resultats - informe'!$E$28),0,(C2051&gt;='Resultats - informe'!$D$29)*(C2051&lt;='Resultats - informe'!$E$29),0,1,1)</f>
        <v>0</v>
      </c>
      <c r="N2051" s="366">
        <f>+VLOOKUP(D2051,'Resultats - informe'!$Y$18:$AG$42,'Introducció dades consum'!K2051+1,0)</f>
        <v>0</v>
      </c>
      <c r="O2051" s="370" cm="1">
        <f t="array" ref="O2051">+_xlfn.SWITCH(MONTH(C2051),1,1,2,1,3,1,4,2,5,2,6,3,7,3,8,3,9,3,10,2,11,2,12,1,2)</f>
        <v>1</v>
      </c>
      <c r="P2051" s="43"/>
    </row>
    <row r="2052" spans="1:16" ht="18" x14ac:dyDescent="0.35">
      <c r="A2052" s="43"/>
      <c r="C2052" s="393"/>
      <c r="E2052" s="394"/>
      <c r="F2052" s="394">
        <v>0</v>
      </c>
      <c r="G2052" s="394"/>
      <c r="H2052" s="8" t="s">
        <v>61</v>
      </c>
      <c r="I2052" s="368">
        <f t="shared" si="94"/>
        <v>0</v>
      </c>
      <c r="J2052" s="365">
        <f t="shared" si="96"/>
        <v>0</v>
      </c>
      <c r="K2052" s="369">
        <f t="shared" si="95"/>
        <v>6</v>
      </c>
      <c r="L2052" s="369">
        <f>+IF((C2052&gt;='Resultats - informe'!$E$16)*(C2052&lt;='Resultats - informe'!$G$16),1,0)</f>
        <v>1</v>
      </c>
      <c r="M2052" s="369" cm="1">
        <f t="array" ref="M2052">+_xlfn.IFS((C2052&gt;='Resultats - informe'!$D$26)*(C2052&lt;='Resultats - informe'!$E$26),0,(C2052&gt;='Resultats - informe'!$D$27)*(C2052&lt;='Resultats - informe'!$E$27),0,(C2052&gt;='Resultats - informe'!$D$28)*(C2052&lt;='Resultats - informe'!$E$28),0,(C2052&gt;='Resultats - informe'!$D$29)*(C2052&lt;='Resultats - informe'!$E$29),0,1,1)</f>
        <v>0</v>
      </c>
      <c r="N2052" s="366">
        <f>+VLOOKUP(D2052,'Resultats - informe'!$Y$18:$AG$42,'Introducció dades consum'!K2052+1,0)</f>
        <v>0</v>
      </c>
      <c r="O2052" s="370" cm="1">
        <f t="array" ref="O2052">+_xlfn.SWITCH(MONTH(C2052),1,1,2,1,3,1,4,2,5,2,6,3,7,3,8,3,9,3,10,2,11,2,12,1,2)</f>
        <v>1</v>
      </c>
      <c r="P2052" s="43"/>
    </row>
    <row r="2053" spans="1:16" ht="18" x14ac:dyDescent="0.35">
      <c r="A2053" s="43"/>
      <c r="C2053" s="393"/>
      <c r="E2053" s="394"/>
      <c r="F2053" s="394">
        <v>0</v>
      </c>
      <c r="G2053" s="394"/>
      <c r="H2053" s="8" t="s">
        <v>61</v>
      </c>
      <c r="I2053" s="368">
        <f t="shared" si="94"/>
        <v>0</v>
      </c>
      <c r="J2053" s="365">
        <f t="shared" si="96"/>
        <v>0</v>
      </c>
      <c r="K2053" s="369">
        <f t="shared" si="95"/>
        <v>6</v>
      </c>
      <c r="L2053" s="369">
        <f>+IF((C2053&gt;='Resultats - informe'!$E$16)*(C2053&lt;='Resultats - informe'!$G$16),1,0)</f>
        <v>1</v>
      </c>
      <c r="M2053" s="369" cm="1">
        <f t="array" ref="M2053">+_xlfn.IFS((C2053&gt;='Resultats - informe'!$D$26)*(C2053&lt;='Resultats - informe'!$E$26),0,(C2053&gt;='Resultats - informe'!$D$27)*(C2053&lt;='Resultats - informe'!$E$27),0,(C2053&gt;='Resultats - informe'!$D$28)*(C2053&lt;='Resultats - informe'!$E$28),0,(C2053&gt;='Resultats - informe'!$D$29)*(C2053&lt;='Resultats - informe'!$E$29),0,1,1)</f>
        <v>0</v>
      </c>
      <c r="N2053" s="366">
        <f>+VLOOKUP(D2053,'Resultats - informe'!$Y$18:$AG$42,'Introducció dades consum'!K2053+1,0)</f>
        <v>0</v>
      </c>
      <c r="O2053" s="370" cm="1">
        <f t="array" ref="O2053">+_xlfn.SWITCH(MONTH(C2053),1,1,2,1,3,1,4,2,5,2,6,3,7,3,8,3,9,3,10,2,11,2,12,1,2)</f>
        <v>1</v>
      </c>
      <c r="P2053" s="43"/>
    </row>
    <row r="2054" spans="1:16" ht="18" x14ac:dyDescent="0.35">
      <c r="A2054" s="43"/>
      <c r="C2054" s="393"/>
      <c r="E2054" s="394"/>
      <c r="F2054" s="394">
        <v>1.756</v>
      </c>
      <c r="G2054" s="394"/>
      <c r="H2054" s="8" t="s">
        <v>61</v>
      </c>
      <c r="I2054" s="368">
        <f t="shared" ref="I2054:I2117" si="97">+E2054+G2054</f>
        <v>0</v>
      </c>
      <c r="J2054" s="365">
        <f t="shared" si="96"/>
        <v>0</v>
      </c>
      <c r="K2054" s="369">
        <f t="shared" ref="K2054:K2117" si="98">+WEEKDAY(C2054,2)</f>
        <v>6</v>
      </c>
      <c r="L2054" s="369">
        <f>+IF((C2054&gt;='Resultats - informe'!$E$16)*(C2054&lt;='Resultats - informe'!$G$16),1,0)</f>
        <v>1</v>
      </c>
      <c r="M2054" s="369" cm="1">
        <f t="array" ref="M2054">+_xlfn.IFS((C2054&gt;='Resultats - informe'!$D$26)*(C2054&lt;='Resultats - informe'!$E$26),0,(C2054&gt;='Resultats - informe'!$D$27)*(C2054&lt;='Resultats - informe'!$E$27),0,(C2054&gt;='Resultats - informe'!$D$28)*(C2054&lt;='Resultats - informe'!$E$28),0,(C2054&gt;='Resultats - informe'!$D$29)*(C2054&lt;='Resultats - informe'!$E$29),0,1,1)</f>
        <v>0</v>
      </c>
      <c r="N2054" s="366">
        <f>+VLOOKUP(D2054,'Resultats - informe'!$Y$18:$AG$42,'Introducció dades consum'!K2054+1,0)</f>
        <v>0</v>
      </c>
      <c r="O2054" s="370" cm="1">
        <f t="array" ref="O2054">+_xlfn.SWITCH(MONTH(C2054),1,1,2,1,3,1,4,2,5,2,6,3,7,3,8,3,9,3,10,2,11,2,12,1,2)</f>
        <v>1</v>
      </c>
      <c r="P2054" s="43"/>
    </row>
    <row r="2055" spans="1:16" ht="18" x14ac:dyDescent="0.35">
      <c r="A2055" s="43"/>
      <c r="C2055" s="393"/>
      <c r="E2055" s="394"/>
      <c r="F2055" s="394">
        <v>2.8530000000000002</v>
      </c>
      <c r="G2055" s="394"/>
      <c r="H2055" s="8" t="s">
        <v>61</v>
      </c>
      <c r="I2055" s="368">
        <f t="shared" si="97"/>
        <v>0</v>
      </c>
      <c r="J2055" s="365">
        <f t="shared" si="96"/>
        <v>0</v>
      </c>
      <c r="K2055" s="369">
        <f t="shared" si="98"/>
        <v>6</v>
      </c>
      <c r="L2055" s="369">
        <f>+IF((C2055&gt;='Resultats - informe'!$E$16)*(C2055&lt;='Resultats - informe'!$G$16),1,0)</f>
        <v>1</v>
      </c>
      <c r="M2055" s="369" cm="1">
        <f t="array" ref="M2055">+_xlfn.IFS((C2055&gt;='Resultats - informe'!$D$26)*(C2055&lt;='Resultats - informe'!$E$26),0,(C2055&gt;='Resultats - informe'!$D$27)*(C2055&lt;='Resultats - informe'!$E$27),0,(C2055&gt;='Resultats - informe'!$D$28)*(C2055&lt;='Resultats - informe'!$E$28),0,(C2055&gt;='Resultats - informe'!$D$29)*(C2055&lt;='Resultats - informe'!$E$29),0,1,1)</f>
        <v>0</v>
      </c>
      <c r="N2055" s="366">
        <f>+VLOOKUP(D2055,'Resultats - informe'!$Y$18:$AG$42,'Introducció dades consum'!K2055+1,0)</f>
        <v>0</v>
      </c>
      <c r="O2055" s="370" cm="1">
        <f t="array" ref="O2055">+_xlfn.SWITCH(MONTH(C2055),1,1,2,1,3,1,4,2,5,2,6,3,7,3,8,3,9,3,10,2,11,2,12,1,2)</f>
        <v>1</v>
      </c>
      <c r="P2055" s="43"/>
    </row>
    <row r="2056" spans="1:16" ht="18" x14ac:dyDescent="0.35">
      <c r="A2056" s="43"/>
      <c r="C2056" s="393"/>
      <c r="E2056" s="394"/>
      <c r="F2056" s="394">
        <v>0</v>
      </c>
      <c r="G2056" s="394"/>
      <c r="H2056" s="8" t="s">
        <v>61</v>
      </c>
      <c r="I2056" s="368">
        <f t="shared" si="97"/>
        <v>0</v>
      </c>
      <c r="J2056" s="365">
        <f t="shared" si="96"/>
        <v>0</v>
      </c>
      <c r="K2056" s="369">
        <f t="shared" si="98"/>
        <v>6</v>
      </c>
      <c r="L2056" s="369">
        <f>+IF((C2056&gt;='Resultats - informe'!$E$16)*(C2056&lt;='Resultats - informe'!$G$16),1,0)</f>
        <v>1</v>
      </c>
      <c r="M2056" s="369" cm="1">
        <f t="array" ref="M2056">+_xlfn.IFS((C2056&gt;='Resultats - informe'!$D$26)*(C2056&lt;='Resultats - informe'!$E$26),0,(C2056&gt;='Resultats - informe'!$D$27)*(C2056&lt;='Resultats - informe'!$E$27),0,(C2056&gt;='Resultats - informe'!$D$28)*(C2056&lt;='Resultats - informe'!$E$28),0,(C2056&gt;='Resultats - informe'!$D$29)*(C2056&lt;='Resultats - informe'!$E$29),0,1,1)</f>
        <v>0</v>
      </c>
      <c r="N2056" s="366">
        <f>+VLOOKUP(D2056,'Resultats - informe'!$Y$18:$AG$42,'Introducció dades consum'!K2056+1,0)</f>
        <v>0</v>
      </c>
      <c r="O2056" s="370" cm="1">
        <f t="array" ref="O2056">+_xlfn.SWITCH(MONTH(C2056),1,1,2,1,3,1,4,2,5,2,6,3,7,3,8,3,9,3,10,2,11,2,12,1,2)</f>
        <v>1</v>
      </c>
      <c r="P2056" s="43"/>
    </row>
    <row r="2057" spans="1:16" ht="18" x14ac:dyDescent="0.35">
      <c r="A2057" s="43"/>
      <c r="C2057" s="393"/>
      <c r="E2057" s="394"/>
      <c r="F2057" s="394">
        <v>0.38800000000000001</v>
      </c>
      <c r="G2057" s="394"/>
      <c r="H2057" s="8" t="s">
        <v>61</v>
      </c>
      <c r="I2057" s="368">
        <f t="shared" si="97"/>
        <v>0</v>
      </c>
      <c r="J2057" s="365">
        <f t="shared" si="96"/>
        <v>0</v>
      </c>
      <c r="K2057" s="369">
        <f t="shared" si="98"/>
        <v>6</v>
      </c>
      <c r="L2057" s="369">
        <f>+IF((C2057&gt;='Resultats - informe'!$E$16)*(C2057&lt;='Resultats - informe'!$G$16),1,0)</f>
        <v>1</v>
      </c>
      <c r="M2057" s="369" cm="1">
        <f t="array" ref="M2057">+_xlfn.IFS((C2057&gt;='Resultats - informe'!$D$26)*(C2057&lt;='Resultats - informe'!$E$26),0,(C2057&gt;='Resultats - informe'!$D$27)*(C2057&lt;='Resultats - informe'!$E$27),0,(C2057&gt;='Resultats - informe'!$D$28)*(C2057&lt;='Resultats - informe'!$E$28),0,(C2057&gt;='Resultats - informe'!$D$29)*(C2057&lt;='Resultats - informe'!$E$29),0,1,1)</f>
        <v>0</v>
      </c>
      <c r="N2057" s="366">
        <f>+VLOOKUP(D2057,'Resultats - informe'!$Y$18:$AG$42,'Introducció dades consum'!K2057+1,0)</f>
        <v>0</v>
      </c>
      <c r="O2057" s="370" cm="1">
        <f t="array" ref="O2057">+_xlfn.SWITCH(MONTH(C2057),1,1,2,1,3,1,4,2,5,2,6,3,7,3,8,3,9,3,10,2,11,2,12,1,2)</f>
        <v>1</v>
      </c>
      <c r="P2057" s="43"/>
    </row>
    <row r="2058" spans="1:16" ht="18" x14ac:dyDescent="0.35">
      <c r="A2058" s="43"/>
      <c r="C2058" s="393"/>
      <c r="E2058" s="394"/>
      <c r="F2058" s="394">
        <v>0.104</v>
      </c>
      <c r="G2058" s="394"/>
      <c r="H2058" s="8" t="s">
        <v>61</v>
      </c>
      <c r="I2058" s="368">
        <f t="shared" si="97"/>
        <v>0</v>
      </c>
      <c r="J2058" s="365">
        <f t="shared" si="96"/>
        <v>0</v>
      </c>
      <c r="K2058" s="369">
        <f t="shared" si="98"/>
        <v>6</v>
      </c>
      <c r="L2058" s="369">
        <f>+IF((C2058&gt;='Resultats - informe'!$E$16)*(C2058&lt;='Resultats - informe'!$G$16),1,0)</f>
        <v>1</v>
      </c>
      <c r="M2058" s="369" cm="1">
        <f t="array" ref="M2058">+_xlfn.IFS((C2058&gt;='Resultats - informe'!$D$26)*(C2058&lt;='Resultats - informe'!$E$26),0,(C2058&gt;='Resultats - informe'!$D$27)*(C2058&lt;='Resultats - informe'!$E$27),0,(C2058&gt;='Resultats - informe'!$D$28)*(C2058&lt;='Resultats - informe'!$E$28),0,(C2058&gt;='Resultats - informe'!$D$29)*(C2058&lt;='Resultats - informe'!$E$29),0,1,1)</f>
        <v>0</v>
      </c>
      <c r="N2058" s="366">
        <f>+VLOOKUP(D2058,'Resultats - informe'!$Y$18:$AG$42,'Introducció dades consum'!K2058+1,0)</f>
        <v>0</v>
      </c>
      <c r="O2058" s="370" cm="1">
        <f t="array" ref="O2058">+_xlfn.SWITCH(MONTH(C2058),1,1,2,1,3,1,4,2,5,2,6,3,7,3,8,3,9,3,10,2,11,2,12,1,2)</f>
        <v>1</v>
      </c>
      <c r="P2058" s="43"/>
    </row>
    <row r="2059" spans="1:16" ht="18" x14ac:dyDescent="0.35">
      <c r="A2059" s="43"/>
      <c r="C2059" s="393"/>
      <c r="E2059" s="394"/>
      <c r="F2059" s="394">
        <v>0</v>
      </c>
      <c r="G2059" s="394"/>
      <c r="H2059" s="8" t="s">
        <v>61</v>
      </c>
      <c r="I2059" s="368">
        <f t="shared" si="97"/>
        <v>0</v>
      </c>
      <c r="J2059" s="365">
        <f t="shared" si="96"/>
        <v>0</v>
      </c>
      <c r="K2059" s="369">
        <f t="shared" si="98"/>
        <v>6</v>
      </c>
      <c r="L2059" s="369">
        <f>+IF((C2059&gt;='Resultats - informe'!$E$16)*(C2059&lt;='Resultats - informe'!$G$16),1,0)</f>
        <v>1</v>
      </c>
      <c r="M2059" s="369" cm="1">
        <f t="array" ref="M2059">+_xlfn.IFS((C2059&gt;='Resultats - informe'!$D$26)*(C2059&lt;='Resultats - informe'!$E$26),0,(C2059&gt;='Resultats - informe'!$D$27)*(C2059&lt;='Resultats - informe'!$E$27),0,(C2059&gt;='Resultats - informe'!$D$28)*(C2059&lt;='Resultats - informe'!$E$28),0,(C2059&gt;='Resultats - informe'!$D$29)*(C2059&lt;='Resultats - informe'!$E$29),0,1,1)</f>
        <v>0</v>
      </c>
      <c r="N2059" s="366">
        <f>+VLOOKUP(D2059,'Resultats - informe'!$Y$18:$AG$42,'Introducció dades consum'!K2059+1,0)</f>
        <v>0</v>
      </c>
      <c r="O2059" s="370" cm="1">
        <f t="array" ref="O2059">+_xlfn.SWITCH(MONTH(C2059),1,1,2,1,3,1,4,2,5,2,6,3,7,3,8,3,9,3,10,2,11,2,12,1,2)</f>
        <v>1</v>
      </c>
      <c r="P2059" s="43"/>
    </row>
    <row r="2060" spans="1:16" ht="18" x14ac:dyDescent="0.35">
      <c r="A2060" s="43"/>
      <c r="C2060" s="393"/>
      <c r="E2060" s="394"/>
      <c r="F2060" s="394">
        <v>1.087</v>
      </c>
      <c r="G2060" s="394"/>
      <c r="H2060" s="8" t="s">
        <v>61</v>
      </c>
      <c r="I2060" s="368">
        <f t="shared" si="97"/>
        <v>0</v>
      </c>
      <c r="J2060" s="365">
        <f t="shared" si="96"/>
        <v>0</v>
      </c>
      <c r="K2060" s="369">
        <f t="shared" si="98"/>
        <v>6</v>
      </c>
      <c r="L2060" s="369">
        <f>+IF((C2060&gt;='Resultats - informe'!$E$16)*(C2060&lt;='Resultats - informe'!$G$16),1,0)</f>
        <v>1</v>
      </c>
      <c r="M2060" s="369" cm="1">
        <f t="array" ref="M2060">+_xlfn.IFS((C2060&gt;='Resultats - informe'!$D$26)*(C2060&lt;='Resultats - informe'!$E$26),0,(C2060&gt;='Resultats - informe'!$D$27)*(C2060&lt;='Resultats - informe'!$E$27),0,(C2060&gt;='Resultats - informe'!$D$28)*(C2060&lt;='Resultats - informe'!$E$28),0,(C2060&gt;='Resultats - informe'!$D$29)*(C2060&lt;='Resultats - informe'!$E$29),0,1,1)</f>
        <v>0</v>
      </c>
      <c r="N2060" s="366">
        <f>+VLOOKUP(D2060,'Resultats - informe'!$Y$18:$AG$42,'Introducció dades consum'!K2060+1,0)</f>
        <v>0</v>
      </c>
      <c r="O2060" s="370" cm="1">
        <f t="array" ref="O2060">+_xlfn.SWITCH(MONTH(C2060),1,1,2,1,3,1,4,2,5,2,6,3,7,3,8,3,9,3,10,2,11,2,12,1,2)</f>
        <v>1</v>
      </c>
      <c r="P2060" s="43"/>
    </row>
    <row r="2061" spans="1:16" ht="18" x14ac:dyDescent="0.35">
      <c r="A2061" s="43"/>
      <c r="C2061" s="393"/>
      <c r="E2061" s="394"/>
      <c r="F2061" s="394">
        <v>0.16700000000000001</v>
      </c>
      <c r="G2061" s="394"/>
      <c r="H2061" s="8" t="s">
        <v>61</v>
      </c>
      <c r="I2061" s="368">
        <f t="shared" si="97"/>
        <v>0</v>
      </c>
      <c r="J2061" s="365">
        <f t="shared" si="96"/>
        <v>0</v>
      </c>
      <c r="K2061" s="369">
        <f t="shared" si="98"/>
        <v>6</v>
      </c>
      <c r="L2061" s="369">
        <f>+IF((C2061&gt;='Resultats - informe'!$E$16)*(C2061&lt;='Resultats - informe'!$G$16),1,0)</f>
        <v>1</v>
      </c>
      <c r="M2061" s="369" cm="1">
        <f t="array" ref="M2061">+_xlfn.IFS((C2061&gt;='Resultats - informe'!$D$26)*(C2061&lt;='Resultats - informe'!$E$26),0,(C2061&gt;='Resultats - informe'!$D$27)*(C2061&lt;='Resultats - informe'!$E$27),0,(C2061&gt;='Resultats - informe'!$D$28)*(C2061&lt;='Resultats - informe'!$E$28),0,(C2061&gt;='Resultats - informe'!$D$29)*(C2061&lt;='Resultats - informe'!$E$29),0,1,1)</f>
        <v>0</v>
      </c>
      <c r="N2061" s="366">
        <f>+VLOOKUP(D2061,'Resultats - informe'!$Y$18:$AG$42,'Introducció dades consum'!K2061+1,0)</f>
        <v>0</v>
      </c>
      <c r="O2061" s="370" cm="1">
        <f t="array" ref="O2061">+_xlfn.SWITCH(MONTH(C2061),1,1,2,1,3,1,4,2,5,2,6,3,7,3,8,3,9,3,10,2,11,2,12,1,2)</f>
        <v>1</v>
      </c>
      <c r="P2061" s="43"/>
    </row>
    <row r="2062" spans="1:16" ht="18" x14ac:dyDescent="0.35">
      <c r="A2062" s="43"/>
      <c r="C2062" s="393"/>
      <c r="E2062" s="394"/>
      <c r="F2062" s="394">
        <v>0</v>
      </c>
      <c r="G2062" s="394"/>
      <c r="H2062" s="8" t="s">
        <v>235</v>
      </c>
      <c r="I2062" s="368">
        <f t="shared" si="97"/>
        <v>0</v>
      </c>
      <c r="J2062" s="365">
        <f t="shared" si="96"/>
        <v>0</v>
      </c>
      <c r="K2062" s="369">
        <f t="shared" si="98"/>
        <v>6</v>
      </c>
      <c r="L2062" s="369">
        <f>+IF((C2062&gt;='Resultats - informe'!$E$16)*(C2062&lt;='Resultats - informe'!$G$16),1,0)</f>
        <v>1</v>
      </c>
      <c r="M2062" s="369" cm="1">
        <f t="array" ref="M2062">+_xlfn.IFS((C2062&gt;='Resultats - informe'!$D$26)*(C2062&lt;='Resultats - informe'!$E$26),0,(C2062&gt;='Resultats - informe'!$D$27)*(C2062&lt;='Resultats - informe'!$E$27),0,(C2062&gt;='Resultats - informe'!$D$28)*(C2062&lt;='Resultats - informe'!$E$28),0,(C2062&gt;='Resultats - informe'!$D$29)*(C2062&lt;='Resultats - informe'!$E$29),0,1,1)</f>
        <v>0</v>
      </c>
      <c r="N2062" s="366">
        <f>+VLOOKUP(D2062,'Resultats - informe'!$Y$18:$AG$42,'Introducció dades consum'!K2062+1,0)</f>
        <v>0</v>
      </c>
      <c r="O2062" s="370" cm="1">
        <f t="array" ref="O2062">+_xlfn.SWITCH(MONTH(C2062),1,1,2,1,3,1,4,2,5,2,6,3,7,3,8,3,9,3,10,2,11,2,12,1,2)</f>
        <v>1</v>
      </c>
      <c r="P2062" s="43"/>
    </row>
    <row r="2063" spans="1:16" ht="18" x14ac:dyDescent="0.35">
      <c r="A2063" s="43"/>
      <c r="C2063" s="393"/>
      <c r="E2063" s="394"/>
      <c r="F2063" s="394">
        <v>0</v>
      </c>
      <c r="G2063" s="394"/>
      <c r="H2063" s="8" t="s">
        <v>235</v>
      </c>
      <c r="I2063" s="368">
        <f t="shared" si="97"/>
        <v>0</v>
      </c>
      <c r="J2063" s="365">
        <f t="shared" si="96"/>
        <v>0</v>
      </c>
      <c r="K2063" s="369">
        <f t="shared" si="98"/>
        <v>6</v>
      </c>
      <c r="L2063" s="369">
        <f>+IF((C2063&gt;='Resultats - informe'!$E$16)*(C2063&lt;='Resultats - informe'!$G$16),1,0)</f>
        <v>1</v>
      </c>
      <c r="M2063" s="369" cm="1">
        <f t="array" ref="M2063">+_xlfn.IFS((C2063&gt;='Resultats - informe'!$D$26)*(C2063&lt;='Resultats - informe'!$E$26),0,(C2063&gt;='Resultats - informe'!$D$27)*(C2063&lt;='Resultats - informe'!$E$27),0,(C2063&gt;='Resultats - informe'!$D$28)*(C2063&lt;='Resultats - informe'!$E$28),0,(C2063&gt;='Resultats - informe'!$D$29)*(C2063&lt;='Resultats - informe'!$E$29),0,1,1)</f>
        <v>0</v>
      </c>
      <c r="N2063" s="366">
        <f>+VLOOKUP(D2063,'Resultats - informe'!$Y$18:$AG$42,'Introducció dades consum'!K2063+1,0)</f>
        <v>0</v>
      </c>
      <c r="O2063" s="370" cm="1">
        <f t="array" ref="O2063">+_xlfn.SWITCH(MONTH(C2063),1,1,2,1,3,1,4,2,5,2,6,3,7,3,8,3,9,3,10,2,11,2,12,1,2)</f>
        <v>1</v>
      </c>
      <c r="P2063" s="43"/>
    </row>
    <row r="2064" spans="1:16" ht="18" x14ac:dyDescent="0.35">
      <c r="A2064" s="43"/>
      <c r="C2064" s="393"/>
      <c r="E2064" s="394"/>
      <c r="F2064" s="394">
        <v>0</v>
      </c>
      <c r="G2064" s="394"/>
      <c r="H2064" s="8" t="s">
        <v>235</v>
      </c>
      <c r="I2064" s="368">
        <f t="shared" si="97"/>
        <v>0</v>
      </c>
      <c r="J2064" s="365">
        <f t="shared" si="96"/>
        <v>0</v>
      </c>
      <c r="K2064" s="369">
        <f t="shared" si="98"/>
        <v>6</v>
      </c>
      <c r="L2064" s="369">
        <f>+IF((C2064&gt;='Resultats - informe'!$E$16)*(C2064&lt;='Resultats - informe'!$G$16),1,0)</f>
        <v>1</v>
      </c>
      <c r="M2064" s="369" cm="1">
        <f t="array" ref="M2064">+_xlfn.IFS((C2064&gt;='Resultats - informe'!$D$26)*(C2064&lt;='Resultats - informe'!$E$26),0,(C2064&gt;='Resultats - informe'!$D$27)*(C2064&lt;='Resultats - informe'!$E$27),0,(C2064&gt;='Resultats - informe'!$D$28)*(C2064&lt;='Resultats - informe'!$E$28),0,(C2064&gt;='Resultats - informe'!$D$29)*(C2064&lt;='Resultats - informe'!$E$29),0,1,1)</f>
        <v>0</v>
      </c>
      <c r="N2064" s="366">
        <f>+VLOOKUP(D2064,'Resultats - informe'!$Y$18:$AG$42,'Introducció dades consum'!K2064+1,0)</f>
        <v>0</v>
      </c>
      <c r="O2064" s="370" cm="1">
        <f t="array" ref="O2064">+_xlfn.SWITCH(MONTH(C2064),1,1,2,1,3,1,4,2,5,2,6,3,7,3,8,3,9,3,10,2,11,2,12,1,2)</f>
        <v>1</v>
      </c>
      <c r="P2064" s="43"/>
    </row>
    <row r="2065" spans="1:16" ht="18" x14ac:dyDescent="0.35">
      <c r="A2065" s="43"/>
      <c r="C2065" s="393"/>
      <c r="E2065" s="394"/>
      <c r="F2065" s="394">
        <v>0</v>
      </c>
      <c r="G2065" s="394"/>
      <c r="H2065" s="8" t="s">
        <v>235</v>
      </c>
      <c r="I2065" s="368">
        <f t="shared" si="97"/>
        <v>0</v>
      </c>
      <c r="J2065" s="365">
        <f t="shared" si="96"/>
        <v>0</v>
      </c>
      <c r="K2065" s="369">
        <f t="shared" si="98"/>
        <v>6</v>
      </c>
      <c r="L2065" s="369">
        <f>+IF((C2065&gt;='Resultats - informe'!$E$16)*(C2065&lt;='Resultats - informe'!$G$16),1,0)</f>
        <v>1</v>
      </c>
      <c r="M2065" s="369" cm="1">
        <f t="array" ref="M2065">+_xlfn.IFS((C2065&gt;='Resultats - informe'!$D$26)*(C2065&lt;='Resultats - informe'!$E$26),0,(C2065&gt;='Resultats - informe'!$D$27)*(C2065&lt;='Resultats - informe'!$E$27),0,(C2065&gt;='Resultats - informe'!$D$28)*(C2065&lt;='Resultats - informe'!$E$28),0,(C2065&gt;='Resultats - informe'!$D$29)*(C2065&lt;='Resultats - informe'!$E$29),0,1,1)</f>
        <v>0</v>
      </c>
      <c r="N2065" s="366">
        <f>+VLOOKUP(D2065,'Resultats - informe'!$Y$18:$AG$42,'Introducció dades consum'!K2065+1,0)</f>
        <v>0</v>
      </c>
      <c r="O2065" s="370" cm="1">
        <f t="array" ref="O2065">+_xlfn.SWITCH(MONTH(C2065),1,1,2,1,3,1,4,2,5,2,6,3,7,3,8,3,9,3,10,2,11,2,12,1,2)</f>
        <v>1</v>
      </c>
      <c r="P2065" s="43"/>
    </row>
    <row r="2066" spans="1:16" ht="18" x14ac:dyDescent="0.35">
      <c r="A2066" s="43"/>
      <c r="C2066" s="393"/>
      <c r="E2066" s="394"/>
      <c r="F2066" s="394">
        <v>0</v>
      </c>
      <c r="G2066" s="394"/>
      <c r="H2066" s="8" t="s">
        <v>235</v>
      </c>
      <c r="I2066" s="368">
        <f t="shared" si="97"/>
        <v>0</v>
      </c>
      <c r="J2066" s="365">
        <f t="shared" si="96"/>
        <v>0</v>
      </c>
      <c r="K2066" s="369">
        <f t="shared" si="98"/>
        <v>6</v>
      </c>
      <c r="L2066" s="369">
        <f>+IF((C2066&gt;='Resultats - informe'!$E$16)*(C2066&lt;='Resultats - informe'!$G$16),1,0)</f>
        <v>1</v>
      </c>
      <c r="M2066" s="369" cm="1">
        <f t="array" ref="M2066">+_xlfn.IFS((C2066&gt;='Resultats - informe'!$D$26)*(C2066&lt;='Resultats - informe'!$E$26),0,(C2066&gt;='Resultats - informe'!$D$27)*(C2066&lt;='Resultats - informe'!$E$27),0,(C2066&gt;='Resultats - informe'!$D$28)*(C2066&lt;='Resultats - informe'!$E$28),0,(C2066&gt;='Resultats - informe'!$D$29)*(C2066&lt;='Resultats - informe'!$E$29),0,1,1)</f>
        <v>0</v>
      </c>
      <c r="N2066" s="366">
        <f>+VLOOKUP(D2066,'Resultats - informe'!$Y$18:$AG$42,'Introducció dades consum'!K2066+1,0)</f>
        <v>0</v>
      </c>
      <c r="O2066" s="370" cm="1">
        <f t="array" ref="O2066">+_xlfn.SWITCH(MONTH(C2066),1,1,2,1,3,1,4,2,5,2,6,3,7,3,8,3,9,3,10,2,11,2,12,1,2)</f>
        <v>1</v>
      </c>
      <c r="P2066" s="43"/>
    </row>
    <row r="2067" spans="1:16" ht="18" x14ac:dyDescent="0.35">
      <c r="A2067" s="43"/>
      <c r="C2067" s="393"/>
      <c r="E2067" s="394"/>
      <c r="F2067" s="394">
        <v>0</v>
      </c>
      <c r="G2067" s="394"/>
      <c r="H2067" s="8" t="s">
        <v>235</v>
      </c>
      <c r="I2067" s="368">
        <f t="shared" si="97"/>
        <v>0</v>
      </c>
      <c r="J2067" s="365">
        <f t="shared" si="96"/>
        <v>0</v>
      </c>
      <c r="K2067" s="369">
        <f t="shared" si="98"/>
        <v>6</v>
      </c>
      <c r="L2067" s="369">
        <f>+IF((C2067&gt;='Resultats - informe'!$E$16)*(C2067&lt;='Resultats - informe'!$G$16),1,0)</f>
        <v>1</v>
      </c>
      <c r="M2067" s="369" cm="1">
        <f t="array" ref="M2067">+_xlfn.IFS((C2067&gt;='Resultats - informe'!$D$26)*(C2067&lt;='Resultats - informe'!$E$26),0,(C2067&gt;='Resultats - informe'!$D$27)*(C2067&lt;='Resultats - informe'!$E$27),0,(C2067&gt;='Resultats - informe'!$D$28)*(C2067&lt;='Resultats - informe'!$E$28),0,(C2067&gt;='Resultats - informe'!$D$29)*(C2067&lt;='Resultats - informe'!$E$29),0,1,1)</f>
        <v>0</v>
      </c>
      <c r="N2067" s="366">
        <f>+VLOOKUP(D2067,'Resultats - informe'!$Y$18:$AG$42,'Introducció dades consum'!K2067+1,0)</f>
        <v>0</v>
      </c>
      <c r="O2067" s="370" cm="1">
        <f t="array" ref="O2067">+_xlfn.SWITCH(MONTH(C2067),1,1,2,1,3,1,4,2,5,2,6,3,7,3,8,3,9,3,10,2,11,2,12,1,2)</f>
        <v>1</v>
      </c>
      <c r="P2067" s="43"/>
    </row>
    <row r="2068" spans="1:16" ht="18" x14ac:dyDescent="0.35">
      <c r="A2068" s="43"/>
      <c r="C2068" s="393"/>
      <c r="E2068" s="394"/>
      <c r="F2068" s="394">
        <v>0</v>
      </c>
      <c r="G2068" s="394"/>
      <c r="H2068" s="8" t="s">
        <v>235</v>
      </c>
      <c r="I2068" s="368">
        <f t="shared" si="97"/>
        <v>0</v>
      </c>
      <c r="J2068" s="365">
        <f t="shared" si="96"/>
        <v>0</v>
      </c>
      <c r="K2068" s="369">
        <f t="shared" si="98"/>
        <v>6</v>
      </c>
      <c r="L2068" s="369">
        <f>+IF((C2068&gt;='Resultats - informe'!$E$16)*(C2068&lt;='Resultats - informe'!$G$16),1,0)</f>
        <v>1</v>
      </c>
      <c r="M2068" s="369" cm="1">
        <f t="array" ref="M2068">+_xlfn.IFS((C2068&gt;='Resultats - informe'!$D$26)*(C2068&lt;='Resultats - informe'!$E$26),0,(C2068&gt;='Resultats - informe'!$D$27)*(C2068&lt;='Resultats - informe'!$E$27),0,(C2068&gt;='Resultats - informe'!$D$28)*(C2068&lt;='Resultats - informe'!$E$28),0,(C2068&gt;='Resultats - informe'!$D$29)*(C2068&lt;='Resultats - informe'!$E$29),0,1,1)</f>
        <v>0</v>
      </c>
      <c r="N2068" s="366">
        <f>+VLOOKUP(D2068,'Resultats - informe'!$Y$18:$AG$42,'Introducció dades consum'!K2068+1,0)</f>
        <v>0</v>
      </c>
      <c r="O2068" s="370" cm="1">
        <f t="array" ref="O2068">+_xlfn.SWITCH(MONTH(C2068),1,1,2,1,3,1,4,2,5,2,6,3,7,3,8,3,9,3,10,2,11,2,12,1,2)</f>
        <v>1</v>
      </c>
      <c r="P2068" s="43"/>
    </row>
    <row r="2069" spans="1:16" ht="18" x14ac:dyDescent="0.35">
      <c r="A2069" s="43"/>
      <c r="C2069" s="393"/>
      <c r="E2069" s="394"/>
      <c r="F2069" s="394">
        <v>0</v>
      </c>
      <c r="G2069" s="394"/>
      <c r="H2069" s="8" t="s">
        <v>235</v>
      </c>
      <c r="I2069" s="368">
        <f t="shared" si="97"/>
        <v>0</v>
      </c>
      <c r="J2069" s="365">
        <f t="shared" si="96"/>
        <v>0</v>
      </c>
      <c r="K2069" s="369">
        <f t="shared" si="98"/>
        <v>6</v>
      </c>
      <c r="L2069" s="369">
        <f>+IF((C2069&gt;='Resultats - informe'!$E$16)*(C2069&lt;='Resultats - informe'!$G$16),1,0)</f>
        <v>1</v>
      </c>
      <c r="M2069" s="369" cm="1">
        <f t="array" ref="M2069">+_xlfn.IFS((C2069&gt;='Resultats - informe'!$D$26)*(C2069&lt;='Resultats - informe'!$E$26),0,(C2069&gt;='Resultats - informe'!$D$27)*(C2069&lt;='Resultats - informe'!$E$27),0,(C2069&gt;='Resultats - informe'!$D$28)*(C2069&lt;='Resultats - informe'!$E$28),0,(C2069&gt;='Resultats - informe'!$D$29)*(C2069&lt;='Resultats - informe'!$E$29),0,1,1)</f>
        <v>0</v>
      </c>
      <c r="N2069" s="366">
        <f>+VLOOKUP(D2069,'Resultats - informe'!$Y$18:$AG$42,'Introducció dades consum'!K2069+1,0)</f>
        <v>0</v>
      </c>
      <c r="O2069" s="370" cm="1">
        <f t="array" ref="O2069">+_xlfn.SWITCH(MONTH(C2069),1,1,2,1,3,1,4,2,5,2,6,3,7,3,8,3,9,3,10,2,11,2,12,1,2)</f>
        <v>1</v>
      </c>
      <c r="P2069" s="43"/>
    </row>
    <row r="2070" spans="1:16" ht="18" x14ac:dyDescent="0.35">
      <c r="A2070" s="43"/>
      <c r="C2070" s="393"/>
      <c r="E2070" s="394"/>
      <c r="F2070" s="394">
        <v>0</v>
      </c>
      <c r="G2070" s="394"/>
      <c r="H2070" s="8" t="s">
        <v>235</v>
      </c>
      <c r="I2070" s="368">
        <f t="shared" si="97"/>
        <v>0</v>
      </c>
      <c r="J2070" s="365">
        <f t="shared" si="96"/>
        <v>0</v>
      </c>
      <c r="K2070" s="369">
        <f t="shared" si="98"/>
        <v>6</v>
      </c>
      <c r="L2070" s="369">
        <f>+IF((C2070&gt;='Resultats - informe'!$E$16)*(C2070&lt;='Resultats - informe'!$G$16),1,0)</f>
        <v>1</v>
      </c>
      <c r="M2070" s="369" cm="1">
        <f t="array" ref="M2070">+_xlfn.IFS((C2070&gt;='Resultats - informe'!$D$26)*(C2070&lt;='Resultats - informe'!$E$26),0,(C2070&gt;='Resultats - informe'!$D$27)*(C2070&lt;='Resultats - informe'!$E$27),0,(C2070&gt;='Resultats - informe'!$D$28)*(C2070&lt;='Resultats - informe'!$E$28),0,(C2070&gt;='Resultats - informe'!$D$29)*(C2070&lt;='Resultats - informe'!$E$29),0,1,1)</f>
        <v>0</v>
      </c>
      <c r="N2070" s="366">
        <f>+VLOOKUP(D2070,'Resultats - informe'!$Y$18:$AG$42,'Introducció dades consum'!K2070+1,0)</f>
        <v>0</v>
      </c>
      <c r="O2070" s="370" cm="1">
        <f t="array" ref="O2070">+_xlfn.SWITCH(MONTH(C2070),1,1,2,1,3,1,4,2,5,2,6,3,7,3,8,3,9,3,10,2,11,2,12,1,2)</f>
        <v>1</v>
      </c>
      <c r="P2070" s="43"/>
    </row>
    <row r="2071" spans="1:16" ht="18" x14ac:dyDescent="0.35">
      <c r="A2071" s="43"/>
      <c r="C2071" s="393"/>
      <c r="E2071" s="394"/>
      <c r="F2071" s="394">
        <v>0</v>
      </c>
      <c r="G2071" s="394"/>
      <c r="H2071" s="8" t="s">
        <v>235</v>
      </c>
      <c r="I2071" s="368">
        <f t="shared" si="97"/>
        <v>0</v>
      </c>
      <c r="J2071" s="365">
        <f t="shared" si="96"/>
        <v>0</v>
      </c>
      <c r="K2071" s="369">
        <f t="shared" si="98"/>
        <v>6</v>
      </c>
      <c r="L2071" s="369">
        <f>+IF((C2071&gt;='Resultats - informe'!$E$16)*(C2071&lt;='Resultats - informe'!$G$16),1,0)</f>
        <v>1</v>
      </c>
      <c r="M2071" s="369" cm="1">
        <f t="array" ref="M2071">+_xlfn.IFS((C2071&gt;='Resultats - informe'!$D$26)*(C2071&lt;='Resultats - informe'!$E$26),0,(C2071&gt;='Resultats - informe'!$D$27)*(C2071&lt;='Resultats - informe'!$E$27),0,(C2071&gt;='Resultats - informe'!$D$28)*(C2071&lt;='Resultats - informe'!$E$28),0,(C2071&gt;='Resultats - informe'!$D$29)*(C2071&lt;='Resultats - informe'!$E$29),0,1,1)</f>
        <v>0</v>
      </c>
      <c r="N2071" s="366">
        <f>+VLOOKUP(D2071,'Resultats - informe'!$Y$18:$AG$42,'Introducció dades consum'!K2071+1,0)</f>
        <v>0</v>
      </c>
      <c r="O2071" s="370" cm="1">
        <f t="array" ref="O2071">+_xlfn.SWITCH(MONTH(C2071),1,1,2,1,3,1,4,2,5,2,6,3,7,3,8,3,9,3,10,2,11,2,12,1,2)</f>
        <v>1</v>
      </c>
      <c r="P2071" s="43"/>
    </row>
    <row r="2072" spans="1:16" ht="18" x14ac:dyDescent="0.35">
      <c r="A2072" s="43"/>
      <c r="C2072" s="393"/>
      <c r="E2072" s="394"/>
      <c r="F2072" s="394">
        <v>0</v>
      </c>
      <c r="G2072" s="394"/>
      <c r="H2072" s="8" t="s">
        <v>235</v>
      </c>
      <c r="I2072" s="368">
        <f t="shared" si="97"/>
        <v>0</v>
      </c>
      <c r="J2072" s="365">
        <f t="shared" si="96"/>
        <v>0</v>
      </c>
      <c r="K2072" s="369">
        <f t="shared" si="98"/>
        <v>6</v>
      </c>
      <c r="L2072" s="369">
        <f>+IF((C2072&gt;='Resultats - informe'!$E$16)*(C2072&lt;='Resultats - informe'!$G$16),1,0)</f>
        <v>1</v>
      </c>
      <c r="M2072" s="369" cm="1">
        <f t="array" ref="M2072">+_xlfn.IFS((C2072&gt;='Resultats - informe'!$D$26)*(C2072&lt;='Resultats - informe'!$E$26),0,(C2072&gt;='Resultats - informe'!$D$27)*(C2072&lt;='Resultats - informe'!$E$27),0,(C2072&gt;='Resultats - informe'!$D$28)*(C2072&lt;='Resultats - informe'!$E$28),0,(C2072&gt;='Resultats - informe'!$D$29)*(C2072&lt;='Resultats - informe'!$E$29),0,1,1)</f>
        <v>0</v>
      </c>
      <c r="N2072" s="366">
        <f>+VLOOKUP(D2072,'Resultats - informe'!$Y$18:$AG$42,'Introducció dades consum'!K2072+1,0)</f>
        <v>0</v>
      </c>
      <c r="O2072" s="370" cm="1">
        <f t="array" ref="O2072">+_xlfn.SWITCH(MONTH(C2072),1,1,2,1,3,1,4,2,5,2,6,3,7,3,8,3,9,3,10,2,11,2,12,1,2)</f>
        <v>1</v>
      </c>
      <c r="P2072" s="43"/>
    </row>
    <row r="2073" spans="1:16" ht="18" x14ac:dyDescent="0.35">
      <c r="A2073" s="43"/>
      <c r="C2073" s="393"/>
      <c r="E2073" s="394"/>
      <c r="F2073" s="394">
        <v>0</v>
      </c>
      <c r="G2073" s="394"/>
      <c r="H2073" s="8" t="s">
        <v>235</v>
      </c>
      <c r="I2073" s="368">
        <f t="shared" si="97"/>
        <v>0</v>
      </c>
      <c r="J2073" s="365">
        <f t="shared" si="96"/>
        <v>0</v>
      </c>
      <c r="K2073" s="369">
        <f t="shared" si="98"/>
        <v>6</v>
      </c>
      <c r="L2073" s="369">
        <f>+IF((C2073&gt;='Resultats - informe'!$E$16)*(C2073&lt;='Resultats - informe'!$G$16),1,0)</f>
        <v>1</v>
      </c>
      <c r="M2073" s="369" cm="1">
        <f t="array" ref="M2073">+_xlfn.IFS((C2073&gt;='Resultats - informe'!$D$26)*(C2073&lt;='Resultats - informe'!$E$26),0,(C2073&gt;='Resultats - informe'!$D$27)*(C2073&lt;='Resultats - informe'!$E$27),0,(C2073&gt;='Resultats - informe'!$D$28)*(C2073&lt;='Resultats - informe'!$E$28),0,(C2073&gt;='Resultats - informe'!$D$29)*(C2073&lt;='Resultats - informe'!$E$29),0,1,1)</f>
        <v>0</v>
      </c>
      <c r="N2073" s="366">
        <f>+VLOOKUP(D2073,'Resultats - informe'!$Y$18:$AG$42,'Introducció dades consum'!K2073+1,0)</f>
        <v>0</v>
      </c>
      <c r="O2073" s="370" cm="1">
        <f t="array" ref="O2073">+_xlfn.SWITCH(MONTH(C2073),1,1,2,1,3,1,4,2,5,2,6,3,7,3,8,3,9,3,10,2,11,2,12,1,2)</f>
        <v>1</v>
      </c>
      <c r="P2073" s="43"/>
    </row>
    <row r="2074" spans="1:16" ht="18" x14ac:dyDescent="0.35">
      <c r="A2074" s="43"/>
      <c r="C2074" s="393"/>
      <c r="E2074" s="394"/>
      <c r="F2074" s="394">
        <v>0</v>
      </c>
      <c r="G2074" s="394"/>
      <c r="H2074" s="8" t="s">
        <v>235</v>
      </c>
      <c r="I2074" s="368">
        <f t="shared" si="97"/>
        <v>0</v>
      </c>
      <c r="J2074" s="365">
        <f t="shared" si="96"/>
        <v>0</v>
      </c>
      <c r="K2074" s="369">
        <f t="shared" si="98"/>
        <v>6</v>
      </c>
      <c r="L2074" s="369">
        <f>+IF((C2074&gt;='Resultats - informe'!$E$16)*(C2074&lt;='Resultats - informe'!$G$16),1,0)</f>
        <v>1</v>
      </c>
      <c r="M2074" s="369" cm="1">
        <f t="array" ref="M2074">+_xlfn.IFS((C2074&gt;='Resultats - informe'!$D$26)*(C2074&lt;='Resultats - informe'!$E$26),0,(C2074&gt;='Resultats - informe'!$D$27)*(C2074&lt;='Resultats - informe'!$E$27),0,(C2074&gt;='Resultats - informe'!$D$28)*(C2074&lt;='Resultats - informe'!$E$28),0,(C2074&gt;='Resultats - informe'!$D$29)*(C2074&lt;='Resultats - informe'!$E$29),0,1,1)</f>
        <v>0</v>
      </c>
      <c r="N2074" s="366">
        <f>+VLOOKUP(D2074,'Resultats - informe'!$Y$18:$AG$42,'Introducció dades consum'!K2074+1,0)</f>
        <v>0</v>
      </c>
      <c r="O2074" s="370" cm="1">
        <f t="array" ref="O2074">+_xlfn.SWITCH(MONTH(C2074),1,1,2,1,3,1,4,2,5,2,6,3,7,3,8,3,9,3,10,2,11,2,12,1,2)</f>
        <v>1</v>
      </c>
      <c r="P2074" s="43"/>
    </row>
    <row r="2075" spans="1:16" ht="18" x14ac:dyDescent="0.35">
      <c r="A2075" s="43"/>
      <c r="C2075" s="393"/>
      <c r="E2075" s="394"/>
      <c r="F2075" s="394">
        <v>0</v>
      </c>
      <c r="G2075" s="394"/>
      <c r="H2075" s="8" t="s">
        <v>235</v>
      </c>
      <c r="I2075" s="368">
        <f t="shared" si="97"/>
        <v>0</v>
      </c>
      <c r="J2075" s="365">
        <f t="shared" si="96"/>
        <v>0</v>
      </c>
      <c r="K2075" s="369">
        <f t="shared" si="98"/>
        <v>6</v>
      </c>
      <c r="L2075" s="369">
        <f>+IF((C2075&gt;='Resultats - informe'!$E$16)*(C2075&lt;='Resultats - informe'!$G$16),1,0)</f>
        <v>1</v>
      </c>
      <c r="M2075" s="369" cm="1">
        <f t="array" ref="M2075">+_xlfn.IFS((C2075&gt;='Resultats - informe'!$D$26)*(C2075&lt;='Resultats - informe'!$E$26),0,(C2075&gt;='Resultats - informe'!$D$27)*(C2075&lt;='Resultats - informe'!$E$27),0,(C2075&gt;='Resultats - informe'!$D$28)*(C2075&lt;='Resultats - informe'!$E$28),0,(C2075&gt;='Resultats - informe'!$D$29)*(C2075&lt;='Resultats - informe'!$E$29),0,1,1)</f>
        <v>0</v>
      </c>
      <c r="N2075" s="366">
        <f>+VLOOKUP(D2075,'Resultats - informe'!$Y$18:$AG$42,'Introducció dades consum'!K2075+1,0)</f>
        <v>0</v>
      </c>
      <c r="O2075" s="370" cm="1">
        <f t="array" ref="O2075">+_xlfn.SWITCH(MONTH(C2075),1,1,2,1,3,1,4,2,5,2,6,3,7,3,8,3,9,3,10,2,11,2,12,1,2)</f>
        <v>1</v>
      </c>
      <c r="P2075" s="43"/>
    </row>
    <row r="2076" spans="1:16" ht="18" x14ac:dyDescent="0.35">
      <c r="A2076" s="43"/>
      <c r="C2076" s="393"/>
      <c r="E2076" s="394"/>
      <c r="F2076" s="394">
        <v>0</v>
      </c>
      <c r="G2076" s="394"/>
      <c r="H2076" s="8" t="s">
        <v>61</v>
      </c>
      <c r="I2076" s="368">
        <f t="shared" si="97"/>
        <v>0</v>
      </c>
      <c r="J2076" s="365">
        <f t="shared" si="96"/>
        <v>0</v>
      </c>
      <c r="K2076" s="369">
        <f t="shared" si="98"/>
        <v>6</v>
      </c>
      <c r="L2076" s="369">
        <f>+IF((C2076&gt;='Resultats - informe'!$E$16)*(C2076&lt;='Resultats - informe'!$G$16),1,0)</f>
        <v>1</v>
      </c>
      <c r="M2076" s="369" cm="1">
        <f t="array" ref="M2076">+_xlfn.IFS((C2076&gt;='Resultats - informe'!$D$26)*(C2076&lt;='Resultats - informe'!$E$26),0,(C2076&gt;='Resultats - informe'!$D$27)*(C2076&lt;='Resultats - informe'!$E$27),0,(C2076&gt;='Resultats - informe'!$D$28)*(C2076&lt;='Resultats - informe'!$E$28),0,(C2076&gt;='Resultats - informe'!$D$29)*(C2076&lt;='Resultats - informe'!$E$29),0,1,1)</f>
        <v>0</v>
      </c>
      <c r="N2076" s="366">
        <f>+VLOOKUP(D2076,'Resultats - informe'!$Y$18:$AG$42,'Introducció dades consum'!K2076+1,0)</f>
        <v>0</v>
      </c>
      <c r="O2076" s="370" cm="1">
        <f t="array" ref="O2076">+_xlfn.SWITCH(MONTH(C2076),1,1,2,1,3,1,4,2,5,2,6,3,7,3,8,3,9,3,10,2,11,2,12,1,2)</f>
        <v>1</v>
      </c>
      <c r="P2076" s="43"/>
    </row>
    <row r="2077" spans="1:16" ht="18" x14ac:dyDescent="0.35">
      <c r="A2077" s="43"/>
      <c r="C2077" s="393"/>
      <c r="E2077" s="394"/>
      <c r="F2077" s="394">
        <v>0.80200000000000005</v>
      </c>
      <c r="G2077" s="394"/>
      <c r="H2077" s="8" t="s">
        <v>235</v>
      </c>
      <c r="I2077" s="368">
        <f t="shared" si="97"/>
        <v>0</v>
      </c>
      <c r="J2077" s="365">
        <f t="shared" si="96"/>
        <v>0</v>
      </c>
      <c r="K2077" s="369">
        <f t="shared" si="98"/>
        <v>6</v>
      </c>
      <c r="L2077" s="369">
        <f>+IF((C2077&gt;='Resultats - informe'!$E$16)*(C2077&lt;='Resultats - informe'!$G$16),1,0)</f>
        <v>1</v>
      </c>
      <c r="M2077" s="369" cm="1">
        <f t="array" ref="M2077">+_xlfn.IFS((C2077&gt;='Resultats - informe'!$D$26)*(C2077&lt;='Resultats - informe'!$E$26),0,(C2077&gt;='Resultats - informe'!$D$27)*(C2077&lt;='Resultats - informe'!$E$27),0,(C2077&gt;='Resultats - informe'!$D$28)*(C2077&lt;='Resultats - informe'!$E$28),0,(C2077&gt;='Resultats - informe'!$D$29)*(C2077&lt;='Resultats - informe'!$E$29),0,1,1)</f>
        <v>0</v>
      </c>
      <c r="N2077" s="366">
        <f>+VLOOKUP(D2077,'Resultats - informe'!$Y$18:$AG$42,'Introducció dades consum'!K2077+1,0)</f>
        <v>0</v>
      </c>
      <c r="O2077" s="370" cm="1">
        <f t="array" ref="O2077">+_xlfn.SWITCH(MONTH(C2077),1,1,2,1,3,1,4,2,5,2,6,3,7,3,8,3,9,3,10,2,11,2,12,1,2)</f>
        <v>1</v>
      </c>
      <c r="P2077" s="43"/>
    </row>
    <row r="2078" spans="1:16" ht="18" x14ac:dyDescent="0.35">
      <c r="A2078" s="43"/>
      <c r="C2078" s="393"/>
      <c r="E2078" s="394"/>
      <c r="F2078" s="394">
        <v>2.8639999999999999</v>
      </c>
      <c r="G2078" s="394"/>
      <c r="H2078" s="8" t="s">
        <v>235</v>
      </c>
      <c r="I2078" s="368">
        <f t="shared" si="97"/>
        <v>0</v>
      </c>
      <c r="J2078" s="365">
        <f t="shared" si="96"/>
        <v>0</v>
      </c>
      <c r="K2078" s="369">
        <f t="shared" si="98"/>
        <v>6</v>
      </c>
      <c r="L2078" s="369">
        <f>+IF((C2078&gt;='Resultats - informe'!$E$16)*(C2078&lt;='Resultats - informe'!$G$16),1,0)</f>
        <v>1</v>
      </c>
      <c r="M2078" s="369" cm="1">
        <f t="array" ref="M2078">+_xlfn.IFS((C2078&gt;='Resultats - informe'!$D$26)*(C2078&lt;='Resultats - informe'!$E$26),0,(C2078&gt;='Resultats - informe'!$D$27)*(C2078&lt;='Resultats - informe'!$E$27),0,(C2078&gt;='Resultats - informe'!$D$28)*(C2078&lt;='Resultats - informe'!$E$28),0,(C2078&gt;='Resultats - informe'!$D$29)*(C2078&lt;='Resultats - informe'!$E$29),0,1,1)</f>
        <v>0</v>
      </c>
      <c r="N2078" s="366">
        <f>+VLOOKUP(D2078,'Resultats - informe'!$Y$18:$AG$42,'Introducció dades consum'!K2078+1,0)</f>
        <v>0</v>
      </c>
      <c r="O2078" s="370" cm="1">
        <f t="array" ref="O2078">+_xlfn.SWITCH(MONTH(C2078),1,1,2,1,3,1,4,2,5,2,6,3,7,3,8,3,9,3,10,2,11,2,12,1,2)</f>
        <v>1</v>
      </c>
      <c r="P2078" s="43"/>
    </row>
    <row r="2079" spans="1:16" ht="18" x14ac:dyDescent="0.35">
      <c r="A2079" s="43"/>
      <c r="C2079" s="393"/>
      <c r="E2079" s="394"/>
      <c r="F2079" s="394">
        <v>2.7890000000000001</v>
      </c>
      <c r="G2079" s="394"/>
      <c r="H2079" s="8" t="s">
        <v>235</v>
      </c>
      <c r="I2079" s="368">
        <f t="shared" si="97"/>
        <v>0</v>
      </c>
      <c r="J2079" s="365">
        <f t="shared" si="96"/>
        <v>0</v>
      </c>
      <c r="K2079" s="369">
        <f t="shared" si="98"/>
        <v>6</v>
      </c>
      <c r="L2079" s="369">
        <f>+IF((C2079&gt;='Resultats - informe'!$E$16)*(C2079&lt;='Resultats - informe'!$G$16),1,0)</f>
        <v>1</v>
      </c>
      <c r="M2079" s="369" cm="1">
        <f t="array" ref="M2079">+_xlfn.IFS((C2079&gt;='Resultats - informe'!$D$26)*(C2079&lt;='Resultats - informe'!$E$26),0,(C2079&gt;='Resultats - informe'!$D$27)*(C2079&lt;='Resultats - informe'!$E$27),0,(C2079&gt;='Resultats - informe'!$D$28)*(C2079&lt;='Resultats - informe'!$E$28),0,(C2079&gt;='Resultats - informe'!$D$29)*(C2079&lt;='Resultats - informe'!$E$29),0,1,1)</f>
        <v>0</v>
      </c>
      <c r="N2079" s="366">
        <f>+VLOOKUP(D2079,'Resultats - informe'!$Y$18:$AG$42,'Introducció dades consum'!K2079+1,0)</f>
        <v>0</v>
      </c>
      <c r="O2079" s="370" cm="1">
        <f t="array" ref="O2079">+_xlfn.SWITCH(MONTH(C2079),1,1,2,1,3,1,4,2,5,2,6,3,7,3,8,3,9,3,10,2,11,2,12,1,2)</f>
        <v>1</v>
      </c>
      <c r="P2079" s="43"/>
    </row>
    <row r="2080" spans="1:16" ht="18" x14ac:dyDescent="0.35">
      <c r="A2080" s="43"/>
      <c r="C2080" s="393"/>
      <c r="E2080" s="394"/>
      <c r="F2080" s="394">
        <v>2.0070000000000001</v>
      </c>
      <c r="G2080" s="394"/>
      <c r="H2080" s="8" t="s">
        <v>235</v>
      </c>
      <c r="I2080" s="368">
        <f t="shared" si="97"/>
        <v>0</v>
      </c>
      <c r="J2080" s="365">
        <f t="shared" si="96"/>
        <v>0</v>
      </c>
      <c r="K2080" s="369">
        <f t="shared" si="98"/>
        <v>6</v>
      </c>
      <c r="L2080" s="369">
        <f>+IF((C2080&gt;='Resultats - informe'!$E$16)*(C2080&lt;='Resultats - informe'!$G$16),1,0)</f>
        <v>1</v>
      </c>
      <c r="M2080" s="369" cm="1">
        <f t="array" ref="M2080">+_xlfn.IFS((C2080&gt;='Resultats - informe'!$D$26)*(C2080&lt;='Resultats - informe'!$E$26),0,(C2080&gt;='Resultats - informe'!$D$27)*(C2080&lt;='Resultats - informe'!$E$27),0,(C2080&gt;='Resultats - informe'!$D$28)*(C2080&lt;='Resultats - informe'!$E$28),0,(C2080&gt;='Resultats - informe'!$D$29)*(C2080&lt;='Resultats - informe'!$E$29),0,1,1)</f>
        <v>0</v>
      </c>
      <c r="N2080" s="366">
        <f>+VLOOKUP(D2080,'Resultats - informe'!$Y$18:$AG$42,'Introducció dades consum'!K2080+1,0)</f>
        <v>0</v>
      </c>
      <c r="O2080" s="370" cm="1">
        <f t="array" ref="O2080">+_xlfn.SWITCH(MONTH(C2080),1,1,2,1,3,1,4,2,5,2,6,3,7,3,8,3,9,3,10,2,11,2,12,1,2)</f>
        <v>1</v>
      </c>
      <c r="P2080" s="43"/>
    </row>
    <row r="2081" spans="1:16" ht="18" x14ac:dyDescent="0.35">
      <c r="A2081" s="43"/>
      <c r="C2081" s="393"/>
      <c r="E2081" s="394"/>
      <c r="F2081" s="394">
        <v>1.867</v>
      </c>
      <c r="G2081" s="394"/>
      <c r="H2081" s="8" t="s">
        <v>235</v>
      </c>
      <c r="I2081" s="368">
        <f t="shared" si="97"/>
        <v>0</v>
      </c>
      <c r="J2081" s="365">
        <f t="shared" si="96"/>
        <v>0</v>
      </c>
      <c r="K2081" s="369">
        <f t="shared" si="98"/>
        <v>6</v>
      </c>
      <c r="L2081" s="369">
        <f>+IF((C2081&gt;='Resultats - informe'!$E$16)*(C2081&lt;='Resultats - informe'!$G$16),1,0)</f>
        <v>1</v>
      </c>
      <c r="M2081" s="369" cm="1">
        <f t="array" ref="M2081">+_xlfn.IFS((C2081&gt;='Resultats - informe'!$D$26)*(C2081&lt;='Resultats - informe'!$E$26),0,(C2081&gt;='Resultats - informe'!$D$27)*(C2081&lt;='Resultats - informe'!$E$27),0,(C2081&gt;='Resultats - informe'!$D$28)*(C2081&lt;='Resultats - informe'!$E$28),0,(C2081&gt;='Resultats - informe'!$D$29)*(C2081&lt;='Resultats - informe'!$E$29),0,1,1)</f>
        <v>0</v>
      </c>
      <c r="N2081" s="366">
        <f>+VLOOKUP(D2081,'Resultats - informe'!$Y$18:$AG$42,'Introducció dades consum'!K2081+1,0)</f>
        <v>0</v>
      </c>
      <c r="O2081" s="370" cm="1">
        <f t="array" ref="O2081">+_xlfn.SWITCH(MONTH(C2081),1,1,2,1,3,1,4,2,5,2,6,3,7,3,8,3,9,3,10,2,11,2,12,1,2)</f>
        <v>1</v>
      </c>
      <c r="P2081" s="43"/>
    </row>
    <row r="2082" spans="1:16" ht="18" x14ac:dyDescent="0.35">
      <c r="A2082" s="43"/>
      <c r="C2082" s="393"/>
      <c r="E2082" s="394"/>
      <c r="F2082" s="394">
        <v>5.5640000000000001</v>
      </c>
      <c r="G2082" s="394"/>
      <c r="H2082" s="8" t="s">
        <v>61</v>
      </c>
      <c r="I2082" s="368">
        <f t="shared" si="97"/>
        <v>0</v>
      </c>
      <c r="J2082" s="365">
        <f t="shared" si="96"/>
        <v>0</v>
      </c>
      <c r="K2082" s="369">
        <f t="shared" si="98"/>
        <v>6</v>
      </c>
      <c r="L2082" s="369">
        <f>+IF((C2082&gt;='Resultats - informe'!$E$16)*(C2082&lt;='Resultats - informe'!$G$16),1,0)</f>
        <v>1</v>
      </c>
      <c r="M2082" s="369" cm="1">
        <f t="array" ref="M2082">+_xlfn.IFS((C2082&gt;='Resultats - informe'!$D$26)*(C2082&lt;='Resultats - informe'!$E$26),0,(C2082&gt;='Resultats - informe'!$D$27)*(C2082&lt;='Resultats - informe'!$E$27),0,(C2082&gt;='Resultats - informe'!$D$28)*(C2082&lt;='Resultats - informe'!$E$28),0,(C2082&gt;='Resultats - informe'!$D$29)*(C2082&lt;='Resultats - informe'!$E$29),0,1,1)</f>
        <v>0</v>
      </c>
      <c r="N2082" s="366">
        <f>+VLOOKUP(D2082,'Resultats - informe'!$Y$18:$AG$42,'Introducció dades consum'!K2082+1,0)</f>
        <v>0</v>
      </c>
      <c r="O2082" s="370" cm="1">
        <f t="array" ref="O2082">+_xlfn.SWITCH(MONTH(C2082),1,1,2,1,3,1,4,2,5,2,6,3,7,3,8,3,9,3,10,2,11,2,12,1,2)</f>
        <v>1</v>
      </c>
      <c r="P2082" s="43"/>
    </row>
    <row r="2083" spans="1:16" ht="18" x14ac:dyDescent="0.35">
      <c r="A2083" s="43"/>
      <c r="C2083" s="393"/>
      <c r="E2083" s="394"/>
      <c r="F2083" s="394">
        <v>5.5359999999999996</v>
      </c>
      <c r="G2083" s="394"/>
      <c r="H2083" s="8" t="s">
        <v>61</v>
      </c>
      <c r="I2083" s="368">
        <f t="shared" si="97"/>
        <v>0</v>
      </c>
      <c r="J2083" s="365">
        <f t="shared" si="96"/>
        <v>0</v>
      </c>
      <c r="K2083" s="369">
        <f t="shared" si="98"/>
        <v>6</v>
      </c>
      <c r="L2083" s="369">
        <f>+IF((C2083&gt;='Resultats - informe'!$E$16)*(C2083&lt;='Resultats - informe'!$G$16),1,0)</f>
        <v>1</v>
      </c>
      <c r="M2083" s="369" cm="1">
        <f t="array" ref="M2083">+_xlfn.IFS((C2083&gt;='Resultats - informe'!$D$26)*(C2083&lt;='Resultats - informe'!$E$26),0,(C2083&gt;='Resultats - informe'!$D$27)*(C2083&lt;='Resultats - informe'!$E$27),0,(C2083&gt;='Resultats - informe'!$D$28)*(C2083&lt;='Resultats - informe'!$E$28),0,(C2083&gt;='Resultats - informe'!$D$29)*(C2083&lt;='Resultats - informe'!$E$29),0,1,1)</f>
        <v>0</v>
      </c>
      <c r="N2083" s="366">
        <f>+VLOOKUP(D2083,'Resultats - informe'!$Y$18:$AG$42,'Introducció dades consum'!K2083+1,0)</f>
        <v>0</v>
      </c>
      <c r="O2083" s="370" cm="1">
        <f t="array" ref="O2083">+_xlfn.SWITCH(MONTH(C2083),1,1,2,1,3,1,4,2,5,2,6,3,7,3,8,3,9,3,10,2,11,2,12,1,2)</f>
        <v>1</v>
      </c>
      <c r="P2083" s="43"/>
    </row>
    <row r="2084" spans="1:16" ht="18" x14ac:dyDescent="0.35">
      <c r="A2084" s="43"/>
      <c r="C2084" s="393"/>
      <c r="E2084" s="394"/>
      <c r="F2084" s="394">
        <v>5.9169999999999998</v>
      </c>
      <c r="G2084" s="394"/>
      <c r="H2084" s="8" t="s">
        <v>61</v>
      </c>
      <c r="I2084" s="368">
        <f t="shared" si="97"/>
        <v>0</v>
      </c>
      <c r="J2084" s="365">
        <f t="shared" si="96"/>
        <v>0</v>
      </c>
      <c r="K2084" s="369">
        <f t="shared" si="98"/>
        <v>6</v>
      </c>
      <c r="L2084" s="369">
        <f>+IF((C2084&gt;='Resultats - informe'!$E$16)*(C2084&lt;='Resultats - informe'!$G$16),1,0)</f>
        <v>1</v>
      </c>
      <c r="M2084" s="369" cm="1">
        <f t="array" ref="M2084">+_xlfn.IFS((C2084&gt;='Resultats - informe'!$D$26)*(C2084&lt;='Resultats - informe'!$E$26),0,(C2084&gt;='Resultats - informe'!$D$27)*(C2084&lt;='Resultats - informe'!$E$27),0,(C2084&gt;='Resultats - informe'!$D$28)*(C2084&lt;='Resultats - informe'!$E$28),0,(C2084&gt;='Resultats - informe'!$D$29)*(C2084&lt;='Resultats - informe'!$E$29),0,1,1)</f>
        <v>0</v>
      </c>
      <c r="N2084" s="366">
        <f>+VLOOKUP(D2084,'Resultats - informe'!$Y$18:$AG$42,'Introducció dades consum'!K2084+1,0)</f>
        <v>0</v>
      </c>
      <c r="O2084" s="370" cm="1">
        <f t="array" ref="O2084">+_xlfn.SWITCH(MONTH(C2084),1,1,2,1,3,1,4,2,5,2,6,3,7,3,8,3,9,3,10,2,11,2,12,1,2)</f>
        <v>1</v>
      </c>
      <c r="P2084" s="43"/>
    </row>
    <row r="2085" spans="1:16" ht="18" x14ac:dyDescent="0.35">
      <c r="A2085" s="43"/>
      <c r="C2085" s="393"/>
      <c r="E2085" s="394"/>
      <c r="F2085" s="394">
        <v>4.4260000000000002</v>
      </c>
      <c r="G2085" s="394"/>
      <c r="H2085" s="8" t="s">
        <v>61</v>
      </c>
      <c r="I2085" s="368">
        <f t="shared" si="97"/>
        <v>0</v>
      </c>
      <c r="J2085" s="365">
        <f t="shared" si="96"/>
        <v>0</v>
      </c>
      <c r="K2085" s="369">
        <f t="shared" si="98"/>
        <v>6</v>
      </c>
      <c r="L2085" s="369">
        <f>+IF((C2085&gt;='Resultats - informe'!$E$16)*(C2085&lt;='Resultats - informe'!$G$16),1,0)</f>
        <v>1</v>
      </c>
      <c r="M2085" s="369" cm="1">
        <f t="array" ref="M2085">+_xlfn.IFS((C2085&gt;='Resultats - informe'!$D$26)*(C2085&lt;='Resultats - informe'!$E$26),0,(C2085&gt;='Resultats - informe'!$D$27)*(C2085&lt;='Resultats - informe'!$E$27),0,(C2085&gt;='Resultats - informe'!$D$28)*(C2085&lt;='Resultats - informe'!$E$28),0,(C2085&gt;='Resultats - informe'!$D$29)*(C2085&lt;='Resultats - informe'!$E$29),0,1,1)</f>
        <v>0</v>
      </c>
      <c r="N2085" s="366">
        <f>+VLOOKUP(D2085,'Resultats - informe'!$Y$18:$AG$42,'Introducció dades consum'!K2085+1,0)</f>
        <v>0</v>
      </c>
      <c r="O2085" s="370" cm="1">
        <f t="array" ref="O2085">+_xlfn.SWITCH(MONTH(C2085),1,1,2,1,3,1,4,2,5,2,6,3,7,3,8,3,9,3,10,2,11,2,12,1,2)</f>
        <v>1</v>
      </c>
      <c r="P2085" s="43"/>
    </row>
    <row r="2086" spans="1:16" ht="18" x14ac:dyDescent="0.35">
      <c r="A2086" s="43"/>
      <c r="C2086" s="393"/>
      <c r="E2086" s="394"/>
      <c r="F2086" s="394">
        <v>0</v>
      </c>
      <c r="G2086" s="394"/>
      <c r="H2086" s="8" t="s">
        <v>235</v>
      </c>
      <c r="I2086" s="368">
        <f t="shared" si="97"/>
        <v>0</v>
      </c>
      <c r="J2086" s="365">
        <f t="shared" si="96"/>
        <v>0</v>
      </c>
      <c r="K2086" s="369">
        <f t="shared" si="98"/>
        <v>6</v>
      </c>
      <c r="L2086" s="369">
        <f>+IF((C2086&gt;='Resultats - informe'!$E$16)*(C2086&lt;='Resultats - informe'!$G$16),1,0)</f>
        <v>1</v>
      </c>
      <c r="M2086" s="369" cm="1">
        <f t="array" ref="M2086">+_xlfn.IFS((C2086&gt;='Resultats - informe'!$D$26)*(C2086&lt;='Resultats - informe'!$E$26),0,(C2086&gt;='Resultats - informe'!$D$27)*(C2086&lt;='Resultats - informe'!$E$27),0,(C2086&gt;='Resultats - informe'!$D$28)*(C2086&lt;='Resultats - informe'!$E$28),0,(C2086&gt;='Resultats - informe'!$D$29)*(C2086&lt;='Resultats - informe'!$E$29),0,1,1)</f>
        <v>0</v>
      </c>
      <c r="N2086" s="366">
        <f>+VLOOKUP(D2086,'Resultats - informe'!$Y$18:$AG$42,'Introducció dades consum'!K2086+1,0)</f>
        <v>0</v>
      </c>
      <c r="O2086" s="370" cm="1">
        <f t="array" ref="O2086">+_xlfn.SWITCH(MONTH(C2086),1,1,2,1,3,1,4,2,5,2,6,3,7,3,8,3,9,3,10,2,11,2,12,1,2)</f>
        <v>1</v>
      </c>
      <c r="P2086" s="43"/>
    </row>
    <row r="2087" spans="1:16" ht="18" x14ac:dyDescent="0.35">
      <c r="A2087" s="43"/>
      <c r="C2087" s="393"/>
      <c r="E2087" s="394"/>
      <c r="F2087" s="394">
        <v>0</v>
      </c>
      <c r="G2087" s="394"/>
      <c r="H2087" s="8" t="s">
        <v>235</v>
      </c>
      <c r="I2087" s="368">
        <f t="shared" si="97"/>
        <v>0</v>
      </c>
      <c r="J2087" s="365">
        <f t="shared" si="96"/>
        <v>0</v>
      </c>
      <c r="K2087" s="369">
        <f t="shared" si="98"/>
        <v>6</v>
      </c>
      <c r="L2087" s="369">
        <f>+IF((C2087&gt;='Resultats - informe'!$E$16)*(C2087&lt;='Resultats - informe'!$G$16),1,0)</f>
        <v>1</v>
      </c>
      <c r="M2087" s="369" cm="1">
        <f t="array" ref="M2087">+_xlfn.IFS((C2087&gt;='Resultats - informe'!$D$26)*(C2087&lt;='Resultats - informe'!$E$26),0,(C2087&gt;='Resultats - informe'!$D$27)*(C2087&lt;='Resultats - informe'!$E$27),0,(C2087&gt;='Resultats - informe'!$D$28)*(C2087&lt;='Resultats - informe'!$E$28),0,(C2087&gt;='Resultats - informe'!$D$29)*(C2087&lt;='Resultats - informe'!$E$29),0,1,1)</f>
        <v>0</v>
      </c>
      <c r="N2087" s="366">
        <f>+VLOOKUP(D2087,'Resultats - informe'!$Y$18:$AG$42,'Introducció dades consum'!K2087+1,0)</f>
        <v>0</v>
      </c>
      <c r="O2087" s="370" cm="1">
        <f t="array" ref="O2087">+_xlfn.SWITCH(MONTH(C2087),1,1,2,1,3,1,4,2,5,2,6,3,7,3,8,3,9,3,10,2,11,2,12,1,2)</f>
        <v>1</v>
      </c>
      <c r="P2087" s="43"/>
    </row>
    <row r="2088" spans="1:16" ht="18" x14ac:dyDescent="0.35">
      <c r="A2088" s="43"/>
      <c r="C2088" s="393"/>
      <c r="E2088" s="394"/>
      <c r="F2088" s="394">
        <v>0</v>
      </c>
      <c r="G2088" s="394"/>
      <c r="H2088" s="8" t="s">
        <v>235</v>
      </c>
      <c r="I2088" s="368">
        <f t="shared" si="97"/>
        <v>0</v>
      </c>
      <c r="J2088" s="365">
        <f t="shared" si="96"/>
        <v>0</v>
      </c>
      <c r="K2088" s="369">
        <f t="shared" si="98"/>
        <v>6</v>
      </c>
      <c r="L2088" s="369">
        <f>+IF((C2088&gt;='Resultats - informe'!$E$16)*(C2088&lt;='Resultats - informe'!$G$16),1,0)</f>
        <v>1</v>
      </c>
      <c r="M2088" s="369" cm="1">
        <f t="array" ref="M2088">+_xlfn.IFS((C2088&gt;='Resultats - informe'!$D$26)*(C2088&lt;='Resultats - informe'!$E$26),0,(C2088&gt;='Resultats - informe'!$D$27)*(C2088&lt;='Resultats - informe'!$E$27),0,(C2088&gt;='Resultats - informe'!$D$28)*(C2088&lt;='Resultats - informe'!$E$28),0,(C2088&gt;='Resultats - informe'!$D$29)*(C2088&lt;='Resultats - informe'!$E$29),0,1,1)</f>
        <v>0</v>
      </c>
      <c r="N2088" s="366">
        <f>+VLOOKUP(D2088,'Resultats - informe'!$Y$18:$AG$42,'Introducció dades consum'!K2088+1,0)</f>
        <v>0</v>
      </c>
      <c r="O2088" s="370" cm="1">
        <f t="array" ref="O2088">+_xlfn.SWITCH(MONTH(C2088),1,1,2,1,3,1,4,2,5,2,6,3,7,3,8,3,9,3,10,2,11,2,12,1,2)</f>
        <v>1</v>
      </c>
      <c r="P2088" s="43"/>
    </row>
    <row r="2089" spans="1:16" ht="18" x14ac:dyDescent="0.35">
      <c r="A2089" s="43"/>
      <c r="C2089" s="393"/>
      <c r="E2089" s="394"/>
      <c r="F2089" s="394">
        <v>0</v>
      </c>
      <c r="G2089" s="394"/>
      <c r="H2089" s="8" t="s">
        <v>235</v>
      </c>
      <c r="I2089" s="368">
        <f t="shared" si="97"/>
        <v>0</v>
      </c>
      <c r="J2089" s="365">
        <f t="shared" si="96"/>
        <v>0</v>
      </c>
      <c r="K2089" s="369">
        <f t="shared" si="98"/>
        <v>6</v>
      </c>
      <c r="L2089" s="369">
        <f>+IF((C2089&gt;='Resultats - informe'!$E$16)*(C2089&lt;='Resultats - informe'!$G$16),1,0)</f>
        <v>1</v>
      </c>
      <c r="M2089" s="369" cm="1">
        <f t="array" ref="M2089">+_xlfn.IFS((C2089&gt;='Resultats - informe'!$D$26)*(C2089&lt;='Resultats - informe'!$E$26),0,(C2089&gt;='Resultats - informe'!$D$27)*(C2089&lt;='Resultats - informe'!$E$27),0,(C2089&gt;='Resultats - informe'!$D$28)*(C2089&lt;='Resultats - informe'!$E$28),0,(C2089&gt;='Resultats - informe'!$D$29)*(C2089&lt;='Resultats - informe'!$E$29),0,1,1)</f>
        <v>0</v>
      </c>
      <c r="N2089" s="366">
        <f>+VLOOKUP(D2089,'Resultats - informe'!$Y$18:$AG$42,'Introducció dades consum'!K2089+1,0)</f>
        <v>0</v>
      </c>
      <c r="O2089" s="370" cm="1">
        <f t="array" ref="O2089">+_xlfn.SWITCH(MONTH(C2089),1,1,2,1,3,1,4,2,5,2,6,3,7,3,8,3,9,3,10,2,11,2,12,1,2)</f>
        <v>1</v>
      </c>
      <c r="P2089" s="43"/>
    </row>
    <row r="2090" spans="1:16" ht="18" x14ac:dyDescent="0.35">
      <c r="A2090" s="43"/>
      <c r="C2090" s="393"/>
      <c r="E2090" s="394"/>
      <c r="F2090" s="394">
        <v>0</v>
      </c>
      <c r="G2090" s="394"/>
      <c r="H2090" s="8" t="s">
        <v>235</v>
      </c>
      <c r="I2090" s="368">
        <f t="shared" si="97"/>
        <v>0</v>
      </c>
      <c r="J2090" s="365">
        <f t="shared" si="96"/>
        <v>0</v>
      </c>
      <c r="K2090" s="369">
        <f t="shared" si="98"/>
        <v>6</v>
      </c>
      <c r="L2090" s="369">
        <f>+IF((C2090&gt;='Resultats - informe'!$E$16)*(C2090&lt;='Resultats - informe'!$G$16),1,0)</f>
        <v>1</v>
      </c>
      <c r="M2090" s="369" cm="1">
        <f t="array" ref="M2090">+_xlfn.IFS((C2090&gt;='Resultats - informe'!$D$26)*(C2090&lt;='Resultats - informe'!$E$26),0,(C2090&gt;='Resultats - informe'!$D$27)*(C2090&lt;='Resultats - informe'!$E$27),0,(C2090&gt;='Resultats - informe'!$D$28)*(C2090&lt;='Resultats - informe'!$E$28),0,(C2090&gt;='Resultats - informe'!$D$29)*(C2090&lt;='Resultats - informe'!$E$29),0,1,1)</f>
        <v>0</v>
      </c>
      <c r="N2090" s="366">
        <f>+VLOOKUP(D2090,'Resultats - informe'!$Y$18:$AG$42,'Introducció dades consum'!K2090+1,0)</f>
        <v>0</v>
      </c>
      <c r="O2090" s="370" cm="1">
        <f t="array" ref="O2090">+_xlfn.SWITCH(MONTH(C2090),1,1,2,1,3,1,4,2,5,2,6,3,7,3,8,3,9,3,10,2,11,2,12,1,2)</f>
        <v>1</v>
      </c>
      <c r="P2090" s="43"/>
    </row>
    <row r="2091" spans="1:16" ht="18" x14ac:dyDescent="0.35">
      <c r="A2091" s="43"/>
      <c r="C2091" s="393"/>
      <c r="E2091" s="394"/>
      <c r="F2091" s="394">
        <v>0</v>
      </c>
      <c r="G2091" s="394"/>
      <c r="H2091" s="8" t="s">
        <v>235</v>
      </c>
      <c r="I2091" s="368">
        <f t="shared" si="97"/>
        <v>0</v>
      </c>
      <c r="J2091" s="365">
        <f t="shared" si="96"/>
        <v>0</v>
      </c>
      <c r="K2091" s="369">
        <f t="shared" si="98"/>
        <v>6</v>
      </c>
      <c r="L2091" s="369">
        <f>+IF((C2091&gt;='Resultats - informe'!$E$16)*(C2091&lt;='Resultats - informe'!$G$16),1,0)</f>
        <v>1</v>
      </c>
      <c r="M2091" s="369" cm="1">
        <f t="array" ref="M2091">+_xlfn.IFS((C2091&gt;='Resultats - informe'!$D$26)*(C2091&lt;='Resultats - informe'!$E$26),0,(C2091&gt;='Resultats - informe'!$D$27)*(C2091&lt;='Resultats - informe'!$E$27),0,(C2091&gt;='Resultats - informe'!$D$28)*(C2091&lt;='Resultats - informe'!$E$28),0,(C2091&gt;='Resultats - informe'!$D$29)*(C2091&lt;='Resultats - informe'!$E$29),0,1,1)</f>
        <v>0</v>
      </c>
      <c r="N2091" s="366">
        <f>+VLOOKUP(D2091,'Resultats - informe'!$Y$18:$AG$42,'Introducció dades consum'!K2091+1,0)</f>
        <v>0</v>
      </c>
      <c r="O2091" s="370" cm="1">
        <f t="array" ref="O2091">+_xlfn.SWITCH(MONTH(C2091),1,1,2,1,3,1,4,2,5,2,6,3,7,3,8,3,9,3,10,2,11,2,12,1,2)</f>
        <v>1</v>
      </c>
      <c r="P2091" s="43"/>
    </row>
    <row r="2092" spans="1:16" ht="18" x14ac:dyDescent="0.35">
      <c r="A2092" s="43"/>
      <c r="C2092" s="393"/>
      <c r="E2092" s="394"/>
      <c r="F2092" s="394">
        <v>0</v>
      </c>
      <c r="G2092" s="394"/>
      <c r="H2092" s="8" t="s">
        <v>235</v>
      </c>
      <c r="I2092" s="368">
        <f t="shared" si="97"/>
        <v>0</v>
      </c>
      <c r="J2092" s="365">
        <f t="shared" si="96"/>
        <v>0</v>
      </c>
      <c r="K2092" s="369">
        <f t="shared" si="98"/>
        <v>6</v>
      </c>
      <c r="L2092" s="369">
        <f>+IF((C2092&gt;='Resultats - informe'!$E$16)*(C2092&lt;='Resultats - informe'!$G$16),1,0)</f>
        <v>1</v>
      </c>
      <c r="M2092" s="369" cm="1">
        <f t="array" ref="M2092">+_xlfn.IFS((C2092&gt;='Resultats - informe'!$D$26)*(C2092&lt;='Resultats - informe'!$E$26),0,(C2092&gt;='Resultats - informe'!$D$27)*(C2092&lt;='Resultats - informe'!$E$27),0,(C2092&gt;='Resultats - informe'!$D$28)*(C2092&lt;='Resultats - informe'!$E$28),0,(C2092&gt;='Resultats - informe'!$D$29)*(C2092&lt;='Resultats - informe'!$E$29),0,1,1)</f>
        <v>0</v>
      </c>
      <c r="N2092" s="366">
        <f>+VLOOKUP(D2092,'Resultats - informe'!$Y$18:$AG$42,'Introducció dades consum'!K2092+1,0)</f>
        <v>0</v>
      </c>
      <c r="O2092" s="370" cm="1">
        <f t="array" ref="O2092">+_xlfn.SWITCH(MONTH(C2092),1,1,2,1,3,1,4,2,5,2,6,3,7,3,8,3,9,3,10,2,11,2,12,1,2)</f>
        <v>1</v>
      </c>
      <c r="P2092" s="43"/>
    </row>
    <row r="2093" spans="1:16" ht="18" x14ac:dyDescent="0.35">
      <c r="A2093" s="43"/>
      <c r="C2093" s="393"/>
      <c r="E2093" s="394"/>
      <c r="F2093" s="394">
        <v>0</v>
      </c>
      <c r="G2093" s="394"/>
      <c r="H2093" s="8" t="s">
        <v>235</v>
      </c>
      <c r="I2093" s="368">
        <f t="shared" si="97"/>
        <v>0</v>
      </c>
      <c r="J2093" s="365">
        <f t="shared" si="96"/>
        <v>0</v>
      </c>
      <c r="K2093" s="369">
        <f t="shared" si="98"/>
        <v>6</v>
      </c>
      <c r="L2093" s="369">
        <f>+IF((C2093&gt;='Resultats - informe'!$E$16)*(C2093&lt;='Resultats - informe'!$G$16),1,0)</f>
        <v>1</v>
      </c>
      <c r="M2093" s="369" cm="1">
        <f t="array" ref="M2093">+_xlfn.IFS((C2093&gt;='Resultats - informe'!$D$26)*(C2093&lt;='Resultats - informe'!$E$26),0,(C2093&gt;='Resultats - informe'!$D$27)*(C2093&lt;='Resultats - informe'!$E$27),0,(C2093&gt;='Resultats - informe'!$D$28)*(C2093&lt;='Resultats - informe'!$E$28),0,(C2093&gt;='Resultats - informe'!$D$29)*(C2093&lt;='Resultats - informe'!$E$29),0,1,1)</f>
        <v>0</v>
      </c>
      <c r="N2093" s="366">
        <f>+VLOOKUP(D2093,'Resultats - informe'!$Y$18:$AG$42,'Introducció dades consum'!K2093+1,0)</f>
        <v>0</v>
      </c>
      <c r="O2093" s="370" cm="1">
        <f t="array" ref="O2093">+_xlfn.SWITCH(MONTH(C2093),1,1,2,1,3,1,4,2,5,2,6,3,7,3,8,3,9,3,10,2,11,2,12,1,2)</f>
        <v>1</v>
      </c>
      <c r="P2093" s="43"/>
    </row>
    <row r="2094" spans="1:16" ht="18" x14ac:dyDescent="0.35">
      <c r="A2094" s="43"/>
      <c r="C2094" s="393"/>
      <c r="E2094" s="394"/>
      <c r="F2094" s="394">
        <v>0</v>
      </c>
      <c r="G2094" s="394"/>
      <c r="H2094" s="8" t="s">
        <v>235</v>
      </c>
      <c r="I2094" s="368">
        <f t="shared" si="97"/>
        <v>0</v>
      </c>
      <c r="J2094" s="365">
        <f t="shared" si="96"/>
        <v>0</v>
      </c>
      <c r="K2094" s="369">
        <f t="shared" si="98"/>
        <v>6</v>
      </c>
      <c r="L2094" s="369">
        <f>+IF((C2094&gt;='Resultats - informe'!$E$16)*(C2094&lt;='Resultats - informe'!$G$16),1,0)</f>
        <v>1</v>
      </c>
      <c r="M2094" s="369" cm="1">
        <f t="array" ref="M2094">+_xlfn.IFS((C2094&gt;='Resultats - informe'!$D$26)*(C2094&lt;='Resultats - informe'!$E$26),0,(C2094&gt;='Resultats - informe'!$D$27)*(C2094&lt;='Resultats - informe'!$E$27),0,(C2094&gt;='Resultats - informe'!$D$28)*(C2094&lt;='Resultats - informe'!$E$28),0,(C2094&gt;='Resultats - informe'!$D$29)*(C2094&lt;='Resultats - informe'!$E$29),0,1,1)</f>
        <v>0</v>
      </c>
      <c r="N2094" s="366">
        <f>+VLOOKUP(D2094,'Resultats - informe'!$Y$18:$AG$42,'Introducció dades consum'!K2094+1,0)</f>
        <v>0</v>
      </c>
      <c r="O2094" s="370" cm="1">
        <f t="array" ref="O2094">+_xlfn.SWITCH(MONTH(C2094),1,1,2,1,3,1,4,2,5,2,6,3,7,3,8,3,9,3,10,2,11,2,12,1,2)</f>
        <v>1</v>
      </c>
      <c r="P2094" s="43"/>
    </row>
    <row r="2095" spans="1:16" ht="18" x14ac:dyDescent="0.35">
      <c r="A2095" s="43"/>
      <c r="C2095" s="393"/>
      <c r="E2095" s="394"/>
      <c r="F2095" s="394">
        <v>0</v>
      </c>
      <c r="G2095" s="394"/>
      <c r="H2095" s="8" t="s">
        <v>235</v>
      </c>
      <c r="I2095" s="368">
        <f t="shared" si="97"/>
        <v>0</v>
      </c>
      <c r="J2095" s="365">
        <f t="shared" si="96"/>
        <v>0</v>
      </c>
      <c r="K2095" s="369">
        <f t="shared" si="98"/>
        <v>6</v>
      </c>
      <c r="L2095" s="369">
        <f>+IF((C2095&gt;='Resultats - informe'!$E$16)*(C2095&lt;='Resultats - informe'!$G$16),1,0)</f>
        <v>1</v>
      </c>
      <c r="M2095" s="369" cm="1">
        <f t="array" ref="M2095">+_xlfn.IFS((C2095&gt;='Resultats - informe'!$D$26)*(C2095&lt;='Resultats - informe'!$E$26),0,(C2095&gt;='Resultats - informe'!$D$27)*(C2095&lt;='Resultats - informe'!$E$27),0,(C2095&gt;='Resultats - informe'!$D$28)*(C2095&lt;='Resultats - informe'!$E$28),0,(C2095&gt;='Resultats - informe'!$D$29)*(C2095&lt;='Resultats - informe'!$E$29),0,1,1)</f>
        <v>0</v>
      </c>
      <c r="N2095" s="366">
        <f>+VLOOKUP(D2095,'Resultats - informe'!$Y$18:$AG$42,'Introducció dades consum'!K2095+1,0)</f>
        <v>0</v>
      </c>
      <c r="O2095" s="370" cm="1">
        <f t="array" ref="O2095">+_xlfn.SWITCH(MONTH(C2095),1,1,2,1,3,1,4,2,5,2,6,3,7,3,8,3,9,3,10,2,11,2,12,1,2)</f>
        <v>1</v>
      </c>
      <c r="P2095" s="43"/>
    </row>
    <row r="2096" spans="1:16" ht="18" x14ac:dyDescent="0.35">
      <c r="A2096" s="43"/>
      <c r="C2096" s="393"/>
      <c r="E2096" s="394"/>
      <c r="F2096" s="394">
        <v>0</v>
      </c>
      <c r="G2096" s="394"/>
      <c r="H2096" s="8" t="s">
        <v>235</v>
      </c>
      <c r="I2096" s="368">
        <f t="shared" si="97"/>
        <v>0</v>
      </c>
      <c r="J2096" s="365">
        <f t="shared" si="96"/>
        <v>0</v>
      </c>
      <c r="K2096" s="369">
        <f t="shared" si="98"/>
        <v>6</v>
      </c>
      <c r="L2096" s="369">
        <f>+IF((C2096&gt;='Resultats - informe'!$E$16)*(C2096&lt;='Resultats - informe'!$G$16),1,0)</f>
        <v>1</v>
      </c>
      <c r="M2096" s="369" cm="1">
        <f t="array" ref="M2096">+_xlfn.IFS((C2096&gt;='Resultats - informe'!$D$26)*(C2096&lt;='Resultats - informe'!$E$26),0,(C2096&gt;='Resultats - informe'!$D$27)*(C2096&lt;='Resultats - informe'!$E$27),0,(C2096&gt;='Resultats - informe'!$D$28)*(C2096&lt;='Resultats - informe'!$E$28),0,(C2096&gt;='Resultats - informe'!$D$29)*(C2096&lt;='Resultats - informe'!$E$29),0,1,1)</f>
        <v>0</v>
      </c>
      <c r="N2096" s="366">
        <f>+VLOOKUP(D2096,'Resultats - informe'!$Y$18:$AG$42,'Introducció dades consum'!K2096+1,0)</f>
        <v>0</v>
      </c>
      <c r="O2096" s="370" cm="1">
        <f t="array" ref="O2096">+_xlfn.SWITCH(MONTH(C2096),1,1,2,1,3,1,4,2,5,2,6,3,7,3,8,3,9,3,10,2,11,2,12,1,2)</f>
        <v>1</v>
      </c>
      <c r="P2096" s="43"/>
    </row>
    <row r="2097" spans="1:16" ht="18" x14ac:dyDescent="0.35">
      <c r="A2097" s="43"/>
      <c r="C2097" s="393"/>
      <c r="E2097" s="394"/>
      <c r="F2097" s="394">
        <v>0</v>
      </c>
      <c r="G2097" s="394"/>
      <c r="H2097" s="8" t="s">
        <v>235</v>
      </c>
      <c r="I2097" s="368">
        <f t="shared" si="97"/>
        <v>0</v>
      </c>
      <c r="J2097" s="365">
        <f t="shared" si="96"/>
        <v>0</v>
      </c>
      <c r="K2097" s="369">
        <f t="shared" si="98"/>
        <v>6</v>
      </c>
      <c r="L2097" s="369">
        <f>+IF((C2097&gt;='Resultats - informe'!$E$16)*(C2097&lt;='Resultats - informe'!$G$16),1,0)</f>
        <v>1</v>
      </c>
      <c r="M2097" s="369" cm="1">
        <f t="array" ref="M2097">+_xlfn.IFS((C2097&gt;='Resultats - informe'!$D$26)*(C2097&lt;='Resultats - informe'!$E$26),0,(C2097&gt;='Resultats - informe'!$D$27)*(C2097&lt;='Resultats - informe'!$E$27),0,(C2097&gt;='Resultats - informe'!$D$28)*(C2097&lt;='Resultats - informe'!$E$28),0,(C2097&gt;='Resultats - informe'!$D$29)*(C2097&lt;='Resultats - informe'!$E$29),0,1,1)</f>
        <v>0</v>
      </c>
      <c r="N2097" s="366">
        <f>+VLOOKUP(D2097,'Resultats - informe'!$Y$18:$AG$42,'Introducció dades consum'!K2097+1,0)</f>
        <v>0</v>
      </c>
      <c r="O2097" s="370" cm="1">
        <f t="array" ref="O2097">+_xlfn.SWITCH(MONTH(C2097),1,1,2,1,3,1,4,2,5,2,6,3,7,3,8,3,9,3,10,2,11,2,12,1,2)</f>
        <v>1</v>
      </c>
      <c r="P2097" s="43"/>
    </row>
    <row r="2098" spans="1:16" ht="18" x14ac:dyDescent="0.35">
      <c r="A2098" s="43"/>
      <c r="C2098" s="393"/>
      <c r="E2098" s="394"/>
      <c r="F2098" s="394">
        <v>0</v>
      </c>
      <c r="G2098" s="394"/>
      <c r="H2098" s="8" t="s">
        <v>235</v>
      </c>
      <c r="I2098" s="368">
        <f t="shared" si="97"/>
        <v>0</v>
      </c>
      <c r="J2098" s="365">
        <f t="shared" si="96"/>
        <v>0</v>
      </c>
      <c r="K2098" s="369">
        <f t="shared" si="98"/>
        <v>6</v>
      </c>
      <c r="L2098" s="369">
        <f>+IF((C2098&gt;='Resultats - informe'!$E$16)*(C2098&lt;='Resultats - informe'!$G$16),1,0)</f>
        <v>1</v>
      </c>
      <c r="M2098" s="369" cm="1">
        <f t="array" ref="M2098">+_xlfn.IFS((C2098&gt;='Resultats - informe'!$D$26)*(C2098&lt;='Resultats - informe'!$E$26),0,(C2098&gt;='Resultats - informe'!$D$27)*(C2098&lt;='Resultats - informe'!$E$27),0,(C2098&gt;='Resultats - informe'!$D$28)*(C2098&lt;='Resultats - informe'!$E$28),0,(C2098&gt;='Resultats - informe'!$D$29)*(C2098&lt;='Resultats - informe'!$E$29),0,1,1)</f>
        <v>0</v>
      </c>
      <c r="N2098" s="366">
        <f>+VLOOKUP(D2098,'Resultats - informe'!$Y$18:$AG$42,'Introducció dades consum'!K2098+1,0)</f>
        <v>0</v>
      </c>
      <c r="O2098" s="370" cm="1">
        <f t="array" ref="O2098">+_xlfn.SWITCH(MONTH(C2098),1,1,2,1,3,1,4,2,5,2,6,3,7,3,8,3,9,3,10,2,11,2,12,1,2)</f>
        <v>1</v>
      </c>
      <c r="P2098" s="43"/>
    </row>
    <row r="2099" spans="1:16" ht="18" x14ac:dyDescent="0.35">
      <c r="A2099" s="43"/>
      <c r="C2099" s="393"/>
      <c r="E2099" s="394"/>
      <c r="F2099" s="394">
        <v>2.4E-2</v>
      </c>
      <c r="G2099" s="394"/>
      <c r="H2099" s="8" t="s">
        <v>235</v>
      </c>
      <c r="I2099" s="368">
        <f t="shared" si="97"/>
        <v>0</v>
      </c>
      <c r="J2099" s="365">
        <f t="shared" si="96"/>
        <v>0</v>
      </c>
      <c r="K2099" s="369">
        <f t="shared" si="98"/>
        <v>6</v>
      </c>
      <c r="L2099" s="369">
        <f>+IF((C2099&gt;='Resultats - informe'!$E$16)*(C2099&lt;='Resultats - informe'!$G$16),1,0)</f>
        <v>1</v>
      </c>
      <c r="M2099" s="369" cm="1">
        <f t="array" ref="M2099">+_xlfn.IFS((C2099&gt;='Resultats - informe'!$D$26)*(C2099&lt;='Resultats - informe'!$E$26),0,(C2099&gt;='Resultats - informe'!$D$27)*(C2099&lt;='Resultats - informe'!$E$27),0,(C2099&gt;='Resultats - informe'!$D$28)*(C2099&lt;='Resultats - informe'!$E$28),0,(C2099&gt;='Resultats - informe'!$D$29)*(C2099&lt;='Resultats - informe'!$E$29),0,1,1)</f>
        <v>0</v>
      </c>
      <c r="N2099" s="366">
        <f>+VLOOKUP(D2099,'Resultats - informe'!$Y$18:$AG$42,'Introducció dades consum'!K2099+1,0)</f>
        <v>0</v>
      </c>
      <c r="O2099" s="370" cm="1">
        <f t="array" ref="O2099">+_xlfn.SWITCH(MONTH(C2099),1,1,2,1,3,1,4,2,5,2,6,3,7,3,8,3,9,3,10,2,11,2,12,1,2)</f>
        <v>1</v>
      </c>
      <c r="P2099" s="43"/>
    </row>
    <row r="2100" spans="1:16" ht="18" x14ac:dyDescent="0.35">
      <c r="A2100" s="43"/>
      <c r="C2100" s="393"/>
      <c r="E2100" s="394"/>
      <c r="F2100" s="394">
        <v>0</v>
      </c>
      <c r="G2100" s="394"/>
      <c r="H2100" s="8" t="s">
        <v>61</v>
      </c>
      <c r="I2100" s="368">
        <f t="shared" si="97"/>
        <v>0</v>
      </c>
      <c r="J2100" s="365">
        <f t="shared" si="96"/>
        <v>0</v>
      </c>
      <c r="K2100" s="369">
        <f t="shared" si="98"/>
        <v>6</v>
      </c>
      <c r="L2100" s="369">
        <f>+IF((C2100&gt;='Resultats - informe'!$E$16)*(C2100&lt;='Resultats - informe'!$G$16),1,0)</f>
        <v>1</v>
      </c>
      <c r="M2100" s="369" cm="1">
        <f t="array" ref="M2100">+_xlfn.IFS((C2100&gt;='Resultats - informe'!$D$26)*(C2100&lt;='Resultats - informe'!$E$26),0,(C2100&gt;='Resultats - informe'!$D$27)*(C2100&lt;='Resultats - informe'!$E$27),0,(C2100&gt;='Resultats - informe'!$D$28)*(C2100&lt;='Resultats - informe'!$E$28),0,(C2100&gt;='Resultats - informe'!$D$29)*(C2100&lt;='Resultats - informe'!$E$29),0,1,1)</f>
        <v>0</v>
      </c>
      <c r="N2100" s="366">
        <f>+VLOOKUP(D2100,'Resultats - informe'!$Y$18:$AG$42,'Introducció dades consum'!K2100+1,0)</f>
        <v>0</v>
      </c>
      <c r="O2100" s="370" cm="1">
        <f t="array" ref="O2100">+_xlfn.SWITCH(MONTH(C2100),1,1,2,1,3,1,4,2,5,2,6,3,7,3,8,3,9,3,10,2,11,2,12,1,2)</f>
        <v>1</v>
      </c>
      <c r="P2100" s="43"/>
    </row>
    <row r="2101" spans="1:16" ht="18" x14ac:dyDescent="0.35">
      <c r="A2101" s="43"/>
      <c r="C2101" s="393"/>
      <c r="E2101" s="394"/>
      <c r="F2101" s="394">
        <v>1.2949999999999999</v>
      </c>
      <c r="G2101" s="394"/>
      <c r="H2101" s="8" t="s">
        <v>61</v>
      </c>
      <c r="I2101" s="368">
        <f t="shared" si="97"/>
        <v>0</v>
      </c>
      <c r="J2101" s="365">
        <f t="shared" si="96"/>
        <v>0</v>
      </c>
      <c r="K2101" s="369">
        <f t="shared" si="98"/>
        <v>6</v>
      </c>
      <c r="L2101" s="369">
        <f>+IF((C2101&gt;='Resultats - informe'!$E$16)*(C2101&lt;='Resultats - informe'!$G$16),1,0)</f>
        <v>1</v>
      </c>
      <c r="M2101" s="369" cm="1">
        <f t="array" ref="M2101">+_xlfn.IFS((C2101&gt;='Resultats - informe'!$D$26)*(C2101&lt;='Resultats - informe'!$E$26),0,(C2101&gt;='Resultats - informe'!$D$27)*(C2101&lt;='Resultats - informe'!$E$27),0,(C2101&gt;='Resultats - informe'!$D$28)*(C2101&lt;='Resultats - informe'!$E$28),0,(C2101&gt;='Resultats - informe'!$D$29)*(C2101&lt;='Resultats - informe'!$E$29),0,1,1)</f>
        <v>0</v>
      </c>
      <c r="N2101" s="366">
        <f>+VLOOKUP(D2101,'Resultats - informe'!$Y$18:$AG$42,'Introducció dades consum'!K2101+1,0)</f>
        <v>0</v>
      </c>
      <c r="O2101" s="370" cm="1">
        <f t="array" ref="O2101">+_xlfn.SWITCH(MONTH(C2101),1,1,2,1,3,1,4,2,5,2,6,3,7,3,8,3,9,3,10,2,11,2,12,1,2)</f>
        <v>1</v>
      </c>
      <c r="P2101" s="43"/>
    </row>
    <row r="2102" spans="1:16" ht="18" x14ac:dyDescent="0.35">
      <c r="A2102" s="43"/>
      <c r="C2102" s="393"/>
      <c r="E2102" s="394"/>
      <c r="F2102" s="394">
        <v>1.47</v>
      </c>
      <c r="G2102" s="394"/>
      <c r="H2102" s="8" t="s">
        <v>235</v>
      </c>
      <c r="I2102" s="368">
        <f t="shared" si="97"/>
        <v>0</v>
      </c>
      <c r="J2102" s="365">
        <f t="shared" si="96"/>
        <v>0</v>
      </c>
      <c r="K2102" s="369">
        <f t="shared" si="98"/>
        <v>6</v>
      </c>
      <c r="L2102" s="369">
        <f>+IF((C2102&gt;='Resultats - informe'!$E$16)*(C2102&lt;='Resultats - informe'!$G$16),1,0)</f>
        <v>1</v>
      </c>
      <c r="M2102" s="369" cm="1">
        <f t="array" ref="M2102">+_xlfn.IFS((C2102&gt;='Resultats - informe'!$D$26)*(C2102&lt;='Resultats - informe'!$E$26),0,(C2102&gt;='Resultats - informe'!$D$27)*(C2102&lt;='Resultats - informe'!$E$27),0,(C2102&gt;='Resultats - informe'!$D$28)*(C2102&lt;='Resultats - informe'!$E$28),0,(C2102&gt;='Resultats - informe'!$D$29)*(C2102&lt;='Resultats - informe'!$E$29),0,1,1)</f>
        <v>0</v>
      </c>
      <c r="N2102" s="366">
        <f>+VLOOKUP(D2102,'Resultats - informe'!$Y$18:$AG$42,'Introducció dades consum'!K2102+1,0)</f>
        <v>0</v>
      </c>
      <c r="O2102" s="370" cm="1">
        <f t="array" ref="O2102">+_xlfn.SWITCH(MONTH(C2102),1,1,2,1,3,1,4,2,5,2,6,3,7,3,8,3,9,3,10,2,11,2,12,1,2)</f>
        <v>1</v>
      </c>
      <c r="P2102" s="43"/>
    </row>
    <row r="2103" spans="1:16" ht="18" x14ac:dyDescent="0.35">
      <c r="A2103" s="43"/>
      <c r="C2103" s="393"/>
      <c r="E2103" s="394"/>
      <c r="F2103" s="394">
        <v>1.6359999999999999</v>
      </c>
      <c r="G2103" s="394"/>
      <c r="H2103" s="8" t="s">
        <v>235</v>
      </c>
      <c r="I2103" s="368">
        <f t="shared" si="97"/>
        <v>0</v>
      </c>
      <c r="J2103" s="365">
        <f t="shared" si="96"/>
        <v>0</v>
      </c>
      <c r="K2103" s="369">
        <f t="shared" si="98"/>
        <v>6</v>
      </c>
      <c r="L2103" s="369">
        <f>+IF((C2103&gt;='Resultats - informe'!$E$16)*(C2103&lt;='Resultats - informe'!$G$16),1,0)</f>
        <v>1</v>
      </c>
      <c r="M2103" s="369" cm="1">
        <f t="array" ref="M2103">+_xlfn.IFS((C2103&gt;='Resultats - informe'!$D$26)*(C2103&lt;='Resultats - informe'!$E$26),0,(C2103&gt;='Resultats - informe'!$D$27)*(C2103&lt;='Resultats - informe'!$E$27),0,(C2103&gt;='Resultats - informe'!$D$28)*(C2103&lt;='Resultats - informe'!$E$28),0,(C2103&gt;='Resultats - informe'!$D$29)*(C2103&lt;='Resultats - informe'!$E$29),0,1,1)</f>
        <v>0</v>
      </c>
      <c r="N2103" s="366">
        <f>+VLOOKUP(D2103,'Resultats - informe'!$Y$18:$AG$42,'Introducció dades consum'!K2103+1,0)</f>
        <v>0</v>
      </c>
      <c r="O2103" s="370" cm="1">
        <f t="array" ref="O2103">+_xlfn.SWITCH(MONTH(C2103),1,1,2,1,3,1,4,2,5,2,6,3,7,3,8,3,9,3,10,2,11,2,12,1,2)</f>
        <v>1</v>
      </c>
      <c r="P2103" s="43"/>
    </row>
    <row r="2104" spans="1:16" ht="18" x14ac:dyDescent="0.35">
      <c r="A2104" s="43"/>
      <c r="C2104" s="393"/>
      <c r="E2104" s="394"/>
      <c r="F2104" s="394">
        <v>4.5330000000000004</v>
      </c>
      <c r="G2104" s="394"/>
      <c r="H2104" s="8" t="s">
        <v>61</v>
      </c>
      <c r="I2104" s="368">
        <f t="shared" si="97"/>
        <v>0</v>
      </c>
      <c r="J2104" s="365">
        <f t="shared" si="96"/>
        <v>0</v>
      </c>
      <c r="K2104" s="369">
        <f t="shared" si="98"/>
        <v>6</v>
      </c>
      <c r="L2104" s="369">
        <f>+IF((C2104&gt;='Resultats - informe'!$E$16)*(C2104&lt;='Resultats - informe'!$G$16),1,0)</f>
        <v>1</v>
      </c>
      <c r="M2104" s="369" cm="1">
        <f t="array" ref="M2104">+_xlfn.IFS((C2104&gt;='Resultats - informe'!$D$26)*(C2104&lt;='Resultats - informe'!$E$26),0,(C2104&gt;='Resultats - informe'!$D$27)*(C2104&lt;='Resultats - informe'!$E$27),0,(C2104&gt;='Resultats - informe'!$D$28)*(C2104&lt;='Resultats - informe'!$E$28),0,(C2104&gt;='Resultats - informe'!$D$29)*(C2104&lt;='Resultats - informe'!$E$29),0,1,1)</f>
        <v>0</v>
      </c>
      <c r="N2104" s="366">
        <f>+VLOOKUP(D2104,'Resultats - informe'!$Y$18:$AG$42,'Introducció dades consum'!K2104+1,0)</f>
        <v>0</v>
      </c>
      <c r="O2104" s="370" cm="1">
        <f t="array" ref="O2104">+_xlfn.SWITCH(MONTH(C2104),1,1,2,1,3,1,4,2,5,2,6,3,7,3,8,3,9,3,10,2,11,2,12,1,2)</f>
        <v>1</v>
      </c>
      <c r="P2104" s="43"/>
    </row>
    <row r="2105" spans="1:16" ht="18" x14ac:dyDescent="0.35">
      <c r="A2105" s="43"/>
      <c r="C2105" s="393"/>
      <c r="E2105" s="394"/>
      <c r="F2105" s="394">
        <v>4.7460000000000004</v>
      </c>
      <c r="G2105" s="394"/>
      <c r="H2105" s="8" t="s">
        <v>61</v>
      </c>
      <c r="I2105" s="368">
        <f t="shared" si="97"/>
        <v>0</v>
      </c>
      <c r="J2105" s="365">
        <f t="shared" si="96"/>
        <v>0</v>
      </c>
      <c r="K2105" s="369">
        <f t="shared" si="98"/>
        <v>6</v>
      </c>
      <c r="L2105" s="369">
        <f>+IF((C2105&gt;='Resultats - informe'!$E$16)*(C2105&lt;='Resultats - informe'!$G$16),1,0)</f>
        <v>1</v>
      </c>
      <c r="M2105" s="369" cm="1">
        <f t="array" ref="M2105">+_xlfn.IFS((C2105&gt;='Resultats - informe'!$D$26)*(C2105&lt;='Resultats - informe'!$E$26),0,(C2105&gt;='Resultats - informe'!$D$27)*(C2105&lt;='Resultats - informe'!$E$27),0,(C2105&gt;='Resultats - informe'!$D$28)*(C2105&lt;='Resultats - informe'!$E$28),0,(C2105&gt;='Resultats - informe'!$D$29)*(C2105&lt;='Resultats - informe'!$E$29),0,1,1)</f>
        <v>0</v>
      </c>
      <c r="N2105" s="366">
        <f>+VLOOKUP(D2105,'Resultats - informe'!$Y$18:$AG$42,'Introducció dades consum'!K2105+1,0)</f>
        <v>0</v>
      </c>
      <c r="O2105" s="370" cm="1">
        <f t="array" ref="O2105">+_xlfn.SWITCH(MONTH(C2105),1,1,2,1,3,1,4,2,5,2,6,3,7,3,8,3,9,3,10,2,11,2,12,1,2)</f>
        <v>1</v>
      </c>
      <c r="P2105" s="43"/>
    </row>
    <row r="2106" spans="1:16" ht="18" x14ac:dyDescent="0.35">
      <c r="A2106" s="43"/>
      <c r="C2106" s="393"/>
      <c r="E2106" s="394"/>
      <c r="F2106" s="394">
        <v>5.9059999999999997</v>
      </c>
      <c r="G2106" s="394"/>
      <c r="H2106" s="8" t="s">
        <v>61</v>
      </c>
      <c r="I2106" s="368">
        <f t="shared" si="97"/>
        <v>0</v>
      </c>
      <c r="J2106" s="365">
        <f t="shared" si="96"/>
        <v>0</v>
      </c>
      <c r="K2106" s="369">
        <f t="shared" si="98"/>
        <v>6</v>
      </c>
      <c r="L2106" s="369">
        <f>+IF((C2106&gt;='Resultats - informe'!$E$16)*(C2106&lt;='Resultats - informe'!$G$16),1,0)</f>
        <v>1</v>
      </c>
      <c r="M2106" s="369" cm="1">
        <f t="array" ref="M2106">+_xlfn.IFS((C2106&gt;='Resultats - informe'!$D$26)*(C2106&lt;='Resultats - informe'!$E$26),0,(C2106&gt;='Resultats - informe'!$D$27)*(C2106&lt;='Resultats - informe'!$E$27),0,(C2106&gt;='Resultats - informe'!$D$28)*(C2106&lt;='Resultats - informe'!$E$28),0,(C2106&gt;='Resultats - informe'!$D$29)*(C2106&lt;='Resultats - informe'!$E$29),0,1,1)</f>
        <v>0</v>
      </c>
      <c r="N2106" s="366">
        <f>+VLOOKUP(D2106,'Resultats - informe'!$Y$18:$AG$42,'Introducció dades consum'!K2106+1,0)</f>
        <v>0</v>
      </c>
      <c r="O2106" s="370" cm="1">
        <f t="array" ref="O2106">+_xlfn.SWITCH(MONTH(C2106),1,1,2,1,3,1,4,2,5,2,6,3,7,3,8,3,9,3,10,2,11,2,12,1,2)</f>
        <v>1</v>
      </c>
      <c r="P2106" s="43"/>
    </row>
    <row r="2107" spans="1:16" ht="18" x14ac:dyDescent="0.35">
      <c r="A2107" s="43"/>
      <c r="C2107" s="393"/>
      <c r="E2107" s="394"/>
      <c r="F2107" s="394">
        <v>7.0490000000000004</v>
      </c>
      <c r="G2107" s="394"/>
      <c r="H2107" s="8" t="s">
        <v>61</v>
      </c>
      <c r="I2107" s="368">
        <f t="shared" si="97"/>
        <v>0</v>
      </c>
      <c r="J2107" s="365">
        <f t="shared" ref="J2107:J2170" si="99">+C2107</f>
        <v>0</v>
      </c>
      <c r="K2107" s="369">
        <f t="shared" si="98"/>
        <v>6</v>
      </c>
      <c r="L2107" s="369">
        <f>+IF((C2107&gt;='Resultats - informe'!$E$16)*(C2107&lt;='Resultats - informe'!$G$16),1,0)</f>
        <v>1</v>
      </c>
      <c r="M2107" s="369" cm="1">
        <f t="array" ref="M2107">+_xlfn.IFS((C2107&gt;='Resultats - informe'!$D$26)*(C2107&lt;='Resultats - informe'!$E$26),0,(C2107&gt;='Resultats - informe'!$D$27)*(C2107&lt;='Resultats - informe'!$E$27),0,(C2107&gt;='Resultats - informe'!$D$28)*(C2107&lt;='Resultats - informe'!$E$28),0,(C2107&gt;='Resultats - informe'!$D$29)*(C2107&lt;='Resultats - informe'!$E$29),0,1,1)</f>
        <v>0</v>
      </c>
      <c r="N2107" s="366">
        <f>+VLOOKUP(D2107,'Resultats - informe'!$Y$18:$AG$42,'Introducció dades consum'!K2107+1,0)</f>
        <v>0</v>
      </c>
      <c r="O2107" s="370" cm="1">
        <f t="array" ref="O2107">+_xlfn.SWITCH(MONTH(C2107),1,1,2,1,3,1,4,2,5,2,6,3,7,3,8,3,9,3,10,2,11,2,12,1,2)</f>
        <v>1</v>
      </c>
      <c r="P2107" s="43"/>
    </row>
    <row r="2108" spans="1:16" ht="18" x14ac:dyDescent="0.35">
      <c r="A2108" s="43"/>
      <c r="C2108" s="393"/>
      <c r="E2108" s="394"/>
      <c r="F2108" s="394">
        <v>5.6349999999999998</v>
      </c>
      <c r="G2108" s="394"/>
      <c r="H2108" s="8" t="s">
        <v>61</v>
      </c>
      <c r="I2108" s="368">
        <f t="shared" si="97"/>
        <v>0</v>
      </c>
      <c r="J2108" s="365">
        <f t="shared" si="99"/>
        <v>0</v>
      </c>
      <c r="K2108" s="369">
        <f t="shared" si="98"/>
        <v>6</v>
      </c>
      <c r="L2108" s="369">
        <f>+IF((C2108&gt;='Resultats - informe'!$E$16)*(C2108&lt;='Resultats - informe'!$G$16),1,0)</f>
        <v>1</v>
      </c>
      <c r="M2108" s="369" cm="1">
        <f t="array" ref="M2108">+_xlfn.IFS((C2108&gt;='Resultats - informe'!$D$26)*(C2108&lt;='Resultats - informe'!$E$26),0,(C2108&gt;='Resultats - informe'!$D$27)*(C2108&lt;='Resultats - informe'!$E$27),0,(C2108&gt;='Resultats - informe'!$D$28)*(C2108&lt;='Resultats - informe'!$E$28),0,(C2108&gt;='Resultats - informe'!$D$29)*(C2108&lt;='Resultats - informe'!$E$29),0,1,1)</f>
        <v>0</v>
      </c>
      <c r="N2108" s="366">
        <f>+VLOOKUP(D2108,'Resultats - informe'!$Y$18:$AG$42,'Introducció dades consum'!K2108+1,0)</f>
        <v>0</v>
      </c>
      <c r="O2108" s="370" cm="1">
        <f t="array" ref="O2108">+_xlfn.SWITCH(MONTH(C2108),1,1,2,1,3,1,4,2,5,2,6,3,7,3,8,3,9,3,10,2,11,2,12,1,2)</f>
        <v>1</v>
      </c>
      <c r="P2108" s="43"/>
    </row>
    <row r="2109" spans="1:16" ht="18" x14ac:dyDescent="0.35">
      <c r="A2109" s="43"/>
      <c r="C2109" s="393"/>
      <c r="E2109" s="394"/>
      <c r="F2109" s="394">
        <v>4.1000000000000002E-2</v>
      </c>
      <c r="G2109" s="394"/>
      <c r="H2109" s="8" t="s">
        <v>235</v>
      </c>
      <c r="I2109" s="368">
        <f t="shared" si="97"/>
        <v>0</v>
      </c>
      <c r="J2109" s="365">
        <f t="shared" si="99"/>
        <v>0</v>
      </c>
      <c r="K2109" s="369">
        <f t="shared" si="98"/>
        <v>6</v>
      </c>
      <c r="L2109" s="369">
        <f>+IF((C2109&gt;='Resultats - informe'!$E$16)*(C2109&lt;='Resultats - informe'!$G$16),1,0)</f>
        <v>1</v>
      </c>
      <c r="M2109" s="369" cm="1">
        <f t="array" ref="M2109">+_xlfn.IFS((C2109&gt;='Resultats - informe'!$D$26)*(C2109&lt;='Resultats - informe'!$E$26),0,(C2109&gt;='Resultats - informe'!$D$27)*(C2109&lt;='Resultats - informe'!$E$27),0,(C2109&gt;='Resultats - informe'!$D$28)*(C2109&lt;='Resultats - informe'!$E$28),0,(C2109&gt;='Resultats - informe'!$D$29)*(C2109&lt;='Resultats - informe'!$E$29),0,1,1)</f>
        <v>0</v>
      </c>
      <c r="N2109" s="366">
        <f>+VLOOKUP(D2109,'Resultats - informe'!$Y$18:$AG$42,'Introducció dades consum'!K2109+1,0)</f>
        <v>0</v>
      </c>
      <c r="O2109" s="370" cm="1">
        <f t="array" ref="O2109">+_xlfn.SWITCH(MONTH(C2109),1,1,2,1,3,1,4,2,5,2,6,3,7,3,8,3,9,3,10,2,11,2,12,1,2)</f>
        <v>1</v>
      </c>
      <c r="P2109" s="43"/>
    </row>
    <row r="2110" spans="1:16" ht="18" x14ac:dyDescent="0.35">
      <c r="A2110" s="43"/>
      <c r="C2110" s="393"/>
      <c r="E2110" s="394"/>
      <c r="F2110" s="394">
        <v>0</v>
      </c>
      <c r="G2110" s="394"/>
      <c r="H2110" s="8" t="s">
        <v>235</v>
      </c>
      <c r="I2110" s="368">
        <f t="shared" si="97"/>
        <v>0</v>
      </c>
      <c r="J2110" s="365">
        <f t="shared" si="99"/>
        <v>0</v>
      </c>
      <c r="K2110" s="369">
        <f t="shared" si="98"/>
        <v>6</v>
      </c>
      <c r="L2110" s="369">
        <f>+IF((C2110&gt;='Resultats - informe'!$E$16)*(C2110&lt;='Resultats - informe'!$G$16),1,0)</f>
        <v>1</v>
      </c>
      <c r="M2110" s="369" cm="1">
        <f t="array" ref="M2110">+_xlfn.IFS((C2110&gt;='Resultats - informe'!$D$26)*(C2110&lt;='Resultats - informe'!$E$26),0,(C2110&gt;='Resultats - informe'!$D$27)*(C2110&lt;='Resultats - informe'!$E$27),0,(C2110&gt;='Resultats - informe'!$D$28)*(C2110&lt;='Resultats - informe'!$E$28),0,(C2110&gt;='Resultats - informe'!$D$29)*(C2110&lt;='Resultats - informe'!$E$29),0,1,1)</f>
        <v>0</v>
      </c>
      <c r="N2110" s="366">
        <f>+VLOOKUP(D2110,'Resultats - informe'!$Y$18:$AG$42,'Introducció dades consum'!K2110+1,0)</f>
        <v>0</v>
      </c>
      <c r="O2110" s="370" cm="1">
        <f t="array" ref="O2110">+_xlfn.SWITCH(MONTH(C2110),1,1,2,1,3,1,4,2,5,2,6,3,7,3,8,3,9,3,10,2,11,2,12,1,2)</f>
        <v>1</v>
      </c>
      <c r="P2110" s="43"/>
    </row>
    <row r="2111" spans="1:16" ht="18" x14ac:dyDescent="0.35">
      <c r="A2111" s="43"/>
      <c r="C2111" s="393"/>
      <c r="E2111" s="394"/>
      <c r="F2111" s="394">
        <v>0</v>
      </c>
      <c r="G2111" s="394"/>
      <c r="H2111" s="8" t="s">
        <v>235</v>
      </c>
      <c r="I2111" s="368">
        <f t="shared" si="97"/>
        <v>0</v>
      </c>
      <c r="J2111" s="365">
        <f t="shared" si="99"/>
        <v>0</v>
      </c>
      <c r="K2111" s="369">
        <f t="shared" si="98"/>
        <v>6</v>
      </c>
      <c r="L2111" s="369">
        <f>+IF((C2111&gt;='Resultats - informe'!$E$16)*(C2111&lt;='Resultats - informe'!$G$16),1,0)</f>
        <v>1</v>
      </c>
      <c r="M2111" s="369" cm="1">
        <f t="array" ref="M2111">+_xlfn.IFS((C2111&gt;='Resultats - informe'!$D$26)*(C2111&lt;='Resultats - informe'!$E$26),0,(C2111&gt;='Resultats - informe'!$D$27)*(C2111&lt;='Resultats - informe'!$E$27),0,(C2111&gt;='Resultats - informe'!$D$28)*(C2111&lt;='Resultats - informe'!$E$28),0,(C2111&gt;='Resultats - informe'!$D$29)*(C2111&lt;='Resultats - informe'!$E$29),0,1,1)</f>
        <v>0</v>
      </c>
      <c r="N2111" s="366">
        <f>+VLOOKUP(D2111,'Resultats - informe'!$Y$18:$AG$42,'Introducció dades consum'!K2111+1,0)</f>
        <v>0</v>
      </c>
      <c r="O2111" s="370" cm="1">
        <f t="array" ref="O2111">+_xlfn.SWITCH(MONTH(C2111),1,1,2,1,3,1,4,2,5,2,6,3,7,3,8,3,9,3,10,2,11,2,12,1,2)</f>
        <v>1</v>
      </c>
      <c r="P2111" s="43"/>
    </row>
    <row r="2112" spans="1:16" ht="18" x14ac:dyDescent="0.35">
      <c r="A2112" s="43"/>
      <c r="C2112" s="393"/>
      <c r="E2112" s="394"/>
      <c r="F2112" s="394">
        <v>0</v>
      </c>
      <c r="G2112" s="394"/>
      <c r="H2112" s="8" t="s">
        <v>235</v>
      </c>
      <c r="I2112" s="368">
        <f t="shared" si="97"/>
        <v>0</v>
      </c>
      <c r="J2112" s="365">
        <f t="shared" si="99"/>
        <v>0</v>
      </c>
      <c r="K2112" s="369">
        <f t="shared" si="98"/>
        <v>6</v>
      </c>
      <c r="L2112" s="369">
        <f>+IF((C2112&gt;='Resultats - informe'!$E$16)*(C2112&lt;='Resultats - informe'!$G$16),1,0)</f>
        <v>1</v>
      </c>
      <c r="M2112" s="369" cm="1">
        <f t="array" ref="M2112">+_xlfn.IFS((C2112&gt;='Resultats - informe'!$D$26)*(C2112&lt;='Resultats - informe'!$E$26),0,(C2112&gt;='Resultats - informe'!$D$27)*(C2112&lt;='Resultats - informe'!$E$27),0,(C2112&gt;='Resultats - informe'!$D$28)*(C2112&lt;='Resultats - informe'!$E$28),0,(C2112&gt;='Resultats - informe'!$D$29)*(C2112&lt;='Resultats - informe'!$E$29),0,1,1)</f>
        <v>0</v>
      </c>
      <c r="N2112" s="366">
        <f>+VLOOKUP(D2112,'Resultats - informe'!$Y$18:$AG$42,'Introducció dades consum'!K2112+1,0)</f>
        <v>0</v>
      </c>
      <c r="O2112" s="370" cm="1">
        <f t="array" ref="O2112">+_xlfn.SWITCH(MONTH(C2112),1,1,2,1,3,1,4,2,5,2,6,3,7,3,8,3,9,3,10,2,11,2,12,1,2)</f>
        <v>1</v>
      </c>
      <c r="P2112" s="43"/>
    </row>
    <row r="2113" spans="1:16" ht="18" x14ac:dyDescent="0.35">
      <c r="A2113" s="43"/>
      <c r="C2113" s="393"/>
      <c r="E2113" s="394"/>
      <c r="F2113" s="394">
        <v>0</v>
      </c>
      <c r="G2113" s="394"/>
      <c r="H2113" s="8" t="s">
        <v>235</v>
      </c>
      <c r="I2113" s="368">
        <f t="shared" si="97"/>
        <v>0</v>
      </c>
      <c r="J2113" s="365">
        <f t="shared" si="99"/>
        <v>0</v>
      </c>
      <c r="K2113" s="369">
        <f t="shared" si="98"/>
        <v>6</v>
      </c>
      <c r="L2113" s="369">
        <f>+IF((C2113&gt;='Resultats - informe'!$E$16)*(C2113&lt;='Resultats - informe'!$G$16),1,0)</f>
        <v>1</v>
      </c>
      <c r="M2113" s="369" cm="1">
        <f t="array" ref="M2113">+_xlfn.IFS((C2113&gt;='Resultats - informe'!$D$26)*(C2113&lt;='Resultats - informe'!$E$26),0,(C2113&gt;='Resultats - informe'!$D$27)*(C2113&lt;='Resultats - informe'!$E$27),0,(C2113&gt;='Resultats - informe'!$D$28)*(C2113&lt;='Resultats - informe'!$E$28),0,(C2113&gt;='Resultats - informe'!$D$29)*(C2113&lt;='Resultats - informe'!$E$29),0,1,1)</f>
        <v>0</v>
      </c>
      <c r="N2113" s="366">
        <f>+VLOOKUP(D2113,'Resultats - informe'!$Y$18:$AG$42,'Introducció dades consum'!K2113+1,0)</f>
        <v>0</v>
      </c>
      <c r="O2113" s="370" cm="1">
        <f t="array" ref="O2113">+_xlfn.SWITCH(MONTH(C2113),1,1,2,1,3,1,4,2,5,2,6,3,7,3,8,3,9,3,10,2,11,2,12,1,2)</f>
        <v>1</v>
      </c>
      <c r="P2113" s="43"/>
    </row>
    <row r="2114" spans="1:16" ht="18" x14ac:dyDescent="0.35">
      <c r="A2114" s="43"/>
      <c r="C2114" s="393"/>
      <c r="E2114" s="394"/>
      <c r="F2114" s="394">
        <v>0</v>
      </c>
      <c r="G2114" s="394"/>
      <c r="H2114" s="8" t="s">
        <v>235</v>
      </c>
      <c r="I2114" s="368">
        <f t="shared" si="97"/>
        <v>0</v>
      </c>
      <c r="J2114" s="365">
        <f t="shared" si="99"/>
        <v>0</v>
      </c>
      <c r="K2114" s="369">
        <f t="shared" si="98"/>
        <v>6</v>
      </c>
      <c r="L2114" s="369">
        <f>+IF((C2114&gt;='Resultats - informe'!$E$16)*(C2114&lt;='Resultats - informe'!$G$16),1,0)</f>
        <v>1</v>
      </c>
      <c r="M2114" s="369" cm="1">
        <f t="array" ref="M2114">+_xlfn.IFS((C2114&gt;='Resultats - informe'!$D$26)*(C2114&lt;='Resultats - informe'!$E$26),0,(C2114&gt;='Resultats - informe'!$D$27)*(C2114&lt;='Resultats - informe'!$E$27),0,(C2114&gt;='Resultats - informe'!$D$28)*(C2114&lt;='Resultats - informe'!$E$28),0,(C2114&gt;='Resultats - informe'!$D$29)*(C2114&lt;='Resultats - informe'!$E$29),0,1,1)</f>
        <v>0</v>
      </c>
      <c r="N2114" s="366">
        <f>+VLOOKUP(D2114,'Resultats - informe'!$Y$18:$AG$42,'Introducció dades consum'!K2114+1,0)</f>
        <v>0</v>
      </c>
      <c r="O2114" s="370" cm="1">
        <f t="array" ref="O2114">+_xlfn.SWITCH(MONTH(C2114),1,1,2,1,3,1,4,2,5,2,6,3,7,3,8,3,9,3,10,2,11,2,12,1,2)</f>
        <v>1</v>
      </c>
      <c r="P2114" s="43"/>
    </row>
    <row r="2115" spans="1:16" ht="18" x14ac:dyDescent="0.35">
      <c r="A2115" s="43"/>
      <c r="C2115" s="393"/>
      <c r="E2115" s="394"/>
      <c r="F2115" s="394">
        <v>0</v>
      </c>
      <c r="G2115" s="394"/>
      <c r="H2115" s="8" t="s">
        <v>235</v>
      </c>
      <c r="I2115" s="368">
        <f t="shared" si="97"/>
        <v>0</v>
      </c>
      <c r="J2115" s="365">
        <f t="shared" si="99"/>
        <v>0</v>
      </c>
      <c r="K2115" s="369">
        <f t="shared" si="98"/>
        <v>6</v>
      </c>
      <c r="L2115" s="369">
        <f>+IF((C2115&gt;='Resultats - informe'!$E$16)*(C2115&lt;='Resultats - informe'!$G$16),1,0)</f>
        <v>1</v>
      </c>
      <c r="M2115" s="369" cm="1">
        <f t="array" ref="M2115">+_xlfn.IFS((C2115&gt;='Resultats - informe'!$D$26)*(C2115&lt;='Resultats - informe'!$E$26),0,(C2115&gt;='Resultats - informe'!$D$27)*(C2115&lt;='Resultats - informe'!$E$27),0,(C2115&gt;='Resultats - informe'!$D$28)*(C2115&lt;='Resultats - informe'!$E$28),0,(C2115&gt;='Resultats - informe'!$D$29)*(C2115&lt;='Resultats - informe'!$E$29),0,1,1)</f>
        <v>0</v>
      </c>
      <c r="N2115" s="366">
        <f>+VLOOKUP(D2115,'Resultats - informe'!$Y$18:$AG$42,'Introducció dades consum'!K2115+1,0)</f>
        <v>0</v>
      </c>
      <c r="O2115" s="370" cm="1">
        <f t="array" ref="O2115">+_xlfn.SWITCH(MONTH(C2115),1,1,2,1,3,1,4,2,5,2,6,3,7,3,8,3,9,3,10,2,11,2,12,1,2)</f>
        <v>1</v>
      </c>
      <c r="P2115" s="43"/>
    </row>
    <row r="2116" spans="1:16" ht="18" x14ac:dyDescent="0.35">
      <c r="A2116" s="43"/>
      <c r="C2116" s="393"/>
      <c r="E2116" s="394"/>
      <c r="F2116" s="394">
        <v>0</v>
      </c>
      <c r="G2116" s="394"/>
      <c r="H2116" s="8" t="s">
        <v>235</v>
      </c>
      <c r="I2116" s="368">
        <f t="shared" si="97"/>
        <v>0</v>
      </c>
      <c r="J2116" s="365">
        <f t="shared" si="99"/>
        <v>0</v>
      </c>
      <c r="K2116" s="369">
        <f t="shared" si="98"/>
        <v>6</v>
      </c>
      <c r="L2116" s="369">
        <f>+IF((C2116&gt;='Resultats - informe'!$E$16)*(C2116&lt;='Resultats - informe'!$G$16),1,0)</f>
        <v>1</v>
      </c>
      <c r="M2116" s="369" cm="1">
        <f t="array" ref="M2116">+_xlfn.IFS((C2116&gt;='Resultats - informe'!$D$26)*(C2116&lt;='Resultats - informe'!$E$26),0,(C2116&gt;='Resultats - informe'!$D$27)*(C2116&lt;='Resultats - informe'!$E$27),0,(C2116&gt;='Resultats - informe'!$D$28)*(C2116&lt;='Resultats - informe'!$E$28),0,(C2116&gt;='Resultats - informe'!$D$29)*(C2116&lt;='Resultats - informe'!$E$29),0,1,1)</f>
        <v>0</v>
      </c>
      <c r="N2116" s="366">
        <f>+VLOOKUP(D2116,'Resultats - informe'!$Y$18:$AG$42,'Introducció dades consum'!K2116+1,0)</f>
        <v>0</v>
      </c>
      <c r="O2116" s="370" cm="1">
        <f t="array" ref="O2116">+_xlfn.SWITCH(MONTH(C2116),1,1,2,1,3,1,4,2,5,2,6,3,7,3,8,3,9,3,10,2,11,2,12,1,2)</f>
        <v>1</v>
      </c>
      <c r="P2116" s="43"/>
    </row>
    <row r="2117" spans="1:16" ht="18" x14ac:dyDescent="0.35">
      <c r="A2117" s="43"/>
      <c r="C2117" s="393"/>
      <c r="E2117" s="394"/>
      <c r="F2117" s="394">
        <v>0</v>
      </c>
      <c r="G2117" s="394"/>
      <c r="H2117" s="8" t="s">
        <v>235</v>
      </c>
      <c r="I2117" s="368">
        <f t="shared" si="97"/>
        <v>0</v>
      </c>
      <c r="J2117" s="365">
        <f t="shared" si="99"/>
        <v>0</v>
      </c>
      <c r="K2117" s="369">
        <f t="shared" si="98"/>
        <v>6</v>
      </c>
      <c r="L2117" s="369">
        <f>+IF((C2117&gt;='Resultats - informe'!$E$16)*(C2117&lt;='Resultats - informe'!$G$16),1,0)</f>
        <v>1</v>
      </c>
      <c r="M2117" s="369" cm="1">
        <f t="array" ref="M2117">+_xlfn.IFS((C2117&gt;='Resultats - informe'!$D$26)*(C2117&lt;='Resultats - informe'!$E$26),0,(C2117&gt;='Resultats - informe'!$D$27)*(C2117&lt;='Resultats - informe'!$E$27),0,(C2117&gt;='Resultats - informe'!$D$28)*(C2117&lt;='Resultats - informe'!$E$28),0,(C2117&gt;='Resultats - informe'!$D$29)*(C2117&lt;='Resultats - informe'!$E$29),0,1,1)</f>
        <v>0</v>
      </c>
      <c r="N2117" s="366">
        <f>+VLOOKUP(D2117,'Resultats - informe'!$Y$18:$AG$42,'Introducció dades consum'!K2117+1,0)</f>
        <v>0</v>
      </c>
      <c r="O2117" s="370" cm="1">
        <f t="array" ref="O2117">+_xlfn.SWITCH(MONTH(C2117),1,1,2,1,3,1,4,2,5,2,6,3,7,3,8,3,9,3,10,2,11,2,12,1,2)</f>
        <v>1</v>
      </c>
      <c r="P2117" s="43"/>
    </row>
    <row r="2118" spans="1:16" ht="18" x14ac:dyDescent="0.35">
      <c r="A2118" s="43"/>
      <c r="C2118" s="393"/>
      <c r="E2118" s="394"/>
      <c r="F2118" s="394">
        <v>0</v>
      </c>
      <c r="G2118" s="394"/>
      <c r="H2118" s="8" t="s">
        <v>235</v>
      </c>
      <c r="I2118" s="368">
        <f t="shared" ref="I2118:I2181" si="100">+E2118+G2118</f>
        <v>0</v>
      </c>
      <c r="J2118" s="365">
        <f t="shared" si="99"/>
        <v>0</v>
      </c>
      <c r="K2118" s="369">
        <f t="shared" ref="K2118:K2181" si="101">+WEEKDAY(C2118,2)</f>
        <v>6</v>
      </c>
      <c r="L2118" s="369">
        <f>+IF((C2118&gt;='Resultats - informe'!$E$16)*(C2118&lt;='Resultats - informe'!$G$16),1,0)</f>
        <v>1</v>
      </c>
      <c r="M2118" s="369" cm="1">
        <f t="array" ref="M2118">+_xlfn.IFS((C2118&gt;='Resultats - informe'!$D$26)*(C2118&lt;='Resultats - informe'!$E$26),0,(C2118&gt;='Resultats - informe'!$D$27)*(C2118&lt;='Resultats - informe'!$E$27),0,(C2118&gt;='Resultats - informe'!$D$28)*(C2118&lt;='Resultats - informe'!$E$28),0,(C2118&gt;='Resultats - informe'!$D$29)*(C2118&lt;='Resultats - informe'!$E$29),0,1,1)</f>
        <v>0</v>
      </c>
      <c r="N2118" s="366">
        <f>+VLOOKUP(D2118,'Resultats - informe'!$Y$18:$AG$42,'Introducció dades consum'!K2118+1,0)</f>
        <v>0</v>
      </c>
      <c r="O2118" s="370" cm="1">
        <f t="array" ref="O2118">+_xlfn.SWITCH(MONTH(C2118),1,1,2,1,3,1,4,2,5,2,6,3,7,3,8,3,9,3,10,2,11,2,12,1,2)</f>
        <v>1</v>
      </c>
      <c r="P2118" s="43"/>
    </row>
    <row r="2119" spans="1:16" ht="18" x14ac:dyDescent="0.35">
      <c r="A2119" s="43"/>
      <c r="C2119" s="393"/>
      <c r="E2119" s="394"/>
      <c r="F2119" s="394">
        <v>0</v>
      </c>
      <c r="G2119" s="394"/>
      <c r="H2119" s="8" t="s">
        <v>235</v>
      </c>
      <c r="I2119" s="368">
        <f t="shared" si="100"/>
        <v>0</v>
      </c>
      <c r="J2119" s="365">
        <f t="shared" si="99"/>
        <v>0</v>
      </c>
      <c r="K2119" s="369">
        <f t="shared" si="101"/>
        <v>6</v>
      </c>
      <c r="L2119" s="369">
        <f>+IF((C2119&gt;='Resultats - informe'!$E$16)*(C2119&lt;='Resultats - informe'!$G$16),1,0)</f>
        <v>1</v>
      </c>
      <c r="M2119" s="369" cm="1">
        <f t="array" ref="M2119">+_xlfn.IFS((C2119&gt;='Resultats - informe'!$D$26)*(C2119&lt;='Resultats - informe'!$E$26),0,(C2119&gt;='Resultats - informe'!$D$27)*(C2119&lt;='Resultats - informe'!$E$27),0,(C2119&gt;='Resultats - informe'!$D$28)*(C2119&lt;='Resultats - informe'!$E$28),0,(C2119&gt;='Resultats - informe'!$D$29)*(C2119&lt;='Resultats - informe'!$E$29),0,1,1)</f>
        <v>0</v>
      </c>
      <c r="N2119" s="366">
        <f>+VLOOKUP(D2119,'Resultats - informe'!$Y$18:$AG$42,'Introducció dades consum'!K2119+1,0)</f>
        <v>0</v>
      </c>
      <c r="O2119" s="370" cm="1">
        <f t="array" ref="O2119">+_xlfn.SWITCH(MONTH(C2119),1,1,2,1,3,1,4,2,5,2,6,3,7,3,8,3,9,3,10,2,11,2,12,1,2)</f>
        <v>1</v>
      </c>
      <c r="P2119" s="43"/>
    </row>
    <row r="2120" spans="1:16" ht="18" x14ac:dyDescent="0.35">
      <c r="A2120" s="43"/>
      <c r="C2120" s="393"/>
      <c r="E2120" s="394"/>
      <c r="F2120" s="394">
        <v>0</v>
      </c>
      <c r="G2120" s="394"/>
      <c r="H2120" s="8" t="s">
        <v>235</v>
      </c>
      <c r="I2120" s="368">
        <f t="shared" si="100"/>
        <v>0</v>
      </c>
      <c r="J2120" s="365">
        <f t="shared" si="99"/>
        <v>0</v>
      </c>
      <c r="K2120" s="369">
        <f t="shared" si="101"/>
        <v>6</v>
      </c>
      <c r="L2120" s="369">
        <f>+IF((C2120&gt;='Resultats - informe'!$E$16)*(C2120&lt;='Resultats - informe'!$G$16),1,0)</f>
        <v>1</v>
      </c>
      <c r="M2120" s="369" cm="1">
        <f t="array" ref="M2120">+_xlfn.IFS((C2120&gt;='Resultats - informe'!$D$26)*(C2120&lt;='Resultats - informe'!$E$26),0,(C2120&gt;='Resultats - informe'!$D$27)*(C2120&lt;='Resultats - informe'!$E$27),0,(C2120&gt;='Resultats - informe'!$D$28)*(C2120&lt;='Resultats - informe'!$E$28),0,(C2120&gt;='Resultats - informe'!$D$29)*(C2120&lt;='Resultats - informe'!$E$29),0,1,1)</f>
        <v>0</v>
      </c>
      <c r="N2120" s="366">
        <f>+VLOOKUP(D2120,'Resultats - informe'!$Y$18:$AG$42,'Introducció dades consum'!K2120+1,0)</f>
        <v>0</v>
      </c>
      <c r="O2120" s="370" cm="1">
        <f t="array" ref="O2120">+_xlfn.SWITCH(MONTH(C2120),1,1,2,1,3,1,4,2,5,2,6,3,7,3,8,3,9,3,10,2,11,2,12,1,2)</f>
        <v>1</v>
      </c>
      <c r="P2120" s="43"/>
    </row>
    <row r="2121" spans="1:16" ht="18" x14ac:dyDescent="0.35">
      <c r="A2121" s="43"/>
      <c r="C2121" s="393"/>
      <c r="E2121" s="394"/>
      <c r="F2121" s="394">
        <v>0</v>
      </c>
      <c r="G2121" s="394"/>
      <c r="H2121" s="8" t="s">
        <v>235</v>
      </c>
      <c r="I2121" s="368">
        <f t="shared" si="100"/>
        <v>0</v>
      </c>
      <c r="J2121" s="365">
        <f t="shared" si="99"/>
        <v>0</v>
      </c>
      <c r="K2121" s="369">
        <f t="shared" si="101"/>
        <v>6</v>
      </c>
      <c r="L2121" s="369">
        <f>+IF((C2121&gt;='Resultats - informe'!$E$16)*(C2121&lt;='Resultats - informe'!$G$16),1,0)</f>
        <v>1</v>
      </c>
      <c r="M2121" s="369" cm="1">
        <f t="array" ref="M2121">+_xlfn.IFS((C2121&gt;='Resultats - informe'!$D$26)*(C2121&lt;='Resultats - informe'!$E$26),0,(C2121&gt;='Resultats - informe'!$D$27)*(C2121&lt;='Resultats - informe'!$E$27),0,(C2121&gt;='Resultats - informe'!$D$28)*(C2121&lt;='Resultats - informe'!$E$28),0,(C2121&gt;='Resultats - informe'!$D$29)*(C2121&lt;='Resultats - informe'!$E$29),0,1,1)</f>
        <v>0</v>
      </c>
      <c r="N2121" s="366">
        <f>+VLOOKUP(D2121,'Resultats - informe'!$Y$18:$AG$42,'Introducció dades consum'!K2121+1,0)</f>
        <v>0</v>
      </c>
      <c r="O2121" s="370" cm="1">
        <f t="array" ref="O2121">+_xlfn.SWITCH(MONTH(C2121),1,1,2,1,3,1,4,2,5,2,6,3,7,3,8,3,9,3,10,2,11,2,12,1,2)</f>
        <v>1</v>
      </c>
      <c r="P2121" s="43"/>
    </row>
    <row r="2122" spans="1:16" ht="18" x14ac:dyDescent="0.35">
      <c r="A2122" s="43"/>
      <c r="C2122" s="393"/>
      <c r="E2122" s="394"/>
      <c r="F2122" s="394">
        <v>0</v>
      </c>
      <c r="G2122" s="394"/>
      <c r="H2122" s="8" t="s">
        <v>235</v>
      </c>
      <c r="I2122" s="368">
        <f t="shared" si="100"/>
        <v>0</v>
      </c>
      <c r="J2122" s="365">
        <f t="shared" si="99"/>
        <v>0</v>
      </c>
      <c r="K2122" s="369">
        <f t="shared" si="101"/>
        <v>6</v>
      </c>
      <c r="L2122" s="369">
        <f>+IF((C2122&gt;='Resultats - informe'!$E$16)*(C2122&lt;='Resultats - informe'!$G$16),1,0)</f>
        <v>1</v>
      </c>
      <c r="M2122" s="369" cm="1">
        <f t="array" ref="M2122">+_xlfn.IFS((C2122&gt;='Resultats - informe'!$D$26)*(C2122&lt;='Resultats - informe'!$E$26),0,(C2122&gt;='Resultats - informe'!$D$27)*(C2122&lt;='Resultats - informe'!$E$27),0,(C2122&gt;='Resultats - informe'!$D$28)*(C2122&lt;='Resultats - informe'!$E$28),0,(C2122&gt;='Resultats - informe'!$D$29)*(C2122&lt;='Resultats - informe'!$E$29),0,1,1)</f>
        <v>0</v>
      </c>
      <c r="N2122" s="366">
        <f>+VLOOKUP(D2122,'Resultats - informe'!$Y$18:$AG$42,'Introducció dades consum'!K2122+1,0)</f>
        <v>0</v>
      </c>
      <c r="O2122" s="370" cm="1">
        <f t="array" ref="O2122">+_xlfn.SWITCH(MONTH(C2122),1,1,2,1,3,1,4,2,5,2,6,3,7,3,8,3,9,3,10,2,11,2,12,1,2)</f>
        <v>1</v>
      </c>
      <c r="P2122" s="43"/>
    </row>
    <row r="2123" spans="1:16" ht="18" x14ac:dyDescent="0.35">
      <c r="A2123" s="43"/>
      <c r="C2123" s="393"/>
      <c r="E2123" s="394"/>
      <c r="F2123" s="394">
        <v>0</v>
      </c>
      <c r="G2123" s="394"/>
      <c r="H2123" s="8" t="s">
        <v>235</v>
      </c>
      <c r="I2123" s="368">
        <f t="shared" si="100"/>
        <v>0</v>
      </c>
      <c r="J2123" s="365">
        <f t="shared" si="99"/>
        <v>0</v>
      </c>
      <c r="K2123" s="369">
        <f t="shared" si="101"/>
        <v>6</v>
      </c>
      <c r="L2123" s="369">
        <f>+IF((C2123&gt;='Resultats - informe'!$E$16)*(C2123&lt;='Resultats - informe'!$G$16),1,0)</f>
        <v>1</v>
      </c>
      <c r="M2123" s="369" cm="1">
        <f t="array" ref="M2123">+_xlfn.IFS((C2123&gt;='Resultats - informe'!$D$26)*(C2123&lt;='Resultats - informe'!$E$26),0,(C2123&gt;='Resultats - informe'!$D$27)*(C2123&lt;='Resultats - informe'!$E$27),0,(C2123&gt;='Resultats - informe'!$D$28)*(C2123&lt;='Resultats - informe'!$E$28),0,(C2123&gt;='Resultats - informe'!$D$29)*(C2123&lt;='Resultats - informe'!$E$29),0,1,1)</f>
        <v>0</v>
      </c>
      <c r="N2123" s="366">
        <f>+VLOOKUP(D2123,'Resultats - informe'!$Y$18:$AG$42,'Introducció dades consum'!K2123+1,0)</f>
        <v>0</v>
      </c>
      <c r="O2123" s="370" cm="1">
        <f t="array" ref="O2123">+_xlfn.SWITCH(MONTH(C2123),1,1,2,1,3,1,4,2,5,2,6,3,7,3,8,3,9,3,10,2,11,2,12,1,2)</f>
        <v>1</v>
      </c>
      <c r="P2123" s="43"/>
    </row>
    <row r="2124" spans="1:16" ht="18" x14ac:dyDescent="0.35">
      <c r="A2124" s="43"/>
      <c r="C2124" s="393"/>
      <c r="E2124" s="394"/>
      <c r="F2124" s="394">
        <v>1.54</v>
      </c>
      <c r="G2124" s="394"/>
      <c r="H2124" s="8" t="s">
        <v>235</v>
      </c>
      <c r="I2124" s="368">
        <f t="shared" si="100"/>
        <v>0</v>
      </c>
      <c r="J2124" s="365">
        <f t="shared" si="99"/>
        <v>0</v>
      </c>
      <c r="K2124" s="369">
        <f t="shared" si="101"/>
        <v>6</v>
      </c>
      <c r="L2124" s="369">
        <f>+IF((C2124&gt;='Resultats - informe'!$E$16)*(C2124&lt;='Resultats - informe'!$G$16),1,0)</f>
        <v>1</v>
      </c>
      <c r="M2124" s="369" cm="1">
        <f t="array" ref="M2124">+_xlfn.IFS((C2124&gt;='Resultats - informe'!$D$26)*(C2124&lt;='Resultats - informe'!$E$26),0,(C2124&gt;='Resultats - informe'!$D$27)*(C2124&lt;='Resultats - informe'!$E$27),0,(C2124&gt;='Resultats - informe'!$D$28)*(C2124&lt;='Resultats - informe'!$E$28),0,(C2124&gt;='Resultats - informe'!$D$29)*(C2124&lt;='Resultats - informe'!$E$29),0,1,1)</f>
        <v>0</v>
      </c>
      <c r="N2124" s="366">
        <f>+VLOOKUP(D2124,'Resultats - informe'!$Y$18:$AG$42,'Introducció dades consum'!K2124+1,0)</f>
        <v>0</v>
      </c>
      <c r="O2124" s="370" cm="1">
        <f t="array" ref="O2124">+_xlfn.SWITCH(MONTH(C2124),1,1,2,1,3,1,4,2,5,2,6,3,7,3,8,3,9,3,10,2,11,2,12,1,2)</f>
        <v>1</v>
      </c>
      <c r="P2124" s="43"/>
    </row>
    <row r="2125" spans="1:16" ht="18" x14ac:dyDescent="0.35">
      <c r="A2125" s="43"/>
      <c r="C2125" s="393"/>
      <c r="E2125" s="394"/>
      <c r="F2125" s="394">
        <v>2.145</v>
      </c>
      <c r="G2125" s="394"/>
      <c r="H2125" s="8" t="s">
        <v>235</v>
      </c>
      <c r="I2125" s="368">
        <f t="shared" si="100"/>
        <v>0</v>
      </c>
      <c r="J2125" s="365">
        <f t="shared" si="99"/>
        <v>0</v>
      </c>
      <c r="K2125" s="369">
        <f t="shared" si="101"/>
        <v>6</v>
      </c>
      <c r="L2125" s="369">
        <f>+IF((C2125&gt;='Resultats - informe'!$E$16)*(C2125&lt;='Resultats - informe'!$G$16),1,0)</f>
        <v>1</v>
      </c>
      <c r="M2125" s="369" cm="1">
        <f t="array" ref="M2125">+_xlfn.IFS((C2125&gt;='Resultats - informe'!$D$26)*(C2125&lt;='Resultats - informe'!$E$26),0,(C2125&gt;='Resultats - informe'!$D$27)*(C2125&lt;='Resultats - informe'!$E$27),0,(C2125&gt;='Resultats - informe'!$D$28)*(C2125&lt;='Resultats - informe'!$E$28),0,(C2125&gt;='Resultats - informe'!$D$29)*(C2125&lt;='Resultats - informe'!$E$29),0,1,1)</f>
        <v>0</v>
      </c>
      <c r="N2125" s="366">
        <f>+VLOOKUP(D2125,'Resultats - informe'!$Y$18:$AG$42,'Introducció dades consum'!K2125+1,0)</f>
        <v>0</v>
      </c>
      <c r="O2125" s="370" cm="1">
        <f t="array" ref="O2125">+_xlfn.SWITCH(MONTH(C2125),1,1,2,1,3,1,4,2,5,2,6,3,7,3,8,3,9,3,10,2,11,2,12,1,2)</f>
        <v>1</v>
      </c>
      <c r="P2125" s="43"/>
    </row>
    <row r="2126" spans="1:16" ht="18" x14ac:dyDescent="0.35">
      <c r="A2126" s="43"/>
      <c r="C2126" s="393"/>
      <c r="E2126" s="394"/>
      <c r="F2126" s="394">
        <v>2.665</v>
      </c>
      <c r="G2126" s="394"/>
      <c r="H2126" s="8" t="s">
        <v>235</v>
      </c>
      <c r="I2126" s="368">
        <f t="shared" si="100"/>
        <v>0</v>
      </c>
      <c r="J2126" s="365">
        <f t="shared" si="99"/>
        <v>0</v>
      </c>
      <c r="K2126" s="369">
        <f t="shared" si="101"/>
        <v>6</v>
      </c>
      <c r="L2126" s="369">
        <f>+IF((C2126&gt;='Resultats - informe'!$E$16)*(C2126&lt;='Resultats - informe'!$G$16),1,0)</f>
        <v>1</v>
      </c>
      <c r="M2126" s="369" cm="1">
        <f t="array" ref="M2126">+_xlfn.IFS((C2126&gt;='Resultats - informe'!$D$26)*(C2126&lt;='Resultats - informe'!$E$26),0,(C2126&gt;='Resultats - informe'!$D$27)*(C2126&lt;='Resultats - informe'!$E$27),0,(C2126&gt;='Resultats - informe'!$D$28)*(C2126&lt;='Resultats - informe'!$E$28),0,(C2126&gt;='Resultats - informe'!$D$29)*(C2126&lt;='Resultats - informe'!$E$29),0,1,1)</f>
        <v>0</v>
      </c>
      <c r="N2126" s="366">
        <f>+VLOOKUP(D2126,'Resultats - informe'!$Y$18:$AG$42,'Introducció dades consum'!K2126+1,0)</f>
        <v>0</v>
      </c>
      <c r="O2126" s="370" cm="1">
        <f t="array" ref="O2126">+_xlfn.SWITCH(MONTH(C2126),1,1,2,1,3,1,4,2,5,2,6,3,7,3,8,3,9,3,10,2,11,2,12,1,2)</f>
        <v>1</v>
      </c>
      <c r="P2126" s="43"/>
    </row>
    <row r="2127" spans="1:16" ht="18" x14ac:dyDescent="0.35">
      <c r="A2127" s="43"/>
      <c r="C2127" s="393"/>
      <c r="E2127" s="394"/>
      <c r="F2127" s="394">
        <v>6.1710000000000003</v>
      </c>
      <c r="G2127" s="394"/>
      <c r="H2127" s="8" t="s">
        <v>61</v>
      </c>
      <c r="I2127" s="368">
        <f t="shared" si="100"/>
        <v>0</v>
      </c>
      <c r="J2127" s="365">
        <f t="shared" si="99"/>
        <v>0</v>
      </c>
      <c r="K2127" s="369">
        <f t="shared" si="101"/>
        <v>6</v>
      </c>
      <c r="L2127" s="369">
        <f>+IF((C2127&gt;='Resultats - informe'!$E$16)*(C2127&lt;='Resultats - informe'!$G$16),1,0)</f>
        <v>1</v>
      </c>
      <c r="M2127" s="369" cm="1">
        <f t="array" ref="M2127">+_xlfn.IFS((C2127&gt;='Resultats - informe'!$D$26)*(C2127&lt;='Resultats - informe'!$E$26),0,(C2127&gt;='Resultats - informe'!$D$27)*(C2127&lt;='Resultats - informe'!$E$27),0,(C2127&gt;='Resultats - informe'!$D$28)*(C2127&lt;='Resultats - informe'!$E$28),0,(C2127&gt;='Resultats - informe'!$D$29)*(C2127&lt;='Resultats - informe'!$E$29),0,1,1)</f>
        <v>0</v>
      </c>
      <c r="N2127" s="366">
        <f>+VLOOKUP(D2127,'Resultats - informe'!$Y$18:$AG$42,'Introducció dades consum'!K2127+1,0)</f>
        <v>0</v>
      </c>
      <c r="O2127" s="370" cm="1">
        <f t="array" ref="O2127">+_xlfn.SWITCH(MONTH(C2127),1,1,2,1,3,1,4,2,5,2,6,3,7,3,8,3,9,3,10,2,11,2,12,1,2)</f>
        <v>1</v>
      </c>
      <c r="P2127" s="43"/>
    </row>
    <row r="2128" spans="1:16" ht="18" x14ac:dyDescent="0.35">
      <c r="A2128" s="43"/>
      <c r="C2128" s="393"/>
      <c r="E2128" s="394"/>
      <c r="F2128" s="394">
        <v>7.2720000000000002</v>
      </c>
      <c r="G2128" s="394"/>
      <c r="H2128" s="8" t="s">
        <v>61</v>
      </c>
      <c r="I2128" s="368">
        <f t="shared" si="100"/>
        <v>0</v>
      </c>
      <c r="J2128" s="365">
        <f t="shared" si="99"/>
        <v>0</v>
      </c>
      <c r="K2128" s="369">
        <f t="shared" si="101"/>
        <v>6</v>
      </c>
      <c r="L2128" s="369">
        <f>+IF((C2128&gt;='Resultats - informe'!$E$16)*(C2128&lt;='Resultats - informe'!$G$16),1,0)</f>
        <v>1</v>
      </c>
      <c r="M2128" s="369" cm="1">
        <f t="array" ref="M2128">+_xlfn.IFS((C2128&gt;='Resultats - informe'!$D$26)*(C2128&lt;='Resultats - informe'!$E$26),0,(C2128&gt;='Resultats - informe'!$D$27)*(C2128&lt;='Resultats - informe'!$E$27),0,(C2128&gt;='Resultats - informe'!$D$28)*(C2128&lt;='Resultats - informe'!$E$28),0,(C2128&gt;='Resultats - informe'!$D$29)*(C2128&lt;='Resultats - informe'!$E$29),0,1,1)</f>
        <v>0</v>
      </c>
      <c r="N2128" s="366">
        <f>+VLOOKUP(D2128,'Resultats - informe'!$Y$18:$AG$42,'Introducció dades consum'!K2128+1,0)</f>
        <v>0</v>
      </c>
      <c r="O2128" s="370" cm="1">
        <f t="array" ref="O2128">+_xlfn.SWITCH(MONTH(C2128),1,1,2,1,3,1,4,2,5,2,6,3,7,3,8,3,9,3,10,2,11,2,12,1,2)</f>
        <v>1</v>
      </c>
      <c r="P2128" s="43"/>
    </row>
    <row r="2129" spans="1:16" ht="18" x14ac:dyDescent="0.35">
      <c r="A2129" s="43"/>
      <c r="C2129" s="393"/>
      <c r="E2129" s="394"/>
      <c r="F2129" s="394">
        <v>2.2170000000000001</v>
      </c>
      <c r="G2129" s="394"/>
      <c r="H2129" s="8" t="s">
        <v>235</v>
      </c>
      <c r="I2129" s="368">
        <f t="shared" si="100"/>
        <v>0</v>
      </c>
      <c r="J2129" s="365">
        <f t="shared" si="99"/>
        <v>0</v>
      </c>
      <c r="K2129" s="369">
        <f t="shared" si="101"/>
        <v>6</v>
      </c>
      <c r="L2129" s="369">
        <f>+IF((C2129&gt;='Resultats - informe'!$E$16)*(C2129&lt;='Resultats - informe'!$G$16),1,0)</f>
        <v>1</v>
      </c>
      <c r="M2129" s="369" cm="1">
        <f t="array" ref="M2129">+_xlfn.IFS((C2129&gt;='Resultats - informe'!$D$26)*(C2129&lt;='Resultats - informe'!$E$26),0,(C2129&gt;='Resultats - informe'!$D$27)*(C2129&lt;='Resultats - informe'!$E$27),0,(C2129&gt;='Resultats - informe'!$D$28)*(C2129&lt;='Resultats - informe'!$E$28),0,(C2129&gt;='Resultats - informe'!$D$29)*(C2129&lt;='Resultats - informe'!$E$29),0,1,1)</f>
        <v>0</v>
      </c>
      <c r="N2129" s="366">
        <f>+VLOOKUP(D2129,'Resultats - informe'!$Y$18:$AG$42,'Introducció dades consum'!K2129+1,0)</f>
        <v>0</v>
      </c>
      <c r="O2129" s="370" cm="1">
        <f t="array" ref="O2129">+_xlfn.SWITCH(MONTH(C2129),1,1,2,1,3,1,4,2,5,2,6,3,7,3,8,3,9,3,10,2,11,2,12,1,2)</f>
        <v>1</v>
      </c>
      <c r="P2129" s="43"/>
    </row>
    <row r="2130" spans="1:16" ht="18" x14ac:dyDescent="0.35">
      <c r="A2130" s="43"/>
      <c r="C2130" s="393"/>
      <c r="E2130" s="394"/>
      <c r="F2130" s="394">
        <v>1.518</v>
      </c>
      <c r="G2130" s="394"/>
      <c r="H2130" s="8" t="s">
        <v>235</v>
      </c>
      <c r="I2130" s="368">
        <f t="shared" si="100"/>
        <v>0</v>
      </c>
      <c r="J2130" s="365">
        <f t="shared" si="99"/>
        <v>0</v>
      </c>
      <c r="K2130" s="369">
        <f t="shared" si="101"/>
        <v>6</v>
      </c>
      <c r="L2130" s="369">
        <f>+IF((C2130&gt;='Resultats - informe'!$E$16)*(C2130&lt;='Resultats - informe'!$G$16),1,0)</f>
        <v>1</v>
      </c>
      <c r="M2130" s="369" cm="1">
        <f t="array" ref="M2130">+_xlfn.IFS((C2130&gt;='Resultats - informe'!$D$26)*(C2130&lt;='Resultats - informe'!$E$26),0,(C2130&gt;='Resultats - informe'!$D$27)*(C2130&lt;='Resultats - informe'!$E$27),0,(C2130&gt;='Resultats - informe'!$D$28)*(C2130&lt;='Resultats - informe'!$E$28),0,(C2130&gt;='Resultats - informe'!$D$29)*(C2130&lt;='Resultats - informe'!$E$29),0,1,1)</f>
        <v>0</v>
      </c>
      <c r="N2130" s="366">
        <f>+VLOOKUP(D2130,'Resultats - informe'!$Y$18:$AG$42,'Introducció dades consum'!K2130+1,0)</f>
        <v>0</v>
      </c>
      <c r="O2130" s="370" cm="1">
        <f t="array" ref="O2130">+_xlfn.SWITCH(MONTH(C2130),1,1,2,1,3,1,4,2,5,2,6,3,7,3,8,3,9,3,10,2,11,2,12,1,2)</f>
        <v>1</v>
      </c>
      <c r="P2130" s="43"/>
    </row>
    <row r="2131" spans="1:16" ht="18" x14ac:dyDescent="0.35">
      <c r="A2131" s="43"/>
      <c r="C2131" s="393"/>
      <c r="E2131" s="394"/>
      <c r="F2131" s="394">
        <v>0.75</v>
      </c>
      <c r="G2131" s="394"/>
      <c r="H2131" s="8" t="s">
        <v>235</v>
      </c>
      <c r="I2131" s="368">
        <f t="shared" si="100"/>
        <v>0</v>
      </c>
      <c r="J2131" s="365">
        <f t="shared" si="99"/>
        <v>0</v>
      </c>
      <c r="K2131" s="369">
        <f t="shared" si="101"/>
        <v>6</v>
      </c>
      <c r="L2131" s="369">
        <f>+IF((C2131&gt;='Resultats - informe'!$E$16)*(C2131&lt;='Resultats - informe'!$G$16),1,0)</f>
        <v>1</v>
      </c>
      <c r="M2131" s="369" cm="1">
        <f t="array" ref="M2131">+_xlfn.IFS((C2131&gt;='Resultats - informe'!$D$26)*(C2131&lt;='Resultats - informe'!$E$26),0,(C2131&gt;='Resultats - informe'!$D$27)*(C2131&lt;='Resultats - informe'!$E$27),0,(C2131&gt;='Resultats - informe'!$D$28)*(C2131&lt;='Resultats - informe'!$E$28),0,(C2131&gt;='Resultats - informe'!$D$29)*(C2131&lt;='Resultats - informe'!$E$29),0,1,1)</f>
        <v>0</v>
      </c>
      <c r="N2131" s="366">
        <f>+VLOOKUP(D2131,'Resultats - informe'!$Y$18:$AG$42,'Introducció dades consum'!K2131+1,0)</f>
        <v>0</v>
      </c>
      <c r="O2131" s="370" cm="1">
        <f t="array" ref="O2131">+_xlfn.SWITCH(MONTH(C2131),1,1,2,1,3,1,4,2,5,2,6,3,7,3,8,3,9,3,10,2,11,2,12,1,2)</f>
        <v>1</v>
      </c>
      <c r="P2131" s="43"/>
    </row>
    <row r="2132" spans="1:16" ht="18" x14ac:dyDescent="0.35">
      <c r="A2132" s="43"/>
      <c r="C2132" s="393"/>
      <c r="E2132" s="394"/>
      <c r="F2132" s="394">
        <v>6.0570000000000004</v>
      </c>
      <c r="G2132" s="394"/>
      <c r="H2132" s="8" t="s">
        <v>61</v>
      </c>
      <c r="I2132" s="368">
        <f t="shared" si="100"/>
        <v>0</v>
      </c>
      <c r="J2132" s="365">
        <f t="shared" si="99"/>
        <v>0</v>
      </c>
      <c r="K2132" s="369">
        <f t="shared" si="101"/>
        <v>6</v>
      </c>
      <c r="L2132" s="369">
        <f>+IF((C2132&gt;='Resultats - informe'!$E$16)*(C2132&lt;='Resultats - informe'!$G$16),1,0)</f>
        <v>1</v>
      </c>
      <c r="M2132" s="369" cm="1">
        <f t="array" ref="M2132">+_xlfn.IFS((C2132&gt;='Resultats - informe'!$D$26)*(C2132&lt;='Resultats - informe'!$E$26),0,(C2132&gt;='Resultats - informe'!$D$27)*(C2132&lt;='Resultats - informe'!$E$27),0,(C2132&gt;='Resultats - informe'!$D$28)*(C2132&lt;='Resultats - informe'!$E$28),0,(C2132&gt;='Resultats - informe'!$D$29)*(C2132&lt;='Resultats - informe'!$E$29),0,1,1)</f>
        <v>0</v>
      </c>
      <c r="N2132" s="366">
        <f>+VLOOKUP(D2132,'Resultats - informe'!$Y$18:$AG$42,'Introducció dades consum'!K2132+1,0)</f>
        <v>0</v>
      </c>
      <c r="O2132" s="370" cm="1">
        <f t="array" ref="O2132">+_xlfn.SWITCH(MONTH(C2132),1,1,2,1,3,1,4,2,5,2,6,3,7,3,8,3,9,3,10,2,11,2,12,1,2)</f>
        <v>1</v>
      </c>
      <c r="P2132" s="43"/>
    </row>
    <row r="2133" spans="1:16" ht="18" x14ac:dyDescent="0.35">
      <c r="A2133" s="43"/>
      <c r="C2133" s="393"/>
      <c r="E2133" s="394"/>
      <c r="F2133" s="394">
        <v>4.4400000000000004</v>
      </c>
      <c r="G2133" s="394"/>
      <c r="H2133" s="8" t="s">
        <v>61</v>
      </c>
      <c r="I2133" s="368">
        <f t="shared" si="100"/>
        <v>0</v>
      </c>
      <c r="J2133" s="365">
        <f t="shared" si="99"/>
        <v>0</v>
      </c>
      <c r="K2133" s="369">
        <f t="shared" si="101"/>
        <v>6</v>
      </c>
      <c r="L2133" s="369">
        <f>+IF((C2133&gt;='Resultats - informe'!$E$16)*(C2133&lt;='Resultats - informe'!$G$16),1,0)</f>
        <v>1</v>
      </c>
      <c r="M2133" s="369" cm="1">
        <f t="array" ref="M2133">+_xlfn.IFS((C2133&gt;='Resultats - informe'!$D$26)*(C2133&lt;='Resultats - informe'!$E$26),0,(C2133&gt;='Resultats - informe'!$D$27)*(C2133&lt;='Resultats - informe'!$E$27),0,(C2133&gt;='Resultats - informe'!$D$28)*(C2133&lt;='Resultats - informe'!$E$28),0,(C2133&gt;='Resultats - informe'!$D$29)*(C2133&lt;='Resultats - informe'!$E$29),0,1,1)</f>
        <v>0</v>
      </c>
      <c r="N2133" s="366">
        <f>+VLOOKUP(D2133,'Resultats - informe'!$Y$18:$AG$42,'Introducció dades consum'!K2133+1,0)</f>
        <v>0</v>
      </c>
      <c r="O2133" s="370" cm="1">
        <f t="array" ref="O2133">+_xlfn.SWITCH(MONTH(C2133),1,1,2,1,3,1,4,2,5,2,6,3,7,3,8,3,9,3,10,2,11,2,12,1,2)</f>
        <v>1</v>
      </c>
      <c r="P2133" s="43"/>
    </row>
    <row r="2134" spans="1:16" ht="18" x14ac:dyDescent="0.35">
      <c r="A2134" s="43"/>
      <c r="C2134" s="393"/>
      <c r="E2134" s="394"/>
      <c r="F2134" s="394">
        <v>2.3460000000000001</v>
      </c>
      <c r="G2134" s="394"/>
      <c r="H2134" s="8" t="s">
        <v>61</v>
      </c>
      <c r="I2134" s="368">
        <f t="shared" si="100"/>
        <v>0</v>
      </c>
      <c r="J2134" s="365">
        <f t="shared" si="99"/>
        <v>0</v>
      </c>
      <c r="K2134" s="369">
        <f t="shared" si="101"/>
        <v>6</v>
      </c>
      <c r="L2134" s="369">
        <f>+IF((C2134&gt;='Resultats - informe'!$E$16)*(C2134&lt;='Resultats - informe'!$G$16),1,0)</f>
        <v>1</v>
      </c>
      <c r="M2134" s="369" cm="1">
        <f t="array" ref="M2134">+_xlfn.IFS((C2134&gt;='Resultats - informe'!$D$26)*(C2134&lt;='Resultats - informe'!$E$26),0,(C2134&gt;='Resultats - informe'!$D$27)*(C2134&lt;='Resultats - informe'!$E$27),0,(C2134&gt;='Resultats - informe'!$D$28)*(C2134&lt;='Resultats - informe'!$E$28),0,(C2134&gt;='Resultats - informe'!$D$29)*(C2134&lt;='Resultats - informe'!$E$29),0,1,1)</f>
        <v>0</v>
      </c>
      <c r="N2134" s="366">
        <f>+VLOOKUP(D2134,'Resultats - informe'!$Y$18:$AG$42,'Introducció dades consum'!K2134+1,0)</f>
        <v>0</v>
      </c>
      <c r="O2134" s="370" cm="1">
        <f t="array" ref="O2134">+_xlfn.SWITCH(MONTH(C2134),1,1,2,1,3,1,4,2,5,2,6,3,7,3,8,3,9,3,10,2,11,2,12,1,2)</f>
        <v>1</v>
      </c>
      <c r="P2134" s="43"/>
    </row>
    <row r="2135" spans="1:16" ht="18" x14ac:dyDescent="0.35">
      <c r="A2135" s="43"/>
      <c r="C2135" s="393"/>
      <c r="E2135" s="394"/>
      <c r="F2135" s="394">
        <v>0.214</v>
      </c>
      <c r="G2135" s="394"/>
      <c r="H2135" s="8" t="s">
        <v>61</v>
      </c>
      <c r="I2135" s="368">
        <f t="shared" si="100"/>
        <v>0</v>
      </c>
      <c r="J2135" s="365">
        <f t="shared" si="99"/>
        <v>0</v>
      </c>
      <c r="K2135" s="369">
        <f t="shared" si="101"/>
        <v>6</v>
      </c>
      <c r="L2135" s="369">
        <f>+IF((C2135&gt;='Resultats - informe'!$E$16)*(C2135&lt;='Resultats - informe'!$G$16),1,0)</f>
        <v>1</v>
      </c>
      <c r="M2135" s="369" cm="1">
        <f t="array" ref="M2135">+_xlfn.IFS((C2135&gt;='Resultats - informe'!$D$26)*(C2135&lt;='Resultats - informe'!$E$26),0,(C2135&gt;='Resultats - informe'!$D$27)*(C2135&lt;='Resultats - informe'!$E$27),0,(C2135&gt;='Resultats - informe'!$D$28)*(C2135&lt;='Resultats - informe'!$E$28),0,(C2135&gt;='Resultats - informe'!$D$29)*(C2135&lt;='Resultats - informe'!$E$29),0,1,1)</f>
        <v>0</v>
      </c>
      <c r="N2135" s="366">
        <f>+VLOOKUP(D2135,'Resultats - informe'!$Y$18:$AG$42,'Introducció dades consum'!K2135+1,0)</f>
        <v>0</v>
      </c>
      <c r="O2135" s="370" cm="1">
        <f t="array" ref="O2135">+_xlfn.SWITCH(MONTH(C2135),1,1,2,1,3,1,4,2,5,2,6,3,7,3,8,3,9,3,10,2,11,2,12,1,2)</f>
        <v>1</v>
      </c>
      <c r="P2135" s="43"/>
    </row>
    <row r="2136" spans="1:16" ht="18" x14ac:dyDescent="0.35">
      <c r="A2136" s="43"/>
      <c r="C2136" s="393"/>
      <c r="E2136" s="394"/>
      <c r="F2136" s="394">
        <v>0</v>
      </c>
      <c r="G2136" s="394"/>
      <c r="H2136" s="8" t="s">
        <v>235</v>
      </c>
      <c r="I2136" s="368">
        <f t="shared" si="100"/>
        <v>0</v>
      </c>
      <c r="J2136" s="365">
        <f t="shared" si="99"/>
        <v>0</v>
      </c>
      <c r="K2136" s="369">
        <f t="shared" si="101"/>
        <v>6</v>
      </c>
      <c r="L2136" s="369">
        <f>+IF((C2136&gt;='Resultats - informe'!$E$16)*(C2136&lt;='Resultats - informe'!$G$16),1,0)</f>
        <v>1</v>
      </c>
      <c r="M2136" s="369" cm="1">
        <f t="array" ref="M2136">+_xlfn.IFS((C2136&gt;='Resultats - informe'!$D$26)*(C2136&lt;='Resultats - informe'!$E$26),0,(C2136&gt;='Resultats - informe'!$D$27)*(C2136&lt;='Resultats - informe'!$E$27),0,(C2136&gt;='Resultats - informe'!$D$28)*(C2136&lt;='Resultats - informe'!$E$28),0,(C2136&gt;='Resultats - informe'!$D$29)*(C2136&lt;='Resultats - informe'!$E$29),0,1,1)</f>
        <v>0</v>
      </c>
      <c r="N2136" s="366">
        <f>+VLOOKUP(D2136,'Resultats - informe'!$Y$18:$AG$42,'Introducció dades consum'!K2136+1,0)</f>
        <v>0</v>
      </c>
      <c r="O2136" s="370" cm="1">
        <f t="array" ref="O2136">+_xlfn.SWITCH(MONTH(C2136),1,1,2,1,3,1,4,2,5,2,6,3,7,3,8,3,9,3,10,2,11,2,12,1,2)</f>
        <v>1</v>
      </c>
      <c r="P2136" s="43"/>
    </row>
    <row r="2137" spans="1:16" ht="18" x14ac:dyDescent="0.35">
      <c r="A2137" s="43"/>
      <c r="C2137" s="393"/>
      <c r="E2137" s="394"/>
      <c r="F2137" s="394">
        <v>0</v>
      </c>
      <c r="G2137" s="394"/>
      <c r="H2137" s="8" t="s">
        <v>235</v>
      </c>
      <c r="I2137" s="368">
        <f t="shared" si="100"/>
        <v>0</v>
      </c>
      <c r="J2137" s="365">
        <f t="shared" si="99"/>
        <v>0</v>
      </c>
      <c r="K2137" s="369">
        <f t="shared" si="101"/>
        <v>6</v>
      </c>
      <c r="L2137" s="369">
        <f>+IF((C2137&gt;='Resultats - informe'!$E$16)*(C2137&lt;='Resultats - informe'!$G$16),1,0)</f>
        <v>1</v>
      </c>
      <c r="M2137" s="369" cm="1">
        <f t="array" ref="M2137">+_xlfn.IFS((C2137&gt;='Resultats - informe'!$D$26)*(C2137&lt;='Resultats - informe'!$E$26),0,(C2137&gt;='Resultats - informe'!$D$27)*(C2137&lt;='Resultats - informe'!$E$27),0,(C2137&gt;='Resultats - informe'!$D$28)*(C2137&lt;='Resultats - informe'!$E$28),0,(C2137&gt;='Resultats - informe'!$D$29)*(C2137&lt;='Resultats - informe'!$E$29),0,1,1)</f>
        <v>0</v>
      </c>
      <c r="N2137" s="366">
        <f>+VLOOKUP(D2137,'Resultats - informe'!$Y$18:$AG$42,'Introducció dades consum'!K2137+1,0)</f>
        <v>0</v>
      </c>
      <c r="O2137" s="370" cm="1">
        <f t="array" ref="O2137">+_xlfn.SWITCH(MONTH(C2137),1,1,2,1,3,1,4,2,5,2,6,3,7,3,8,3,9,3,10,2,11,2,12,1,2)</f>
        <v>1</v>
      </c>
      <c r="P2137" s="43"/>
    </row>
    <row r="2138" spans="1:16" ht="18" x14ac:dyDescent="0.35">
      <c r="A2138" s="43"/>
      <c r="C2138" s="393"/>
      <c r="E2138" s="394"/>
      <c r="F2138" s="394">
        <v>0</v>
      </c>
      <c r="G2138" s="394"/>
      <c r="H2138" s="8" t="s">
        <v>235</v>
      </c>
      <c r="I2138" s="368">
        <f t="shared" si="100"/>
        <v>0</v>
      </c>
      <c r="J2138" s="365">
        <f t="shared" si="99"/>
        <v>0</v>
      </c>
      <c r="K2138" s="369">
        <f t="shared" si="101"/>
        <v>6</v>
      </c>
      <c r="L2138" s="369">
        <f>+IF((C2138&gt;='Resultats - informe'!$E$16)*(C2138&lt;='Resultats - informe'!$G$16),1,0)</f>
        <v>1</v>
      </c>
      <c r="M2138" s="369" cm="1">
        <f t="array" ref="M2138">+_xlfn.IFS((C2138&gt;='Resultats - informe'!$D$26)*(C2138&lt;='Resultats - informe'!$E$26),0,(C2138&gt;='Resultats - informe'!$D$27)*(C2138&lt;='Resultats - informe'!$E$27),0,(C2138&gt;='Resultats - informe'!$D$28)*(C2138&lt;='Resultats - informe'!$E$28),0,(C2138&gt;='Resultats - informe'!$D$29)*(C2138&lt;='Resultats - informe'!$E$29),0,1,1)</f>
        <v>0</v>
      </c>
      <c r="N2138" s="366">
        <f>+VLOOKUP(D2138,'Resultats - informe'!$Y$18:$AG$42,'Introducció dades consum'!K2138+1,0)</f>
        <v>0</v>
      </c>
      <c r="O2138" s="370" cm="1">
        <f t="array" ref="O2138">+_xlfn.SWITCH(MONTH(C2138),1,1,2,1,3,1,4,2,5,2,6,3,7,3,8,3,9,3,10,2,11,2,12,1,2)</f>
        <v>1</v>
      </c>
      <c r="P2138" s="43"/>
    </row>
    <row r="2139" spans="1:16" ht="18" x14ac:dyDescent="0.35">
      <c r="A2139" s="43"/>
      <c r="C2139" s="393"/>
      <c r="E2139" s="394"/>
      <c r="F2139" s="394">
        <v>0</v>
      </c>
      <c r="G2139" s="394"/>
      <c r="H2139" s="8" t="s">
        <v>235</v>
      </c>
      <c r="I2139" s="368">
        <f t="shared" si="100"/>
        <v>0</v>
      </c>
      <c r="J2139" s="365">
        <f t="shared" si="99"/>
        <v>0</v>
      </c>
      <c r="K2139" s="369">
        <f t="shared" si="101"/>
        <v>6</v>
      </c>
      <c r="L2139" s="369">
        <f>+IF((C2139&gt;='Resultats - informe'!$E$16)*(C2139&lt;='Resultats - informe'!$G$16),1,0)</f>
        <v>1</v>
      </c>
      <c r="M2139" s="369" cm="1">
        <f t="array" ref="M2139">+_xlfn.IFS((C2139&gt;='Resultats - informe'!$D$26)*(C2139&lt;='Resultats - informe'!$E$26),0,(C2139&gt;='Resultats - informe'!$D$27)*(C2139&lt;='Resultats - informe'!$E$27),0,(C2139&gt;='Resultats - informe'!$D$28)*(C2139&lt;='Resultats - informe'!$E$28),0,(C2139&gt;='Resultats - informe'!$D$29)*(C2139&lt;='Resultats - informe'!$E$29),0,1,1)</f>
        <v>0</v>
      </c>
      <c r="N2139" s="366">
        <f>+VLOOKUP(D2139,'Resultats - informe'!$Y$18:$AG$42,'Introducció dades consum'!K2139+1,0)</f>
        <v>0</v>
      </c>
      <c r="O2139" s="370" cm="1">
        <f t="array" ref="O2139">+_xlfn.SWITCH(MONTH(C2139),1,1,2,1,3,1,4,2,5,2,6,3,7,3,8,3,9,3,10,2,11,2,12,1,2)</f>
        <v>1</v>
      </c>
      <c r="P2139" s="43"/>
    </row>
    <row r="2140" spans="1:16" ht="18" x14ac:dyDescent="0.35">
      <c r="A2140" s="43"/>
      <c r="C2140" s="393"/>
      <c r="E2140" s="394"/>
      <c r="F2140" s="394">
        <v>0</v>
      </c>
      <c r="G2140" s="394"/>
      <c r="H2140" s="8" t="s">
        <v>235</v>
      </c>
      <c r="I2140" s="368">
        <f t="shared" si="100"/>
        <v>0</v>
      </c>
      <c r="J2140" s="365">
        <f t="shared" si="99"/>
        <v>0</v>
      </c>
      <c r="K2140" s="369">
        <f t="shared" si="101"/>
        <v>6</v>
      </c>
      <c r="L2140" s="369">
        <f>+IF((C2140&gt;='Resultats - informe'!$E$16)*(C2140&lt;='Resultats - informe'!$G$16),1,0)</f>
        <v>1</v>
      </c>
      <c r="M2140" s="369" cm="1">
        <f t="array" ref="M2140">+_xlfn.IFS((C2140&gt;='Resultats - informe'!$D$26)*(C2140&lt;='Resultats - informe'!$E$26),0,(C2140&gt;='Resultats - informe'!$D$27)*(C2140&lt;='Resultats - informe'!$E$27),0,(C2140&gt;='Resultats - informe'!$D$28)*(C2140&lt;='Resultats - informe'!$E$28),0,(C2140&gt;='Resultats - informe'!$D$29)*(C2140&lt;='Resultats - informe'!$E$29),0,1,1)</f>
        <v>0</v>
      </c>
      <c r="N2140" s="366">
        <f>+VLOOKUP(D2140,'Resultats - informe'!$Y$18:$AG$42,'Introducció dades consum'!K2140+1,0)</f>
        <v>0</v>
      </c>
      <c r="O2140" s="370" cm="1">
        <f t="array" ref="O2140">+_xlfn.SWITCH(MONTH(C2140),1,1,2,1,3,1,4,2,5,2,6,3,7,3,8,3,9,3,10,2,11,2,12,1,2)</f>
        <v>1</v>
      </c>
      <c r="P2140" s="43"/>
    </row>
    <row r="2141" spans="1:16" ht="18" x14ac:dyDescent="0.35">
      <c r="A2141" s="43"/>
      <c r="C2141" s="393"/>
      <c r="E2141" s="394"/>
      <c r="F2141" s="394">
        <v>0</v>
      </c>
      <c r="G2141" s="394"/>
      <c r="H2141" s="8" t="s">
        <v>235</v>
      </c>
      <c r="I2141" s="368">
        <f t="shared" si="100"/>
        <v>0</v>
      </c>
      <c r="J2141" s="365">
        <f t="shared" si="99"/>
        <v>0</v>
      </c>
      <c r="K2141" s="369">
        <f t="shared" si="101"/>
        <v>6</v>
      </c>
      <c r="L2141" s="369">
        <f>+IF((C2141&gt;='Resultats - informe'!$E$16)*(C2141&lt;='Resultats - informe'!$G$16),1,0)</f>
        <v>1</v>
      </c>
      <c r="M2141" s="369" cm="1">
        <f t="array" ref="M2141">+_xlfn.IFS((C2141&gt;='Resultats - informe'!$D$26)*(C2141&lt;='Resultats - informe'!$E$26),0,(C2141&gt;='Resultats - informe'!$D$27)*(C2141&lt;='Resultats - informe'!$E$27),0,(C2141&gt;='Resultats - informe'!$D$28)*(C2141&lt;='Resultats - informe'!$E$28),0,(C2141&gt;='Resultats - informe'!$D$29)*(C2141&lt;='Resultats - informe'!$E$29),0,1,1)</f>
        <v>0</v>
      </c>
      <c r="N2141" s="366">
        <f>+VLOOKUP(D2141,'Resultats - informe'!$Y$18:$AG$42,'Introducció dades consum'!K2141+1,0)</f>
        <v>0</v>
      </c>
      <c r="O2141" s="370" cm="1">
        <f t="array" ref="O2141">+_xlfn.SWITCH(MONTH(C2141),1,1,2,1,3,1,4,2,5,2,6,3,7,3,8,3,9,3,10,2,11,2,12,1,2)</f>
        <v>1</v>
      </c>
      <c r="P2141" s="43"/>
    </row>
    <row r="2142" spans="1:16" ht="18" x14ac:dyDescent="0.35">
      <c r="A2142" s="43"/>
      <c r="C2142" s="393"/>
      <c r="E2142" s="394"/>
      <c r="F2142" s="394">
        <v>0</v>
      </c>
      <c r="G2142" s="394"/>
      <c r="H2142" s="8" t="s">
        <v>235</v>
      </c>
      <c r="I2142" s="368">
        <f t="shared" si="100"/>
        <v>0</v>
      </c>
      <c r="J2142" s="365">
        <f t="shared" si="99"/>
        <v>0</v>
      </c>
      <c r="K2142" s="369">
        <f t="shared" si="101"/>
        <v>6</v>
      </c>
      <c r="L2142" s="369">
        <f>+IF((C2142&gt;='Resultats - informe'!$E$16)*(C2142&lt;='Resultats - informe'!$G$16),1,0)</f>
        <v>1</v>
      </c>
      <c r="M2142" s="369" cm="1">
        <f t="array" ref="M2142">+_xlfn.IFS((C2142&gt;='Resultats - informe'!$D$26)*(C2142&lt;='Resultats - informe'!$E$26),0,(C2142&gt;='Resultats - informe'!$D$27)*(C2142&lt;='Resultats - informe'!$E$27),0,(C2142&gt;='Resultats - informe'!$D$28)*(C2142&lt;='Resultats - informe'!$E$28),0,(C2142&gt;='Resultats - informe'!$D$29)*(C2142&lt;='Resultats - informe'!$E$29),0,1,1)</f>
        <v>0</v>
      </c>
      <c r="N2142" s="366">
        <f>+VLOOKUP(D2142,'Resultats - informe'!$Y$18:$AG$42,'Introducció dades consum'!K2142+1,0)</f>
        <v>0</v>
      </c>
      <c r="O2142" s="370" cm="1">
        <f t="array" ref="O2142">+_xlfn.SWITCH(MONTH(C2142),1,1,2,1,3,1,4,2,5,2,6,3,7,3,8,3,9,3,10,2,11,2,12,1,2)</f>
        <v>1</v>
      </c>
      <c r="P2142" s="43"/>
    </row>
    <row r="2143" spans="1:16" ht="18" x14ac:dyDescent="0.35">
      <c r="A2143" s="43"/>
      <c r="C2143" s="393"/>
      <c r="E2143" s="394"/>
      <c r="F2143" s="394">
        <v>0</v>
      </c>
      <c r="G2143" s="394"/>
      <c r="H2143" s="8" t="s">
        <v>235</v>
      </c>
      <c r="I2143" s="368">
        <f t="shared" si="100"/>
        <v>0</v>
      </c>
      <c r="J2143" s="365">
        <f t="shared" si="99"/>
        <v>0</v>
      </c>
      <c r="K2143" s="369">
        <f t="shared" si="101"/>
        <v>6</v>
      </c>
      <c r="L2143" s="369">
        <f>+IF((C2143&gt;='Resultats - informe'!$E$16)*(C2143&lt;='Resultats - informe'!$G$16),1,0)</f>
        <v>1</v>
      </c>
      <c r="M2143" s="369" cm="1">
        <f t="array" ref="M2143">+_xlfn.IFS((C2143&gt;='Resultats - informe'!$D$26)*(C2143&lt;='Resultats - informe'!$E$26),0,(C2143&gt;='Resultats - informe'!$D$27)*(C2143&lt;='Resultats - informe'!$E$27),0,(C2143&gt;='Resultats - informe'!$D$28)*(C2143&lt;='Resultats - informe'!$E$28),0,(C2143&gt;='Resultats - informe'!$D$29)*(C2143&lt;='Resultats - informe'!$E$29),0,1,1)</f>
        <v>0</v>
      </c>
      <c r="N2143" s="366">
        <f>+VLOOKUP(D2143,'Resultats - informe'!$Y$18:$AG$42,'Introducció dades consum'!K2143+1,0)</f>
        <v>0</v>
      </c>
      <c r="O2143" s="370" cm="1">
        <f t="array" ref="O2143">+_xlfn.SWITCH(MONTH(C2143),1,1,2,1,3,1,4,2,5,2,6,3,7,3,8,3,9,3,10,2,11,2,12,1,2)</f>
        <v>1</v>
      </c>
      <c r="P2143" s="43"/>
    </row>
    <row r="2144" spans="1:16" ht="18" x14ac:dyDescent="0.35">
      <c r="A2144" s="43"/>
      <c r="C2144" s="393"/>
      <c r="E2144" s="394"/>
      <c r="F2144" s="394">
        <v>0</v>
      </c>
      <c r="G2144" s="394"/>
      <c r="H2144" s="8" t="s">
        <v>235</v>
      </c>
      <c r="I2144" s="368">
        <f t="shared" si="100"/>
        <v>0</v>
      </c>
      <c r="J2144" s="365">
        <f t="shared" si="99"/>
        <v>0</v>
      </c>
      <c r="K2144" s="369">
        <f t="shared" si="101"/>
        <v>6</v>
      </c>
      <c r="L2144" s="369">
        <f>+IF((C2144&gt;='Resultats - informe'!$E$16)*(C2144&lt;='Resultats - informe'!$G$16),1,0)</f>
        <v>1</v>
      </c>
      <c r="M2144" s="369" cm="1">
        <f t="array" ref="M2144">+_xlfn.IFS((C2144&gt;='Resultats - informe'!$D$26)*(C2144&lt;='Resultats - informe'!$E$26),0,(C2144&gt;='Resultats - informe'!$D$27)*(C2144&lt;='Resultats - informe'!$E$27),0,(C2144&gt;='Resultats - informe'!$D$28)*(C2144&lt;='Resultats - informe'!$E$28),0,(C2144&gt;='Resultats - informe'!$D$29)*(C2144&lt;='Resultats - informe'!$E$29),0,1,1)</f>
        <v>0</v>
      </c>
      <c r="N2144" s="366">
        <f>+VLOOKUP(D2144,'Resultats - informe'!$Y$18:$AG$42,'Introducció dades consum'!K2144+1,0)</f>
        <v>0</v>
      </c>
      <c r="O2144" s="370" cm="1">
        <f t="array" ref="O2144">+_xlfn.SWITCH(MONTH(C2144),1,1,2,1,3,1,4,2,5,2,6,3,7,3,8,3,9,3,10,2,11,2,12,1,2)</f>
        <v>1</v>
      </c>
      <c r="P2144" s="43"/>
    </row>
    <row r="2145" spans="1:16" ht="18" x14ac:dyDescent="0.35">
      <c r="A2145" s="43"/>
      <c r="C2145" s="393"/>
      <c r="E2145" s="394"/>
      <c r="F2145" s="394">
        <v>0</v>
      </c>
      <c r="G2145" s="394"/>
      <c r="H2145" s="8" t="s">
        <v>235</v>
      </c>
      <c r="I2145" s="368">
        <f t="shared" si="100"/>
        <v>0</v>
      </c>
      <c r="J2145" s="365">
        <f t="shared" si="99"/>
        <v>0</v>
      </c>
      <c r="K2145" s="369">
        <f t="shared" si="101"/>
        <v>6</v>
      </c>
      <c r="L2145" s="369">
        <f>+IF((C2145&gt;='Resultats - informe'!$E$16)*(C2145&lt;='Resultats - informe'!$G$16),1,0)</f>
        <v>1</v>
      </c>
      <c r="M2145" s="369" cm="1">
        <f t="array" ref="M2145">+_xlfn.IFS((C2145&gt;='Resultats - informe'!$D$26)*(C2145&lt;='Resultats - informe'!$E$26),0,(C2145&gt;='Resultats - informe'!$D$27)*(C2145&lt;='Resultats - informe'!$E$27),0,(C2145&gt;='Resultats - informe'!$D$28)*(C2145&lt;='Resultats - informe'!$E$28),0,(C2145&gt;='Resultats - informe'!$D$29)*(C2145&lt;='Resultats - informe'!$E$29),0,1,1)</f>
        <v>0</v>
      </c>
      <c r="N2145" s="366">
        <f>+VLOOKUP(D2145,'Resultats - informe'!$Y$18:$AG$42,'Introducció dades consum'!K2145+1,0)</f>
        <v>0</v>
      </c>
      <c r="O2145" s="370" cm="1">
        <f t="array" ref="O2145">+_xlfn.SWITCH(MONTH(C2145),1,1,2,1,3,1,4,2,5,2,6,3,7,3,8,3,9,3,10,2,11,2,12,1,2)</f>
        <v>1</v>
      </c>
      <c r="P2145" s="43"/>
    </row>
    <row r="2146" spans="1:16" ht="18" x14ac:dyDescent="0.35">
      <c r="A2146" s="43"/>
      <c r="C2146" s="393"/>
      <c r="E2146" s="394"/>
      <c r="F2146" s="394">
        <v>1.9E-2</v>
      </c>
      <c r="G2146" s="394"/>
      <c r="H2146" s="8" t="s">
        <v>235</v>
      </c>
      <c r="I2146" s="368">
        <f t="shared" si="100"/>
        <v>0</v>
      </c>
      <c r="J2146" s="365">
        <f t="shared" si="99"/>
        <v>0</v>
      </c>
      <c r="K2146" s="369">
        <f t="shared" si="101"/>
        <v>6</v>
      </c>
      <c r="L2146" s="369">
        <f>+IF((C2146&gt;='Resultats - informe'!$E$16)*(C2146&lt;='Resultats - informe'!$G$16),1,0)</f>
        <v>1</v>
      </c>
      <c r="M2146" s="369" cm="1">
        <f t="array" ref="M2146">+_xlfn.IFS((C2146&gt;='Resultats - informe'!$D$26)*(C2146&lt;='Resultats - informe'!$E$26),0,(C2146&gt;='Resultats - informe'!$D$27)*(C2146&lt;='Resultats - informe'!$E$27),0,(C2146&gt;='Resultats - informe'!$D$28)*(C2146&lt;='Resultats - informe'!$E$28),0,(C2146&gt;='Resultats - informe'!$D$29)*(C2146&lt;='Resultats - informe'!$E$29),0,1,1)</f>
        <v>0</v>
      </c>
      <c r="N2146" s="366">
        <f>+VLOOKUP(D2146,'Resultats - informe'!$Y$18:$AG$42,'Introducció dades consum'!K2146+1,0)</f>
        <v>0</v>
      </c>
      <c r="O2146" s="370" cm="1">
        <f t="array" ref="O2146">+_xlfn.SWITCH(MONTH(C2146),1,1,2,1,3,1,4,2,5,2,6,3,7,3,8,3,9,3,10,2,11,2,12,1,2)</f>
        <v>1</v>
      </c>
      <c r="P2146" s="43"/>
    </row>
    <row r="2147" spans="1:16" ht="18" x14ac:dyDescent="0.35">
      <c r="A2147" s="43"/>
      <c r="C2147" s="393"/>
      <c r="E2147" s="394"/>
      <c r="F2147" s="394">
        <v>0</v>
      </c>
      <c r="G2147" s="394"/>
      <c r="H2147" s="8" t="s">
        <v>235</v>
      </c>
      <c r="I2147" s="368">
        <f t="shared" si="100"/>
        <v>0</v>
      </c>
      <c r="J2147" s="365">
        <f t="shared" si="99"/>
        <v>0</v>
      </c>
      <c r="K2147" s="369">
        <f t="shared" si="101"/>
        <v>6</v>
      </c>
      <c r="L2147" s="369">
        <f>+IF((C2147&gt;='Resultats - informe'!$E$16)*(C2147&lt;='Resultats - informe'!$G$16),1,0)</f>
        <v>1</v>
      </c>
      <c r="M2147" s="369" cm="1">
        <f t="array" ref="M2147">+_xlfn.IFS((C2147&gt;='Resultats - informe'!$D$26)*(C2147&lt;='Resultats - informe'!$E$26),0,(C2147&gt;='Resultats - informe'!$D$27)*(C2147&lt;='Resultats - informe'!$E$27),0,(C2147&gt;='Resultats - informe'!$D$28)*(C2147&lt;='Resultats - informe'!$E$28),0,(C2147&gt;='Resultats - informe'!$D$29)*(C2147&lt;='Resultats - informe'!$E$29),0,1,1)</f>
        <v>0</v>
      </c>
      <c r="N2147" s="366">
        <f>+VLOOKUP(D2147,'Resultats - informe'!$Y$18:$AG$42,'Introducció dades consum'!K2147+1,0)</f>
        <v>0</v>
      </c>
      <c r="O2147" s="370" cm="1">
        <f t="array" ref="O2147">+_xlfn.SWITCH(MONTH(C2147),1,1,2,1,3,1,4,2,5,2,6,3,7,3,8,3,9,3,10,2,11,2,12,1,2)</f>
        <v>1</v>
      </c>
      <c r="P2147" s="43"/>
    </row>
    <row r="2148" spans="1:16" ht="18" x14ac:dyDescent="0.35">
      <c r="A2148" s="43"/>
      <c r="C2148" s="393"/>
      <c r="E2148" s="394"/>
      <c r="F2148" s="394">
        <v>0</v>
      </c>
      <c r="G2148" s="394"/>
      <c r="H2148" s="8" t="s">
        <v>61</v>
      </c>
      <c r="I2148" s="368">
        <f t="shared" si="100"/>
        <v>0</v>
      </c>
      <c r="J2148" s="365">
        <f t="shared" si="99"/>
        <v>0</v>
      </c>
      <c r="K2148" s="369">
        <f t="shared" si="101"/>
        <v>6</v>
      </c>
      <c r="L2148" s="369">
        <f>+IF((C2148&gt;='Resultats - informe'!$E$16)*(C2148&lt;='Resultats - informe'!$G$16),1,0)</f>
        <v>1</v>
      </c>
      <c r="M2148" s="369" cm="1">
        <f t="array" ref="M2148">+_xlfn.IFS((C2148&gt;='Resultats - informe'!$D$26)*(C2148&lt;='Resultats - informe'!$E$26),0,(C2148&gt;='Resultats - informe'!$D$27)*(C2148&lt;='Resultats - informe'!$E$27),0,(C2148&gt;='Resultats - informe'!$D$28)*(C2148&lt;='Resultats - informe'!$E$28),0,(C2148&gt;='Resultats - informe'!$D$29)*(C2148&lt;='Resultats - informe'!$E$29),0,1,1)</f>
        <v>0</v>
      </c>
      <c r="N2148" s="366">
        <f>+VLOOKUP(D2148,'Resultats - informe'!$Y$18:$AG$42,'Introducció dades consum'!K2148+1,0)</f>
        <v>0</v>
      </c>
      <c r="O2148" s="370" cm="1">
        <f t="array" ref="O2148">+_xlfn.SWITCH(MONTH(C2148),1,1,2,1,3,1,4,2,5,2,6,3,7,3,8,3,9,3,10,2,11,2,12,1,2)</f>
        <v>1</v>
      </c>
      <c r="P2148" s="43"/>
    </row>
    <row r="2149" spans="1:16" ht="18" x14ac:dyDescent="0.35">
      <c r="A2149" s="43"/>
      <c r="C2149" s="393"/>
      <c r="E2149" s="394"/>
      <c r="F2149" s="394">
        <v>0</v>
      </c>
      <c r="G2149" s="394"/>
      <c r="H2149" s="8" t="s">
        <v>61</v>
      </c>
      <c r="I2149" s="368">
        <f t="shared" si="100"/>
        <v>0</v>
      </c>
      <c r="J2149" s="365">
        <f t="shared" si="99"/>
        <v>0</v>
      </c>
      <c r="K2149" s="369">
        <f t="shared" si="101"/>
        <v>6</v>
      </c>
      <c r="L2149" s="369">
        <f>+IF((C2149&gt;='Resultats - informe'!$E$16)*(C2149&lt;='Resultats - informe'!$G$16),1,0)</f>
        <v>1</v>
      </c>
      <c r="M2149" s="369" cm="1">
        <f t="array" ref="M2149">+_xlfn.IFS((C2149&gt;='Resultats - informe'!$D$26)*(C2149&lt;='Resultats - informe'!$E$26),0,(C2149&gt;='Resultats - informe'!$D$27)*(C2149&lt;='Resultats - informe'!$E$27),0,(C2149&gt;='Resultats - informe'!$D$28)*(C2149&lt;='Resultats - informe'!$E$28),0,(C2149&gt;='Resultats - informe'!$D$29)*(C2149&lt;='Resultats - informe'!$E$29),0,1,1)</f>
        <v>0</v>
      </c>
      <c r="N2149" s="366">
        <f>+VLOOKUP(D2149,'Resultats - informe'!$Y$18:$AG$42,'Introducció dades consum'!K2149+1,0)</f>
        <v>0</v>
      </c>
      <c r="O2149" s="370" cm="1">
        <f t="array" ref="O2149">+_xlfn.SWITCH(MONTH(C2149),1,1,2,1,3,1,4,2,5,2,6,3,7,3,8,3,9,3,10,2,11,2,12,1,2)</f>
        <v>1</v>
      </c>
      <c r="P2149" s="43"/>
    </row>
    <row r="2150" spans="1:16" ht="18" x14ac:dyDescent="0.35">
      <c r="A2150" s="43"/>
      <c r="C2150" s="393"/>
      <c r="E2150" s="394"/>
      <c r="F2150" s="394">
        <v>2.8620000000000001</v>
      </c>
      <c r="G2150" s="394"/>
      <c r="H2150" s="8" t="s">
        <v>61</v>
      </c>
      <c r="I2150" s="368">
        <f t="shared" si="100"/>
        <v>0</v>
      </c>
      <c r="J2150" s="365">
        <f t="shared" si="99"/>
        <v>0</v>
      </c>
      <c r="K2150" s="369">
        <f t="shared" si="101"/>
        <v>6</v>
      </c>
      <c r="L2150" s="369">
        <f>+IF((C2150&gt;='Resultats - informe'!$E$16)*(C2150&lt;='Resultats - informe'!$G$16),1,0)</f>
        <v>1</v>
      </c>
      <c r="M2150" s="369" cm="1">
        <f t="array" ref="M2150">+_xlfn.IFS((C2150&gt;='Resultats - informe'!$D$26)*(C2150&lt;='Resultats - informe'!$E$26),0,(C2150&gt;='Resultats - informe'!$D$27)*(C2150&lt;='Resultats - informe'!$E$27),0,(C2150&gt;='Resultats - informe'!$D$28)*(C2150&lt;='Resultats - informe'!$E$28),0,(C2150&gt;='Resultats - informe'!$D$29)*(C2150&lt;='Resultats - informe'!$E$29),0,1,1)</f>
        <v>0</v>
      </c>
      <c r="N2150" s="366">
        <f>+VLOOKUP(D2150,'Resultats - informe'!$Y$18:$AG$42,'Introducció dades consum'!K2150+1,0)</f>
        <v>0</v>
      </c>
      <c r="O2150" s="370" cm="1">
        <f t="array" ref="O2150">+_xlfn.SWITCH(MONTH(C2150),1,1,2,1,3,1,4,2,5,2,6,3,7,3,8,3,9,3,10,2,11,2,12,1,2)</f>
        <v>1</v>
      </c>
      <c r="P2150" s="43"/>
    </row>
    <row r="2151" spans="1:16" ht="18" x14ac:dyDescent="0.35">
      <c r="A2151" s="43"/>
      <c r="C2151" s="393"/>
      <c r="E2151" s="394"/>
      <c r="F2151" s="394">
        <v>4.931</v>
      </c>
      <c r="G2151" s="394"/>
      <c r="H2151" s="8" t="s">
        <v>61</v>
      </c>
      <c r="I2151" s="368">
        <f t="shared" si="100"/>
        <v>0</v>
      </c>
      <c r="J2151" s="365">
        <f t="shared" si="99"/>
        <v>0</v>
      </c>
      <c r="K2151" s="369">
        <f t="shared" si="101"/>
        <v>6</v>
      </c>
      <c r="L2151" s="369">
        <f>+IF((C2151&gt;='Resultats - informe'!$E$16)*(C2151&lt;='Resultats - informe'!$G$16),1,0)</f>
        <v>1</v>
      </c>
      <c r="M2151" s="369" cm="1">
        <f t="array" ref="M2151">+_xlfn.IFS((C2151&gt;='Resultats - informe'!$D$26)*(C2151&lt;='Resultats - informe'!$E$26),0,(C2151&gt;='Resultats - informe'!$D$27)*(C2151&lt;='Resultats - informe'!$E$27),0,(C2151&gt;='Resultats - informe'!$D$28)*(C2151&lt;='Resultats - informe'!$E$28),0,(C2151&gt;='Resultats - informe'!$D$29)*(C2151&lt;='Resultats - informe'!$E$29),0,1,1)</f>
        <v>0</v>
      </c>
      <c r="N2151" s="366">
        <f>+VLOOKUP(D2151,'Resultats - informe'!$Y$18:$AG$42,'Introducció dades consum'!K2151+1,0)</f>
        <v>0</v>
      </c>
      <c r="O2151" s="370" cm="1">
        <f t="array" ref="O2151">+_xlfn.SWITCH(MONTH(C2151),1,1,2,1,3,1,4,2,5,2,6,3,7,3,8,3,9,3,10,2,11,2,12,1,2)</f>
        <v>1</v>
      </c>
      <c r="P2151" s="43"/>
    </row>
    <row r="2152" spans="1:16" ht="18" x14ac:dyDescent="0.35">
      <c r="A2152" s="43"/>
      <c r="C2152" s="393"/>
      <c r="E2152" s="394"/>
      <c r="F2152" s="394">
        <v>1.996</v>
      </c>
      <c r="G2152" s="394"/>
      <c r="H2152" s="8" t="s">
        <v>235</v>
      </c>
      <c r="I2152" s="368">
        <f t="shared" si="100"/>
        <v>0</v>
      </c>
      <c r="J2152" s="365">
        <f t="shared" si="99"/>
        <v>0</v>
      </c>
      <c r="K2152" s="369">
        <f t="shared" si="101"/>
        <v>6</v>
      </c>
      <c r="L2152" s="369">
        <f>+IF((C2152&gt;='Resultats - informe'!$E$16)*(C2152&lt;='Resultats - informe'!$G$16),1,0)</f>
        <v>1</v>
      </c>
      <c r="M2152" s="369" cm="1">
        <f t="array" ref="M2152">+_xlfn.IFS((C2152&gt;='Resultats - informe'!$D$26)*(C2152&lt;='Resultats - informe'!$E$26),0,(C2152&gt;='Resultats - informe'!$D$27)*(C2152&lt;='Resultats - informe'!$E$27),0,(C2152&gt;='Resultats - informe'!$D$28)*(C2152&lt;='Resultats - informe'!$E$28),0,(C2152&gt;='Resultats - informe'!$D$29)*(C2152&lt;='Resultats - informe'!$E$29),0,1,1)</f>
        <v>0</v>
      </c>
      <c r="N2152" s="366">
        <f>+VLOOKUP(D2152,'Resultats - informe'!$Y$18:$AG$42,'Introducció dades consum'!K2152+1,0)</f>
        <v>0</v>
      </c>
      <c r="O2152" s="370" cm="1">
        <f t="array" ref="O2152">+_xlfn.SWITCH(MONTH(C2152),1,1,2,1,3,1,4,2,5,2,6,3,7,3,8,3,9,3,10,2,11,2,12,1,2)</f>
        <v>1</v>
      </c>
      <c r="P2152" s="43"/>
    </row>
    <row r="2153" spans="1:16" ht="18" x14ac:dyDescent="0.35">
      <c r="A2153" s="43"/>
      <c r="C2153" s="393"/>
      <c r="E2153" s="394"/>
      <c r="F2153" s="394">
        <v>0.876</v>
      </c>
      <c r="G2153" s="394"/>
      <c r="H2153" s="8" t="s">
        <v>235</v>
      </c>
      <c r="I2153" s="368">
        <f t="shared" si="100"/>
        <v>0</v>
      </c>
      <c r="J2153" s="365">
        <f t="shared" si="99"/>
        <v>0</v>
      </c>
      <c r="K2153" s="369">
        <f t="shared" si="101"/>
        <v>6</v>
      </c>
      <c r="L2153" s="369">
        <f>+IF((C2153&gt;='Resultats - informe'!$E$16)*(C2153&lt;='Resultats - informe'!$G$16),1,0)</f>
        <v>1</v>
      </c>
      <c r="M2153" s="369" cm="1">
        <f t="array" ref="M2153">+_xlfn.IFS((C2153&gt;='Resultats - informe'!$D$26)*(C2153&lt;='Resultats - informe'!$E$26),0,(C2153&gt;='Resultats - informe'!$D$27)*(C2153&lt;='Resultats - informe'!$E$27),0,(C2153&gt;='Resultats - informe'!$D$28)*(C2153&lt;='Resultats - informe'!$E$28),0,(C2153&gt;='Resultats - informe'!$D$29)*(C2153&lt;='Resultats - informe'!$E$29),0,1,1)</f>
        <v>0</v>
      </c>
      <c r="N2153" s="366">
        <f>+VLOOKUP(D2153,'Resultats - informe'!$Y$18:$AG$42,'Introducció dades consum'!K2153+1,0)</f>
        <v>0</v>
      </c>
      <c r="O2153" s="370" cm="1">
        <f t="array" ref="O2153">+_xlfn.SWITCH(MONTH(C2153),1,1,2,1,3,1,4,2,5,2,6,3,7,3,8,3,9,3,10,2,11,2,12,1,2)</f>
        <v>1</v>
      </c>
      <c r="P2153" s="43"/>
    </row>
    <row r="2154" spans="1:16" ht="18" x14ac:dyDescent="0.35">
      <c r="A2154" s="43"/>
      <c r="C2154" s="393"/>
      <c r="E2154" s="394"/>
      <c r="F2154" s="394">
        <v>1.544</v>
      </c>
      <c r="G2154" s="394"/>
      <c r="H2154" s="8" t="s">
        <v>235</v>
      </c>
      <c r="I2154" s="368">
        <f t="shared" si="100"/>
        <v>0</v>
      </c>
      <c r="J2154" s="365">
        <f t="shared" si="99"/>
        <v>0</v>
      </c>
      <c r="K2154" s="369">
        <f t="shared" si="101"/>
        <v>6</v>
      </c>
      <c r="L2154" s="369">
        <f>+IF((C2154&gt;='Resultats - informe'!$E$16)*(C2154&lt;='Resultats - informe'!$G$16),1,0)</f>
        <v>1</v>
      </c>
      <c r="M2154" s="369" cm="1">
        <f t="array" ref="M2154">+_xlfn.IFS((C2154&gt;='Resultats - informe'!$D$26)*(C2154&lt;='Resultats - informe'!$E$26),0,(C2154&gt;='Resultats - informe'!$D$27)*(C2154&lt;='Resultats - informe'!$E$27),0,(C2154&gt;='Resultats - informe'!$D$28)*(C2154&lt;='Resultats - informe'!$E$28),0,(C2154&gt;='Resultats - informe'!$D$29)*(C2154&lt;='Resultats - informe'!$E$29),0,1,1)</f>
        <v>0</v>
      </c>
      <c r="N2154" s="366">
        <f>+VLOOKUP(D2154,'Resultats - informe'!$Y$18:$AG$42,'Introducció dades consum'!K2154+1,0)</f>
        <v>0</v>
      </c>
      <c r="O2154" s="370" cm="1">
        <f t="array" ref="O2154">+_xlfn.SWITCH(MONTH(C2154),1,1,2,1,3,1,4,2,5,2,6,3,7,3,8,3,9,3,10,2,11,2,12,1,2)</f>
        <v>1</v>
      </c>
      <c r="P2154" s="43"/>
    </row>
    <row r="2155" spans="1:16" ht="18" x14ac:dyDescent="0.35">
      <c r="A2155" s="43"/>
      <c r="C2155" s="393"/>
      <c r="E2155" s="394"/>
      <c r="F2155" s="394">
        <v>1.415</v>
      </c>
      <c r="G2155" s="394"/>
      <c r="H2155" s="8" t="s">
        <v>235</v>
      </c>
      <c r="I2155" s="368">
        <f t="shared" si="100"/>
        <v>0</v>
      </c>
      <c r="J2155" s="365">
        <f t="shared" si="99"/>
        <v>0</v>
      </c>
      <c r="K2155" s="369">
        <f t="shared" si="101"/>
        <v>6</v>
      </c>
      <c r="L2155" s="369">
        <f>+IF((C2155&gt;='Resultats - informe'!$E$16)*(C2155&lt;='Resultats - informe'!$G$16),1,0)</f>
        <v>1</v>
      </c>
      <c r="M2155" s="369" cm="1">
        <f t="array" ref="M2155">+_xlfn.IFS((C2155&gt;='Resultats - informe'!$D$26)*(C2155&lt;='Resultats - informe'!$E$26),0,(C2155&gt;='Resultats - informe'!$D$27)*(C2155&lt;='Resultats - informe'!$E$27),0,(C2155&gt;='Resultats - informe'!$D$28)*(C2155&lt;='Resultats - informe'!$E$28),0,(C2155&gt;='Resultats - informe'!$D$29)*(C2155&lt;='Resultats - informe'!$E$29),0,1,1)</f>
        <v>0</v>
      </c>
      <c r="N2155" s="366">
        <f>+VLOOKUP(D2155,'Resultats - informe'!$Y$18:$AG$42,'Introducció dades consum'!K2155+1,0)</f>
        <v>0</v>
      </c>
      <c r="O2155" s="370" cm="1">
        <f t="array" ref="O2155">+_xlfn.SWITCH(MONTH(C2155),1,1,2,1,3,1,4,2,5,2,6,3,7,3,8,3,9,3,10,2,11,2,12,1,2)</f>
        <v>1</v>
      </c>
      <c r="P2155" s="43"/>
    </row>
    <row r="2156" spans="1:16" ht="18" x14ac:dyDescent="0.35">
      <c r="A2156" s="43"/>
      <c r="C2156" s="393"/>
      <c r="E2156" s="394"/>
      <c r="F2156" s="394">
        <v>0</v>
      </c>
      <c r="G2156" s="394"/>
      <c r="H2156" s="8" t="s">
        <v>235</v>
      </c>
      <c r="I2156" s="368">
        <f t="shared" si="100"/>
        <v>0</v>
      </c>
      <c r="J2156" s="365">
        <f t="shared" si="99"/>
        <v>0</v>
      </c>
      <c r="K2156" s="369">
        <f t="shared" si="101"/>
        <v>6</v>
      </c>
      <c r="L2156" s="369">
        <f>+IF((C2156&gt;='Resultats - informe'!$E$16)*(C2156&lt;='Resultats - informe'!$G$16),1,0)</f>
        <v>1</v>
      </c>
      <c r="M2156" s="369" cm="1">
        <f t="array" ref="M2156">+_xlfn.IFS((C2156&gt;='Resultats - informe'!$D$26)*(C2156&lt;='Resultats - informe'!$E$26),0,(C2156&gt;='Resultats - informe'!$D$27)*(C2156&lt;='Resultats - informe'!$E$27),0,(C2156&gt;='Resultats - informe'!$D$28)*(C2156&lt;='Resultats - informe'!$E$28),0,(C2156&gt;='Resultats - informe'!$D$29)*(C2156&lt;='Resultats - informe'!$E$29),0,1,1)</f>
        <v>0</v>
      </c>
      <c r="N2156" s="366">
        <f>+VLOOKUP(D2156,'Resultats - informe'!$Y$18:$AG$42,'Introducció dades consum'!K2156+1,0)</f>
        <v>0</v>
      </c>
      <c r="O2156" s="370" cm="1">
        <f t="array" ref="O2156">+_xlfn.SWITCH(MONTH(C2156),1,1,2,1,3,1,4,2,5,2,6,3,7,3,8,3,9,3,10,2,11,2,12,1,2)</f>
        <v>1</v>
      </c>
      <c r="P2156" s="43"/>
    </row>
    <row r="2157" spans="1:16" ht="18" x14ac:dyDescent="0.35">
      <c r="A2157" s="43"/>
      <c r="C2157" s="393"/>
      <c r="E2157" s="394"/>
      <c r="F2157" s="394">
        <v>0</v>
      </c>
      <c r="G2157" s="394"/>
      <c r="H2157" s="8" t="s">
        <v>235</v>
      </c>
      <c r="I2157" s="368">
        <f t="shared" si="100"/>
        <v>0</v>
      </c>
      <c r="J2157" s="365">
        <f t="shared" si="99"/>
        <v>0</v>
      </c>
      <c r="K2157" s="369">
        <f t="shared" si="101"/>
        <v>6</v>
      </c>
      <c r="L2157" s="369">
        <f>+IF((C2157&gt;='Resultats - informe'!$E$16)*(C2157&lt;='Resultats - informe'!$G$16),1,0)</f>
        <v>1</v>
      </c>
      <c r="M2157" s="369" cm="1">
        <f t="array" ref="M2157">+_xlfn.IFS((C2157&gt;='Resultats - informe'!$D$26)*(C2157&lt;='Resultats - informe'!$E$26),0,(C2157&gt;='Resultats - informe'!$D$27)*(C2157&lt;='Resultats - informe'!$E$27),0,(C2157&gt;='Resultats - informe'!$D$28)*(C2157&lt;='Resultats - informe'!$E$28),0,(C2157&gt;='Resultats - informe'!$D$29)*(C2157&lt;='Resultats - informe'!$E$29),0,1,1)</f>
        <v>0</v>
      </c>
      <c r="N2157" s="366">
        <f>+VLOOKUP(D2157,'Resultats - informe'!$Y$18:$AG$42,'Introducció dades consum'!K2157+1,0)</f>
        <v>0</v>
      </c>
      <c r="O2157" s="370" cm="1">
        <f t="array" ref="O2157">+_xlfn.SWITCH(MONTH(C2157),1,1,2,1,3,1,4,2,5,2,6,3,7,3,8,3,9,3,10,2,11,2,12,1,2)</f>
        <v>1</v>
      </c>
      <c r="P2157" s="43"/>
    </row>
    <row r="2158" spans="1:16" ht="18" x14ac:dyDescent="0.35">
      <c r="A2158" s="43"/>
      <c r="C2158" s="393"/>
      <c r="E2158" s="394"/>
      <c r="F2158" s="394">
        <v>0</v>
      </c>
      <c r="G2158" s="394"/>
      <c r="H2158" s="8" t="s">
        <v>235</v>
      </c>
      <c r="I2158" s="368">
        <f t="shared" si="100"/>
        <v>0</v>
      </c>
      <c r="J2158" s="365">
        <f t="shared" si="99"/>
        <v>0</v>
      </c>
      <c r="K2158" s="369">
        <f t="shared" si="101"/>
        <v>6</v>
      </c>
      <c r="L2158" s="369">
        <f>+IF((C2158&gt;='Resultats - informe'!$E$16)*(C2158&lt;='Resultats - informe'!$G$16),1,0)</f>
        <v>1</v>
      </c>
      <c r="M2158" s="369" cm="1">
        <f t="array" ref="M2158">+_xlfn.IFS((C2158&gt;='Resultats - informe'!$D$26)*(C2158&lt;='Resultats - informe'!$E$26),0,(C2158&gt;='Resultats - informe'!$D$27)*(C2158&lt;='Resultats - informe'!$E$27),0,(C2158&gt;='Resultats - informe'!$D$28)*(C2158&lt;='Resultats - informe'!$E$28),0,(C2158&gt;='Resultats - informe'!$D$29)*(C2158&lt;='Resultats - informe'!$E$29),0,1,1)</f>
        <v>0</v>
      </c>
      <c r="N2158" s="366">
        <f>+VLOOKUP(D2158,'Resultats - informe'!$Y$18:$AG$42,'Introducció dades consum'!K2158+1,0)</f>
        <v>0</v>
      </c>
      <c r="O2158" s="370" cm="1">
        <f t="array" ref="O2158">+_xlfn.SWITCH(MONTH(C2158),1,1,2,1,3,1,4,2,5,2,6,3,7,3,8,3,9,3,10,2,11,2,12,1,2)</f>
        <v>1</v>
      </c>
      <c r="P2158" s="43"/>
    </row>
    <row r="2159" spans="1:16" ht="18" x14ac:dyDescent="0.35">
      <c r="A2159" s="43"/>
      <c r="C2159" s="393"/>
      <c r="E2159" s="394"/>
      <c r="F2159" s="394">
        <v>0</v>
      </c>
      <c r="G2159" s="394"/>
      <c r="H2159" s="8" t="s">
        <v>61</v>
      </c>
      <c r="I2159" s="368">
        <f t="shared" si="100"/>
        <v>0</v>
      </c>
      <c r="J2159" s="365">
        <f t="shared" si="99"/>
        <v>0</v>
      </c>
      <c r="K2159" s="369">
        <f t="shared" si="101"/>
        <v>6</v>
      </c>
      <c r="L2159" s="369">
        <f>+IF((C2159&gt;='Resultats - informe'!$E$16)*(C2159&lt;='Resultats - informe'!$G$16),1,0)</f>
        <v>1</v>
      </c>
      <c r="M2159" s="369" cm="1">
        <f t="array" ref="M2159">+_xlfn.IFS((C2159&gt;='Resultats - informe'!$D$26)*(C2159&lt;='Resultats - informe'!$E$26),0,(C2159&gt;='Resultats - informe'!$D$27)*(C2159&lt;='Resultats - informe'!$E$27),0,(C2159&gt;='Resultats - informe'!$D$28)*(C2159&lt;='Resultats - informe'!$E$28),0,(C2159&gt;='Resultats - informe'!$D$29)*(C2159&lt;='Resultats - informe'!$E$29),0,1,1)</f>
        <v>0</v>
      </c>
      <c r="N2159" s="366">
        <f>+VLOOKUP(D2159,'Resultats - informe'!$Y$18:$AG$42,'Introducció dades consum'!K2159+1,0)</f>
        <v>0</v>
      </c>
      <c r="O2159" s="370" cm="1">
        <f t="array" ref="O2159">+_xlfn.SWITCH(MONTH(C2159),1,1,2,1,3,1,4,2,5,2,6,3,7,3,8,3,9,3,10,2,11,2,12,1,2)</f>
        <v>1</v>
      </c>
      <c r="P2159" s="43"/>
    </row>
    <row r="2160" spans="1:16" ht="18" x14ac:dyDescent="0.35">
      <c r="A2160" s="43"/>
      <c r="C2160" s="393"/>
      <c r="E2160" s="394"/>
      <c r="F2160" s="394">
        <v>0</v>
      </c>
      <c r="G2160" s="394"/>
      <c r="H2160" s="8" t="s">
        <v>235</v>
      </c>
      <c r="I2160" s="368">
        <f t="shared" si="100"/>
        <v>0</v>
      </c>
      <c r="J2160" s="365">
        <f t="shared" si="99"/>
        <v>0</v>
      </c>
      <c r="K2160" s="369">
        <f t="shared" si="101"/>
        <v>6</v>
      </c>
      <c r="L2160" s="369">
        <f>+IF((C2160&gt;='Resultats - informe'!$E$16)*(C2160&lt;='Resultats - informe'!$G$16),1,0)</f>
        <v>1</v>
      </c>
      <c r="M2160" s="369" cm="1">
        <f t="array" ref="M2160">+_xlfn.IFS((C2160&gt;='Resultats - informe'!$D$26)*(C2160&lt;='Resultats - informe'!$E$26),0,(C2160&gt;='Resultats - informe'!$D$27)*(C2160&lt;='Resultats - informe'!$E$27),0,(C2160&gt;='Resultats - informe'!$D$28)*(C2160&lt;='Resultats - informe'!$E$28),0,(C2160&gt;='Resultats - informe'!$D$29)*(C2160&lt;='Resultats - informe'!$E$29),0,1,1)</f>
        <v>0</v>
      </c>
      <c r="N2160" s="366">
        <f>+VLOOKUP(D2160,'Resultats - informe'!$Y$18:$AG$42,'Introducció dades consum'!K2160+1,0)</f>
        <v>0</v>
      </c>
      <c r="O2160" s="370" cm="1">
        <f t="array" ref="O2160">+_xlfn.SWITCH(MONTH(C2160),1,1,2,1,3,1,4,2,5,2,6,3,7,3,8,3,9,3,10,2,11,2,12,1,2)</f>
        <v>1</v>
      </c>
      <c r="P2160" s="43"/>
    </row>
    <row r="2161" spans="1:16" ht="18" x14ac:dyDescent="0.35">
      <c r="A2161" s="43"/>
      <c r="C2161" s="393"/>
      <c r="E2161" s="394"/>
      <c r="F2161" s="394">
        <v>0</v>
      </c>
      <c r="G2161" s="394"/>
      <c r="H2161" s="8" t="s">
        <v>235</v>
      </c>
      <c r="I2161" s="368">
        <f t="shared" si="100"/>
        <v>0</v>
      </c>
      <c r="J2161" s="365">
        <f t="shared" si="99"/>
        <v>0</v>
      </c>
      <c r="K2161" s="369">
        <f t="shared" si="101"/>
        <v>6</v>
      </c>
      <c r="L2161" s="369">
        <f>+IF((C2161&gt;='Resultats - informe'!$E$16)*(C2161&lt;='Resultats - informe'!$G$16),1,0)</f>
        <v>1</v>
      </c>
      <c r="M2161" s="369" cm="1">
        <f t="array" ref="M2161">+_xlfn.IFS((C2161&gt;='Resultats - informe'!$D$26)*(C2161&lt;='Resultats - informe'!$E$26),0,(C2161&gt;='Resultats - informe'!$D$27)*(C2161&lt;='Resultats - informe'!$E$27),0,(C2161&gt;='Resultats - informe'!$D$28)*(C2161&lt;='Resultats - informe'!$E$28),0,(C2161&gt;='Resultats - informe'!$D$29)*(C2161&lt;='Resultats - informe'!$E$29),0,1,1)</f>
        <v>0</v>
      </c>
      <c r="N2161" s="366">
        <f>+VLOOKUP(D2161,'Resultats - informe'!$Y$18:$AG$42,'Introducció dades consum'!K2161+1,0)</f>
        <v>0</v>
      </c>
      <c r="O2161" s="370" cm="1">
        <f t="array" ref="O2161">+_xlfn.SWITCH(MONTH(C2161),1,1,2,1,3,1,4,2,5,2,6,3,7,3,8,3,9,3,10,2,11,2,12,1,2)</f>
        <v>1</v>
      </c>
      <c r="P2161" s="43"/>
    </row>
    <row r="2162" spans="1:16" ht="18" x14ac:dyDescent="0.35">
      <c r="A2162" s="43"/>
      <c r="C2162" s="393"/>
      <c r="E2162" s="394"/>
      <c r="F2162" s="394">
        <v>0</v>
      </c>
      <c r="G2162" s="394"/>
      <c r="H2162" s="8" t="s">
        <v>235</v>
      </c>
      <c r="I2162" s="368">
        <f t="shared" si="100"/>
        <v>0</v>
      </c>
      <c r="J2162" s="365">
        <f t="shared" si="99"/>
        <v>0</v>
      </c>
      <c r="K2162" s="369">
        <f t="shared" si="101"/>
        <v>6</v>
      </c>
      <c r="L2162" s="369">
        <f>+IF((C2162&gt;='Resultats - informe'!$E$16)*(C2162&lt;='Resultats - informe'!$G$16),1,0)</f>
        <v>1</v>
      </c>
      <c r="M2162" s="369" cm="1">
        <f t="array" ref="M2162">+_xlfn.IFS((C2162&gt;='Resultats - informe'!$D$26)*(C2162&lt;='Resultats - informe'!$E$26),0,(C2162&gt;='Resultats - informe'!$D$27)*(C2162&lt;='Resultats - informe'!$E$27),0,(C2162&gt;='Resultats - informe'!$D$28)*(C2162&lt;='Resultats - informe'!$E$28),0,(C2162&gt;='Resultats - informe'!$D$29)*(C2162&lt;='Resultats - informe'!$E$29),0,1,1)</f>
        <v>0</v>
      </c>
      <c r="N2162" s="366">
        <f>+VLOOKUP(D2162,'Resultats - informe'!$Y$18:$AG$42,'Introducció dades consum'!K2162+1,0)</f>
        <v>0</v>
      </c>
      <c r="O2162" s="370" cm="1">
        <f t="array" ref="O2162">+_xlfn.SWITCH(MONTH(C2162),1,1,2,1,3,1,4,2,5,2,6,3,7,3,8,3,9,3,10,2,11,2,12,1,2)</f>
        <v>1</v>
      </c>
      <c r="P2162" s="43"/>
    </row>
    <row r="2163" spans="1:16" ht="18" x14ac:dyDescent="0.35">
      <c r="A2163" s="43"/>
      <c r="C2163" s="393"/>
      <c r="E2163" s="394"/>
      <c r="F2163" s="394">
        <v>0</v>
      </c>
      <c r="G2163" s="394"/>
      <c r="H2163" s="8" t="s">
        <v>235</v>
      </c>
      <c r="I2163" s="368">
        <f t="shared" si="100"/>
        <v>0</v>
      </c>
      <c r="J2163" s="365">
        <f t="shared" si="99"/>
        <v>0</v>
      </c>
      <c r="K2163" s="369">
        <f t="shared" si="101"/>
        <v>6</v>
      </c>
      <c r="L2163" s="369">
        <f>+IF((C2163&gt;='Resultats - informe'!$E$16)*(C2163&lt;='Resultats - informe'!$G$16),1,0)</f>
        <v>1</v>
      </c>
      <c r="M2163" s="369" cm="1">
        <f t="array" ref="M2163">+_xlfn.IFS((C2163&gt;='Resultats - informe'!$D$26)*(C2163&lt;='Resultats - informe'!$E$26),0,(C2163&gt;='Resultats - informe'!$D$27)*(C2163&lt;='Resultats - informe'!$E$27),0,(C2163&gt;='Resultats - informe'!$D$28)*(C2163&lt;='Resultats - informe'!$E$28),0,(C2163&gt;='Resultats - informe'!$D$29)*(C2163&lt;='Resultats - informe'!$E$29),0,1,1)</f>
        <v>0</v>
      </c>
      <c r="N2163" s="366">
        <f>+VLOOKUP(D2163,'Resultats - informe'!$Y$18:$AG$42,'Introducció dades consum'!K2163+1,0)</f>
        <v>0</v>
      </c>
      <c r="O2163" s="370" cm="1">
        <f t="array" ref="O2163">+_xlfn.SWITCH(MONTH(C2163),1,1,2,1,3,1,4,2,5,2,6,3,7,3,8,3,9,3,10,2,11,2,12,1,2)</f>
        <v>1</v>
      </c>
      <c r="P2163" s="43"/>
    </row>
    <row r="2164" spans="1:16" ht="18" x14ac:dyDescent="0.35">
      <c r="A2164" s="43"/>
      <c r="C2164" s="393"/>
      <c r="E2164" s="394"/>
      <c r="F2164" s="394">
        <v>0</v>
      </c>
      <c r="G2164" s="394"/>
      <c r="H2164" s="8" t="s">
        <v>235</v>
      </c>
      <c r="I2164" s="368">
        <f t="shared" si="100"/>
        <v>0</v>
      </c>
      <c r="J2164" s="365">
        <f t="shared" si="99"/>
        <v>0</v>
      </c>
      <c r="K2164" s="369">
        <f t="shared" si="101"/>
        <v>6</v>
      </c>
      <c r="L2164" s="369">
        <f>+IF((C2164&gt;='Resultats - informe'!$E$16)*(C2164&lt;='Resultats - informe'!$G$16),1,0)</f>
        <v>1</v>
      </c>
      <c r="M2164" s="369" cm="1">
        <f t="array" ref="M2164">+_xlfn.IFS((C2164&gt;='Resultats - informe'!$D$26)*(C2164&lt;='Resultats - informe'!$E$26),0,(C2164&gt;='Resultats - informe'!$D$27)*(C2164&lt;='Resultats - informe'!$E$27),0,(C2164&gt;='Resultats - informe'!$D$28)*(C2164&lt;='Resultats - informe'!$E$28),0,(C2164&gt;='Resultats - informe'!$D$29)*(C2164&lt;='Resultats - informe'!$E$29),0,1,1)</f>
        <v>0</v>
      </c>
      <c r="N2164" s="366">
        <f>+VLOOKUP(D2164,'Resultats - informe'!$Y$18:$AG$42,'Introducció dades consum'!K2164+1,0)</f>
        <v>0</v>
      </c>
      <c r="O2164" s="370" cm="1">
        <f t="array" ref="O2164">+_xlfn.SWITCH(MONTH(C2164),1,1,2,1,3,1,4,2,5,2,6,3,7,3,8,3,9,3,10,2,11,2,12,1,2)</f>
        <v>1</v>
      </c>
      <c r="P2164" s="43"/>
    </row>
    <row r="2165" spans="1:16" ht="18" x14ac:dyDescent="0.35">
      <c r="A2165" s="43"/>
      <c r="C2165" s="393"/>
      <c r="E2165" s="394"/>
      <c r="F2165" s="394">
        <v>0</v>
      </c>
      <c r="G2165" s="394"/>
      <c r="H2165" s="8" t="s">
        <v>61</v>
      </c>
      <c r="I2165" s="368">
        <f t="shared" si="100"/>
        <v>0</v>
      </c>
      <c r="J2165" s="365">
        <f t="shared" si="99"/>
        <v>0</v>
      </c>
      <c r="K2165" s="369">
        <f t="shared" si="101"/>
        <v>6</v>
      </c>
      <c r="L2165" s="369">
        <f>+IF((C2165&gt;='Resultats - informe'!$E$16)*(C2165&lt;='Resultats - informe'!$G$16),1,0)</f>
        <v>1</v>
      </c>
      <c r="M2165" s="369" cm="1">
        <f t="array" ref="M2165">+_xlfn.IFS((C2165&gt;='Resultats - informe'!$D$26)*(C2165&lt;='Resultats - informe'!$E$26),0,(C2165&gt;='Resultats - informe'!$D$27)*(C2165&lt;='Resultats - informe'!$E$27),0,(C2165&gt;='Resultats - informe'!$D$28)*(C2165&lt;='Resultats - informe'!$E$28),0,(C2165&gt;='Resultats - informe'!$D$29)*(C2165&lt;='Resultats - informe'!$E$29),0,1,1)</f>
        <v>0</v>
      </c>
      <c r="N2165" s="366">
        <f>+VLOOKUP(D2165,'Resultats - informe'!$Y$18:$AG$42,'Introducció dades consum'!K2165+1,0)</f>
        <v>0</v>
      </c>
      <c r="O2165" s="370" cm="1">
        <f t="array" ref="O2165">+_xlfn.SWITCH(MONTH(C2165),1,1,2,1,3,1,4,2,5,2,6,3,7,3,8,3,9,3,10,2,11,2,12,1,2)</f>
        <v>1</v>
      </c>
      <c r="P2165" s="43"/>
    </row>
    <row r="2166" spans="1:16" ht="18" x14ac:dyDescent="0.35">
      <c r="A2166" s="43"/>
      <c r="C2166" s="393"/>
      <c r="E2166" s="394"/>
      <c r="F2166" s="394">
        <v>0</v>
      </c>
      <c r="G2166" s="394"/>
      <c r="H2166" s="8" t="s">
        <v>61</v>
      </c>
      <c r="I2166" s="368">
        <f t="shared" si="100"/>
        <v>0</v>
      </c>
      <c r="J2166" s="365">
        <f t="shared" si="99"/>
        <v>0</v>
      </c>
      <c r="K2166" s="369">
        <f t="shared" si="101"/>
        <v>6</v>
      </c>
      <c r="L2166" s="369">
        <f>+IF((C2166&gt;='Resultats - informe'!$E$16)*(C2166&lt;='Resultats - informe'!$G$16),1,0)</f>
        <v>1</v>
      </c>
      <c r="M2166" s="369" cm="1">
        <f t="array" ref="M2166">+_xlfn.IFS((C2166&gt;='Resultats - informe'!$D$26)*(C2166&lt;='Resultats - informe'!$E$26),0,(C2166&gt;='Resultats - informe'!$D$27)*(C2166&lt;='Resultats - informe'!$E$27),0,(C2166&gt;='Resultats - informe'!$D$28)*(C2166&lt;='Resultats - informe'!$E$28),0,(C2166&gt;='Resultats - informe'!$D$29)*(C2166&lt;='Resultats - informe'!$E$29),0,1,1)</f>
        <v>0</v>
      </c>
      <c r="N2166" s="366">
        <f>+VLOOKUP(D2166,'Resultats - informe'!$Y$18:$AG$42,'Introducció dades consum'!K2166+1,0)</f>
        <v>0</v>
      </c>
      <c r="O2166" s="370" cm="1">
        <f t="array" ref="O2166">+_xlfn.SWITCH(MONTH(C2166),1,1,2,1,3,1,4,2,5,2,6,3,7,3,8,3,9,3,10,2,11,2,12,1,2)</f>
        <v>1</v>
      </c>
      <c r="P2166" s="43"/>
    </row>
    <row r="2167" spans="1:16" ht="18" x14ac:dyDescent="0.35">
      <c r="A2167" s="43"/>
      <c r="C2167" s="393"/>
      <c r="E2167" s="394"/>
      <c r="F2167" s="394">
        <v>0</v>
      </c>
      <c r="G2167" s="394"/>
      <c r="H2167" s="8" t="s">
        <v>235</v>
      </c>
      <c r="I2167" s="368">
        <f t="shared" si="100"/>
        <v>0</v>
      </c>
      <c r="J2167" s="365">
        <f t="shared" si="99"/>
        <v>0</v>
      </c>
      <c r="K2167" s="369">
        <f t="shared" si="101"/>
        <v>6</v>
      </c>
      <c r="L2167" s="369">
        <f>+IF((C2167&gt;='Resultats - informe'!$E$16)*(C2167&lt;='Resultats - informe'!$G$16),1,0)</f>
        <v>1</v>
      </c>
      <c r="M2167" s="369" cm="1">
        <f t="array" ref="M2167">+_xlfn.IFS((C2167&gt;='Resultats - informe'!$D$26)*(C2167&lt;='Resultats - informe'!$E$26),0,(C2167&gt;='Resultats - informe'!$D$27)*(C2167&lt;='Resultats - informe'!$E$27),0,(C2167&gt;='Resultats - informe'!$D$28)*(C2167&lt;='Resultats - informe'!$E$28),0,(C2167&gt;='Resultats - informe'!$D$29)*(C2167&lt;='Resultats - informe'!$E$29),0,1,1)</f>
        <v>0</v>
      </c>
      <c r="N2167" s="366">
        <f>+VLOOKUP(D2167,'Resultats - informe'!$Y$18:$AG$42,'Introducció dades consum'!K2167+1,0)</f>
        <v>0</v>
      </c>
      <c r="O2167" s="370" cm="1">
        <f t="array" ref="O2167">+_xlfn.SWITCH(MONTH(C2167),1,1,2,1,3,1,4,2,5,2,6,3,7,3,8,3,9,3,10,2,11,2,12,1,2)</f>
        <v>1</v>
      </c>
      <c r="P2167" s="43"/>
    </row>
    <row r="2168" spans="1:16" ht="18" x14ac:dyDescent="0.35">
      <c r="A2168" s="43"/>
      <c r="C2168" s="393"/>
      <c r="E2168" s="394"/>
      <c r="F2168" s="394">
        <v>0</v>
      </c>
      <c r="G2168" s="394"/>
      <c r="H2168" s="8" t="s">
        <v>235</v>
      </c>
      <c r="I2168" s="368">
        <f t="shared" si="100"/>
        <v>0</v>
      </c>
      <c r="J2168" s="365">
        <f t="shared" si="99"/>
        <v>0</v>
      </c>
      <c r="K2168" s="369">
        <f t="shared" si="101"/>
        <v>6</v>
      </c>
      <c r="L2168" s="369">
        <f>+IF((C2168&gt;='Resultats - informe'!$E$16)*(C2168&lt;='Resultats - informe'!$G$16),1,0)</f>
        <v>1</v>
      </c>
      <c r="M2168" s="369" cm="1">
        <f t="array" ref="M2168">+_xlfn.IFS((C2168&gt;='Resultats - informe'!$D$26)*(C2168&lt;='Resultats - informe'!$E$26),0,(C2168&gt;='Resultats - informe'!$D$27)*(C2168&lt;='Resultats - informe'!$E$27),0,(C2168&gt;='Resultats - informe'!$D$28)*(C2168&lt;='Resultats - informe'!$E$28),0,(C2168&gt;='Resultats - informe'!$D$29)*(C2168&lt;='Resultats - informe'!$E$29),0,1,1)</f>
        <v>0</v>
      </c>
      <c r="N2168" s="366">
        <f>+VLOOKUP(D2168,'Resultats - informe'!$Y$18:$AG$42,'Introducció dades consum'!K2168+1,0)</f>
        <v>0</v>
      </c>
      <c r="O2168" s="370" cm="1">
        <f t="array" ref="O2168">+_xlfn.SWITCH(MONTH(C2168),1,1,2,1,3,1,4,2,5,2,6,3,7,3,8,3,9,3,10,2,11,2,12,1,2)</f>
        <v>1</v>
      </c>
      <c r="P2168" s="43"/>
    </row>
    <row r="2169" spans="1:16" ht="18" x14ac:dyDescent="0.35">
      <c r="A2169" s="43"/>
      <c r="C2169" s="393"/>
      <c r="E2169" s="394"/>
      <c r="F2169" s="394">
        <v>0</v>
      </c>
      <c r="G2169" s="394"/>
      <c r="H2169" s="8" t="s">
        <v>235</v>
      </c>
      <c r="I2169" s="368">
        <f t="shared" si="100"/>
        <v>0</v>
      </c>
      <c r="J2169" s="365">
        <f t="shared" si="99"/>
        <v>0</v>
      </c>
      <c r="K2169" s="369">
        <f t="shared" si="101"/>
        <v>6</v>
      </c>
      <c r="L2169" s="369">
        <f>+IF((C2169&gt;='Resultats - informe'!$E$16)*(C2169&lt;='Resultats - informe'!$G$16),1,0)</f>
        <v>1</v>
      </c>
      <c r="M2169" s="369" cm="1">
        <f t="array" ref="M2169">+_xlfn.IFS((C2169&gt;='Resultats - informe'!$D$26)*(C2169&lt;='Resultats - informe'!$E$26),0,(C2169&gt;='Resultats - informe'!$D$27)*(C2169&lt;='Resultats - informe'!$E$27),0,(C2169&gt;='Resultats - informe'!$D$28)*(C2169&lt;='Resultats - informe'!$E$28),0,(C2169&gt;='Resultats - informe'!$D$29)*(C2169&lt;='Resultats - informe'!$E$29),0,1,1)</f>
        <v>0</v>
      </c>
      <c r="N2169" s="366">
        <f>+VLOOKUP(D2169,'Resultats - informe'!$Y$18:$AG$42,'Introducció dades consum'!K2169+1,0)</f>
        <v>0</v>
      </c>
      <c r="O2169" s="370" cm="1">
        <f t="array" ref="O2169">+_xlfn.SWITCH(MONTH(C2169),1,1,2,1,3,1,4,2,5,2,6,3,7,3,8,3,9,3,10,2,11,2,12,1,2)</f>
        <v>1</v>
      </c>
      <c r="P2169" s="43"/>
    </row>
    <row r="2170" spans="1:16" ht="18" x14ac:dyDescent="0.35">
      <c r="A2170" s="43"/>
      <c r="C2170" s="393"/>
      <c r="E2170" s="394"/>
      <c r="F2170" s="394">
        <v>0</v>
      </c>
      <c r="G2170" s="394"/>
      <c r="H2170" s="8" t="s">
        <v>61</v>
      </c>
      <c r="I2170" s="368">
        <f t="shared" si="100"/>
        <v>0</v>
      </c>
      <c r="J2170" s="365">
        <f t="shared" si="99"/>
        <v>0</v>
      </c>
      <c r="K2170" s="369">
        <f t="shared" si="101"/>
        <v>6</v>
      </c>
      <c r="L2170" s="369">
        <f>+IF((C2170&gt;='Resultats - informe'!$E$16)*(C2170&lt;='Resultats - informe'!$G$16),1,0)</f>
        <v>1</v>
      </c>
      <c r="M2170" s="369" cm="1">
        <f t="array" ref="M2170">+_xlfn.IFS((C2170&gt;='Resultats - informe'!$D$26)*(C2170&lt;='Resultats - informe'!$E$26),0,(C2170&gt;='Resultats - informe'!$D$27)*(C2170&lt;='Resultats - informe'!$E$27),0,(C2170&gt;='Resultats - informe'!$D$28)*(C2170&lt;='Resultats - informe'!$E$28),0,(C2170&gt;='Resultats - informe'!$D$29)*(C2170&lt;='Resultats - informe'!$E$29),0,1,1)</f>
        <v>0</v>
      </c>
      <c r="N2170" s="366">
        <f>+VLOOKUP(D2170,'Resultats - informe'!$Y$18:$AG$42,'Introducció dades consum'!K2170+1,0)</f>
        <v>0</v>
      </c>
      <c r="O2170" s="370" cm="1">
        <f t="array" ref="O2170">+_xlfn.SWITCH(MONTH(C2170),1,1,2,1,3,1,4,2,5,2,6,3,7,3,8,3,9,3,10,2,11,2,12,1,2)</f>
        <v>1</v>
      </c>
      <c r="P2170" s="43"/>
    </row>
    <row r="2171" spans="1:16" ht="18" x14ac:dyDescent="0.35">
      <c r="A2171" s="43"/>
      <c r="C2171" s="393"/>
      <c r="E2171" s="394"/>
      <c r="F2171" s="394">
        <v>0</v>
      </c>
      <c r="G2171" s="394"/>
      <c r="H2171" s="8" t="s">
        <v>61</v>
      </c>
      <c r="I2171" s="368">
        <f t="shared" si="100"/>
        <v>0</v>
      </c>
      <c r="J2171" s="365">
        <f t="shared" ref="J2171:J2234" si="102">+C2171</f>
        <v>0</v>
      </c>
      <c r="K2171" s="369">
        <f t="shared" si="101"/>
        <v>6</v>
      </c>
      <c r="L2171" s="369">
        <f>+IF((C2171&gt;='Resultats - informe'!$E$16)*(C2171&lt;='Resultats - informe'!$G$16),1,0)</f>
        <v>1</v>
      </c>
      <c r="M2171" s="369" cm="1">
        <f t="array" ref="M2171">+_xlfn.IFS((C2171&gt;='Resultats - informe'!$D$26)*(C2171&lt;='Resultats - informe'!$E$26),0,(C2171&gt;='Resultats - informe'!$D$27)*(C2171&lt;='Resultats - informe'!$E$27),0,(C2171&gt;='Resultats - informe'!$D$28)*(C2171&lt;='Resultats - informe'!$E$28),0,(C2171&gt;='Resultats - informe'!$D$29)*(C2171&lt;='Resultats - informe'!$E$29),0,1,1)</f>
        <v>0</v>
      </c>
      <c r="N2171" s="366">
        <f>+VLOOKUP(D2171,'Resultats - informe'!$Y$18:$AG$42,'Introducció dades consum'!K2171+1,0)</f>
        <v>0</v>
      </c>
      <c r="O2171" s="370" cm="1">
        <f t="array" ref="O2171">+_xlfn.SWITCH(MONTH(C2171),1,1,2,1,3,1,4,2,5,2,6,3,7,3,8,3,9,3,10,2,11,2,12,1,2)</f>
        <v>1</v>
      </c>
      <c r="P2171" s="43"/>
    </row>
    <row r="2172" spans="1:16" ht="18" x14ac:dyDescent="0.35">
      <c r="A2172" s="43"/>
      <c r="C2172" s="393"/>
      <c r="E2172" s="394"/>
      <c r="F2172" s="394">
        <v>1.7210000000000001</v>
      </c>
      <c r="G2172" s="394"/>
      <c r="H2172" s="8" t="s">
        <v>235</v>
      </c>
      <c r="I2172" s="368">
        <f t="shared" si="100"/>
        <v>0</v>
      </c>
      <c r="J2172" s="365">
        <f t="shared" si="102"/>
        <v>0</v>
      </c>
      <c r="K2172" s="369">
        <f t="shared" si="101"/>
        <v>6</v>
      </c>
      <c r="L2172" s="369">
        <f>+IF((C2172&gt;='Resultats - informe'!$E$16)*(C2172&lt;='Resultats - informe'!$G$16),1,0)</f>
        <v>1</v>
      </c>
      <c r="M2172" s="369" cm="1">
        <f t="array" ref="M2172">+_xlfn.IFS((C2172&gt;='Resultats - informe'!$D$26)*(C2172&lt;='Resultats - informe'!$E$26),0,(C2172&gt;='Resultats - informe'!$D$27)*(C2172&lt;='Resultats - informe'!$E$27),0,(C2172&gt;='Resultats - informe'!$D$28)*(C2172&lt;='Resultats - informe'!$E$28),0,(C2172&gt;='Resultats - informe'!$D$29)*(C2172&lt;='Resultats - informe'!$E$29),0,1,1)</f>
        <v>0</v>
      </c>
      <c r="N2172" s="366">
        <f>+VLOOKUP(D2172,'Resultats - informe'!$Y$18:$AG$42,'Introducció dades consum'!K2172+1,0)</f>
        <v>0</v>
      </c>
      <c r="O2172" s="370" cm="1">
        <f t="array" ref="O2172">+_xlfn.SWITCH(MONTH(C2172),1,1,2,1,3,1,4,2,5,2,6,3,7,3,8,3,9,3,10,2,11,2,12,1,2)</f>
        <v>1</v>
      </c>
      <c r="P2172" s="43"/>
    </row>
    <row r="2173" spans="1:16" ht="18" x14ac:dyDescent="0.35">
      <c r="A2173" s="43"/>
      <c r="C2173" s="393"/>
      <c r="E2173" s="394"/>
      <c r="F2173" s="394">
        <v>2.7810000000000001</v>
      </c>
      <c r="G2173" s="394"/>
      <c r="H2173" s="8" t="s">
        <v>235</v>
      </c>
      <c r="I2173" s="368">
        <f t="shared" si="100"/>
        <v>0</v>
      </c>
      <c r="J2173" s="365">
        <f t="shared" si="102"/>
        <v>0</v>
      </c>
      <c r="K2173" s="369">
        <f t="shared" si="101"/>
        <v>6</v>
      </c>
      <c r="L2173" s="369">
        <f>+IF((C2173&gt;='Resultats - informe'!$E$16)*(C2173&lt;='Resultats - informe'!$G$16),1,0)</f>
        <v>1</v>
      </c>
      <c r="M2173" s="369" cm="1">
        <f t="array" ref="M2173">+_xlfn.IFS((C2173&gt;='Resultats - informe'!$D$26)*(C2173&lt;='Resultats - informe'!$E$26),0,(C2173&gt;='Resultats - informe'!$D$27)*(C2173&lt;='Resultats - informe'!$E$27),0,(C2173&gt;='Resultats - informe'!$D$28)*(C2173&lt;='Resultats - informe'!$E$28),0,(C2173&gt;='Resultats - informe'!$D$29)*(C2173&lt;='Resultats - informe'!$E$29),0,1,1)</f>
        <v>0</v>
      </c>
      <c r="N2173" s="366">
        <f>+VLOOKUP(D2173,'Resultats - informe'!$Y$18:$AG$42,'Introducció dades consum'!K2173+1,0)</f>
        <v>0</v>
      </c>
      <c r="O2173" s="370" cm="1">
        <f t="array" ref="O2173">+_xlfn.SWITCH(MONTH(C2173),1,1,2,1,3,1,4,2,5,2,6,3,7,3,8,3,9,3,10,2,11,2,12,1,2)</f>
        <v>1</v>
      </c>
      <c r="P2173" s="43"/>
    </row>
    <row r="2174" spans="1:16" ht="18" x14ac:dyDescent="0.35">
      <c r="A2174" s="43"/>
      <c r="C2174" s="393"/>
      <c r="E2174" s="394"/>
      <c r="F2174" s="394">
        <v>1.673</v>
      </c>
      <c r="G2174" s="394"/>
      <c r="H2174" s="8" t="s">
        <v>61</v>
      </c>
      <c r="I2174" s="368">
        <f t="shared" si="100"/>
        <v>0</v>
      </c>
      <c r="J2174" s="365">
        <f t="shared" si="102"/>
        <v>0</v>
      </c>
      <c r="K2174" s="369">
        <f t="shared" si="101"/>
        <v>6</v>
      </c>
      <c r="L2174" s="369">
        <f>+IF((C2174&gt;='Resultats - informe'!$E$16)*(C2174&lt;='Resultats - informe'!$G$16),1,0)</f>
        <v>1</v>
      </c>
      <c r="M2174" s="369" cm="1">
        <f t="array" ref="M2174">+_xlfn.IFS((C2174&gt;='Resultats - informe'!$D$26)*(C2174&lt;='Resultats - informe'!$E$26),0,(C2174&gt;='Resultats - informe'!$D$27)*(C2174&lt;='Resultats - informe'!$E$27),0,(C2174&gt;='Resultats - informe'!$D$28)*(C2174&lt;='Resultats - informe'!$E$28),0,(C2174&gt;='Resultats - informe'!$D$29)*(C2174&lt;='Resultats - informe'!$E$29),0,1,1)</f>
        <v>0</v>
      </c>
      <c r="N2174" s="366">
        <f>+VLOOKUP(D2174,'Resultats - informe'!$Y$18:$AG$42,'Introducció dades consum'!K2174+1,0)</f>
        <v>0</v>
      </c>
      <c r="O2174" s="370" cm="1">
        <f t="array" ref="O2174">+_xlfn.SWITCH(MONTH(C2174),1,1,2,1,3,1,4,2,5,2,6,3,7,3,8,3,9,3,10,2,11,2,12,1,2)</f>
        <v>1</v>
      </c>
      <c r="P2174" s="43"/>
    </row>
    <row r="2175" spans="1:16" ht="18" x14ac:dyDescent="0.35">
      <c r="A2175" s="43"/>
      <c r="C2175" s="393"/>
      <c r="E2175" s="394"/>
      <c r="F2175" s="394">
        <v>3.57</v>
      </c>
      <c r="G2175" s="394"/>
      <c r="H2175" s="8" t="s">
        <v>61</v>
      </c>
      <c r="I2175" s="368">
        <f t="shared" si="100"/>
        <v>0</v>
      </c>
      <c r="J2175" s="365">
        <f t="shared" si="102"/>
        <v>0</v>
      </c>
      <c r="K2175" s="369">
        <f t="shared" si="101"/>
        <v>6</v>
      </c>
      <c r="L2175" s="369">
        <f>+IF((C2175&gt;='Resultats - informe'!$E$16)*(C2175&lt;='Resultats - informe'!$G$16),1,0)</f>
        <v>1</v>
      </c>
      <c r="M2175" s="369" cm="1">
        <f t="array" ref="M2175">+_xlfn.IFS((C2175&gt;='Resultats - informe'!$D$26)*(C2175&lt;='Resultats - informe'!$E$26),0,(C2175&gt;='Resultats - informe'!$D$27)*(C2175&lt;='Resultats - informe'!$E$27),0,(C2175&gt;='Resultats - informe'!$D$28)*(C2175&lt;='Resultats - informe'!$E$28),0,(C2175&gt;='Resultats - informe'!$D$29)*(C2175&lt;='Resultats - informe'!$E$29),0,1,1)</f>
        <v>0</v>
      </c>
      <c r="N2175" s="366">
        <f>+VLOOKUP(D2175,'Resultats - informe'!$Y$18:$AG$42,'Introducció dades consum'!K2175+1,0)</f>
        <v>0</v>
      </c>
      <c r="O2175" s="370" cm="1">
        <f t="array" ref="O2175">+_xlfn.SWITCH(MONTH(C2175),1,1,2,1,3,1,4,2,5,2,6,3,7,3,8,3,9,3,10,2,11,2,12,1,2)</f>
        <v>1</v>
      </c>
      <c r="P2175" s="43"/>
    </row>
    <row r="2176" spans="1:16" ht="18" x14ac:dyDescent="0.35">
      <c r="A2176" s="43"/>
      <c r="C2176" s="393"/>
      <c r="E2176" s="394"/>
      <c r="F2176" s="394">
        <v>5.2510000000000003</v>
      </c>
      <c r="G2176" s="394"/>
      <c r="H2176" s="8" t="s">
        <v>61</v>
      </c>
      <c r="I2176" s="368">
        <f t="shared" si="100"/>
        <v>0</v>
      </c>
      <c r="J2176" s="365">
        <f t="shared" si="102"/>
        <v>0</v>
      </c>
      <c r="K2176" s="369">
        <f t="shared" si="101"/>
        <v>6</v>
      </c>
      <c r="L2176" s="369">
        <f>+IF((C2176&gt;='Resultats - informe'!$E$16)*(C2176&lt;='Resultats - informe'!$G$16),1,0)</f>
        <v>1</v>
      </c>
      <c r="M2176" s="369" cm="1">
        <f t="array" ref="M2176">+_xlfn.IFS((C2176&gt;='Resultats - informe'!$D$26)*(C2176&lt;='Resultats - informe'!$E$26),0,(C2176&gt;='Resultats - informe'!$D$27)*(C2176&lt;='Resultats - informe'!$E$27),0,(C2176&gt;='Resultats - informe'!$D$28)*(C2176&lt;='Resultats - informe'!$E$28),0,(C2176&gt;='Resultats - informe'!$D$29)*(C2176&lt;='Resultats - informe'!$E$29),0,1,1)</f>
        <v>0</v>
      </c>
      <c r="N2176" s="366">
        <f>+VLOOKUP(D2176,'Resultats - informe'!$Y$18:$AG$42,'Introducció dades consum'!K2176+1,0)</f>
        <v>0</v>
      </c>
      <c r="O2176" s="370" cm="1">
        <f t="array" ref="O2176">+_xlfn.SWITCH(MONTH(C2176),1,1,2,1,3,1,4,2,5,2,6,3,7,3,8,3,9,3,10,2,11,2,12,1,2)</f>
        <v>1</v>
      </c>
      <c r="P2176" s="43"/>
    </row>
    <row r="2177" spans="1:16" ht="18" x14ac:dyDescent="0.35">
      <c r="A2177" s="43"/>
      <c r="C2177" s="393"/>
      <c r="E2177" s="394"/>
      <c r="F2177" s="394">
        <v>5.6550000000000002</v>
      </c>
      <c r="G2177" s="394"/>
      <c r="H2177" s="8" t="s">
        <v>61</v>
      </c>
      <c r="I2177" s="368">
        <f t="shared" si="100"/>
        <v>0</v>
      </c>
      <c r="J2177" s="365">
        <f t="shared" si="102"/>
        <v>0</v>
      </c>
      <c r="K2177" s="369">
        <f t="shared" si="101"/>
        <v>6</v>
      </c>
      <c r="L2177" s="369">
        <f>+IF((C2177&gt;='Resultats - informe'!$E$16)*(C2177&lt;='Resultats - informe'!$G$16),1,0)</f>
        <v>1</v>
      </c>
      <c r="M2177" s="369" cm="1">
        <f t="array" ref="M2177">+_xlfn.IFS((C2177&gt;='Resultats - informe'!$D$26)*(C2177&lt;='Resultats - informe'!$E$26),0,(C2177&gt;='Resultats - informe'!$D$27)*(C2177&lt;='Resultats - informe'!$E$27),0,(C2177&gt;='Resultats - informe'!$D$28)*(C2177&lt;='Resultats - informe'!$E$28),0,(C2177&gt;='Resultats - informe'!$D$29)*(C2177&lt;='Resultats - informe'!$E$29),0,1,1)</f>
        <v>0</v>
      </c>
      <c r="N2177" s="366">
        <f>+VLOOKUP(D2177,'Resultats - informe'!$Y$18:$AG$42,'Introducció dades consum'!K2177+1,0)</f>
        <v>0</v>
      </c>
      <c r="O2177" s="370" cm="1">
        <f t="array" ref="O2177">+_xlfn.SWITCH(MONTH(C2177),1,1,2,1,3,1,4,2,5,2,6,3,7,3,8,3,9,3,10,2,11,2,12,1,2)</f>
        <v>1</v>
      </c>
      <c r="P2177" s="43"/>
    </row>
    <row r="2178" spans="1:16" ht="18" x14ac:dyDescent="0.35">
      <c r="A2178" s="43"/>
      <c r="C2178" s="393"/>
      <c r="E2178" s="394"/>
      <c r="F2178" s="394">
        <v>2.8650000000000002</v>
      </c>
      <c r="G2178" s="394"/>
      <c r="H2178" s="8" t="s">
        <v>235</v>
      </c>
      <c r="I2178" s="368">
        <f t="shared" si="100"/>
        <v>0</v>
      </c>
      <c r="J2178" s="365">
        <f t="shared" si="102"/>
        <v>0</v>
      </c>
      <c r="K2178" s="369">
        <f t="shared" si="101"/>
        <v>6</v>
      </c>
      <c r="L2178" s="369">
        <f>+IF((C2178&gt;='Resultats - informe'!$E$16)*(C2178&lt;='Resultats - informe'!$G$16),1,0)</f>
        <v>1</v>
      </c>
      <c r="M2178" s="369" cm="1">
        <f t="array" ref="M2178">+_xlfn.IFS((C2178&gt;='Resultats - informe'!$D$26)*(C2178&lt;='Resultats - informe'!$E$26),0,(C2178&gt;='Resultats - informe'!$D$27)*(C2178&lt;='Resultats - informe'!$E$27),0,(C2178&gt;='Resultats - informe'!$D$28)*(C2178&lt;='Resultats - informe'!$E$28),0,(C2178&gt;='Resultats - informe'!$D$29)*(C2178&lt;='Resultats - informe'!$E$29),0,1,1)</f>
        <v>0</v>
      </c>
      <c r="N2178" s="366">
        <f>+VLOOKUP(D2178,'Resultats - informe'!$Y$18:$AG$42,'Introducció dades consum'!K2178+1,0)</f>
        <v>0</v>
      </c>
      <c r="O2178" s="370" cm="1">
        <f t="array" ref="O2178">+_xlfn.SWITCH(MONTH(C2178),1,1,2,1,3,1,4,2,5,2,6,3,7,3,8,3,9,3,10,2,11,2,12,1,2)</f>
        <v>1</v>
      </c>
      <c r="P2178" s="43"/>
    </row>
    <row r="2179" spans="1:16" ht="18" x14ac:dyDescent="0.35">
      <c r="A2179" s="43"/>
      <c r="C2179" s="393"/>
      <c r="E2179" s="394"/>
      <c r="F2179" s="394">
        <v>2.0550000000000002</v>
      </c>
      <c r="G2179" s="394"/>
      <c r="H2179" s="8" t="s">
        <v>235</v>
      </c>
      <c r="I2179" s="368">
        <f t="shared" si="100"/>
        <v>0</v>
      </c>
      <c r="J2179" s="365">
        <f t="shared" si="102"/>
        <v>0</v>
      </c>
      <c r="K2179" s="369">
        <f t="shared" si="101"/>
        <v>6</v>
      </c>
      <c r="L2179" s="369">
        <f>+IF((C2179&gt;='Resultats - informe'!$E$16)*(C2179&lt;='Resultats - informe'!$G$16),1,0)</f>
        <v>1</v>
      </c>
      <c r="M2179" s="369" cm="1">
        <f t="array" ref="M2179">+_xlfn.IFS((C2179&gt;='Resultats - informe'!$D$26)*(C2179&lt;='Resultats - informe'!$E$26),0,(C2179&gt;='Resultats - informe'!$D$27)*(C2179&lt;='Resultats - informe'!$E$27),0,(C2179&gt;='Resultats - informe'!$D$28)*(C2179&lt;='Resultats - informe'!$E$28),0,(C2179&gt;='Resultats - informe'!$D$29)*(C2179&lt;='Resultats - informe'!$E$29),0,1,1)</f>
        <v>0</v>
      </c>
      <c r="N2179" s="366">
        <f>+VLOOKUP(D2179,'Resultats - informe'!$Y$18:$AG$42,'Introducció dades consum'!K2179+1,0)</f>
        <v>0</v>
      </c>
      <c r="O2179" s="370" cm="1">
        <f t="array" ref="O2179">+_xlfn.SWITCH(MONTH(C2179),1,1,2,1,3,1,4,2,5,2,6,3,7,3,8,3,9,3,10,2,11,2,12,1,2)</f>
        <v>1</v>
      </c>
      <c r="P2179" s="43"/>
    </row>
    <row r="2180" spans="1:16" ht="18" x14ac:dyDescent="0.35">
      <c r="A2180" s="43"/>
      <c r="C2180" s="393"/>
      <c r="E2180" s="394"/>
      <c r="F2180" s="394">
        <v>0.158</v>
      </c>
      <c r="G2180" s="394"/>
      <c r="H2180" s="8" t="s">
        <v>235</v>
      </c>
      <c r="I2180" s="368">
        <f t="shared" si="100"/>
        <v>0</v>
      </c>
      <c r="J2180" s="365">
        <f t="shared" si="102"/>
        <v>0</v>
      </c>
      <c r="K2180" s="369">
        <f t="shared" si="101"/>
        <v>6</v>
      </c>
      <c r="L2180" s="369">
        <f>+IF((C2180&gt;='Resultats - informe'!$E$16)*(C2180&lt;='Resultats - informe'!$G$16),1,0)</f>
        <v>1</v>
      </c>
      <c r="M2180" s="369" cm="1">
        <f t="array" ref="M2180">+_xlfn.IFS((C2180&gt;='Resultats - informe'!$D$26)*(C2180&lt;='Resultats - informe'!$E$26),0,(C2180&gt;='Resultats - informe'!$D$27)*(C2180&lt;='Resultats - informe'!$E$27),0,(C2180&gt;='Resultats - informe'!$D$28)*(C2180&lt;='Resultats - informe'!$E$28),0,(C2180&gt;='Resultats - informe'!$D$29)*(C2180&lt;='Resultats - informe'!$E$29),0,1,1)</f>
        <v>0</v>
      </c>
      <c r="N2180" s="366">
        <f>+VLOOKUP(D2180,'Resultats - informe'!$Y$18:$AG$42,'Introducció dades consum'!K2180+1,0)</f>
        <v>0</v>
      </c>
      <c r="O2180" s="370" cm="1">
        <f t="array" ref="O2180">+_xlfn.SWITCH(MONTH(C2180),1,1,2,1,3,1,4,2,5,2,6,3,7,3,8,3,9,3,10,2,11,2,12,1,2)</f>
        <v>1</v>
      </c>
      <c r="P2180" s="43"/>
    </row>
    <row r="2181" spans="1:16" ht="18" x14ac:dyDescent="0.35">
      <c r="A2181" s="43"/>
      <c r="C2181" s="393"/>
      <c r="E2181" s="394"/>
      <c r="F2181" s="394">
        <v>0</v>
      </c>
      <c r="G2181" s="394"/>
      <c r="H2181" s="8" t="s">
        <v>235</v>
      </c>
      <c r="I2181" s="368">
        <f t="shared" si="100"/>
        <v>0</v>
      </c>
      <c r="J2181" s="365">
        <f t="shared" si="102"/>
        <v>0</v>
      </c>
      <c r="K2181" s="369">
        <f t="shared" si="101"/>
        <v>6</v>
      </c>
      <c r="L2181" s="369">
        <f>+IF((C2181&gt;='Resultats - informe'!$E$16)*(C2181&lt;='Resultats - informe'!$G$16),1,0)</f>
        <v>1</v>
      </c>
      <c r="M2181" s="369" cm="1">
        <f t="array" ref="M2181">+_xlfn.IFS((C2181&gt;='Resultats - informe'!$D$26)*(C2181&lt;='Resultats - informe'!$E$26),0,(C2181&gt;='Resultats - informe'!$D$27)*(C2181&lt;='Resultats - informe'!$E$27),0,(C2181&gt;='Resultats - informe'!$D$28)*(C2181&lt;='Resultats - informe'!$E$28),0,(C2181&gt;='Resultats - informe'!$D$29)*(C2181&lt;='Resultats - informe'!$E$29),0,1,1)</f>
        <v>0</v>
      </c>
      <c r="N2181" s="366">
        <f>+VLOOKUP(D2181,'Resultats - informe'!$Y$18:$AG$42,'Introducció dades consum'!K2181+1,0)</f>
        <v>0</v>
      </c>
      <c r="O2181" s="370" cm="1">
        <f t="array" ref="O2181">+_xlfn.SWITCH(MONTH(C2181),1,1,2,1,3,1,4,2,5,2,6,3,7,3,8,3,9,3,10,2,11,2,12,1,2)</f>
        <v>1</v>
      </c>
      <c r="P2181" s="43"/>
    </row>
    <row r="2182" spans="1:16" ht="18" x14ac:dyDescent="0.35">
      <c r="A2182" s="43"/>
      <c r="C2182" s="393"/>
      <c r="E2182" s="394"/>
      <c r="F2182" s="394">
        <v>0</v>
      </c>
      <c r="G2182" s="394"/>
      <c r="H2182" s="8" t="s">
        <v>235</v>
      </c>
      <c r="I2182" s="368">
        <f t="shared" ref="I2182:I2245" si="103">+E2182+G2182</f>
        <v>0</v>
      </c>
      <c r="J2182" s="365">
        <f t="shared" si="102"/>
        <v>0</v>
      </c>
      <c r="K2182" s="369">
        <f t="shared" ref="K2182:K2245" si="104">+WEEKDAY(C2182,2)</f>
        <v>6</v>
      </c>
      <c r="L2182" s="369">
        <f>+IF((C2182&gt;='Resultats - informe'!$E$16)*(C2182&lt;='Resultats - informe'!$G$16),1,0)</f>
        <v>1</v>
      </c>
      <c r="M2182" s="369" cm="1">
        <f t="array" ref="M2182">+_xlfn.IFS((C2182&gt;='Resultats - informe'!$D$26)*(C2182&lt;='Resultats - informe'!$E$26),0,(C2182&gt;='Resultats - informe'!$D$27)*(C2182&lt;='Resultats - informe'!$E$27),0,(C2182&gt;='Resultats - informe'!$D$28)*(C2182&lt;='Resultats - informe'!$E$28),0,(C2182&gt;='Resultats - informe'!$D$29)*(C2182&lt;='Resultats - informe'!$E$29),0,1,1)</f>
        <v>0</v>
      </c>
      <c r="N2182" s="366">
        <f>+VLOOKUP(D2182,'Resultats - informe'!$Y$18:$AG$42,'Introducció dades consum'!K2182+1,0)</f>
        <v>0</v>
      </c>
      <c r="O2182" s="370" cm="1">
        <f t="array" ref="O2182">+_xlfn.SWITCH(MONTH(C2182),1,1,2,1,3,1,4,2,5,2,6,3,7,3,8,3,9,3,10,2,11,2,12,1,2)</f>
        <v>1</v>
      </c>
      <c r="P2182" s="43"/>
    </row>
    <row r="2183" spans="1:16" ht="18" x14ac:dyDescent="0.35">
      <c r="A2183" s="43"/>
      <c r="C2183" s="393"/>
      <c r="E2183" s="394"/>
      <c r="F2183" s="394">
        <v>0</v>
      </c>
      <c r="G2183" s="394"/>
      <c r="H2183" s="8" t="s">
        <v>235</v>
      </c>
      <c r="I2183" s="368">
        <f t="shared" si="103"/>
        <v>0</v>
      </c>
      <c r="J2183" s="365">
        <f t="shared" si="102"/>
        <v>0</v>
      </c>
      <c r="K2183" s="369">
        <f t="shared" si="104"/>
        <v>6</v>
      </c>
      <c r="L2183" s="369">
        <f>+IF((C2183&gt;='Resultats - informe'!$E$16)*(C2183&lt;='Resultats - informe'!$G$16),1,0)</f>
        <v>1</v>
      </c>
      <c r="M2183" s="369" cm="1">
        <f t="array" ref="M2183">+_xlfn.IFS((C2183&gt;='Resultats - informe'!$D$26)*(C2183&lt;='Resultats - informe'!$E$26),0,(C2183&gt;='Resultats - informe'!$D$27)*(C2183&lt;='Resultats - informe'!$E$27),0,(C2183&gt;='Resultats - informe'!$D$28)*(C2183&lt;='Resultats - informe'!$E$28),0,(C2183&gt;='Resultats - informe'!$D$29)*(C2183&lt;='Resultats - informe'!$E$29),0,1,1)</f>
        <v>0</v>
      </c>
      <c r="N2183" s="366">
        <f>+VLOOKUP(D2183,'Resultats - informe'!$Y$18:$AG$42,'Introducció dades consum'!K2183+1,0)</f>
        <v>0</v>
      </c>
      <c r="O2183" s="370" cm="1">
        <f t="array" ref="O2183">+_xlfn.SWITCH(MONTH(C2183),1,1,2,1,3,1,4,2,5,2,6,3,7,3,8,3,9,3,10,2,11,2,12,1,2)</f>
        <v>1</v>
      </c>
      <c r="P2183" s="43"/>
    </row>
    <row r="2184" spans="1:16" ht="18" x14ac:dyDescent="0.35">
      <c r="A2184" s="43"/>
      <c r="C2184" s="393"/>
      <c r="E2184" s="394"/>
      <c r="F2184" s="394">
        <v>0</v>
      </c>
      <c r="G2184" s="394"/>
      <c r="H2184" s="8" t="s">
        <v>61</v>
      </c>
      <c r="I2184" s="368">
        <f t="shared" si="103"/>
        <v>0</v>
      </c>
      <c r="J2184" s="365">
        <f t="shared" si="102"/>
        <v>0</v>
      </c>
      <c r="K2184" s="369">
        <f t="shared" si="104"/>
        <v>6</v>
      </c>
      <c r="L2184" s="369">
        <f>+IF((C2184&gt;='Resultats - informe'!$E$16)*(C2184&lt;='Resultats - informe'!$G$16),1,0)</f>
        <v>1</v>
      </c>
      <c r="M2184" s="369" cm="1">
        <f t="array" ref="M2184">+_xlfn.IFS((C2184&gt;='Resultats - informe'!$D$26)*(C2184&lt;='Resultats - informe'!$E$26),0,(C2184&gt;='Resultats - informe'!$D$27)*(C2184&lt;='Resultats - informe'!$E$27),0,(C2184&gt;='Resultats - informe'!$D$28)*(C2184&lt;='Resultats - informe'!$E$28),0,(C2184&gt;='Resultats - informe'!$D$29)*(C2184&lt;='Resultats - informe'!$E$29),0,1,1)</f>
        <v>0</v>
      </c>
      <c r="N2184" s="366">
        <f>+VLOOKUP(D2184,'Resultats - informe'!$Y$18:$AG$42,'Introducció dades consum'!K2184+1,0)</f>
        <v>0</v>
      </c>
      <c r="O2184" s="370" cm="1">
        <f t="array" ref="O2184">+_xlfn.SWITCH(MONTH(C2184),1,1,2,1,3,1,4,2,5,2,6,3,7,3,8,3,9,3,10,2,11,2,12,1,2)</f>
        <v>1</v>
      </c>
      <c r="P2184" s="43"/>
    </row>
    <row r="2185" spans="1:16" ht="18" x14ac:dyDescent="0.35">
      <c r="A2185" s="43"/>
      <c r="C2185" s="393"/>
      <c r="E2185" s="394"/>
      <c r="F2185" s="394">
        <v>0</v>
      </c>
      <c r="G2185" s="394"/>
      <c r="H2185" s="8" t="s">
        <v>61</v>
      </c>
      <c r="I2185" s="368">
        <f t="shared" si="103"/>
        <v>0</v>
      </c>
      <c r="J2185" s="365">
        <f t="shared" si="102"/>
        <v>0</v>
      </c>
      <c r="K2185" s="369">
        <f t="shared" si="104"/>
        <v>6</v>
      </c>
      <c r="L2185" s="369">
        <f>+IF((C2185&gt;='Resultats - informe'!$E$16)*(C2185&lt;='Resultats - informe'!$G$16),1,0)</f>
        <v>1</v>
      </c>
      <c r="M2185" s="369" cm="1">
        <f t="array" ref="M2185">+_xlfn.IFS((C2185&gt;='Resultats - informe'!$D$26)*(C2185&lt;='Resultats - informe'!$E$26),0,(C2185&gt;='Resultats - informe'!$D$27)*(C2185&lt;='Resultats - informe'!$E$27),0,(C2185&gt;='Resultats - informe'!$D$28)*(C2185&lt;='Resultats - informe'!$E$28),0,(C2185&gt;='Resultats - informe'!$D$29)*(C2185&lt;='Resultats - informe'!$E$29),0,1,1)</f>
        <v>0</v>
      </c>
      <c r="N2185" s="366">
        <f>+VLOOKUP(D2185,'Resultats - informe'!$Y$18:$AG$42,'Introducció dades consum'!K2185+1,0)</f>
        <v>0</v>
      </c>
      <c r="O2185" s="370" cm="1">
        <f t="array" ref="O2185">+_xlfn.SWITCH(MONTH(C2185),1,1,2,1,3,1,4,2,5,2,6,3,7,3,8,3,9,3,10,2,11,2,12,1,2)</f>
        <v>1</v>
      </c>
      <c r="P2185" s="43"/>
    </row>
    <row r="2186" spans="1:16" ht="18" x14ac:dyDescent="0.35">
      <c r="A2186" s="43"/>
      <c r="C2186" s="393"/>
      <c r="E2186" s="394"/>
      <c r="F2186" s="394">
        <v>0</v>
      </c>
      <c r="G2186" s="394"/>
      <c r="H2186" s="8" t="s">
        <v>61</v>
      </c>
      <c r="I2186" s="368">
        <f t="shared" si="103"/>
        <v>0</v>
      </c>
      <c r="J2186" s="365">
        <f t="shared" si="102"/>
        <v>0</v>
      </c>
      <c r="K2186" s="369">
        <f t="shared" si="104"/>
        <v>6</v>
      </c>
      <c r="L2186" s="369">
        <f>+IF((C2186&gt;='Resultats - informe'!$E$16)*(C2186&lt;='Resultats - informe'!$G$16),1,0)</f>
        <v>1</v>
      </c>
      <c r="M2186" s="369" cm="1">
        <f t="array" ref="M2186">+_xlfn.IFS((C2186&gt;='Resultats - informe'!$D$26)*(C2186&lt;='Resultats - informe'!$E$26),0,(C2186&gt;='Resultats - informe'!$D$27)*(C2186&lt;='Resultats - informe'!$E$27),0,(C2186&gt;='Resultats - informe'!$D$28)*(C2186&lt;='Resultats - informe'!$E$28),0,(C2186&gt;='Resultats - informe'!$D$29)*(C2186&lt;='Resultats - informe'!$E$29),0,1,1)</f>
        <v>0</v>
      </c>
      <c r="N2186" s="366">
        <f>+VLOOKUP(D2186,'Resultats - informe'!$Y$18:$AG$42,'Introducció dades consum'!K2186+1,0)</f>
        <v>0</v>
      </c>
      <c r="O2186" s="370" cm="1">
        <f t="array" ref="O2186">+_xlfn.SWITCH(MONTH(C2186),1,1,2,1,3,1,4,2,5,2,6,3,7,3,8,3,9,3,10,2,11,2,12,1,2)</f>
        <v>1</v>
      </c>
      <c r="P2186" s="43"/>
    </row>
    <row r="2187" spans="1:16" ht="18" x14ac:dyDescent="0.35">
      <c r="A2187" s="43"/>
      <c r="C2187" s="393"/>
      <c r="E2187" s="394"/>
      <c r="F2187" s="394">
        <v>0</v>
      </c>
      <c r="G2187" s="394"/>
      <c r="H2187" s="8" t="s">
        <v>235</v>
      </c>
      <c r="I2187" s="368">
        <f t="shared" si="103"/>
        <v>0</v>
      </c>
      <c r="J2187" s="365">
        <f t="shared" si="102"/>
        <v>0</v>
      </c>
      <c r="K2187" s="369">
        <f t="shared" si="104"/>
        <v>6</v>
      </c>
      <c r="L2187" s="369">
        <f>+IF((C2187&gt;='Resultats - informe'!$E$16)*(C2187&lt;='Resultats - informe'!$G$16),1,0)</f>
        <v>1</v>
      </c>
      <c r="M2187" s="369" cm="1">
        <f t="array" ref="M2187">+_xlfn.IFS((C2187&gt;='Resultats - informe'!$D$26)*(C2187&lt;='Resultats - informe'!$E$26),0,(C2187&gt;='Resultats - informe'!$D$27)*(C2187&lt;='Resultats - informe'!$E$27),0,(C2187&gt;='Resultats - informe'!$D$28)*(C2187&lt;='Resultats - informe'!$E$28),0,(C2187&gt;='Resultats - informe'!$D$29)*(C2187&lt;='Resultats - informe'!$E$29),0,1,1)</f>
        <v>0</v>
      </c>
      <c r="N2187" s="366">
        <f>+VLOOKUP(D2187,'Resultats - informe'!$Y$18:$AG$42,'Introducció dades consum'!K2187+1,0)</f>
        <v>0</v>
      </c>
      <c r="O2187" s="370" cm="1">
        <f t="array" ref="O2187">+_xlfn.SWITCH(MONTH(C2187),1,1,2,1,3,1,4,2,5,2,6,3,7,3,8,3,9,3,10,2,11,2,12,1,2)</f>
        <v>1</v>
      </c>
      <c r="P2187" s="43"/>
    </row>
    <row r="2188" spans="1:16" ht="18" x14ac:dyDescent="0.35">
      <c r="A2188" s="43"/>
      <c r="C2188" s="393"/>
      <c r="E2188" s="394"/>
      <c r="F2188" s="394">
        <v>0</v>
      </c>
      <c r="G2188" s="394"/>
      <c r="H2188" s="8" t="s">
        <v>235</v>
      </c>
      <c r="I2188" s="368">
        <f t="shared" si="103"/>
        <v>0</v>
      </c>
      <c r="J2188" s="365">
        <f t="shared" si="102"/>
        <v>0</v>
      </c>
      <c r="K2188" s="369">
        <f t="shared" si="104"/>
        <v>6</v>
      </c>
      <c r="L2188" s="369">
        <f>+IF((C2188&gt;='Resultats - informe'!$E$16)*(C2188&lt;='Resultats - informe'!$G$16),1,0)</f>
        <v>1</v>
      </c>
      <c r="M2188" s="369" cm="1">
        <f t="array" ref="M2188">+_xlfn.IFS((C2188&gt;='Resultats - informe'!$D$26)*(C2188&lt;='Resultats - informe'!$E$26),0,(C2188&gt;='Resultats - informe'!$D$27)*(C2188&lt;='Resultats - informe'!$E$27),0,(C2188&gt;='Resultats - informe'!$D$28)*(C2188&lt;='Resultats - informe'!$E$28),0,(C2188&gt;='Resultats - informe'!$D$29)*(C2188&lt;='Resultats - informe'!$E$29),0,1,1)</f>
        <v>0</v>
      </c>
      <c r="N2188" s="366">
        <f>+VLOOKUP(D2188,'Resultats - informe'!$Y$18:$AG$42,'Introducció dades consum'!K2188+1,0)</f>
        <v>0</v>
      </c>
      <c r="O2188" s="370" cm="1">
        <f t="array" ref="O2188">+_xlfn.SWITCH(MONTH(C2188),1,1,2,1,3,1,4,2,5,2,6,3,7,3,8,3,9,3,10,2,11,2,12,1,2)</f>
        <v>1</v>
      </c>
      <c r="P2188" s="43"/>
    </row>
    <row r="2189" spans="1:16" ht="18" x14ac:dyDescent="0.35">
      <c r="A2189" s="43"/>
      <c r="C2189" s="393"/>
      <c r="E2189" s="394"/>
      <c r="F2189" s="394">
        <v>0</v>
      </c>
      <c r="G2189" s="394"/>
      <c r="H2189" s="8" t="s">
        <v>235</v>
      </c>
      <c r="I2189" s="368">
        <f t="shared" si="103"/>
        <v>0</v>
      </c>
      <c r="J2189" s="365">
        <f t="shared" si="102"/>
        <v>0</v>
      </c>
      <c r="K2189" s="369">
        <f t="shared" si="104"/>
        <v>6</v>
      </c>
      <c r="L2189" s="369">
        <f>+IF((C2189&gt;='Resultats - informe'!$E$16)*(C2189&lt;='Resultats - informe'!$G$16),1,0)</f>
        <v>1</v>
      </c>
      <c r="M2189" s="369" cm="1">
        <f t="array" ref="M2189">+_xlfn.IFS((C2189&gt;='Resultats - informe'!$D$26)*(C2189&lt;='Resultats - informe'!$E$26),0,(C2189&gt;='Resultats - informe'!$D$27)*(C2189&lt;='Resultats - informe'!$E$27),0,(C2189&gt;='Resultats - informe'!$D$28)*(C2189&lt;='Resultats - informe'!$E$28),0,(C2189&gt;='Resultats - informe'!$D$29)*(C2189&lt;='Resultats - informe'!$E$29),0,1,1)</f>
        <v>0</v>
      </c>
      <c r="N2189" s="366">
        <f>+VLOOKUP(D2189,'Resultats - informe'!$Y$18:$AG$42,'Introducció dades consum'!K2189+1,0)</f>
        <v>0</v>
      </c>
      <c r="O2189" s="370" cm="1">
        <f t="array" ref="O2189">+_xlfn.SWITCH(MONTH(C2189),1,1,2,1,3,1,4,2,5,2,6,3,7,3,8,3,9,3,10,2,11,2,12,1,2)</f>
        <v>1</v>
      </c>
      <c r="P2189" s="43"/>
    </row>
    <row r="2190" spans="1:16" ht="18" x14ac:dyDescent="0.35">
      <c r="A2190" s="43"/>
      <c r="C2190" s="393"/>
      <c r="E2190" s="394"/>
      <c r="F2190" s="394">
        <v>0</v>
      </c>
      <c r="G2190" s="394"/>
      <c r="H2190" s="8" t="s">
        <v>235</v>
      </c>
      <c r="I2190" s="368">
        <f t="shared" si="103"/>
        <v>0</v>
      </c>
      <c r="J2190" s="365">
        <f t="shared" si="102"/>
        <v>0</v>
      </c>
      <c r="K2190" s="369">
        <f t="shared" si="104"/>
        <v>6</v>
      </c>
      <c r="L2190" s="369">
        <f>+IF((C2190&gt;='Resultats - informe'!$E$16)*(C2190&lt;='Resultats - informe'!$G$16),1,0)</f>
        <v>1</v>
      </c>
      <c r="M2190" s="369" cm="1">
        <f t="array" ref="M2190">+_xlfn.IFS((C2190&gt;='Resultats - informe'!$D$26)*(C2190&lt;='Resultats - informe'!$E$26),0,(C2190&gt;='Resultats - informe'!$D$27)*(C2190&lt;='Resultats - informe'!$E$27),0,(C2190&gt;='Resultats - informe'!$D$28)*(C2190&lt;='Resultats - informe'!$E$28),0,(C2190&gt;='Resultats - informe'!$D$29)*(C2190&lt;='Resultats - informe'!$E$29),0,1,1)</f>
        <v>0</v>
      </c>
      <c r="N2190" s="366">
        <f>+VLOOKUP(D2190,'Resultats - informe'!$Y$18:$AG$42,'Introducció dades consum'!K2190+1,0)</f>
        <v>0</v>
      </c>
      <c r="O2190" s="370" cm="1">
        <f t="array" ref="O2190">+_xlfn.SWITCH(MONTH(C2190),1,1,2,1,3,1,4,2,5,2,6,3,7,3,8,3,9,3,10,2,11,2,12,1,2)</f>
        <v>1</v>
      </c>
      <c r="P2190" s="43"/>
    </row>
    <row r="2191" spans="1:16" ht="18" x14ac:dyDescent="0.35">
      <c r="A2191" s="43"/>
      <c r="C2191" s="393"/>
      <c r="E2191" s="394"/>
      <c r="F2191" s="394">
        <v>0</v>
      </c>
      <c r="G2191" s="394"/>
      <c r="H2191" s="8" t="s">
        <v>61</v>
      </c>
      <c r="I2191" s="368">
        <f t="shared" si="103"/>
        <v>0</v>
      </c>
      <c r="J2191" s="365">
        <f t="shared" si="102"/>
        <v>0</v>
      </c>
      <c r="K2191" s="369">
        <f t="shared" si="104"/>
        <v>6</v>
      </c>
      <c r="L2191" s="369">
        <f>+IF((C2191&gt;='Resultats - informe'!$E$16)*(C2191&lt;='Resultats - informe'!$G$16),1,0)</f>
        <v>1</v>
      </c>
      <c r="M2191" s="369" cm="1">
        <f t="array" ref="M2191">+_xlfn.IFS((C2191&gt;='Resultats - informe'!$D$26)*(C2191&lt;='Resultats - informe'!$E$26),0,(C2191&gt;='Resultats - informe'!$D$27)*(C2191&lt;='Resultats - informe'!$E$27),0,(C2191&gt;='Resultats - informe'!$D$28)*(C2191&lt;='Resultats - informe'!$E$28),0,(C2191&gt;='Resultats - informe'!$D$29)*(C2191&lt;='Resultats - informe'!$E$29),0,1,1)</f>
        <v>0</v>
      </c>
      <c r="N2191" s="366">
        <f>+VLOOKUP(D2191,'Resultats - informe'!$Y$18:$AG$42,'Introducció dades consum'!K2191+1,0)</f>
        <v>0</v>
      </c>
      <c r="O2191" s="370" cm="1">
        <f t="array" ref="O2191">+_xlfn.SWITCH(MONTH(C2191),1,1,2,1,3,1,4,2,5,2,6,3,7,3,8,3,9,3,10,2,11,2,12,1,2)</f>
        <v>1</v>
      </c>
      <c r="P2191" s="43"/>
    </row>
    <row r="2192" spans="1:16" ht="18" x14ac:dyDescent="0.35">
      <c r="A2192" s="43"/>
      <c r="C2192" s="393"/>
      <c r="E2192" s="394"/>
      <c r="F2192" s="394">
        <v>0</v>
      </c>
      <c r="G2192" s="394"/>
      <c r="H2192" s="8" t="s">
        <v>61</v>
      </c>
      <c r="I2192" s="368">
        <f t="shared" si="103"/>
        <v>0</v>
      </c>
      <c r="J2192" s="365">
        <f t="shared" si="102"/>
        <v>0</v>
      </c>
      <c r="K2192" s="369">
        <f t="shared" si="104"/>
        <v>6</v>
      </c>
      <c r="L2192" s="369">
        <f>+IF((C2192&gt;='Resultats - informe'!$E$16)*(C2192&lt;='Resultats - informe'!$G$16),1,0)</f>
        <v>1</v>
      </c>
      <c r="M2192" s="369" cm="1">
        <f t="array" ref="M2192">+_xlfn.IFS((C2192&gt;='Resultats - informe'!$D$26)*(C2192&lt;='Resultats - informe'!$E$26),0,(C2192&gt;='Resultats - informe'!$D$27)*(C2192&lt;='Resultats - informe'!$E$27),0,(C2192&gt;='Resultats - informe'!$D$28)*(C2192&lt;='Resultats - informe'!$E$28),0,(C2192&gt;='Resultats - informe'!$D$29)*(C2192&lt;='Resultats - informe'!$E$29),0,1,1)</f>
        <v>0</v>
      </c>
      <c r="N2192" s="366">
        <f>+VLOOKUP(D2192,'Resultats - informe'!$Y$18:$AG$42,'Introducció dades consum'!K2192+1,0)</f>
        <v>0</v>
      </c>
      <c r="O2192" s="370" cm="1">
        <f t="array" ref="O2192">+_xlfn.SWITCH(MONTH(C2192),1,1,2,1,3,1,4,2,5,2,6,3,7,3,8,3,9,3,10,2,11,2,12,1,2)</f>
        <v>1</v>
      </c>
      <c r="P2192" s="43"/>
    </row>
    <row r="2193" spans="1:16" ht="18" x14ac:dyDescent="0.35">
      <c r="A2193" s="43"/>
      <c r="C2193" s="393"/>
      <c r="E2193" s="394"/>
      <c r="F2193" s="394">
        <v>0</v>
      </c>
      <c r="G2193" s="394"/>
      <c r="H2193" s="8" t="s">
        <v>61</v>
      </c>
      <c r="I2193" s="368">
        <f t="shared" si="103"/>
        <v>0</v>
      </c>
      <c r="J2193" s="365">
        <f t="shared" si="102"/>
        <v>0</v>
      </c>
      <c r="K2193" s="369">
        <f t="shared" si="104"/>
        <v>6</v>
      </c>
      <c r="L2193" s="369">
        <f>+IF((C2193&gt;='Resultats - informe'!$E$16)*(C2193&lt;='Resultats - informe'!$G$16),1,0)</f>
        <v>1</v>
      </c>
      <c r="M2193" s="369" cm="1">
        <f t="array" ref="M2193">+_xlfn.IFS((C2193&gt;='Resultats - informe'!$D$26)*(C2193&lt;='Resultats - informe'!$E$26),0,(C2193&gt;='Resultats - informe'!$D$27)*(C2193&lt;='Resultats - informe'!$E$27),0,(C2193&gt;='Resultats - informe'!$D$28)*(C2193&lt;='Resultats - informe'!$E$28),0,(C2193&gt;='Resultats - informe'!$D$29)*(C2193&lt;='Resultats - informe'!$E$29),0,1,1)</f>
        <v>0</v>
      </c>
      <c r="N2193" s="366">
        <f>+VLOOKUP(D2193,'Resultats - informe'!$Y$18:$AG$42,'Introducció dades consum'!K2193+1,0)</f>
        <v>0</v>
      </c>
      <c r="O2193" s="370" cm="1">
        <f t="array" ref="O2193">+_xlfn.SWITCH(MONTH(C2193),1,1,2,1,3,1,4,2,5,2,6,3,7,3,8,3,9,3,10,2,11,2,12,1,2)</f>
        <v>1</v>
      </c>
      <c r="P2193" s="43"/>
    </row>
    <row r="2194" spans="1:16" ht="18" x14ac:dyDescent="0.35">
      <c r="A2194" s="43"/>
      <c r="C2194" s="393"/>
      <c r="E2194" s="394"/>
      <c r="F2194" s="394">
        <v>0</v>
      </c>
      <c r="G2194" s="394"/>
      <c r="H2194" s="8" t="s">
        <v>61</v>
      </c>
      <c r="I2194" s="368">
        <f t="shared" si="103"/>
        <v>0</v>
      </c>
      <c r="J2194" s="365">
        <f t="shared" si="102"/>
        <v>0</v>
      </c>
      <c r="K2194" s="369">
        <f t="shared" si="104"/>
        <v>6</v>
      </c>
      <c r="L2194" s="369">
        <f>+IF((C2194&gt;='Resultats - informe'!$E$16)*(C2194&lt;='Resultats - informe'!$G$16),1,0)</f>
        <v>1</v>
      </c>
      <c r="M2194" s="369" cm="1">
        <f t="array" ref="M2194">+_xlfn.IFS((C2194&gt;='Resultats - informe'!$D$26)*(C2194&lt;='Resultats - informe'!$E$26),0,(C2194&gt;='Resultats - informe'!$D$27)*(C2194&lt;='Resultats - informe'!$E$27),0,(C2194&gt;='Resultats - informe'!$D$28)*(C2194&lt;='Resultats - informe'!$E$28),0,(C2194&gt;='Resultats - informe'!$D$29)*(C2194&lt;='Resultats - informe'!$E$29),0,1,1)</f>
        <v>0</v>
      </c>
      <c r="N2194" s="366">
        <f>+VLOOKUP(D2194,'Resultats - informe'!$Y$18:$AG$42,'Introducció dades consum'!K2194+1,0)</f>
        <v>0</v>
      </c>
      <c r="O2194" s="370" cm="1">
        <f t="array" ref="O2194">+_xlfn.SWITCH(MONTH(C2194),1,1,2,1,3,1,4,2,5,2,6,3,7,3,8,3,9,3,10,2,11,2,12,1,2)</f>
        <v>1</v>
      </c>
      <c r="P2194" s="43"/>
    </row>
    <row r="2195" spans="1:16" ht="18" x14ac:dyDescent="0.35">
      <c r="A2195" s="43"/>
      <c r="C2195" s="393"/>
      <c r="E2195" s="394"/>
      <c r="F2195" s="394">
        <v>1.4870000000000001</v>
      </c>
      <c r="G2195" s="394"/>
      <c r="H2195" s="8" t="s">
        <v>235</v>
      </c>
      <c r="I2195" s="368">
        <f t="shared" si="103"/>
        <v>0</v>
      </c>
      <c r="J2195" s="365">
        <f t="shared" si="102"/>
        <v>0</v>
      </c>
      <c r="K2195" s="369">
        <f t="shared" si="104"/>
        <v>6</v>
      </c>
      <c r="L2195" s="369">
        <f>+IF((C2195&gt;='Resultats - informe'!$E$16)*(C2195&lt;='Resultats - informe'!$G$16),1,0)</f>
        <v>1</v>
      </c>
      <c r="M2195" s="369" cm="1">
        <f t="array" ref="M2195">+_xlfn.IFS((C2195&gt;='Resultats - informe'!$D$26)*(C2195&lt;='Resultats - informe'!$E$26),0,(C2195&gt;='Resultats - informe'!$D$27)*(C2195&lt;='Resultats - informe'!$E$27),0,(C2195&gt;='Resultats - informe'!$D$28)*(C2195&lt;='Resultats - informe'!$E$28),0,(C2195&gt;='Resultats - informe'!$D$29)*(C2195&lt;='Resultats - informe'!$E$29),0,1,1)</f>
        <v>0</v>
      </c>
      <c r="N2195" s="366">
        <f>+VLOOKUP(D2195,'Resultats - informe'!$Y$18:$AG$42,'Introducció dades consum'!K2195+1,0)</f>
        <v>0</v>
      </c>
      <c r="O2195" s="370" cm="1">
        <f t="array" ref="O2195">+_xlfn.SWITCH(MONTH(C2195),1,1,2,1,3,1,4,2,5,2,6,3,7,3,8,3,9,3,10,2,11,2,12,1,2)</f>
        <v>1</v>
      </c>
      <c r="P2195" s="43"/>
    </row>
    <row r="2196" spans="1:16" ht="18" x14ac:dyDescent="0.35">
      <c r="A2196" s="43"/>
      <c r="C2196" s="393"/>
      <c r="E2196" s="394"/>
      <c r="F2196" s="394">
        <v>2.0659999999999998</v>
      </c>
      <c r="G2196" s="394"/>
      <c r="H2196" s="8" t="s">
        <v>235</v>
      </c>
      <c r="I2196" s="368">
        <f t="shared" si="103"/>
        <v>0</v>
      </c>
      <c r="J2196" s="365">
        <f t="shared" si="102"/>
        <v>0</v>
      </c>
      <c r="K2196" s="369">
        <f t="shared" si="104"/>
        <v>6</v>
      </c>
      <c r="L2196" s="369">
        <f>+IF((C2196&gt;='Resultats - informe'!$E$16)*(C2196&lt;='Resultats - informe'!$G$16),1,0)</f>
        <v>1</v>
      </c>
      <c r="M2196" s="369" cm="1">
        <f t="array" ref="M2196">+_xlfn.IFS((C2196&gt;='Resultats - informe'!$D$26)*(C2196&lt;='Resultats - informe'!$E$26),0,(C2196&gt;='Resultats - informe'!$D$27)*(C2196&lt;='Resultats - informe'!$E$27),0,(C2196&gt;='Resultats - informe'!$D$28)*(C2196&lt;='Resultats - informe'!$E$28),0,(C2196&gt;='Resultats - informe'!$D$29)*(C2196&lt;='Resultats - informe'!$E$29),0,1,1)</f>
        <v>0</v>
      </c>
      <c r="N2196" s="366">
        <f>+VLOOKUP(D2196,'Resultats - informe'!$Y$18:$AG$42,'Introducció dades consum'!K2196+1,0)</f>
        <v>0</v>
      </c>
      <c r="O2196" s="370" cm="1">
        <f t="array" ref="O2196">+_xlfn.SWITCH(MONTH(C2196),1,1,2,1,3,1,4,2,5,2,6,3,7,3,8,3,9,3,10,2,11,2,12,1,2)</f>
        <v>1</v>
      </c>
      <c r="P2196" s="43"/>
    </row>
    <row r="2197" spans="1:16" ht="18" x14ac:dyDescent="0.35">
      <c r="A2197" s="43"/>
      <c r="C2197" s="393"/>
      <c r="E2197" s="394"/>
      <c r="F2197" s="394">
        <v>2.9929999999999999</v>
      </c>
      <c r="G2197" s="394"/>
      <c r="H2197" s="8" t="s">
        <v>235</v>
      </c>
      <c r="I2197" s="368">
        <f t="shared" si="103"/>
        <v>0</v>
      </c>
      <c r="J2197" s="365">
        <f t="shared" si="102"/>
        <v>0</v>
      </c>
      <c r="K2197" s="369">
        <f t="shared" si="104"/>
        <v>6</v>
      </c>
      <c r="L2197" s="369">
        <f>+IF((C2197&gt;='Resultats - informe'!$E$16)*(C2197&lt;='Resultats - informe'!$G$16),1,0)</f>
        <v>1</v>
      </c>
      <c r="M2197" s="369" cm="1">
        <f t="array" ref="M2197">+_xlfn.IFS((C2197&gt;='Resultats - informe'!$D$26)*(C2197&lt;='Resultats - informe'!$E$26),0,(C2197&gt;='Resultats - informe'!$D$27)*(C2197&lt;='Resultats - informe'!$E$27),0,(C2197&gt;='Resultats - informe'!$D$28)*(C2197&lt;='Resultats - informe'!$E$28),0,(C2197&gt;='Resultats - informe'!$D$29)*(C2197&lt;='Resultats - informe'!$E$29),0,1,1)</f>
        <v>0</v>
      </c>
      <c r="N2197" s="366">
        <f>+VLOOKUP(D2197,'Resultats - informe'!$Y$18:$AG$42,'Introducció dades consum'!K2197+1,0)</f>
        <v>0</v>
      </c>
      <c r="O2197" s="370" cm="1">
        <f t="array" ref="O2197">+_xlfn.SWITCH(MONTH(C2197),1,1,2,1,3,1,4,2,5,2,6,3,7,3,8,3,9,3,10,2,11,2,12,1,2)</f>
        <v>1</v>
      </c>
      <c r="P2197" s="43"/>
    </row>
    <row r="2198" spans="1:16" ht="18" x14ac:dyDescent="0.35">
      <c r="A2198" s="43"/>
      <c r="C2198" s="393"/>
      <c r="E2198" s="394"/>
      <c r="F2198" s="394">
        <v>2.794</v>
      </c>
      <c r="G2198" s="394"/>
      <c r="H2198" s="8" t="s">
        <v>235</v>
      </c>
      <c r="I2198" s="368">
        <f t="shared" si="103"/>
        <v>0</v>
      </c>
      <c r="J2198" s="365">
        <f t="shared" si="102"/>
        <v>0</v>
      </c>
      <c r="K2198" s="369">
        <f t="shared" si="104"/>
        <v>6</v>
      </c>
      <c r="L2198" s="369">
        <f>+IF((C2198&gt;='Resultats - informe'!$E$16)*(C2198&lt;='Resultats - informe'!$G$16),1,0)</f>
        <v>1</v>
      </c>
      <c r="M2198" s="369" cm="1">
        <f t="array" ref="M2198">+_xlfn.IFS((C2198&gt;='Resultats - informe'!$D$26)*(C2198&lt;='Resultats - informe'!$E$26),0,(C2198&gt;='Resultats - informe'!$D$27)*(C2198&lt;='Resultats - informe'!$E$27),0,(C2198&gt;='Resultats - informe'!$D$28)*(C2198&lt;='Resultats - informe'!$E$28),0,(C2198&gt;='Resultats - informe'!$D$29)*(C2198&lt;='Resultats - informe'!$E$29),0,1,1)</f>
        <v>0</v>
      </c>
      <c r="N2198" s="366">
        <f>+VLOOKUP(D2198,'Resultats - informe'!$Y$18:$AG$42,'Introducció dades consum'!K2198+1,0)</f>
        <v>0</v>
      </c>
      <c r="O2198" s="370" cm="1">
        <f t="array" ref="O2198">+_xlfn.SWITCH(MONTH(C2198),1,1,2,1,3,1,4,2,5,2,6,3,7,3,8,3,9,3,10,2,11,2,12,1,2)</f>
        <v>1</v>
      </c>
      <c r="P2198" s="43"/>
    </row>
    <row r="2199" spans="1:16" ht="18" x14ac:dyDescent="0.35">
      <c r="A2199" s="43"/>
      <c r="C2199" s="393"/>
      <c r="E2199" s="394"/>
      <c r="F2199" s="394">
        <v>2.496</v>
      </c>
      <c r="G2199" s="394"/>
      <c r="H2199" s="8" t="s">
        <v>235</v>
      </c>
      <c r="I2199" s="368">
        <f t="shared" si="103"/>
        <v>0</v>
      </c>
      <c r="J2199" s="365">
        <f t="shared" si="102"/>
        <v>0</v>
      </c>
      <c r="K2199" s="369">
        <f t="shared" si="104"/>
        <v>6</v>
      </c>
      <c r="L2199" s="369">
        <f>+IF((C2199&gt;='Resultats - informe'!$E$16)*(C2199&lt;='Resultats - informe'!$G$16),1,0)</f>
        <v>1</v>
      </c>
      <c r="M2199" s="369" cm="1">
        <f t="array" ref="M2199">+_xlfn.IFS((C2199&gt;='Resultats - informe'!$D$26)*(C2199&lt;='Resultats - informe'!$E$26),0,(C2199&gt;='Resultats - informe'!$D$27)*(C2199&lt;='Resultats - informe'!$E$27),0,(C2199&gt;='Resultats - informe'!$D$28)*(C2199&lt;='Resultats - informe'!$E$28),0,(C2199&gt;='Resultats - informe'!$D$29)*(C2199&lt;='Resultats - informe'!$E$29),0,1,1)</f>
        <v>0</v>
      </c>
      <c r="N2199" s="366">
        <f>+VLOOKUP(D2199,'Resultats - informe'!$Y$18:$AG$42,'Introducció dades consum'!K2199+1,0)</f>
        <v>0</v>
      </c>
      <c r="O2199" s="370" cm="1">
        <f t="array" ref="O2199">+_xlfn.SWITCH(MONTH(C2199),1,1,2,1,3,1,4,2,5,2,6,3,7,3,8,3,9,3,10,2,11,2,12,1,2)</f>
        <v>1</v>
      </c>
      <c r="P2199" s="43"/>
    </row>
    <row r="2200" spans="1:16" ht="18" x14ac:dyDescent="0.35">
      <c r="A2200" s="43"/>
      <c r="C2200" s="393"/>
      <c r="E2200" s="394"/>
      <c r="F2200" s="394">
        <v>3.2349999999999999</v>
      </c>
      <c r="G2200" s="394"/>
      <c r="H2200" s="8" t="s">
        <v>235</v>
      </c>
      <c r="I2200" s="368">
        <f t="shared" si="103"/>
        <v>0</v>
      </c>
      <c r="J2200" s="365">
        <f t="shared" si="102"/>
        <v>0</v>
      </c>
      <c r="K2200" s="369">
        <f t="shared" si="104"/>
        <v>6</v>
      </c>
      <c r="L2200" s="369">
        <f>+IF((C2200&gt;='Resultats - informe'!$E$16)*(C2200&lt;='Resultats - informe'!$G$16),1,0)</f>
        <v>1</v>
      </c>
      <c r="M2200" s="369" cm="1">
        <f t="array" ref="M2200">+_xlfn.IFS((C2200&gt;='Resultats - informe'!$D$26)*(C2200&lt;='Resultats - informe'!$E$26),0,(C2200&gt;='Resultats - informe'!$D$27)*(C2200&lt;='Resultats - informe'!$E$27),0,(C2200&gt;='Resultats - informe'!$D$28)*(C2200&lt;='Resultats - informe'!$E$28),0,(C2200&gt;='Resultats - informe'!$D$29)*(C2200&lt;='Resultats - informe'!$E$29),0,1,1)</f>
        <v>0</v>
      </c>
      <c r="N2200" s="366">
        <f>+VLOOKUP(D2200,'Resultats - informe'!$Y$18:$AG$42,'Introducció dades consum'!K2200+1,0)</f>
        <v>0</v>
      </c>
      <c r="O2200" s="370" cm="1">
        <f t="array" ref="O2200">+_xlfn.SWITCH(MONTH(C2200),1,1,2,1,3,1,4,2,5,2,6,3,7,3,8,3,9,3,10,2,11,2,12,1,2)</f>
        <v>1</v>
      </c>
      <c r="P2200" s="43"/>
    </row>
    <row r="2201" spans="1:16" ht="18" x14ac:dyDescent="0.35">
      <c r="A2201" s="43"/>
      <c r="C2201" s="393"/>
      <c r="E2201" s="394"/>
      <c r="F2201" s="394">
        <v>3.03</v>
      </c>
      <c r="G2201" s="394"/>
      <c r="H2201" s="8" t="s">
        <v>235</v>
      </c>
      <c r="I2201" s="368">
        <f t="shared" si="103"/>
        <v>0</v>
      </c>
      <c r="J2201" s="365">
        <f t="shared" si="102"/>
        <v>0</v>
      </c>
      <c r="K2201" s="369">
        <f t="shared" si="104"/>
        <v>6</v>
      </c>
      <c r="L2201" s="369">
        <f>+IF((C2201&gt;='Resultats - informe'!$E$16)*(C2201&lt;='Resultats - informe'!$G$16),1,0)</f>
        <v>1</v>
      </c>
      <c r="M2201" s="369" cm="1">
        <f t="array" ref="M2201">+_xlfn.IFS((C2201&gt;='Resultats - informe'!$D$26)*(C2201&lt;='Resultats - informe'!$E$26),0,(C2201&gt;='Resultats - informe'!$D$27)*(C2201&lt;='Resultats - informe'!$E$27),0,(C2201&gt;='Resultats - informe'!$D$28)*(C2201&lt;='Resultats - informe'!$E$28),0,(C2201&gt;='Resultats - informe'!$D$29)*(C2201&lt;='Resultats - informe'!$E$29),0,1,1)</f>
        <v>0</v>
      </c>
      <c r="N2201" s="366">
        <f>+VLOOKUP(D2201,'Resultats - informe'!$Y$18:$AG$42,'Introducció dades consum'!K2201+1,0)</f>
        <v>0</v>
      </c>
      <c r="O2201" s="370" cm="1">
        <f t="array" ref="O2201">+_xlfn.SWITCH(MONTH(C2201),1,1,2,1,3,1,4,2,5,2,6,3,7,3,8,3,9,3,10,2,11,2,12,1,2)</f>
        <v>1</v>
      </c>
      <c r="P2201" s="43"/>
    </row>
    <row r="2202" spans="1:16" ht="18" x14ac:dyDescent="0.35">
      <c r="A2202" s="43"/>
      <c r="C2202" s="393"/>
      <c r="E2202" s="394"/>
      <c r="F2202" s="394">
        <v>2.3290000000000002</v>
      </c>
      <c r="G2202" s="394"/>
      <c r="H2202" s="8" t="s">
        <v>235</v>
      </c>
      <c r="I2202" s="368">
        <f t="shared" si="103"/>
        <v>0</v>
      </c>
      <c r="J2202" s="365">
        <f t="shared" si="102"/>
        <v>0</v>
      </c>
      <c r="K2202" s="369">
        <f t="shared" si="104"/>
        <v>6</v>
      </c>
      <c r="L2202" s="369">
        <f>+IF((C2202&gt;='Resultats - informe'!$E$16)*(C2202&lt;='Resultats - informe'!$G$16),1,0)</f>
        <v>1</v>
      </c>
      <c r="M2202" s="369" cm="1">
        <f t="array" ref="M2202">+_xlfn.IFS((C2202&gt;='Resultats - informe'!$D$26)*(C2202&lt;='Resultats - informe'!$E$26),0,(C2202&gt;='Resultats - informe'!$D$27)*(C2202&lt;='Resultats - informe'!$E$27),0,(C2202&gt;='Resultats - informe'!$D$28)*(C2202&lt;='Resultats - informe'!$E$28),0,(C2202&gt;='Resultats - informe'!$D$29)*(C2202&lt;='Resultats - informe'!$E$29),0,1,1)</f>
        <v>0</v>
      </c>
      <c r="N2202" s="366">
        <f>+VLOOKUP(D2202,'Resultats - informe'!$Y$18:$AG$42,'Introducció dades consum'!K2202+1,0)</f>
        <v>0</v>
      </c>
      <c r="O2202" s="370" cm="1">
        <f t="array" ref="O2202">+_xlfn.SWITCH(MONTH(C2202),1,1,2,1,3,1,4,2,5,2,6,3,7,3,8,3,9,3,10,2,11,2,12,1,2)</f>
        <v>1</v>
      </c>
      <c r="P2202" s="43"/>
    </row>
    <row r="2203" spans="1:16" ht="18" x14ac:dyDescent="0.35">
      <c r="A2203" s="43"/>
      <c r="C2203" s="393"/>
      <c r="E2203" s="394"/>
      <c r="F2203" s="394">
        <v>0.16400000000000001</v>
      </c>
      <c r="G2203" s="394"/>
      <c r="H2203" s="8" t="s">
        <v>61</v>
      </c>
      <c r="I2203" s="368">
        <f t="shared" si="103"/>
        <v>0</v>
      </c>
      <c r="J2203" s="365">
        <f t="shared" si="102"/>
        <v>0</v>
      </c>
      <c r="K2203" s="369">
        <f t="shared" si="104"/>
        <v>6</v>
      </c>
      <c r="L2203" s="369">
        <f>+IF((C2203&gt;='Resultats - informe'!$E$16)*(C2203&lt;='Resultats - informe'!$G$16),1,0)</f>
        <v>1</v>
      </c>
      <c r="M2203" s="369" cm="1">
        <f t="array" ref="M2203">+_xlfn.IFS((C2203&gt;='Resultats - informe'!$D$26)*(C2203&lt;='Resultats - informe'!$E$26),0,(C2203&gt;='Resultats - informe'!$D$27)*(C2203&lt;='Resultats - informe'!$E$27),0,(C2203&gt;='Resultats - informe'!$D$28)*(C2203&lt;='Resultats - informe'!$E$28),0,(C2203&gt;='Resultats - informe'!$D$29)*(C2203&lt;='Resultats - informe'!$E$29),0,1,1)</f>
        <v>0</v>
      </c>
      <c r="N2203" s="366">
        <f>+VLOOKUP(D2203,'Resultats - informe'!$Y$18:$AG$42,'Introducció dades consum'!K2203+1,0)</f>
        <v>0</v>
      </c>
      <c r="O2203" s="370" cm="1">
        <f t="array" ref="O2203">+_xlfn.SWITCH(MONTH(C2203),1,1,2,1,3,1,4,2,5,2,6,3,7,3,8,3,9,3,10,2,11,2,12,1,2)</f>
        <v>1</v>
      </c>
      <c r="P2203" s="43"/>
    </row>
    <row r="2204" spans="1:16" ht="18" x14ac:dyDescent="0.35">
      <c r="A2204" s="43"/>
      <c r="C2204" s="393"/>
      <c r="E2204" s="394"/>
      <c r="F2204" s="394">
        <v>1.3540000000000001</v>
      </c>
      <c r="G2204" s="394"/>
      <c r="H2204" s="8" t="s">
        <v>235</v>
      </c>
      <c r="I2204" s="368">
        <f t="shared" si="103"/>
        <v>0</v>
      </c>
      <c r="J2204" s="365">
        <f t="shared" si="102"/>
        <v>0</v>
      </c>
      <c r="K2204" s="369">
        <f t="shared" si="104"/>
        <v>6</v>
      </c>
      <c r="L2204" s="369">
        <f>+IF((C2204&gt;='Resultats - informe'!$E$16)*(C2204&lt;='Resultats - informe'!$G$16),1,0)</f>
        <v>1</v>
      </c>
      <c r="M2204" s="369" cm="1">
        <f t="array" ref="M2204">+_xlfn.IFS((C2204&gt;='Resultats - informe'!$D$26)*(C2204&lt;='Resultats - informe'!$E$26),0,(C2204&gt;='Resultats - informe'!$D$27)*(C2204&lt;='Resultats - informe'!$E$27),0,(C2204&gt;='Resultats - informe'!$D$28)*(C2204&lt;='Resultats - informe'!$E$28),0,(C2204&gt;='Resultats - informe'!$D$29)*(C2204&lt;='Resultats - informe'!$E$29),0,1,1)</f>
        <v>0</v>
      </c>
      <c r="N2204" s="366">
        <f>+VLOOKUP(D2204,'Resultats - informe'!$Y$18:$AG$42,'Introducció dades consum'!K2204+1,0)</f>
        <v>0</v>
      </c>
      <c r="O2204" s="370" cm="1">
        <f t="array" ref="O2204">+_xlfn.SWITCH(MONTH(C2204),1,1,2,1,3,1,4,2,5,2,6,3,7,3,8,3,9,3,10,2,11,2,12,1,2)</f>
        <v>1</v>
      </c>
      <c r="P2204" s="43"/>
    </row>
    <row r="2205" spans="1:16" ht="18" x14ac:dyDescent="0.35">
      <c r="A2205" s="43"/>
      <c r="C2205" s="393"/>
      <c r="E2205" s="394"/>
      <c r="F2205" s="394">
        <v>0.09</v>
      </c>
      <c r="G2205" s="394"/>
      <c r="H2205" s="8" t="s">
        <v>235</v>
      </c>
      <c r="I2205" s="368">
        <f t="shared" si="103"/>
        <v>0</v>
      </c>
      <c r="J2205" s="365">
        <f t="shared" si="102"/>
        <v>0</v>
      </c>
      <c r="K2205" s="369">
        <f t="shared" si="104"/>
        <v>6</v>
      </c>
      <c r="L2205" s="369">
        <f>+IF((C2205&gt;='Resultats - informe'!$E$16)*(C2205&lt;='Resultats - informe'!$G$16),1,0)</f>
        <v>1</v>
      </c>
      <c r="M2205" s="369" cm="1">
        <f t="array" ref="M2205">+_xlfn.IFS((C2205&gt;='Resultats - informe'!$D$26)*(C2205&lt;='Resultats - informe'!$E$26),0,(C2205&gt;='Resultats - informe'!$D$27)*(C2205&lt;='Resultats - informe'!$E$27),0,(C2205&gt;='Resultats - informe'!$D$28)*(C2205&lt;='Resultats - informe'!$E$28),0,(C2205&gt;='Resultats - informe'!$D$29)*(C2205&lt;='Resultats - informe'!$E$29),0,1,1)</f>
        <v>0</v>
      </c>
      <c r="N2205" s="366">
        <f>+VLOOKUP(D2205,'Resultats - informe'!$Y$18:$AG$42,'Introducció dades consum'!K2205+1,0)</f>
        <v>0</v>
      </c>
      <c r="O2205" s="370" cm="1">
        <f t="array" ref="O2205">+_xlfn.SWITCH(MONTH(C2205),1,1,2,1,3,1,4,2,5,2,6,3,7,3,8,3,9,3,10,2,11,2,12,1,2)</f>
        <v>1</v>
      </c>
      <c r="P2205" s="43"/>
    </row>
    <row r="2206" spans="1:16" ht="18" x14ac:dyDescent="0.35">
      <c r="A2206" s="43"/>
      <c r="C2206" s="393"/>
      <c r="E2206" s="394"/>
      <c r="F2206" s="394">
        <v>0</v>
      </c>
      <c r="G2206" s="394"/>
      <c r="H2206" s="8" t="s">
        <v>61</v>
      </c>
      <c r="I2206" s="368">
        <f t="shared" si="103"/>
        <v>0</v>
      </c>
      <c r="J2206" s="365">
        <f t="shared" si="102"/>
        <v>0</v>
      </c>
      <c r="K2206" s="369">
        <f t="shared" si="104"/>
        <v>6</v>
      </c>
      <c r="L2206" s="369">
        <f>+IF((C2206&gt;='Resultats - informe'!$E$16)*(C2206&lt;='Resultats - informe'!$G$16),1,0)</f>
        <v>1</v>
      </c>
      <c r="M2206" s="369" cm="1">
        <f t="array" ref="M2206">+_xlfn.IFS((C2206&gt;='Resultats - informe'!$D$26)*(C2206&lt;='Resultats - informe'!$E$26),0,(C2206&gt;='Resultats - informe'!$D$27)*(C2206&lt;='Resultats - informe'!$E$27),0,(C2206&gt;='Resultats - informe'!$D$28)*(C2206&lt;='Resultats - informe'!$E$28),0,(C2206&gt;='Resultats - informe'!$D$29)*(C2206&lt;='Resultats - informe'!$E$29),0,1,1)</f>
        <v>0</v>
      </c>
      <c r="N2206" s="366">
        <f>+VLOOKUP(D2206,'Resultats - informe'!$Y$18:$AG$42,'Introducció dades consum'!K2206+1,0)</f>
        <v>0</v>
      </c>
      <c r="O2206" s="370" cm="1">
        <f t="array" ref="O2206">+_xlfn.SWITCH(MONTH(C2206),1,1,2,1,3,1,4,2,5,2,6,3,7,3,8,3,9,3,10,2,11,2,12,1,2)</f>
        <v>1</v>
      </c>
      <c r="P2206" s="43"/>
    </row>
    <row r="2207" spans="1:16" ht="18" x14ac:dyDescent="0.35">
      <c r="A2207" s="43"/>
      <c r="C2207" s="393"/>
      <c r="E2207" s="394"/>
      <c r="F2207" s="394">
        <v>0</v>
      </c>
      <c r="G2207" s="394"/>
      <c r="H2207" s="8" t="s">
        <v>61</v>
      </c>
      <c r="I2207" s="368">
        <f t="shared" si="103"/>
        <v>0</v>
      </c>
      <c r="J2207" s="365">
        <f t="shared" si="102"/>
        <v>0</v>
      </c>
      <c r="K2207" s="369">
        <f t="shared" si="104"/>
        <v>6</v>
      </c>
      <c r="L2207" s="369">
        <f>+IF((C2207&gt;='Resultats - informe'!$E$16)*(C2207&lt;='Resultats - informe'!$G$16),1,0)</f>
        <v>1</v>
      </c>
      <c r="M2207" s="369" cm="1">
        <f t="array" ref="M2207">+_xlfn.IFS((C2207&gt;='Resultats - informe'!$D$26)*(C2207&lt;='Resultats - informe'!$E$26),0,(C2207&gt;='Resultats - informe'!$D$27)*(C2207&lt;='Resultats - informe'!$E$27),0,(C2207&gt;='Resultats - informe'!$D$28)*(C2207&lt;='Resultats - informe'!$E$28),0,(C2207&gt;='Resultats - informe'!$D$29)*(C2207&lt;='Resultats - informe'!$E$29),0,1,1)</f>
        <v>0</v>
      </c>
      <c r="N2207" s="366">
        <f>+VLOOKUP(D2207,'Resultats - informe'!$Y$18:$AG$42,'Introducció dades consum'!K2207+1,0)</f>
        <v>0</v>
      </c>
      <c r="O2207" s="370" cm="1">
        <f t="array" ref="O2207">+_xlfn.SWITCH(MONTH(C2207),1,1,2,1,3,1,4,2,5,2,6,3,7,3,8,3,9,3,10,2,11,2,12,1,2)</f>
        <v>1</v>
      </c>
      <c r="P2207" s="43"/>
    </row>
    <row r="2208" spans="1:16" ht="18" x14ac:dyDescent="0.35">
      <c r="A2208" s="43"/>
      <c r="C2208" s="393"/>
      <c r="E2208" s="394"/>
      <c r="F2208" s="394">
        <v>0</v>
      </c>
      <c r="G2208" s="394"/>
      <c r="H2208" s="8" t="s">
        <v>61</v>
      </c>
      <c r="I2208" s="368">
        <f t="shared" si="103"/>
        <v>0</v>
      </c>
      <c r="J2208" s="365">
        <f t="shared" si="102"/>
        <v>0</v>
      </c>
      <c r="K2208" s="369">
        <f t="shared" si="104"/>
        <v>6</v>
      </c>
      <c r="L2208" s="369">
        <f>+IF((C2208&gt;='Resultats - informe'!$E$16)*(C2208&lt;='Resultats - informe'!$G$16),1,0)</f>
        <v>1</v>
      </c>
      <c r="M2208" s="369" cm="1">
        <f t="array" ref="M2208">+_xlfn.IFS((C2208&gt;='Resultats - informe'!$D$26)*(C2208&lt;='Resultats - informe'!$E$26),0,(C2208&gt;='Resultats - informe'!$D$27)*(C2208&lt;='Resultats - informe'!$E$27),0,(C2208&gt;='Resultats - informe'!$D$28)*(C2208&lt;='Resultats - informe'!$E$28),0,(C2208&gt;='Resultats - informe'!$D$29)*(C2208&lt;='Resultats - informe'!$E$29),0,1,1)</f>
        <v>0</v>
      </c>
      <c r="N2208" s="366">
        <f>+VLOOKUP(D2208,'Resultats - informe'!$Y$18:$AG$42,'Introducció dades consum'!K2208+1,0)</f>
        <v>0</v>
      </c>
      <c r="O2208" s="370" cm="1">
        <f t="array" ref="O2208">+_xlfn.SWITCH(MONTH(C2208),1,1,2,1,3,1,4,2,5,2,6,3,7,3,8,3,9,3,10,2,11,2,12,1,2)</f>
        <v>1</v>
      </c>
      <c r="P2208" s="43"/>
    </row>
    <row r="2209" spans="1:16" ht="18" x14ac:dyDescent="0.35">
      <c r="A2209" s="43"/>
      <c r="C2209" s="393"/>
      <c r="E2209" s="394"/>
      <c r="F2209" s="394">
        <v>0</v>
      </c>
      <c r="G2209" s="394"/>
      <c r="H2209" s="8" t="s">
        <v>61</v>
      </c>
      <c r="I2209" s="368">
        <f t="shared" si="103"/>
        <v>0</v>
      </c>
      <c r="J2209" s="365">
        <f t="shared" si="102"/>
        <v>0</v>
      </c>
      <c r="K2209" s="369">
        <f t="shared" si="104"/>
        <v>6</v>
      </c>
      <c r="L2209" s="369">
        <f>+IF((C2209&gt;='Resultats - informe'!$E$16)*(C2209&lt;='Resultats - informe'!$G$16),1,0)</f>
        <v>1</v>
      </c>
      <c r="M2209" s="369" cm="1">
        <f t="array" ref="M2209">+_xlfn.IFS((C2209&gt;='Resultats - informe'!$D$26)*(C2209&lt;='Resultats - informe'!$E$26),0,(C2209&gt;='Resultats - informe'!$D$27)*(C2209&lt;='Resultats - informe'!$E$27),0,(C2209&gt;='Resultats - informe'!$D$28)*(C2209&lt;='Resultats - informe'!$E$28),0,(C2209&gt;='Resultats - informe'!$D$29)*(C2209&lt;='Resultats - informe'!$E$29),0,1,1)</f>
        <v>0</v>
      </c>
      <c r="N2209" s="366">
        <f>+VLOOKUP(D2209,'Resultats - informe'!$Y$18:$AG$42,'Introducció dades consum'!K2209+1,0)</f>
        <v>0</v>
      </c>
      <c r="O2209" s="370" cm="1">
        <f t="array" ref="O2209">+_xlfn.SWITCH(MONTH(C2209),1,1,2,1,3,1,4,2,5,2,6,3,7,3,8,3,9,3,10,2,11,2,12,1,2)</f>
        <v>1</v>
      </c>
      <c r="P2209" s="43"/>
    </row>
    <row r="2210" spans="1:16" ht="18" x14ac:dyDescent="0.35">
      <c r="A2210" s="43"/>
      <c r="C2210" s="393"/>
      <c r="E2210" s="394"/>
      <c r="F2210" s="394">
        <v>0</v>
      </c>
      <c r="G2210" s="394"/>
      <c r="H2210" s="8" t="s">
        <v>61</v>
      </c>
      <c r="I2210" s="368">
        <f t="shared" si="103"/>
        <v>0</v>
      </c>
      <c r="J2210" s="365">
        <f t="shared" si="102"/>
        <v>0</v>
      </c>
      <c r="K2210" s="369">
        <f t="shared" si="104"/>
        <v>6</v>
      </c>
      <c r="L2210" s="369">
        <f>+IF((C2210&gt;='Resultats - informe'!$E$16)*(C2210&lt;='Resultats - informe'!$G$16),1,0)</f>
        <v>1</v>
      </c>
      <c r="M2210" s="369" cm="1">
        <f t="array" ref="M2210">+_xlfn.IFS((C2210&gt;='Resultats - informe'!$D$26)*(C2210&lt;='Resultats - informe'!$E$26),0,(C2210&gt;='Resultats - informe'!$D$27)*(C2210&lt;='Resultats - informe'!$E$27),0,(C2210&gt;='Resultats - informe'!$D$28)*(C2210&lt;='Resultats - informe'!$E$28),0,(C2210&gt;='Resultats - informe'!$D$29)*(C2210&lt;='Resultats - informe'!$E$29),0,1,1)</f>
        <v>0</v>
      </c>
      <c r="N2210" s="366">
        <f>+VLOOKUP(D2210,'Resultats - informe'!$Y$18:$AG$42,'Introducció dades consum'!K2210+1,0)</f>
        <v>0</v>
      </c>
      <c r="O2210" s="370" cm="1">
        <f t="array" ref="O2210">+_xlfn.SWITCH(MONTH(C2210),1,1,2,1,3,1,4,2,5,2,6,3,7,3,8,3,9,3,10,2,11,2,12,1,2)</f>
        <v>1</v>
      </c>
      <c r="P2210" s="43"/>
    </row>
    <row r="2211" spans="1:16" ht="18" x14ac:dyDescent="0.35">
      <c r="A2211" s="43"/>
      <c r="C2211" s="393"/>
      <c r="E2211" s="394"/>
      <c r="F2211" s="394">
        <v>0</v>
      </c>
      <c r="G2211" s="394"/>
      <c r="H2211" s="8" t="s">
        <v>61</v>
      </c>
      <c r="I2211" s="368">
        <f t="shared" si="103"/>
        <v>0</v>
      </c>
      <c r="J2211" s="365">
        <f t="shared" si="102"/>
        <v>0</v>
      </c>
      <c r="K2211" s="369">
        <f t="shared" si="104"/>
        <v>6</v>
      </c>
      <c r="L2211" s="369">
        <f>+IF((C2211&gt;='Resultats - informe'!$E$16)*(C2211&lt;='Resultats - informe'!$G$16),1,0)</f>
        <v>1</v>
      </c>
      <c r="M2211" s="369" cm="1">
        <f t="array" ref="M2211">+_xlfn.IFS((C2211&gt;='Resultats - informe'!$D$26)*(C2211&lt;='Resultats - informe'!$E$26),0,(C2211&gt;='Resultats - informe'!$D$27)*(C2211&lt;='Resultats - informe'!$E$27),0,(C2211&gt;='Resultats - informe'!$D$28)*(C2211&lt;='Resultats - informe'!$E$28),0,(C2211&gt;='Resultats - informe'!$D$29)*(C2211&lt;='Resultats - informe'!$E$29),0,1,1)</f>
        <v>0</v>
      </c>
      <c r="N2211" s="366">
        <f>+VLOOKUP(D2211,'Resultats - informe'!$Y$18:$AG$42,'Introducció dades consum'!K2211+1,0)</f>
        <v>0</v>
      </c>
      <c r="O2211" s="370" cm="1">
        <f t="array" ref="O2211">+_xlfn.SWITCH(MONTH(C2211),1,1,2,1,3,1,4,2,5,2,6,3,7,3,8,3,9,3,10,2,11,2,12,1,2)</f>
        <v>1</v>
      </c>
      <c r="P2211" s="43"/>
    </row>
    <row r="2212" spans="1:16" ht="18" x14ac:dyDescent="0.35">
      <c r="A2212" s="43"/>
      <c r="C2212" s="393"/>
      <c r="E2212" s="394"/>
      <c r="F2212" s="394">
        <v>0</v>
      </c>
      <c r="G2212" s="394"/>
      <c r="H2212" s="8" t="s">
        <v>235</v>
      </c>
      <c r="I2212" s="368">
        <f t="shared" si="103"/>
        <v>0</v>
      </c>
      <c r="J2212" s="365">
        <f t="shared" si="102"/>
        <v>0</v>
      </c>
      <c r="K2212" s="369">
        <f t="shared" si="104"/>
        <v>6</v>
      </c>
      <c r="L2212" s="369">
        <f>+IF((C2212&gt;='Resultats - informe'!$E$16)*(C2212&lt;='Resultats - informe'!$G$16),1,0)</f>
        <v>1</v>
      </c>
      <c r="M2212" s="369" cm="1">
        <f t="array" ref="M2212">+_xlfn.IFS((C2212&gt;='Resultats - informe'!$D$26)*(C2212&lt;='Resultats - informe'!$E$26),0,(C2212&gt;='Resultats - informe'!$D$27)*(C2212&lt;='Resultats - informe'!$E$27),0,(C2212&gt;='Resultats - informe'!$D$28)*(C2212&lt;='Resultats - informe'!$E$28),0,(C2212&gt;='Resultats - informe'!$D$29)*(C2212&lt;='Resultats - informe'!$E$29),0,1,1)</f>
        <v>0</v>
      </c>
      <c r="N2212" s="366">
        <f>+VLOOKUP(D2212,'Resultats - informe'!$Y$18:$AG$42,'Introducció dades consum'!K2212+1,0)</f>
        <v>0</v>
      </c>
      <c r="O2212" s="370" cm="1">
        <f t="array" ref="O2212">+_xlfn.SWITCH(MONTH(C2212),1,1,2,1,3,1,4,2,5,2,6,3,7,3,8,3,9,3,10,2,11,2,12,1,2)</f>
        <v>1</v>
      </c>
      <c r="P2212" s="43"/>
    </row>
    <row r="2213" spans="1:16" ht="18" x14ac:dyDescent="0.35">
      <c r="A2213" s="43"/>
      <c r="C2213" s="393"/>
      <c r="E2213" s="394"/>
      <c r="F2213" s="394">
        <v>0</v>
      </c>
      <c r="G2213" s="394"/>
      <c r="H2213" s="8" t="s">
        <v>235</v>
      </c>
      <c r="I2213" s="368">
        <f t="shared" si="103"/>
        <v>0</v>
      </c>
      <c r="J2213" s="365">
        <f t="shared" si="102"/>
        <v>0</v>
      </c>
      <c r="K2213" s="369">
        <f t="shared" si="104"/>
        <v>6</v>
      </c>
      <c r="L2213" s="369">
        <f>+IF((C2213&gt;='Resultats - informe'!$E$16)*(C2213&lt;='Resultats - informe'!$G$16),1,0)</f>
        <v>1</v>
      </c>
      <c r="M2213" s="369" cm="1">
        <f t="array" ref="M2213">+_xlfn.IFS((C2213&gt;='Resultats - informe'!$D$26)*(C2213&lt;='Resultats - informe'!$E$26),0,(C2213&gt;='Resultats - informe'!$D$27)*(C2213&lt;='Resultats - informe'!$E$27),0,(C2213&gt;='Resultats - informe'!$D$28)*(C2213&lt;='Resultats - informe'!$E$28),0,(C2213&gt;='Resultats - informe'!$D$29)*(C2213&lt;='Resultats - informe'!$E$29),0,1,1)</f>
        <v>0</v>
      </c>
      <c r="N2213" s="366">
        <f>+VLOOKUP(D2213,'Resultats - informe'!$Y$18:$AG$42,'Introducció dades consum'!K2213+1,0)</f>
        <v>0</v>
      </c>
      <c r="O2213" s="370" cm="1">
        <f t="array" ref="O2213">+_xlfn.SWITCH(MONTH(C2213),1,1,2,1,3,1,4,2,5,2,6,3,7,3,8,3,9,3,10,2,11,2,12,1,2)</f>
        <v>1</v>
      </c>
      <c r="P2213" s="43"/>
    </row>
    <row r="2214" spans="1:16" ht="18" x14ac:dyDescent="0.35">
      <c r="A2214" s="43"/>
      <c r="C2214" s="393"/>
      <c r="E2214" s="394"/>
      <c r="F2214" s="394">
        <v>0</v>
      </c>
      <c r="G2214" s="394"/>
      <c r="H2214" s="8" t="s">
        <v>235</v>
      </c>
      <c r="I2214" s="368">
        <f t="shared" si="103"/>
        <v>0</v>
      </c>
      <c r="J2214" s="365">
        <f t="shared" si="102"/>
        <v>0</v>
      </c>
      <c r="K2214" s="369">
        <f t="shared" si="104"/>
        <v>6</v>
      </c>
      <c r="L2214" s="369">
        <f>+IF((C2214&gt;='Resultats - informe'!$E$16)*(C2214&lt;='Resultats - informe'!$G$16),1,0)</f>
        <v>1</v>
      </c>
      <c r="M2214" s="369" cm="1">
        <f t="array" ref="M2214">+_xlfn.IFS((C2214&gt;='Resultats - informe'!$D$26)*(C2214&lt;='Resultats - informe'!$E$26),0,(C2214&gt;='Resultats - informe'!$D$27)*(C2214&lt;='Resultats - informe'!$E$27),0,(C2214&gt;='Resultats - informe'!$D$28)*(C2214&lt;='Resultats - informe'!$E$28),0,(C2214&gt;='Resultats - informe'!$D$29)*(C2214&lt;='Resultats - informe'!$E$29),0,1,1)</f>
        <v>0</v>
      </c>
      <c r="N2214" s="366">
        <f>+VLOOKUP(D2214,'Resultats - informe'!$Y$18:$AG$42,'Introducció dades consum'!K2214+1,0)</f>
        <v>0</v>
      </c>
      <c r="O2214" s="370" cm="1">
        <f t="array" ref="O2214">+_xlfn.SWITCH(MONTH(C2214),1,1,2,1,3,1,4,2,5,2,6,3,7,3,8,3,9,3,10,2,11,2,12,1,2)</f>
        <v>1</v>
      </c>
      <c r="P2214" s="43"/>
    </row>
    <row r="2215" spans="1:16" ht="18" x14ac:dyDescent="0.35">
      <c r="A2215" s="43"/>
      <c r="C2215" s="393"/>
      <c r="E2215" s="394"/>
      <c r="F2215" s="394">
        <v>0</v>
      </c>
      <c r="G2215" s="394"/>
      <c r="H2215" s="8" t="s">
        <v>61</v>
      </c>
      <c r="I2215" s="368">
        <f t="shared" si="103"/>
        <v>0</v>
      </c>
      <c r="J2215" s="365">
        <f t="shared" si="102"/>
        <v>0</v>
      </c>
      <c r="K2215" s="369">
        <f t="shared" si="104"/>
        <v>6</v>
      </c>
      <c r="L2215" s="369">
        <f>+IF((C2215&gt;='Resultats - informe'!$E$16)*(C2215&lt;='Resultats - informe'!$G$16),1,0)</f>
        <v>1</v>
      </c>
      <c r="M2215" s="369" cm="1">
        <f t="array" ref="M2215">+_xlfn.IFS((C2215&gt;='Resultats - informe'!$D$26)*(C2215&lt;='Resultats - informe'!$E$26),0,(C2215&gt;='Resultats - informe'!$D$27)*(C2215&lt;='Resultats - informe'!$E$27),0,(C2215&gt;='Resultats - informe'!$D$28)*(C2215&lt;='Resultats - informe'!$E$28),0,(C2215&gt;='Resultats - informe'!$D$29)*(C2215&lt;='Resultats - informe'!$E$29),0,1,1)</f>
        <v>0</v>
      </c>
      <c r="N2215" s="366">
        <f>+VLOOKUP(D2215,'Resultats - informe'!$Y$18:$AG$42,'Introducció dades consum'!K2215+1,0)</f>
        <v>0</v>
      </c>
      <c r="O2215" s="370" cm="1">
        <f t="array" ref="O2215">+_xlfn.SWITCH(MONTH(C2215),1,1,2,1,3,1,4,2,5,2,6,3,7,3,8,3,9,3,10,2,11,2,12,1,2)</f>
        <v>1</v>
      </c>
      <c r="P2215" s="43"/>
    </row>
    <row r="2216" spans="1:16" ht="18" x14ac:dyDescent="0.35">
      <c r="A2216" s="43"/>
      <c r="C2216" s="393"/>
      <c r="E2216" s="394"/>
      <c r="F2216" s="394">
        <v>0</v>
      </c>
      <c r="G2216" s="394"/>
      <c r="H2216" s="8" t="s">
        <v>61</v>
      </c>
      <c r="I2216" s="368">
        <f t="shared" si="103"/>
        <v>0</v>
      </c>
      <c r="J2216" s="365">
        <f t="shared" si="102"/>
        <v>0</v>
      </c>
      <c r="K2216" s="369">
        <f t="shared" si="104"/>
        <v>6</v>
      </c>
      <c r="L2216" s="369">
        <f>+IF((C2216&gt;='Resultats - informe'!$E$16)*(C2216&lt;='Resultats - informe'!$G$16),1,0)</f>
        <v>1</v>
      </c>
      <c r="M2216" s="369" cm="1">
        <f t="array" ref="M2216">+_xlfn.IFS((C2216&gt;='Resultats - informe'!$D$26)*(C2216&lt;='Resultats - informe'!$E$26),0,(C2216&gt;='Resultats - informe'!$D$27)*(C2216&lt;='Resultats - informe'!$E$27),0,(C2216&gt;='Resultats - informe'!$D$28)*(C2216&lt;='Resultats - informe'!$E$28),0,(C2216&gt;='Resultats - informe'!$D$29)*(C2216&lt;='Resultats - informe'!$E$29),0,1,1)</f>
        <v>0</v>
      </c>
      <c r="N2216" s="366">
        <f>+VLOOKUP(D2216,'Resultats - informe'!$Y$18:$AG$42,'Introducció dades consum'!K2216+1,0)</f>
        <v>0</v>
      </c>
      <c r="O2216" s="370" cm="1">
        <f t="array" ref="O2216">+_xlfn.SWITCH(MONTH(C2216),1,1,2,1,3,1,4,2,5,2,6,3,7,3,8,3,9,3,10,2,11,2,12,1,2)</f>
        <v>1</v>
      </c>
      <c r="P2216" s="43"/>
    </row>
    <row r="2217" spans="1:16" ht="18" x14ac:dyDescent="0.35">
      <c r="A2217" s="43"/>
      <c r="C2217" s="393"/>
      <c r="E2217" s="394"/>
      <c r="F2217" s="394">
        <v>0</v>
      </c>
      <c r="G2217" s="394"/>
      <c r="H2217" s="8" t="s">
        <v>61</v>
      </c>
      <c r="I2217" s="368">
        <f t="shared" si="103"/>
        <v>0</v>
      </c>
      <c r="J2217" s="365">
        <f t="shared" si="102"/>
        <v>0</v>
      </c>
      <c r="K2217" s="369">
        <f t="shared" si="104"/>
        <v>6</v>
      </c>
      <c r="L2217" s="369">
        <f>+IF((C2217&gt;='Resultats - informe'!$E$16)*(C2217&lt;='Resultats - informe'!$G$16),1,0)</f>
        <v>1</v>
      </c>
      <c r="M2217" s="369" cm="1">
        <f t="array" ref="M2217">+_xlfn.IFS((C2217&gt;='Resultats - informe'!$D$26)*(C2217&lt;='Resultats - informe'!$E$26),0,(C2217&gt;='Resultats - informe'!$D$27)*(C2217&lt;='Resultats - informe'!$E$27),0,(C2217&gt;='Resultats - informe'!$D$28)*(C2217&lt;='Resultats - informe'!$E$28),0,(C2217&gt;='Resultats - informe'!$D$29)*(C2217&lt;='Resultats - informe'!$E$29),0,1,1)</f>
        <v>0</v>
      </c>
      <c r="N2217" s="366">
        <f>+VLOOKUP(D2217,'Resultats - informe'!$Y$18:$AG$42,'Introducció dades consum'!K2217+1,0)</f>
        <v>0</v>
      </c>
      <c r="O2217" s="370" cm="1">
        <f t="array" ref="O2217">+_xlfn.SWITCH(MONTH(C2217),1,1,2,1,3,1,4,2,5,2,6,3,7,3,8,3,9,3,10,2,11,2,12,1,2)</f>
        <v>1</v>
      </c>
      <c r="P2217" s="43"/>
    </row>
    <row r="2218" spans="1:16" ht="18" x14ac:dyDescent="0.35">
      <c r="A2218" s="43"/>
      <c r="C2218" s="393"/>
      <c r="E2218" s="394"/>
      <c r="F2218" s="394">
        <v>0</v>
      </c>
      <c r="G2218" s="394"/>
      <c r="H2218" s="8" t="s">
        <v>61</v>
      </c>
      <c r="I2218" s="368">
        <f t="shared" si="103"/>
        <v>0</v>
      </c>
      <c r="J2218" s="365">
        <f t="shared" si="102"/>
        <v>0</v>
      </c>
      <c r="K2218" s="369">
        <f t="shared" si="104"/>
        <v>6</v>
      </c>
      <c r="L2218" s="369">
        <f>+IF((C2218&gt;='Resultats - informe'!$E$16)*(C2218&lt;='Resultats - informe'!$G$16),1,0)</f>
        <v>1</v>
      </c>
      <c r="M2218" s="369" cm="1">
        <f t="array" ref="M2218">+_xlfn.IFS((C2218&gt;='Resultats - informe'!$D$26)*(C2218&lt;='Resultats - informe'!$E$26),0,(C2218&gt;='Resultats - informe'!$D$27)*(C2218&lt;='Resultats - informe'!$E$27),0,(C2218&gt;='Resultats - informe'!$D$28)*(C2218&lt;='Resultats - informe'!$E$28),0,(C2218&gt;='Resultats - informe'!$D$29)*(C2218&lt;='Resultats - informe'!$E$29),0,1,1)</f>
        <v>0</v>
      </c>
      <c r="N2218" s="366">
        <f>+VLOOKUP(D2218,'Resultats - informe'!$Y$18:$AG$42,'Introducció dades consum'!K2218+1,0)</f>
        <v>0</v>
      </c>
      <c r="O2218" s="370" cm="1">
        <f t="array" ref="O2218">+_xlfn.SWITCH(MONTH(C2218),1,1,2,1,3,1,4,2,5,2,6,3,7,3,8,3,9,3,10,2,11,2,12,1,2)</f>
        <v>1</v>
      </c>
      <c r="P2218" s="43"/>
    </row>
    <row r="2219" spans="1:16" ht="18" x14ac:dyDescent="0.35">
      <c r="A2219" s="43"/>
      <c r="C2219" s="393"/>
      <c r="E2219" s="394"/>
      <c r="F2219" s="394">
        <v>0</v>
      </c>
      <c r="G2219" s="394"/>
      <c r="H2219" s="8" t="s">
        <v>61</v>
      </c>
      <c r="I2219" s="368">
        <f t="shared" si="103"/>
        <v>0</v>
      </c>
      <c r="J2219" s="365">
        <f t="shared" si="102"/>
        <v>0</v>
      </c>
      <c r="K2219" s="369">
        <f t="shared" si="104"/>
        <v>6</v>
      </c>
      <c r="L2219" s="369">
        <f>+IF((C2219&gt;='Resultats - informe'!$E$16)*(C2219&lt;='Resultats - informe'!$G$16),1,0)</f>
        <v>1</v>
      </c>
      <c r="M2219" s="369" cm="1">
        <f t="array" ref="M2219">+_xlfn.IFS((C2219&gt;='Resultats - informe'!$D$26)*(C2219&lt;='Resultats - informe'!$E$26),0,(C2219&gt;='Resultats - informe'!$D$27)*(C2219&lt;='Resultats - informe'!$E$27),0,(C2219&gt;='Resultats - informe'!$D$28)*(C2219&lt;='Resultats - informe'!$E$28),0,(C2219&gt;='Resultats - informe'!$D$29)*(C2219&lt;='Resultats - informe'!$E$29),0,1,1)</f>
        <v>0</v>
      </c>
      <c r="N2219" s="366">
        <f>+VLOOKUP(D2219,'Resultats - informe'!$Y$18:$AG$42,'Introducció dades consum'!K2219+1,0)</f>
        <v>0</v>
      </c>
      <c r="O2219" s="370" cm="1">
        <f t="array" ref="O2219">+_xlfn.SWITCH(MONTH(C2219),1,1,2,1,3,1,4,2,5,2,6,3,7,3,8,3,9,3,10,2,11,2,12,1,2)</f>
        <v>1</v>
      </c>
      <c r="P2219" s="43"/>
    </row>
    <row r="2220" spans="1:16" ht="18" x14ac:dyDescent="0.35">
      <c r="A2220" s="43"/>
      <c r="C2220" s="393"/>
      <c r="E2220" s="394"/>
      <c r="F2220" s="394">
        <v>0</v>
      </c>
      <c r="G2220" s="394"/>
      <c r="H2220" s="8" t="s">
        <v>61</v>
      </c>
      <c r="I2220" s="368">
        <f t="shared" si="103"/>
        <v>0</v>
      </c>
      <c r="J2220" s="365">
        <f t="shared" si="102"/>
        <v>0</v>
      </c>
      <c r="K2220" s="369">
        <f t="shared" si="104"/>
        <v>6</v>
      </c>
      <c r="L2220" s="369">
        <f>+IF((C2220&gt;='Resultats - informe'!$E$16)*(C2220&lt;='Resultats - informe'!$G$16),1,0)</f>
        <v>1</v>
      </c>
      <c r="M2220" s="369" cm="1">
        <f t="array" ref="M2220">+_xlfn.IFS((C2220&gt;='Resultats - informe'!$D$26)*(C2220&lt;='Resultats - informe'!$E$26),0,(C2220&gt;='Resultats - informe'!$D$27)*(C2220&lt;='Resultats - informe'!$E$27),0,(C2220&gt;='Resultats - informe'!$D$28)*(C2220&lt;='Resultats - informe'!$E$28),0,(C2220&gt;='Resultats - informe'!$D$29)*(C2220&lt;='Resultats - informe'!$E$29),0,1,1)</f>
        <v>0</v>
      </c>
      <c r="N2220" s="366">
        <f>+VLOOKUP(D2220,'Resultats - informe'!$Y$18:$AG$42,'Introducció dades consum'!K2220+1,0)</f>
        <v>0</v>
      </c>
      <c r="O2220" s="370" cm="1">
        <f t="array" ref="O2220">+_xlfn.SWITCH(MONTH(C2220),1,1,2,1,3,1,4,2,5,2,6,3,7,3,8,3,9,3,10,2,11,2,12,1,2)</f>
        <v>1</v>
      </c>
      <c r="P2220" s="43"/>
    </row>
    <row r="2221" spans="1:16" ht="18" x14ac:dyDescent="0.35">
      <c r="A2221" s="43"/>
      <c r="C2221" s="393"/>
      <c r="E2221" s="394"/>
      <c r="F2221" s="394">
        <v>0</v>
      </c>
      <c r="G2221" s="394"/>
      <c r="H2221" s="8" t="s">
        <v>61</v>
      </c>
      <c r="I2221" s="368">
        <f t="shared" si="103"/>
        <v>0</v>
      </c>
      <c r="J2221" s="365">
        <f t="shared" si="102"/>
        <v>0</v>
      </c>
      <c r="K2221" s="369">
        <f t="shared" si="104"/>
        <v>6</v>
      </c>
      <c r="L2221" s="369">
        <f>+IF((C2221&gt;='Resultats - informe'!$E$16)*(C2221&lt;='Resultats - informe'!$G$16),1,0)</f>
        <v>1</v>
      </c>
      <c r="M2221" s="369" cm="1">
        <f t="array" ref="M2221">+_xlfn.IFS((C2221&gt;='Resultats - informe'!$D$26)*(C2221&lt;='Resultats - informe'!$E$26),0,(C2221&gt;='Resultats - informe'!$D$27)*(C2221&lt;='Resultats - informe'!$E$27),0,(C2221&gt;='Resultats - informe'!$D$28)*(C2221&lt;='Resultats - informe'!$E$28),0,(C2221&gt;='Resultats - informe'!$D$29)*(C2221&lt;='Resultats - informe'!$E$29),0,1,1)</f>
        <v>0</v>
      </c>
      <c r="N2221" s="366">
        <f>+VLOOKUP(D2221,'Resultats - informe'!$Y$18:$AG$42,'Introducció dades consum'!K2221+1,0)</f>
        <v>0</v>
      </c>
      <c r="O2221" s="370" cm="1">
        <f t="array" ref="O2221">+_xlfn.SWITCH(MONTH(C2221),1,1,2,1,3,1,4,2,5,2,6,3,7,3,8,3,9,3,10,2,11,2,12,1,2)</f>
        <v>1</v>
      </c>
      <c r="P2221" s="43"/>
    </row>
    <row r="2222" spans="1:16" ht="18" x14ac:dyDescent="0.35">
      <c r="A2222" s="43"/>
      <c r="C2222" s="393"/>
      <c r="E2222" s="394"/>
      <c r="F2222" s="394">
        <v>2.504</v>
      </c>
      <c r="G2222" s="394"/>
      <c r="H2222" s="8" t="s">
        <v>235</v>
      </c>
      <c r="I2222" s="368">
        <f t="shared" si="103"/>
        <v>0</v>
      </c>
      <c r="J2222" s="365">
        <f t="shared" si="102"/>
        <v>0</v>
      </c>
      <c r="K2222" s="369">
        <f t="shared" si="104"/>
        <v>6</v>
      </c>
      <c r="L2222" s="369">
        <f>+IF((C2222&gt;='Resultats - informe'!$E$16)*(C2222&lt;='Resultats - informe'!$G$16),1,0)</f>
        <v>1</v>
      </c>
      <c r="M2222" s="369" cm="1">
        <f t="array" ref="M2222">+_xlfn.IFS((C2222&gt;='Resultats - informe'!$D$26)*(C2222&lt;='Resultats - informe'!$E$26),0,(C2222&gt;='Resultats - informe'!$D$27)*(C2222&lt;='Resultats - informe'!$E$27),0,(C2222&gt;='Resultats - informe'!$D$28)*(C2222&lt;='Resultats - informe'!$E$28),0,(C2222&gt;='Resultats - informe'!$D$29)*(C2222&lt;='Resultats - informe'!$E$29),0,1,1)</f>
        <v>0</v>
      </c>
      <c r="N2222" s="366">
        <f>+VLOOKUP(D2222,'Resultats - informe'!$Y$18:$AG$42,'Introducció dades consum'!K2222+1,0)</f>
        <v>0</v>
      </c>
      <c r="O2222" s="370" cm="1">
        <f t="array" ref="O2222">+_xlfn.SWITCH(MONTH(C2222),1,1,2,1,3,1,4,2,5,2,6,3,7,3,8,3,9,3,10,2,11,2,12,1,2)</f>
        <v>1</v>
      </c>
      <c r="P2222" s="43"/>
    </row>
    <row r="2223" spans="1:16" ht="18" x14ac:dyDescent="0.35">
      <c r="A2223" s="43"/>
      <c r="C2223" s="393"/>
      <c r="E2223" s="394"/>
      <c r="F2223" s="394">
        <v>3.2240000000000002</v>
      </c>
      <c r="G2223" s="394"/>
      <c r="H2223" s="8" t="s">
        <v>235</v>
      </c>
      <c r="I2223" s="368">
        <f t="shared" si="103"/>
        <v>0</v>
      </c>
      <c r="J2223" s="365">
        <f t="shared" si="102"/>
        <v>0</v>
      </c>
      <c r="K2223" s="369">
        <f t="shared" si="104"/>
        <v>6</v>
      </c>
      <c r="L2223" s="369">
        <f>+IF((C2223&gt;='Resultats - informe'!$E$16)*(C2223&lt;='Resultats - informe'!$G$16),1,0)</f>
        <v>1</v>
      </c>
      <c r="M2223" s="369" cm="1">
        <f t="array" ref="M2223">+_xlfn.IFS((C2223&gt;='Resultats - informe'!$D$26)*(C2223&lt;='Resultats - informe'!$E$26),0,(C2223&gt;='Resultats - informe'!$D$27)*(C2223&lt;='Resultats - informe'!$E$27),0,(C2223&gt;='Resultats - informe'!$D$28)*(C2223&lt;='Resultats - informe'!$E$28),0,(C2223&gt;='Resultats - informe'!$D$29)*(C2223&lt;='Resultats - informe'!$E$29),0,1,1)</f>
        <v>0</v>
      </c>
      <c r="N2223" s="366">
        <f>+VLOOKUP(D2223,'Resultats - informe'!$Y$18:$AG$42,'Introducció dades consum'!K2223+1,0)</f>
        <v>0</v>
      </c>
      <c r="O2223" s="370" cm="1">
        <f t="array" ref="O2223">+_xlfn.SWITCH(MONTH(C2223),1,1,2,1,3,1,4,2,5,2,6,3,7,3,8,3,9,3,10,2,11,2,12,1,2)</f>
        <v>1</v>
      </c>
      <c r="P2223" s="43"/>
    </row>
    <row r="2224" spans="1:16" ht="18" x14ac:dyDescent="0.35">
      <c r="A2224" s="43"/>
      <c r="C2224" s="393"/>
      <c r="E2224" s="394"/>
      <c r="F2224" s="394">
        <v>4.5460000000000003</v>
      </c>
      <c r="G2224" s="394"/>
      <c r="H2224" s="8" t="s">
        <v>61</v>
      </c>
      <c r="I2224" s="368">
        <f t="shared" si="103"/>
        <v>0</v>
      </c>
      <c r="J2224" s="365">
        <f t="shared" si="102"/>
        <v>0</v>
      </c>
      <c r="K2224" s="369">
        <f t="shared" si="104"/>
        <v>6</v>
      </c>
      <c r="L2224" s="369">
        <f>+IF((C2224&gt;='Resultats - informe'!$E$16)*(C2224&lt;='Resultats - informe'!$G$16),1,0)</f>
        <v>1</v>
      </c>
      <c r="M2224" s="369" cm="1">
        <f t="array" ref="M2224">+_xlfn.IFS((C2224&gt;='Resultats - informe'!$D$26)*(C2224&lt;='Resultats - informe'!$E$26),0,(C2224&gt;='Resultats - informe'!$D$27)*(C2224&lt;='Resultats - informe'!$E$27),0,(C2224&gt;='Resultats - informe'!$D$28)*(C2224&lt;='Resultats - informe'!$E$28),0,(C2224&gt;='Resultats - informe'!$D$29)*(C2224&lt;='Resultats - informe'!$E$29),0,1,1)</f>
        <v>0</v>
      </c>
      <c r="N2224" s="366">
        <f>+VLOOKUP(D2224,'Resultats - informe'!$Y$18:$AG$42,'Introducció dades consum'!K2224+1,0)</f>
        <v>0</v>
      </c>
      <c r="O2224" s="370" cm="1">
        <f t="array" ref="O2224">+_xlfn.SWITCH(MONTH(C2224),1,1,2,1,3,1,4,2,5,2,6,3,7,3,8,3,9,3,10,2,11,2,12,1,2)</f>
        <v>1</v>
      </c>
      <c r="P2224" s="43"/>
    </row>
    <row r="2225" spans="1:16" ht="18" x14ac:dyDescent="0.35">
      <c r="A2225" s="43"/>
      <c r="C2225" s="393"/>
      <c r="E2225" s="394"/>
      <c r="F2225" s="394">
        <v>2.58</v>
      </c>
      <c r="G2225" s="394"/>
      <c r="H2225" s="8" t="s">
        <v>235</v>
      </c>
      <c r="I2225" s="368">
        <f t="shared" si="103"/>
        <v>0</v>
      </c>
      <c r="J2225" s="365">
        <f t="shared" si="102"/>
        <v>0</v>
      </c>
      <c r="K2225" s="369">
        <f t="shared" si="104"/>
        <v>6</v>
      </c>
      <c r="L2225" s="369">
        <f>+IF((C2225&gt;='Resultats - informe'!$E$16)*(C2225&lt;='Resultats - informe'!$G$16),1,0)</f>
        <v>1</v>
      </c>
      <c r="M2225" s="369" cm="1">
        <f t="array" ref="M2225">+_xlfn.IFS((C2225&gt;='Resultats - informe'!$D$26)*(C2225&lt;='Resultats - informe'!$E$26),0,(C2225&gt;='Resultats - informe'!$D$27)*(C2225&lt;='Resultats - informe'!$E$27),0,(C2225&gt;='Resultats - informe'!$D$28)*(C2225&lt;='Resultats - informe'!$E$28),0,(C2225&gt;='Resultats - informe'!$D$29)*(C2225&lt;='Resultats - informe'!$E$29),0,1,1)</f>
        <v>0</v>
      </c>
      <c r="N2225" s="366">
        <f>+VLOOKUP(D2225,'Resultats - informe'!$Y$18:$AG$42,'Introducció dades consum'!K2225+1,0)</f>
        <v>0</v>
      </c>
      <c r="O2225" s="370" cm="1">
        <f t="array" ref="O2225">+_xlfn.SWITCH(MONTH(C2225),1,1,2,1,3,1,4,2,5,2,6,3,7,3,8,3,9,3,10,2,11,2,12,1,2)</f>
        <v>1</v>
      </c>
      <c r="P2225" s="43"/>
    </row>
    <row r="2226" spans="1:16" ht="18" x14ac:dyDescent="0.35">
      <c r="A2226" s="43"/>
      <c r="C2226" s="393"/>
      <c r="E2226" s="394"/>
      <c r="F2226" s="394">
        <v>2.4129999999999998</v>
      </c>
      <c r="G2226" s="394"/>
      <c r="H2226" s="8" t="s">
        <v>235</v>
      </c>
      <c r="I2226" s="368">
        <f t="shared" si="103"/>
        <v>0</v>
      </c>
      <c r="J2226" s="365">
        <f t="shared" si="102"/>
        <v>0</v>
      </c>
      <c r="K2226" s="369">
        <f t="shared" si="104"/>
        <v>6</v>
      </c>
      <c r="L2226" s="369">
        <f>+IF((C2226&gt;='Resultats - informe'!$E$16)*(C2226&lt;='Resultats - informe'!$G$16),1,0)</f>
        <v>1</v>
      </c>
      <c r="M2226" s="369" cm="1">
        <f t="array" ref="M2226">+_xlfn.IFS((C2226&gt;='Resultats - informe'!$D$26)*(C2226&lt;='Resultats - informe'!$E$26),0,(C2226&gt;='Resultats - informe'!$D$27)*(C2226&lt;='Resultats - informe'!$E$27),0,(C2226&gt;='Resultats - informe'!$D$28)*(C2226&lt;='Resultats - informe'!$E$28),0,(C2226&gt;='Resultats - informe'!$D$29)*(C2226&lt;='Resultats - informe'!$E$29),0,1,1)</f>
        <v>0</v>
      </c>
      <c r="N2226" s="366">
        <f>+VLOOKUP(D2226,'Resultats - informe'!$Y$18:$AG$42,'Introducció dades consum'!K2226+1,0)</f>
        <v>0</v>
      </c>
      <c r="O2226" s="370" cm="1">
        <f t="array" ref="O2226">+_xlfn.SWITCH(MONTH(C2226),1,1,2,1,3,1,4,2,5,2,6,3,7,3,8,3,9,3,10,2,11,2,12,1,2)</f>
        <v>1</v>
      </c>
      <c r="P2226" s="43"/>
    </row>
    <row r="2227" spans="1:16" ht="18" x14ac:dyDescent="0.35">
      <c r="A2227" s="43"/>
      <c r="C2227" s="393"/>
      <c r="E2227" s="394"/>
      <c r="F2227" s="394">
        <v>2.4129999999999998</v>
      </c>
      <c r="G2227" s="394"/>
      <c r="H2227" s="8" t="s">
        <v>235</v>
      </c>
      <c r="I2227" s="368">
        <f t="shared" si="103"/>
        <v>0</v>
      </c>
      <c r="J2227" s="365">
        <f t="shared" si="102"/>
        <v>0</v>
      </c>
      <c r="K2227" s="369">
        <f t="shared" si="104"/>
        <v>6</v>
      </c>
      <c r="L2227" s="369">
        <f>+IF((C2227&gt;='Resultats - informe'!$E$16)*(C2227&lt;='Resultats - informe'!$G$16),1,0)</f>
        <v>1</v>
      </c>
      <c r="M2227" s="369" cm="1">
        <f t="array" ref="M2227">+_xlfn.IFS((C2227&gt;='Resultats - informe'!$D$26)*(C2227&lt;='Resultats - informe'!$E$26),0,(C2227&gt;='Resultats - informe'!$D$27)*(C2227&lt;='Resultats - informe'!$E$27),0,(C2227&gt;='Resultats - informe'!$D$28)*(C2227&lt;='Resultats - informe'!$E$28),0,(C2227&gt;='Resultats - informe'!$D$29)*(C2227&lt;='Resultats - informe'!$E$29),0,1,1)</f>
        <v>0</v>
      </c>
      <c r="N2227" s="366">
        <f>+VLOOKUP(D2227,'Resultats - informe'!$Y$18:$AG$42,'Introducció dades consum'!K2227+1,0)</f>
        <v>0</v>
      </c>
      <c r="O2227" s="370" cm="1">
        <f t="array" ref="O2227">+_xlfn.SWITCH(MONTH(C2227),1,1,2,1,3,1,4,2,5,2,6,3,7,3,8,3,9,3,10,2,11,2,12,1,2)</f>
        <v>1</v>
      </c>
      <c r="P2227" s="43"/>
    </row>
    <row r="2228" spans="1:16" ht="18" x14ac:dyDescent="0.35">
      <c r="A2228" s="43"/>
      <c r="C2228" s="393"/>
      <c r="E2228" s="394"/>
      <c r="F2228" s="394">
        <v>1.2350000000000001</v>
      </c>
      <c r="G2228" s="394"/>
      <c r="H2228" s="8" t="s">
        <v>235</v>
      </c>
      <c r="I2228" s="368">
        <f t="shared" si="103"/>
        <v>0</v>
      </c>
      <c r="J2228" s="365">
        <f t="shared" si="102"/>
        <v>0</v>
      </c>
      <c r="K2228" s="369">
        <f t="shared" si="104"/>
        <v>6</v>
      </c>
      <c r="L2228" s="369">
        <f>+IF((C2228&gt;='Resultats - informe'!$E$16)*(C2228&lt;='Resultats - informe'!$G$16),1,0)</f>
        <v>1</v>
      </c>
      <c r="M2228" s="369" cm="1">
        <f t="array" ref="M2228">+_xlfn.IFS((C2228&gt;='Resultats - informe'!$D$26)*(C2228&lt;='Resultats - informe'!$E$26),0,(C2228&gt;='Resultats - informe'!$D$27)*(C2228&lt;='Resultats - informe'!$E$27),0,(C2228&gt;='Resultats - informe'!$D$28)*(C2228&lt;='Resultats - informe'!$E$28),0,(C2228&gt;='Resultats - informe'!$D$29)*(C2228&lt;='Resultats - informe'!$E$29),0,1,1)</f>
        <v>0</v>
      </c>
      <c r="N2228" s="366">
        <f>+VLOOKUP(D2228,'Resultats - informe'!$Y$18:$AG$42,'Introducció dades consum'!K2228+1,0)</f>
        <v>0</v>
      </c>
      <c r="O2228" s="370" cm="1">
        <f t="array" ref="O2228">+_xlfn.SWITCH(MONTH(C2228),1,1,2,1,3,1,4,2,5,2,6,3,7,3,8,3,9,3,10,2,11,2,12,1,2)</f>
        <v>1</v>
      </c>
      <c r="P2228" s="43"/>
    </row>
    <row r="2229" spans="1:16" ht="18" x14ac:dyDescent="0.35">
      <c r="A2229" s="43"/>
      <c r="C2229" s="393"/>
      <c r="E2229" s="394"/>
      <c r="F2229" s="394">
        <v>0</v>
      </c>
      <c r="G2229" s="394"/>
      <c r="H2229" s="8" t="s">
        <v>235</v>
      </c>
      <c r="I2229" s="368">
        <f t="shared" si="103"/>
        <v>0</v>
      </c>
      <c r="J2229" s="365">
        <f t="shared" si="102"/>
        <v>0</v>
      </c>
      <c r="K2229" s="369">
        <f t="shared" si="104"/>
        <v>6</v>
      </c>
      <c r="L2229" s="369">
        <f>+IF((C2229&gt;='Resultats - informe'!$E$16)*(C2229&lt;='Resultats - informe'!$G$16),1,0)</f>
        <v>1</v>
      </c>
      <c r="M2229" s="369" cm="1">
        <f t="array" ref="M2229">+_xlfn.IFS((C2229&gt;='Resultats - informe'!$D$26)*(C2229&lt;='Resultats - informe'!$E$26),0,(C2229&gt;='Resultats - informe'!$D$27)*(C2229&lt;='Resultats - informe'!$E$27),0,(C2229&gt;='Resultats - informe'!$D$28)*(C2229&lt;='Resultats - informe'!$E$28),0,(C2229&gt;='Resultats - informe'!$D$29)*(C2229&lt;='Resultats - informe'!$E$29),0,1,1)</f>
        <v>0</v>
      </c>
      <c r="N2229" s="366">
        <f>+VLOOKUP(D2229,'Resultats - informe'!$Y$18:$AG$42,'Introducció dades consum'!K2229+1,0)</f>
        <v>0</v>
      </c>
      <c r="O2229" s="370" cm="1">
        <f t="array" ref="O2229">+_xlfn.SWITCH(MONTH(C2229),1,1,2,1,3,1,4,2,5,2,6,3,7,3,8,3,9,3,10,2,11,2,12,1,2)</f>
        <v>1</v>
      </c>
      <c r="P2229" s="43"/>
    </row>
    <row r="2230" spans="1:16" ht="18" x14ac:dyDescent="0.35">
      <c r="A2230" s="43"/>
      <c r="C2230" s="393"/>
      <c r="E2230" s="394"/>
      <c r="F2230" s="394">
        <v>0.36</v>
      </c>
      <c r="G2230" s="394"/>
      <c r="H2230" s="8" t="s">
        <v>61</v>
      </c>
      <c r="I2230" s="368">
        <f t="shared" si="103"/>
        <v>0</v>
      </c>
      <c r="J2230" s="365">
        <f t="shared" si="102"/>
        <v>0</v>
      </c>
      <c r="K2230" s="369">
        <f t="shared" si="104"/>
        <v>6</v>
      </c>
      <c r="L2230" s="369">
        <f>+IF((C2230&gt;='Resultats - informe'!$E$16)*(C2230&lt;='Resultats - informe'!$G$16),1,0)</f>
        <v>1</v>
      </c>
      <c r="M2230" s="369" cm="1">
        <f t="array" ref="M2230">+_xlfn.IFS((C2230&gt;='Resultats - informe'!$D$26)*(C2230&lt;='Resultats - informe'!$E$26),0,(C2230&gt;='Resultats - informe'!$D$27)*(C2230&lt;='Resultats - informe'!$E$27),0,(C2230&gt;='Resultats - informe'!$D$28)*(C2230&lt;='Resultats - informe'!$E$28),0,(C2230&gt;='Resultats - informe'!$D$29)*(C2230&lt;='Resultats - informe'!$E$29),0,1,1)</f>
        <v>0</v>
      </c>
      <c r="N2230" s="366">
        <f>+VLOOKUP(D2230,'Resultats - informe'!$Y$18:$AG$42,'Introducció dades consum'!K2230+1,0)</f>
        <v>0</v>
      </c>
      <c r="O2230" s="370" cm="1">
        <f t="array" ref="O2230">+_xlfn.SWITCH(MONTH(C2230),1,1,2,1,3,1,4,2,5,2,6,3,7,3,8,3,9,3,10,2,11,2,12,1,2)</f>
        <v>1</v>
      </c>
      <c r="P2230" s="43"/>
    </row>
    <row r="2231" spans="1:16" ht="18" x14ac:dyDescent="0.35">
      <c r="A2231" s="43"/>
      <c r="C2231" s="393"/>
      <c r="E2231" s="394"/>
      <c r="F2231" s="394">
        <v>0</v>
      </c>
      <c r="G2231" s="394"/>
      <c r="H2231" s="8" t="s">
        <v>61</v>
      </c>
      <c r="I2231" s="368">
        <f t="shared" si="103"/>
        <v>0</v>
      </c>
      <c r="J2231" s="365">
        <f t="shared" si="102"/>
        <v>0</v>
      </c>
      <c r="K2231" s="369">
        <f t="shared" si="104"/>
        <v>6</v>
      </c>
      <c r="L2231" s="369">
        <f>+IF((C2231&gt;='Resultats - informe'!$E$16)*(C2231&lt;='Resultats - informe'!$G$16),1,0)</f>
        <v>1</v>
      </c>
      <c r="M2231" s="369" cm="1">
        <f t="array" ref="M2231">+_xlfn.IFS((C2231&gt;='Resultats - informe'!$D$26)*(C2231&lt;='Resultats - informe'!$E$26),0,(C2231&gt;='Resultats - informe'!$D$27)*(C2231&lt;='Resultats - informe'!$E$27),0,(C2231&gt;='Resultats - informe'!$D$28)*(C2231&lt;='Resultats - informe'!$E$28),0,(C2231&gt;='Resultats - informe'!$D$29)*(C2231&lt;='Resultats - informe'!$E$29),0,1,1)</f>
        <v>0</v>
      </c>
      <c r="N2231" s="366">
        <f>+VLOOKUP(D2231,'Resultats - informe'!$Y$18:$AG$42,'Introducció dades consum'!K2231+1,0)</f>
        <v>0</v>
      </c>
      <c r="O2231" s="370" cm="1">
        <f t="array" ref="O2231">+_xlfn.SWITCH(MONTH(C2231),1,1,2,1,3,1,4,2,5,2,6,3,7,3,8,3,9,3,10,2,11,2,12,1,2)</f>
        <v>1</v>
      </c>
      <c r="P2231" s="43"/>
    </row>
    <row r="2232" spans="1:16" ht="18" x14ac:dyDescent="0.35">
      <c r="A2232" s="43"/>
      <c r="C2232" s="393"/>
      <c r="E2232" s="394"/>
      <c r="F2232" s="394">
        <v>0</v>
      </c>
      <c r="G2232" s="394"/>
      <c r="H2232" s="8" t="s">
        <v>235</v>
      </c>
      <c r="I2232" s="368">
        <f t="shared" si="103"/>
        <v>0</v>
      </c>
      <c r="J2232" s="365">
        <f t="shared" si="102"/>
        <v>0</v>
      </c>
      <c r="K2232" s="369">
        <f t="shared" si="104"/>
        <v>6</v>
      </c>
      <c r="L2232" s="369">
        <f>+IF((C2232&gt;='Resultats - informe'!$E$16)*(C2232&lt;='Resultats - informe'!$G$16),1,0)</f>
        <v>1</v>
      </c>
      <c r="M2232" s="369" cm="1">
        <f t="array" ref="M2232">+_xlfn.IFS((C2232&gt;='Resultats - informe'!$D$26)*(C2232&lt;='Resultats - informe'!$E$26),0,(C2232&gt;='Resultats - informe'!$D$27)*(C2232&lt;='Resultats - informe'!$E$27),0,(C2232&gt;='Resultats - informe'!$D$28)*(C2232&lt;='Resultats - informe'!$E$28),0,(C2232&gt;='Resultats - informe'!$D$29)*(C2232&lt;='Resultats - informe'!$E$29),0,1,1)</f>
        <v>0</v>
      </c>
      <c r="N2232" s="366">
        <f>+VLOOKUP(D2232,'Resultats - informe'!$Y$18:$AG$42,'Introducció dades consum'!K2232+1,0)</f>
        <v>0</v>
      </c>
      <c r="O2232" s="370" cm="1">
        <f t="array" ref="O2232">+_xlfn.SWITCH(MONTH(C2232),1,1,2,1,3,1,4,2,5,2,6,3,7,3,8,3,9,3,10,2,11,2,12,1,2)</f>
        <v>1</v>
      </c>
      <c r="P2232" s="43"/>
    </row>
    <row r="2233" spans="1:16" ht="18" x14ac:dyDescent="0.35">
      <c r="A2233" s="43"/>
      <c r="C2233" s="393"/>
      <c r="E2233" s="394"/>
      <c r="F2233" s="394">
        <v>0</v>
      </c>
      <c r="G2233" s="394"/>
      <c r="H2233" s="8" t="s">
        <v>235</v>
      </c>
      <c r="I2233" s="368">
        <f t="shared" si="103"/>
        <v>0</v>
      </c>
      <c r="J2233" s="365">
        <f t="shared" si="102"/>
        <v>0</v>
      </c>
      <c r="K2233" s="369">
        <f t="shared" si="104"/>
        <v>6</v>
      </c>
      <c r="L2233" s="369">
        <f>+IF((C2233&gt;='Resultats - informe'!$E$16)*(C2233&lt;='Resultats - informe'!$G$16),1,0)</f>
        <v>1</v>
      </c>
      <c r="M2233" s="369" cm="1">
        <f t="array" ref="M2233">+_xlfn.IFS((C2233&gt;='Resultats - informe'!$D$26)*(C2233&lt;='Resultats - informe'!$E$26),0,(C2233&gt;='Resultats - informe'!$D$27)*(C2233&lt;='Resultats - informe'!$E$27),0,(C2233&gt;='Resultats - informe'!$D$28)*(C2233&lt;='Resultats - informe'!$E$28),0,(C2233&gt;='Resultats - informe'!$D$29)*(C2233&lt;='Resultats - informe'!$E$29),0,1,1)</f>
        <v>0</v>
      </c>
      <c r="N2233" s="366">
        <f>+VLOOKUP(D2233,'Resultats - informe'!$Y$18:$AG$42,'Introducció dades consum'!K2233+1,0)</f>
        <v>0</v>
      </c>
      <c r="O2233" s="370" cm="1">
        <f t="array" ref="O2233">+_xlfn.SWITCH(MONTH(C2233),1,1,2,1,3,1,4,2,5,2,6,3,7,3,8,3,9,3,10,2,11,2,12,1,2)</f>
        <v>1</v>
      </c>
      <c r="P2233" s="43"/>
    </row>
    <row r="2234" spans="1:16" ht="18" x14ac:dyDescent="0.35">
      <c r="A2234" s="43"/>
      <c r="C2234" s="393"/>
      <c r="E2234" s="394"/>
      <c r="F2234" s="394">
        <v>0</v>
      </c>
      <c r="G2234" s="394"/>
      <c r="H2234" s="8" t="s">
        <v>235</v>
      </c>
      <c r="I2234" s="368">
        <f t="shared" si="103"/>
        <v>0</v>
      </c>
      <c r="J2234" s="365">
        <f t="shared" si="102"/>
        <v>0</v>
      </c>
      <c r="K2234" s="369">
        <f t="shared" si="104"/>
        <v>6</v>
      </c>
      <c r="L2234" s="369">
        <f>+IF((C2234&gt;='Resultats - informe'!$E$16)*(C2234&lt;='Resultats - informe'!$G$16),1,0)</f>
        <v>1</v>
      </c>
      <c r="M2234" s="369" cm="1">
        <f t="array" ref="M2234">+_xlfn.IFS((C2234&gt;='Resultats - informe'!$D$26)*(C2234&lt;='Resultats - informe'!$E$26),0,(C2234&gt;='Resultats - informe'!$D$27)*(C2234&lt;='Resultats - informe'!$E$27),0,(C2234&gt;='Resultats - informe'!$D$28)*(C2234&lt;='Resultats - informe'!$E$28),0,(C2234&gt;='Resultats - informe'!$D$29)*(C2234&lt;='Resultats - informe'!$E$29),0,1,1)</f>
        <v>0</v>
      </c>
      <c r="N2234" s="366">
        <f>+VLOOKUP(D2234,'Resultats - informe'!$Y$18:$AG$42,'Introducció dades consum'!K2234+1,0)</f>
        <v>0</v>
      </c>
      <c r="O2234" s="370" cm="1">
        <f t="array" ref="O2234">+_xlfn.SWITCH(MONTH(C2234),1,1,2,1,3,1,4,2,5,2,6,3,7,3,8,3,9,3,10,2,11,2,12,1,2)</f>
        <v>1</v>
      </c>
      <c r="P2234" s="43"/>
    </row>
    <row r="2235" spans="1:16" ht="18" x14ac:dyDescent="0.35">
      <c r="A2235" s="43"/>
      <c r="C2235" s="393"/>
      <c r="E2235" s="394"/>
      <c r="F2235" s="394">
        <v>0</v>
      </c>
      <c r="G2235" s="394"/>
      <c r="H2235" s="8" t="s">
        <v>61</v>
      </c>
      <c r="I2235" s="368">
        <f t="shared" si="103"/>
        <v>0</v>
      </c>
      <c r="J2235" s="365">
        <f t="shared" ref="J2235:J2298" si="105">+C2235</f>
        <v>0</v>
      </c>
      <c r="K2235" s="369">
        <f t="shared" si="104"/>
        <v>6</v>
      </c>
      <c r="L2235" s="369">
        <f>+IF((C2235&gt;='Resultats - informe'!$E$16)*(C2235&lt;='Resultats - informe'!$G$16),1,0)</f>
        <v>1</v>
      </c>
      <c r="M2235" s="369" cm="1">
        <f t="array" ref="M2235">+_xlfn.IFS((C2235&gt;='Resultats - informe'!$D$26)*(C2235&lt;='Resultats - informe'!$E$26),0,(C2235&gt;='Resultats - informe'!$D$27)*(C2235&lt;='Resultats - informe'!$E$27),0,(C2235&gt;='Resultats - informe'!$D$28)*(C2235&lt;='Resultats - informe'!$E$28),0,(C2235&gt;='Resultats - informe'!$D$29)*(C2235&lt;='Resultats - informe'!$E$29),0,1,1)</f>
        <v>0</v>
      </c>
      <c r="N2235" s="366">
        <f>+VLOOKUP(D2235,'Resultats - informe'!$Y$18:$AG$42,'Introducció dades consum'!K2235+1,0)</f>
        <v>0</v>
      </c>
      <c r="O2235" s="370" cm="1">
        <f t="array" ref="O2235">+_xlfn.SWITCH(MONTH(C2235),1,1,2,1,3,1,4,2,5,2,6,3,7,3,8,3,9,3,10,2,11,2,12,1,2)</f>
        <v>1</v>
      </c>
      <c r="P2235" s="43"/>
    </row>
    <row r="2236" spans="1:16" ht="18" x14ac:dyDescent="0.35">
      <c r="A2236" s="43"/>
      <c r="C2236" s="393"/>
      <c r="E2236" s="394"/>
      <c r="F2236" s="394">
        <v>0</v>
      </c>
      <c r="G2236" s="394"/>
      <c r="H2236" s="8" t="s">
        <v>61</v>
      </c>
      <c r="I2236" s="368">
        <f t="shared" si="103"/>
        <v>0</v>
      </c>
      <c r="J2236" s="365">
        <f t="shared" si="105"/>
        <v>0</v>
      </c>
      <c r="K2236" s="369">
        <f t="shared" si="104"/>
        <v>6</v>
      </c>
      <c r="L2236" s="369">
        <f>+IF((C2236&gt;='Resultats - informe'!$E$16)*(C2236&lt;='Resultats - informe'!$G$16),1,0)</f>
        <v>1</v>
      </c>
      <c r="M2236" s="369" cm="1">
        <f t="array" ref="M2236">+_xlfn.IFS((C2236&gt;='Resultats - informe'!$D$26)*(C2236&lt;='Resultats - informe'!$E$26),0,(C2236&gt;='Resultats - informe'!$D$27)*(C2236&lt;='Resultats - informe'!$E$27),0,(C2236&gt;='Resultats - informe'!$D$28)*(C2236&lt;='Resultats - informe'!$E$28),0,(C2236&gt;='Resultats - informe'!$D$29)*(C2236&lt;='Resultats - informe'!$E$29),0,1,1)</f>
        <v>0</v>
      </c>
      <c r="N2236" s="366">
        <f>+VLOOKUP(D2236,'Resultats - informe'!$Y$18:$AG$42,'Introducció dades consum'!K2236+1,0)</f>
        <v>0</v>
      </c>
      <c r="O2236" s="370" cm="1">
        <f t="array" ref="O2236">+_xlfn.SWITCH(MONTH(C2236),1,1,2,1,3,1,4,2,5,2,6,3,7,3,8,3,9,3,10,2,11,2,12,1,2)</f>
        <v>1</v>
      </c>
      <c r="P2236" s="43"/>
    </row>
    <row r="2237" spans="1:16" ht="18" x14ac:dyDescent="0.35">
      <c r="A2237" s="43"/>
      <c r="C2237" s="393"/>
      <c r="E2237" s="394"/>
      <c r="F2237" s="394">
        <v>0</v>
      </c>
      <c r="G2237" s="394"/>
      <c r="H2237" s="8" t="s">
        <v>61</v>
      </c>
      <c r="I2237" s="368">
        <f t="shared" si="103"/>
        <v>0</v>
      </c>
      <c r="J2237" s="365">
        <f t="shared" si="105"/>
        <v>0</v>
      </c>
      <c r="K2237" s="369">
        <f t="shared" si="104"/>
        <v>6</v>
      </c>
      <c r="L2237" s="369">
        <f>+IF((C2237&gt;='Resultats - informe'!$E$16)*(C2237&lt;='Resultats - informe'!$G$16),1,0)</f>
        <v>1</v>
      </c>
      <c r="M2237" s="369" cm="1">
        <f t="array" ref="M2237">+_xlfn.IFS((C2237&gt;='Resultats - informe'!$D$26)*(C2237&lt;='Resultats - informe'!$E$26),0,(C2237&gt;='Resultats - informe'!$D$27)*(C2237&lt;='Resultats - informe'!$E$27),0,(C2237&gt;='Resultats - informe'!$D$28)*(C2237&lt;='Resultats - informe'!$E$28),0,(C2237&gt;='Resultats - informe'!$D$29)*(C2237&lt;='Resultats - informe'!$E$29),0,1,1)</f>
        <v>0</v>
      </c>
      <c r="N2237" s="366">
        <f>+VLOOKUP(D2237,'Resultats - informe'!$Y$18:$AG$42,'Introducció dades consum'!K2237+1,0)</f>
        <v>0</v>
      </c>
      <c r="O2237" s="370" cm="1">
        <f t="array" ref="O2237">+_xlfn.SWITCH(MONTH(C2237),1,1,2,1,3,1,4,2,5,2,6,3,7,3,8,3,9,3,10,2,11,2,12,1,2)</f>
        <v>1</v>
      </c>
      <c r="P2237" s="43"/>
    </row>
    <row r="2238" spans="1:16" ht="18" x14ac:dyDescent="0.35">
      <c r="A2238" s="43"/>
      <c r="C2238" s="393"/>
      <c r="E2238" s="394"/>
      <c r="F2238" s="394">
        <v>0</v>
      </c>
      <c r="G2238" s="394"/>
      <c r="H2238" s="8" t="s">
        <v>61</v>
      </c>
      <c r="I2238" s="368">
        <f t="shared" si="103"/>
        <v>0</v>
      </c>
      <c r="J2238" s="365">
        <f t="shared" si="105"/>
        <v>0</v>
      </c>
      <c r="K2238" s="369">
        <f t="shared" si="104"/>
        <v>6</v>
      </c>
      <c r="L2238" s="369">
        <f>+IF((C2238&gt;='Resultats - informe'!$E$16)*(C2238&lt;='Resultats - informe'!$G$16),1,0)</f>
        <v>1</v>
      </c>
      <c r="M2238" s="369" cm="1">
        <f t="array" ref="M2238">+_xlfn.IFS((C2238&gt;='Resultats - informe'!$D$26)*(C2238&lt;='Resultats - informe'!$E$26),0,(C2238&gt;='Resultats - informe'!$D$27)*(C2238&lt;='Resultats - informe'!$E$27),0,(C2238&gt;='Resultats - informe'!$D$28)*(C2238&lt;='Resultats - informe'!$E$28),0,(C2238&gt;='Resultats - informe'!$D$29)*(C2238&lt;='Resultats - informe'!$E$29),0,1,1)</f>
        <v>0</v>
      </c>
      <c r="N2238" s="366">
        <f>+VLOOKUP(D2238,'Resultats - informe'!$Y$18:$AG$42,'Introducció dades consum'!K2238+1,0)</f>
        <v>0</v>
      </c>
      <c r="O2238" s="370" cm="1">
        <f t="array" ref="O2238">+_xlfn.SWITCH(MONTH(C2238),1,1,2,1,3,1,4,2,5,2,6,3,7,3,8,3,9,3,10,2,11,2,12,1,2)</f>
        <v>1</v>
      </c>
      <c r="P2238" s="43"/>
    </row>
    <row r="2239" spans="1:16" ht="18" x14ac:dyDescent="0.35">
      <c r="A2239" s="43"/>
      <c r="C2239" s="393"/>
      <c r="E2239" s="394"/>
      <c r="F2239" s="394">
        <v>0</v>
      </c>
      <c r="G2239" s="394"/>
      <c r="H2239" s="8" t="s">
        <v>61</v>
      </c>
      <c r="I2239" s="368">
        <f t="shared" si="103"/>
        <v>0</v>
      </c>
      <c r="J2239" s="365">
        <f t="shared" si="105"/>
        <v>0</v>
      </c>
      <c r="K2239" s="369">
        <f t="shared" si="104"/>
        <v>6</v>
      </c>
      <c r="L2239" s="369">
        <f>+IF((C2239&gt;='Resultats - informe'!$E$16)*(C2239&lt;='Resultats - informe'!$G$16),1,0)</f>
        <v>1</v>
      </c>
      <c r="M2239" s="369" cm="1">
        <f t="array" ref="M2239">+_xlfn.IFS((C2239&gt;='Resultats - informe'!$D$26)*(C2239&lt;='Resultats - informe'!$E$26),0,(C2239&gt;='Resultats - informe'!$D$27)*(C2239&lt;='Resultats - informe'!$E$27),0,(C2239&gt;='Resultats - informe'!$D$28)*(C2239&lt;='Resultats - informe'!$E$28),0,(C2239&gt;='Resultats - informe'!$D$29)*(C2239&lt;='Resultats - informe'!$E$29),0,1,1)</f>
        <v>0</v>
      </c>
      <c r="N2239" s="366">
        <f>+VLOOKUP(D2239,'Resultats - informe'!$Y$18:$AG$42,'Introducció dades consum'!K2239+1,0)</f>
        <v>0</v>
      </c>
      <c r="O2239" s="370" cm="1">
        <f t="array" ref="O2239">+_xlfn.SWITCH(MONTH(C2239),1,1,2,1,3,1,4,2,5,2,6,3,7,3,8,3,9,3,10,2,11,2,12,1,2)</f>
        <v>1</v>
      </c>
      <c r="P2239" s="43"/>
    </row>
    <row r="2240" spans="1:16" ht="18" x14ac:dyDescent="0.35">
      <c r="A2240" s="43"/>
      <c r="C2240" s="393"/>
      <c r="E2240" s="394"/>
      <c r="F2240" s="394">
        <v>0</v>
      </c>
      <c r="G2240" s="394"/>
      <c r="H2240" s="8" t="s">
        <v>235</v>
      </c>
      <c r="I2240" s="368">
        <f t="shared" si="103"/>
        <v>0</v>
      </c>
      <c r="J2240" s="365">
        <f t="shared" si="105"/>
        <v>0</v>
      </c>
      <c r="K2240" s="369">
        <f t="shared" si="104"/>
        <v>6</v>
      </c>
      <c r="L2240" s="369">
        <f>+IF((C2240&gt;='Resultats - informe'!$E$16)*(C2240&lt;='Resultats - informe'!$G$16),1,0)</f>
        <v>1</v>
      </c>
      <c r="M2240" s="369" cm="1">
        <f t="array" ref="M2240">+_xlfn.IFS((C2240&gt;='Resultats - informe'!$D$26)*(C2240&lt;='Resultats - informe'!$E$26),0,(C2240&gt;='Resultats - informe'!$D$27)*(C2240&lt;='Resultats - informe'!$E$27),0,(C2240&gt;='Resultats - informe'!$D$28)*(C2240&lt;='Resultats - informe'!$E$28),0,(C2240&gt;='Resultats - informe'!$D$29)*(C2240&lt;='Resultats - informe'!$E$29),0,1,1)</f>
        <v>0</v>
      </c>
      <c r="N2240" s="366">
        <f>+VLOOKUP(D2240,'Resultats - informe'!$Y$18:$AG$42,'Introducció dades consum'!K2240+1,0)</f>
        <v>0</v>
      </c>
      <c r="O2240" s="370" cm="1">
        <f t="array" ref="O2240">+_xlfn.SWITCH(MONTH(C2240),1,1,2,1,3,1,4,2,5,2,6,3,7,3,8,3,9,3,10,2,11,2,12,1,2)</f>
        <v>1</v>
      </c>
      <c r="P2240" s="43"/>
    </row>
    <row r="2241" spans="1:16" ht="18" x14ac:dyDescent="0.35">
      <c r="A2241" s="43"/>
      <c r="C2241" s="393"/>
      <c r="E2241" s="394"/>
      <c r="F2241" s="394">
        <v>0</v>
      </c>
      <c r="G2241" s="394"/>
      <c r="H2241" s="8" t="s">
        <v>235</v>
      </c>
      <c r="I2241" s="368">
        <f t="shared" si="103"/>
        <v>0</v>
      </c>
      <c r="J2241" s="365">
        <f t="shared" si="105"/>
        <v>0</v>
      </c>
      <c r="K2241" s="369">
        <f t="shared" si="104"/>
        <v>6</v>
      </c>
      <c r="L2241" s="369">
        <f>+IF((C2241&gt;='Resultats - informe'!$E$16)*(C2241&lt;='Resultats - informe'!$G$16),1,0)</f>
        <v>1</v>
      </c>
      <c r="M2241" s="369" cm="1">
        <f t="array" ref="M2241">+_xlfn.IFS((C2241&gt;='Resultats - informe'!$D$26)*(C2241&lt;='Resultats - informe'!$E$26),0,(C2241&gt;='Resultats - informe'!$D$27)*(C2241&lt;='Resultats - informe'!$E$27),0,(C2241&gt;='Resultats - informe'!$D$28)*(C2241&lt;='Resultats - informe'!$E$28),0,(C2241&gt;='Resultats - informe'!$D$29)*(C2241&lt;='Resultats - informe'!$E$29),0,1,1)</f>
        <v>0</v>
      </c>
      <c r="N2241" s="366">
        <f>+VLOOKUP(D2241,'Resultats - informe'!$Y$18:$AG$42,'Introducció dades consum'!K2241+1,0)</f>
        <v>0</v>
      </c>
      <c r="O2241" s="370" cm="1">
        <f t="array" ref="O2241">+_xlfn.SWITCH(MONTH(C2241),1,1,2,1,3,1,4,2,5,2,6,3,7,3,8,3,9,3,10,2,11,2,12,1,2)</f>
        <v>1</v>
      </c>
      <c r="P2241" s="43"/>
    </row>
    <row r="2242" spans="1:16" ht="18" x14ac:dyDescent="0.35">
      <c r="A2242" s="43"/>
      <c r="C2242" s="393"/>
      <c r="E2242" s="394"/>
      <c r="F2242" s="394">
        <v>0</v>
      </c>
      <c r="G2242" s="394"/>
      <c r="H2242" s="8" t="s">
        <v>61</v>
      </c>
      <c r="I2242" s="368">
        <f t="shared" si="103"/>
        <v>0</v>
      </c>
      <c r="J2242" s="365">
        <f t="shared" si="105"/>
        <v>0</v>
      </c>
      <c r="K2242" s="369">
        <f t="shared" si="104"/>
        <v>6</v>
      </c>
      <c r="L2242" s="369">
        <f>+IF((C2242&gt;='Resultats - informe'!$E$16)*(C2242&lt;='Resultats - informe'!$G$16),1,0)</f>
        <v>1</v>
      </c>
      <c r="M2242" s="369" cm="1">
        <f t="array" ref="M2242">+_xlfn.IFS((C2242&gt;='Resultats - informe'!$D$26)*(C2242&lt;='Resultats - informe'!$E$26),0,(C2242&gt;='Resultats - informe'!$D$27)*(C2242&lt;='Resultats - informe'!$E$27),0,(C2242&gt;='Resultats - informe'!$D$28)*(C2242&lt;='Resultats - informe'!$E$28),0,(C2242&gt;='Resultats - informe'!$D$29)*(C2242&lt;='Resultats - informe'!$E$29),0,1,1)</f>
        <v>0</v>
      </c>
      <c r="N2242" s="366">
        <f>+VLOOKUP(D2242,'Resultats - informe'!$Y$18:$AG$42,'Introducció dades consum'!K2242+1,0)</f>
        <v>0</v>
      </c>
      <c r="O2242" s="370" cm="1">
        <f t="array" ref="O2242">+_xlfn.SWITCH(MONTH(C2242),1,1,2,1,3,1,4,2,5,2,6,3,7,3,8,3,9,3,10,2,11,2,12,1,2)</f>
        <v>1</v>
      </c>
      <c r="P2242" s="43"/>
    </row>
    <row r="2243" spans="1:16" ht="18" x14ac:dyDescent="0.35">
      <c r="A2243" s="43"/>
      <c r="C2243" s="393"/>
      <c r="E2243" s="394"/>
      <c r="F2243" s="394">
        <v>0</v>
      </c>
      <c r="G2243" s="394"/>
      <c r="H2243" s="8" t="s">
        <v>61</v>
      </c>
      <c r="I2243" s="368">
        <f t="shared" si="103"/>
        <v>0</v>
      </c>
      <c r="J2243" s="365">
        <f t="shared" si="105"/>
        <v>0</v>
      </c>
      <c r="K2243" s="369">
        <f t="shared" si="104"/>
        <v>6</v>
      </c>
      <c r="L2243" s="369">
        <f>+IF((C2243&gt;='Resultats - informe'!$E$16)*(C2243&lt;='Resultats - informe'!$G$16),1,0)</f>
        <v>1</v>
      </c>
      <c r="M2243" s="369" cm="1">
        <f t="array" ref="M2243">+_xlfn.IFS((C2243&gt;='Resultats - informe'!$D$26)*(C2243&lt;='Resultats - informe'!$E$26),0,(C2243&gt;='Resultats - informe'!$D$27)*(C2243&lt;='Resultats - informe'!$E$27),0,(C2243&gt;='Resultats - informe'!$D$28)*(C2243&lt;='Resultats - informe'!$E$28),0,(C2243&gt;='Resultats - informe'!$D$29)*(C2243&lt;='Resultats - informe'!$E$29),0,1,1)</f>
        <v>0</v>
      </c>
      <c r="N2243" s="366">
        <f>+VLOOKUP(D2243,'Resultats - informe'!$Y$18:$AG$42,'Introducció dades consum'!K2243+1,0)</f>
        <v>0</v>
      </c>
      <c r="O2243" s="370" cm="1">
        <f t="array" ref="O2243">+_xlfn.SWITCH(MONTH(C2243),1,1,2,1,3,1,4,2,5,2,6,3,7,3,8,3,9,3,10,2,11,2,12,1,2)</f>
        <v>1</v>
      </c>
      <c r="P2243" s="43"/>
    </row>
    <row r="2244" spans="1:16" ht="18" x14ac:dyDescent="0.35">
      <c r="A2244" s="43"/>
      <c r="C2244" s="393"/>
      <c r="E2244" s="394"/>
      <c r="F2244" s="394">
        <v>0</v>
      </c>
      <c r="G2244" s="394"/>
      <c r="H2244" s="8" t="s">
        <v>61</v>
      </c>
      <c r="I2244" s="368">
        <f t="shared" si="103"/>
        <v>0</v>
      </c>
      <c r="J2244" s="365">
        <f t="shared" si="105"/>
        <v>0</v>
      </c>
      <c r="K2244" s="369">
        <f t="shared" si="104"/>
        <v>6</v>
      </c>
      <c r="L2244" s="369">
        <f>+IF((C2244&gt;='Resultats - informe'!$E$16)*(C2244&lt;='Resultats - informe'!$G$16),1,0)</f>
        <v>1</v>
      </c>
      <c r="M2244" s="369" cm="1">
        <f t="array" ref="M2244">+_xlfn.IFS((C2244&gt;='Resultats - informe'!$D$26)*(C2244&lt;='Resultats - informe'!$E$26),0,(C2244&gt;='Resultats - informe'!$D$27)*(C2244&lt;='Resultats - informe'!$E$27),0,(C2244&gt;='Resultats - informe'!$D$28)*(C2244&lt;='Resultats - informe'!$E$28),0,(C2244&gt;='Resultats - informe'!$D$29)*(C2244&lt;='Resultats - informe'!$E$29),0,1,1)</f>
        <v>0</v>
      </c>
      <c r="N2244" s="366">
        <f>+VLOOKUP(D2244,'Resultats - informe'!$Y$18:$AG$42,'Introducció dades consum'!K2244+1,0)</f>
        <v>0</v>
      </c>
      <c r="O2244" s="370" cm="1">
        <f t="array" ref="O2244">+_xlfn.SWITCH(MONTH(C2244),1,1,2,1,3,1,4,2,5,2,6,3,7,3,8,3,9,3,10,2,11,2,12,1,2)</f>
        <v>1</v>
      </c>
      <c r="P2244" s="43"/>
    </row>
    <row r="2245" spans="1:16" ht="18" x14ac:dyDescent="0.35">
      <c r="A2245" s="43"/>
      <c r="C2245" s="393"/>
      <c r="E2245" s="394"/>
      <c r="F2245" s="394">
        <v>0</v>
      </c>
      <c r="G2245" s="394"/>
      <c r="H2245" s="8" t="s">
        <v>61</v>
      </c>
      <c r="I2245" s="368">
        <f t="shared" si="103"/>
        <v>0</v>
      </c>
      <c r="J2245" s="365">
        <f t="shared" si="105"/>
        <v>0</v>
      </c>
      <c r="K2245" s="369">
        <f t="shared" si="104"/>
        <v>6</v>
      </c>
      <c r="L2245" s="369">
        <f>+IF((C2245&gt;='Resultats - informe'!$E$16)*(C2245&lt;='Resultats - informe'!$G$16),1,0)</f>
        <v>1</v>
      </c>
      <c r="M2245" s="369" cm="1">
        <f t="array" ref="M2245">+_xlfn.IFS((C2245&gt;='Resultats - informe'!$D$26)*(C2245&lt;='Resultats - informe'!$E$26),0,(C2245&gt;='Resultats - informe'!$D$27)*(C2245&lt;='Resultats - informe'!$E$27),0,(C2245&gt;='Resultats - informe'!$D$28)*(C2245&lt;='Resultats - informe'!$E$28),0,(C2245&gt;='Resultats - informe'!$D$29)*(C2245&lt;='Resultats - informe'!$E$29),0,1,1)</f>
        <v>0</v>
      </c>
      <c r="N2245" s="366">
        <f>+VLOOKUP(D2245,'Resultats - informe'!$Y$18:$AG$42,'Introducció dades consum'!K2245+1,0)</f>
        <v>0</v>
      </c>
      <c r="O2245" s="370" cm="1">
        <f t="array" ref="O2245">+_xlfn.SWITCH(MONTH(C2245),1,1,2,1,3,1,4,2,5,2,6,3,7,3,8,3,9,3,10,2,11,2,12,1,2)</f>
        <v>1</v>
      </c>
      <c r="P2245" s="43"/>
    </row>
    <row r="2246" spans="1:16" ht="18" x14ac:dyDescent="0.35">
      <c r="A2246" s="43"/>
      <c r="C2246" s="393"/>
      <c r="E2246" s="394"/>
      <c r="F2246" s="394">
        <v>0</v>
      </c>
      <c r="G2246" s="394"/>
      <c r="H2246" s="8" t="s">
        <v>61</v>
      </c>
      <c r="I2246" s="368">
        <f t="shared" ref="I2246:I2309" si="106">+E2246+G2246</f>
        <v>0</v>
      </c>
      <c r="J2246" s="365">
        <f t="shared" si="105"/>
        <v>0</v>
      </c>
      <c r="K2246" s="369">
        <f t="shared" ref="K2246:K2309" si="107">+WEEKDAY(C2246,2)</f>
        <v>6</v>
      </c>
      <c r="L2246" s="369">
        <f>+IF((C2246&gt;='Resultats - informe'!$E$16)*(C2246&lt;='Resultats - informe'!$G$16),1,0)</f>
        <v>1</v>
      </c>
      <c r="M2246" s="369" cm="1">
        <f t="array" ref="M2246">+_xlfn.IFS((C2246&gt;='Resultats - informe'!$D$26)*(C2246&lt;='Resultats - informe'!$E$26),0,(C2246&gt;='Resultats - informe'!$D$27)*(C2246&lt;='Resultats - informe'!$E$27),0,(C2246&gt;='Resultats - informe'!$D$28)*(C2246&lt;='Resultats - informe'!$E$28),0,(C2246&gt;='Resultats - informe'!$D$29)*(C2246&lt;='Resultats - informe'!$E$29),0,1,1)</f>
        <v>0</v>
      </c>
      <c r="N2246" s="366">
        <f>+VLOOKUP(D2246,'Resultats - informe'!$Y$18:$AG$42,'Introducció dades consum'!K2246+1,0)</f>
        <v>0</v>
      </c>
      <c r="O2246" s="370" cm="1">
        <f t="array" ref="O2246">+_xlfn.SWITCH(MONTH(C2246),1,1,2,1,3,1,4,2,5,2,6,3,7,3,8,3,9,3,10,2,11,2,12,1,2)</f>
        <v>1</v>
      </c>
      <c r="P2246" s="43"/>
    </row>
    <row r="2247" spans="1:16" ht="18" x14ac:dyDescent="0.35">
      <c r="A2247" s="43"/>
      <c r="C2247" s="393"/>
      <c r="E2247" s="394"/>
      <c r="F2247" s="394">
        <v>0</v>
      </c>
      <c r="G2247" s="394"/>
      <c r="H2247" s="8" t="s">
        <v>61</v>
      </c>
      <c r="I2247" s="368">
        <f t="shared" si="106"/>
        <v>0</v>
      </c>
      <c r="J2247" s="365">
        <f t="shared" si="105"/>
        <v>0</v>
      </c>
      <c r="K2247" s="369">
        <f t="shared" si="107"/>
        <v>6</v>
      </c>
      <c r="L2247" s="369">
        <f>+IF((C2247&gt;='Resultats - informe'!$E$16)*(C2247&lt;='Resultats - informe'!$G$16),1,0)</f>
        <v>1</v>
      </c>
      <c r="M2247" s="369" cm="1">
        <f t="array" ref="M2247">+_xlfn.IFS((C2247&gt;='Resultats - informe'!$D$26)*(C2247&lt;='Resultats - informe'!$E$26),0,(C2247&gt;='Resultats - informe'!$D$27)*(C2247&lt;='Resultats - informe'!$E$27),0,(C2247&gt;='Resultats - informe'!$D$28)*(C2247&lt;='Resultats - informe'!$E$28),0,(C2247&gt;='Resultats - informe'!$D$29)*(C2247&lt;='Resultats - informe'!$E$29),0,1,1)</f>
        <v>0</v>
      </c>
      <c r="N2247" s="366">
        <f>+VLOOKUP(D2247,'Resultats - informe'!$Y$18:$AG$42,'Introducció dades consum'!K2247+1,0)</f>
        <v>0</v>
      </c>
      <c r="O2247" s="370" cm="1">
        <f t="array" ref="O2247">+_xlfn.SWITCH(MONTH(C2247),1,1,2,1,3,1,4,2,5,2,6,3,7,3,8,3,9,3,10,2,11,2,12,1,2)</f>
        <v>1</v>
      </c>
      <c r="P2247" s="43"/>
    </row>
    <row r="2248" spans="1:16" ht="18" x14ac:dyDescent="0.35">
      <c r="A2248" s="43"/>
      <c r="C2248" s="393"/>
      <c r="E2248" s="394"/>
      <c r="F2248" s="394">
        <v>0.70399999999999996</v>
      </c>
      <c r="G2248" s="394"/>
      <c r="H2248" s="8" t="s">
        <v>61</v>
      </c>
      <c r="I2248" s="368">
        <f t="shared" si="106"/>
        <v>0</v>
      </c>
      <c r="J2248" s="365">
        <f t="shared" si="105"/>
        <v>0</v>
      </c>
      <c r="K2248" s="369">
        <f t="shared" si="107"/>
        <v>6</v>
      </c>
      <c r="L2248" s="369">
        <f>+IF((C2248&gt;='Resultats - informe'!$E$16)*(C2248&lt;='Resultats - informe'!$G$16),1,0)</f>
        <v>1</v>
      </c>
      <c r="M2248" s="369" cm="1">
        <f t="array" ref="M2248">+_xlfn.IFS((C2248&gt;='Resultats - informe'!$D$26)*(C2248&lt;='Resultats - informe'!$E$26),0,(C2248&gt;='Resultats - informe'!$D$27)*(C2248&lt;='Resultats - informe'!$E$27),0,(C2248&gt;='Resultats - informe'!$D$28)*(C2248&lt;='Resultats - informe'!$E$28),0,(C2248&gt;='Resultats - informe'!$D$29)*(C2248&lt;='Resultats - informe'!$E$29),0,1,1)</f>
        <v>0</v>
      </c>
      <c r="N2248" s="366">
        <f>+VLOOKUP(D2248,'Resultats - informe'!$Y$18:$AG$42,'Introducció dades consum'!K2248+1,0)</f>
        <v>0</v>
      </c>
      <c r="O2248" s="370" cm="1">
        <f t="array" ref="O2248">+_xlfn.SWITCH(MONTH(C2248),1,1,2,1,3,1,4,2,5,2,6,3,7,3,8,3,9,3,10,2,11,2,12,1,2)</f>
        <v>1</v>
      </c>
      <c r="P2248" s="43"/>
    </row>
    <row r="2249" spans="1:16" ht="18" x14ac:dyDescent="0.35">
      <c r="A2249" s="43"/>
      <c r="C2249" s="393"/>
      <c r="E2249" s="394"/>
      <c r="F2249" s="394">
        <v>2.5680000000000001</v>
      </c>
      <c r="G2249" s="394"/>
      <c r="H2249" s="8" t="s">
        <v>61</v>
      </c>
      <c r="I2249" s="368">
        <f t="shared" si="106"/>
        <v>0</v>
      </c>
      <c r="J2249" s="365">
        <f t="shared" si="105"/>
        <v>0</v>
      </c>
      <c r="K2249" s="369">
        <f t="shared" si="107"/>
        <v>6</v>
      </c>
      <c r="L2249" s="369">
        <f>+IF((C2249&gt;='Resultats - informe'!$E$16)*(C2249&lt;='Resultats - informe'!$G$16),1,0)</f>
        <v>1</v>
      </c>
      <c r="M2249" s="369" cm="1">
        <f t="array" ref="M2249">+_xlfn.IFS((C2249&gt;='Resultats - informe'!$D$26)*(C2249&lt;='Resultats - informe'!$E$26),0,(C2249&gt;='Resultats - informe'!$D$27)*(C2249&lt;='Resultats - informe'!$E$27),0,(C2249&gt;='Resultats - informe'!$D$28)*(C2249&lt;='Resultats - informe'!$E$28),0,(C2249&gt;='Resultats - informe'!$D$29)*(C2249&lt;='Resultats - informe'!$E$29),0,1,1)</f>
        <v>0</v>
      </c>
      <c r="N2249" s="366">
        <f>+VLOOKUP(D2249,'Resultats - informe'!$Y$18:$AG$42,'Introducció dades consum'!K2249+1,0)</f>
        <v>0</v>
      </c>
      <c r="O2249" s="370" cm="1">
        <f t="array" ref="O2249">+_xlfn.SWITCH(MONTH(C2249),1,1,2,1,3,1,4,2,5,2,6,3,7,3,8,3,9,3,10,2,11,2,12,1,2)</f>
        <v>1</v>
      </c>
      <c r="P2249" s="43"/>
    </row>
    <row r="2250" spans="1:16" ht="18" x14ac:dyDescent="0.35">
      <c r="A2250" s="43"/>
      <c r="C2250" s="393"/>
      <c r="E2250" s="394"/>
      <c r="F2250" s="394">
        <v>0.99199999999999999</v>
      </c>
      <c r="G2250" s="394"/>
      <c r="H2250" s="8" t="s">
        <v>61</v>
      </c>
      <c r="I2250" s="368">
        <f t="shared" si="106"/>
        <v>0</v>
      </c>
      <c r="J2250" s="365">
        <f t="shared" si="105"/>
        <v>0</v>
      </c>
      <c r="K2250" s="369">
        <f t="shared" si="107"/>
        <v>6</v>
      </c>
      <c r="L2250" s="369">
        <f>+IF((C2250&gt;='Resultats - informe'!$E$16)*(C2250&lt;='Resultats - informe'!$G$16),1,0)</f>
        <v>1</v>
      </c>
      <c r="M2250" s="369" cm="1">
        <f t="array" ref="M2250">+_xlfn.IFS((C2250&gt;='Resultats - informe'!$D$26)*(C2250&lt;='Resultats - informe'!$E$26),0,(C2250&gt;='Resultats - informe'!$D$27)*(C2250&lt;='Resultats - informe'!$E$27),0,(C2250&gt;='Resultats - informe'!$D$28)*(C2250&lt;='Resultats - informe'!$E$28),0,(C2250&gt;='Resultats - informe'!$D$29)*(C2250&lt;='Resultats - informe'!$E$29),0,1,1)</f>
        <v>0</v>
      </c>
      <c r="N2250" s="366">
        <f>+VLOOKUP(D2250,'Resultats - informe'!$Y$18:$AG$42,'Introducció dades consum'!K2250+1,0)</f>
        <v>0</v>
      </c>
      <c r="O2250" s="370" cm="1">
        <f t="array" ref="O2250">+_xlfn.SWITCH(MONTH(C2250),1,1,2,1,3,1,4,2,5,2,6,3,7,3,8,3,9,3,10,2,11,2,12,1,2)</f>
        <v>1</v>
      </c>
      <c r="P2250" s="43"/>
    </row>
    <row r="2251" spans="1:16" ht="18" x14ac:dyDescent="0.35">
      <c r="A2251" s="43"/>
      <c r="C2251" s="393"/>
      <c r="E2251" s="394"/>
      <c r="F2251" s="394">
        <v>2.4449999999999998</v>
      </c>
      <c r="G2251" s="394"/>
      <c r="H2251" s="8" t="s">
        <v>235</v>
      </c>
      <c r="I2251" s="368">
        <f t="shared" si="106"/>
        <v>0</v>
      </c>
      <c r="J2251" s="365">
        <f t="shared" si="105"/>
        <v>0</v>
      </c>
      <c r="K2251" s="369">
        <f t="shared" si="107"/>
        <v>6</v>
      </c>
      <c r="L2251" s="369">
        <f>+IF((C2251&gt;='Resultats - informe'!$E$16)*(C2251&lt;='Resultats - informe'!$G$16),1,0)</f>
        <v>1</v>
      </c>
      <c r="M2251" s="369" cm="1">
        <f t="array" ref="M2251">+_xlfn.IFS((C2251&gt;='Resultats - informe'!$D$26)*(C2251&lt;='Resultats - informe'!$E$26),0,(C2251&gt;='Resultats - informe'!$D$27)*(C2251&lt;='Resultats - informe'!$E$27),0,(C2251&gt;='Resultats - informe'!$D$28)*(C2251&lt;='Resultats - informe'!$E$28),0,(C2251&gt;='Resultats - informe'!$D$29)*(C2251&lt;='Resultats - informe'!$E$29),0,1,1)</f>
        <v>0</v>
      </c>
      <c r="N2251" s="366">
        <f>+VLOOKUP(D2251,'Resultats - informe'!$Y$18:$AG$42,'Introducció dades consum'!K2251+1,0)</f>
        <v>0</v>
      </c>
      <c r="O2251" s="370" cm="1">
        <f t="array" ref="O2251">+_xlfn.SWITCH(MONTH(C2251),1,1,2,1,3,1,4,2,5,2,6,3,7,3,8,3,9,3,10,2,11,2,12,1,2)</f>
        <v>1</v>
      </c>
      <c r="P2251" s="43"/>
    </row>
    <row r="2252" spans="1:16" ht="18" x14ac:dyDescent="0.35">
      <c r="A2252" s="43"/>
      <c r="C2252" s="393"/>
      <c r="E2252" s="394"/>
      <c r="F2252" s="394">
        <v>1.2709999999999999</v>
      </c>
      <c r="G2252" s="394"/>
      <c r="H2252" s="8" t="s">
        <v>235</v>
      </c>
      <c r="I2252" s="368">
        <f t="shared" si="106"/>
        <v>0</v>
      </c>
      <c r="J2252" s="365">
        <f t="shared" si="105"/>
        <v>0</v>
      </c>
      <c r="K2252" s="369">
        <f t="shared" si="107"/>
        <v>6</v>
      </c>
      <c r="L2252" s="369">
        <f>+IF((C2252&gt;='Resultats - informe'!$E$16)*(C2252&lt;='Resultats - informe'!$G$16),1,0)</f>
        <v>1</v>
      </c>
      <c r="M2252" s="369" cm="1">
        <f t="array" ref="M2252">+_xlfn.IFS((C2252&gt;='Resultats - informe'!$D$26)*(C2252&lt;='Resultats - informe'!$E$26),0,(C2252&gt;='Resultats - informe'!$D$27)*(C2252&lt;='Resultats - informe'!$E$27),0,(C2252&gt;='Resultats - informe'!$D$28)*(C2252&lt;='Resultats - informe'!$E$28),0,(C2252&gt;='Resultats - informe'!$D$29)*(C2252&lt;='Resultats - informe'!$E$29),0,1,1)</f>
        <v>0</v>
      </c>
      <c r="N2252" s="366">
        <f>+VLOOKUP(D2252,'Resultats - informe'!$Y$18:$AG$42,'Introducció dades consum'!K2252+1,0)</f>
        <v>0</v>
      </c>
      <c r="O2252" s="370" cm="1">
        <f t="array" ref="O2252">+_xlfn.SWITCH(MONTH(C2252),1,1,2,1,3,1,4,2,5,2,6,3,7,3,8,3,9,3,10,2,11,2,12,1,2)</f>
        <v>1</v>
      </c>
      <c r="P2252" s="43"/>
    </row>
    <row r="2253" spans="1:16" ht="18" x14ac:dyDescent="0.35">
      <c r="A2253" s="43"/>
      <c r="C2253" s="393"/>
      <c r="E2253" s="394"/>
      <c r="F2253" s="394">
        <v>0.127</v>
      </c>
      <c r="G2253" s="394"/>
      <c r="H2253" s="8" t="s">
        <v>235</v>
      </c>
      <c r="I2253" s="368">
        <f t="shared" si="106"/>
        <v>0</v>
      </c>
      <c r="J2253" s="365">
        <f t="shared" si="105"/>
        <v>0</v>
      </c>
      <c r="K2253" s="369">
        <f t="shared" si="107"/>
        <v>6</v>
      </c>
      <c r="L2253" s="369">
        <f>+IF((C2253&gt;='Resultats - informe'!$E$16)*(C2253&lt;='Resultats - informe'!$G$16),1,0)</f>
        <v>1</v>
      </c>
      <c r="M2253" s="369" cm="1">
        <f t="array" ref="M2253">+_xlfn.IFS((C2253&gt;='Resultats - informe'!$D$26)*(C2253&lt;='Resultats - informe'!$E$26),0,(C2253&gt;='Resultats - informe'!$D$27)*(C2253&lt;='Resultats - informe'!$E$27),0,(C2253&gt;='Resultats - informe'!$D$28)*(C2253&lt;='Resultats - informe'!$E$28),0,(C2253&gt;='Resultats - informe'!$D$29)*(C2253&lt;='Resultats - informe'!$E$29),0,1,1)</f>
        <v>0</v>
      </c>
      <c r="N2253" s="366">
        <f>+VLOOKUP(D2253,'Resultats - informe'!$Y$18:$AG$42,'Introducció dades consum'!K2253+1,0)</f>
        <v>0</v>
      </c>
      <c r="O2253" s="370" cm="1">
        <f t="array" ref="O2253">+_xlfn.SWITCH(MONTH(C2253),1,1,2,1,3,1,4,2,5,2,6,3,7,3,8,3,9,3,10,2,11,2,12,1,2)</f>
        <v>1</v>
      </c>
      <c r="P2253" s="43"/>
    </row>
    <row r="2254" spans="1:16" ht="18" x14ac:dyDescent="0.35">
      <c r="A2254" s="43"/>
      <c r="C2254" s="393"/>
      <c r="E2254" s="394"/>
      <c r="F2254" s="394">
        <v>0</v>
      </c>
      <c r="G2254" s="394"/>
      <c r="H2254" s="8" t="s">
        <v>235</v>
      </c>
      <c r="I2254" s="368">
        <f t="shared" si="106"/>
        <v>0</v>
      </c>
      <c r="J2254" s="365">
        <f t="shared" si="105"/>
        <v>0</v>
      </c>
      <c r="K2254" s="369">
        <f t="shared" si="107"/>
        <v>6</v>
      </c>
      <c r="L2254" s="369">
        <f>+IF((C2254&gt;='Resultats - informe'!$E$16)*(C2254&lt;='Resultats - informe'!$G$16),1,0)</f>
        <v>1</v>
      </c>
      <c r="M2254" s="369" cm="1">
        <f t="array" ref="M2254">+_xlfn.IFS((C2254&gt;='Resultats - informe'!$D$26)*(C2254&lt;='Resultats - informe'!$E$26),0,(C2254&gt;='Resultats - informe'!$D$27)*(C2254&lt;='Resultats - informe'!$E$27),0,(C2254&gt;='Resultats - informe'!$D$28)*(C2254&lt;='Resultats - informe'!$E$28),0,(C2254&gt;='Resultats - informe'!$D$29)*(C2254&lt;='Resultats - informe'!$E$29),0,1,1)</f>
        <v>0</v>
      </c>
      <c r="N2254" s="366">
        <f>+VLOOKUP(D2254,'Resultats - informe'!$Y$18:$AG$42,'Introducció dades consum'!K2254+1,0)</f>
        <v>0</v>
      </c>
      <c r="O2254" s="370" cm="1">
        <f t="array" ref="O2254">+_xlfn.SWITCH(MONTH(C2254),1,1,2,1,3,1,4,2,5,2,6,3,7,3,8,3,9,3,10,2,11,2,12,1,2)</f>
        <v>1</v>
      </c>
      <c r="P2254" s="43"/>
    </row>
    <row r="2255" spans="1:16" ht="18" x14ac:dyDescent="0.35">
      <c r="A2255" s="43"/>
      <c r="C2255" s="393"/>
      <c r="E2255" s="394"/>
      <c r="F2255" s="394">
        <v>0</v>
      </c>
      <c r="G2255" s="394"/>
      <c r="H2255" s="8" t="s">
        <v>235</v>
      </c>
      <c r="I2255" s="368">
        <f t="shared" si="106"/>
        <v>0</v>
      </c>
      <c r="J2255" s="365">
        <f t="shared" si="105"/>
        <v>0</v>
      </c>
      <c r="K2255" s="369">
        <f t="shared" si="107"/>
        <v>6</v>
      </c>
      <c r="L2255" s="369">
        <f>+IF((C2255&gt;='Resultats - informe'!$E$16)*(C2255&lt;='Resultats - informe'!$G$16),1,0)</f>
        <v>1</v>
      </c>
      <c r="M2255" s="369" cm="1">
        <f t="array" ref="M2255">+_xlfn.IFS((C2255&gt;='Resultats - informe'!$D$26)*(C2255&lt;='Resultats - informe'!$E$26),0,(C2255&gt;='Resultats - informe'!$D$27)*(C2255&lt;='Resultats - informe'!$E$27),0,(C2255&gt;='Resultats - informe'!$D$28)*(C2255&lt;='Resultats - informe'!$E$28),0,(C2255&gt;='Resultats - informe'!$D$29)*(C2255&lt;='Resultats - informe'!$E$29),0,1,1)</f>
        <v>0</v>
      </c>
      <c r="N2255" s="366">
        <f>+VLOOKUP(D2255,'Resultats - informe'!$Y$18:$AG$42,'Introducció dades consum'!K2255+1,0)</f>
        <v>0</v>
      </c>
      <c r="O2255" s="370" cm="1">
        <f t="array" ref="O2255">+_xlfn.SWITCH(MONTH(C2255),1,1,2,1,3,1,4,2,5,2,6,3,7,3,8,3,9,3,10,2,11,2,12,1,2)</f>
        <v>1</v>
      </c>
      <c r="P2255" s="43"/>
    </row>
    <row r="2256" spans="1:16" ht="18" x14ac:dyDescent="0.35">
      <c r="A2256" s="43"/>
      <c r="C2256" s="393"/>
      <c r="E2256" s="394"/>
      <c r="F2256" s="394">
        <v>0</v>
      </c>
      <c r="G2256" s="394"/>
      <c r="H2256" s="8" t="s">
        <v>235</v>
      </c>
      <c r="I2256" s="368">
        <f t="shared" si="106"/>
        <v>0</v>
      </c>
      <c r="J2256" s="365">
        <f t="shared" si="105"/>
        <v>0</v>
      </c>
      <c r="K2256" s="369">
        <f t="shared" si="107"/>
        <v>6</v>
      </c>
      <c r="L2256" s="369">
        <f>+IF((C2256&gt;='Resultats - informe'!$E$16)*(C2256&lt;='Resultats - informe'!$G$16),1,0)</f>
        <v>1</v>
      </c>
      <c r="M2256" s="369" cm="1">
        <f t="array" ref="M2256">+_xlfn.IFS((C2256&gt;='Resultats - informe'!$D$26)*(C2256&lt;='Resultats - informe'!$E$26),0,(C2256&gt;='Resultats - informe'!$D$27)*(C2256&lt;='Resultats - informe'!$E$27),0,(C2256&gt;='Resultats - informe'!$D$28)*(C2256&lt;='Resultats - informe'!$E$28),0,(C2256&gt;='Resultats - informe'!$D$29)*(C2256&lt;='Resultats - informe'!$E$29),0,1,1)</f>
        <v>0</v>
      </c>
      <c r="N2256" s="366">
        <f>+VLOOKUP(D2256,'Resultats - informe'!$Y$18:$AG$42,'Introducció dades consum'!K2256+1,0)</f>
        <v>0</v>
      </c>
      <c r="O2256" s="370" cm="1">
        <f t="array" ref="O2256">+_xlfn.SWITCH(MONTH(C2256),1,1,2,1,3,1,4,2,5,2,6,3,7,3,8,3,9,3,10,2,11,2,12,1,2)</f>
        <v>1</v>
      </c>
      <c r="P2256" s="43"/>
    </row>
    <row r="2257" spans="1:16" ht="18" x14ac:dyDescent="0.35">
      <c r="A2257" s="43"/>
      <c r="C2257" s="393"/>
      <c r="E2257" s="394"/>
      <c r="F2257" s="394">
        <v>0</v>
      </c>
      <c r="G2257" s="394"/>
      <c r="H2257" s="8" t="s">
        <v>235</v>
      </c>
      <c r="I2257" s="368">
        <f t="shared" si="106"/>
        <v>0</v>
      </c>
      <c r="J2257" s="365">
        <f t="shared" si="105"/>
        <v>0</v>
      </c>
      <c r="K2257" s="369">
        <f t="shared" si="107"/>
        <v>6</v>
      </c>
      <c r="L2257" s="369">
        <f>+IF((C2257&gt;='Resultats - informe'!$E$16)*(C2257&lt;='Resultats - informe'!$G$16),1,0)</f>
        <v>1</v>
      </c>
      <c r="M2257" s="369" cm="1">
        <f t="array" ref="M2257">+_xlfn.IFS((C2257&gt;='Resultats - informe'!$D$26)*(C2257&lt;='Resultats - informe'!$E$26),0,(C2257&gt;='Resultats - informe'!$D$27)*(C2257&lt;='Resultats - informe'!$E$27),0,(C2257&gt;='Resultats - informe'!$D$28)*(C2257&lt;='Resultats - informe'!$E$28),0,(C2257&gt;='Resultats - informe'!$D$29)*(C2257&lt;='Resultats - informe'!$E$29),0,1,1)</f>
        <v>0</v>
      </c>
      <c r="N2257" s="366">
        <f>+VLOOKUP(D2257,'Resultats - informe'!$Y$18:$AG$42,'Introducció dades consum'!K2257+1,0)</f>
        <v>0</v>
      </c>
      <c r="O2257" s="370" cm="1">
        <f t="array" ref="O2257">+_xlfn.SWITCH(MONTH(C2257),1,1,2,1,3,1,4,2,5,2,6,3,7,3,8,3,9,3,10,2,11,2,12,1,2)</f>
        <v>1</v>
      </c>
      <c r="P2257" s="43"/>
    </row>
    <row r="2258" spans="1:16" ht="18" x14ac:dyDescent="0.35">
      <c r="A2258" s="43"/>
      <c r="C2258" s="393"/>
      <c r="E2258" s="394"/>
      <c r="F2258" s="394">
        <v>0</v>
      </c>
      <c r="G2258" s="394"/>
      <c r="H2258" s="8" t="s">
        <v>61</v>
      </c>
      <c r="I2258" s="368">
        <f t="shared" si="106"/>
        <v>0</v>
      </c>
      <c r="J2258" s="365">
        <f t="shared" si="105"/>
        <v>0</v>
      </c>
      <c r="K2258" s="369">
        <f t="shared" si="107"/>
        <v>6</v>
      </c>
      <c r="L2258" s="369">
        <f>+IF((C2258&gt;='Resultats - informe'!$E$16)*(C2258&lt;='Resultats - informe'!$G$16),1,0)</f>
        <v>1</v>
      </c>
      <c r="M2258" s="369" cm="1">
        <f t="array" ref="M2258">+_xlfn.IFS((C2258&gt;='Resultats - informe'!$D$26)*(C2258&lt;='Resultats - informe'!$E$26),0,(C2258&gt;='Resultats - informe'!$D$27)*(C2258&lt;='Resultats - informe'!$E$27),0,(C2258&gt;='Resultats - informe'!$D$28)*(C2258&lt;='Resultats - informe'!$E$28),0,(C2258&gt;='Resultats - informe'!$D$29)*(C2258&lt;='Resultats - informe'!$E$29),0,1,1)</f>
        <v>0</v>
      </c>
      <c r="N2258" s="366">
        <f>+VLOOKUP(D2258,'Resultats - informe'!$Y$18:$AG$42,'Introducció dades consum'!K2258+1,0)</f>
        <v>0</v>
      </c>
      <c r="O2258" s="370" cm="1">
        <f t="array" ref="O2258">+_xlfn.SWITCH(MONTH(C2258),1,1,2,1,3,1,4,2,5,2,6,3,7,3,8,3,9,3,10,2,11,2,12,1,2)</f>
        <v>1</v>
      </c>
      <c r="P2258" s="43"/>
    </row>
    <row r="2259" spans="1:16" ht="18" x14ac:dyDescent="0.35">
      <c r="A2259" s="43"/>
      <c r="C2259" s="393"/>
      <c r="E2259" s="394"/>
      <c r="F2259" s="394">
        <v>0</v>
      </c>
      <c r="G2259" s="394"/>
      <c r="H2259" s="8" t="s">
        <v>61</v>
      </c>
      <c r="I2259" s="368">
        <f t="shared" si="106"/>
        <v>0</v>
      </c>
      <c r="J2259" s="365">
        <f t="shared" si="105"/>
        <v>0</v>
      </c>
      <c r="K2259" s="369">
        <f t="shared" si="107"/>
        <v>6</v>
      </c>
      <c r="L2259" s="369">
        <f>+IF((C2259&gt;='Resultats - informe'!$E$16)*(C2259&lt;='Resultats - informe'!$G$16),1,0)</f>
        <v>1</v>
      </c>
      <c r="M2259" s="369" cm="1">
        <f t="array" ref="M2259">+_xlfn.IFS((C2259&gt;='Resultats - informe'!$D$26)*(C2259&lt;='Resultats - informe'!$E$26),0,(C2259&gt;='Resultats - informe'!$D$27)*(C2259&lt;='Resultats - informe'!$E$27),0,(C2259&gt;='Resultats - informe'!$D$28)*(C2259&lt;='Resultats - informe'!$E$28),0,(C2259&gt;='Resultats - informe'!$D$29)*(C2259&lt;='Resultats - informe'!$E$29),0,1,1)</f>
        <v>0</v>
      </c>
      <c r="N2259" s="366">
        <f>+VLOOKUP(D2259,'Resultats - informe'!$Y$18:$AG$42,'Introducció dades consum'!K2259+1,0)</f>
        <v>0</v>
      </c>
      <c r="O2259" s="370" cm="1">
        <f t="array" ref="O2259">+_xlfn.SWITCH(MONTH(C2259),1,1,2,1,3,1,4,2,5,2,6,3,7,3,8,3,9,3,10,2,11,2,12,1,2)</f>
        <v>1</v>
      </c>
      <c r="P2259" s="43"/>
    </row>
    <row r="2260" spans="1:16" ht="18" x14ac:dyDescent="0.35">
      <c r="A2260" s="43"/>
      <c r="C2260" s="393"/>
      <c r="E2260" s="394"/>
      <c r="F2260" s="394">
        <v>0</v>
      </c>
      <c r="G2260" s="394"/>
      <c r="H2260" s="8" t="s">
        <v>235</v>
      </c>
      <c r="I2260" s="368">
        <f t="shared" si="106"/>
        <v>0</v>
      </c>
      <c r="J2260" s="365">
        <f t="shared" si="105"/>
        <v>0</v>
      </c>
      <c r="K2260" s="369">
        <f t="shared" si="107"/>
        <v>6</v>
      </c>
      <c r="L2260" s="369">
        <f>+IF((C2260&gt;='Resultats - informe'!$E$16)*(C2260&lt;='Resultats - informe'!$G$16),1,0)</f>
        <v>1</v>
      </c>
      <c r="M2260" s="369" cm="1">
        <f t="array" ref="M2260">+_xlfn.IFS((C2260&gt;='Resultats - informe'!$D$26)*(C2260&lt;='Resultats - informe'!$E$26),0,(C2260&gt;='Resultats - informe'!$D$27)*(C2260&lt;='Resultats - informe'!$E$27),0,(C2260&gt;='Resultats - informe'!$D$28)*(C2260&lt;='Resultats - informe'!$E$28),0,(C2260&gt;='Resultats - informe'!$D$29)*(C2260&lt;='Resultats - informe'!$E$29),0,1,1)</f>
        <v>0</v>
      </c>
      <c r="N2260" s="366">
        <f>+VLOOKUP(D2260,'Resultats - informe'!$Y$18:$AG$42,'Introducció dades consum'!K2260+1,0)</f>
        <v>0</v>
      </c>
      <c r="O2260" s="370" cm="1">
        <f t="array" ref="O2260">+_xlfn.SWITCH(MONTH(C2260),1,1,2,1,3,1,4,2,5,2,6,3,7,3,8,3,9,3,10,2,11,2,12,1,2)</f>
        <v>1</v>
      </c>
      <c r="P2260" s="43"/>
    </row>
    <row r="2261" spans="1:16" ht="18" x14ac:dyDescent="0.35">
      <c r="A2261" s="43"/>
      <c r="C2261" s="393"/>
      <c r="E2261" s="394"/>
      <c r="F2261" s="394">
        <v>0</v>
      </c>
      <c r="G2261" s="394"/>
      <c r="H2261" s="8" t="s">
        <v>235</v>
      </c>
      <c r="I2261" s="368">
        <f t="shared" si="106"/>
        <v>0</v>
      </c>
      <c r="J2261" s="365">
        <f t="shared" si="105"/>
        <v>0</v>
      </c>
      <c r="K2261" s="369">
        <f t="shared" si="107"/>
        <v>6</v>
      </c>
      <c r="L2261" s="369">
        <f>+IF((C2261&gt;='Resultats - informe'!$E$16)*(C2261&lt;='Resultats - informe'!$G$16),1,0)</f>
        <v>1</v>
      </c>
      <c r="M2261" s="369" cm="1">
        <f t="array" ref="M2261">+_xlfn.IFS((C2261&gt;='Resultats - informe'!$D$26)*(C2261&lt;='Resultats - informe'!$E$26),0,(C2261&gt;='Resultats - informe'!$D$27)*(C2261&lt;='Resultats - informe'!$E$27),0,(C2261&gt;='Resultats - informe'!$D$28)*(C2261&lt;='Resultats - informe'!$E$28),0,(C2261&gt;='Resultats - informe'!$D$29)*(C2261&lt;='Resultats - informe'!$E$29),0,1,1)</f>
        <v>0</v>
      </c>
      <c r="N2261" s="366">
        <f>+VLOOKUP(D2261,'Resultats - informe'!$Y$18:$AG$42,'Introducció dades consum'!K2261+1,0)</f>
        <v>0</v>
      </c>
      <c r="O2261" s="370" cm="1">
        <f t="array" ref="O2261">+_xlfn.SWITCH(MONTH(C2261),1,1,2,1,3,1,4,2,5,2,6,3,7,3,8,3,9,3,10,2,11,2,12,1,2)</f>
        <v>1</v>
      </c>
      <c r="P2261" s="43"/>
    </row>
    <row r="2262" spans="1:16" ht="18" x14ac:dyDescent="0.35">
      <c r="A2262" s="43"/>
      <c r="C2262" s="393"/>
      <c r="E2262" s="394"/>
      <c r="F2262" s="394">
        <v>0</v>
      </c>
      <c r="G2262" s="394"/>
      <c r="H2262" s="8" t="s">
        <v>61</v>
      </c>
      <c r="I2262" s="368">
        <f t="shared" si="106"/>
        <v>0</v>
      </c>
      <c r="J2262" s="365">
        <f t="shared" si="105"/>
        <v>0</v>
      </c>
      <c r="K2262" s="369">
        <f t="shared" si="107"/>
        <v>6</v>
      </c>
      <c r="L2262" s="369">
        <f>+IF((C2262&gt;='Resultats - informe'!$E$16)*(C2262&lt;='Resultats - informe'!$G$16),1,0)</f>
        <v>1</v>
      </c>
      <c r="M2262" s="369" cm="1">
        <f t="array" ref="M2262">+_xlfn.IFS((C2262&gt;='Resultats - informe'!$D$26)*(C2262&lt;='Resultats - informe'!$E$26),0,(C2262&gt;='Resultats - informe'!$D$27)*(C2262&lt;='Resultats - informe'!$E$27),0,(C2262&gt;='Resultats - informe'!$D$28)*(C2262&lt;='Resultats - informe'!$E$28),0,(C2262&gt;='Resultats - informe'!$D$29)*(C2262&lt;='Resultats - informe'!$E$29),0,1,1)</f>
        <v>0</v>
      </c>
      <c r="N2262" s="366">
        <f>+VLOOKUP(D2262,'Resultats - informe'!$Y$18:$AG$42,'Introducció dades consum'!K2262+1,0)</f>
        <v>0</v>
      </c>
      <c r="O2262" s="370" cm="1">
        <f t="array" ref="O2262">+_xlfn.SWITCH(MONTH(C2262),1,1,2,1,3,1,4,2,5,2,6,3,7,3,8,3,9,3,10,2,11,2,12,1,2)</f>
        <v>1</v>
      </c>
      <c r="P2262" s="43"/>
    </row>
    <row r="2263" spans="1:16" ht="18" x14ac:dyDescent="0.35">
      <c r="A2263" s="43"/>
      <c r="C2263" s="393"/>
      <c r="E2263" s="394"/>
      <c r="F2263" s="394">
        <v>0</v>
      </c>
      <c r="G2263" s="394"/>
      <c r="H2263" s="8" t="s">
        <v>235</v>
      </c>
      <c r="I2263" s="368">
        <f t="shared" si="106"/>
        <v>0</v>
      </c>
      <c r="J2263" s="365">
        <f t="shared" si="105"/>
        <v>0</v>
      </c>
      <c r="K2263" s="369">
        <f t="shared" si="107"/>
        <v>6</v>
      </c>
      <c r="L2263" s="369">
        <f>+IF((C2263&gt;='Resultats - informe'!$E$16)*(C2263&lt;='Resultats - informe'!$G$16),1,0)</f>
        <v>1</v>
      </c>
      <c r="M2263" s="369" cm="1">
        <f t="array" ref="M2263">+_xlfn.IFS((C2263&gt;='Resultats - informe'!$D$26)*(C2263&lt;='Resultats - informe'!$E$26),0,(C2263&gt;='Resultats - informe'!$D$27)*(C2263&lt;='Resultats - informe'!$E$27),0,(C2263&gt;='Resultats - informe'!$D$28)*(C2263&lt;='Resultats - informe'!$E$28),0,(C2263&gt;='Resultats - informe'!$D$29)*(C2263&lt;='Resultats - informe'!$E$29),0,1,1)</f>
        <v>0</v>
      </c>
      <c r="N2263" s="366">
        <f>+VLOOKUP(D2263,'Resultats - informe'!$Y$18:$AG$42,'Introducció dades consum'!K2263+1,0)</f>
        <v>0</v>
      </c>
      <c r="O2263" s="370" cm="1">
        <f t="array" ref="O2263">+_xlfn.SWITCH(MONTH(C2263),1,1,2,1,3,1,4,2,5,2,6,3,7,3,8,3,9,3,10,2,11,2,12,1,2)</f>
        <v>1</v>
      </c>
      <c r="P2263" s="43"/>
    </row>
    <row r="2264" spans="1:16" ht="18" x14ac:dyDescent="0.35">
      <c r="A2264" s="43"/>
      <c r="C2264" s="393"/>
      <c r="E2264" s="394"/>
      <c r="F2264" s="394">
        <v>0</v>
      </c>
      <c r="G2264" s="394"/>
      <c r="H2264" s="8" t="s">
        <v>235</v>
      </c>
      <c r="I2264" s="368">
        <f t="shared" si="106"/>
        <v>0</v>
      </c>
      <c r="J2264" s="365">
        <f t="shared" si="105"/>
        <v>0</v>
      </c>
      <c r="K2264" s="369">
        <f t="shared" si="107"/>
        <v>6</v>
      </c>
      <c r="L2264" s="369">
        <f>+IF((C2264&gt;='Resultats - informe'!$E$16)*(C2264&lt;='Resultats - informe'!$G$16),1,0)</f>
        <v>1</v>
      </c>
      <c r="M2264" s="369" cm="1">
        <f t="array" ref="M2264">+_xlfn.IFS((C2264&gt;='Resultats - informe'!$D$26)*(C2264&lt;='Resultats - informe'!$E$26),0,(C2264&gt;='Resultats - informe'!$D$27)*(C2264&lt;='Resultats - informe'!$E$27),0,(C2264&gt;='Resultats - informe'!$D$28)*(C2264&lt;='Resultats - informe'!$E$28),0,(C2264&gt;='Resultats - informe'!$D$29)*(C2264&lt;='Resultats - informe'!$E$29),0,1,1)</f>
        <v>0</v>
      </c>
      <c r="N2264" s="366">
        <f>+VLOOKUP(D2264,'Resultats - informe'!$Y$18:$AG$42,'Introducció dades consum'!K2264+1,0)</f>
        <v>0</v>
      </c>
      <c r="O2264" s="370" cm="1">
        <f t="array" ref="O2264">+_xlfn.SWITCH(MONTH(C2264),1,1,2,1,3,1,4,2,5,2,6,3,7,3,8,3,9,3,10,2,11,2,12,1,2)</f>
        <v>1</v>
      </c>
      <c r="P2264" s="43"/>
    </row>
    <row r="2265" spans="1:16" ht="18" x14ac:dyDescent="0.35">
      <c r="A2265" s="43"/>
      <c r="C2265" s="393"/>
      <c r="E2265" s="394"/>
      <c r="F2265" s="394">
        <v>0</v>
      </c>
      <c r="G2265" s="394"/>
      <c r="H2265" s="8" t="s">
        <v>235</v>
      </c>
      <c r="I2265" s="368">
        <f t="shared" si="106"/>
        <v>0</v>
      </c>
      <c r="J2265" s="365">
        <f t="shared" si="105"/>
        <v>0</v>
      </c>
      <c r="K2265" s="369">
        <f t="shared" si="107"/>
        <v>6</v>
      </c>
      <c r="L2265" s="369">
        <f>+IF((C2265&gt;='Resultats - informe'!$E$16)*(C2265&lt;='Resultats - informe'!$G$16),1,0)</f>
        <v>1</v>
      </c>
      <c r="M2265" s="369" cm="1">
        <f t="array" ref="M2265">+_xlfn.IFS((C2265&gt;='Resultats - informe'!$D$26)*(C2265&lt;='Resultats - informe'!$E$26),0,(C2265&gt;='Resultats - informe'!$D$27)*(C2265&lt;='Resultats - informe'!$E$27),0,(C2265&gt;='Resultats - informe'!$D$28)*(C2265&lt;='Resultats - informe'!$E$28),0,(C2265&gt;='Resultats - informe'!$D$29)*(C2265&lt;='Resultats - informe'!$E$29),0,1,1)</f>
        <v>0</v>
      </c>
      <c r="N2265" s="366">
        <f>+VLOOKUP(D2265,'Resultats - informe'!$Y$18:$AG$42,'Introducció dades consum'!K2265+1,0)</f>
        <v>0</v>
      </c>
      <c r="O2265" s="370" cm="1">
        <f t="array" ref="O2265">+_xlfn.SWITCH(MONTH(C2265),1,1,2,1,3,1,4,2,5,2,6,3,7,3,8,3,9,3,10,2,11,2,12,1,2)</f>
        <v>1</v>
      </c>
      <c r="P2265" s="43"/>
    </row>
    <row r="2266" spans="1:16" ht="18" x14ac:dyDescent="0.35">
      <c r="A2266" s="43"/>
      <c r="C2266" s="393"/>
      <c r="E2266" s="394"/>
      <c r="F2266" s="394">
        <v>0.626</v>
      </c>
      <c r="G2266" s="394"/>
      <c r="H2266" s="8" t="s">
        <v>235</v>
      </c>
      <c r="I2266" s="368">
        <f t="shared" si="106"/>
        <v>0</v>
      </c>
      <c r="J2266" s="365">
        <f t="shared" si="105"/>
        <v>0</v>
      </c>
      <c r="K2266" s="369">
        <f t="shared" si="107"/>
        <v>6</v>
      </c>
      <c r="L2266" s="369">
        <f>+IF((C2266&gt;='Resultats - informe'!$E$16)*(C2266&lt;='Resultats - informe'!$G$16),1,0)</f>
        <v>1</v>
      </c>
      <c r="M2266" s="369" cm="1">
        <f t="array" ref="M2266">+_xlfn.IFS((C2266&gt;='Resultats - informe'!$D$26)*(C2266&lt;='Resultats - informe'!$E$26),0,(C2266&gt;='Resultats - informe'!$D$27)*(C2266&lt;='Resultats - informe'!$E$27),0,(C2266&gt;='Resultats - informe'!$D$28)*(C2266&lt;='Resultats - informe'!$E$28),0,(C2266&gt;='Resultats - informe'!$D$29)*(C2266&lt;='Resultats - informe'!$E$29),0,1,1)</f>
        <v>0</v>
      </c>
      <c r="N2266" s="366">
        <f>+VLOOKUP(D2266,'Resultats - informe'!$Y$18:$AG$42,'Introducció dades consum'!K2266+1,0)</f>
        <v>0</v>
      </c>
      <c r="O2266" s="370" cm="1">
        <f t="array" ref="O2266">+_xlfn.SWITCH(MONTH(C2266),1,1,2,1,3,1,4,2,5,2,6,3,7,3,8,3,9,3,10,2,11,2,12,1,2)</f>
        <v>1</v>
      </c>
      <c r="P2266" s="43"/>
    </row>
    <row r="2267" spans="1:16" ht="18" x14ac:dyDescent="0.35">
      <c r="A2267" s="43"/>
      <c r="C2267" s="393"/>
      <c r="E2267" s="394"/>
      <c r="F2267" s="394">
        <v>1.544</v>
      </c>
      <c r="G2267" s="394"/>
      <c r="H2267" s="8" t="s">
        <v>235</v>
      </c>
      <c r="I2267" s="368">
        <f t="shared" si="106"/>
        <v>0</v>
      </c>
      <c r="J2267" s="365">
        <f t="shared" si="105"/>
        <v>0</v>
      </c>
      <c r="K2267" s="369">
        <f t="shared" si="107"/>
        <v>6</v>
      </c>
      <c r="L2267" s="369">
        <f>+IF((C2267&gt;='Resultats - informe'!$E$16)*(C2267&lt;='Resultats - informe'!$G$16),1,0)</f>
        <v>1</v>
      </c>
      <c r="M2267" s="369" cm="1">
        <f t="array" ref="M2267">+_xlfn.IFS((C2267&gt;='Resultats - informe'!$D$26)*(C2267&lt;='Resultats - informe'!$E$26),0,(C2267&gt;='Resultats - informe'!$D$27)*(C2267&lt;='Resultats - informe'!$E$27),0,(C2267&gt;='Resultats - informe'!$D$28)*(C2267&lt;='Resultats - informe'!$E$28),0,(C2267&gt;='Resultats - informe'!$D$29)*(C2267&lt;='Resultats - informe'!$E$29),0,1,1)</f>
        <v>0</v>
      </c>
      <c r="N2267" s="366">
        <f>+VLOOKUP(D2267,'Resultats - informe'!$Y$18:$AG$42,'Introducció dades consum'!K2267+1,0)</f>
        <v>0</v>
      </c>
      <c r="O2267" s="370" cm="1">
        <f t="array" ref="O2267">+_xlfn.SWITCH(MONTH(C2267),1,1,2,1,3,1,4,2,5,2,6,3,7,3,8,3,9,3,10,2,11,2,12,1,2)</f>
        <v>1</v>
      </c>
      <c r="P2267" s="43"/>
    </row>
    <row r="2268" spans="1:16" ht="18" x14ac:dyDescent="0.35">
      <c r="A2268" s="43"/>
      <c r="C2268" s="393"/>
      <c r="E2268" s="394"/>
      <c r="F2268" s="394">
        <v>2.4289999999999998</v>
      </c>
      <c r="G2268" s="394"/>
      <c r="H2268" s="8" t="s">
        <v>235</v>
      </c>
      <c r="I2268" s="368">
        <f t="shared" si="106"/>
        <v>0</v>
      </c>
      <c r="J2268" s="365">
        <f t="shared" si="105"/>
        <v>0</v>
      </c>
      <c r="K2268" s="369">
        <f t="shared" si="107"/>
        <v>6</v>
      </c>
      <c r="L2268" s="369">
        <f>+IF((C2268&gt;='Resultats - informe'!$E$16)*(C2268&lt;='Resultats - informe'!$G$16),1,0)</f>
        <v>1</v>
      </c>
      <c r="M2268" s="369" cm="1">
        <f t="array" ref="M2268">+_xlfn.IFS((C2268&gt;='Resultats - informe'!$D$26)*(C2268&lt;='Resultats - informe'!$E$26),0,(C2268&gt;='Resultats - informe'!$D$27)*(C2268&lt;='Resultats - informe'!$E$27),0,(C2268&gt;='Resultats - informe'!$D$28)*(C2268&lt;='Resultats - informe'!$E$28),0,(C2268&gt;='Resultats - informe'!$D$29)*(C2268&lt;='Resultats - informe'!$E$29),0,1,1)</f>
        <v>0</v>
      </c>
      <c r="N2268" s="366">
        <f>+VLOOKUP(D2268,'Resultats - informe'!$Y$18:$AG$42,'Introducció dades consum'!K2268+1,0)</f>
        <v>0</v>
      </c>
      <c r="O2268" s="370" cm="1">
        <f t="array" ref="O2268">+_xlfn.SWITCH(MONTH(C2268),1,1,2,1,3,1,4,2,5,2,6,3,7,3,8,3,9,3,10,2,11,2,12,1,2)</f>
        <v>1</v>
      </c>
      <c r="P2268" s="43"/>
    </row>
    <row r="2269" spans="1:16" ht="18" x14ac:dyDescent="0.35">
      <c r="A2269" s="43"/>
      <c r="C2269" s="393"/>
      <c r="E2269" s="394"/>
      <c r="F2269" s="394">
        <v>3.2229999999999999</v>
      </c>
      <c r="G2269" s="394"/>
      <c r="H2269" s="8" t="s">
        <v>235</v>
      </c>
      <c r="I2269" s="368">
        <f t="shared" si="106"/>
        <v>0</v>
      </c>
      <c r="J2269" s="365">
        <f t="shared" si="105"/>
        <v>0</v>
      </c>
      <c r="K2269" s="369">
        <f t="shared" si="107"/>
        <v>6</v>
      </c>
      <c r="L2269" s="369">
        <f>+IF((C2269&gt;='Resultats - informe'!$E$16)*(C2269&lt;='Resultats - informe'!$G$16),1,0)</f>
        <v>1</v>
      </c>
      <c r="M2269" s="369" cm="1">
        <f t="array" ref="M2269">+_xlfn.IFS((C2269&gt;='Resultats - informe'!$D$26)*(C2269&lt;='Resultats - informe'!$E$26),0,(C2269&gt;='Resultats - informe'!$D$27)*(C2269&lt;='Resultats - informe'!$E$27),0,(C2269&gt;='Resultats - informe'!$D$28)*(C2269&lt;='Resultats - informe'!$E$28),0,(C2269&gt;='Resultats - informe'!$D$29)*(C2269&lt;='Resultats - informe'!$E$29),0,1,1)</f>
        <v>0</v>
      </c>
      <c r="N2269" s="366">
        <f>+VLOOKUP(D2269,'Resultats - informe'!$Y$18:$AG$42,'Introducció dades consum'!K2269+1,0)</f>
        <v>0</v>
      </c>
      <c r="O2269" s="370" cm="1">
        <f t="array" ref="O2269">+_xlfn.SWITCH(MONTH(C2269),1,1,2,1,3,1,4,2,5,2,6,3,7,3,8,3,9,3,10,2,11,2,12,1,2)</f>
        <v>1</v>
      </c>
      <c r="P2269" s="43"/>
    </row>
    <row r="2270" spans="1:16" ht="18" x14ac:dyDescent="0.35">
      <c r="A2270" s="43"/>
      <c r="C2270" s="393"/>
      <c r="E2270" s="394"/>
      <c r="F2270" s="394">
        <v>3.7709999999999999</v>
      </c>
      <c r="G2270" s="394"/>
      <c r="H2270" s="8" t="s">
        <v>235</v>
      </c>
      <c r="I2270" s="368">
        <f t="shared" si="106"/>
        <v>0</v>
      </c>
      <c r="J2270" s="365">
        <f t="shared" si="105"/>
        <v>0</v>
      </c>
      <c r="K2270" s="369">
        <f t="shared" si="107"/>
        <v>6</v>
      </c>
      <c r="L2270" s="369">
        <f>+IF((C2270&gt;='Resultats - informe'!$E$16)*(C2270&lt;='Resultats - informe'!$G$16),1,0)</f>
        <v>1</v>
      </c>
      <c r="M2270" s="369" cm="1">
        <f t="array" ref="M2270">+_xlfn.IFS((C2270&gt;='Resultats - informe'!$D$26)*(C2270&lt;='Resultats - informe'!$E$26),0,(C2270&gt;='Resultats - informe'!$D$27)*(C2270&lt;='Resultats - informe'!$E$27),0,(C2270&gt;='Resultats - informe'!$D$28)*(C2270&lt;='Resultats - informe'!$E$28),0,(C2270&gt;='Resultats - informe'!$D$29)*(C2270&lt;='Resultats - informe'!$E$29),0,1,1)</f>
        <v>0</v>
      </c>
      <c r="N2270" s="366">
        <f>+VLOOKUP(D2270,'Resultats - informe'!$Y$18:$AG$42,'Introducció dades consum'!K2270+1,0)</f>
        <v>0</v>
      </c>
      <c r="O2270" s="370" cm="1">
        <f t="array" ref="O2270">+_xlfn.SWITCH(MONTH(C2270),1,1,2,1,3,1,4,2,5,2,6,3,7,3,8,3,9,3,10,2,11,2,12,1,2)</f>
        <v>1</v>
      </c>
      <c r="P2270" s="43"/>
    </row>
    <row r="2271" spans="1:16" ht="18" x14ac:dyDescent="0.35">
      <c r="A2271" s="43"/>
      <c r="C2271" s="393"/>
      <c r="E2271" s="394"/>
      <c r="F2271" s="394">
        <v>3.9209999999999998</v>
      </c>
      <c r="G2271" s="394"/>
      <c r="H2271" s="8" t="s">
        <v>235</v>
      </c>
      <c r="I2271" s="368">
        <f t="shared" si="106"/>
        <v>0</v>
      </c>
      <c r="J2271" s="365">
        <f t="shared" si="105"/>
        <v>0</v>
      </c>
      <c r="K2271" s="369">
        <f t="shared" si="107"/>
        <v>6</v>
      </c>
      <c r="L2271" s="369">
        <f>+IF((C2271&gt;='Resultats - informe'!$E$16)*(C2271&lt;='Resultats - informe'!$G$16),1,0)</f>
        <v>1</v>
      </c>
      <c r="M2271" s="369" cm="1">
        <f t="array" ref="M2271">+_xlfn.IFS((C2271&gt;='Resultats - informe'!$D$26)*(C2271&lt;='Resultats - informe'!$E$26),0,(C2271&gt;='Resultats - informe'!$D$27)*(C2271&lt;='Resultats - informe'!$E$27),0,(C2271&gt;='Resultats - informe'!$D$28)*(C2271&lt;='Resultats - informe'!$E$28),0,(C2271&gt;='Resultats - informe'!$D$29)*(C2271&lt;='Resultats - informe'!$E$29),0,1,1)</f>
        <v>0</v>
      </c>
      <c r="N2271" s="366">
        <f>+VLOOKUP(D2271,'Resultats - informe'!$Y$18:$AG$42,'Introducció dades consum'!K2271+1,0)</f>
        <v>0</v>
      </c>
      <c r="O2271" s="370" cm="1">
        <f t="array" ref="O2271">+_xlfn.SWITCH(MONTH(C2271),1,1,2,1,3,1,4,2,5,2,6,3,7,3,8,3,9,3,10,2,11,2,12,1,2)</f>
        <v>1</v>
      </c>
      <c r="P2271" s="43"/>
    </row>
    <row r="2272" spans="1:16" ht="18" x14ac:dyDescent="0.35">
      <c r="A2272" s="43"/>
      <c r="C2272" s="393"/>
      <c r="E2272" s="394"/>
      <c r="F2272" s="394">
        <v>6.601</v>
      </c>
      <c r="G2272" s="394"/>
      <c r="H2272" s="8" t="s">
        <v>61</v>
      </c>
      <c r="I2272" s="368">
        <f t="shared" si="106"/>
        <v>0</v>
      </c>
      <c r="J2272" s="365">
        <f t="shared" si="105"/>
        <v>0</v>
      </c>
      <c r="K2272" s="369">
        <f t="shared" si="107"/>
        <v>6</v>
      </c>
      <c r="L2272" s="369">
        <f>+IF((C2272&gt;='Resultats - informe'!$E$16)*(C2272&lt;='Resultats - informe'!$G$16),1,0)</f>
        <v>1</v>
      </c>
      <c r="M2272" s="369" cm="1">
        <f t="array" ref="M2272">+_xlfn.IFS((C2272&gt;='Resultats - informe'!$D$26)*(C2272&lt;='Resultats - informe'!$E$26),0,(C2272&gt;='Resultats - informe'!$D$27)*(C2272&lt;='Resultats - informe'!$E$27),0,(C2272&gt;='Resultats - informe'!$D$28)*(C2272&lt;='Resultats - informe'!$E$28),0,(C2272&gt;='Resultats - informe'!$D$29)*(C2272&lt;='Resultats - informe'!$E$29),0,1,1)</f>
        <v>0</v>
      </c>
      <c r="N2272" s="366">
        <f>+VLOOKUP(D2272,'Resultats - informe'!$Y$18:$AG$42,'Introducció dades consum'!K2272+1,0)</f>
        <v>0</v>
      </c>
      <c r="O2272" s="370" cm="1">
        <f t="array" ref="O2272">+_xlfn.SWITCH(MONTH(C2272),1,1,2,1,3,1,4,2,5,2,6,3,7,3,8,3,9,3,10,2,11,2,12,1,2)</f>
        <v>1</v>
      </c>
      <c r="P2272" s="43"/>
    </row>
    <row r="2273" spans="1:16" ht="18" x14ac:dyDescent="0.35">
      <c r="A2273" s="43"/>
      <c r="C2273" s="393"/>
      <c r="E2273" s="394"/>
      <c r="F2273" s="394">
        <v>5.8949999999999996</v>
      </c>
      <c r="G2273" s="394"/>
      <c r="H2273" s="8" t="s">
        <v>61</v>
      </c>
      <c r="I2273" s="368">
        <f t="shared" si="106"/>
        <v>0</v>
      </c>
      <c r="J2273" s="365">
        <f t="shared" si="105"/>
        <v>0</v>
      </c>
      <c r="K2273" s="369">
        <f t="shared" si="107"/>
        <v>6</v>
      </c>
      <c r="L2273" s="369">
        <f>+IF((C2273&gt;='Resultats - informe'!$E$16)*(C2273&lt;='Resultats - informe'!$G$16),1,0)</f>
        <v>1</v>
      </c>
      <c r="M2273" s="369" cm="1">
        <f t="array" ref="M2273">+_xlfn.IFS((C2273&gt;='Resultats - informe'!$D$26)*(C2273&lt;='Resultats - informe'!$E$26),0,(C2273&gt;='Resultats - informe'!$D$27)*(C2273&lt;='Resultats - informe'!$E$27),0,(C2273&gt;='Resultats - informe'!$D$28)*(C2273&lt;='Resultats - informe'!$E$28),0,(C2273&gt;='Resultats - informe'!$D$29)*(C2273&lt;='Resultats - informe'!$E$29),0,1,1)</f>
        <v>0</v>
      </c>
      <c r="N2273" s="366">
        <f>+VLOOKUP(D2273,'Resultats - informe'!$Y$18:$AG$42,'Introducció dades consum'!K2273+1,0)</f>
        <v>0</v>
      </c>
      <c r="O2273" s="370" cm="1">
        <f t="array" ref="O2273">+_xlfn.SWITCH(MONTH(C2273),1,1,2,1,3,1,4,2,5,2,6,3,7,3,8,3,9,3,10,2,11,2,12,1,2)</f>
        <v>1</v>
      </c>
      <c r="P2273" s="43"/>
    </row>
    <row r="2274" spans="1:16" ht="18" x14ac:dyDescent="0.35">
      <c r="A2274" s="43"/>
      <c r="C2274" s="393"/>
      <c r="E2274" s="394"/>
      <c r="F2274" s="394">
        <v>6.7370000000000001</v>
      </c>
      <c r="G2274" s="394"/>
      <c r="H2274" s="8" t="s">
        <v>61</v>
      </c>
      <c r="I2274" s="368">
        <f t="shared" si="106"/>
        <v>0</v>
      </c>
      <c r="J2274" s="365">
        <f t="shared" si="105"/>
        <v>0</v>
      </c>
      <c r="K2274" s="369">
        <f t="shared" si="107"/>
        <v>6</v>
      </c>
      <c r="L2274" s="369">
        <f>+IF((C2274&gt;='Resultats - informe'!$E$16)*(C2274&lt;='Resultats - informe'!$G$16),1,0)</f>
        <v>1</v>
      </c>
      <c r="M2274" s="369" cm="1">
        <f t="array" ref="M2274">+_xlfn.IFS((C2274&gt;='Resultats - informe'!$D$26)*(C2274&lt;='Resultats - informe'!$E$26),0,(C2274&gt;='Resultats - informe'!$D$27)*(C2274&lt;='Resultats - informe'!$E$27),0,(C2274&gt;='Resultats - informe'!$D$28)*(C2274&lt;='Resultats - informe'!$E$28),0,(C2274&gt;='Resultats - informe'!$D$29)*(C2274&lt;='Resultats - informe'!$E$29),0,1,1)</f>
        <v>0</v>
      </c>
      <c r="N2274" s="366">
        <f>+VLOOKUP(D2274,'Resultats - informe'!$Y$18:$AG$42,'Introducció dades consum'!K2274+1,0)</f>
        <v>0</v>
      </c>
      <c r="O2274" s="370" cm="1">
        <f t="array" ref="O2274">+_xlfn.SWITCH(MONTH(C2274),1,1,2,1,3,1,4,2,5,2,6,3,7,3,8,3,9,3,10,2,11,2,12,1,2)</f>
        <v>1</v>
      </c>
      <c r="P2274" s="43"/>
    </row>
    <row r="2275" spans="1:16" ht="18" x14ac:dyDescent="0.35">
      <c r="A2275" s="43"/>
      <c r="C2275" s="393"/>
      <c r="E2275" s="394"/>
      <c r="F2275" s="394">
        <v>1.6020000000000001</v>
      </c>
      <c r="G2275" s="394"/>
      <c r="H2275" s="8" t="s">
        <v>235</v>
      </c>
      <c r="I2275" s="368">
        <f t="shared" si="106"/>
        <v>0</v>
      </c>
      <c r="J2275" s="365">
        <f t="shared" si="105"/>
        <v>0</v>
      </c>
      <c r="K2275" s="369">
        <f t="shared" si="107"/>
        <v>6</v>
      </c>
      <c r="L2275" s="369">
        <f>+IF((C2275&gt;='Resultats - informe'!$E$16)*(C2275&lt;='Resultats - informe'!$G$16),1,0)</f>
        <v>1</v>
      </c>
      <c r="M2275" s="369" cm="1">
        <f t="array" ref="M2275">+_xlfn.IFS((C2275&gt;='Resultats - informe'!$D$26)*(C2275&lt;='Resultats - informe'!$E$26),0,(C2275&gt;='Resultats - informe'!$D$27)*(C2275&lt;='Resultats - informe'!$E$27),0,(C2275&gt;='Resultats - informe'!$D$28)*(C2275&lt;='Resultats - informe'!$E$28),0,(C2275&gt;='Resultats - informe'!$D$29)*(C2275&lt;='Resultats - informe'!$E$29),0,1,1)</f>
        <v>0</v>
      </c>
      <c r="N2275" s="366">
        <f>+VLOOKUP(D2275,'Resultats - informe'!$Y$18:$AG$42,'Introducció dades consum'!K2275+1,0)</f>
        <v>0</v>
      </c>
      <c r="O2275" s="370" cm="1">
        <f t="array" ref="O2275">+_xlfn.SWITCH(MONTH(C2275),1,1,2,1,3,1,4,2,5,2,6,3,7,3,8,3,9,3,10,2,11,2,12,1,2)</f>
        <v>1</v>
      </c>
      <c r="P2275" s="43"/>
    </row>
    <row r="2276" spans="1:16" ht="18" x14ac:dyDescent="0.35">
      <c r="A2276" s="43"/>
      <c r="C2276" s="393"/>
      <c r="E2276" s="394"/>
      <c r="F2276" s="394">
        <v>0.72899999999999998</v>
      </c>
      <c r="G2276" s="394"/>
      <c r="H2276" s="8" t="s">
        <v>235</v>
      </c>
      <c r="I2276" s="368">
        <f t="shared" si="106"/>
        <v>0</v>
      </c>
      <c r="J2276" s="365">
        <f t="shared" si="105"/>
        <v>0</v>
      </c>
      <c r="K2276" s="369">
        <f t="shared" si="107"/>
        <v>6</v>
      </c>
      <c r="L2276" s="369">
        <f>+IF((C2276&gt;='Resultats - informe'!$E$16)*(C2276&lt;='Resultats - informe'!$G$16),1,0)</f>
        <v>1</v>
      </c>
      <c r="M2276" s="369" cm="1">
        <f t="array" ref="M2276">+_xlfn.IFS((C2276&gt;='Resultats - informe'!$D$26)*(C2276&lt;='Resultats - informe'!$E$26),0,(C2276&gt;='Resultats - informe'!$D$27)*(C2276&lt;='Resultats - informe'!$E$27),0,(C2276&gt;='Resultats - informe'!$D$28)*(C2276&lt;='Resultats - informe'!$E$28),0,(C2276&gt;='Resultats - informe'!$D$29)*(C2276&lt;='Resultats - informe'!$E$29),0,1,1)</f>
        <v>0</v>
      </c>
      <c r="N2276" s="366">
        <f>+VLOOKUP(D2276,'Resultats - informe'!$Y$18:$AG$42,'Introducció dades consum'!K2276+1,0)</f>
        <v>0</v>
      </c>
      <c r="O2276" s="370" cm="1">
        <f t="array" ref="O2276">+_xlfn.SWITCH(MONTH(C2276),1,1,2,1,3,1,4,2,5,2,6,3,7,3,8,3,9,3,10,2,11,2,12,1,2)</f>
        <v>1</v>
      </c>
      <c r="P2276" s="43"/>
    </row>
    <row r="2277" spans="1:16" ht="18" x14ac:dyDescent="0.35">
      <c r="A2277" s="43"/>
      <c r="C2277" s="393"/>
      <c r="E2277" s="394"/>
      <c r="F2277" s="394">
        <v>1.1060000000000001</v>
      </c>
      <c r="G2277" s="394"/>
      <c r="H2277" s="8" t="s">
        <v>61</v>
      </c>
      <c r="I2277" s="368">
        <f t="shared" si="106"/>
        <v>0</v>
      </c>
      <c r="J2277" s="365">
        <f t="shared" si="105"/>
        <v>0</v>
      </c>
      <c r="K2277" s="369">
        <f t="shared" si="107"/>
        <v>6</v>
      </c>
      <c r="L2277" s="369">
        <f>+IF((C2277&gt;='Resultats - informe'!$E$16)*(C2277&lt;='Resultats - informe'!$G$16),1,0)</f>
        <v>1</v>
      </c>
      <c r="M2277" s="369" cm="1">
        <f t="array" ref="M2277">+_xlfn.IFS((C2277&gt;='Resultats - informe'!$D$26)*(C2277&lt;='Resultats - informe'!$E$26),0,(C2277&gt;='Resultats - informe'!$D$27)*(C2277&lt;='Resultats - informe'!$E$27),0,(C2277&gt;='Resultats - informe'!$D$28)*(C2277&lt;='Resultats - informe'!$E$28),0,(C2277&gt;='Resultats - informe'!$D$29)*(C2277&lt;='Resultats - informe'!$E$29),0,1,1)</f>
        <v>0</v>
      </c>
      <c r="N2277" s="366">
        <f>+VLOOKUP(D2277,'Resultats - informe'!$Y$18:$AG$42,'Introducció dades consum'!K2277+1,0)</f>
        <v>0</v>
      </c>
      <c r="O2277" s="370" cm="1">
        <f t="array" ref="O2277">+_xlfn.SWITCH(MONTH(C2277),1,1,2,1,3,1,4,2,5,2,6,3,7,3,8,3,9,3,10,2,11,2,12,1,2)</f>
        <v>1</v>
      </c>
      <c r="P2277" s="43"/>
    </row>
    <row r="2278" spans="1:16" ht="18" x14ac:dyDescent="0.35">
      <c r="A2278" s="43"/>
      <c r="C2278" s="393"/>
      <c r="E2278" s="394"/>
      <c r="F2278" s="394">
        <v>0</v>
      </c>
      <c r="G2278" s="394"/>
      <c r="H2278" s="8" t="s">
        <v>61</v>
      </c>
      <c r="I2278" s="368">
        <f t="shared" si="106"/>
        <v>0</v>
      </c>
      <c r="J2278" s="365">
        <f t="shared" si="105"/>
        <v>0</v>
      </c>
      <c r="K2278" s="369">
        <f t="shared" si="107"/>
        <v>6</v>
      </c>
      <c r="L2278" s="369">
        <f>+IF((C2278&gt;='Resultats - informe'!$E$16)*(C2278&lt;='Resultats - informe'!$G$16),1,0)</f>
        <v>1</v>
      </c>
      <c r="M2278" s="369" cm="1">
        <f t="array" ref="M2278">+_xlfn.IFS((C2278&gt;='Resultats - informe'!$D$26)*(C2278&lt;='Resultats - informe'!$E$26),0,(C2278&gt;='Resultats - informe'!$D$27)*(C2278&lt;='Resultats - informe'!$E$27),0,(C2278&gt;='Resultats - informe'!$D$28)*(C2278&lt;='Resultats - informe'!$E$28),0,(C2278&gt;='Resultats - informe'!$D$29)*(C2278&lt;='Resultats - informe'!$E$29),0,1,1)</f>
        <v>0</v>
      </c>
      <c r="N2278" s="366">
        <f>+VLOOKUP(D2278,'Resultats - informe'!$Y$18:$AG$42,'Introducció dades consum'!K2278+1,0)</f>
        <v>0</v>
      </c>
      <c r="O2278" s="370" cm="1">
        <f t="array" ref="O2278">+_xlfn.SWITCH(MONTH(C2278),1,1,2,1,3,1,4,2,5,2,6,3,7,3,8,3,9,3,10,2,11,2,12,1,2)</f>
        <v>1</v>
      </c>
      <c r="P2278" s="43"/>
    </row>
    <row r="2279" spans="1:16" ht="18" x14ac:dyDescent="0.35">
      <c r="A2279" s="43"/>
      <c r="C2279" s="393"/>
      <c r="E2279" s="394"/>
      <c r="F2279" s="394">
        <v>0</v>
      </c>
      <c r="G2279" s="394"/>
      <c r="H2279" s="8" t="s">
        <v>235</v>
      </c>
      <c r="I2279" s="368">
        <f t="shared" si="106"/>
        <v>0</v>
      </c>
      <c r="J2279" s="365">
        <f t="shared" si="105"/>
        <v>0</v>
      </c>
      <c r="K2279" s="369">
        <f t="shared" si="107"/>
        <v>6</v>
      </c>
      <c r="L2279" s="369">
        <f>+IF((C2279&gt;='Resultats - informe'!$E$16)*(C2279&lt;='Resultats - informe'!$G$16),1,0)</f>
        <v>1</v>
      </c>
      <c r="M2279" s="369" cm="1">
        <f t="array" ref="M2279">+_xlfn.IFS((C2279&gt;='Resultats - informe'!$D$26)*(C2279&lt;='Resultats - informe'!$E$26),0,(C2279&gt;='Resultats - informe'!$D$27)*(C2279&lt;='Resultats - informe'!$E$27),0,(C2279&gt;='Resultats - informe'!$D$28)*(C2279&lt;='Resultats - informe'!$E$28),0,(C2279&gt;='Resultats - informe'!$D$29)*(C2279&lt;='Resultats - informe'!$E$29),0,1,1)</f>
        <v>0</v>
      </c>
      <c r="N2279" s="366">
        <f>+VLOOKUP(D2279,'Resultats - informe'!$Y$18:$AG$42,'Introducció dades consum'!K2279+1,0)</f>
        <v>0</v>
      </c>
      <c r="O2279" s="370" cm="1">
        <f t="array" ref="O2279">+_xlfn.SWITCH(MONTH(C2279),1,1,2,1,3,1,4,2,5,2,6,3,7,3,8,3,9,3,10,2,11,2,12,1,2)</f>
        <v>1</v>
      </c>
      <c r="P2279" s="43"/>
    </row>
    <row r="2280" spans="1:16" ht="18" x14ac:dyDescent="0.35">
      <c r="A2280" s="43"/>
      <c r="C2280" s="393"/>
      <c r="E2280" s="394"/>
      <c r="F2280" s="394">
        <v>0</v>
      </c>
      <c r="G2280" s="394"/>
      <c r="H2280" s="8" t="s">
        <v>235</v>
      </c>
      <c r="I2280" s="368">
        <f t="shared" si="106"/>
        <v>0</v>
      </c>
      <c r="J2280" s="365">
        <f t="shared" si="105"/>
        <v>0</v>
      </c>
      <c r="K2280" s="369">
        <f t="shared" si="107"/>
        <v>6</v>
      </c>
      <c r="L2280" s="369">
        <f>+IF((C2280&gt;='Resultats - informe'!$E$16)*(C2280&lt;='Resultats - informe'!$G$16),1,0)</f>
        <v>1</v>
      </c>
      <c r="M2280" s="369" cm="1">
        <f t="array" ref="M2280">+_xlfn.IFS((C2280&gt;='Resultats - informe'!$D$26)*(C2280&lt;='Resultats - informe'!$E$26),0,(C2280&gt;='Resultats - informe'!$D$27)*(C2280&lt;='Resultats - informe'!$E$27),0,(C2280&gt;='Resultats - informe'!$D$28)*(C2280&lt;='Resultats - informe'!$E$28),0,(C2280&gt;='Resultats - informe'!$D$29)*(C2280&lt;='Resultats - informe'!$E$29),0,1,1)</f>
        <v>0</v>
      </c>
      <c r="N2280" s="366">
        <f>+VLOOKUP(D2280,'Resultats - informe'!$Y$18:$AG$42,'Introducció dades consum'!K2280+1,0)</f>
        <v>0</v>
      </c>
      <c r="O2280" s="370" cm="1">
        <f t="array" ref="O2280">+_xlfn.SWITCH(MONTH(C2280),1,1,2,1,3,1,4,2,5,2,6,3,7,3,8,3,9,3,10,2,11,2,12,1,2)</f>
        <v>1</v>
      </c>
      <c r="P2280" s="43"/>
    </row>
    <row r="2281" spans="1:16" ht="18" x14ac:dyDescent="0.35">
      <c r="A2281" s="43"/>
      <c r="C2281" s="393"/>
      <c r="E2281" s="394"/>
      <c r="F2281" s="394">
        <v>0</v>
      </c>
      <c r="G2281" s="394"/>
      <c r="H2281" s="8" t="s">
        <v>235</v>
      </c>
      <c r="I2281" s="368">
        <f t="shared" si="106"/>
        <v>0</v>
      </c>
      <c r="J2281" s="365">
        <f t="shared" si="105"/>
        <v>0</v>
      </c>
      <c r="K2281" s="369">
        <f t="shared" si="107"/>
        <v>6</v>
      </c>
      <c r="L2281" s="369">
        <f>+IF((C2281&gt;='Resultats - informe'!$E$16)*(C2281&lt;='Resultats - informe'!$G$16),1,0)</f>
        <v>1</v>
      </c>
      <c r="M2281" s="369" cm="1">
        <f t="array" ref="M2281">+_xlfn.IFS((C2281&gt;='Resultats - informe'!$D$26)*(C2281&lt;='Resultats - informe'!$E$26),0,(C2281&gt;='Resultats - informe'!$D$27)*(C2281&lt;='Resultats - informe'!$E$27),0,(C2281&gt;='Resultats - informe'!$D$28)*(C2281&lt;='Resultats - informe'!$E$28),0,(C2281&gt;='Resultats - informe'!$D$29)*(C2281&lt;='Resultats - informe'!$E$29),0,1,1)</f>
        <v>0</v>
      </c>
      <c r="N2281" s="366">
        <f>+VLOOKUP(D2281,'Resultats - informe'!$Y$18:$AG$42,'Introducció dades consum'!K2281+1,0)</f>
        <v>0</v>
      </c>
      <c r="O2281" s="370" cm="1">
        <f t="array" ref="O2281">+_xlfn.SWITCH(MONTH(C2281),1,1,2,1,3,1,4,2,5,2,6,3,7,3,8,3,9,3,10,2,11,2,12,1,2)</f>
        <v>1</v>
      </c>
      <c r="P2281" s="43"/>
    </row>
    <row r="2282" spans="1:16" ht="18" x14ac:dyDescent="0.35">
      <c r="A2282" s="43"/>
      <c r="C2282" s="393"/>
      <c r="E2282" s="394"/>
      <c r="F2282" s="394">
        <v>0</v>
      </c>
      <c r="G2282" s="394"/>
      <c r="H2282" s="8" t="s">
        <v>61</v>
      </c>
      <c r="I2282" s="368">
        <f t="shared" si="106"/>
        <v>0</v>
      </c>
      <c r="J2282" s="365">
        <f t="shared" si="105"/>
        <v>0</v>
      </c>
      <c r="K2282" s="369">
        <f t="shared" si="107"/>
        <v>6</v>
      </c>
      <c r="L2282" s="369">
        <f>+IF((C2282&gt;='Resultats - informe'!$E$16)*(C2282&lt;='Resultats - informe'!$G$16),1,0)</f>
        <v>1</v>
      </c>
      <c r="M2282" s="369" cm="1">
        <f t="array" ref="M2282">+_xlfn.IFS((C2282&gt;='Resultats - informe'!$D$26)*(C2282&lt;='Resultats - informe'!$E$26),0,(C2282&gt;='Resultats - informe'!$D$27)*(C2282&lt;='Resultats - informe'!$E$27),0,(C2282&gt;='Resultats - informe'!$D$28)*(C2282&lt;='Resultats - informe'!$E$28),0,(C2282&gt;='Resultats - informe'!$D$29)*(C2282&lt;='Resultats - informe'!$E$29),0,1,1)</f>
        <v>0</v>
      </c>
      <c r="N2282" s="366">
        <f>+VLOOKUP(D2282,'Resultats - informe'!$Y$18:$AG$42,'Introducció dades consum'!K2282+1,0)</f>
        <v>0</v>
      </c>
      <c r="O2282" s="370" cm="1">
        <f t="array" ref="O2282">+_xlfn.SWITCH(MONTH(C2282),1,1,2,1,3,1,4,2,5,2,6,3,7,3,8,3,9,3,10,2,11,2,12,1,2)</f>
        <v>1</v>
      </c>
      <c r="P2282" s="43"/>
    </row>
    <row r="2283" spans="1:16" ht="18" x14ac:dyDescent="0.35">
      <c r="A2283" s="43"/>
      <c r="C2283" s="393"/>
      <c r="E2283" s="394"/>
      <c r="F2283" s="394">
        <v>0</v>
      </c>
      <c r="G2283" s="394"/>
      <c r="H2283" s="8" t="s">
        <v>235</v>
      </c>
      <c r="I2283" s="368">
        <f t="shared" si="106"/>
        <v>0</v>
      </c>
      <c r="J2283" s="365">
        <f t="shared" si="105"/>
        <v>0</v>
      </c>
      <c r="K2283" s="369">
        <f t="shared" si="107"/>
        <v>6</v>
      </c>
      <c r="L2283" s="369">
        <f>+IF((C2283&gt;='Resultats - informe'!$E$16)*(C2283&lt;='Resultats - informe'!$G$16),1,0)</f>
        <v>1</v>
      </c>
      <c r="M2283" s="369" cm="1">
        <f t="array" ref="M2283">+_xlfn.IFS((C2283&gt;='Resultats - informe'!$D$26)*(C2283&lt;='Resultats - informe'!$E$26),0,(C2283&gt;='Resultats - informe'!$D$27)*(C2283&lt;='Resultats - informe'!$E$27),0,(C2283&gt;='Resultats - informe'!$D$28)*(C2283&lt;='Resultats - informe'!$E$28),0,(C2283&gt;='Resultats - informe'!$D$29)*(C2283&lt;='Resultats - informe'!$E$29),0,1,1)</f>
        <v>0</v>
      </c>
      <c r="N2283" s="366">
        <f>+VLOOKUP(D2283,'Resultats - informe'!$Y$18:$AG$42,'Introducció dades consum'!K2283+1,0)</f>
        <v>0</v>
      </c>
      <c r="O2283" s="370" cm="1">
        <f t="array" ref="O2283">+_xlfn.SWITCH(MONTH(C2283),1,1,2,1,3,1,4,2,5,2,6,3,7,3,8,3,9,3,10,2,11,2,12,1,2)</f>
        <v>1</v>
      </c>
      <c r="P2283" s="43"/>
    </row>
    <row r="2284" spans="1:16" ht="18" x14ac:dyDescent="0.35">
      <c r="A2284" s="43"/>
      <c r="C2284" s="393"/>
      <c r="E2284" s="394"/>
      <c r="F2284" s="394">
        <v>0</v>
      </c>
      <c r="G2284" s="394"/>
      <c r="H2284" s="8" t="s">
        <v>235</v>
      </c>
      <c r="I2284" s="368">
        <f t="shared" si="106"/>
        <v>0</v>
      </c>
      <c r="J2284" s="365">
        <f t="shared" si="105"/>
        <v>0</v>
      </c>
      <c r="K2284" s="369">
        <f t="shared" si="107"/>
        <v>6</v>
      </c>
      <c r="L2284" s="369">
        <f>+IF((C2284&gt;='Resultats - informe'!$E$16)*(C2284&lt;='Resultats - informe'!$G$16),1,0)</f>
        <v>1</v>
      </c>
      <c r="M2284" s="369" cm="1">
        <f t="array" ref="M2284">+_xlfn.IFS((C2284&gt;='Resultats - informe'!$D$26)*(C2284&lt;='Resultats - informe'!$E$26),0,(C2284&gt;='Resultats - informe'!$D$27)*(C2284&lt;='Resultats - informe'!$E$27),0,(C2284&gt;='Resultats - informe'!$D$28)*(C2284&lt;='Resultats - informe'!$E$28),0,(C2284&gt;='Resultats - informe'!$D$29)*(C2284&lt;='Resultats - informe'!$E$29),0,1,1)</f>
        <v>0</v>
      </c>
      <c r="N2284" s="366">
        <f>+VLOOKUP(D2284,'Resultats - informe'!$Y$18:$AG$42,'Introducció dades consum'!K2284+1,0)</f>
        <v>0</v>
      </c>
      <c r="O2284" s="370" cm="1">
        <f t="array" ref="O2284">+_xlfn.SWITCH(MONTH(C2284),1,1,2,1,3,1,4,2,5,2,6,3,7,3,8,3,9,3,10,2,11,2,12,1,2)</f>
        <v>1</v>
      </c>
      <c r="P2284" s="43"/>
    </row>
    <row r="2285" spans="1:16" ht="18" x14ac:dyDescent="0.35">
      <c r="A2285" s="43"/>
      <c r="C2285" s="393"/>
      <c r="E2285" s="394"/>
      <c r="F2285" s="394">
        <v>0</v>
      </c>
      <c r="G2285" s="394"/>
      <c r="H2285" s="8" t="s">
        <v>235</v>
      </c>
      <c r="I2285" s="368">
        <f t="shared" si="106"/>
        <v>0</v>
      </c>
      <c r="J2285" s="365">
        <f t="shared" si="105"/>
        <v>0</v>
      </c>
      <c r="K2285" s="369">
        <f t="shared" si="107"/>
        <v>6</v>
      </c>
      <c r="L2285" s="369">
        <f>+IF((C2285&gt;='Resultats - informe'!$E$16)*(C2285&lt;='Resultats - informe'!$G$16),1,0)</f>
        <v>1</v>
      </c>
      <c r="M2285" s="369" cm="1">
        <f t="array" ref="M2285">+_xlfn.IFS((C2285&gt;='Resultats - informe'!$D$26)*(C2285&lt;='Resultats - informe'!$E$26),0,(C2285&gt;='Resultats - informe'!$D$27)*(C2285&lt;='Resultats - informe'!$E$27),0,(C2285&gt;='Resultats - informe'!$D$28)*(C2285&lt;='Resultats - informe'!$E$28),0,(C2285&gt;='Resultats - informe'!$D$29)*(C2285&lt;='Resultats - informe'!$E$29),0,1,1)</f>
        <v>0</v>
      </c>
      <c r="N2285" s="366">
        <f>+VLOOKUP(D2285,'Resultats - informe'!$Y$18:$AG$42,'Introducció dades consum'!K2285+1,0)</f>
        <v>0</v>
      </c>
      <c r="O2285" s="370" cm="1">
        <f t="array" ref="O2285">+_xlfn.SWITCH(MONTH(C2285),1,1,2,1,3,1,4,2,5,2,6,3,7,3,8,3,9,3,10,2,11,2,12,1,2)</f>
        <v>1</v>
      </c>
      <c r="P2285" s="43"/>
    </row>
    <row r="2286" spans="1:16" ht="18" x14ac:dyDescent="0.35">
      <c r="A2286" s="43"/>
      <c r="C2286" s="393"/>
      <c r="E2286" s="394"/>
      <c r="F2286" s="394">
        <v>0</v>
      </c>
      <c r="G2286" s="394"/>
      <c r="H2286" s="8" t="s">
        <v>61</v>
      </c>
      <c r="I2286" s="368">
        <f t="shared" si="106"/>
        <v>0</v>
      </c>
      <c r="J2286" s="365">
        <f t="shared" si="105"/>
        <v>0</v>
      </c>
      <c r="K2286" s="369">
        <f t="shared" si="107"/>
        <v>6</v>
      </c>
      <c r="L2286" s="369">
        <f>+IF((C2286&gt;='Resultats - informe'!$E$16)*(C2286&lt;='Resultats - informe'!$G$16),1,0)</f>
        <v>1</v>
      </c>
      <c r="M2286" s="369" cm="1">
        <f t="array" ref="M2286">+_xlfn.IFS((C2286&gt;='Resultats - informe'!$D$26)*(C2286&lt;='Resultats - informe'!$E$26),0,(C2286&gt;='Resultats - informe'!$D$27)*(C2286&lt;='Resultats - informe'!$E$27),0,(C2286&gt;='Resultats - informe'!$D$28)*(C2286&lt;='Resultats - informe'!$E$28),0,(C2286&gt;='Resultats - informe'!$D$29)*(C2286&lt;='Resultats - informe'!$E$29),0,1,1)</f>
        <v>0</v>
      </c>
      <c r="N2286" s="366">
        <f>+VLOOKUP(D2286,'Resultats - informe'!$Y$18:$AG$42,'Introducció dades consum'!K2286+1,0)</f>
        <v>0</v>
      </c>
      <c r="O2286" s="370" cm="1">
        <f t="array" ref="O2286">+_xlfn.SWITCH(MONTH(C2286),1,1,2,1,3,1,4,2,5,2,6,3,7,3,8,3,9,3,10,2,11,2,12,1,2)</f>
        <v>1</v>
      </c>
      <c r="P2286" s="43"/>
    </row>
    <row r="2287" spans="1:16" ht="18" x14ac:dyDescent="0.35">
      <c r="A2287" s="43"/>
      <c r="C2287" s="393"/>
      <c r="E2287" s="394"/>
      <c r="F2287" s="394">
        <v>0</v>
      </c>
      <c r="G2287" s="394"/>
      <c r="H2287" s="8" t="s">
        <v>235</v>
      </c>
      <c r="I2287" s="368">
        <f t="shared" si="106"/>
        <v>0</v>
      </c>
      <c r="J2287" s="365">
        <f t="shared" si="105"/>
        <v>0</v>
      </c>
      <c r="K2287" s="369">
        <f t="shared" si="107"/>
        <v>6</v>
      </c>
      <c r="L2287" s="369">
        <f>+IF((C2287&gt;='Resultats - informe'!$E$16)*(C2287&lt;='Resultats - informe'!$G$16),1,0)</f>
        <v>1</v>
      </c>
      <c r="M2287" s="369" cm="1">
        <f t="array" ref="M2287">+_xlfn.IFS((C2287&gt;='Resultats - informe'!$D$26)*(C2287&lt;='Resultats - informe'!$E$26),0,(C2287&gt;='Resultats - informe'!$D$27)*(C2287&lt;='Resultats - informe'!$E$27),0,(C2287&gt;='Resultats - informe'!$D$28)*(C2287&lt;='Resultats - informe'!$E$28),0,(C2287&gt;='Resultats - informe'!$D$29)*(C2287&lt;='Resultats - informe'!$E$29),0,1,1)</f>
        <v>0</v>
      </c>
      <c r="N2287" s="366">
        <f>+VLOOKUP(D2287,'Resultats - informe'!$Y$18:$AG$42,'Introducció dades consum'!K2287+1,0)</f>
        <v>0</v>
      </c>
      <c r="O2287" s="370" cm="1">
        <f t="array" ref="O2287">+_xlfn.SWITCH(MONTH(C2287),1,1,2,1,3,1,4,2,5,2,6,3,7,3,8,3,9,3,10,2,11,2,12,1,2)</f>
        <v>1</v>
      </c>
      <c r="P2287" s="43"/>
    </row>
    <row r="2288" spans="1:16" ht="18" x14ac:dyDescent="0.35">
      <c r="A2288" s="43"/>
      <c r="C2288" s="393"/>
      <c r="E2288" s="394"/>
      <c r="F2288" s="394">
        <v>0</v>
      </c>
      <c r="G2288" s="394"/>
      <c r="H2288" s="8" t="s">
        <v>235</v>
      </c>
      <c r="I2288" s="368">
        <f t="shared" si="106"/>
        <v>0</v>
      </c>
      <c r="J2288" s="365">
        <f t="shared" si="105"/>
        <v>0</v>
      </c>
      <c r="K2288" s="369">
        <f t="shared" si="107"/>
        <v>6</v>
      </c>
      <c r="L2288" s="369">
        <f>+IF((C2288&gt;='Resultats - informe'!$E$16)*(C2288&lt;='Resultats - informe'!$G$16),1,0)</f>
        <v>1</v>
      </c>
      <c r="M2288" s="369" cm="1">
        <f t="array" ref="M2288">+_xlfn.IFS((C2288&gt;='Resultats - informe'!$D$26)*(C2288&lt;='Resultats - informe'!$E$26),0,(C2288&gt;='Resultats - informe'!$D$27)*(C2288&lt;='Resultats - informe'!$E$27),0,(C2288&gt;='Resultats - informe'!$D$28)*(C2288&lt;='Resultats - informe'!$E$28),0,(C2288&gt;='Resultats - informe'!$D$29)*(C2288&lt;='Resultats - informe'!$E$29),0,1,1)</f>
        <v>0</v>
      </c>
      <c r="N2288" s="366">
        <f>+VLOOKUP(D2288,'Resultats - informe'!$Y$18:$AG$42,'Introducció dades consum'!K2288+1,0)</f>
        <v>0</v>
      </c>
      <c r="O2288" s="370" cm="1">
        <f t="array" ref="O2288">+_xlfn.SWITCH(MONTH(C2288),1,1,2,1,3,1,4,2,5,2,6,3,7,3,8,3,9,3,10,2,11,2,12,1,2)</f>
        <v>1</v>
      </c>
      <c r="P2288" s="43"/>
    </row>
    <row r="2289" spans="1:16" ht="18" x14ac:dyDescent="0.35">
      <c r="A2289" s="43"/>
      <c r="C2289" s="393"/>
      <c r="E2289" s="394"/>
      <c r="F2289" s="394">
        <v>0</v>
      </c>
      <c r="G2289" s="394"/>
      <c r="H2289" s="8" t="s">
        <v>61</v>
      </c>
      <c r="I2289" s="368">
        <f t="shared" si="106"/>
        <v>0</v>
      </c>
      <c r="J2289" s="365">
        <f t="shared" si="105"/>
        <v>0</v>
      </c>
      <c r="K2289" s="369">
        <f t="shared" si="107"/>
        <v>6</v>
      </c>
      <c r="L2289" s="369">
        <f>+IF((C2289&gt;='Resultats - informe'!$E$16)*(C2289&lt;='Resultats - informe'!$G$16),1,0)</f>
        <v>1</v>
      </c>
      <c r="M2289" s="369" cm="1">
        <f t="array" ref="M2289">+_xlfn.IFS((C2289&gt;='Resultats - informe'!$D$26)*(C2289&lt;='Resultats - informe'!$E$26),0,(C2289&gt;='Resultats - informe'!$D$27)*(C2289&lt;='Resultats - informe'!$E$27),0,(C2289&gt;='Resultats - informe'!$D$28)*(C2289&lt;='Resultats - informe'!$E$28),0,(C2289&gt;='Resultats - informe'!$D$29)*(C2289&lt;='Resultats - informe'!$E$29),0,1,1)</f>
        <v>0</v>
      </c>
      <c r="N2289" s="366">
        <f>+VLOOKUP(D2289,'Resultats - informe'!$Y$18:$AG$42,'Introducció dades consum'!K2289+1,0)</f>
        <v>0</v>
      </c>
      <c r="O2289" s="370" cm="1">
        <f t="array" ref="O2289">+_xlfn.SWITCH(MONTH(C2289),1,1,2,1,3,1,4,2,5,2,6,3,7,3,8,3,9,3,10,2,11,2,12,1,2)</f>
        <v>1</v>
      </c>
      <c r="P2289" s="43"/>
    </row>
    <row r="2290" spans="1:16" ht="18" x14ac:dyDescent="0.35">
      <c r="A2290" s="43"/>
      <c r="C2290" s="393"/>
      <c r="E2290" s="394"/>
      <c r="F2290" s="394">
        <v>0</v>
      </c>
      <c r="G2290" s="394"/>
      <c r="H2290" s="8" t="s">
        <v>61</v>
      </c>
      <c r="I2290" s="368">
        <f t="shared" si="106"/>
        <v>0</v>
      </c>
      <c r="J2290" s="365">
        <f t="shared" si="105"/>
        <v>0</v>
      </c>
      <c r="K2290" s="369">
        <f t="shared" si="107"/>
        <v>6</v>
      </c>
      <c r="L2290" s="369">
        <f>+IF((C2290&gt;='Resultats - informe'!$E$16)*(C2290&lt;='Resultats - informe'!$G$16),1,0)</f>
        <v>1</v>
      </c>
      <c r="M2290" s="369" cm="1">
        <f t="array" ref="M2290">+_xlfn.IFS((C2290&gt;='Resultats - informe'!$D$26)*(C2290&lt;='Resultats - informe'!$E$26),0,(C2290&gt;='Resultats - informe'!$D$27)*(C2290&lt;='Resultats - informe'!$E$27),0,(C2290&gt;='Resultats - informe'!$D$28)*(C2290&lt;='Resultats - informe'!$E$28),0,(C2290&gt;='Resultats - informe'!$D$29)*(C2290&lt;='Resultats - informe'!$E$29),0,1,1)</f>
        <v>0</v>
      </c>
      <c r="N2290" s="366">
        <f>+VLOOKUP(D2290,'Resultats - informe'!$Y$18:$AG$42,'Introducció dades consum'!K2290+1,0)</f>
        <v>0</v>
      </c>
      <c r="O2290" s="370" cm="1">
        <f t="array" ref="O2290">+_xlfn.SWITCH(MONTH(C2290),1,1,2,1,3,1,4,2,5,2,6,3,7,3,8,3,9,3,10,2,11,2,12,1,2)</f>
        <v>1</v>
      </c>
      <c r="P2290" s="43"/>
    </row>
    <row r="2291" spans="1:16" ht="18" x14ac:dyDescent="0.35">
      <c r="A2291" s="43"/>
      <c r="C2291" s="393"/>
      <c r="E2291" s="394"/>
      <c r="F2291" s="394">
        <v>0</v>
      </c>
      <c r="G2291" s="394"/>
      <c r="H2291" s="8" t="s">
        <v>61</v>
      </c>
      <c r="I2291" s="368">
        <f t="shared" si="106"/>
        <v>0</v>
      </c>
      <c r="J2291" s="365">
        <f t="shared" si="105"/>
        <v>0</v>
      </c>
      <c r="K2291" s="369">
        <f t="shared" si="107"/>
        <v>6</v>
      </c>
      <c r="L2291" s="369">
        <f>+IF((C2291&gt;='Resultats - informe'!$E$16)*(C2291&lt;='Resultats - informe'!$G$16),1,0)</f>
        <v>1</v>
      </c>
      <c r="M2291" s="369" cm="1">
        <f t="array" ref="M2291">+_xlfn.IFS((C2291&gt;='Resultats - informe'!$D$26)*(C2291&lt;='Resultats - informe'!$E$26),0,(C2291&gt;='Resultats - informe'!$D$27)*(C2291&lt;='Resultats - informe'!$E$27),0,(C2291&gt;='Resultats - informe'!$D$28)*(C2291&lt;='Resultats - informe'!$E$28),0,(C2291&gt;='Resultats - informe'!$D$29)*(C2291&lt;='Resultats - informe'!$E$29),0,1,1)</f>
        <v>0</v>
      </c>
      <c r="N2291" s="366">
        <f>+VLOOKUP(D2291,'Resultats - informe'!$Y$18:$AG$42,'Introducció dades consum'!K2291+1,0)</f>
        <v>0</v>
      </c>
      <c r="O2291" s="370" cm="1">
        <f t="array" ref="O2291">+_xlfn.SWITCH(MONTH(C2291),1,1,2,1,3,1,4,2,5,2,6,3,7,3,8,3,9,3,10,2,11,2,12,1,2)</f>
        <v>1</v>
      </c>
      <c r="P2291" s="43"/>
    </row>
    <row r="2292" spans="1:16" ht="18" x14ac:dyDescent="0.35">
      <c r="A2292" s="43"/>
      <c r="C2292" s="393"/>
      <c r="E2292" s="394"/>
      <c r="F2292" s="394">
        <v>0</v>
      </c>
      <c r="G2292" s="394"/>
      <c r="H2292" s="8" t="s">
        <v>61</v>
      </c>
      <c r="I2292" s="368">
        <f t="shared" si="106"/>
        <v>0</v>
      </c>
      <c r="J2292" s="365">
        <f t="shared" si="105"/>
        <v>0</v>
      </c>
      <c r="K2292" s="369">
        <f t="shared" si="107"/>
        <v>6</v>
      </c>
      <c r="L2292" s="369">
        <f>+IF((C2292&gt;='Resultats - informe'!$E$16)*(C2292&lt;='Resultats - informe'!$G$16),1,0)</f>
        <v>1</v>
      </c>
      <c r="M2292" s="369" cm="1">
        <f t="array" ref="M2292">+_xlfn.IFS((C2292&gt;='Resultats - informe'!$D$26)*(C2292&lt;='Resultats - informe'!$E$26),0,(C2292&gt;='Resultats - informe'!$D$27)*(C2292&lt;='Resultats - informe'!$E$27),0,(C2292&gt;='Resultats - informe'!$D$28)*(C2292&lt;='Resultats - informe'!$E$28),0,(C2292&gt;='Resultats - informe'!$D$29)*(C2292&lt;='Resultats - informe'!$E$29),0,1,1)</f>
        <v>0</v>
      </c>
      <c r="N2292" s="366">
        <f>+VLOOKUP(D2292,'Resultats - informe'!$Y$18:$AG$42,'Introducció dades consum'!K2292+1,0)</f>
        <v>0</v>
      </c>
      <c r="O2292" s="370" cm="1">
        <f t="array" ref="O2292">+_xlfn.SWITCH(MONTH(C2292),1,1,2,1,3,1,4,2,5,2,6,3,7,3,8,3,9,3,10,2,11,2,12,1,2)</f>
        <v>1</v>
      </c>
      <c r="P2292" s="43"/>
    </row>
    <row r="2293" spans="1:16" ht="18" x14ac:dyDescent="0.35">
      <c r="A2293" s="43"/>
      <c r="C2293" s="393"/>
      <c r="E2293" s="394"/>
      <c r="F2293" s="394">
        <v>1.974</v>
      </c>
      <c r="G2293" s="394"/>
      <c r="H2293" s="8" t="s">
        <v>61</v>
      </c>
      <c r="I2293" s="368">
        <f t="shared" si="106"/>
        <v>0</v>
      </c>
      <c r="J2293" s="365">
        <f t="shared" si="105"/>
        <v>0</v>
      </c>
      <c r="K2293" s="369">
        <f t="shared" si="107"/>
        <v>6</v>
      </c>
      <c r="L2293" s="369">
        <f>+IF((C2293&gt;='Resultats - informe'!$E$16)*(C2293&lt;='Resultats - informe'!$G$16),1,0)</f>
        <v>1</v>
      </c>
      <c r="M2293" s="369" cm="1">
        <f t="array" ref="M2293">+_xlfn.IFS((C2293&gt;='Resultats - informe'!$D$26)*(C2293&lt;='Resultats - informe'!$E$26),0,(C2293&gt;='Resultats - informe'!$D$27)*(C2293&lt;='Resultats - informe'!$E$27),0,(C2293&gt;='Resultats - informe'!$D$28)*(C2293&lt;='Resultats - informe'!$E$28),0,(C2293&gt;='Resultats - informe'!$D$29)*(C2293&lt;='Resultats - informe'!$E$29),0,1,1)</f>
        <v>0</v>
      </c>
      <c r="N2293" s="366">
        <f>+VLOOKUP(D2293,'Resultats - informe'!$Y$18:$AG$42,'Introducció dades consum'!K2293+1,0)</f>
        <v>0</v>
      </c>
      <c r="O2293" s="370" cm="1">
        <f t="array" ref="O2293">+_xlfn.SWITCH(MONTH(C2293),1,1,2,1,3,1,4,2,5,2,6,3,7,3,8,3,9,3,10,2,11,2,12,1,2)</f>
        <v>1</v>
      </c>
      <c r="P2293" s="43"/>
    </row>
    <row r="2294" spans="1:16" ht="18" x14ac:dyDescent="0.35">
      <c r="A2294" s="43"/>
      <c r="C2294" s="393"/>
      <c r="E2294" s="394"/>
      <c r="F2294" s="394">
        <v>4.1420000000000003</v>
      </c>
      <c r="G2294" s="394"/>
      <c r="H2294" s="8" t="s">
        <v>61</v>
      </c>
      <c r="I2294" s="368">
        <f t="shared" si="106"/>
        <v>0</v>
      </c>
      <c r="J2294" s="365">
        <f t="shared" si="105"/>
        <v>0</v>
      </c>
      <c r="K2294" s="369">
        <f t="shared" si="107"/>
        <v>6</v>
      </c>
      <c r="L2294" s="369">
        <f>+IF((C2294&gt;='Resultats - informe'!$E$16)*(C2294&lt;='Resultats - informe'!$G$16),1,0)</f>
        <v>1</v>
      </c>
      <c r="M2294" s="369" cm="1">
        <f t="array" ref="M2294">+_xlfn.IFS((C2294&gt;='Resultats - informe'!$D$26)*(C2294&lt;='Resultats - informe'!$E$26),0,(C2294&gt;='Resultats - informe'!$D$27)*(C2294&lt;='Resultats - informe'!$E$27),0,(C2294&gt;='Resultats - informe'!$D$28)*(C2294&lt;='Resultats - informe'!$E$28),0,(C2294&gt;='Resultats - informe'!$D$29)*(C2294&lt;='Resultats - informe'!$E$29),0,1,1)</f>
        <v>0</v>
      </c>
      <c r="N2294" s="366">
        <f>+VLOOKUP(D2294,'Resultats - informe'!$Y$18:$AG$42,'Introducció dades consum'!K2294+1,0)</f>
        <v>0</v>
      </c>
      <c r="O2294" s="370" cm="1">
        <f t="array" ref="O2294">+_xlfn.SWITCH(MONTH(C2294),1,1,2,1,3,1,4,2,5,2,6,3,7,3,8,3,9,3,10,2,11,2,12,1,2)</f>
        <v>1</v>
      </c>
      <c r="P2294" s="43"/>
    </row>
    <row r="2295" spans="1:16" ht="18" x14ac:dyDescent="0.35">
      <c r="A2295" s="43"/>
      <c r="C2295" s="393"/>
      <c r="E2295" s="394"/>
      <c r="F2295" s="394">
        <v>5.7229999999999999</v>
      </c>
      <c r="G2295" s="394"/>
      <c r="H2295" s="8" t="s">
        <v>61</v>
      </c>
      <c r="I2295" s="368">
        <f t="shared" si="106"/>
        <v>0</v>
      </c>
      <c r="J2295" s="365">
        <f t="shared" si="105"/>
        <v>0</v>
      </c>
      <c r="K2295" s="369">
        <f t="shared" si="107"/>
        <v>6</v>
      </c>
      <c r="L2295" s="369">
        <f>+IF((C2295&gt;='Resultats - informe'!$E$16)*(C2295&lt;='Resultats - informe'!$G$16),1,0)</f>
        <v>1</v>
      </c>
      <c r="M2295" s="369" cm="1">
        <f t="array" ref="M2295">+_xlfn.IFS((C2295&gt;='Resultats - informe'!$D$26)*(C2295&lt;='Resultats - informe'!$E$26),0,(C2295&gt;='Resultats - informe'!$D$27)*(C2295&lt;='Resultats - informe'!$E$27),0,(C2295&gt;='Resultats - informe'!$D$28)*(C2295&lt;='Resultats - informe'!$E$28),0,(C2295&gt;='Resultats - informe'!$D$29)*(C2295&lt;='Resultats - informe'!$E$29),0,1,1)</f>
        <v>0</v>
      </c>
      <c r="N2295" s="366">
        <f>+VLOOKUP(D2295,'Resultats - informe'!$Y$18:$AG$42,'Introducció dades consum'!K2295+1,0)</f>
        <v>0</v>
      </c>
      <c r="O2295" s="370" cm="1">
        <f t="array" ref="O2295">+_xlfn.SWITCH(MONTH(C2295),1,1,2,1,3,1,4,2,5,2,6,3,7,3,8,3,9,3,10,2,11,2,12,1,2)</f>
        <v>1</v>
      </c>
      <c r="P2295" s="43"/>
    </row>
    <row r="2296" spans="1:16" ht="18" x14ac:dyDescent="0.35">
      <c r="A2296" s="43"/>
      <c r="C2296" s="393"/>
      <c r="E2296" s="394"/>
      <c r="F2296" s="394">
        <v>6.8479999999999999</v>
      </c>
      <c r="G2296" s="394"/>
      <c r="H2296" s="8" t="s">
        <v>61</v>
      </c>
      <c r="I2296" s="368">
        <f t="shared" si="106"/>
        <v>0</v>
      </c>
      <c r="J2296" s="365">
        <f t="shared" si="105"/>
        <v>0</v>
      </c>
      <c r="K2296" s="369">
        <f t="shared" si="107"/>
        <v>6</v>
      </c>
      <c r="L2296" s="369">
        <f>+IF((C2296&gt;='Resultats - informe'!$E$16)*(C2296&lt;='Resultats - informe'!$G$16),1,0)</f>
        <v>1</v>
      </c>
      <c r="M2296" s="369" cm="1">
        <f t="array" ref="M2296">+_xlfn.IFS((C2296&gt;='Resultats - informe'!$D$26)*(C2296&lt;='Resultats - informe'!$E$26),0,(C2296&gt;='Resultats - informe'!$D$27)*(C2296&lt;='Resultats - informe'!$E$27),0,(C2296&gt;='Resultats - informe'!$D$28)*(C2296&lt;='Resultats - informe'!$E$28),0,(C2296&gt;='Resultats - informe'!$D$29)*(C2296&lt;='Resultats - informe'!$E$29),0,1,1)</f>
        <v>0</v>
      </c>
      <c r="N2296" s="366">
        <f>+VLOOKUP(D2296,'Resultats - informe'!$Y$18:$AG$42,'Introducció dades consum'!K2296+1,0)</f>
        <v>0</v>
      </c>
      <c r="O2296" s="370" cm="1">
        <f t="array" ref="O2296">+_xlfn.SWITCH(MONTH(C2296),1,1,2,1,3,1,4,2,5,2,6,3,7,3,8,3,9,3,10,2,11,2,12,1,2)</f>
        <v>1</v>
      </c>
      <c r="P2296" s="43"/>
    </row>
    <row r="2297" spans="1:16" ht="18" x14ac:dyDescent="0.35">
      <c r="A2297" s="43"/>
      <c r="C2297" s="393"/>
      <c r="E2297" s="394"/>
      <c r="F2297" s="394">
        <v>3.2879999999999998</v>
      </c>
      <c r="G2297" s="394"/>
      <c r="H2297" s="8" t="s">
        <v>235</v>
      </c>
      <c r="I2297" s="368">
        <f t="shared" si="106"/>
        <v>0</v>
      </c>
      <c r="J2297" s="365">
        <f t="shared" si="105"/>
        <v>0</v>
      </c>
      <c r="K2297" s="369">
        <f t="shared" si="107"/>
        <v>6</v>
      </c>
      <c r="L2297" s="369">
        <f>+IF((C2297&gt;='Resultats - informe'!$E$16)*(C2297&lt;='Resultats - informe'!$G$16),1,0)</f>
        <v>1</v>
      </c>
      <c r="M2297" s="369" cm="1">
        <f t="array" ref="M2297">+_xlfn.IFS((C2297&gt;='Resultats - informe'!$D$26)*(C2297&lt;='Resultats - informe'!$E$26),0,(C2297&gt;='Resultats - informe'!$D$27)*(C2297&lt;='Resultats - informe'!$E$27),0,(C2297&gt;='Resultats - informe'!$D$28)*(C2297&lt;='Resultats - informe'!$E$28),0,(C2297&gt;='Resultats - informe'!$D$29)*(C2297&lt;='Resultats - informe'!$E$29),0,1,1)</f>
        <v>0</v>
      </c>
      <c r="N2297" s="366">
        <f>+VLOOKUP(D2297,'Resultats - informe'!$Y$18:$AG$42,'Introducció dades consum'!K2297+1,0)</f>
        <v>0</v>
      </c>
      <c r="O2297" s="370" cm="1">
        <f t="array" ref="O2297">+_xlfn.SWITCH(MONTH(C2297),1,1,2,1,3,1,4,2,5,2,6,3,7,3,8,3,9,3,10,2,11,2,12,1,2)</f>
        <v>1</v>
      </c>
      <c r="P2297" s="43"/>
    </row>
    <row r="2298" spans="1:16" ht="18" x14ac:dyDescent="0.35">
      <c r="A2298" s="43"/>
      <c r="C2298" s="393"/>
      <c r="E2298" s="394"/>
      <c r="F2298" s="394">
        <v>2.5369999999999999</v>
      </c>
      <c r="G2298" s="394"/>
      <c r="H2298" s="8" t="s">
        <v>235</v>
      </c>
      <c r="I2298" s="368">
        <f t="shared" si="106"/>
        <v>0</v>
      </c>
      <c r="J2298" s="365">
        <f t="shared" si="105"/>
        <v>0</v>
      </c>
      <c r="K2298" s="369">
        <f t="shared" si="107"/>
        <v>6</v>
      </c>
      <c r="L2298" s="369">
        <f>+IF((C2298&gt;='Resultats - informe'!$E$16)*(C2298&lt;='Resultats - informe'!$G$16),1,0)</f>
        <v>1</v>
      </c>
      <c r="M2298" s="369" cm="1">
        <f t="array" ref="M2298">+_xlfn.IFS((C2298&gt;='Resultats - informe'!$D$26)*(C2298&lt;='Resultats - informe'!$E$26),0,(C2298&gt;='Resultats - informe'!$D$27)*(C2298&lt;='Resultats - informe'!$E$27),0,(C2298&gt;='Resultats - informe'!$D$28)*(C2298&lt;='Resultats - informe'!$E$28),0,(C2298&gt;='Resultats - informe'!$D$29)*(C2298&lt;='Resultats - informe'!$E$29),0,1,1)</f>
        <v>0</v>
      </c>
      <c r="N2298" s="366">
        <f>+VLOOKUP(D2298,'Resultats - informe'!$Y$18:$AG$42,'Introducció dades consum'!K2298+1,0)</f>
        <v>0</v>
      </c>
      <c r="O2298" s="370" cm="1">
        <f t="array" ref="O2298">+_xlfn.SWITCH(MONTH(C2298),1,1,2,1,3,1,4,2,5,2,6,3,7,3,8,3,9,3,10,2,11,2,12,1,2)</f>
        <v>1</v>
      </c>
      <c r="P2298" s="43"/>
    </row>
    <row r="2299" spans="1:16" ht="18" x14ac:dyDescent="0.35">
      <c r="A2299" s="43"/>
      <c r="C2299" s="393"/>
      <c r="E2299" s="394"/>
      <c r="F2299" s="394">
        <v>1.62</v>
      </c>
      <c r="G2299" s="394"/>
      <c r="H2299" s="8" t="s">
        <v>235</v>
      </c>
      <c r="I2299" s="368">
        <f t="shared" si="106"/>
        <v>0</v>
      </c>
      <c r="J2299" s="365">
        <f t="shared" ref="J2299:J2362" si="108">+C2299</f>
        <v>0</v>
      </c>
      <c r="K2299" s="369">
        <f t="shared" si="107"/>
        <v>6</v>
      </c>
      <c r="L2299" s="369">
        <f>+IF((C2299&gt;='Resultats - informe'!$E$16)*(C2299&lt;='Resultats - informe'!$G$16),1,0)</f>
        <v>1</v>
      </c>
      <c r="M2299" s="369" cm="1">
        <f t="array" ref="M2299">+_xlfn.IFS((C2299&gt;='Resultats - informe'!$D$26)*(C2299&lt;='Resultats - informe'!$E$26),0,(C2299&gt;='Resultats - informe'!$D$27)*(C2299&lt;='Resultats - informe'!$E$27),0,(C2299&gt;='Resultats - informe'!$D$28)*(C2299&lt;='Resultats - informe'!$E$28),0,(C2299&gt;='Resultats - informe'!$D$29)*(C2299&lt;='Resultats - informe'!$E$29),0,1,1)</f>
        <v>0</v>
      </c>
      <c r="N2299" s="366">
        <f>+VLOOKUP(D2299,'Resultats - informe'!$Y$18:$AG$42,'Introducció dades consum'!K2299+1,0)</f>
        <v>0</v>
      </c>
      <c r="O2299" s="370" cm="1">
        <f t="array" ref="O2299">+_xlfn.SWITCH(MONTH(C2299),1,1,2,1,3,1,4,2,5,2,6,3,7,3,8,3,9,3,10,2,11,2,12,1,2)</f>
        <v>1</v>
      </c>
      <c r="P2299" s="43"/>
    </row>
    <row r="2300" spans="1:16" ht="18" x14ac:dyDescent="0.35">
      <c r="A2300" s="43"/>
      <c r="C2300" s="393"/>
      <c r="E2300" s="394"/>
      <c r="F2300" s="394">
        <v>0.751</v>
      </c>
      <c r="G2300" s="394"/>
      <c r="H2300" s="8" t="s">
        <v>235</v>
      </c>
      <c r="I2300" s="368">
        <f t="shared" si="106"/>
        <v>0</v>
      </c>
      <c r="J2300" s="365">
        <f t="shared" si="108"/>
        <v>0</v>
      </c>
      <c r="K2300" s="369">
        <f t="shared" si="107"/>
        <v>6</v>
      </c>
      <c r="L2300" s="369">
        <f>+IF((C2300&gt;='Resultats - informe'!$E$16)*(C2300&lt;='Resultats - informe'!$G$16),1,0)</f>
        <v>1</v>
      </c>
      <c r="M2300" s="369" cm="1">
        <f t="array" ref="M2300">+_xlfn.IFS((C2300&gt;='Resultats - informe'!$D$26)*(C2300&lt;='Resultats - informe'!$E$26),0,(C2300&gt;='Resultats - informe'!$D$27)*(C2300&lt;='Resultats - informe'!$E$27),0,(C2300&gt;='Resultats - informe'!$D$28)*(C2300&lt;='Resultats - informe'!$E$28),0,(C2300&gt;='Resultats - informe'!$D$29)*(C2300&lt;='Resultats - informe'!$E$29),0,1,1)</f>
        <v>0</v>
      </c>
      <c r="N2300" s="366">
        <f>+VLOOKUP(D2300,'Resultats - informe'!$Y$18:$AG$42,'Introducció dades consum'!K2300+1,0)</f>
        <v>0</v>
      </c>
      <c r="O2300" s="370" cm="1">
        <f t="array" ref="O2300">+_xlfn.SWITCH(MONTH(C2300),1,1,2,1,3,1,4,2,5,2,6,3,7,3,8,3,9,3,10,2,11,2,12,1,2)</f>
        <v>1</v>
      </c>
      <c r="P2300" s="43"/>
    </row>
    <row r="2301" spans="1:16" ht="18" x14ac:dyDescent="0.35">
      <c r="A2301" s="43"/>
      <c r="C2301" s="393"/>
      <c r="E2301" s="394"/>
      <c r="F2301" s="394">
        <v>4.218</v>
      </c>
      <c r="G2301" s="394"/>
      <c r="H2301" s="8" t="s">
        <v>61</v>
      </c>
      <c r="I2301" s="368">
        <f t="shared" si="106"/>
        <v>0</v>
      </c>
      <c r="J2301" s="365">
        <f t="shared" si="108"/>
        <v>0</v>
      </c>
      <c r="K2301" s="369">
        <f t="shared" si="107"/>
        <v>6</v>
      </c>
      <c r="L2301" s="369">
        <f>+IF((C2301&gt;='Resultats - informe'!$E$16)*(C2301&lt;='Resultats - informe'!$G$16),1,0)</f>
        <v>1</v>
      </c>
      <c r="M2301" s="369" cm="1">
        <f t="array" ref="M2301">+_xlfn.IFS((C2301&gt;='Resultats - informe'!$D$26)*(C2301&lt;='Resultats - informe'!$E$26),0,(C2301&gt;='Resultats - informe'!$D$27)*(C2301&lt;='Resultats - informe'!$E$27),0,(C2301&gt;='Resultats - informe'!$D$28)*(C2301&lt;='Resultats - informe'!$E$28),0,(C2301&gt;='Resultats - informe'!$D$29)*(C2301&lt;='Resultats - informe'!$E$29),0,1,1)</f>
        <v>0</v>
      </c>
      <c r="N2301" s="366">
        <f>+VLOOKUP(D2301,'Resultats - informe'!$Y$18:$AG$42,'Introducció dades consum'!K2301+1,0)</f>
        <v>0</v>
      </c>
      <c r="O2301" s="370" cm="1">
        <f t="array" ref="O2301">+_xlfn.SWITCH(MONTH(C2301),1,1,2,1,3,1,4,2,5,2,6,3,7,3,8,3,9,3,10,2,11,2,12,1,2)</f>
        <v>1</v>
      </c>
      <c r="P2301" s="43"/>
    </row>
    <row r="2302" spans="1:16" ht="18" x14ac:dyDescent="0.35">
      <c r="A2302" s="43"/>
      <c r="C2302" s="393"/>
      <c r="E2302" s="394"/>
      <c r="F2302" s="394">
        <v>2.2610000000000001</v>
      </c>
      <c r="G2302" s="394"/>
      <c r="H2302" s="8" t="s">
        <v>61</v>
      </c>
      <c r="I2302" s="368">
        <f t="shared" si="106"/>
        <v>0</v>
      </c>
      <c r="J2302" s="365">
        <f t="shared" si="108"/>
        <v>0</v>
      </c>
      <c r="K2302" s="369">
        <f t="shared" si="107"/>
        <v>6</v>
      </c>
      <c r="L2302" s="369">
        <f>+IF((C2302&gt;='Resultats - informe'!$E$16)*(C2302&lt;='Resultats - informe'!$G$16),1,0)</f>
        <v>1</v>
      </c>
      <c r="M2302" s="369" cm="1">
        <f t="array" ref="M2302">+_xlfn.IFS((C2302&gt;='Resultats - informe'!$D$26)*(C2302&lt;='Resultats - informe'!$E$26),0,(C2302&gt;='Resultats - informe'!$D$27)*(C2302&lt;='Resultats - informe'!$E$27),0,(C2302&gt;='Resultats - informe'!$D$28)*(C2302&lt;='Resultats - informe'!$E$28),0,(C2302&gt;='Resultats - informe'!$D$29)*(C2302&lt;='Resultats - informe'!$E$29),0,1,1)</f>
        <v>0</v>
      </c>
      <c r="N2302" s="366">
        <f>+VLOOKUP(D2302,'Resultats - informe'!$Y$18:$AG$42,'Introducció dades consum'!K2302+1,0)</f>
        <v>0</v>
      </c>
      <c r="O2302" s="370" cm="1">
        <f t="array" ref="O2302">+_xlfn.SWITCH(MONTH(C2302),1,1,2,1,3,1,4,2,5,2,6,3,7,3,8,3,9,3,10,2,11,2,12,1,2)</f>
        <v>1</v>
      </c>
      <c r="P2302" s="43"/>
    </row>
    <row r="2303" spans="1:16" ht="18" x14ac:dyDescent="0.35">
      <c r="A2303" s="43"/>
      <c r="C2303" s="393"/>
      <c r="E2303" s="394"/>
      <c r="F2303" s="394">
        <v>0.249</v>
      </c>
      <c r="G2303" s="394"/>
      <c r="H2303" s="8" t="s">
        <v>61</v>
      </c>
      <c r="I2303" s="368">
        <f t="shared" si="106"/>
        <v>0</v>
      </c>
      <c r="J2303" s="365">
        <f t="shared" si="108"/>
        <v>0</v>
      </c>
      <c r="K2303" s="369">
        <f t="shared" si="107"/>
        <v>6</v>
      </c>
      <c r="L2303" s="369">
        <f>+IF((C2303&gt;='Resultats - informe'!$E$16)*(C2303&lt;='Resultats - informe'!$G$16),1,0)</f>
        <v>1</v>
      </c>
      <c r="M2303" s="369" cm="1">
        <f t="array" ref="M2303">+_xlfn.IFS((C2303&gt;='Resultats - informe'!$D$26)*(C2303&lt;='Resultats - informe'!$E$26),0,(C2303&gt;='Resultats - informe'!$D$27)*(C2303&lt;='Resultats - informe'!$E$27),0,(C2303&gt;='Resultats - informe'!$D$28)*(C2303&lt;='Resultats - informe'!$E$28),0,(C2303&gt;='Resultats - informe'!$D$29)*(C2303&lt;='Resultats - informe'!$E$29),0,1,1)</f>
        <v>0</v>
      </c>
      <c r="N2303" s="366">
        <f>+VLOOKUP(D2303,'Resultats - informe'!$Y$18:$AG$42,'Introducció dades consum'!K2303+1,0)</f>
        <v>0</v>
      </c>
      <c r="O2303" s="370" cm="1">
        <f t="array" ref="O2303">+_xlfn.SWITCH(MONTH(C2303),1,1,2,1,3,1,4,2,5,2,6,3,7,3,8,3,9,3,10,2,11,2,12,1,2)</f>
        <v>1</v>
      </c>
      <c r="P2303" s="43"/>
    </row>
    <row r="2304" spans="1:16" ht="18" x14ac:dyDescent="0.35">
      <c r="A2304" s="43"/>
      <c r="C2304" s="393"/>
      <c r="E2304" s="394"/>
      <c r="F2304" s="394">
        <v>0</v>
      </c>
      <c r="G2304" s="394"/>
      <c r="H2304" s="8" t="s">
        <v>235</v>
      </c>
      <c r="I2304" s="368">
        <f t="shared" si="106"/>
        <v>0</v>
      </c>
      <c r="J2304" s="365">
        <f t="shared" si="108"/>
        <v>0</v>
      </c>
      <c r="K2304" s="369">
        <f t="shared" si="107"/>
        <v>6</v>
      </c>
      <c r="L2304" s="369">
        <f>+IF((C2304&gt;='Resultats - informe'!$E$16)*(C2304&lt;='Resultats - informe'!$G$16),1,0)</f>
        <v>1</v>
      </c>
      <c r="M2304" s="369" cm="1">
        <f t="array" ref="M2304">+_xlfn.IFS((C2304&gt;='Resultats - informe'!$D$26)*(C2304&lt;='Resultats - informe'!$E$26),0,(C2304&gt;='Resultats - informe'!$D$27)*(C2304&lt;='Resultats - informe'!$E$27),0,(C2304&gt;='Resultats - informe'!$D$28)*(C2304&lt;='Resultats - informe'!$E$28),0,(C2304&gt;='Resultats - informe'!$D$29)*(C2304&lt;='Resultats - informe'!$E$29),0,1,1)</f>
        <v>0</v>
      </c>
      <c r="N2304" s="366">
        <f>+VLOOKUP(D2304,'Resultats - informe'!$Y$18:$AG$42,'Introducció dades consum'!K2304+1,0)</f>
        <v>0</v>
      </c>
      <c r="O2304" s="370" cm="1">
        <f t="array" ref="O2304">+_xlfn.SWITCH(MONTH(C2304),1,1,2,1,3,1,4,2,5,2,6,3,7,3,8,3,9,3,10,2,11,2,12,1,2)</f>
        <v>1</v>
      </c>
      <c r="P2304" s="43"/>
    </row>
    <row r="2305" spans="1:16" ht="18" x14ac:dyDescent="0.35">
      <c r="A2305" s="43"/>
      <c r="C2305" s="393"/>
      <c r="E2305" s="394"/>
      <c r="F2305" s="394">
        <v>0</v>
      </c>
      <c r="G2305" s="394"/>
      <c r="H2305" s="8" t="s">
        <v>235</v>
      </c>
      <c r="I2305" s="368">
        <f t="shared" si="106"/>
        <v>0</v>
      </c>
      <c r="J2305" s="365">
        <f t="shared" si="108"/>
        <v>0</v>
      </c>
      <c r="K2305" s="369">
        <f t="shared" si="107"/>
        <v>6</v>
      </c>
      <c r="L2305" s="369">
        <f>+IF((C2305&gt;='Resultats - informe'!$E$16)*(C2305&lt;='Resultats - informe'!$G$16),1,0)</f>
        <v>1</v>
      </c>
      <c r="M2305" s="369" cm="1">
        <f t="array" ref="M2305">+_xlfn.IFS((C2305&gt;='Resultats - informe'!$D$26)*(C2305&lt;='Resultats - informe'!$E$26),0,(C2305&gt;='Resultats - informe'!$D$27)*(C2305&lt;='Resultats - informe'!$E$27),0,(C2305&gt;='Resultats - informe'!$D$28)*(C2305&lt;='Resultats - informe'!$E$28),0,(C2305&gt;='Resultats - informe'!$D$29)*(C2305&lt;='Resultats - informe'!$E$29),0,1,1)</f>
        <v>0</v>
      </c>
      <c r="N2305" s="366">
        <f>+VLOOKUP(D2305,'Resultats - informe'!$Y$18:$AG$42,'Introducció dades consum'!K2305+1,0)</f>
        <v>0</v>
      </c>
      <c r="O2305" s="370" cm="1">
        <f t="array" ref="O2305">+_xlfn.SWITCH(MONTH(C2305),1,1,2,1,3,1,4,2,5,2,6,3,7,3,8,3,9,3,10,2,11,2,12,1,2)</f>
        <v>1</v>
      </c>
      <c r="P2305" s="43"/>
    </row>
    <row r="2306" spans="1:16" ht="18" x14ac:dyDescent="0.35">
      <c r="A2306" s="43"/>
      <c r="C2306" s="393"/>
      <c r="E2306" s="394"/>
      <c r="F2306" s="394">
        <v>0</v>
      </c>
      <c r="G2306" s="394"/>
      <c r="H2306" s="8" t="s">
        <v>61</v>
      </c>
      <c r="I2306" s="368">
        <f t="shared" si="106"/>
        <v>0</v>
      </c>
      <c r="J2306" s="365">
        <f t="shared" si="108"/>
        <v>0</v>
      </c>
      <c r="K2306" s="369">
        <f t="shared" si="107"/>
        <v>6</v>
      </c>
      <c r="L2306" s="369">
        <f>+IF((C2306&gt;='Resultats - informe'!$E$16)*(C2306&lt;='Resultats - informe'!$G$16),1,0)</f>
        <v>1</v>
      </c>
      <c r="M2306" s="369" cm="1">
        <f t="array" ref="M2306">+_xlfn.IFS((C2306&gt;='Resultats - informe'!$D$26)*(C2306&lt;='Resultats - informe'!$E$26),0,(C2306&gt;='Resultats - informe'!$D$27)*(C2306&lt;='Resultats - informe'!$E$27),0,(C2306&gt;='Resultats - informe'!$D$28)*(C2306&lt;='Resultats - informe'!$E$28),0,(C2306&gt;='Resultats - informe'!$D$29)*(C2306&lt;='Resultats - informe'!$E$29),0,1,1)</f>
        <v>0</v>
      </c>
      <c r="N2306" s="366">
        <f>+VLOOKUP(D2306,'Resultats - informe'!$Y$18:$AG$42,'Introducció dades consum'!K2306+1,0)</f>
        <v>0</v>
      </c>
      <c r="O2306" s="370" cm="1">
        <f t="array" ref="O2306">+_xlfn.SWITCH(MONTH(C2306),1,1,2,1,3,1,4,2,5,2,6,3,7,3,8,3,9,3,10,2,11,2,12,1,2)</f>
        <v>1</v>
      </c>
      <c r="P2306" s="43"/>
    </row>
    <row r="2307" spans="1:16" ht="18" x14ac:dyDescent="0.35">
      <c r="A2307" s="43"/>
      <c r="C2307" s="393"/>
      <c r="E2307" s="394"/>
      <c r="F2307" s="394">
        <v>0</v>
      </c>
      <c r="G2307" s="394"/>
      <c r="H2307" s="8" t="s">
        <v>61</v>
      </c>
      <c r="I2307" s="368">
        <f t="shared" si="106"/>
        <v>0</v>
      </c>
      <c r="J2307" s="365">
        <f t="shared" si="108"/>
        <v>0</v>
      </c>
      <c r="K2307" s="369">
        <f t="shared" si="107"/>
        <v>6</v>
      </c>
      <c r="L2307" s="369">
        <f>+IF((C2307&gt;='Resultats - informe'!$E$16)*(C2307&lt;='Resultats - informe'!$G$16),1,0)</f>
        <v>1</v>
      </c>
      <c r="M2307" s="369" cm="1">
        <f t="array" ref="M2307">+_xlfn.IFS((C2307&gt;='Resultats - informe'!$D$26)*(C2307&lt;='Resultats - informe'!$E$26),0,(C2307&gt;='Resultats - informe'!$D$27)*(C2307&lt;='Resultats - informe'!$E$27),0,(C2307&gt;='Resultats - informe'!$D$28)*(C2307&lt;='Resultats - informe'!$E$28),0,(C2307&gt;='Resultats - informe'!$D$29)*(C2307&lt;='Resultats - informe'!$E$29),0,1,1)</f>
        <v>0</v>
      </c>
      <c r="N2307" s="366">
        <f>+VLOOKUP(D2307,'Resultats - informe'!$Y$18:$AG$42,'Introducció dades consum'!K2307+1,0)</f>
        <v>0</v>
      </c>
      <c r="O2307" s="370" cm="1">
        <f t="array" ref="O2307">+_xlfn.SWITCH(MONTH(C2307),1,1,2,1,3,1,4,2,5,2,6,3,7,3,8,3,9,3,10,2,11,2,12,1,2)</f>
        <v>1</v>
      </c>
      <c r="P2307" s="43"/>
    </row>
    <row r="2308" spans="1:16" ht="18" x14ac:dyDescent="0.35">
      <c r="A2308" s="43"/>
      <c r="C2308" s="393"/>
      <c r="E2308" s="394"/>
      <c r="F2308" s="394">
        <v>0</v>
      </c>
      <c r="G2308" s="394"/>
      <c r="H2308" s="8" t="s">
        <v>235</v>
      </c>
      <c r="I2308" s="368">
        <f t="shared" si="106"/>
        <v>0</v>
      </c>
      <c r="J2308" s="365">
        <f t="shared" si="108"/>
        <v>0</v>
      </c>
      <c r="K2308" s="369">
        <f t="shared" si="107"/>
        <v>6</v>
      </c>
      <c r="L2308" s="369">
        <f>+IF((C2308&gt;='Resultats - informe'!$E$16)*(C2308&lt;='Resultats - informe'!$G$16),1,0)</f>
        <v>1</v>
      </c>
      <c r="M2308" s="369" cm="1">
        <f t="array" ref="M2308">+_xlfn.IFS((C2308&gt;='Resultats - informe'!$D$26)*(C2308&lt;='Resultats - informe'!$E$26),0,(C2308&gt;='Resultats - informe'!$D$27)*(C2308&lt;='Resultats - informe'!$E$27),0,(C2308&gt;='Resultats - informe'!$D$28)*(C2308&lt;='Resultats - informe'!$E$28),0,(C2308&gt;='Resultats - informe'!$D$29)*(C2308&lt;='Resultats - informe'!$E$29),0,1,1)</f>
        <v>0</v>
      </c>
      <c r="N2308" s="366">
        <f>+VLOOKUP(D2308,'Resultats - informe'!$Y$18:$AG$42,'Introducció dades consum'!K2308+1,0)</f>
        <v>0</v>
      </c>
      <c r="O2308" s="370" cm="1">
        <f t="array" ref="O2308">+_xlfn.SWITCH(MONTH(C2308),1,1,2,1,3,1,4,2,5,2,6,3,7,3,8,3,9,3,10,2,11,2,12,1,2)</f>
        <v>1</v>
      </c>
      <c r="P2308" s="43"/>
    </row>
    <row r="2309" spans="1:16" ht="18" x14ac:dyDescent="0.35">
      <c r="A2309" s="43"/>
      <c r="C2309" s="393"/>
      <c r="E2309" s="394"/>
      <c r="F2309" s="394">
        <v>0</v>
      </c>
      <c r="G2309" s="394"/>
      <c r="H2309" s="8" t="s">
        <v>235</v>
      </c>
      <c r="I2309" s="368">
        <f t="shared" si="106"/>
        <v>0</v>
      </c>
      <c r="J2309" s="365">
        <f t="shared" si="108"/>
        <v>0</v>
      </c>
      <c r="K2309" s="369">
        <f t="shared" si="107"/>
        <v>6</v>
      </c>
      <c r="L2309" s="369">
        <f>+IF((C2309&gt;='Resultats - informe'!$E$16)*(C2309&lt;='Resultats - informe'!$G$16),1,0)</f>
        <v>1</v>
      </c>
      <c r="M2309" s="369" cm="1">
        <f t="array" ref="M2309">+_xlfn.IFS((C2309&gt;='Resultats - informe'!$D$26)*(C2309&lt;='Resultats - informe'!$E$26),0,(C2309&gt;='Resultats - informe'!$D$27)*(C2309&lt;='Resultats - informe'!$E$27),0,(C2309&gt;='Resultats - informe'!$D$28)*(C2309&lt;='Resultats - informe'!$E$28),0,(C2309&gt;='Resultats - informe'!$D$29)*(C2309&lt;='Resultats - informe'!$E$29),0,1,1)</f>
        <v>0</v>
      </c>
      <c r="N2309" s="366">
        <f>+VLOOKUP(D2309,'Resultats - informe'!$Y$18:$AG$42,'Introducció dades consum'!K2309+1,0)</f>
        <v>0</v>
      </c>
      <c r="O2309" s="370" cm="1">
        <f t="array" ref="O2309">+_xlfn.SWITCH(MONTH(C2309),1,1,2,1,3,1,4,2,5,2,6,3,7,3,8,3,9,3,10,2,11,2,12,1,2)</f>
        <v>1</v>
      </c>
      <c r="P2309" s="43"/>
    </row>
    <row r="2310" spans="1:16" ht="18" x14ac:dyDescent="0.35">
      <c r="A2310" s="43"/>
      <c r="C2310" s="393"/>
      <c r="E2310" s="394"/>
      <c r="F2310" s="394">
        <v>0</v>
      </c>
      <c r="G2310" s="394"/>
      <c r="H2310" s="8" t="s">
        <v>235</v>
      </c>
      <c r="I2310" s="368">
        <f t="shared" ref="I2310:I2373" si="109">+E2310+G2310</f>
        <v>0</v>
      </c>
      <c r="J2310" s="365">
        <f t="shared" si="108"/>
        <v>0</v>
      </c>
      <c r="K2310" s="369">
        <f t="shared" ref="K2310:K2373" si="110">+WEEKDAY(C2310,2)</f>
        <v>6</v>
      </c>
      <c r="L2310" s="369">
        <f>+IF((C2310&gt;='Resultats - informe'!$E$16)*(C2310&lt;='Resultats - informe'!$G$16),1,0)</f>
        <v>1</v>
      </c>
      <c r="M2310" s="369" cm="1">
        <f t="array" ref="M2310">+_xlfn.IFS((C2310&gt;='Resultats - informe'!$D$26)*(C2310&lt;='Resultats - informe'!$E$26),0,(C2310&gt;='Resultats - informe'!$D$27)*(C2310&lt;='Resultats - informe'!$E$27),0,(C2310&gt;='Resultats - informe'!$D$28)*(C2310&lt;='Resultats - informe'!$E$28),0,(C2310&gt;='Resultats - informe'!$D$29)*(C2310&lt;='Resultats - informe'!$E$29),0,1,1)</f>
        <v>0</v>
      </c>
      <c r="N2310" s="366">
        <f>+VLOOKUP(D2310,'Resultats - informe'!$Y$18:$AG$42,'Introducció dades consum'!K2310+1,0)</f>
        <v>0</v>
      </c>
      <c r="O2310" s="370" cm="1">
        <f t="array" ref="O2310">+_xlfn.SWITCH(MONTH(C2310),1,1,2,1,3,1,4,2,5,2,6,3,7,3,8,3,9,3,10,2,11,2,12,1,2)</f>
        <v>1</v>
      </c>
      <c r="P2310" s="43"/>
    </row>
    <row r="2311" spans="1:16" ht="18" x14ac:dyDescent="0.35">
      <c r="A2311" s="43"/>
      <c r="C2311" s="393"/>
      <c r="E2311" s="394"/>
      <c r="F2311" s="394">
        <v>0</v>
      </c>
      <c r="G2311" s="394"/>
      <c r="H2311" s="8" t="s">
        <v>235</v>
      </c>
      <c r="I2311" s="368">
        <f t="shared" si="109"/>
        <v>0</v>
      </c>
      <c r="J2311" s="365">
        <f t="shared" si="108"/>
        <v>0</v>
      </c>
      <c r="K2311" s="369">
        <f t="shared" si="110"/>
        <v>6</v>
      </c>
      <c r="L2311" s="369">
        <f>+IF((C2311&gt;='Resultats - informe'!$E$16)*(C2311&lt;='Resultats - informe'!$G$16),1,0)</f>
        <v>1</v>
      </c>
      <c r="M2311" s="369" cm="1">
        <f t="array" ref="M2311">+_xlfn.IFS((C2311&gt;='Resultats - informe'!$D$26)*(C2311&lt;='Resultats - informe'!$E$26),0,(C2311&gt;='Resultats - informe'!$D$27)*(C2311&lt;='Resultats - informe'!$E$27),0,(C2311&gt;='Resultats - informe'!$D$28)*(C2311&lt;='Resultats - informe'!$E$28),0,(C2311&gt;='Resultats - informe'!$D$29)*(C2311&lt;='Resultats - informe'!$E$29),0,1,1)</f>
        <v>0</v>
      </c>
      <c r="N2311" s="366">
        <f>+VLOOKUP(D2311,'Resultats - informe'!$Y$18:$AG$42,'Introducció dades consum'!K2311+1,0)</f>
        <v>0</v>
      </c>
      <c r="O2311" s="370" cm="1">
        <f t="array" ref="O2311">+_xlfn.SWITCH(MONTH(C2311),1,1,2,1,3,1,4,2,5,2,6,3,7,3,8,3,9,3,10,2,11,2,12,1,2)</f>
        <v>1</v>
      </c>
      <c r="P2311" s="43"/>
    </row>
    <row r="2312" spans="1:16" ht="18" x14ac:dyDescent="0.35">
      <c r="A2312" s="43"/>
      <c r="C2312" s="393"/>
      <c r="E2312" s="394"/>
      <c r="F2312" s="394">
        <v>0</v>
      </c>
      <c r="G2312" s="394"/>
      <c r="H2312" s="8" t="s">
        <v>235</v>
      </c>
      <c r="I2312" s="368">
        <f t="shared" si="109"/>
        <v>0</v>
      </c>
      <c r="J2312" s="365">
        <f t="shared" si="108"/>
        <v>0</v>
      </c>
      <c r="K2312" s="369">
        <f t="shared" si="110"/>
        <v>6</v>
      </c>
      <c r="L2312" s="369">
        <f>+IF((C2312&gt;='Resultats - informe'!$E$16)*(C2312&lt;='Resultats - informe'!$G$16),1,0)</f>
        <v>1</v>
      </c>
      <c r="M2312" s="369" cm="1">
        <f t="array" ref="M2312">+_xlfn.IFS((C2312&gt;='Resultats - informe'!$D$26)*(C2312&lt;='Resultats - informe'!$E$26),0,(C2312&gt;='Resultats - informe'!$D$27)*(C2312&lt;='Resultats - informe'!$E$27),0,(C2312&gt;='Resultats - informe'!$D$28)*(C2312&lt;='Resultats - informe'!$E$28),0,(C2312&gt;='Resultats - informe'!$D$29)*(C2312&lt;='Resultats - informe'!$E$29),0,1,1)</f>
        <v>0</v>
      </c>
      <c r="N2312" s="366">
        <f>+VLOOKUP(D2312,'Resultats - informe'!$Y$18:$AG$42,'Introducció dades consum'!K2312+1,0)</f>
        <v>0</v>
      </c>
      <c r="O2312" s="370" cm="1">
        <f t="array" ref="O2312">+_xlfn.SWITCH(MONTH(C2312),1,1,2,1,3,1,4,2,5,2,6,3,7,3,8,3,9,3,10,2,11,2,12,1,2)</f>
        <v>1</v>
      </c>
      <c r="P2312" s="43"/>
    </row>
    <row r="2313" spans="1:16" ht="18" x14ac:dyDescent="0.35">
      <c r="A2313" s="43"/>
      <c r="C2313" s="393"/>
      <c r="E2313" s="394"/>
      <c r="F2313" s="394">
        <v>0</v>
      </c>
      <c r="G2313" s="394"/>
      <c r="H2313" s="8" t="s">
        <v>235</v>
      </c>
      <c r="I2313" s="368">
        <f t="shared" si="109"/>
        <v>0</v>
      </c>
      <c r="J2313" s="365">
        <f t="shared" si="108"/>
        <v>0</v>
      </c>
      <c r="K2313" s="369">
        <f t="shared" si="110"/>
        <v>6</v>
      </c>
      <c r="L2313" s="369">
        <f>+IF((C2313&gt;='Resultats - informe'!$E$16)*(C2313&lt;='Resultats - informe'!$G$16),1,0)</f>
        <v>1</v>
      </c>
      <c r="M2313" s="369" cm="1">
        <f t="array" ref="M2313">+_xlfn.IFS((C2313&gt;='Resultats - informe'!$D$26)*(C2313&lt;='Resultats - informe'!$E$26),0,(C2313&gt;='Resultats - informe'!$D$27)*(C2313&lt;='Resultats - informe'!$E$27),0,(C2313&gt;='Resultats - informe'!$D$28)*(C2313&lt;='Resultats - informe'!$E$28),0,(C2313&gt;='Resultats - informe'!$D$29)*(C2313&lt;='Resultats - informe'!$E$29),0,1,1)</f>
        <v>0</v>
      </c>
      <c r="N2313" s="366">
        <f>+VLOOKUP(D2313,'Resultats - informe'!$Y$18:$AG$42,'Introducció dades consum'!K2313+1,0)</f>
        <v>0</v>
      </c>
      <c r="O2313" s="370" cm="1">
        <f t="array" ref="O2313">+_xlfn.SWITCH(MONTH(C2313),1,1,2,1,3,1,4,2,5,2,6,3,7,3,8,3,9,3,10,2,11,2,12,1,2)</f>
        <v>1</v>
      </c>
      <c r="P2313" s="43"/>
    </row>
    <row r="2314" spans="1:16" ht="18" x14ac:dyDescent="0.35">
      <c r="A2314" s="43"/>
      <c r="C2314" s="393"/>
      <c r="E2314" s="394"/>
      <c r="F2314" s="394">
        <v>0.48799999999999999</v>
      </c>
      <c r="G2314" s="394"/>
      <c r="H2314" s="8" t="s">
        <v>235</v>
      </c>
      <c r="I2314" s="368">
        <f t="shared" si="109"/>
        <v>0</v>
      </c>
      <c r="J2314" s="365">
        <f t="shared" si="108"/>
        <v>0</v>
      </c>
      <c r="K2314" s="369">
        <f t="shared" si="110"/>
        <v>6</v>
      </c>
      <c r="L2314" s="369">
        <f>+IF((C2314&gt;='Resultats - informe'!$E$16)*(C2314&lt;='Resultats - informe'!$G$16),1,0)</f>
        <v>1</v>
      </c>
      <c r="M2314" s="369" cm="1">
        <f t="array" ref="M2314">+_xlfn.IFS((C2314&gt;='Resultats - informe'!$D$26)*(C2314&lt;='Resultats - informe'!$E$26),0,(C2314&gt;='Resultats - informe'!$D$27)*(C2314&lt;='Resultats - informe'!$E$27),0,(C2314&gt;='Resultats - informe'!$D$28)*(C2314&lt;='Resultats - informe'!$E$28),0,(C2314&gt;='Resultats - informe'!$D$29)*(C2314&lt;='Resultats - informe'!$E$29),0,1,1)</f>
        <v>0</v>
      </c>
      <c r="N2314" s="366">
        <f>+VLOOKUP(D2314,'Resultats - informe'!$Y$18:$AG$42,'Introducció dades consum'!K2314+1,0)</f>
        <v>0</v>
      </c>
      <c r="O2314" s="370" cm="1">
        <f t="array" ref="O2314">+_xlfn.SWITCH(MONTH(C2314),1,1,2,1,3,1,4,2,5,2,6,3,7,3,8,3,9,3,10,2,11,2,12,1,2)</f>
        <v>1</v>
      </c>
      <c r="P2314" s="43"/>
    </row>
    <row r="2315" spans="1:16" ht="18" x14ac:dyDescent="0.35">
      <c r="A2315" s="43"/>
      <c r="C2315" s="393"/>
      <c r="E2315" s="394"/>
      <c r="F2315" s="394">
        <v>1.4379999999999999</v>
      </c>
      <c r="G2315" s="394"/>
      <c r="H2315" s="8" t="s">
        <v>235</v>
      </c>
      <c r="I2315" s="368">
        <f t="shared" si="109"/>
        <v>0</v>
      </c>
      <c r="J2315" s="365">
        <f t="shared" si="108"/>
        <v>0</v>
      </c>
      <c r="K2315" s="369">
        <f t="shared" si="110"/>
        <v>6</v>
      </c>
      <c r="L2315" s="369">
        <f>+IF((C2315&gt;='Resultats - informe'!$E$16)*(C2315&lt;='Resultats - informe'!$G$16),1,0)</f>
        <v>1</v>
      </c>
      <c r="M2315" s="369" cm="1">
        <f t="array" ref="M2315">+_xlfn.IFS((C2315&gt;='Resultats - informe'!$D$26)*(C2315&lt;='Resultats - informe'!$E$26),0,(C2315&gt;='Resultats - informe'!$D$27)*(C2315&lt;='Resultats - informe'!$E$27),0,(C2315&gt;='Resultats - informe'!$D$28)*(C2315&lt;='Resultats - informe'!$E$28),0,(C2315&gt;='Resultats - informe'!$D$29)*(C2315&lt;='Resultats - informe'!$E$29),0,1,1)</f>
        <v>0</v>
      </c>
      <c r="N2315" s="366">
        <f>+VLOOKUP(D2315,'Resultats - informe'!$Y$18:$AG$42,'Introducció dades consum'!K2315+1,0)</f>
        <v>0</v>
      </c>
      <c r="O2315" s="370" cm="1">
        <f t="array" ref="O2315">+_xlfn.SWITCH(MONTH(C2315),1,1,2,1,3,1,4,2,5,2,6,3,7,3,8,3,9,3,10,2,11,2,12,1,2)</f>
        <v>1</v>
      </c>
      <c r="P2315" s="43"/>
    </row>
    <row r="2316" spans="1:16" ht="18" x14ac:dyDescent="0.35">
      <c r="A2316" s="43"/>
      <c r="C2316" s="393"/>
      <c r="E2316" s="394"/>
      <c r="F2316" s="394">
        <v>1.8460000000000001</v>
      </c>
      <c r="G2316" s="394"/>
      <c r="H2316" s="8" t="s">
        <v>235</v>
      </c>
      <c r="I2316" s="368">
        <f t="shared" si="109"/>
        <v>0</v>
      </c>
      <c r="J2316" s="365">
        <f t="shared" si="108"/>
        <v>0</v>
      </c>
      <c r="K2316" s="369">
        <f t="shared" si="110"/>
        <v>6</v>
      </c>
      <c r="L2316" s="369">
        <f>+IF((C2316&gt;='Resultats - informe'!$E$16)*(C2316&lt;='Resultats - informe'!$G$16),1,0)</f>
        <v>1</v>
      </c>
      <c r="M2316" s="369" cm="1">
        <f t="array" ref="M2316">+_xlfn.IFS((C2316&gt;='Resultats - informe'!$D$26)*(C2316&lt;='Resultats - informe'!$E$26),0,(C2316&gt;='Resultats - informe'!$D$27)*(C2316&lt;='Resultats - informe'!$E$27),0,(C2316&gt;='Resultats - informe'!$D$28)*(C2316&lt;='Resultats - informe'!$E$28),0,(C2316&gt;='Resultats - informe'!$D$29)*(C2316&lt;='Resultats - informe'!$E$29),0,1,1)</f>
        <v>0</v>
      </c>
      <c r="N2316" s="366">
        <f>+VLOOKUP(D2316,'Resultats - informe'!$Y$18:$AG$42,'Introducció dades consum'!K2316+1,0)</f>
        <v>0</v>
      </c>
      <c r="O2316" s="370" cm="1">
        <f t="array" ref="O2316">+_xlfn.SWITCH(MONTH(C2316),1,1,2,1,3,1,4,2,5,2,6,3,7,3,8,3,9,3,10,2,11,2,12,1,2)</f>
        <v>1</v>
      </c>
      <c r="P2316" s="43"/>
    </row>
    <row r="2317" spans="1:16" ht="18" x14ac:dyDescent="0.35">
      <c r="A2317" s="43"/>
      <c r="C2317" s="393"/>
      <c r="E2317" s="394"/>
      <c r="F2317" s="394">
        <v>0</v>
      </c>
      <c r="G2317" s="394"/>
      <c r="H2317" s="8" t="s">
        <v>61</v>
      </c>
      <c r="I2317" s="368">
        <f t="shared" si="109"/>
        <v>0</v>
      </c>
      <c r="J2317" s="365">
        <f t="shared" si="108"/>
        <v>0</v>
      </c>
      <c r="K2317" s="369">
        <f t="shared" si="110"/>
        <v>6</v>
      </c>
      <c r="L2317" s="369">
        <f>+IF((C2317&gt;='Resultats - informe'!$E$16)*(C2317&lt;='Resultats - informe'!$G$16),1,0)</f>
        <v>1</v>
      </c>
      <c r="M2317" s="369" cm="1">
        <f t="array" ref="M2317">+_xlfn.IFS((C2317&gt;='Resultats - informe'!$D$26)*(C2317&lt;='Resultats - informe'!$E$26),0,(C2317&gt;='Resultats - informe'!$D$27)*(C2317&lt;='Resultats - informe'!$E$27),0,(C2317&gt;='Resultats - informe'!$D$28)*(C2317&lt;='Resultats - informe'!$E$28),0,(C2317&gt;='Resultats - informe'!$D$29)*(C2317&lt;='Resultats - informe'!$E$29),0,1,1)</f>
        <v>0</v>
      </c>
      <c r="N2317" s="366">
        <f>+VLOOKUP(D2317,'Resultats - informe'!$Y$18:$AG$42,'Introducció dades consum'!K2317+1,0)</f>
        <v>0</v>
      </c>
      <c r="O2317" s="370" cm="1">
        <f t="array" ref="O2317">+_xlfn.SWITCH(MONTH(C2317),1,1,2,1,3,1,4,2,5,2,6,3,7,3,8,3,9,3,10,2,11,2,12,1,2)</f>
        <v>1</v>
      </c>
      <c r="P2317" s="43"/>
    </row>
    <row r="2318" spans="1:16" ht="18" x14ac:dyDescent="0.35">
      <c r="A2318" s="43"/>
      <c r="C2318" s="393"/>
      <c r="E2318" s="394"/>
      <c r="F2318" s="394">
        <v>2.294</v>
      </c>
      <c r="G2318" s="394"/>
      <c r="H2318" s="8" t="s">
        <v>61</v>
      </c>
      <c r="I2318" s="368">
        <f t="shared" si="109"/>
        <v>0</v>
      </c>
      <c r="J2318" s="365">
        <f t="shared" si="108"/>
        <v>0</v>
      </c>
      <c r="K2318" s="369">
        <f t="shared" si="110"/>
        <v>6</v>
      </c>
      <c r="L2318" s="369">
        <f>+IF((C2318&gt;='Resultats - informe'!$E$16)*(C2318&lt;='Resultats - informe'!$G$16),1,0)</f>
        <v>1</v>
      </c>
      <c r="M2318" s="369" cm="1">
        <f t="array" ref="M2318">+_xlfn.IFS((C2318&gt;='Resultats - informe'!$D$26)*(C2318&lt;='Resultats - informe'!$E$26),0,(C2318&gt;='Resultats - informe'!$D$27)*(C2318&lt;='Resultats - informe'!$E$27),0,(C2318&gt;='Resultats - informe'!$D$28)*(C2318&lt;='Resultats - informe'!$E$28),0,(C2318&gt;='Resultats - informe'!$D$29)*(C2318&lt;='Resultats - informe'!$E$29),0,1,1)</f>
        <v>0</v>
      </c>
      <c r="N2318" s="366">
        <f>+VLOOKUP(D2318,'Resultats - informe'!$Y$18:$AG$42,'Introducció dades consum'!K2318+1,0)</f>
        <v>0</v>
      </c>
      <c r="O2318" s="370" cm="1">
        <f t="array" ref="O2318">+_xlfn.SWITCH(MONTH(C2318),1,1,2,1,3,1,4,2,5,2,6,3,7,3,8,3,9,3,10,2,11,2,12,1,2)</f>
        <v>1</v>
      </c>
      <c r="P2318" s="43"/>
    </row>
    <row r="2319" spans="1:16" ht="18" x14ac:dyDescent="0.35">
      <c r="A2319" s="43"/>
      <c r="C2319" s="393"/>
      <c r="E2319" s="394"/>
      <c r="F2319" s="394">
        <v>4.0309999999999997</v>
      </c>
      <c r="G2319" s="394"/>
      <c r="H2319" s="8" t="s">
        <v>61</v>
      </c>
      <c r="I2319" s="368">
        <f t="shared" si="109"/>
        <v>0</v>
      </c>
      <c r="J2319" s="365">
        <f t="shared" si="108"/>
        <v>0</v>
      </c>
      <c r="K2319" s="369">
        <f t="shared" si="110"/>
        <v>6</v>
      </c>
      <c r="L2319" s="369">
        <f>+IF((C2319&gt;='Resultats - informe'!$E$16)*(C2319&lt;='Resultats - informe'!$G$16),1,0)</f>
        <v>1</v>
      </c>
      <c r="M2319" s="369" cm="1">
        <f t="array" ref="M2319">+_xlfn.IFS((C2319&gt;='Resultats - informe'!$D$26)*(C2319&lt;='Resultats - informe'!$E$26),0,(C2319&gt;='Resultats - informe'!$D$27)*(C2319&lt;='Resultats - informe'!$E$27),0,(C2319&gt;='Resultats - informe'!$D$28)*(C2319&lt;='Resultats - informe'!$E$28),0,(C2319&gt;='Resultats - informe'!$D$29)*(C2319&lt;='Resultats - informe'!$E$29),0,1,1)</f>
        <v>0</v>
      </c>
      <c r="N2319" s="366">
        <f>+VLOOKUP(D2319,'Resultats - informe'!$Y$18:$AG$42,'Introducció dades consum'!K2319+1,0)</f>
        <v>0</v>
      </c>
      <c r="O2319" s="370" cm="1">
        <f t="array" ref="O2319">+_xlfn.SWITCH(MONTH(C2319),1,1,2,1,3,1,4,2,5,2,6,3,7,3,8,3,9,3,10,2,11,2,12,1,2)</f>
        <v>1</v>
      </c>
      <c r="P2319" s="43"/>
    </row>
    <row r="2320" spans="1:16" ht="18" x14ac:dyDescent="0.35">
      <c r="A2320" s="43"/>
      <c r="C2320" s="393"/>
      <c r="E2320" s="394"/>
      <c r="F2320" s="394">
        <v>5.577</v>
      </c>
      <c r="G2320" s="394"/>
      <c r="H2320" s="8" t="s">
        <v>61</v>
      </c>
      <c r="I2320" s="368">
        <f t="shared" si="109"/>
        <v>0</v>
      </c>
      <c r="J2320" s="365">
        <f t="shared" si="108"/>
        <v>0</v>
      </c>
      <c r="K2320" s="369">
        <f t="shared" si="110"/>
        <v>6</v>
      </c>
      <c r="L2320" s="369">
        <f>+IF((C2320&gt;='Resultats - informe'!$E$16)*(C2320&lt;='Resultats - informe'!$G$16),1,0)</f>
        <v>1</v>
      </c>
      <c r="M2320" s="369" cm="1">
        <f t="array" ref="M2320">+_xlfn.IFS((C2320&gt;='Resultats - informe'!$D$26)*(C2320&lt;='Resultats - informe'!$E$26),0,(C2320&gt;='Resultats - informe'!$D$27)*(C2320&lt;='Resultats - informe'!$E$27),0,(C2320&gt;='Resultats - informe'!$D$28)*(C2320&lt;='Resultats - informe'!$E$28),0,(C2320&gt;='Resultats - informe'!$D$29)*(C2320&lt;='Resultats - informe'!$E$29),0,1,1)</f>
        <v>0</v>
      </c>
      <c r="N2320" s="366">
        <f>+VLOOKUP(D2320,'Resultats - informe'!$Y$18:$AG$42,'Introducció dades consum'!K2320+1,0)</f>
        <v>0</v>
      </c>
      <c r="O2320" s="370" cm="1">
        <f t="array" ref="O2320">+_xlfn.SWITCH(MONTH(C2320),1,1,2,1,3,1,4,2,5,2,6,3,7,3,8,3,9,3,10,2,11,2,12,1,2)</f>
        <v>1</v>
      </c>
      <c r="P2320" s="43"/>
    </row>
    <row r="2321" spans="1:16" ht="18" x14ac:dyDescent="0.35">
      <c r="A2321" s="43"/>
      <c r="C2321" s="393"/>
      <c r="E2321" s="394"/>
      <c r="F2321" s="394">
        <v>6.319</v>
      </c>
      <c r="G2321" s="394"/>
      <c r="H2321" s="8" t="s">
        <v>61</v>
      </c>
      <c r="I2321" s="368">
        <f t="shared" si="109"/>
        <v>0</v>
      </c>
      <c r="J2321" s="365">
        <f t="shared" si="108"/>
        <v>0</v>
      </c>
      <c r="K2321" s="369">
        <f t="shared" si="110"/>
        <v>6</v>
      </c>
      <c r="L2321" s="369">
        <f>+IF((C2321&gt;='Resultats - informe'!$E$16)*(C2321&lt;='Resultats - informe'!$G$16),1,0)</f>
        <v>1</v>
      </c>
      <c r="M2321" s="369" cm="1">
        <f t="array" ref="M2321">+_xlfn.IFS((C2321&gt;='Resultats - informe'!$D$26)*(C2321&lt;='Resultats - informe'!$E$26),0,(C2321&gt;='Resultats - informe'!$D$27)*(C2321&lt;='Resultats - informe'!$E$27),0,(C2321&gt;='Resultats - informe'!$D$28)*(C2321&lt;='Resultats - informe'!$E$28),0,(C2321&gt;='Resultats - informe'!$D$29)*(C2321&lt;='Resultats - informe'!$E$29),0,1,1)</f>
        <v>0</v>
      </c>
      <c r="N2321" s="366">
        <f>+VLOOKUP(D2321,'Resultats - informe'!$Y$18:$AG$42,'Introducció dades consum'!K2321+1,0)</f>
        <v>0</v>
      </c>
      <c r="O2321" s="370" cm="1">
        <f t="array" ref="O2321">+_xlfn.SWITCH(MONTH(C2321),1,1,2,1,3,1,4,2,5,2,6,3,7,3,8,3,9,3,10,2,11,2,12,1,2)</f>
        <v>1</v>
      </c>
      <c r="P2321" s="43"/>
    </row>
    <row r="2322" spans="1:16" ht="18" x14ac:dyDescent="0.35">
      <c r="A2322" s="43"/>
      <c r="C2322" s="393"/>
      <c r="E2322" s="394"/>
      <c r="F2322" s="394">
        <v>2.504</v>
      </c>
      <c r="G2322" s="394"/>
      <c r="H2322" s="8" t="s">
        <v>235</v>
      </c>
      <c r="I2322" s="368">
        <f t="shared" si="109"/>
        <v>0</v>
      </c>
      <c r="J2322" s="365">
        <f t="shared" si="108"/>
        <v>0</v>
      </c>
      <c r="K2322" s="369">
        <f t="shared" si="110"/>
        <v>6</v>
      </c>
      <c r="L2322" s="369">
        <f>+IF((C2322&gt;='Resultats - informe'!$E$16)*(C2322&lt;='Resultats - informe'!$G$16),1,0)</f>
        <v>1</v>
      </c>
      <c r="M2322" s="369" cm="1">
        <f t="array" ref="M2322">+_xlfn.IFS((C2322&gt;='Resultats - informe'!$D$26)*(C2322&lt;='Resultats - informe'!$E$26),0,(C2322&gt;='Resultats - informe'!$D$27)*(C2322&lt;='Resultats - informe'!$E$27),0,(C2322&gt;='Resultats - informe'!$D$28)*(C2322&lt;='Resultats - informe'!$E$28),0,(C2322&gt;='Resultats - informe'!$D$29)*(C2322&lt;='Resultats - informe'!$E$29),0,1,1)</f>
        <v>0</v>
      </c>
      <c r="N2322" s="366">
        <f>+VLOOKUP(D2322,'Resultats - informe'!$Y$18:$AG$42,'Introducció dades consum'!K2322+1,0)</f>
        <v>0</v>
      </c>
      <c r="O2322" s="370" cm="1">
        <f t="array" ref="O2322">+_xlfn.SWITCH(MONTH(C2322),1,1,2,1,3,1,4,2,5,2,6,3,7,3,8,3,9,3,10,2,11,2,12,1,2)</f>
        <v>1</v>
      </c>
      <c r="P2322" s="43"/>
    </row>
    <row r="2323" spans="1:16" ht="18" x14ac:dyDescent="0.35">
      <c r="A2323" s="43"/>
      <c r="C2323" s="393"/>
      <c r="E2323" s="394"/>
      <c r="F2323" s="394">
        <v>2.3250000000000002</v>
      </c>
      <c r="G2323" s="394"/>
      <c r="H2323" s="8" t="s">
        <v>235</v>
      </c>
      <c r="I2323" s="368">
        <f t="shared" si="109"/>
        <v>0</v>
      </c>
      <c r="J2323" s="365">
        <f t="shared" si="108"/>
        <v>0</v>
      </c>
      <c r="K2323" s="369">
        <f t="shared" si="110"/>
        <v>6</v>
      </c>
      <c r="L2323" s="369">
        <f>+IF((C2323&gt;='Resultats - informe'!$E$16)*(C2323&lt;='Resultats - informe'!$G$16),1,0)</f>
        <v>1</v>
      </c>
      <c r="M2323" s="369" cm="1">
        <f t="array" ref="M2323">+_xlfn.IFS((C2323&gt;='Resultats - informe'!$D$26)*(C2323&lt;='Resultats - informe'!$E$26),0,(C2323&gt;='Resultats - informe'!$D$27)*(C2323&lt;='Resultats - informe'!$E$27),0,(C2323&gt;='Resultats - informe'!$D$28)*(C2323&lt;='Resultats - informe'!$E$28),0,(C2323&gt;='Resultats - informe'!$D$29)*(C2323&lt;='Resultats - informe'!$E$29),0,1,1)</f>
        <v>0</v>
      </c>
      <c r="N2323" s="366">
        <f>+VLOOKUP(D2323,'Resultats - informe'!$Y$18:$AG$42,'Introducció dades consum'!K2323+1,0)</f>
        <v>0</v>
      </c>
      <c r="O2323" s="370" cm="1">
        <f t="array" ref="O2323">+_xlfn.SWITCH(MONTH(C2323),1,1,2,1,3,1,4,2,5,2,6,3,7,3,8,3,9,3,10,2,11,2,12,1,2)</f>
        <v>1</v>
      </c>
      <c r="P2323" s="43"/>
    </row>
    <row r="2324" spans="1:16" ht="18" x14ac:dyDescent="0.35">
      <c r="A2324" s="43"/>
      <c r="C2324" s="393"/>
      <c r="E2324" s="394"/>
      <c r="F2324" s="394">
        <v>0.748</v>
      </c>
      <c r="G2324" s="394"/>
      <c r="H2324" s="8" t="s">
        <v>235</v>
      </c>
      <c r="I2324" s="368">
        <f t="shared" si="109"/>
        <v>0</v>
      </c>
      <c r="J2324" s="365">
        <f t="shared" si="108"/>
        <v>0</v>
      </c>
      <c r="K2324" s="369">
        <f t="shared" si="110"/>
        <v>6</v>
      </c>
      <c r="L2324" s="369">
        <f>+IF((C2324&gt;='Resultats - informe'!$E$16)*(C2324&lt;='Resultats - informe'!$G$16),1,0)</f>
        <v>1</v>
      </c>
      <c r="M2324" s="369" cm="1">
        <f t="array" ref="M2324">+_xlfn.IFS((C2324&gt;='Resultats - informe'!$D$26)*(C2324&lt;='Resultats - informe'!$E$26),0,(C2324&gt;='Resultats - informe'!$D$27)*(C2324&lt;='Resultats - informe'!$E$27),0,(C2324&gt;='Resultats - informe'!$D$28)*(C2324&lt;='Resultats - informe'!$E$28),0,(C2324&gt;='Resultats - informe'!$D$29)*(C2324&lt;='Resultats - informe'!$E$29),0,1,1)</f>
        <v>0</v>
      </c>
      <c r="N2324" s="366">
        <f>+VLOOKUP(D2324,'Resultats - informe'!$Y$18:$AG$42,'Introducció dades consum'!K2324+1,0)</f>
        <v>0</v>
      </c>
      <c r="O2324" s="370" cm="1">
        <f t="array" ref="O2324">+_xlfn.SWITCH(MONTH(C2324),1,1,2,1,3,1,4,2,5,2,6,3,7,3,8,3,9,3,10,2,11,2,12,1,2)</f>
        <v>1</v>
      </c>
      <c r="P2324" s="43"/>
    </row>
    <row r="2325" spans="1:16" ht="18" x14ac:dyDescent="0.35">
      <c r="A2325" s="43"/>
      <c r="C2325" s="393"/>
      <c r="E2325" s="394"/>
      <c r="F2325" s="394">
        <v>0</v>
      </c>
      <c r="G2325" s="394"/>
      <c r="H2325" s="8" t="s">
        <v>235</v>
      </c>
      <c r="I2325" s="368">
        <f t="shared" si="109"/>
        <v>0</v>
      </c>
      <c r="J2325" s="365">
        <f t="shared" si="108"/>
        <v>0</v>
      </c>
      <c r="K2325" s="369">
        <f t="shared" si="110"/>
        <v>6</v>
      </c>
      <c r="L2325" s="369">
        <f>+IF((C2325&gt;='Resultats - informe'!$E$16)*(C2325&lt;='Resultats - informe'!$G$16),1,0)</f>
        <v>1</v>
      </c>
      <c r="M2325" s="369" cm="1">
        <f t="array" ref="M2325">+_xlfn.IFS((C2325&gt;='Resultats - informe'!$D$26)*(C2325&lt;='Resultats - informe'!$E$26),0,(C2325&gt;='Resultats - informe'!$D$27)*(C2325&lt;='Resultats - informe'!$E$27),0,(C2325&gt;='Resultats - informe'!$D$28)*(C2325&lt;='Resultats - informe'!$E$28),0,(C2325&gt;='Resultats - informe'!$D$29)*(C2325&lt;='Resultats - informe'!$E$29),0,1,1)</f>
        <v>0</v>
      </c>
      <c r="N2325" s="366">
        <f>+VLOOKUP(D2325,'Resultats - informe'!$Y$18:$AG$42,'Introducció dades consum'!K2325+1,0)</f>
        <v>0</v>
      </c>
      <c r="O2325" s="370" cm="1">
        <f t="array" ref="O2325">+_xlfn.SWITCH(MONTH(C2325),1,1,2,1,3,1,4,2,5,2,6,3,7,3,8,3,9,3,10,2,11,2,12,1,2)</f>
        <v>1</v>
      </c>
      <c r="P2325" s="43"/>
    </row>
    <row r="2326" spans="1:16" ht="18" x14ac:dyDescent="0.35">
      <c r="A2326" s="43"/>
      <c r="C2326" s="393"/>
      <c r="E2326" s="394"/>
      <c r="F2326" s="394">
        <v>0</v>
      </c>
      <c r="G2326" s="394"/>
      <c r="H2326" s="8" t="s">
        <v>235</v>
      </c>
      <c r="I2326" s="368">
        <f t="shared" si="109"/>
        <v>0</v>
      </c>
      <c r="J2326" s="365">
        <f t="shared" si="108"/>
        <v>0</v>
      </c>
      <c r="K2326" s="369">
        <f t="shared" si="110"/>
        <v>6</v>
      </c>
      <c r="L2326" s="369">
        <f>+IF((C2326&gt;='Resultats - informe'!$E$16)*(C2326&lt;='Resultats - informe'!$G$16),1,0)</f>
        <v>1</v>
      </c>
      <c r="M2326" s="369" cm="1">
        <f t="array" ref="M2326">+_xlfn.IFS((C2326&gt;='Resultats - informe'!$D$26)*(C2326&lt;='Resultats - informe'!$E$26),0,(C2326&gt;='Resultats - informe'!$D$27)*(C2326&lt;='Resultats - informe'!$E$27),0,(C2326&gt;='Resultats - informe'!$D$28)*(C2326&lt;='Resultats - informe'!$E$28),0,(C2326&gt;='Resultats - informe'!$D$29)*(C2326&lt;='Resultats - informe'!$E$29),0,1,1)</f>
        <v>0</v>
      </c>
      <c r="N2326" s="366">
        <f>+VLOOKUP(D2326,'Resultats - informe'!$Y$18:$AG$42,'Introducció dades consum'!K2326+1,0)</f>
        <v>0</v>
      </c>
      <c r="O2326" s="370" cm="1">
        <f t="array" ref="O2326">+_xlfn.SWITCH(MONTH(C2326),1,1,2,1,3,1,4,2,5,2,6,3,7,3,8,3,9,3,10,2,11,2,12,1,2)</f>
        <v>1</v>
      </c>
      <c r="P2326" s="43"/>
    </row>
    <row r="2327" spans="1:16" ht="18" x14ac:dyDescent="0.35">
      <c r="A2327" s="43"/>
      <c r="C2327" s="393"/>
      <c r="E2327" s="394"/>
      <c r="F2327" s="394">
        <v>0</v>
      </c>
      <c r="G2327" s="394"/>
      <c r="H2327" s="8" t="s">
        <v>235</v>
      </c>
      <c r="I2327" s="368">
        <f t="shared" si="109"/>
        <v>0</v>
      </c>
      <c r="J2327" s="365">
        <f t="shared" si="108"/>
        <v>0</v>
      </c>
      <c r="K2327" s="369">
        <f t="shared" si="110"/>
        <v>6</v>
      </c>
      <c r="L2327" s="369">
        <f>+IF((C2327&gt;='Resultats - informe'!$E$16)*(C2327&lt;='Resultats - informe'!$G$16),1,0)</f>
        <v>1</v>
      </c>
      <c r="M2327" s="369" cm="1">
        <f t="array" ref="M2327">+_xlfn.IFS((C2327&gt;='Resultats - informe'!$D$26)*(C2327&lt;='Resultats - informe'!$E$26),0,(C2327&gt;='Resultats - informe'!$D$27)*(C2327&lt;='Resultats - informe'!$E$27),0,(C2327&gt;='Resultats - informe'!$D$28)*(C2327&lt;='Resultats - informe'!$E$28),0,(C2327&gt;='Resultats - informe'!$D$29)*(C2327&lt;='Resultats - informe'!$E$29),0,1,1)</f>
        <v>0</v>
      </c>
      <c r="N2327" s="366">
        <f>+VLOOKUP(D2327,'Resultats - informe'!$Y$18:$AG$42,'Introducció dades consum'!K2327+1,0)</f>
        <v>0</v>
      </c>
      <c r="O2327" s="370" cm="1">
        <f t="array" ref="O2327">+_xlfn.SWITCH(MONTH(C2327),1,1,2,1,3,1,4,2,5,2,6,3,7,3,8,3,9,3,10,2,11,2,12,1,2)</f>
        <v>1</v>
      </c>
      <c r="P2327" s="43"/>
    </row>
    <row r="2328" spans="1:16" ht="18" x14ac:dyDescent="0.35">
      <c r="A2328" s="43"/>
      <c r="C2328" s="393"/>
      <c r="E2328" s="394"/>
      <c r="F2328" s="394">
        <v>0</v>
      </c>
      <c r="G2328" s="394"/>
      <c r="H2328" s="8" t="s">
        <v>61</v>
      </c>
      <c r="I2328" s="368">
        <f t="shared" si="109"/>
        <v>0</v>
      </c>
      <c r="J2328" s="365">
        <f t="shared" si="108"/>
        <v>0</v>
      </c>
      <c r="K2328" s="369">
        <f t="shared" si="110"/>
        <v>6</v>
      </c>
      <c r="L2328" s="369">
        <f>+IF((C2328&gt;='Resultats - informe'!$E$16)*(C2328&lt;='Resultats - informe'!$G$16),1,0)</f>
        <v>1</v>
      </c>
      <c r="M2328" s="369" cm="1">
        <f t="array" ref="M2328">+_xlfn.IFS((C2328&gt;='Resultats - informe'!$D$26)*(C2328&lt;='Resultats - informe'!$E$26),0,(C2328&gt;='Resultats - informe'!$D$27)*(C2328&lt;='Resultats - informe'!$E$27),0,(C2328&gt;='Resultats - informe'!$D$28)*(C2328&lt;='Resultats - informe'!$E$28),0,(C2328&gt;='Resultats - informe'!$D$29)*(C2328&lt;='Resultats - informe'!$E$29),0,1,1)</f>
        <v>0</v>
      </c>
      <c r="N2328" s="366">
        <f>+VLOOKUP(D2328,'Resultats - informe'!$Y$18:$AG$42,'Introducció dades consum'!K2328+1,0)</f>
        <v>0</v>
      </c>
      <c r="O2328" s="370" cm="1">
        <f t="array" ref="O2328">+_xlfn.SWITCH(MONTH(C2328),1,1,2,1,3,1,4,2,5,2,6,3,7,3,8,3,9,3,10,2,11,2,12,1,2)</f>
        <v>1</v>
      </c>
      <c r="P2328" s="43"/>
    </row>
    <row r="2329" spans="1:16" ht="18" x14ac:dyDescent="0.35">
      <c r="A2329" s="43"/>
      <c r="C2329" s="393"/>
      <c r="E2329" s="394"/>
      <c r="F2329" s="394">
        <v>0</v>
      </c>
      <c r="G2329" s="394"/>
      <c r="H2329" s="8" t="s">
        <v>235</v>
      </c>
      <c r="I2329" s="368">
        <f t="shared" si="109"/>
        <v>0</v>
      </c>
      <c r="J2329" s="365">
        <f t="shared" si="108"/>
        <v>0</v>
      </c>
      <c r="K2329" s="369">
        <f t="shared" si="110"/>
        <v>6</v>
      </c>
      <c r="L2329" s="369">
        <f>+IF((C2329&gt;='Resultats - informe'!$E$16)*(C2329&lt;='Resultats - informe'!$G$16),1,0)</f>
        <v>1</v>
      </c>
      <c r="M2329" s="369" cm="1">
        <f t="array" ref="M2329">+_xlfn.IFS((C2329&gt;='Resultats - informe'!$D$26)*(C2329&lt;='Resultats - informe'!$E$26),0,(C2329&gt;='Resultats - informe'!$D$27)*(C2329&lt;='Resultats - informe'!$E$27),0,(C2329&gt;='Resultats - informe'!$D$28)*(C2329&lt;='Resultats - informe'!$E$28),0,(C2329&gt;='Resultats - informe'!$D$29)*(C2329&lt;='Resultats - informe'!$E$29),0,1,1)</f>
        <v>0</v>
      </c>
      <c r="N2329" s="366">
        <f>+VLOOKUP(D2329,'Resultats - informe'!$Y$18:$AG$42,'Introducció dades consum'!K2329+1,0)</f>
        <v>0</v>
      </c>
      <c r="O2329" s="370" cm="1">
        <f t="array" ref="O2329">+_xlfn.SWITCH(MONTH(C2329),1,1,2,1,3,1,4,2,5,2,6,3,7,3,8,3,9,3,10,2,11,2,12,1,2)</f>
        <v>1</v>
      </c>
      <c r="P2329" s="43"/>
    </row>
    <row r="2330" spans="1:16" ht="18" x14ac:dyDescent="0.35">
      <c r="A2330" s="43"/>
      <c r="C2330" s="393"/>
      <c r="E2330" s="394"/>
      <c r="F2330" s="394">
        <v>0</v>
      </c>
      <c r="G2330" s="394"/>
      <c r="H2330" s="8" t="s">
        <v>235</v>
      </c>
      <c r="I2330" s="368">
        <f t="shared" si="109"/>
        <v>0</v>
      </c>
      <c r="J2330" s="365">
        <f t="shared" si="108"/>
        <v>0</v>
      </c>
      <c r="K2330" s="369">
        <f t="shared" si="110"/>
        <v>6</v>
      </c>
      <c r="L2330" s="369">
        <f>+IF((C2330&gt;='Resultats - informe'!$E$16)*(C2330&lt;='Resultats - informe'!$G$16),1,0)</f>
        <v>1</v>
      </c>
      <c r="M2330" s="369" cm="1">
        <f t="array" ref="M2330">+_xlfn.IFS((C2330&gt;='Resultats - informe'!$D$26)*(C2330&lt;='Resultats - informe'!$E$26),0,(C2330&gt;='Resultats - informe'!$D$27)*(C2330&lt;='Resultats - informe'!$E$27),0,(C2330&gt;='Resultats - informe'!$D$28)*(C2330&lt;='Resultats - informe'!$E$28),0,(C2330&gt;='Resultats - informe'!$D$29)*(C2330&lt;='Resultats - informe'!$E$29),0,1,1)</f>
        <v>0</v>
      </c>
      <c r="N2330" s="366">
        <f>+VLOOKUP(D2330,'Resultats - informe'!$Y$18:$AG$42,'Introducció dades consum'!K2330+1,0)</f>
        <v>0</v>
      </c>
      <c r="O2330" s="370" cm="1">
        <f t="array" ref="O2330">+_xlfn.SWITCH(MONTH(C2330),1,1,2,1,3,1,4,2,5,2,6,3,7,3,8,3,9,3,10,2,11,2,12,1,2)</f>
        <v>1</v>
      </c>
      <c r="P2330" s="43"/>
    </row>
    <row r="2331" spans="1:16" ht="18" x14ac:dyDescent="0.35">
      <c r="A2331" s="43"/>
      <c r="C2331" s="393"/>
      <c r="E2331" s="394"/>
      <c r="F2331" s="394">
        <v>0</v>
      </c>
      <c r="G2331" s="394"/>
      <c r="H2331" s="8" t="s">
        <v>235</v>
      </c>
      <c r="I2331" s="368">
        <f t="shared" si="109"/>
        <v>0</v>
      </c>
      <c r="J2331" s="365">
        <f t="shared" si="108"/>
        <v>0</v>
      </c>
      <c r="K2331" s="369">
        <f t="shared" si="110"/>
        <v>6</v>
      </c>
      <c r="L2331" s="369">
        <f>+IF((C2331&gt;='Resultats - informe'!$E$16)*(C2331&lt;='Resultats - informe'!$G$16),1,0)</f>
        <v>1</v>
      </c>
      <c r="M2331" s="369" cm="1">
        <f t="array" ref="M2331">+_xlfn.IFS((C2331&gt;='Resultats - informe'!$D$26)*(C2331&lt;='Resultats - informe'!$E$26),0,(C2331&gt;='Resultats - informe'!$D$27)*(C2331&lt;='Resultats - informe'!$E$27),0,(C2331&gt;='Resultats - informe'!$D$28)*(C2331&lt;='Resultats - informe'!$E$28),0,(C2331&gt;='Resultats - informe'!$D$29)*(C2331&lt;='Resultats - informe'!$E$29),0,1,1)</f>
        <v>0</v>
      </c>
      <c r="N2331" s="366">
        <f>+VLOOKUP(D2331,'Resultats - informe'!$Y$18:$AG$42,'Introducció dades consum'!K2331+1,0)</f>
        <v>0</v>
      </c>
      <c r="O2331" s="370" cm="1">
        <f t="array" ref="O2331">+_xlfn.SWITCH(MONTH(C2331),1,1,2,1,3,1,4,2,5,2,6,3,7,3,8,3,9,3,10,2,11,2,12,1,2)</f>
        <v>1</v>
      </c>
      <c r="P2331" s="43"/>
    </row>
    <row r="2332" spans="1:16" ht="18" x14ac:dyDescent="0.35">
      <c r="A2332" s="43"/>
      <c r="C2332" s="393"/>
      <c r="E2332" s="394"/>
      <c r="F2332" s="394">
        <v>0</v>
      </c>
      <c r="G2332" s="394"/>
      <c r="H2332" s="8" t="s">
        <v>235</v>
      </c>
      <c r="I2332" s="368">
        <f t="shared" si="109"/>
        <v>0</v>
      </c>
      <c r="J2332" s="365">
        <f t="shared" si="108"/>
        <v>0</v>
      </c>
      <c r="K2332" s="369">
        <f t="shared" si="110"/>
        <v>6</v>
      </c>
      <c r="L2332" s="369">
        <f>+IF((C2332&gt;='Resultats - informe'!$E$16)*(C2332&lt;='Resultats - informe'!$G$16),1,0)</f>
        <v>1</v>
      </c>
      <c r="M2332" s="369" cm="1">
        <f t="array" ref="M2332">+_xlfn.IFS((C2332&gt;='Resultats - informe'!$D$26)*(C2332&lt;='Resultats - informe'!$E$26),0,(C2332&gt;='Resultats - informe'!$D$27)*(C2332&lt;='Resultats - informe'!$E$27),0,(C2332&gt;='Resultats - informe'!$D$28)*(C2332&lt;='Resultats - informe'!$E$28),0,(C2332&gt;='Resultats - informe'!$D$29)*(C2332&lt;='Resultats - informe'!$E$29),0,1,1)</f>
        <v>0</v>
      </c>
      <c r="N2332" s="366">
        <f>+VLOOKUP(D2332,'Resultats - informe'!$Y$18:$AG$42,'Introducció dades consum'!K2332+1,0)</f>
        <v>0</v>
      </c>
      <c r="O2332" s="370" cm="1">
        <f t="array" ref="O2332">+_xlfn.SWITCH(MONTH(C2332),1,1,2,1,3,1,4,2,5,2,6,3,7,3,8,3,9,3,10,2,11,2,12,1,2)</f>
        <v>1</v>
      </c>
      <c r="P2332" s="43"/>
    </row>
    <row r="2333" spans="1:16" ht="18" x14ac:dyDescent="0.35">
      <c r="A2333" s="43"/>
      <c r="C2333" s="393"/>
      <c r="E2333" s="394"/>
      <c r="F2333" s="394">
        <v>0</v>
      </c>
      <c r="G2333" s="394"/>
      <c r="H2333" s="8" t="s">
        <v>235</v>
      </c>
      <c r="I2333" s="368">
        <f t="shared" si="109"/>
        <v>0</v>
      </c>
      <c r="J2333" s="365">
        <f t="shared" si="108"/>
        <v>0</v>
      </c>
      <c r="K2333" s="369">
        <f t="shared" si="110"/>
        <v>6</v>
      </c>
      <c r="L2333" s="369">
        <f>+IF((C2333&gt;='Resultats - informe'!$E$16)*(C2333&lt;='Resultats - informe'!$G$16),1,0)</f>
        <v>1</v>
      </c>
      <c r="M2333" s="369" cm="1">
        <f t="array" ref="M2333">+_xlfn.IFS((C2333&gt;='Resultats - informe'!$D$26)*(C2333&lt;='Resultats - informe'!$E$26),0,(C2333&gt;='Resultats - informe'!$D$27)*(C2333&lt;='Resultats - informe'!$E$27),0,(C2333&gt;='Resultats - informe'!$D$28)*(C2333&lt;='Resultats - informe'!$E$28),0,(C2333&gt;='Resultats - informe'!$D$29)*(C2333&lt;='Resultats - informe'!$E$29),0,1,1)</f>
        <v>0</v>
      </c>
      <c r="N2333" s="366">
        <f>+VLOOKUP(D2333,'Resultats - informe'!$Y$18:$AG$42,'Introducció dades consum'!K2333+1,0)</f>
        <v>0</v>
      </c>
      <c r="O2333" s="370" cm="1">
        <f t="array" ref="O2333">+_xlfn.SWITCH(MONTH(C2333),1,1,2,1,3,1,4,2,5,2,6,3,7,3,8,3,9,3,10,2,11,2,12,1,2)</f>
        <v>1</v>
      </c>
      <c r="P2333" s="43"/>
    </row>
    <row r="2334" spans="1:16" ht="18" x14ac:dyDescent="0.35">
      <c r="A2334" s="43"/>
      <c r="C2334" s="393"/>
      <c r="E2334" s="394"/>
      <c r="F2334" s="394">
        <v>0</v>
      </c>
      <c r="G2334" s="394"/>
      <c r="H2334" s="8" t="s">
        <v>235</v>
      </c>
      <c r="I2334" s="368">
        <f t="shared" si="109"/>
        <v>0</v>
      </c>
      <c r="J2334" s="365">
        <f t="shared" si="108"/>
        <v>0</v>
      </c>
      <c r="K2334" s="369">
        <f t="shared" si="110"/>
        <v>6</v>
      </c>
      <c r="L2334" s="369">
        <f>+IF((C2334&gt;='Resultats - informe'!$E$16)*(C2334&lt;='Resultats - informe'!$G$16),1,0)</f>
        <v>1</v>
      </c>
      <c r="M2334" s="369" cm="1">
        <f t="array" ref="M2334">+_xlfn.IFS((C2334&gt;='Resultats - informe'!$D$26)*(C2334&lt;='Resultats - informe'!$E$26),0,(C2334&gt;='Resultats - informe'!$D$27)*(C2334&lt;='Resultats - informe'!$E$27),0,(C2334&gt;='Resultats - informe'!$D$28)*(C2334&lt;='Resultats - informe'!$E$28),0,(C2334&gt;='Resultats - informe'!$D$29)*(C2334&lt;='Resultats - informe'!$E$29),0,1,1)</f>
        <v>0</v>
      </c>
      <c r="N2334" s="366">
        <f>+VLOOKUP(D2334,'Resultats - informe'!$Y$18:$AG$42,'Introducció dades consum'!K2334+1,0)</f>
        <v>0</v>
      </c>
      <c r="O2334" s="370" cm="1">
        <f t="array" ref="O2334">+_xlfn.SWITCH(MONTH(C2334),1,1,2,1,3,1,4,2,5,2,6,3,7,3,8,3,9,3,10,2,11,2,12,1,2)</f>
        <v>1</v>
      </c>
      <c r="P2334" s="43"/>
    </row>
    <row r="2335" spans="1:16" ht="18" x14ac:dyDescent="0.35">
      <c r="A2335" s="43"/>
      <c r="C2335" s="393"/>
      <c r="E2335" s="394"/>
      <c r="F2335" s="394">
        <v>0</v>
      </c>
      <c r="G2335" s="394"/>
      <c r="H2335" s="8" t="s">
        <v>61</v>
      </c>
      <c r="I2335" s="368">
        <f t="shared" si="109"/>
        <v>0</v>
      </c>
      <c r="J2335" s="365">
        <f t="shared" si="108"/>
        <v>0</v>
      </c>
      <c r="K2335" s="369">
        <f t="shared" si="110"/>
        <v>6</v>
      </c>
      <c r="L2335" s="369">
        <f>+IF((C2335&gt;='Resultats - informe'!$E$16)*(C2335&lt;='Resultats - informe'!$G$16),1,0)</f>
        <v>1</v>
      </c>
      <c r="M2335" s="369" cm="1">
        <f t="array" ref="M2335">+_xlfn.IFS((C2335&gt;='Resultats - informe'!$D$26)*(C2335&lt;='Resultats - informe'!$E$26),0,(C2335&gt;='Resultats - informe'!$D$27)*(C2335&lt;='Resultats - informe'!$E$27),0,(C2335&gt;='Resultats - informe'!$D$28)*(C2335&lt;='Resultats - informe'!$E$28),0,(C2335&gt;='Resultats - informe'!$D$29)*(C2335&lt;='Resultats - informe'!$E$29),0,1,1)</f>
        <v>0</v>
      </c>
      <c r="N2335" s="366">
        <f>+VLOOKUP(D2335,'Resultats - informe'!$Y$18:$AG$42,'Introducció dades consum'!K2335+1,0)</f>
        <v>0</v>
      </c>
      <c r="O2335" s="370" cm="1">
        <f t="array" ref="O2335">+_xlfn.SWITCH(MONTH(C2335),1,1,2,1,3,1,4,2,5,2,6,3,7,3,8,3,9,3,10,2,11,2,12,1,2)</f>
        <v>1</v>
      </c>
      <c r="P2335" s="43"/>
    </row>
    <row r="2336" spans="1:16" ht="18" x14ac:dyDescent="0.35">
      <c r="A2336" s="43"/>
      <c r="C2336" s="393"/>
      <c r="E2336" s="394"/>
      <c r="F2336" s="394">
        <v>0</v>
      </c>
      <c r="G2336" s="394"/>
      <c r="H2336" s="8" t="s">
        <v>235</v>
      </c>
      <c r="I2336" s="368">
        <f t="shared" si="109"/>
        <v>0</v>
      </c>
      <c r="J2336" s="365">
        <f t="shared" si="108"/>
        <v>0</v>
      </c>
      <c r="K2336" s="369">
        <f t="shared" si="110"/>
        <v>6</v>
      </c>
      <c r="L2336" s="369">
        <f>+IF((C2336&gt;='Resultats - informe'!$E$16)*(C2336&lt;='Resultats - informe'!$G$16),1,0)</f>
        <v>1</v>
      </c>
      <c r="M2336" s="369" cm="1">
        <f t="array" ref="M2336">+_xlfn.IFS((C2336&gt;='Resultats - informe'!$D$26)*(C2336&lt;='Resultats - informe'!$E$26),0,(C2336&gt;='Resultats - informe'!$D$27)*(C2336&lt;='Resultats - informe'!$E$27),0,(C2336&gt;='Resultats - informe'!$D$28)*(C2336&lt;='Resultats - informe'!$E$28),0,(C2336&gt;='Resultats - informe'!$D$29)*(C2336&lt;='Resultats - informe'!$E$29),0,1,1)</f>
        <v>0</v>
      </c>
      <c r="N2336" s="366">
        <f>+VLOOKUP(D2336,'Resultats - informe'!$Y$18:$AG$42,'Introducció dades consum'!K2336+1,0)</f>
        <v>0</v>
      </c>
      <c r="O2336" s="370" cm="1">
        <f t="array" ref="O2336">+_xlfn.SWITCH(MONTH(C2336),1,1,2,1,3,1,4,2,5,2,6,3,7,3,8,3,9,3,10,2,11,2,12,1,2)</f>
        <v>1</v>
      </c>
      <c r="P2336" s="43"/>
    </row>
    <row r="2337" spans="1:16" ht="18" x14ac:dyDescent="0.35">
      <c r="A2337" s="43"/>
      <c r="C2337" s="393"/>
      <c r="E2337" s="394"/>
      <c r="F2337" s="394">
        <v>0</v>
      </c>
      <c r="G2337" s="394"/>
      <c r="H2337" s="8" t="s">
        <v>235</v>
      </c>
      <c r="I2337" s="368">
        <f t="shared" si="109"/>
        <v>0</v>
      </c>
      <c r="J2337" s="365">
        <f t="shared" si="108"/>
        <v>0</v>
      </c>
      <c r="K2337" s="369">
        <f t="shared" si="110"/>
        <v>6</v>
      </c>
      <c r="L2337" s="369">
        <f>+IF((C2337&gt;='Resultats - informe'!$E$16)*(C2337&lt;='Resultats - informe'!$G$16),1,0)</f>
        <v>1</v>
      </c>
      <c r="M2337" s="369" cm="1">
        <f t="array" ref="M2337">+_xlfn.IFS((C2337&gt;='Resultats - informe'!$D$26)*(C2337&lt;='Resultats - informe'!$E$26),0,(C2337&gt;='Resultats - informe'!$D$27)*(C2337&lt;='Resultats - informe'!$E$27),0,(C2337&gt;='Resultats - informe'!$D$28)*(C2337&lt;='Resultats - informe'!$E$28),0,(C2337&gt;='Resultats - informe'!$D$29)*(C2337&lt;='Resultats - informe'!$E$29),0,1,1)</f>
        <v>0</v>
      </c>
      <c r="N2337" s="366">
        <f>+VLOOKUP(D2337,'Resultats - informe'!$Y$18:$AG$42,'Introducció dades consum'!K2337+1,0)</f>
        <v>0</v>
      </c>
      <c r="O2337" s="370" cm="1">
        <f t="array" ref="O2337">+_xlfn.SWITCH(MONTH(C2337),1,1,2,1,3,1,4,2,5,2,6,3,7,3,8,3,9,3,10,2,11,2,12,1,2)</f>
        <v>1</v>
      </c>
      <c r="P2337" s="43"/>
    </row>
    <row r="2338" spans="1:16" ht="18" x14ac:dyDescent="0.35">
      <c r="A2338" s="43"/>
      <c r="C2338" s="393"/>
      <c r="E2338" s="394"/>
      <c r="F2338" s="394">
        <v>0</v>
      </c>
      <c r="G2338" s="394"/>
      <c r="H2338" s="8" t="s">
        <v>61</v>
      </c>
      <c r="I2338" s="368">
        <f t="shared" si="109"/>
        <v>0</v>
      </c>
      <c r="J2338" s="365">
        <f t="shared" si="108"/>
        <v>0</v>
      </c>
      <c r="K2338" s="369">
        <f t="shared" si="110"/>
        <v>6</v>
      </c>
      <c r="L2338" s="369">
        <f>+IF((C2338&gt;='Resultats - informe'!$E$16)*(C2338&lt;='Resultats - informe'!$G$16),1,0)</f>
        <v>1</v>
      </c>
      <c r="M2338" s="369" cm="1">
        <f t="array" ref="M2338">+_xlfn.IFS((C2338&gt;='Resultats - informe'!$D$26)*(C2338&lt;='Resultats - informe'!$E$26),0,(C2338&gt;='Resultats - informe'!$D$27)*(C2338&lt;='Resultats - informe'!$E$27),0,(C2338&gt;='Resultats - informe'!$D$28)*(C2338&lt;='Resultats - informe'!$E$28),0,(C2338&gt;='Resultats - informe'!$D$29)*(C2338&lt;='Resultats - informe'!$E$29),0,1,1)</f>
        <v>0</v>
      </c>
      <c r="N2338" s="366">
        <f>+VLOOKUP(D2338,'Resultats - informe'!$Y$18:$AG$42,'Introducció dades consum'!K2338+1,0)</f>
        <v>0</v>
      </c>
      <c r="O2338" s="370" cm="1">
        <f t="array" ref="O2338">+_xlfn.SWITCH(MONTH(C2338),1,1,2,1,3,1,4,2,5,2,6,3,7,3,8,3,9,3,10,2,11,2,12,1,2)</f>
        <v>1</v>
      </c>
      <c r="P2338" s="43"/>
    </row>
    <row r="2339" spans="1:16" ht="18" x14ac:dyDescent="0.35">
      <c r="A2339" s="43"/>
      <c r="C2339" s="393"/>
      <c r="E2339" s="394"/>
      <c r="F2339" s="394">
        <v>0</v>
      </c>
      <c r="G2339" s="394"/>
      <c r="H2339" s="8" t="s">
        <v>61</v>
      </c>
      <c r="I2339" s="368">
        <f t="shared" si="109"/>
        <v>0</v>
      </c>
      <c r="J2339" s="365">
        <f t="shared" si="108"/>
        <v>0</v>
      </c>
      <c r="K2339" s="369">
        <f t="shared" si="110"/>
        <v>6</v>
      </c>
      <c r="L2339" s="369">
        <f>+IF((C2339&gt;='Resultats - informe'!$E$16)*(C2339&lt;='Resultats - informe'!$G$16),1,0)</f>
        <v>1</v>
      </c>
      <c r="M2339" s="369" cm="1">
        <f t="array" ref="M2339">+_xlfn.IFS((C2339&gt;='Resultats - informe'!$D$26)*(C2339&lt;='Resultats - informe'!$E$26),0,(C2339&gt;='Resultats - informe'!$D$27)*(C2339&lt;='Resultats - informe'!$E$27),0,(C2339&gt;='Resultats - informe'!$D$28)*(C2339&lt;='Resultats - informe'!$E$28),0,(C2339&gt;='Resultats - informe'!$D$29)*(C2339&lt;='Resultats - informe'!$E$29),0,1,1)</f>
        <v>0</v>
      </c>
      <c r="N2339" s="366">
        <f>+VLOOKUP(D2339,'Resultats - informe'!$Y$18:$AG$42,'Introducció dades consum'!K2339+1,0)</f>
        <v>0</v>
      </c>
      <c r="O2339" s="370" cm="1">
        <f t="array" ref="O2339">+_xlfn.SWITCH(MONTH(C2339),1,1,2,1,3,1,4,2,5,2,6,3,7,3,8,3,9,3,10,2,11,2,12,1,2)</f>
        <v>1</v>
      </c>
      <c r="P2339" s="43"/>
    </row>
    <row r="2340" spans="1:16" ht="18" x14ac:dyDescent="0.35">
      <c r="A2340" s="43"/>
      <c r="C2340" s="393"/>
      <c r="E2340" s="394"/>
      <c r="F2340" s="394">
        <v>1.3140000000000001</v>
      </c>
      <c r="G2340" s="394"/>
      <c r="H2340" s="8" t="s">
        <v>235</v>
      </c>
      <c r="I2340" s="368">
        <f t="shared" si="109"/>
        <v>0</v>
      </c>
      <c r="J2340" s="365">
        <f t="shared" si="108"/>
        <v>0</v>
      </c>
      <c r="K2340" s="369">
        <f t="shared" si="110"/>
        <v>6</v>
      </c>
      <c r="L2340" s="369">
        <f>+IF((C2340&gt;='Resultats - informe'!$E$16)*(C2340&lt;='Resultats - informe'!$G$16),1,0)</f>
        <v>1</v>
      </c>
      <c r="M2340" s="369" cm="1">
        <f t="array" ref="M2340">+_xlfn.IFS((C2340&gt;='Resultats - informe'!$D$26)*(C2340&lt;='Resultats - informe'!$E$26),0,(C2340&gt;='Resultats - informe'!$D$27)*(C2340&lt;='Resultats - informe'!$E$27),0,(C2340&gt;='Resultats - informe'!$D$28)*(C2340&lt;='Resultats - informe'!$E$28),0,(C2340&gt;='Resultats - informe'!$D$29)*(C2340&lt;='Resultats - informe'!$E$29),0,1,1)</f>
        <v>0</v>
      </c>
      <c r="N2340" s="366">
        <f>+VLOOKUP(D2340,'Resultats - informe'!$Y$18:$AG$42,'Introducció dades consum'!K2340+1,0)</f>
        <v>0</v>
      </c>
      <c r="O2340" s="370" cm="1">
        <f t="array" ref="O2340">+_xlfn.SWITCH(MONTH(C2340),1,1,2,1,3,1,4,2,5,2,6,3,7,3,8,3,9,3,10,2,11,2,12,1,2)</f>
        <v>1</v>
      </c>
      <c r="P2340" s="43"/>
    </row>
    <row r="2341" spans="1:16" ht="18" x14ac:dyDescent="0.35">
      <c r="A2341" s="43"/>
      <c r="C2341" s="393"/>
      <c r="E2341" s="394"/>
      <c r="F2341" s="394">
        <v>3.556</v>
      </c>
      <c r="G2341" s="394"/>
      <c r="H2341" s="8" t="s">
        <v>235</v>
      </c>
      <c r="I2341" s="368">
        <f t="shared" si="109"/>
        <v>0</v>
      </c>
      <c r="J2341" s="365">
        <f t="shared" si="108"/>
        <v>0</v>
      </c>
      <c r="K2341" s="369">
        <f t="shared" si="110"/>
        <v>6</v>
      </c>
      <c r="L2341" s="369">
        <f>+IF((C2341&gt;='Resultats - informe'!$E$16)*(C2341&lt;='Resultats - informe'!$G$16),1,0)</f>
        <v>1</v>
      </c>
      <c r="M2341" s="369" cm="1">
        <f t="array" ref="M2341">+_xlfn.IFS((C2341&gt;='Resultats - informe'!$D$26)*(C2341&lt;='Resultats - informe'!$E$26),0,(C2341&gt;='Resultats - informe'!$D$27)*(C2341&lt;='Resultats - informe'!$E$27),0,(C2341&gt;='Resultats - informe'!$D$28)*(C2341&lt;='Resultats - informe'!$E$28),0,(C2341&gt;='Resultats - informe'!$D$29)*(C2341&lt;='Resultats - informe'!$E$29),0,1,1)</f>
        <v>0</v>
      </c>
      <c r="N2341" s="366">
        <f>+VLOOKUP(D2341,'Resultats - informe'!$Y$18:$AG$42,'Introducció dades consum'!K2341+1,0)</f>
        <v>0</v>
      </c>
      <c r="O2341" s="370" cm="1">
        <f t="array" ref="O2341">+_xlfn.SWITCH(MONTH(C2341),1,1,2,1,3,1,4,2,5,2,6,3,7,3,8,3,9,3,10,2,11,2,12,1,2)</f>
        <v>1</v>
      </c>
      <c r="P2341" s="43"/>
    </row>
    <row r="2342" spans="1:16" ht="18" x14ac:dyDescent="0.35">
      <c r="A2342" s="43"/>
      <c r="C2342" s="393"/>
      <c r="E2342" s="394"/>
      <c r="F2342" s="394">
        <v>4.0049999999999999</v>
      </c>
      <c r="G2342" s="394"/>
      <c r="H2342" s="8" t="s">
        <v>235</v>
      </c>
      <c r="I2342" s="368">
        <f t="shared" si="109"/>
        <v>0</v>
      </c>
      <c r="J2342" s="365">
        <f t="shared" si="108"/>
        <v>0</v>
      </c>
      <c r="K2342" s="369">
        <f t="shared" si="110"/>
        <v>6</v>
      </c>
      <c r="L2342" s="369">
        <f>+IF((C2342&gt;='Resultats - informe'!$E$16)*(C2342&lt;='Resultats - informe'!$G$16),1,0)</f>
        <v>1</v>
      </c>
      <c r="M2342" s="369" cm="1">
        <f t="array" ref="M2342">+_xlfn.IFS((C2342&gt;='Resultats - informe'!$D$26)*(C2342&lt;='Resultats - informe'!$E$26),0,(C2342&gt;='Resultats - informe'!$D$27)*(C2342&lt;='Resultats - informe'!$E$27),0,(C2342&gt;='Resultats - informe'!$D$28)*(C2342&lt;='Resultats - informe'!$E$28),0,(C2342&gt;='Resultats - informe'!$D$29)*(C2342&lt;='Resultats - informe'!$E$29),0,1,1)</f>
        <v>0</v>
      </c>
      <c r="N2342" s="366">
        <f>+VLOOKUP(D2342,'Resultats - informe'!$Y$18:$AG$42,'Introducció dades consum'!K2342+1,0)</f>
        <v>0</v>
      </c>
      <c r="O2342" s="370" cm="1">
        <f t="array" ref="O2342">+_xlfn.SWITCH(MONTH(C2342),1,1,2,1,3,1,4,2,5,2,6,3,7,3,8,3,9,3,10,2,11,2,12,1,2)</f>
        <v>1</v>
      </c>
      <c r="P2342" s="43"/>
    </row>
    <row r="2343" spans="1:16" ht="18" x14ac:dyDescent="0.35">
      <c r="A2343" s="43"/>
      <c r="C2343" s="393"/>
      <c r="E2343" s="394"/>
      <c r="F2343" s="394">
        <v>4.2969999999999997</v>
      </c>
      <c r="G2343" s="394"/>
      <c r="H2343" s="8" t="s">
        <v>235</v>
      </c>
      <c r="I2343" s="368">
        <f t="shared" si="109"/>
        <v>0</v>
      </c>
      <c r="J2343" s="365">
        <f t="shared" si="108"/>
        <v>0</v>
      </c>
      <c r="K2343" s="369">
        <f t="shared" si="110"/>
        <v>6</v>
      </c>
      <c r="L2343" s="369">
        <f>+IF((C2343&gt;='Resultats - informe'!$E$16)*(C2343&lt;='Resultats - informe'!$G$16),1,0)</f>
        <v>1</v>
      </c>
      <c r="M2343" s="369" cm="1">
        <f t="array" ref="M2343">+_xlfn.IFS((C2343&gt;='Resultats - informe'!$D$26)*(C2343&lt;='Resultats - informe'!$E$26),0,(C2343&gt;='Resultats - informe'!$D$27)*(C2343&lt;='Resultats - informe'!$E$27),0,(C2343&gt;='Resultats - informe'!$D$28)*(C2343&lt;='Resultats - informe'!$E$28),0,(C2343&gt;='Resultats - informe'!$D$29)*(C2343&lt;='Resultats - informe'!$E$29),0,1,1)</f>
        <v>0</v>
      </c>
      <c r="N2343" s="366">
        <f>+VLOOKUP(D2343,'Resultats - informe'!$Y$18:$AG$42,'Introducció dades consum'!K2343+1,0)</f>
        <v>0</v>
      </c>
      <c r="O2343" s="370" cm="1">
        <f t="array" ref="O2343">+_xlfn.SWITCH(MONTH(C2343),1,1,2,1,3,1,4,2,5,2,6,3,7,3,8,3,9,3,10,2,11,2,12,1,2)</f>
        <v>1</v>
      </c>
      <c r="P2343" s="43"/>
    </row>
    <row r="2344" spans="1:16" ht="18" x14ac:dyDescent="0.35">
      <c r="A2344" s="43"/>
      <c r="C2344" s="393"/>
      <c r="E2344" s="394"/>
      <c r="F2344" s="394">
        <v>3.9260000000000002</v>
      </c>
      <c r="G2344" s="394"/>
      <c r="H2344" s="8" t="s">
        <v>235</v>
      </c>
      <c r="I2344" s="368">
        <f t="shared" si="109"/>
        <v>0</v>
      </c>
      <c r="J2344" s="365">
        <f t="shared" si="108"/>
        <v>0</v>
      </c>
      <c r="K2344" s="369">
        <f t="shared" si="110"/>
        <v>6</v>
      </c>
      <c r="L2344" s="369">
        <f>+IF((C2344&gt;='Resultats - informe'!$E$16)*(C2344&lt;='Resultats - informe'!$G$16),1,0)</f>
        <v>1</v>
      </c>
      <c r="M2344" s="369" cm="1">
        <f t="array" ref="M2344">+_xlfn.IFS((C2344&gt;='Resultats - informe'!$D$26)*(C2344&lt;='Resultats - informe'!$E$26),0,(C2344&gt;='Resultats - informe'!$D$27)*(C2344&lt;='Resultats - informe'!$E$27),0,(C2344&gt;='Resultats - informe'!$D$28)*(C2344&lt;='Resultats - informe'!$E$28),0,(C2344&gt;='Resultats - informe'!$D$29)*(C2344&lt;='Resultats - informe'!$E$29),0,1,1)</f>
        <v>0</v>
      </c>
      <c r="N2344" s="366">
        <f>+VLOOKUP(D2344,'Resultats - informe'!$Y$18:$AG$42,'Introducció dades consum'!K2344+1,0)</f>
        <v>0</v>
      </c>
      <c r="O2344" s="370" cm="1">
        <f t="array" ref="O2344">+_xlfn.SWITCH(MONTH(C2344),1,1,2,1,3,1,4,2,5,2,6,3,7,3,8,3,9,3,10,2,11,2,12,1,2)</f>
        <v>1</v>
      </c>
      <c r="P2344" s="43"/>
    </row>
    <row r="2345" spans="1:16" ht="18" x14ac:dyDescent="0.35">
      <c r="A2345" s="43"/>
      <c r="C2345" s="393"/>
      <c r="E2345" s="394"/>
      <c r="F2345" s="394">
        <v>4.1429999999999998</v>
      </c>
      <c r="G2345" s="394"/>
      <c r="H2345" s="8" t="s">
        <v>61</v>
      </c>
      <c r="I2345" s="368">
        <f t="shared" si="109"/>
        <v>0</v>
      </c>
      <c r="J2345" s="365">
        <f t="shared" si="108"/>
        <v>0</v>
      </c>
      <c r="K2345" s="369">
        <f t="shared" si="110"/>
        <v>6</v>
      </c>
      <c r="L2345" s="369">
        <f>+IF((C2345&gt;='Resultats - informe'!$E$16)*(C2345&lt;='Resultats - informe'!$G$16),1,0)</f>
        <v>1</v>
      </c>
      <c r="M2345" s="369" cm="1">
        <f t="array" ref="M2345">+_xlfn.IFS((C2345&gt;='Resultats - informe'!$D$26)*(C2345&lt;='Resultats - informe'!$E$26),0,(C2345&gt;='Resultats - informe'!$D$27)*(C2345&lt;='Resultats - informe'!$E$27),0,(C2345&gt;='Resultats - informe'!$D$28)*(C2345&lt;='Resultats - informe'!$E$28),0,(C2345&gt;='Resultats - informe'!$D$29)*(C2345&lt;='Resultats - informe'!$E$29),0,1,1)</f>
        <v>0</v>
      </c>
      <c r="N2345" s="366">
        <f>+VLOOKUP(D2345,'Resultats - informe'!$Y$18:$AG$42,'Introducció dades consum'!K2345+1,0)</f>
        <v>0</v>
      </c>
      <c r="O2345" s="370" cm="1">
        <f t="array" ref="O2345">+_xlfn.SWITCH(MONTH(C2345),1,1,2,1,3,1,4,2,5,2,6,3,7,3,8,3,9,3,10,2,11,2,12,1,2)</f>
        <v>1</v>
      </c>
      <c r="P2345" s="43"/>
    </row>
    <row r="2346" spans="1:16" ht="18" x14ac:dyDescent="0.35">
      <c r="A2346" s="43"/>
      <c r="C2346" s="393"/>
      <c r="E2346" s="394"/>
      <c r="F2346" s="394">
        <v>2.919</v>
      </c>
      <c r="G2346" s="394"/>
      <c r="H2346" s="8" t="s">
        <v>235</v>
      </c>
      <c r="I2346" s="368">
        <f t="shared" si="109"/>
        <v>0</v>
      </c>
      <c r="J2346" s="365">
        <f t="shared" si="108"/>
        <v>0</v>
      </c>
      <c r="K2346" s="369">
        <f t="shared" si="110"/>
        <v>6</v>
      </c>
      <c r="L2346" s="369">
        <f>+IF((C2346&gt;='Resultats - informe'!$E$16)*(C2346&lt;='Resultats - informe'!$G$16),1,0)</f>
        <v>1</v>
      </c>
      <c r="M2346" s="369" cm="1">
        <f t="array" ref="M2346">+_xlfn.IFS((C2346&gt;='Resultats - informe'!$D$26)*(C2346&lt;='Resultats - informe'!$E$26),0,(C2346&gt;='Resultats - informe'!$D$27)*(C2346&lt;='Resultats - informe'!$E$27),0,(C2346&gt;='Resultats - informe'!$D$28)*(C2346&lt;='Resultats - informe'!$E$28),0,(C2346&gt;='Resultats - informe'!$D$29)*(C2346&lt;='Resultats - informe'!$E$29),0,1,1)</f>
        <v>0</v>
      </c>
      <c r="N2346" s="366">
        <f>+VLOOKUP(D2346,'Resultats - informe'!$Y$18:$AG$42,'Introducció dades consum'!K2346+1,0)</f>
        <v>0</v>
      </c>
      <c r="O2346" s="370" cm="1">
        <f t="array" ref="O2346">+_xlfn.SWITCH(MONTH(C2346),1,1,2,1,3,1,4,2,5,2,6,3,7,3,8,3,9,3,10,2,11,2,12,1,2)</f>
        <v>1</v>
      </c>
      <c r="P2346" s="43"/>
    </row>
    <row r="2347" spans="1:16" ht="18" x14ac:dyDescent="0.35">
      <c r="A2347" s="43"/>
      <c r="C2347" s="393"/>
      <c r="E2347" s="394"/>
      <c r="F2347" s="394">
        <v>1.869</v>
      </c>
      <c r="G2347" s="394"/>
      <c r="H2347" s="8" t="s">
        <v>235</v>
      </c>
      <c r="I2347" s="368">
        <f t="shared" si="109"/>
        <v>0</v>
      </c>
      <c r="J2347" s="365">
        <f t="shared" si="108"/>
        <v>0</v>
      </c>
      <c r="K2347" s="369">
        <f t="shared" si="110"/>
        <v>6</v>
      </c>
      <c r="L2347" s="369">
        <f>+IF((C2347&gt;='Resultats - informe'!$E$16)*(C2347&lt;='Resultats - informe'!$G$16),1,0)</f>
        <v>1</v>
      </c>
      <c r="M2347" s="369" cm="1">
        <f t="array" ref="M2347">+_xlfn.IFS((C2347&gt;='Resultats - informe'!$D$26)*(C2347&lt;='Resultats - informe'!$E$26),0,(C2347&gt;='Resultats - informe'!$D$27)*(C2347&lt;='Resultats - informe'!$E$27),0,(C2347&gt;='Resultats - informe'!$D$28)*(C2347&lt;='Resultats - informe'!$E$28),0,(C2347&gt;='Resultats - informe'!$D$29)*(C2347&lt;='Resultats - informe'!$E$29),0,1,1)</f>
        <v>0</v>
      </c>
      <c r="N2347" s="366">
        <f>+VLOOKUP(D2347,'Resultats - informe'!$Y$18:$AG$42,'Introducció dades consum'!K2347+1,0)</f>
        <v>0</v>
      </c>
      <c r="O2347" s="370" cm="1">
        <f t="array" ref="O2347">+_xlfn.SWITCH(MONTH(C2347),1,1,2,1,3,1,4,2,5,2,6,3,7,3,8,3,9,3,10,2,11,2,12,1,2)</f>
        <v>1</v>
      </c>
      <c r="P2347" s="43"/>
    </row>
    <row r="2348" spans="1:16" ht="18" x14ac:dyDescent="0.35">
      <c r="A2348" s="43"/>
      <c r="C2348" s="393"/>
      <c r="E2348" s="394"/>
      <c r="F2348" s="394">
        <v>0.125</v>
      </c>
      <c r="G2348" s="394"/>
      <c r="H2348" s="8" t="s">
        <v>61</v>
      </c>
      <c r="I2348" s="368">
        <f t="shared" si="109"/>
        <v>0</v>
      </c>
      <c r="J2348" s="365">
        <f t="shared" si="108"/>
        <v>0</v>
      </c>
      <c r="K2348" s="369">
        <f t="shared" si="110"/>
        <v>6</v>
      </c>
      <c r="L2348" s="369">
        <f>+IF((C2348&gt;='Resultats - informe'!$E$16)*(C2348&lt;='Resultats - informe'!$G$16),1,0)</f>
        <v>1</v>
      </c>
      <c r="M2348" s="369" cm="1">
        <f t="array" ref="M2348">+_xlfn.IFS((C2348&gt;='Resultats - informe'!$D$26)*(C2348&lt;='Resultats - informe'!$E$26),0,(C2348&gt;='Resultats - informe'!$D$27)*(C2348&lt;='Resultats - informe'!$E$27),0,(C2348&gt;='Resultats - informe'!$D$28)*(C2348&lt;='Resultats - informe'!$E$28),0,(C2348&gt;='Resultats - informe'!$D$29)*(C2348&lt;='Resultats - informe'!$E$29),0,1,1)</f>
        <v>0</v>
      </c>
      <c r="N2348" s="366">
        <f>+VLOOKUP(D2348,'Resultats - informe'!$Y$18:$AG$42,'Introducció dades consum'!K2348+1,0)</f>
        <v>0</v>
      </c>
      <c r="O2348" s="370" cm="1">
        <f t="array" ref="O2348">+_xlfn.SWITCH(MONTH(C2348),1,1,2,1,3,1,4,2,5,2,6,3,7,3,8,3,9,3,10,2,11,2,12,1,2)</f>
        <v>1</v>
      </c>
      <c r="P2348" s="43"/>
    </row>
    <row r="2349" spans="1:16" ht="18" x14ac:dyDescent="0.35">
      <c r="A2349" s="43"/>
      <c r="C2349" s="393"/>
      <c r="E2349" s="394"/>
      <c r="F2349" s="394">
        <v>0.46500000000000002</v>
      </c>
      <c r="G2349" s="394"/>
      <c r="H2349" s="8" t="s">
        <v>61</v>
      </c>
      <c r="I2349" s="368">
        <f t="shared" si="109"/>
        <v>0</v>
      </c>
      <c r="J2349" s="365">
        <f t="shared" si="108"/>
        <v>0</v>
      </c>
      <c r="K2349" s="369">
        <f t="shared" si="110"/>
        <v>6</v>
      </c>
      <c r="L2349" s="369">
        <f>+IF((C2349&gt;='Resultats - informe'!$E$16)*(C2349&lt;='Resultats - informe'!$G$16),1,0)</f>
        <v>1</v>
      </c>
      <c r="M2349" s="369" cm="1">
        <f t="array" ref="M2349">+_xlfn.IFS((C2349&gt;='Resultats - informe'!$D$26)*(C2349&lt;='Resultats - informe'!$E$26),0,(C2349&gt;='Resultats - informe'!$D$27)*(C2349&lt;='Resultats - informe'!$E$27),0,(C2349&gt;='Resultats - informe'!$D$28)*(C2349&lt;='Resultats - informe'!$E$28),0,(C2349&gt;='Resultats - informe'!$D$29)*(C2349&lt;='Resultats - informe'!$E$29),0,1,1)</f>
        <v>0</v>
      </c>
      <c r="N2349" s="366">
        <f>+VLOOKUP(D2349,'Resultats - informe'!$Y$18:$AG$42,'Introducció dades consum'!K2349+1,0)</f>
        <v>0</v>
      </c>
      <c r="O2349" s="370" cm="1">
        <f t="array" ref="O2349">+_xlfn.SWITCH(MONTH(C2349),1,1,2,1,3,1,4,2,5,2,6,3,7,3,8,3,9,3,10,2,11,2,12,1,2)</f>
        <v>1</v>
      </c>
      <c r="P2349" s="43"/>
    </row>
    <row r="2350" spans="1:16" ht="18" x14ac:dyDescent="0.35">
      <c r="A2350" s="43"/>
      <c r="C2350" s="393"/>
      <c r="E2350" s="394"/>
      <c r="F2350" s="394">
        <v>0.11600000000000001</v>
      </c>
      <c r="G2350" s="394"/>
      <c r="H2350" s="8" t="s">
        <v>61</v>
      </c>
      <c r="I2350" s="368">
        <f t="shared" si="109"/>
        <v>0</v>
      </c>
      <c r="J2350" s="365">
        <f t="shared" si="108"/>
        <v>0</v>
      </c>
      <c r="K2350" s="369">
        <f t="shared" si="110"/>
        <v>6</v>
      </c>
      <c r="L2350" s="369">
        <f>+IF((C2350&gt;='Resultats - informe'!$E$16)*(C2350&lt;='Resultats - informe'!$G$16),1,0)</f>
        <v>1</v>
      </c>
      <c r="M2350" s="369" cm="1">
        <f t="array" ref="M2350">+_xlfn.IFS((C2350&gt;='Resultats - informe'!$D$26)*(C2350&lt;='Resultats - informe'!$E$26),0,(C2350&gt;='Resultats - informe'!$D$27)*(C2350&lt;='Resultats - informe'!$E$27),0,(C2350&gt;='Resultats - informe'!$D$28)*(C2350&lt;='Resultats - informe'!$E$28),0,(C2350&gt;='Resultats - informe'!$D$29)*(C2350&lt;='Resultats - informe'!$E$29),0,1,1)</f>
        <v>0</v>
      </c>
      <c r="N2350" s="366">
        <f>+VLOOKUP(D2350,'Resultats - informe'!$Y$18:$AG$42,'Introducció dades consum'!K2350+1,0)</f>
        <v>0</v>
      </c>
      <c r="O2350" s="370" cm="1">
        <f t="array" ref="O2350">+_xlfn.SWITCH(MONTH(C2350),1,1,2,1,3,1,4,2,5,2,6,3,7,3,8,3,9,3,10,2,11,2,12,1,2)</f>
        <v>1</v>
      </c>
      <c r="P2350" s="43"/>
    </row>
    <row r="2351" spans="1:16" ht="18" x14ac:dyDescent="0.35">
      <c r="A2351" s="43"/>
      <c r="C2351" s="393"/>
      <c r="E2351" s="394"/>
      <c r="F2351" s="394">
        <v>0</v>
      </c>
      <c r="G2351" s="394"/>
      <c r="H2351" s="8" t="s">
        <v>235</v>
      </c>
      <c r="I2351" s="368">
        <f t="shared" si="109"/>
        <v>0</v>
      </c>
      <c r="J2351" s="365">
        <f t="shared" si="108"/>
        <v>0</v>
      </c>
      <c r="K2351" s="369">
        <f t="shared" si="110"/>
        <v>6</v>
      </c>
      <c r="L2351" s="369">
        <f>+IF((C2351&gt;='Resultats - informe'!$E$16)*(C2351&lt;='Resultats - informe'!$G$16),1,0)</f>
        <v>1</v>
      </c>
      <c r="M2351" s="369" cm="1">
        <f t="array" ref="M2351">+_xlfn.IFS((C2351&gt;='Resultats - informe'!$D$26)*(C2351&lt;='Resultats - informe'!$E$26),0,(C2351&gt;='Resultats - informe'!$D$27)*(C2351&lt;='Resultats - informe'!$E$27),0,(C2351&gt;='Resultats - informe'!$D$28)*(C2351&lt;='Resultats - informe'!$E$28),0,(C2351&gt;='Resultats - informe'!$D$29)*(C2351&lt;='Resultats - informe'!$E$29),0,1,1)</f>
        <v>0</v>
      </c>
      <c r="N2351" s="366">
        <f>+VLOOKUP(D2351,'Resultats - informe'!$Y$18:$AG$42,'Introducció dades consum'!K2351+1,0)</f>
        <v>0</v>
      </c>
      <c r="O2351" s="370" cm="1">
        <f t="array" ref="O2351">+_xlfn.SWITCH(MONTH(C2351),1,1,2,1,3,1,4,2,5,2,6,3,7,3,8,3,9,3,10,2,11,2,12,1,2)</f>
        <v>1</v>
      </c>
      <c r="P2351" s="43"/>
    </row>
    <row r="2352" spans="1:16" ht="18" x14ac:dyDescent="0.35">
      <c r="A2352" s="43"/>
      <c r="C2352" s="393"/>
      <c r="E2352" s="394"/>
      <c r="F2352" s="394">
        <v>0</v>
      </c>
      <c r="G2352" s="394"/>
      <c r="H2352" s="8" t="s">
        <v>235</v>
      </c>
      <c r="I2352" s="368">
        <f t="shared" si="109"/>
        <v>0</v>
      </c>
      <c r="J2352" s="365">
        <f t="shared" si="108"/>
        <v>0</v>
      </c>
      <c r="K2352" s="369">
        <f t="shared" si="110"/>
        <v>6</v>
      </c>
      <c r="L2352" s="369">
        <f>+IF((C2352&gt;='Resultats - informe'!$E$16)*(C2352&lt;='Resultats - informe'!$G$16),1,0)</f>
        <v>1</v>
      </c>
      <c r="M2352" s="369" cm="1">
        <f t="array" ref="M2352">+_xlfn.IFS((C2352&gt;='Resultats - informe'!$D$26)*(C2352&lt;='Resultats - informe'!$E$26),0,(C2352&gt;='Resultats - informe'!$D$27)*(C2352&lt;='Resultats - informe'!$E$27),0,(C2352&gt;='Resultats - informe'!$D$28)*(C2352&lt;='Resultats - informe'!$E$28),0,(C2352&gt;='Resultats - informe'!$D$29)*(C2352&lt;='Resultats - informe'!$E$29),0,1,1)</f>
        <v>0</v>
      </c>
      <c r="N2352" s="366">
        <f>+VLOOKUP(D2352,'Resultats - informe'!$Y$18:$AG$42,'Introducció dades consum'!K2352+1,0)</f>
        <v>0</v>
      </c>
      <c r="O2352" s="370" cm="1">
        <f t="array" ref="O2352">+_xlfn.SWITCH(MONTH(C2352),1,1,2,1,3,1,4,2,5,2,6,3,7,3,8,3,9,3,10,2,11,2,12,1,2)</f>
        <v>1</v>
      </c>
      <c r="P2352" s="43"/>
    </row>
    <row r="2353" spans="1:16" ht="18" x14ac:dyDescent="0.35">
      <c r="A2353" s="43"/>
      <c r="C2353" s="393"/>
      <c r="E2353" s="394"/>
      <c r="F2353" s="394">
        <v>0</v>
      </c>
      <c r="G2353" s="394"/>
      <c r="H2353" s="8" t="s">
        <v>61</v>
      </c>
      <c r="I2353" s="368">
        <f t="shared" si="109"/>
        <v>0</v>
      </c>
      <c r="J2353" s="365">
        <f t="shared" si="108"/>
        <v>0</v>
      </c>
      <c r="K2353" s="369">
        <f t="shared" si="110"/>
        <v>6</v>
      </c>
      <c r="L2353" s="369">
        <f>+IF((C2353&gt;='Resultats - informe'!$E$16)*(C2353&lt;='Resultats - informe'!$G$16),1,0)</f>
        <v>1</v>
      </c>
      <c r="M2353" s="369" cm="1">
        <f t="array" ref="M2353">+_xlfn.IFS((C2353&gt;='Resultats - informe'!$D$26)*(C2353&lt;='Resultats - informe'!$E$26),0,(C2353&gt;='Resultats - informe'!$D$27)*(C2353&lt;='Resultats - informe'!$E$27),0,(C2353&gt;='Resultats - informe'!$D$28)*(C2353&lt;='Resultats - informe'!$E$28),0,(C2353&gt;='Resultats - informe'!$D$29)*(C2353&lt;='Resultats - informe'!$E$29),0,1,1)</f>
        <v>0</v>
      </c>
      <c r="N2353" s="366">
        <f>+VLOOKUP(D2353,'Resultats - informe'!$Y$18:$AG$42,'Introducció dades consum'!K2353+1,0)</f>
        <v>0</v>
      </c>
      <c r="O2353" s="370" cm="1">
        <f t="array" ref="O2353">+_xlfn.SWITCH(MONTH(C2353),1,1,2,1,3,1,4,2,5,2,6,3,7,3,8,3,9,3,10,2,11,2,12,1,2)</f>
        <v>1</v>
      </c>
      <c r="P2353" s="43"/>
    </row>
    <row r="2354" spans="1:16" ht="18" x14ac:dyDescent="0.35">
      <c r="A2354" s="43"/>
      <c r="C2354" s="393"/>
      <c r="E2354" s="394"/>
      <c r="F2354" s="394">
        <v>0</v>
      </c>
      <c r="G2354" s="394"/>
      <c r="H2354" s="8" t="s">
        <v>61</v>
      </c>
      <c r="I2354" s="368">
        <f t="shared" si="109"/>
        <v>0</v>
      </c>
      <c r="J2354" s="365">
        <f t="shared" si="108"/>
        <v>0</v>
      </c>
      <c r="K2354" s="369">
        <f t="shared" si="110"/>
        <v>6</v>
      </c>
      <c r="L2354" s="369">
        <f>+IF((C2354&gt;='Resultats - informe'!$E$16)*(C2354&lt;='Resultats - informe'!$G$16),1,0)</f>
        <v>1</v>
      </c>
      <c r="M2354" s="369" cm="1">
        <f t="array" ref="M2354">+_xlfn.IFS((C2354&gt;='Resultats - informe'!$D$26)*(C2354&lt;='Resultats - informe'!$E$26),0,(C2354&gt;='Resultats - informe'!$D$27)*(C2354&lt;='Resultats - informe'!$E$27),0,(C2354&gt;='Resultats - informe'!$D$28)*(C2354&lt;='Resultats - informe'!$E$28),0,(C2354&gt;='Resultats - informe'!$D$29)*(C2354&lt;='Resultats - informe'!$E$29),0,1,1)</f>
        <v>0</v>
      </c>
      <c r="N2354" s="366">
        <f>+VLOOKUP(D2354,'Resultats - informe'!$Y$18:$AG$42,'Introducció dades consum'!K2354+1,0)</f>
        <v>0</v>
      </c>
      <c r="O2354" s="370" cm="1">
        <f t="array" ref="O2354">+_xlfn.SWITCH(MONTH(C2354),1,1,2,1,3,1,4,2,5,2,6,3,7,3,8,3,9,3,10,2,11,2,12,1,2)</f>
        <v>1</v>
      </c>
      <c r="P2354" s="43"/>
    </row>
    <row r="2355" spans="1:16" ht="18" x14ac:dyDescent="0.35">
      <c r="A2355" s="43"/>
      <c r="C2355" s="393"/>
      <c r="E2355" s="394"/>
      <c r="F2355" s="394">
        <v>0</v>
      </c>
      <c r="G2355" s="394"/>
      <c r="H2355" s="8" t="s">
        <v>61</v>
      </c>
      <c r="I2355" s="368">
        <f t="shared" si="109"/>
        <v>0</v>
      </c>
      <c r="J2355" s="365">
        <f t="shared" si="108"/>
        <v>0</v>
      </c>
      <c r="K2355" s="369">
        <f t="shared" si="110"/>
        <v>6</v>
      </c>
      <c r="L2355" s="369">
        <f>+IF((C2355&gt;='Resultats - informe'!$E$16)*(C2355&lt;='Resultats - informe'!$G$16),1,0)</f>
        <v>1</v>
      </c>
      <c r="M2355" s="369" cm="1">
        <f t="array" ref="M2355">+_xlfn.IFS((C2355&gt;='Resultats - informe'!$D$26)*(C2355&lt;='Resultats - informe'!$E$26),0,(C2355&gt;='Resultats - informe'!$D$27)*(C2355&lt;='Resultats - informe'!$E$27),0,(C2355&gt;='Resultats - informe'!$D$28)*(C2355&lt;='Resultats - informe'!$E$28),0,(C2355&gt;='Resultats - informe'!$D$29)*(C2355&lt;='Resultats - informe'!$E$29),0,1,1)</f>
        <v>0</v>
      </c>
      <c r="N2355" s="366">
        <f>+VLOOKUP(D2355,'Resultats - informe'!$Y$18:$AG$42,'Introducció dades consum'!K2355+1,0)</f>
        <v>0</v>
      </c>
      <c r="O2355" s="370" cm="1">
        <f t="array" ref="O2355">+_xlfn.SWITCH(MONTH(C2355),1,1,2,1,3,1,4,2,5,2,6,3,7,3,8,3,9,3,10,2,11,2,12,1,2)</f>
        <v>1</v>
      </c>
      <c r="P2355" s="43"/>
    </row>
    <row r="2356" spans="1:16" ht="18" x14ac:dyDescent="0.35">
      <c r="A2356" s="43"/>
      <c r="C2356" s="393"/>
      <c r="E2356" s="394"/>
      <c r="F2356" s="394">
        <v>0</v>
      </c>
      <c r="G2356" s="394"/>
      <c r="H2356" s="8" t="s">
        <v>61</v>
      </c>
      <c r="I2356" s="368">
        <f t="shared" si="109"/>
        <v>0</v>
      </c>
      <c r="J2356" s="365">
        <f t="shared" si="108"/>
        <v>0</v>
      </c>
      <c r="K2356" s="369">
        <f t="shared" si="110"/>
        <v>6</v>
      </c>
      <c r="L2356" s="369">
        <f>+IF((C2356&gt;='Resultats - informe'!$E$16)*(C2356&lt;='Resultats - informe'!$G$16),1,0)</f>
        <v>1</v>
      </c>
      <c r="M2356" s="369" cm="1">
        <f t="array" ref="M2356">+_xlfn.IFS((C2356&gt;='Resultats - informe'!$D$26)*(C2356&lt;='Resultats - informe'!$E$26),0,(C2356&gt;='Resultats - informe'!$D$27)*(C2356&lt;='Resultats - informe'!$E$27),0,(C2356&gt;='Resultats - informe'!$D$28)*(C2356&lt;='Resultats - informe'!$E$28),0,(C2356&gt;='Resultats - informe'!$D$29)*(C2356&lt;='Resultats - informe'!$E$29),0,1,1)</f>
        <v>0</v>
      </c>
      <c r="N2356" s="366">
        <f>+VLOOKUP(D2356,'Resultats - informe'!$Y$18:$AG$42,'Introducció dades consum'!K2356+1,0)</f>
        <v>0</v>
      </c>
      <c r="O2356" s="370" cm="1">
        <f t="array" ref="O2356">+_xlfn.SWITCH(MONTH(C2356),1,1,2,1,3,1,4,2,5,2,6,3,7,3,8,3,9,3,10,2,11,2,12,1,2)</f>
        <v>1</v>
      </c>
      <c r="P2356" s="43"/>
    </row>
    <row r="2357" spans="1:16" ht="18" x14ac:dyDescent="0.35">
      <c r="A2357" s="43"/>
      <c r="C2357" s="393"/>
      <c r="E2357" s="394"/>
      <c r="F2357" s="394">
        <v>0</v>
      </c>
      <c r="G2357" s="394"/>
      <c r="H2357" s="8" t="s">
        <v>61</v>
      </c>
      <c r="I2357" s="368">
        <f t="shared" si="109"/>
        <v>0</v>
      </c>
      <c r="J2357" s="365">
        <f t="shared" si="108"/>
        <v>0</v>
      </c>
      <c r="K2357" s="369">
        <f t="shared" si="110"/>
        <v>6</v>
      </c>
      <c r="L2357" s="369">
        <f>+IF((C2357&gt;='Resultats - informe'!$E$16)*(C2357&lt;='Resultats - informe'!$G$16),1,0)</f>
        <v>1</v>
      </c>
      <c r="M2357" s="369" cm="1">
        <f t="array" ref="M2357">+_xlfn.IFS((C2357&gt;='Resultats - informe'!$D$26)*(C2357&lt;='Resultats - informe'!$E$26),0,(C2357&gt;='Resultats - informe'!$D$27)*(C2357&lt;='Resultats - informe'!$E$27),0,(C2357&gt;='Resultats - informe'!$D$28)*(C2357&lt;='Resultats - informe'!$E$28),0,(C2357&gt;='Resultats - informe'!$D$29)*(C2357&lt;='Resultats - informe'!$E$29),0,1,1)</f>
        <v>0</v>
      </c>
      <c r="N2357" s="366">
        <f>+VLOOKUP(D2357,'Resultats - informe'!$Y$18:$AG$42,'Introducció dades consum'!K2357+1,0)</f>
        <v>0</v>
      </c>
      <c r="O2357" s="370" cm="1">
        <f t="array" ref="O2357">+_xlfn.SWITCH(MONTH(C2357),1,1,2,1,3,1,4,2,5,2,6,3,7,3,8,3,9,3,10,2,11,2,12,1,2)</f>
        <v>1</v>
      </c>
      <c r="P2357" s="43"/>
    </row>
    <row r="2358" spans="1:16" ht="18" x14ac:dyDescent="0.35">
      <c r="A2358" s="43"/>
      <c r="C2358" s="393"/>
      <c r="E2358" s="394"/>
      <c r="F2358" s="394">
        <v>0</v>
      </c>
      <c r="G2358" s="394"/>
      <c r="H2358" s="8" t="s">
        <v>61</v>
      </c>
      <c r="I2358" s="368">
        <f t="shared" si="109"/>
        <v>0</v>
      </c>
      <c r="J2358" s="365">
        <f t="shared" si="108"/>
        <v>0</v>
      </c>
      <c r="K2358" s="369">
        <f t="shared" si="110"/>
        <v>6</v>
      </c>
      <c r="L2358" s="369">
        <f>+IF((C2358&gt;='Resultats - informe'!$E$16)*(C2358&lt;='Resultats - informe'!$G$16),1,0)</f>
        <v>1</v>
      </c>
      <c r="M2358" s="369" cm="1">
        <f t="array" ref="M2358">+_xlfn.IFS((C2358&gt;='Resultats - informe'!$D$26)*(C2358&lt;='Resultats - informe'!$E$26),0,(C2358&gt;='Resultats - informe'!$D$27)*(C2358&lt;='Resultats - informe'!$E$27),0,(C2358&gt;='Resultats - informe'!$D$28)*(C2358&lt;='Resultats - informe'!$E$28),0,(C2358&gt;='Resultats - informe'!$D$29)*(C2358&lt;='Resultats - informe'!$E$29),0,1,1)</f>
        <v>0</v>
      </c>
      <c r="N2358" s="366">
        <f>+VLOOKUP(D2358,'Resultats - informe'!$Y$18:$AG$42,'Introducció dades consum'!K2358+1,0)</f>
        <v>0</v>
      </c>
      <c r="O2358" s="370" cm="1">
        <f t="array" ref="O2358">+_xlfn.SWITCH(MONTH(C2358),1,1,2,1,3,1,4,2,5,2,6,3,7,3,8,3,9,3,10,2,11,2,12,1,2)</f>
        <v>1</v>
      </c>
      <c r="P2358" s="43"/>
    </row>
    <row r="2359" spans="1:16" ht="18" x14ac:dyDescent="0.35">
      <c r="A2359" s="43"/>
      <c r="C2359" s="393"/>
      <c r="E2359" s="394"/>
      <c r="F2359" s="394">
        <v>0</v>
      </c>
      <c r="G2359" s="394"/>
      <c r="H2359" s="8" t="s">
        <v>235</v>
      </c>
      <c r="I2359" s="368">
        <f t="shared" si="109"/>
        <v>0</v>
      </c>
      <c r="J2359" s="365">
        <f t="shared" si="108"/>
        <v>0</v>
      </c>
      <c r="K2359" s="369">
        <f t="shared" si="110"/>
        <v>6</v>
      </c>
      <c r="L2359" s="369">
        <f>+IF((C2359&gt;='Resultats - informe'!$E$16)*(C2359&lt;='Resultats - informe'!$G$16),1,0)</f>
        <v>1</v>
      </c>
      <c r="M2359" s="369" cm="1">
        <f t="array" ref="M2359">+_xlfn.IFS((C2359&gt;='Resultats - informe'!$D$26)*(C2359&lt;='Resultats - informe'!$E$26),0,(C2359&gt;='Resultats - informe'!$D$27)*(C2359&lt;='Resultats - informe'!$E$27),0,(C2359&gt;='Resultats - informe'!$D$28)*(C2359&lt;='Resultats - informe'!$E$28),0,(C2359&gt;='Resultats - informe'!$D$29)*(C2359&lt;='Resultats - informe'!$E$29),0,1,1)</f>
        <v>0</v>
      </c>
      <c r="N2359" s="366">
        <f>+VLOOKUP(D2359,'Resultats - informe'!$Y$18:$AG$42,'Introducció dades consum'!K2359+1,0)</f>
        <v>0</v>
      </c>
      <c r="O2359" s="370" cm="1">
        <f t="array" ref="O2359">+_xlfn.SWITCH(MONTH(C2359),1,1,2,1,3,1,4,2,5,2,6,3,7,3,8,3,9,3,10,2,11,2,12,1,2)</f>
        <v>1</v>
      </c>
      <c r="P2359" s="43"/>
    </row>
    <row r="2360" spans="1:16" ht="18" x14ac:dyDescent="0.35">
      <c r="A2360" s="43"/>
      <c r="C2360" s="393"/>
      <c r="E2360" s="394"/>
      <c r="F2360" s="394">
        <v>0</v>
      </c>
      <c r="G2360" s="394"/>
      <c r="H2360" s="8" t="s">
        <v>235</v>
      </c>
      <c r="I2360" s="368">
        <f t="shared" si="109"/>
        <v>0</v>
      </c>
      <c r="J2360" s="365">
        <f t="shared" si="108"/>
        <v>0</v>
      </c>
      <c r="K2360" s="369">
        <f t="shared" si="110"/>
        <v>6</v>
      </c>
      <c r="L2360" s="369">
        <f>+IF((C2360&gt;='Resultats - informe'!$E$16)*(C2360&lt;='Resultats - informe'!$G$16),1,0)</f>
        <v>1</v>
      </c>
      <c r="M2360" s="369" cm="1">
        <f t="array" ref="M2360">+_xlfn.IFS((C2360&gt;='Resultats - informe'!$D$26)*(C2360&lt;='Resultats - informe'!$E$26),0,(C2360&gt;='Resultats - informe'!$D$27)*(C2360&lt;='Resultats - informe'!$E$27),0,(C2360&gt;='Resultats - informe'!$D$28)*(C2360&lt;='Resultats - informe'!$E$28),0,(C2360&gt;='Resultats - informe'!$D$29)*(C2360&lt;='Resultats - informe'!$E$29),0,1,1)</f>
        <v>0</v>
      </c>
      <c r="N2360" s="366">
        <f>+VLOOKUP(D2360,'Resultats - informe'!$Y$18:$AG$42,'Introducció dades consum'!K2360+1,0)</f>
        <v>0</v>
      </c>
      <c r="O2360" s="370" cm="1">
        <f t="array" ref="O2360">+_xlfn.SWITCH(MONTH(C2360),1,1,2,1,3,1,4,2,5,2,6,3,7,3,8,3,9,3,10,2,11,2,12,1,2)</f>
        <v>1</v>
      </c>
      <c r="P2360" s="43"/>
    </row>
    <row r="2361" spans="1:16" ht="18" x14ac:dyDescent="0.35">
      <c r="A2361" s="43"/>
      <c r="C2361" s="393"/>
      <c r="E2361" s="394"/>
      <c r="F2361" s="394">
        <v>0</v>
      </c>
      <c r="G2361" s="394"/>
      <c r="H2361" s="8" t="s">
        <v>235</v>
      </c>
      <c r="I2361" s="368">
        <f t="shared" si="109"/>
        <v>0</v>
      </c>
      <c r="J2361" s="365">
        <f t="shared" si="108"/>
        <v>0</v>
      </c>
      <c r="K2361" s="369">
        <f t="shared" si="110"/>
        <v>6</v>
      </c>
      <c r="L2361" s="369">
        <f>+IF((C2361&gt;='Resultats - informe'!$E$16)*(C2361&lt;='Resultats - informe'!$G$16),1,0)</f>
        <v>1</v>
      </c>
      <c r="M2361" s="369" cm="1">
        <f t="array" ref="M2361">+_xlfn.IFS((C2361&gt;='Resultats - informe'!$D$26)*(C2361&lt;='Resultats - informe'!$E$26),0,(C2361&gt;='Resultats - informe'!$D$27)*(C2361&lt;='Resultats - informe'!$E$27),0,(C2361&gt;='Resultats - informe'!$D$28)*(C2361&lt;='Resultats - informe'!$E$28),0,(C2361&gt;='Resultats - informe'!$D$29)*(C2361&lt;='Resultats - informe'!$E$29),0,1,1)</f>
        <v>0</v>
      </c>
      <c r="N2361" s="366">
        <f>+VLOOKUP(D2361,'Resultats - informe'!$Y$18:$AG$42,'Introducció dades consum'!K2361+1,0)</f>
        <v>0</v>
      </c>
      <c r="O2361" s="370" cm="1">
        <f t="array" ref="O2361">+_xlfn.SWITCH(MONTH(C2361),1,1,2,1,3,1,4,2,5,2,6,3,7,3,8,3,9,3,10,2,11,2,12,1,2)</f>
        <v>1</v>
      </c>
      <c r="P2361" s="43"/>
    </row>
    <row r="2362" spans="1:16" ht="18" x14ac:dyDescent="0.35">
      <c r="A2362" s="43"/>
      <c r="C2362" s="393"/>
      <c r="E2362" s="394"/>
      <c r="F2362" s="394">
        <v>0.66300000000000003</v>
      </c>
      <c r="G2362" s="394"/>
      <c r="H2362" s="8" t="s">
        <v>235</v>
      </c>
      <c r="I2362" s="368">
        <f t="shared" si="109"/>
        <v>0</v>
      </c>
      <c r="J2362" s="365">
        <f t="shared" si="108"/>
        <v>0</v>
      </c>
      <c r="K2362" s="369">
        <f t="shared" si="110"/>
        <v>6</v>
      </c>
      <c r="L2362" s="369">
        <f>+IF((C2362&gt;='Resultats - informe'!$E$16)*(C2362&lt;='Resultats - informe'!$G$16),1,0)</f>
        <v>1</v>
      </c>
      <c r="M2362" s="369" cm="1">
        <f t="array" ref="M2362">+_xlfn.IFS((C2362&gt;='Resultats - informe'!$D$26)*(C2362&lt;='Resultats - informe'!$E$26),0,(C2362&gt;='Resultats - informe'!$D$27)*(C2362&lt;='Resultats - informe'!$E$27),0,(C2362&gt;='Resultats - informe'!$D$28)*(C2362&lt;='Resultats - informe'!$E$28),0,(C2362&gt;='Resultats - informe'!$D$29)*(C2362&lt;='Resultats - informe'!$E$29),0,1,1)</f>
        <v>0</v>
      </c>
      <c r="N2362" s="366">
        <f>+VLOOKUP(D2362,'Resultats - informe'!$Y$18:$AG$42,'Introducció dades consum'!K2362+1,0)</f>
        <v>0</v>
      </c>
      <c r="O2362" s="370" cm="1">
        <f t="array" ref="O2362">+_xlfn.SWITCH(MONTH(C2362),1,1,2,1,3,1,4,2,5,2,6,3,7,3,8,3,9,3,10,2,11,2,12,1,2)</f>
        <v>1</v>
      </c>
      <c r="P2362" s="43"/>
    </row>
    <row r="2363" spans="1:16" ht="18" x14ac:dyDescent="0.35">
      <c r="A2363" s="43"/>
      <c r="C2363" s="393"/>
      <c r="E2363" s="394"/>
      <c r="F2363" s="394">
        <v>1.5620000000000001</v>
      </c>
      <c r="G2363" s="394"/>
      <c r="H2363" s="8" t="s">
        <v>235</v>
      </c>
      <c r="I2363" s="368">
        <f t="shared" si="109"/>
        <v>0</v>
      </c>
      <c r="J2363" s="365">
        <f t="shared" ref="J2363:J2426" si="111">+C2363</f>
        <v>0</v>
      </c>
      <c r="K2363" s="369">
        <f t="shared" si="110"/>
        <v>6</v>
      </c>
      <c r="L2363" s="369">
        <f>+IF((C2363&gt;='Resultats - informe'!$E$16)*(C2363&lt;='Resultats - informe'!$G$16),1,0)</f>
        <v>1</v>
      </c>
      <c r="M2363" s="369" cm="1">
        <f t="array" ref="M2363">+_xlfn.IFS((C2363&gt;='Resultats - informe'!$D$26)*(C2363&lt;='Resultats - informe'!$E$26),0,(C2363&gt;='Resultats - informe'!$D$27)*(C2363&lt;='Resultats - informe'!$E$27),0,(C2363&gt;='Resultats - informe'!$D$28)*(C2363&lt;='Resultats - informe'!$E$28),0,(C2363&gt;='Resultats - informe'!$D$29)*(C2363&lt;='Resultats - informe'!$E$29),0,1,1)</f>
        <v>0</v>
      </c>
      <c r="N2363" s="366">
        <f>+VLOOKUP(D2363,'Resultats - informe'!$Y$18:$AG$42,'Introducció dades consum'!K2363+1,0)</f>
        <v>0</v>
      </c>
      <c r="O2363" s="370" cm="1">
        <f t="array" ref="O2363">+_xlfn.SWITCH(MONTH(C2363),1,1,2,1,3,1,4,2,5,2,6,3,7,3,8,3,9,3,10,2,11,2,12,1,2)</f>
        <v>1</v>
      </c>
      <c r="P2363" s="43"/>
    </row>
    <row r="2364" spans="1:16" ht="18" x14ac:dyDescent="0.35">
      <c r="A2364" s="43"/>
      <c r="C2364" s="393"/>
      <c r="E2364" s="394"/>
      <c r="F2364" s="394">
        <v>0</v>
      </c>
      <c r="G2364" s="394"/>
      <c r="H2364" s="8" t="s">
        <v>61</v>
      </c>
      <c r="I2364" s="368">
        <f t="shared" si="109"/>
        <v>0</v>
      </c>
      <c r="J2364" s="365">
        <f t="shared" si="111"/>
        <v>0</v>
      </c>
      <c r="K2364" s="369">
        <f t="shared" si="110"/>
        <v>6</v>
      </c>
      <c r="L2364" s="369">
        <f>+IF((C2364&gt;='Resultats - informe'!$E$16)*(C2364&lt;='Resultats - informe'!$G$16),1,0)</f>
        <v>1</v>
      </c>
      <c r="M2364" s="369" cm="1">
        <f t="array" ref="M2364">+_xlfn.IFS((C2364&gt;='Resultats - informe'!$D$26)*(C2364&lt;='Resultats - informe'!$E$26),0,(C2364&gt;='Resultats - informe'!$D$27)*(C2364&lt;='Resultats - informe'!$E$27),0,(C2364&gt;='Resultats - informe'!$D$28)*(C2364&lt;='Resultats - informe'!$E$28),0,(C2364&gt;='Resultats - informe'!$D$29)*(C2364&lt;='Resultats - informe'!$E$29),0,1,1)</f>
        <v>0</v>
      </c>
      <c r="N2364" s="366">
        <f>+VLOOKUP(D2364,'Resultats - informe'!$Y$18:$AG$42,'Introducció dades consum'!K2364+1,0)</f>
        <v>0</v>
      </c>
      <c r="O2364" s="370" cm="1">
        <f t="array" ref="O2364">+_xlfn.SWITCH(MONTH(C2364),1,1,2,1,3,1,4,2,5,2,6,3,7,3,8,3,9,3,10,2,11,2,12,1,2)</f>
        <v>1</v>
      </c>
      <c r="P2364" s="43"/>
    </row>
    <row r="2365" spans="1:16" ht="18" x14ac:dyDescent="0.35">
      <c r="A2365" s="43"/>
      <c r="C2365" s="393"/>
      <c r="E2365" s="394"/>
      <c r="F2365" s="394">
        <v>0</v>
      </c>
      <c r="G2365" s="394"/>
      <c r="H2365" s="8" t="s">
        <v>61</v>
      </c>
      <c r="I2365" s="368">
        <f t="shared" si="109"/>
        <v>0</v>
      </c>
      <c r="J2365" s="365">
        <f t="shared" si="111"/>
        <v>0</v>
      </c>
      <c r="K2365" s="369">
        <f t="shared" si="110"/>
        <v>6</v>
      </c>
      <c r="L2365" s="369">
        <f>+IF((C2365&gt;='Resultats - informe'!$E$16)*(C2365&lt;='Resultats - informe'!$G$16),1,0)</f>
        <v>1</v>
      </c>
      <c r="M2365" s="369" cm="1">
        <f t="array" ref="M2365">+_xlfn.IFS((C2365&gt;='Resultats - informe'!$D$26)*(C2365&lt;='Resultats - informe'!$E$26),0,(C2365&gt;='Resultats - informe'!$D$27)*(C2365&lt;='Resultats - informe'!$E$27),0,(C2365&gt;='Resultats - informe'!$D$28)*(C2365&lt;='Resultats - informe'!$E$28),0,(C2365&gt;='Resultats - informe'!$D$29)*(C2365&lt;='Resultats - informe'!$E$29),0,1,1)</f>
        <v>0</v>
      </c>
      <c r="N2365" s="366">
        <f>+VLOOKUP(D2365,'Resultats - informe'!$Y$18:$AG$42,'Introducció dades consum'!K2365+1,0)</f>
        <v>0</v>
      </c>
      <c r="O2365" s="370" cm="1">
        <f t="array" ref="O2365">+_xlfn.SWITCH(MONTH(C2365),1,1,2,1,3,1,4,2,5,2,6,3,7,3,8,3,9,3,10,2,11,2,12,1,2)</f>
        <v>1</v>
      </c>
      <c r="P2365" s="43"/>
    </row>
    <row r="2366" spans="1:16" ht="18" x14ac:dyDescent="0.35">
      <c r="A2366" s="43"/>
      <c r="C2366" s="393"/>
      <c r="E2366" s="394"/>
      <c r="F2366" s="394">
        <v>1.2669999999999999</v>
      </c>
      <c r="G2366" s="394"/>
      <c r="H2366" s="8" t="s">
        <v>61</v>
      </c>
      <c r="I2366" s="368">
        <f t="shared" si="109"/>
        <v>0</v>
      </c>
      <c r="J2366" s="365">
        <f t="shared" si="111"/>
        <v>0</v>
      </c>
      <c r="K2366" s="369">
        <f t="shared" si="110"/>
        <v>6</v>
      </c>
      <c r="L2366" s="369">
        <f>+IF((C2366&gt;='Resultats - informe'!$E$16)*(C2366&lt;='Resultats - informe'!$G$16),1,0)</f>
        <v>1</v>
      </c>
      <c r="M2366" s="369" cm="1">
        <f t="array" ref="M2366">+_xlfn.IFS((C2366&gt;='Resultats - informe'!$D$26)*(C2366&lt;='Resultats - informe'!$E$26),0,(C2366&gt;='Resultats - informe'!$D$27)*(C2366&lt;='Resultats - informe'!$E$27),0,(C2366&gt;='Resultats - informe'!$D$28)*(C2366&lt;='Resultats - informe'!$E$28),0,(C2366&gt;='Resultats - informe'!$D$29)*(C2366&lt;='Resultats - informe'!$E$29),0,1,1)</f>
        <v>0</v>
      </c>
      <c r="N2366" s="366">
        <f>+VLOOKUP(D2366,'Resultats - informe'!$Y$18:$AG$42,'Introducció dades consum'!K2366+1,0)</f>
        <v>0</v>
      </c>
      <c r="O2366" s="370" cm="1">
        <f t="array" ref="O2366">+_xlfn.SWITCH(MONTH(C2366),1,1,2,1,3,1,4,2,5,2,6,3,7,3,8,3,9,3,10,2,11,2,12,1,2)</f>
        <v>1</v>
      </c>
      <c r="P2366" s="43"/>
    </row>
    <row r="2367" spans="1:16" ht="18" x14ac:dyDescent="0.35">
      <c r="A2367" s="43"/>
      <c r="C2367" s="393"/>
      <c r="E2367" s="394"/>
      <c r="F2367" s="394">
        <v>3.1259999999999999</v>
      </c>
      <c r="G2367" s="394"/>
      <c r="H2367" s="8" t="s">
        <v>61</v>
      </c>
      <c r="I2367" s="368">
        <f t="shared" si="109"/>
        <v>0</v>
      </c>
      <c r="J2367" s="365">
        <f t="shared" si="111"/>
        <v>0</v>
      </c>
      <c r="K2367" s="369">
        <f t="shared" si="110"/>
        <v>6</v>
      </c>
      <c r="L2367" s="369">
        <f>+IF((C2367&gt;='Resultats - informe'!$E$16)*(C2367&lt;='Resultats - informe'!$G$16),1,0)</f>
        <v>1</v>
      </c>
      <c r="M2367" s="369" cm="1">
        <f t="array" ref="M2367">+_xlfn.IFS((C2367&gt;='Resultats - informe'!$D$26)*(C2367&lt;='Resultats - informe'!$E$26),0,(C2367&gt;='Resultats - informe'!$D$27)*(C2367&lt;='Resultats - informe'!$E$27),0,(C2367&gt;='Resultats - informe'!$D$28)*(C2367&lt;='Resultats - informe'!$E$28),0,(C2367&gt;='Resultats - informe'!$D$29)*(C2367&lt;='Resultats - informe'!$E$29),0,1,1)</f>
        <v>0</v>
      </c>
      <c r="N2367" s="366">
        <f>+VLOOKUP(D2367,'Resultats - informe'!$Y$18:$AG$42,'Introducció dades consum'!K2367+1,0)</f>
        <v>0</v>
      </c>
      <c r="O2367" s="370" cm="1">
        <f t="array" ref="O2367">+_xlfn.SWITCH(MONTH(C2367),1,1,2,1,3,1,4,2,5,2,6,3,7,3,8,3,9,3,10,2,11,2,12,1,2)</f>
        <v>1</v>
      </c>
      <c r="P2367" s="43"/>
    </row>
    <row r="2368" spans="1:16" ht="18" x14ac:dyDescent="0.35">
      <c r="A2368" s="43"/>
      <c r="C2368" s="393"/>
      <c r="E2368" s="394"/>
      <c r="F2368" s="394">
        <v>3.4449999999999998</v>
      </c>
      <c r="G2368" s="394"/>
      <c r="H2368" s="8" t="s">
        <v>61</v>
      </c>
      <c r="I2368" s="368">
        <f t="shared" si="109"/>
        <v>0</v>
      </c>
      <c r="J2368" s="365">
        <f t="shared" si="111"/>
        <v>0</v>
      </c>
      <c r="K2368" s="369">
        <f t="shared" si="110"/>
        <v>6</v>
      </c>
      <c r="L2368" s="369">
        <f>+IF((C2368&gt;='Resultats - informe'!$E$16)*(C2368&lt;='Resultats - informe'!$G$16),1,0)</f>
        <v>1</v>
      </c>
      <c r="M2368" s="369" cm="1">
        <f t="array" ref="M2368">+_xlfn.IFS((C2368&gt;='Resultats - informe'!$D$26)*(C2368&lt;='Resultats - informe'!$E$26),0,(C2368&gt;='Resultats - informe'!$D$27)*(C2368&lt;='Resultats - informe'!$E$27),0,(C2368&gt;='Resultats - informe'!$D$28)*(C2368&lt;='Resultats - informe'!$E$28),0,(C2368&gt;='Resultats - informe'!$D$29)*(C2368&lt;='Resultats - informe'!$E$29),0,1,1)</f>
        <v>0</v>
      </c>
      <c r="N2368" s="366">
        <f>+VLOOKUP(D2368,'Resultats - informe'!$Y$18:$AG$42,'Introducció dades consum'!K2368+1,0)</f>
        <v>0</v>
      </c>
      <c r="O2368" s="370" cm="1">
        <f t="array" ref="O2368">+_xlfn.SWITCH(MONTH(C2368),1,1,2,1,3,1,4,2,5,2,6,3,7,3,8,3,9,3,10,2,11,2,12,1,2)</f>
        <v>1</v>
      </c>
      <c r="P2368" s="43"/>
    </row>
    <row r="2369" spans="1:16" ht="18" x14ac:dyDescent="0.35">
      <c r="A2369" s="43"/>
      <c r="C2369" s="393"/>
      <c r="E2369" s="394"/>
      <c r="F2369" s="394">
        <v>1.5409999999999999</v>
      </c>
      <c r="G2369" s="394"/>
      <c r="H2369" s="8" t="s">
        <v>61</v>
      </c>
      <c r="I2369" s="368">
        <f t="shared" si="109"/>
        <v>0</v>
      </c>
      <c r="J2369" s="365">
        <f t="shared" si="111"/>
        <v>0</v>
      </c>
      <c r="K2369" s="369">
        <f t="shared" si="110"/>
        <v>6</v>
      </c>
      <c r="L2369" s="369">
        <f>+IF((C2369&gt;='Resultats - informe'!$E$16)*(C2369&lt;='Resultats - informe'!$G$16),1,0)</f>
        <v>1</v>
      </c>
      <c r="M2369" s="369" cm="1">
        <f t="array" ref="M2369">+_xlfn.IFS((C2369&gt;='Resultats - informe'!$D$26)*(C2369&lt;='Resultats - informe'!$E$26),0,(C2369&gt;='Resultats - informe'!$D$27)*(C2369&lt;='Resultats - informe'!$E$27),0,(C2369&gt;='Resultats - informe'!$D$28)*(C2369&lt;='Resultats - informe'!$E$28),0,(C2369&gt;='Resultats - informe'!$D$29)*(C2369&lt;='Resultats - informe'!$E$29),0,1,1)</f>
        <v>0</v>
      </c>
      <c r="N2369" s="366">
        <f>+VLOOKUP(D2369,'Resultats - informe'!$Y$18:$AG$42,'Introducció dades consum'!K2369+1,0)</f>
        <v>0</v>
      </c>
      <c r="O2369" s="370" cm="1">
        <f t="array" ref="O2369">+_xlfn.SWITCH(MONTH(C2369),1,1,2,1,3,1,4,2,5,2,6,3,7,3,8,3,9,3,10,2,11,2,12,1,2)</f>
        <v>1</v>
      </c>
      <c r="P2369" s="43"/>
    </row>
    <row r="2370" spans="1:16" ht="18" x14ac:dyDescent="0.35">
      <c r="A2370" s="43"/>
      <c r="C2370" s="393"/>
      <c r="E2370" s="394"/>
      <c r="F2370" s="394">
        <v>3.9550000000000001</v>
      </c>
      <c r="G2370" s="394"/>
      <c r="H2370" s="8" t="s">
        <v>61</v>
      </c>
      <c r="I2370" s="368">
        <f t="shared" si="109"/>
        <v>0</v>
      </c>
      <c r="J2370" s="365">
        <f t="shared" si="111"/>
        <v>0</v>
      </c>
      <c r="K2370" s="369">
        <f t="shared" si="110"/>
        <v>6</v>
      </c>
      <c r="L2370" s="369">
        <f>+IF((C2370&gt;='Resultats - informe'!$E$16)*(C2370&lt;='Resultats - informe'!$G$16),1,0)</f>
        <v>1</v>
      </c>
      <c r="M2370" s="369" cm="1">
        <f t="array" ref="M2370">+_xlfn.IFS((C2370&gt;='Resultats - informe'!$D$26)*(C2370&lt;='Resultats - informe'!$E$26),0,(C2370&gt;='Resultats - informe'!$D$27)*(C2370&lt;='Resultats - informe'!$E$27),0,(C2370&gt;='Resultats - informe'!$D$28)*(C2370&lt;='Resultats - informe'!$E$28),0,(C2370&gt;='Resultats - informe'!$D$29)*(C2370&lt;='Resultats - informe'!$E$29),0,1,1)</f>
        <v>0</v>
      </c>
      <c r="N2370" s="366">
        <f>+VLOOKUP(D2370,'Resultats - informe'!$Y$18:$AG$42,'Introducció dades consum'!K2370+1,0)</f>
        <v>0</v>
      </c>
      <c r="O2370" s="370" cm="1">
        <f t="array" ref="O2370">+_xlfn.SWITCH(MONTH(C2370),1,1,2,1,3,1,4,2,5,2,6,3,7,3,8,3,9,3,10,2,11,2,12,1,2)</f>
        <v>1</v>
      </c>
      <c r="P2370" s="43"/>
    </row>
    <row r="2371" spans="1:16" ht="18" x14ac:dyDescent="0.35">
      <c r="A2371" s="43"/>
      <c r="C2371" s="393"/>
      <c r="E2371" s="394"/>
      <c r="F2371" s="394">
        <v>2.0419999999999998</v>
      </c>
      <c r="G2371" s="394"/>
      <c r="H2371" s="8" t="s">
        <v>61</v>
      </c>
      <c r="I2371" s="368">
        <f t="shared" si="109"/>
        <v>0</v>
      </c>
      <c r="J2371" s="365">
        <f t="shared" si="111"/>
        <v>0</v>
      </c>
      <c r="K2371" s="369">
        <f t="shared" si="110"/>
        <v>6</v>
      </c>
      <c r="L2371" s="369">
        <f>+IF((C2371&gt;='Resultats - informe'!$E$16)*(C2371&lt;='Resultats - informe'!$G$16),1,0)</f>
        <v>1</v>
      </c>
      <c r="M2371" s="369" cm="1">
        <f t="array" ref="M2371">+_xlfn.IFS((C2371&gt;='Resultats - informe'!$D$26)*(C2371&lt;='Resultats - informe'!$E$26),0,(C2371&gt;='Resultats - informe'!$D$27)*(C2371&lt;='Resultats - informe'!$E$27),0,(C2371&gt;='Resultats - informe'!$D$28)*(C2371&lt;='Resultats - informe'!$E$28),0,(C2371&gt;='Resultats - informe'!$D$29)*(C2371&lt;='Resultats - informe'!$E$29),0,1,1)</f>
        <v>0</v>
      </c>
      <c r="N2371" s="366">
        <f>+VLOOKUP(D2371,'Resultats - informe'!$Y$18:$AG$42,'Introducció dades consum'!K2371+1,0)</f>
        <v>0</v>
      </c>
      <c r="O2371" s="370" cm="1">
        <f t="array" ref="O2371">+_xlfn.SWITCH(MONTH(C2371),1,1,2,1,3,1,4,2,5,2,6,3,7,3,8,3,9,3,10,2,11,2,12,1,2)</f>
        <v>1</v>
      </c>
      <c r="P2371" s="43"/>
    </row>
    <row r="2372" spans="1:16" ht="18" x14ac:dyDescent="0.35">
      <c r="A2372" s="43"/>
      <c r="C2372" s="393"/>
      <c r="E2372" s="394"/>
      <c r="F2372" s="394">
        <v>2.012</v>
      </c>
      <c r="G2372" s="394"/>
      <c r="H2372" s="8" t="s">
        <v>61</v>
      </c>
      <c r="I2372" s="368">
        <f t="shared" si="109"/>
        <v>0</v>
      </c>
      <c r="J2372" s="365">
        <f t="shared" si="111"/>
        <v>0</v>
      </c>
      <c r="K2372" s="369">
        <f t="shared" si="110"/>
        <v>6</v>
      </c>
      <c r="L2372" s="369">
        <f>+IF((C2372&gt;='Resultats - informe'!$E$16)*(C2372&lt;='Resultats - informe'!$G$16),1,0)</f>
        <v>1</v>
      </c>
      <c r="M2372" s="369" cm="1">
        <f t="array" ref="M2372">+_xlfn.IFS((C2372&gt;='Resultats - informe'!$D$26)*(C2372&lt;='Resultats - informe'!$E$26),0,(C2372&gt;='Resultats - informe'!$D$27)*(C2372&lt;='Resultats - informe'!$E$27),0,(C2372&gt;='Resultats - informe'!$D$28)*(C2372&lt;='Resultats - informe'!$E$28),0,(C2372&gt;='Resultats - informe'!$D$29)*(C2372&lt;='Resultats - informe'!$E$29),0,1,1)</f>
        <v>0</v>
      </c>
      <c r="N2372" s="366">
        <f>+VLOOKUP(D2372,'Resultats - informe'!$Y$18:$AG$42,'Introducció dades consum'!K2372+1,0)</f>
        <v>0</v>
      </c>
      <c r="O2372" s="370" cm="1">
        <f t="array" ref="O2372">+_xlfn.SWITCH(MONTH(C2372),1,1,2,1,3,1,4,2,5,2,6,3,7,3,8,3,9,3,10,2,11,2,12,1,2)</f>
        <v>1</v>
      </c>
      <c r="P2372" s="43"/>
    </row>
    <row r="2373" spans="1:16" ht="18" x14ac:dyDescent="0.35">
      <c r="A2373" s="43"/>
      <c r="C2373" s="393"/>
      <c r="E2373" s="394"/>
      <c r="F2373" s="394">
        <v>0</v>
      </c>
      <c r="G2373" s="394"/>
      <c r="H2373" s="8" t="s">
        <v>235</v>
      </c>
      <c r="I2373" s="368">
        <f t="shared" si="109"/>
        <v>0</v>
      </c>
      <c r="J2373" s="365">
        <f t="shared" si="111"/>
        <v>0</v>
      </c>
      <c r="K2373" s="369">
        <f t="shared" si="110"/>
        <v>6</v>
      </c>
      <c r="L2373" s="369">
        <f>+IF((C2373&gt;='Resultats - informe'!$E$16)*(C2373&lt;='Resultats - informe'!$G$16),1,0)</f>
        <v>1</v>
      </c>
      <c r="M2373" s="369" cm="1">
        <f t="array" ref="M2373">+_xlfn.IFS((C2373&gt;='Resultats - informe'!$D$26)*(C2373&lt;='Resultats - informe'!$E$26),0,(C2373&gt;='Resultats - informe'!$D$27)*(C2373&lt;='Resultats - informe'!$E$27),0,(C2373&gt;='Resultats - informe'!$D$28)*(C2373&lt;='Resultats - informe'!$E$28),0,(C2373&gt;='Resultats - informe'!$D$29)*(C2373&lt;='Resultats - informe'!$E$29),0,1,1)</f>
        <v>0</v>
      </c>
      <c r="N2373" s="366">
        <f>+VLOOKUP(D2373,'Resultats - informe'!$Y$18:$AG$42,'Introducció dades consum'!K2373+1,0)</f>
        <v>0</v>
      </c>
      <c r="O2373" s="370" cm="1">
        <f t="array" ref="O2373">+_xlfn.SWITCH(MONTH(C2373),1,1,2,1,3,1,4,2,5,2,6,3,7,3,8,3,9,3,10,2,11,2,12,1,2)</f>
        <v>1</v>
      </c>
      <c r="P2373" s="43"/>
    </row>
    <row r="2374" spans="1:16" ht="18" x14ac:dyDescent="0.35">
      <c r="A2374" s="43"/>
      <c r="C2374" s="393"/>
      <c r="E2374" s="394"/>
      <c r="F2374" s="394">
        <v>0</v>
      </c>
      <c r="G2374" s="394"/>
      <c r="H2374" s="8" t="s">
        <v>235</v>
      </c>
      <c r="I2374" s="368">
        <f t="shared" ref="I2374:I2437" si="112">+E2374+G2374</f>
        <v>0</v>
      </c>
      <c r="J2374" s="365">
        <f t="shared" si="111"/>
        <v>0</v>
      </c>
      <c r="K2374" s="369">
        <f t="shared" ref="K2374:K2437" si="113">+WEEKDAY(C2374,2)</f>
        <v>6</v>
      </c>
      <c r="L2374" s="369">
        <f>+IF((C2374&gt;='Resultats - informe'!$E$16)*(C2374&lt;='Resultats - informe'!$G$16),1,0)</f>
        <v>1</v>
      </c>
      <c r="M2374" s="369" cm="1">
        <f t="array" ref="M2374">+_xlfn.IFS((C2374&gt;='Resultats - informe'!$D$26)*(C2374&lt;='Resultats - informe'!$E$26),0,(C2374&gt;='Resultats - informe'!$D$27)*(C2374&lt;='Resultats - informe'!$E$27),0,(C2374&gt;='Resultats - informe'!$D$28)*(C2374&lt;='Resultats - informe'!$E$28),0,(C2374&gt;='Resultats - informe'!$D$29)*(C2374&lt;='Resultats - informe'!$E$29),0,1,1)</f>
        <v>0</v>
      </c>
      <c r="N2374" s="366">
        <f>+VLOOKUP(D2374,'Resultats - informe'!$Y$18:$AG$42,'Introducció dades consum'!K2374+1,0)</f>
        <v>0</v>
      </c>
      <c r="O2374" s="370" cm="1">
        <f t="array" ref="O2374">+_xlfn.SWITCH(MONTH(C2374),1,1,2,1,3,1,4,2,5,2,6,3,7,3,8,3,9,3,10,2,11,2,12,1,2)</f>
        <v>1</v>
      </c>
      <c r="P2374" s="43"/>
    </row>
    <row r="2375" spans="1:16" ht="18" x14ac:dyDescent="0.35">
      <c r="A2375" s="43"/>
      <c r="C2375" s="393"/>
      <c r="E2375" s="394"/>
      <c r="F2375" s="394">
        <v>0</v>
      </c>
      <c r="G2375" s="394"/>
      <c r="H2375" s="8" t="s">
        <v>235</v>
      </c>
      <c r="I2375" s="368">
        <f t="shared" si="112"/>
        <v>0</v>
      </c>
      <c r="J2375" s="365">
        <f t="shared" si="111"/>
        <v>0</v>
      </c>
      <c r="K2375" s="369">
        <f t="shared" si="113"/>
        <v>6</v>
      </c>
      <c r="L2375" s="369">
        <f>+IF((C2375&gt;='Resultats - informe'!$E$16)*(C2375&lt;='Resultats - informe'!$G$16),1,0)</f>
        <v>1</v>
      </c>
      <c r="M2375" s="369" cm="1">
        <f t="array" ref="M2375">+_xlfn.IFS((C2375&gt;='Resultats - informe'!$D$26)*(C2375&lt;='Resultats - informe'!$E$26),0,(C2375&gt;='Resultats - informe'!$D$27)*(C2375&lt;='Resultats - informe'!$E$27),0,(C2375&gt;='Resultats - informe'!$D$28)*(C2375&lt;='Resultats - informe'!$E$28),0,(C2375&gt;='Resultats - informe'!$D$29)*(C2375&lt;='Resultats - informe'!$E$29),0,1,1)</f>
        <v>0</v>
      </c>
      <c r="N2375" s="366">
        <f>+VLOOKUP(D2375,'Resultats - informe'!$Y$18:$AG$42,'Introducció dades consum'!K2375+1,0)</f>
        <v>0</v>
      </c>
      <c r="O2375" s="370" cm="1">
        <f t="array" ref="O2375">+_xlfn.SWITCH(MONTH(C2375),1,1,2,1,3,1,4,2,5,2,6,3,7,3,8,3,9,3,10,2,11,2,12,1,2)</f>
        <v>1</v>
      </c>
      <c r="P2375" s="43"/>
    </row>
    <row r="2376" spans="1:16" ht="18" x14ac:dyDescent="0.35">
      <c r="A2376" s="43"/>
      <c r="C2376" s="393"/>
      <c r="E2376" s="394"/>
      <c r="F2376" s="394">
        <v>0</v>
      </c>
      <c r="G2376" s="394"/>
      <c r="H2376" s="8" t="s">
        <v>61</v>
      </c>
      <c r="I2376" s="368">
        <f t="shared" si="112"/>
        <v>0</v>
      </c>
      <c r="J2376" s="365">
        <f t="shared" si="111"/>
        <v>0</v>
      </c>
      <c r="K2376" s="369">
        <f t="shared" si="113"/>
        <v>6</v>
      </c>
      <c r="L2376" s="369">
        <f>+IF((C2376&gt;='Resultats - informe'!$E$16)*(C2376&lt;='Resultats - informe'!$G$16),1,0)</f>
        <v>1</v>
      </c>
      <c r="M2376" s="369" cm="1">
        <f t="array" ref="M2376">+_xlfn.IFS((C2376&gt;='Resultats - informe'!$D$26)*(C2376&lt;='Resultats - informe'!$E$26),0,(C2376&gt;='Resultats - informe'!$D$27)*(C2376&lt;='Resultats - informe'!$E$27),0,(C2376&gt;='Resultats - informe'!$D$28)*(C2376&lt;='Resultats - informe'!$E$28),0,(C2376&gt;='Resultats - informe'!$D$29)*(C2376&lt;='Resultats - informe'!$E$29),0,1,1)</f>
        <v>0</v>
      </c>
      <c r="N2376" s="366">
        <f>+VLOOKUP(D2376,'Resultats - informe'!$Y$18:$AG$42,'Introducció dades consum'!K2376+1,0)</f>
        <v>0</v>
      </c>
      <c r="O2376" s="370" cm="1">
        <f t="array" ref="O2376">+_xlfn.SWITCH(MONTH(C2376),1,1,2,1,3,1,4,2,5,2,6,3,7,3,8,3,9,3,10,2,11,2,12,1,2)</f>
        <v>1</v>
      </c>
      <c r="P2376" s="43"/>
    </row>
    <row r="2377" spans="1:16" ht="18" x14ac:dyDescent="0.35">
      <c r="A2377" s="43"/>
      <c r="C2377" s="393"/>
      <c r="E2377" s="394"/>
      <c r="F2377" s="394">
        <v>0</v>
      </c>
      <c r="G2377" s="394"/>
      <c r="H2377" s="8" t="s">
        <v>235</v>
      </c>
      <c r="I2377" s="368">
        <f t="shared" si="112"/>
        <v>0</v>
      </c>
      <c r="J2377" s="365">
        <f t="shared" si="111"/>
        <v>0</v>
      </c>
      <c r="K2377" s="369">
        <f t="shared" si="113"/>
        <v>6</v>
      </c>
      <c r="L2377" s="369">
        <f>+IF((C2377&gt;='Resultats - informe'!$E$16)*(C2377&lt;='Resultats - informe'!$G$16),1,0)</f>
        <v>1</v>
      </c>
      <c r="M2377" s="369" cm="1">
        <f t="array" ref="M2377">+_xlfn.IFS((C2377&gt;='Resultats - informe'!$D$26)*(C2377&lt;='Resultats - informe'!$E$26),0,(C2377&gt;='Resultats - informe'!$D$27)*(C2377&lt;='Resultats - informe'!$E$27),0,(C2377&gt;='Resultats - informe'!$D$28)*(C2377&lt;='Resultats - informe'!$E$28),0,(C2377&gt;='Resultats - informe'!$D$29)*(C2377&lt;='Resultats - informe'!$E$29),0,1,1)</f>
        <v>0</v>
      </c>
      <c r="N2377" s="366">
        <f>+VLOOKUP(D2377,'Resultats - informe'!$Y$18:$AG$42,'Introducció dades consum'!K2377+1,0)</f>
        <v>0</v>
      </c>
      <c r="O2377" s="370" cm="1">
        <f t="array" ref="O2377">+_xlfn.SWITCH(MONTH(C2377),1,1,2,1,3,1,4,2,5,2,6,3,7,3,8,3,9,3,10,2,11,2,12,1,2)</f>
        <v>1</v>
      </c>
      <c r="P2377" s="43"/>
    </row>
    <row r="2378" spans="1:16" ht="18" x14ac:dyDescent="0.35">
      <c r="A2378" s="43"/>
      <c r="C2378" s="393"/>
      <c r="E2378" s="394"/>
      <c r="F2378" s="394">
        <v>0</v>
      </c>
      <c r="G2378" s="394"/>
      <c r="H2378" s="8" t="s">
        <v>235</v>
      </c>
      <c r="I2378" s="368">
        <f t="shared" si="112"/>
        <v>0</v>
      </c>
      <c r="J2378" s="365">
        <f t="shared" si="111"/>
        <v>0</v>
      </c>
      <c r="K2378" s="369">
        <f t="shared" si="113"/>
        <v>6</v>
      </c>
      <c r="L2378" s="369">
        <f>+IF((C2378&gt;='Resultats - informe'!$E$16)*(C2378&lt;='Resultats - informe'!$G$16),1,0)</f>
        <v>1</v>
      </c>
      <c r="M2378" s="369" cm="1">
        <f t="array" ref="M2378">+_xlfn.IFS((C2378&gt;='Resultats - informe'!$D$26)*(C2378&lt;='Resultats - informe'!$E$26),0,(C2378&gt;='Resultats - informe'!$D$27)*(C2378&lt;='Resultats - informe'!$E$27),0,(C2378&gt;='Resultats - informe'!$D$28)*(C2378&lt;='Resultats - informe'!$E$28),0,(C2378&gt;='Resultats - informe'!$D$29)*(C2378&lt;='Resultats - informe'!$E$29),0,1,1)</f>
        <v>0</v>
      </c>
      <c r="N2378" s="366">
        <f>+VLOOKUP(D2378,'Resultats - informe'!$Y$18:$AG$42,'Introducció dades consum'!K2378+1,0)</f>
        <v>0</v>
      </c>
      <c r="O2378" s="370" cm="1">
        <f t="array" ref="O2378">+_xlfn.SWITCH(MONTH(C2378),1,1,2,1,3,1,4,2,5,2,6,3,7,3,8,3,9,3,10,2,11,2,12,1,2)</f>
        <v>1</v>
      </c>
      <c r="P2378" s="43"/>
    </row>
    <row r="2379" spans="1:16" ht="18" x14ac:dyDescent="0.35">
      <c r="A2379" s="43"/>
      <c r="C2379" s="393"/>
      <c r="E2379" s="394"/>
      <c r="F2379" s="394">
        <v>0</v>
      </c>
      <c r="G2379" s="394"/>
      <c r="H2379" s="8" t="s">
        <v>235</v>
      </c>
      <c r="I2379" s="368">
        <f t="shared" si="112"/>
        <v>0</v>
      </c>
      <c r="J2379" s="365">
        <f t="shared" si="111"/>
        <v>0</v>
      </c>
      <c r="K2379" s="369">
        <f t="shared" si="113"/>
        <v>6</v>
      </c>
      <c r="L2379" s="369">
        <f>+IF((C2379&gt;='Resultats - informe'!$E$16)*(C2379&lt;='Resultats - informe'!$G$16),1,0)</f>
        <v>1</v>
      </c>
      <c r="M2379" s="369" cm="1">
        <f t="array" ref="M2379">+_xlfn.IFS((C2379&gt;='Resultats - informe'!$D$26)*(C2379&lt;='Resultats - informe'!$E$26),0,(C2379&gt;='Resultats - informe'!$D$27)*(C2379&lt;='Resultats - informe'!$E$27),0,(C2379&gt;='Resultats - informe'!$D$28)*(C2379&lt;='Resultats - informe'!$E$28),0,(C2379&gt;='Resultats - informe'!$D$29)*(C2379&lt;='Resultats - informe'!$E$29),0,1,1)</f>
        <v>0</v>
      </c>
      <c r="N2379" s="366">
        <f>+VLOOKUP(D2379,'Resultats - informe'!$Y$18:$AG$42,'Introducció dades consum'!K2379+1,0)</f>
        <v>0</v>
      </c>
      <c r="O2379" s="370" cm="1">
        <f t="array" ref="O2379">+_xlfn.SWITCH(MONTH(C2379),1,1,2,1,3,1,4,2,5,2,6,3,7,3,8,3,9,3,10,2,11,2,12,1,2)</f>
        <v>1</v>
      </c>
      <c r="P2379" s="43"/>
    </row>
    <row r="2380" spans="1:16" ht="18" x14ac:dyDescent="0.35">
      <c r="A2380" s="43"/>
      <c r="C2380" s="393"/>
      <c r="E2380" s="394"/>
      <c r="F2380" s="394">
        <v>0</v>
      </c>
      <c r="G2380" s="394"/>
      <c r="H2380" s="8" t="s">
        <v>61</v>
      </c>
      <c r="I2380" s="368">
        <f t="shared" si="112"/>
        <v>0</v>
      </c>
      <c r="J2380" s="365">
        <f t="shared" si="111"/>
        <v>0</v>
      </c>
      <c r="K2380" s="369">
        <f t="shared" si="113"/>
        <v>6</v>
      </c>
      <c r="L2380" s="369">
        <f>+IF((C2380&gt;='Resultats - informe'!$E$16)*(C2380&lt;='Resultats - informe'!$G$16),1,0)</f>
        <v>1</v>
      </c>
      <c r="M2380" s="369" cm="1">
        <f t="array" ref="M2380">+_xlfn.IFS((C2380&gt;='Resultats - informe'!$D$26)*(C2380&lt;='Resultats - informe'!$E$26),0,(C2380&gt;='Resultats - informe'!$D$27)*(C2380&lt;='Resultats - informe'!$E$27),0,(C2380&gt;='Resultats - informe'!$D$28)*(C2380&lt;='Resultats - informe'!$E$28),0,(C2380&gt;='Resultats - informe'!$D$29)*(C2380&lt;='Resultats - informe'!$E$29),0,1,1)</f>
        <v>0</v>
      </c>
      <c r="N2380" s="366">
        <f>+VLOOKUP(D2380,'Resultats - informe'!$Y$18:$AG$42,'Introducció dades consum'!K2380+1,0)</f>
        <v>0</v>
      </c>
      <c r="O2380" s="370" cm="1">
        <f t="array" ref="O2380">+_xlfn.SWITCH(MONTH(C2380),1,1,2,1,3,1,4,2,5,2,6,3,7,3,8,3,9,3,10,2,11,2,12,1,2)</f>
        <v>1</v>
      </c>
      <c r="P2380" s="43"/>
    </row>
    <row r="2381" spans="1:16" ht="18" x14ac:dyDescent="0.35">
      <c r="A2381" s="43"/>
      <c r="C2381" s="393"/>
      <c r="E2381" s="394"/>
      <c r="F2381" s="394">
        <v>0</v>
      </c>
      <c r="G2381" s="394"/>
      <c r="H2381" s="8" t="s">
        <v>61</v>
      </c>
      <c r="I2381" s="368">
        <f t="shared" si="112"/>
        <v>0</v>
      </c>
      <c r="J2381" s="365">
        <f t="shared" si="111"/>
        <v>0</v>
      </c>
      <c r="K2381" s="369">
        <f t="shared" si="113"/>
        <v>6</v>
      </c>
      <c r="L2381" s="369">
        <f>+IF((C2381&gt;='Resultats - informe'!$E$16)*(C2381&lt;='Resultats - informe'!$G$16),1,0)</f>
        <v>1</v>
      </c>
      <c r="M2381" s="369" cm="1">
        <f t="array" ref="M2381">+_xlfn.IFS((C2381&gt;='Resultats - informe'!$D$26)*(C2381&lt;='Resultats - informe'!$E$26),0,(C2381&gt;='Resultats - informe'!$D$27)*(C2381&lt;='Resultats - informe'!$E$27),0,(C2381&gt;='Resultats - informe'!$D$28)*(C2381&lt;='Resultats - informe'!$E$28),0,(C2381&gt;='Resultats - informe'!$D$29)*(C2381&lt;='Resultats - informe'!$E$29),0,1,1)</f>
        <v>0</v>
      </c>
      <c r="N2381" s="366">
        <f>+VLOOKUP(D2381,'Resultats - informe'!$Y$18:$AG$42,'Introducció dades consum'!K2381+1,0)</f>
        <v>0</v>
      </c>
      <c r="O2381" s="370" cm="1">
        <f t="array" ref="O2381">+_xlfn.SWITCH(MONTH(C2381),1,1,2,1,3,1,4,2,5,2,6,3,7,3,8,3,9,3,10,2,11,2,12,1,2)</f>
        <v>1</v>
      </c>
      <c r="P2381" s="43"/>
    </row>
    <row r="2382" spans="1:16" ht="18" x14ac:dyDescent="0.35">
      <c r="A2382" s="43"/>
      <c r="C2382" s="393"/>
      <c r="E2382" s="394"/>
      <c r="F2382" s="394">
        <v>0</v>
      </c>
      <c r="G2382" s="394"/>
      <c r="H2382" s="8" t="s">
        <v>235</v>
      </c>
      <c r="I2382" s="368">
        <f t="shared" si="112"/>
        <v>0</v>
      </c>
      <c r="J2382" s="365">
        <f t="shared" si="111"/>
        <v>0</v>
      </c>
      <c r="K2382" s="369">
        <f t="shared" si="113"/>
        <v>6</v>
      </c>
      <c r="L2382" s="369">
        <f>+IF((C2382&gt;='Resultats - informe'!$E$16)*(C2382&lt;='Resultats - informe'!$G$16),1,0)</f>
        <v>1</v>
      </c>
      <c r="M2382" s="369" cm="1">
        <f t="array" ref="M2382">+_xlfn.IFS((C2382&gt;='Resultats - informe'!$D$26)*(C2382&lt;='Resultats - informe'!$E$26),0,(C2382&gt;='Resultats - informe'!$D$27)*(C2382&lt;='Resultats - informe'!$E$27),0,(C2382&gt;='Resultats - informe'!$D$28)*(C2382&lt;='Resultats - informe'!$E$28),0,(C2382&gt;='Resultats - informe'!$D$29)*(C2382&lt;='Resultats - informe'!$E$29),0,1,1)</f>
        <v>0</v>
      </c>
      <c r="N2382" s="366">
        <f>+VLOOKUP(D2382,'Resultats - informe'!$Y$18:$AG$42,'Introducció dades consum'!K2382+1,0)</f>
        <v>0</v>
      </c>
      <c r="O2382" s="370" cm="1">
        <f t="array" ref="O2382">+_xlfn.SWITCH(MONTH(C2382),1,1,2,1,3,1,4,2,5,2,6,3,7,3,8,3,9,3,10,2,11,2,12,1,2)</f>
        <v>1</v>
      </c>
      <c r="P2382" s="43"/>
    </row>
    <row r="2383" spans="1:16" ht="18" x14ac:dyDescent="0.35">
      <c r="A2383" s="43"/>
      <c r="C2383" s="393"/>
      <c r="E2383" s="394"/>
      <c r="F2383" s="394">
        <v>0</v>
      </c>
      <c r="G2383" s="394"/>
      <c r="H2383" s="8" t="s">
        <v>235</v>
      </c>
      <c r="I2383" s="368">
        <f t="shared" si="112"/>
        <v>0</v>
      </c>
      <c r="J2383" s="365">
        <f t="shared" si="111"/>
        <v>0</v>
      </c>
      <c r="K2383" s="369">
        <f t="shared" si="113"/>
        <v>6</v>
      </c>
      <c r="L2383" s="369">
        <f>+IF((C2383&gt;='Resultats - informe'!$E$16)*(C2383&lt;='Resultats - informe'!$G$16),1,0)</f>
        <v>1</v>
      </c>
      <c r="M2383" s="369" cm="1">
        <f t="array" ref="M2383">+_xlfn.IFS((C2383&gt;='Resultats - informe'!$D$26)*(C2383&lt;='Resultats - informe'!$E$26),0,(C2383&gt;='Resultats - informe'!$D$27)*(C2383&lt;='Resultats - informe'!$E$27),0,(C2383&gt;='Resultats - informe'!$D$28)*(C2383&lt;='Resultats - informe'!$E$28),0,(C2383&gt;='Resultats - informe'!$D$29)*(C2383&lt;='Resultats - informe'!$E$29),0,1,1)</f>
        <v>0</v>
      </c>
      <c r="N2383" s="366">
        <f>+VLOOKUP(D2383,'Resultats - informe'!$Y$18:$AG$42,'Introducció dades consum'!K2383+1,0)</f>
        <v>0</v>
      </c>
      <c r="O2383" s="370" cm="1">
        <f t="array" ref="O2383">+_xlfn.SWITCH(MONTH(C2383),1,1,2,1,3,1,4,2,5,2,6,3,7,3,8,3,9,3,10,2,11,2,12,1,2)</f>
        <v>1</v>
      </c>
      <c r="P2383" s="43"/>
    </row>
    <row r="2384" spans="1:16" ht="18" x14ac:dyDescent="0.35">
      <c r="A2384" s="43"/>
      <c r="C2384" s="393"/>
      <c r="E2384" s="394"/>
      <c r="F2384" s="394">
        <v>0</v>
      </c>
      <c r="G2384" s="394"/>
      <c r="H2384" s="8" t="s">
        <v>235</v>
      </c>
      <c r="I2384" s="368">
        <f t="shared" si="112"/>
        <v>0</v>
      </c>
      <c r="J2384" s="365">
        <f t="shared" si="111"/>
        <v>0</v>
      </c>
      <c r="K2384" s="369">
        <f t="shared" si="113"/>
        <v>6</v>
      </c>
      <c r="L2384" s="369">
        <f>+IF((C2384&gt;='Resultats - informe'!$E$16)*(C2384&lt;='Resultats - informe'!$G$16),1,0)</f>
        <v>1</v>
      </c>
      <c r="M2384" s="369" cm="1">
        <f t="array" ref="M2384">+_xlfn.IFS((C2384&gt;='Resultats - informe'!$D$26)*(C2384&lt;='Resultats - informe'!$E$26),0,(C2384&gt;='Resultats - informe'!$D$27)*(C2384&lt;='Resultats - informe'!$E$27),0,(C2384&gt;='Resultats - informe'!$D$28)*(C2384&lt;='Resultats - informe'!$E$28),0,(C2384&gt;='Resultats - informe'!$D$29)*(C2384&lt;='Resultats - informe'!$E$29),0,1,1)</f>
        <v>0</v>
      </c>
      <c r="N2384" s="366">
        <f>+VLOOKUP(D2384,'Resultats - informe'!$Y$18:$AG$42,'Introducció dades consum'!K2384+1,0)</f>
        <v>0</v>
      </c>
      <c r="O2384" s="370" cm="1">
        <f t="array" ref="O2384">+_xlfn.SWITCH(MONTH(C2384),1,1,2,1,3,1,4,2,5,2,6,3,7,3,8,3,9,3,10,2,11,2,12,1,2)</f>
        <v>1</v>
      </c>
      <c r="P2384" s="43"/>
    </row>
    <row r="2385" spans="1:16" ht="18" x14ac:dyDescent="0.35">
      <c r="A2385" s="43"/>
      <c r="C2385" s="393"/>
      <c r="E2385" s="394"/>
      <c r="F2385" s="394">
        <v>0</v>
      </c>
      <c r="G2385" s="394"/>
      <c r="H2385" s="8" t="s">
        <v>235</v>
      </c>
      <c r="I2385" s="368">
        <f t="shared" si="112"/>
        <v>0</v>
      </c>
      <c r="J2385" s="365">
        <f t="shared" si="111"/>
        <v>0</v>
      </c>
      <c r="K2385" s="369">
        <f t="shared" si="113"/>
        <v>6</v>
      </c>
      <c r="L2385" s="369">
        <f>+IF((C2385&gt;='Resultats - informe'!$E$16)*(C2385&lt;='Resultats - informe'!$G$16),1,0)</f>
        <v>1</v>
      </c>
      <c r="M2385" s="369" cm="1">
        <f t="array" ref="M2385">+_xlfn.IFS((C2385&gt;='Resultats - informe'!$D$26)*(C2385&lt;='Resultats - informe'!$E$26),0,(C2385&gt;='Resultats - informe'!$D$27)*(C2385&lt;='Resultats - informe'!$E$27),0,(C2385&gt;='Resultats - informe'!$D$28)*(C2385&lt;='Resultats - informe'!$E$28),0,(C2385&gt;='Resultats - informe'!$D$29)*(C2385&lt;='Resultats - informe'!$E$29),0,1,1)</f>
        <v>0</v>
      </c>
      <c r="N2385" s="366">
        <f>+VLOOKUP(D2385,'Resultats - informe'!$Y$18:$AG$42,'Introducció dades consum'!K2385+1,0)</f>
        <v>0</v>
      </c>
      <c r="O2385" s="370" cm="1">
        <f t="array" ref="O2385">+_xlfn.SWITCH(MONTH(C2385),1,1,2,1,3,1,4,2,5,2,6,3,7,3,8,3,9,3,10,2,11,2,12,1,2)</f>
        <v>1</v>
      </c>
      <c r="P2385" s="43"/>
    </row>
    <row r="2386" spans="1:16" ht="18" x14ac:dyDescent="0.35">
      <c r="A2386" s="43"/>
      <c r="C2386" s="393"/>
      <c r="E2386" s="394"/>
      <c r="F2386" s="394">
        <v>0.69699999999999995</v>
      </c>
      <c r="G2386" s="394"/>
      <c r="H2386" s="8" t="s">
        <v>235</v>
      </c>
      <c r="I2386" s="368">
        <f t="shared" si="112"/>
        <v>0</v>
      </c>
      <c r="J2386" s="365">
        <f t="shared" si="111"/>
        <v>0</v>
      </c>
      <c r="K2386" s="369">
        <f t="shared" si="113"/>
        <v>6</v>
      </c>
      <c r="L2386" s="369">
        <f>+IF((C2386&gt;='Resultats - informe'!$E$16)*(C2386&lt;='Resultats - informe'!$G$16),1,0)</f>
        <v>1</v>
      </c>
      <c r="M2386" s="369" cm="1">
        <f t="array" ref="M2386">+_xlfn.IFS((C2386&gt;='Resultats - informe'!$D$26)*(C2386&lt;='Resultats - informe'!$E$26),0,(C2386&gt;='Resultats - informe'!$D$27)*(C2386&lt;='Resultats - informe'!$E$27),0,(C2386&gt;='Resultats - informe'!$D$28)*(C2386&lt;='Resultats - informe'!$E$28),0,(C2386&gt;='Resultats - informe'!$D$29)*(C2386&lt;='Resultats - informe'!$E$29),0,1,1)</f>
        <v>0</v>
      </c>
      <c r="N2386" s="366">
        <f>+VLOOKUP(D2386,'Resultats - informe'!$Y$18:$AG$42,'Introducció dades consum'!K2386+1,0)</f>
        <v>0</v>
      </c>
      <c r="O2386" s="370" cm="1">
        <f t="array" ref="O2386">+_xlfn.SWITCH(MONTH(C2386),1,1,2,1,3,1,4,2,5,2,6,3,7,3,8,3,9,3,10,2,11,2,12,1,2)</f>
        <v>1</v>
      </c>
      <c r="P2386" s="43"/>
    </row>
    <row r="2387" spans="1:16" ht="18" x14ac:dyDescent="0.35">
      <c r="A2387" s="43"/>
      <c r="C2387" s="393"/>
      <c r="E2387" s="394"/>
      <c r="F2387" s="394">
        <v>1.5640000000000001</v>
      </c>
      <c r="G2387" s="394"/>
      <c r="H2387" s="8" t="s">
        <v>235</v>
      </c>
      <c r="I2387" s="368">
        <f t="shared" si="112"/>
        <v>0</v>
      </c>
      <c r="J2387" s="365">
        <f t="shared" si="111"/>
        <v>0</v>
      </c>
      <c r="K2387" s="369">
        <f t="shared" si="113"/>
        <v>6</v>
      </c>
      <c r="L2387" s="369">
        <f>+IF((C2387&gt;='Resultats - informe'!$E$16)*(C2387&lt;='Resultats - informe'!$G$16),1,0)</f>
        <v>1</v>
      </c>
      <c r="M2387" s="369" cm="1">
        <f t="array" ref="M2387">+_xlfn.IFS((C2387&gt;='Resultats - informe'!$D$26)*(C2387&lt;='Resultats - informe'!$E$26),0,(C2387&gt;='Resultats - informe'!$D$27)*(C2387&lt;='Resultats - informe'!$E$27),0,(C2387&gt;='Resultats - informe'!$D$28)*(C2387&lt;='Resultats - informe'!$E$28),0,(C2387&gt;='Resultats - informe'!$D$29)*(C2387&lt;='Resultats - informe'!$E$29),0,1,1)</f>
        <v>0</v>
      </c>
      <c r="N2387" s="366">
        <f>+VLOOKUP(D2387,'Resultats - informe'!$Y$18:$AG$42,'Introducció dades consum'!K2387+1,0)</f>
        <v>0</v>
      </c>
      <c r="O2387" s="370" cm="1">
        <f t="array" ref="O2387">+_xlfn.SWITCH(MONTH(C2387),1,1,2,1,3,1,4,2,5,2,6,3,7,3,8,3,9,3,10,2,11,2,12,1,2)</f>
        <v>1</v>
      </c>
      <c r="P2387" s="43"/>
    </row>
    <row r="2388" spans="1:16" ht="18" x14ac:dyDescent="0.35">
      <c r="A2388" s="43"/>
      <c r="C2388" s="393"/>
      <c r="E2388" s="394"/>
      <c r="F2388" s="394">
        <v>2.3149999999999999</v>
      </c>
      <c r="G2388" s="394"/>
      <c r="H2388" s="8" t="s">
        <v>235</v>
      </c>
      <c r="I2388" s="368">
        <f t="shared" si="112"/>
        <v>0</v>
      </c>
      <c r="J2388" s="365">
        <f t="shared" si="111"/>
        <v>0</v>
      </c>
      <c r="K2388" s="369">
        <f t="shared" si="113"/>
        <v>6</v>
      </c>
      <c r="L2388" s="369">
        <f>+IF((C2388&gt;='Resultats - informe'!$E$16)*(C2388&lt;='Resultats - informe'!$G$16),1,0)</f>
        <v>1</v>
      </c>
      <c r="M2388" s="369" cm="1">
        <f t="array" ref="M2388">+_xlfn.IFS((C2388&gt;='Resultats - informe'!$D$26)*(C2388&lt;='Resultats - informe'!$E$26),0,(C2388&gt;='Resultats - informe'!$D$27)*(C2388&lt;='Resultats - informe'!$E$27),0,(C2388&gt;='Resultats - informe'!$D$28)*(C2388&lt;='Resultats - informe'!$E$28),0,(C2388&gt;='Resultats - informe'!$D$29)*(C2388&lt;='Resultats - informe'!$E$29),0,1,1)</f>
        <v>0</v>
      </c>
      <c r="N2388" s="366">
        <f>+VLOOKUP(D2388,'Resultats - informe'!$Y$18:$AG$42,'Introducció dades consum'!K2388+1,0)</f>
        <v>0</v>
      </c>
      <c r="O2388" s="370" cm="1">
        <f t="array" ref="O2388">+_xlfn.SWITCH(MONTH(C2388),1,1,2,1,3,1,4,2,5,2,6,3,7,3,8,3,9,3,10,2,11,2,12,1,2)</f>
        <v>1</v>
      </c>
      <c r="P2388" s="43"/>
    </row>
    <row r="2389" spans="1:16" ht="18" x14ac:dyDescent="0.35">
      <c r="A2389" s="43"/>
      <c r="C2389" s="393"/>
      <c r="E2389" s="394"/>
      <c r="F2389" s="394">
        <v>3.206</v>
      </c>
      <c r="G2389" s="394"/>
      <c r="H2389" s="8" t="s">
        <v>235</v>
      </c>
      <c r="I2389" s="368">
        <f t="shared" si="112"/>
        <v>0</v>
      </c>
      <c r="J2389" s="365">
        <f t="shared" si="111"/>
        <v>0</v>
      </c>
      <c r="K2389" s="369">
        <f t="shared" si="113"/>
        <v>6</v>
      </c>
      <c r="L2389" s="369">
        <f>+IF((C2389&gt;='Resultats - informe'!$E$16)*(C2389&lt;='Resultats - informe'!$G$16),1,0)</f>
        <v>1</v>
      </c>
      <c r="M2389" s="369" cm="1">
        <f t="array" ref="M2389">+_xlfn.IFS((C2389&gt;='Resultats - informe'!$D$26)*(C2389&lt;='Resultats - informe'!$E$26),0,(C2389&gt;='Resultats - informe'!$D$27)*(C2389&lt;='Resultats - informe'!$E$27),0,(C2389&gt;='Resultats - informe'!$D$28)*(C2389&lt;='Resultats - informe'!$E$28),0,(C2389&gt;='Resultats - informe'!$D$29)*(C2389&lt;='Resultats - informe'!$E$29),0,1,1)</f>
        <v>0</v>
      </c>
      <c r="N2389" s="366">
        <f>+VLOOKUP(D2389,'Resultats - informe'!$Y$18:$AG$42,'Introducció dades consum'!K2389+1,0)</f>
        <v>0</v>
      </c>
      <c r="O2389" s="370" cm="1">
        <f t="array" ref="O2389">+_xlfn.SWITCH(MONTH(C2389),1,1,2,1,3,1,4,2,5,2,6,3,7,3,8,3,9,3,10,2,11,2,12,1,2)</f>
        <v>1</v>
      </c>
      <c r="P2389" s="43"/>
    </row>
    <row r="2390" spans="1:16" ht="18" x14ac:dyDescent="0.35">
      <c r="A2390" s="43"/>
      <c r="C2390" s="393"/>
      <c r="E2390" s="394"/>
      <c r="F2390" s="394">
        <v>0</v>
      </c>
      <c r="G2390" s="394"/>
      <c r="H2390" s="8" t="s">
        <v>61</v>
      </c>
      <c r="I2390" s="368">
        <f t="shared" si="112"/>
        <v>0</v>
      </c>
      <c r="J2390" s="365">
        <f t="shared" si="111"/>
        <v>0</v>
      </c>
      <c r="K2390" s="369">
        <f t="shared" si="113"/>
        <v>6</v>
      </c>
      <c r="L2390" s="369">
        <f>+IF((C2390&gt;='Resultats - informe'!$E$16)*(C2390&lt;='Resultats - informe'!$G$16),1,0)</f>
        <v>1</v>
      </c>
      <c r="M2390" s="369" cm="1">
        <f t="array" ref="M2390">+_xlfn.IFS((C2390&gt;='Resultats - informe'!$D$26)*(C2390&lt;='Resultats - informe'!$E$26),0,(C2390&gt;='Resultats - informe'!$D$27)*(C2390&lt;='Resultats - informe'!$E$27),0,(C2390&gt;='Resultats - informe'!$D$28)*(C2390&lt;='Resultats - informe'!$E$28),0,(C2390&gt;='Resultats - informe'!$D$29)*(C2390&lt;='Resultats - informe'!$E$29),0,1,1)</f>
        <v>0</v>
      </c>
      <c r="N2390" s="366">
        <f>+VLOOKUP(D2390,'Resultats - informe'!$Y$18:$AG$42,'Introducció dades consum'!K2390+1,0)</f>
        <v>0</v>
      </c>
      <c r="O2390" s="370" cm="1">
        <f t="array" ref="O2390">+_xlfn.SWITCH(MONTH(C2390),1,1,2,1,3,1,4,2,5,2,6,3,7,3,8,3,9,3,10,2,11,2,12,1,2)</f>
        <v>1</v>
      </c>
      <c r="P2390" s="43"/>
    </row>
    <row r="2391" spans="1:16" ht="18" x14ac:dyDescent="0.35">
      <c r="A2391" s="43"/>
      <c r="C2391" s="393"/>
      <c r="E2391" s="394"/>
      <c r="F2391" s="394">
        <v>3.9740000000000002</v>
      </c>
      <c r="G2391" s="394"/>
      <c r="H2391" s="8" t="s">
        <v>61</v>
      </c>
      <c r="I2391" s="368">
        <f t="shared" si="112"/>
        <v>0</v>
      </c>
      <c r="J2391" s="365">
        <f t="shared" si="111"/>
        <v>0</v>
      </c>
      <c r="K2391" s="369">
        <f t="shared" si="113"/>
        <v>6</v>
      </c>
      <c r="L2391" s="369">
        <f>+IF((C2391&gt;='Resultats - informe'!$E$16)*(C2391&lt;='Resultats - informe'!$G$16),1,0)</f>
        <v>1</v>
      </c>
      <c r="M2391" s="369" cm="1">
        <f t="array" ref="M2391">+_xlfn.IFS((C2391&gt;='Resultats - informe'!$D$26)*(C2391&lt;='Resultats - informe'!$E$26),0,(C2391&gt;='Resultats - informe'!$D$27)*(C2391&lt;='Resultats - informe'!$E$27),0,(C2391&gt;='Resultats - informe'!$D$28)*(C2391&lt;='Resultats - informe'!$E$28),0,(C2391&gt;='Resultats - informe'!$D$29)*(C2391&lt;='Resultats - informe'!$E$29),0,1,1)</f>
        <v>0</v>
      </c>
      <c r="N2391" s="366">
        <f>+VLOOKUP(D2391,'Resultats - informe'!$Y$18:$AG$42,'Introducció dades consum'!K2391+1,0)</f>
        <v>0</v>
      </c>
      <c r="O2391" s="370" cm="1">
        <f t="array" ref="O2391">+_xlfn.SWITCH(MONTH(C2391),1,1,2,1,3,1,4,2,5,2,6,3,7,3,8,3,9,3,10,2,11,2,12,1,2)</f>
        <v>1</v>
      </c>
      <c r="P2391" s="43"/>
    </row>
    <row r="2392" spans="1:16" ht="18" x14ac:dyDescent="0.35">
      <c r="A2392" s="43"/>
      <c r="C2392" s="393"/>
      <c r="E2392" s="394"/>
      <c r="F2392" s="394">
        <v>4.335</v>
      </c>
      <c r="G2392" s="394"/>
      <c r="H2392" s="8" t="s">
        <v>61</v>
      </c>
      <c r="I2392" s="368">
        <f t="shared" si="112"/>
        <v>0</v>
      </c>
      <c r="J2392" s="365">
        <f t="shared" si="111"/>
        <v>0</v>
      </c>
      <c r="K2392" s="369">
        <f t="shared" si="113"/>
        <v>6</v>
      </c>
      <c r="L2392" s="369">
        <f>+IF((C2392&gt;='Resultats - informe'!$E$16)*(C2392&lt;='Resultats - informe'!$G$16),1,0)</f>
        <v>1</v>
      </c>
      <c r="M2392" s="369" cm="1">
        <f t="array" ref="M2392">+_xlfn.IFS((C2392&gt;='Resultats - informe'!$D$26)*(C2392&lt;='Resultats - informe'!$E$26),0,(C2392&gt;='Resultats - informe'!$D$27)*(C2392&lt;='Resultats - informe'!$E$27),0,(C2392&gt;='Resultats - informe'!$D$28)*(C2392&lt;='Resultats - informe'!$E$28),0,(C2392&gt;='Resultats - informe'!$D$29)*(C2392&lt;='Resultats - informe'!$E$29),0,1,1)</f>
        <v>0</v>
      </c>
      <c r="N2392" s="366">
        <f>+VLOOKUP(D2392,'Resultats - informe'!$Y$18:$AG$42,'Introducció dades consum'!K2392+1,0)</f>
        <v>0</v>
      </c>
      <c r="O2392" s="370" cm="1">
        <f t="array" ref="O2392">+_xlfn.SWITCH(MONTH(C2392),1,1,2,1,3,1,4,2,5,2,6,3,7,3,8,3,9,3,10,2,11,2,12,1,2)</f>
        <v>1</v>
      </c>
      <c r="P2392" s="43"/>
    </row>
    <row r="2393" spans="1:16" ht="18" x14ac:dyDescent="0.35">
      <c r="A2393" s="43"/>
      <c r="C2393" s="393"/>
      <c r="E2393" s="394"/>
      <c r="F2393" s="394">
        <v>3.3740000000000001</v>
      </c>
      <c r="G2393" s="394"/>
      <c r="H2393" s="8" t="s">
        <v>235</v>
      </c>
      <c r="I2393" s="368">
        <f t="shared" si="112"/>
        <v>0</v>
      </c>
      <c r="J2393" s="365">
        <f t="shared" si="111"/>
        <v>0</v>
      </c>
      <c r="K2393" s="369">
        <f t="shared" si="113"/>
        <v>6</v>
      </c>
      <c r="L2393" s="369">
        <f>+IF((C2393&gt;='Resultats - informe'!$E$16)*(C2393&lt;='Resultats - informe'!$G$16),1,0)</f>
        <v>1</v>
      </c>
      <c r="M2393" s="369" cm="1">
        <f t="array" ref="M2393">+_xlfn.IFS((C2393&gt;='Resultats - informe'!$D$26)*(C2393&lt;='Resultats - informe'!$E$26),0,(C2393&gt;='Resultats - informe'!$D$27)*(C2393&lt;='Resultats - informe'!$E$27),0,(C2393&gt;='Resultats - informe'!$D$28)*(C2393&lt;='Resultats - informe'!$E$28),0,(C2393&gt;='Resultats - informe'!$D$29)*(C2393&lt;='Resultats - informe'!$E$29),0,1,1)</f>
        <v>0</v>
      </c>
      <c r="N2393" s="366">
        <f>+VLOOKUP(D2393,'Resultats - informe'!$Y$18:$AG$42,'Introducció dades consum'!K2393+1,0)</f>
        <v>0</v>
      </c>
      <c r="O2393" s="370" cm="1">
        <f t="array" ref="O2393">+_xlfn.SWITCH(MONTH(C2393),1,1,2,1,3,1,4,2,5,2,6,3,7,3,8,3,9,3,10,2,11,2,12,1,2)</f>
        <v>1</v>
      </c>
      <c r="P2393" s="43"/>
    </row>
    <row r="2394" spans="1:16" ht="18" x14ac:dyDescent="0.35">
      <c r="A2394" s="43"/>
      <c r="C2394" s="393"/>
      <c r="E2394" s="394"/>
      <c r="F2394" s="394">
        <v>3.141</v>
      </c>
      <c r="G2394" s="394"/>
      <c r="H2394" s="8" t="s">
        <v>235</v>
      </c>
      <c r="I2394" s="368">
        <f t="shared" si="112"/>
        <v>0</v>
      </c>
      <c r="J2394" s="365">
        <f t="shared" si="111"/>
        <v>0</v>
      </c>
      <c r="K2394" s="369">
        <f t="shared" si="113"/>
        <v>6</v>
      </c>
      <c r="L2394" s="369">
        <f>+IF((C2394&gt;='Resultats - informe'!$E$16)*(C2394&lt;='Resultats - informe'!$G$16),1,0)</f>
        <v>1</v>
      </c>
      <c r="M2394" s="369" cm="1">
        <f t="array" ref="M2394">+_xlfn.IFS((C2394&gt;='Resultats - informe'!$D$26)*(C2394&lt;='Resultats - informe'!$E$26),0,(C2394&gt;='Resultats - informe'!$D$27)*(C2394&lt;='Resultats - informe'!$E$27),0,(C2394&gt;='Resultats - informe'!$D$28)*(C2394&lt;='Resultats - informe'!$E$28),0,(C2394&gt;='Resultats - informe'!$D$29)*(C2394&lt;='Resultats - informe'!$E$29),0,1,1)</f>
        <v>0</v>
      </c>
      <c r="N2394" s="366">
        <f>+VLOOKUP(D2394,'Resultats - informe'!$Y$18:$AG$42,'Introducció dades consum'!K2394+1,0)</f>
        <v>0</v>
      </c>
      <c r="O2394" s="370" cm="1">
        <f t="array" ref="O2394">+_xlfn.SWITCH(MONTH(C2394),1,1,2,1,3,1,4,2,5,2,6,3,7,3,8,3,9,3,10,2,11,2,12,1,2)</f>
        <v>1</v>
      </c>
      <c r="P2394" s="43"/>
    </row>
    <row r="2395" spans="1:16" ht="18" x14ac:dyDescent="0.35">
      <c r="A2395" s="43"/>
      <c r="C2395" s="393"/>
      <c r="E2395" s="394"/>
      <c r="F2395" s="394">
        <v>1.0960000000000001</v>
      </c>
      <c r="G2395" s="394"/>
      <c r="H2395" s="8" t="s">
        <v>61</v>
      </c>
      <c r="I2395" s="368">
        <f t="shared" si="112"/>
        <v>0</v>
      </c>
      <c r="J2395" s="365">
        <f t="shared" si="111"/>
        <v>0</v>
      </c>
      <c r="K2395" s="369">
        <f t="shared" si="113"/>
        <v>6</v>
      </c>
      <c r="L2395" s="369">
        <f>+IF((C2395&gt;='Resultats - informe'!$E$16)*(C2395&lt;='Resultats - informe'!$G$16),1,0)</f>
        <v>1</v>
      </c>
      <c r="M2395" s="369" cm="1">
        <f t="array" ref="M2395">+_xlfn.IFS((C2395&gt;='Resultats - informe'!$D$26)*(C2395&lt;='Resultats - informe'!$E$26),0,(C2395&gt;='Resultats - informe'!$D$27)*(C2395&lt;='Resultats - informe'!$E$27),0,(C2395&gt;='Resultats - informe'!$D$28)*(C2395&lt;='Resultats - informe'!$E$28),0,(C2395&gt;='Resultats - informe'!$D$29)*(C2395&lt;='Resultats - informe'!$E$29),0,1,1)</f>
        <v>0</v>
      </c>
      <c r="N2395" s="366">
        <f>+VLOOKUP(D2395,'Resultats - informe'!$Y$18:$AG$42,'Introducció dades consum'!K2395+1,0)</f>
        <v>0</v>
      </c>
      <c r="O2395" s="370" cm="1">
        <f t="array" ref="O2395">+_xlfn.SWITCH(MONTH(C2395),1,1,2,1,3,1,4,2,5,2,6,3,7,3,8,3,9,3,10,2,11,2,12,1,2)</f>
        <v>1</v>
      </c>
      <c r="P2395" s="43"/>
    </row>
    <row r="2396" spans="1:16" ht="18" x14ac:dyDescent="0.35">
      <c r="A2396" s="43"/>
      <c r="C2396" s="393"/>
      <c r="E2396" s="394"/>
      <c r="F2396" s="394">
        <v>0.63700000000000001</v>
      </c>
      <c r="G2396" s="394"/>
      <c r="H2396" s="8" t="s">
        <v>61</v>
      </c>
      <c r="I2396" s="368">
        <f t="shared" si="112"/>
        <v>0</v>
      </c>
      <c r="J2396" s="365">
        <f t="shared" si="111"/>
        <v>0</v>
      </c>
      <c r="K2396" s="369">
        <f t="shared" si="113"/>
        <v>6</v>
      </c>
      <c r="L2396" s="369">
        <f>+IF((C2396&gt;='Resultats - informe'!$E$16)*(C2396&lt;='Resultats - informe'!$G$16),1,0)</f>
        <v>1</v>
      </c>
      <c r="M2396" s="369" cm="1">
        <f t="array" ref="M2396">+_xlfn.IFS((C2396&gt;='Resultats - informe'!$D$26)*(C2396&lt;='Resultats - informe'!$E$26),0,(C2396&gt;='Resultats - informe'!$D$27)*(C2396&lt;='Resultats - informe'!$E$27),0,(C2396&gt;='Resultats - informe'!$D$28)*(C2396&lt;='Resultats - informe'!$E$28),0,(C2396&gt;='Resultats - informe'!$D$29)*(C2396&lt;='Resultats - informe'!$E$29),0,1,1)</f>
        <v>0</v>
      </c>
      <c r="N2396" s="366">
        <f>+VLOOKUP(D2396,'Resultats - informe'!$Y$18:$AG$42,'Introducció dades consum'!K2396+1,0)</f>
        <v>0</v>
      </c>
      <c r="O2396" s="370" cm="1">
        <f t="array" ref="O2396">+_xlfn.SWITCH(MONTH(C2396),1,1,2,1,3,1,4,2,5,2,6,3,7,3,8,3,9,3,10,2,11,2,12,1,2)</f>
        <v>1</v>
      </c>
      <c r="P2396" s="43"/>
    </row>
    <row r="2397" spans="1:16" ht="18" x14ac:dyDescent="0.35">
      <c r="A2397" s="43"/>
      <c r="C2397" s="393"/>
      <c r="E2397" s="394"/>
      <c r="F2397" s="394">
        <v>0.80800000000000005</v>
      </c>
      <c r="G2397" s="394"/>
      <c r="H2397" s="8" t="s">
        <v>61</v>
      </c>
      <c r="I2397" s="368">
        <f t="shared" si="112"/>
        <v>0</v>
      </c>
      <c r="J2397" s="365">
        <f t="shared" si="111"/>
        <v>0</v>
      </c>
      <c r="K2397" s="369">
        <f t="shared" si="113"/>
        <v>6</v>
      </c>
      <c r="L2397" s="369">
        <f>+IF((C2397&gt;='Resultats - informe'!$E$16)*(C2397&lt;='Resultats - informe'!$G$16),1,0)</f>
        <v>1</v>
      </c>
      <c r="M2397" s="369" cm="1">
        <f t="array" ref="M2397">+_xlfn.IFS((C2397&gt;='Resultats - informe'!$D$26)*(C2397&lt;='Resultats - informe'!$E$26),0,(C2397&gt;='Resultats - informe'!$D$27)*(C2397&lt;='Resultats - informe'!$E$27),0,(C2397&gt;='Resultats - informe'!$D$28)*(C2397&lt;='Resultats - informe'!$E$28),0,(C2397&gt;='Resultats - informe'!$D$29)*(C2397&lt;='Resultats - informe'!$E$29),0,1,1)</f>
        <v>0</v>
      </c>
      <c r="N2397" s="366">
        <f>+VLOOKUP(D2397,'Resultats - informe'!$Y$18:$AG$42,'Introducció dades consum'!K2397+1,0)</f>
        <v>0</v>
      </c>
      <c r="O2397" s="370" cm="1">
        <f t="array" ref="O2397">+_xlfn.SWITCH(MONTH(C2397),1,1,2,1,3,1,4,2,5,2,6,3,7,3,8,3,9,3,10,2,11,2,12,1,2)</f>
        <v>1</v>
      </c>
      <c r="P2397" s="43"/>
    </row>
    <row r="2398" spans="1:16" ht="18" x14ac:dyDescent="0.35">
      <c r="A2398" s="43"/>
      <c r="C2398" s="393"/>
      <c r="E2398" s="394"/>
      <c r="F2398" s="394">
        <v>0</v>
      </c>
      <c r="G2398" s="394"/>
      <c r="H2398" s="8" t="s">
        <v>235</v>
      </c>
      <c r="I2398" s="368">
        <f t="shared" si="112"/>
        <v>0</v>
      </c>
      <c r="J2398" s="365">
        <f t="shared" si="111"/>
        <v>0</v>
      </c>
      <c r="K2398" s="369">
        <f t="shared" si="113"/>
        <v>6</v>
      </c>
      <c r="L2398" s="369">
        <f>+IF((C2398&gt;='Resultats - informe'!$E$16)*(C2398&lt;='Resultats - informe'!$G$16),1,0)</f>
        <v>1</v>
      </c>
      <c r="M2398" s="369" cm="1">
        <f t="array" ref="M2398">+_xlfn.IFS((C2398&gt;='Resultats - informe'!$D$26)*(C2398&lt;='Resultats - informe'!$E$26),0,(C2398&gt;='Resultats - informe'!$D$27)*(C2398&lt;='Resultats - informe'!$E$27),0,(C2398&gt;='Resultats - informe'!$D$28)*(C2398&lt;='Resultats - informe'!$E$28),0,(C2398&gt;='Resultats - informe'!$D$29)*(C2398&lt;='Resultats - informe'!$E$29),0,1,1)</f>
        <v>0</v>
      </c>
      <c r="N2398" s="366">
        <f>+VLOOKUP(D2398,'Resultats - informe'!$Y$18:$AG$42,'Introducció dades consum'!K2398+1,0)</f>
        <v>0</v>
      </c>
      <c r="O2398" s="370" cm="1">
        <f t="array" ref="O2398">+_xlfn.SWITCH(MONTH(C2398),1,1,2,1,3,1,4,2,5,2,6,3,7,3,8,3,9,3,10,2,11,2,12,1,2)</f>
        <v>1</v>
      </c>
      <c r="P2398" s="43"/>
    </row>
    <row r="2399" spans="1:16" ht="18" x14ac:dyDescent="0.35">
      <c r="A2399" s="43"/>
      <c r="C2399" s="393"/>
      <c r="E2399" s="394"/>
      <c r="F2399" s="394">
        <v>0</v>
      </c>
      <c r="G2399" s="394"/>
      <c r="H2399" s="8" t="s">
        <v>235</v>
      </c>
      <c r="I2399" s="368">
        <f t="shared" si="112"/>
        <v>0</v>
      </c>
      <c r="J2399" s="365">
        <f t="shared" si="111"/>
        <v>0</v>
      </c>
      <c r="K2399" s="369">
        <f t="shared" si="113"/>
        <v>6</v>
      </c>
      <c r="L2399" s="369">
        <f>+IF((C2399&gt;='Resultats - informe'!$E$16)*(C2399&lt;='Resultats - informe'!$G$16),1,0)</f>
        <v>1</v>
      </c>
      <c r="M2399" s="369" cm="1">
        <f t="array" ref="M2399">+_xlfn.IFS((C2399&gt;='Resultats - informe'!$D$26)*(C2399&lt;='Resultats - informe'!$E$26),0,(C2399&gt;='Resultats - informe'!$D$27)*(C2399&lt;='Resultats - informe'!$E$27),0,(C2399&gt;='Resultats - informe'!$D$28)*(C2399&lt;='Resultats - informe'!$E$28),0,(C2399&gt;='Resultats - informe'!$D$29)*(C2399&lt;='Resultats - informe'!$E$29),0,1,1)</f>
        <v>0</v>
      </c>
      <c r="N2399" s="366">
        <f>+VLOOKUP(D2399,'Resultats - informe'!$Y$18:$AG$42,'Introducció dades consum'!K2399+1,0)</f>
        <v>0</v>
      </c>
      <c r="O2399" s="370" cm="1">
        <f t="array" ref="O2399">+_xlfn.SWITCH(MONTH(C2399),1,1,2,1,3,1,4,2,5,2,6,3,7,3,8,3,9,3,10,2,11,2,12,1,2)</f>
        <v>1</v>
      </c>
      <c r="P2399" s="43"/>
    </row>
    <row r="2400" spans="1:16" ht="18" x14ac:dyDescent="0.35">
      <c r="A2400" s="43"/>
      <c r="C2400" s="393"/>
      <c r="E2400" s="394"/>
      <c r="F2400" s="394">
        <v>0</v>
      </c>
      <c r="G2400" s="394"/>
      <c r="H2400" s="8" t="s">
        <v>235</v>
      </c>
      <c r="I2400" s="368">
        <f t="shared" si="112"/>
        <v>0</v>
      </c>
      <c r="J2400" s="365">
        <f t="shared" si="111"/>
        <v>0</v>
      </c>
      <c r="K2400" s="369">
        <f t="shared" si="113"/>
        <v>6</v>
      </c>
      <c r="L2400" s="369">
        <f>+IF((C2400&gt;='Resultats - informe'!$E$16)*(C2400&lt;='Resultats - informe'!$G$16),1,0)</f>
        <v>1</v>
      </c>
      <c r="M2400" s="369" cm="1">
        <f t="array" ref="M2400">+_xlfn.IFS((C2400&gt;='Resultats - informe'!$D$26)*(C2400&lt;='Resultats - informe'!$E$26),0,(C2400&gt;='Resultats - informe'!$D$27)*(C2400&lt;='Resultats - informe'!$E$27),0,(C2400&gt;='Resultats - informe'!$D$28)*(C2400&lt;='Resultats - informe'!$E$28),0,(C2400&gt;='Resultats - informe'!$D$29)*(C2400&lt;='Resultats - informe'!$E$29),0,1,1)</f>
        <v>0</v>
      </c>
      <c r="N2400" s="366">
        <f>+VLOOKUP(D2400,'Resultats - informe'!$Y$18:$AG$42,'Introducció dades consum'!K2400+1,0)</f>
        <v>0</v>
      </c>
      <c r="O2400" s="370" cm="1">
        <f t="array" ref="O2400">+_xlfn.SWITCH(MONTH(C2400),1,1,2,1,3,1,4,2,5,2,6,3,7,3,8,3,9,3,10,2,11,2,12,1,2)</f>
        <v>1</v>
      </c>
      <c r="P2400" s="43"/>
    </row>
    <row r="2401" spans="1:16" ht="18" x14ac:dyDescent="0.35">
      <c r="A2401" s="43"/>
      <c r="C2401" s="393"/>
      <c r="E2401" s="394"/>
      <c r="F2401" s="394">
        <v>0</v>
      </c>
      <c r="G2401" s="394"/>
      <c r="H2401" s="8" t="s">
        <v>235</v>
      </c>
      <c r="I2401" s="368">
        <f t="shared" si="112"/>
        <v>0</v>
      </c>
      <c r="J2401" s="365">
        <f t="shared" si="111"/>
        <v>0</v>
      </c>
      <c r="K2401" s="369">
        <f t="shared" si="113"/>
        <v>6</v>
      </c>
      <c r="L2401" s="369">
        <f>+IF((C2401&gt;='Resultats - informe'!$E$16)*(C2401&lt;='Resultats - informe'!$G$16),1,0)</f>
        <v>1</v>
      </c>
      <c r="M2401" s="369" cm="1">
        <f t="array" ref="M2401">+_xlfn.IFS((C2401&gt;='Resultats - informe'!$D$26)*(C2401&lt;='Resultats - informe'!$E$26),0,(C2401&gt;='Resultats - informe'!$D$27)*(C2401&lt;='Resultats - informe'!$E$27),0,(C2401&gt;='Resultats - informe'!$D$28)*(C2401&lt;='Resultats - informe'!$E$28),0,(C2401&gt;='Resultats - informe'!$D$29)*(C2401&lt;='Resultats - informe'!$E$29),0,1,1)</f>
        <v>0</v>
      </c>
      <c r="N2401" s="366">
        <f>+VLOOKUP(D2401,'Resultats - informe'!$Y$18:$AG$42,'Introducció dades consum'!K2401+1,0)</f>
        <v>0</v>
      </c>
      <c r="O2401" s="370" cm="1">
        <f t="array" ref="O2401">+_xlfn.SWITCH(MONTH(C2401),1,1,2,1,3,1,4,2,5,2,6,3,7,3,8,3,9,3,10,2,11,2,12,1,2)</f>
        <v>1</v>
      </c>
      <c r="P2401" s="43"/>
    </row>
    <row r="2402" spans="1:16" ht="18" x14ac:dyDescent="0.35">
      <c r="A2402" s="43"/>
      <c r="C2402" s="393"/>
      <c r="E2402" s="394"/>
      <c r="F2402" s="394">
        <v>0</v>
      </c>
      <c r="G2402" s="394"/>
      <c r="H2402" s="8" t="s">
        <v>235</v>
      </c>
      <c r="I2402" s="368">
        <f t="shared" si="112"/>
        <v>0</v>
      </c>
      <c r="J2402" s="365">
        <f t="shared" si="111"/>
        <v>0</v>
      </c>
      <c r="K2402" s="369">
        <f t="shared" si="113"/>
        <v>6</v>
      </c>
      <c r="L2402" s="369">
        <f>+IF((C2402&gt;='Resultats - informe'!$E$16)*(C2402&lt;='Resultats - informe'!$G$16),1,0)</f>
        <v>1</v>
      </c>
      <c r="M2402" s="369" cm="1">
        <f t="array" ref="M2402">+_xlfn.IFS((C2402&gt;='Resultats - informe'!$D$26)*(C2402&lt;='Resultats - informe'!$E$26),0,(C2402&gt;='Resultats - informe'!$D$27)*(C2402&lt;='Resultats - informe'!$E$27),0,(C2402&gt;='Resultats - informe'!$D$28)*(C2402&lt;='Resultats - informe'!$E$28),0,(C2402&gt;='Resultats - informe'!$D$29)*(C2402&lt;='Resultats - informe'!$E$29),0,1,1)</f>
        <v>0</v>
      </c>
      <c r="N2402" s="366">
        <f>+VLOOKUP(D2402,'Resultats - informe'!$Y$18:$AG$42,'Introducció dades consum'!K2402+1,0)</f>
        <v>0</v>
      </c>
      <c r="O2402" s="370" cm="1">
        <f t="array" ref="O2402">+_xlfn.SWITCH(MONTH(C2402),1,1,2,1,3,1,4,2,5,2,6,3,7,3,8,3,9,3,10,2,11,2,12,1,2)</f>
        <v>1</v>
      </c>
      <c r="P2402" s="43"/>
    </row>
    <row r="2403" spans="1:16" ht="18" x14ac:dyDescent="0.35">
      <c r="A2403" s="43"/>
      <c r="C2403" s="393"/>
      <c r="E2403" s="394"/>
      <c r="F2403" s="394">
        <v>0</v>
      </c>
      <c r="G2403" s="394"/>
      <c r="H2403" s="8" t="s">
        <v>235</v>
      </c>
      <c r="I2403" s="368">
        <f t="shared" si="112"/>
        <v>0</v>
      </c>
      <c r="J2403" s="365">
        <f t="shared" si="111"/>
        <v>0</v>
      </c>
      <c r="K2403" s="369">
        <f t="shared" si="113"/>
        <v>6</v>
      </c>
      <c r="L2403" s="369">
        <f>+IF((C2403&gt;='Resultats - informe'!$E$16)*(C2403&lt;='Resultats - informe'!$G$16),1,0)</f>
        <v>1</v>
      </c>
      <c r="M2403" s="369" cm="1">
        <f t="array" ref="M2403">+_xlfn.IFS((C2403&gt;='Resultats - informe'!$D$26)*(C2403&lt;='Resultats - informe'!$E$26),0,(C2403&gt;='Resultats - informe'!$D$27)*(C2403&lt;='Resultats - informe'!$E$27),0,(C2403&gt;='Resultats - informe'!$D$28)*(C2403&lt;='Resultats - informe'!$E$28),0,(C2403&gt;='Resultats - informe'!$D$29)*(C2403&lt;='Resultats - informe'!$E$29),0,1,1)</f>
        <v>0</v>
      </c>
      <c r="N2403" s="366">
        <f>+VLOOKUP(D2403,'Resultats - informe'!$Y$18:$AG$42,'Introducció dades consum'!K2403+1,0)</f>
        <v>0</v>
      </c>
      <c r="O2403" s="370" cm="1">
        <f t="array" ref="O2403">+_xlfn.SWITCH(MONTH(C2403),1,1,2,1,3,1,4,2,5,2,6,3,7,3,8,3,9,3,10,2,11,2,12,1,2)</f>
        <v>1</v>
      </c>
      <c r="P2403" s="43"/>
    </row>
    <row r="2404" spans="1:16" ht="18" x14ac:dyDescent="0.35">
      <c r="A2404" s="43"/>
      <c r="C2404" s="393"/>
      <c r="E2404" s="394"/>
      <c r="F2404" s="394">
        <v>0</v>
      </c>
      <c r="G2404" s="394"/>
      <c r="H2404" s="8" t="s">
        <v>235</v>
      </c>
      <c r="I2404" s="368">
        <f t="shared" si="112"/>
        <v>0</v>
      </c>
      <c r="J2404" s="365">
        <f t="shared" si="111"/>
        <v>0</v>
      </c>
      <c r="K2404" s="369">
        <f t="shared" si="113"/>
        <v>6</v>
      </c>
      <c r="L2404" s="369">
        <f>+IF((C2404&gt;='Resultats - informe'!$E$16)*(C2404&lt;='Resultats - informe'!$G$16),1,0)</f>
        <v>1</v>
      </c>
      <c r="M2404" s="369" cm="1">
        <f t="array" ref="M2404">+_xlfn.IFS((C2404&gt;='Resultats - informe'!$D$26)*(C2404&lt;='Resultats - informe'!$E$26),0,(C2404&gt;='Resultats - informe'!$D$27)*(C2404&lt;='Resultats - informe'!$E$27),0,(C2404&gt;='Resultats - informe'!$D$28)*(C2404&lt;='Resultats - informe'!$E$28),0,(C2404&gt;='Resultats - informe'!$D$29)*(C2404&lt;='Resultats - informe'!$E$29),0,1,1)</f>
        <v>0</v>
      </c>
      <c r="N2404" s="366">
        <f>+VLOOKUP(D2404,'Resultats - informe'!$Y$18:$AG$42,'Introducció dades consum'!K2404+1,0)</f>
        <v>0</v>
      </c>
      <c r="O2404" s="370" cm="1">
        <f t="array" ref="O2404">+_xlfn.SWITCH(MONTH(C2404),1,1,2,1,3,1,4,2,5,2,6,3,7,3,8,3,9,3,10,2,11,2,12,1,2)</f>
        <v>1</v>
      </c>
      <c r="P2404" s="43"/>
    </row>
    <row r="2405" spans="1:16" ht="18" x14ac:dyDescent="0.35">
      <c r="A2405" s="43"/>
      <c r="C2405" s="393"/>
      <c r="E2405" s="394"/>
      <c r="F2405" s="394">
        <v>0</v>
      </c>
      <c r="G2405" s="394"/>
      <c r="H2405" s="8" t="s">
        <v>235</v>
      </c>
      <c r="I2405" s="368">
        <f t="shared" si="112"/>
        <v>0</v>
      </c>
      <c r="J2405" s="365">
        <f t="shared" si="111"/>
        <v>0</v>
      </c>
      <c r="K2405" s="369">
        <f t="shared" si="113"/>
        <v>6</v>
      </c>
      <c r="L2405" s="369">
        <f>+IF((C2405&gt;='Resultats - informe'!$E$16)*(C2405&lt;='Resultats - informe'!$G$16),1,0)</f>
        <v>1</v>
      </c>
      <c r="M2405" s="369" cm="1">
        <f t="array" ref="M2405">+_xlfn.IFS((C2405&gt;='Resultats - informe'!$D$26)*(C2405&lt;='Resultats - informe'!$E$26),0,(C2405&gt;='Resultats - informe'!$D$27)*(C2405&lt;='Resultats - informe'!$E$27),0,(C2405&gt;='Resultats - informe'!$D$28)*(C2405&lt;='Resultats - informe'!$E$28),0,(C2405&gt;='Resultats - informe'!$D$29)*(C2405&lt;='Resultats - informe'!$E$29),0,1,1)</f>
        <v>0</v>
      </c>
      <c r="N2405" s="366">
        <f>+VLOOKUP(D2405,'Resultats - informe'!$Y$18:$AG$42,'Introducció dades consum'!K2405+1,0)</f>
        <v>0</v>
      </c>
      <c r="O2405" s="370" cm="1">
        <f t="array" ref="O2405">+_xlfn.SWITCH(MONTH(C2405),1,1,2,1,3,1,4,2,5,2,6,3,7,3,8,3,9,3,10,2,11,2,12,1,2)</f>
        <v>1</v>
      </c>
      <c r="P2405" s="43"/>
    </row>
    <row r="2406" spans="1:16" ht="18" x14ac:dyDescent="0.35">
      <c r="A2406" s="43"/>
      <c r="C2406" s="393"/>
      <c r="E2406" s="394"/>
      <c r="F2406" s="394">
        <v>0</v>
      </c>
      <c r="G2406" s="394"/>
      <c r="H2406" s="8" t="s">
        <v>235</v>
      </c>
      <c r="I2406" s="368">
        <f t="shared" si="112"/>
        <v>0</v>
      </c>
      <c r="J2406" s="365">
        <f t="shared" si="111"/>
        <v>0</v>
      </c>
      <c r="K2406" s="369">
        <f t="shared" si="113"/>
        <v>6</v>
      </c>
      <c r="L2406" s="369">
        <f>+IF((C2406&gt;='Resultats - informe'!$E$16)*(C2406&lt;='Resultats - informe'!$G$16),1,0)</f>
        <v>1</v>
      </c>
      <c r="M2406" s="369" cm="1">
        <f t="array" ref="M2406">+_xlfn.IFS((C2406&gt;='Resultats - informe'!$D$26)*(C2406&lt;='Resultats - informe'!$E$26),0,(C2406&gt;='Resultats - informe'!$D$27)*(C2406&lt;='Resultats - informe'!$E$27),0,(C2406&gt;='Resultats - informe'!$D$28)*(C2406&lt;='Resultats - informe'!$E$28),0,(C2406&gt;='Resultats - informe'!$D$29)*(C2406&lt;='Resultats - informe'!$E$29),0,1,1)</f>
        <v>0</v>
      </c>
      <c r="N2406" s="366">
        <f>+VLOOKUP(D2406,'Resultats - informe'!$Y$18:$AG$42,'Introducció dades consum'!K2406+1,0)</f>
        <v>0</v>
      </c>
      <c r="O2406" s="370" cm="1">
        <f t="array" ref="O2406">+_xlfn.SWITCH(MONTH(C2406),1,1,2,1,3,1,4,2,5,2,6,3,7,3,8,3,9,3,10,2,11,2,12,1,2)</f>
        <v>1</v>
      </c>
      <c r="P2406" s="43"/>
    </row>
    <row r="2407" spans="1:16" ht="18" x14ac:dyDescent="0.35">
      <c r="A2407" s="43"/>
      <c r="C2407" s="393"/>
      <c r="E2407" s="394"/>
      <c r="F2407" s="394">
        <v>0</v>
      </c>
      <c r="G2407" s="394"/>
      <c r="H2407" s="8" t="s">
        <v>235</v>
      </c>
      <c r="I2407" s="368">
        <f t="shared" si="112"/>
        <v>0</v>
      </c>
      <c r="J2407" s="365">
        <f t="shared" si="111"/>
        <v>0</v>
      </c>
      <c r="K2407" s="369">
        <f t="shared" si="113"/>
        <v>6</v>
      </c>
      <c r="L2407" s="369">
        <f>+IF((C2407&gt;='Resultats - informe'!$E$16)*(C2407&lt;='Resultats - informe'!$G$16),1,0)</f>
        <v>1</v>
      </c>
      <c r="M2407" s="369" cm="1">
        <f t="array" ref="M2407">+_xlfn.IFS((C2407&gt;='Resultats - informe'!$D$26)*(C2407&lt;='Resultats - informe'!$E$26),0,(C2407&gt;='Resultats - informe'!$D$27)*(C2407&lt;='Resultats - informe'!$E$27),0,(C2407&gt;='Resultats - informe'!$D$28)*(C2407&lt;='Resultats - informe'!$E$28),0,(C2407&gt;='Resultats - informe'!$D$29)*(C2407&lt;='Resultats - informe'!$E$29),0,1,1)</f>
        <v>0</v>
      </c>
      <c r="N2407" s="366">
        <f>+VLOOKUP(D2407,'Resultats - informe'!$Y$18:$AG$42,'Introducció dades consum'!K2407+1,0)</f>
        <v>0</v>
      </c>
      <c r="O2407" s="370" cm="1">
        <f t="array" ref="O2407">+_xlfn.SWITCH(MONTH(C2407),1,1,2,1,3,1,4,2,5,2,6,3,7,3,8,3,9,3,10,2,11,2,12,1,2)</f>
        <v>1</v>
      </c>
      <c r="P2407" s="43"/>
    </row>
    <row r="2408" spans="1:16" ht="18" x14ac:dyDescent="0.35">
      <c r="A2408" s="43"/>
      <c r="C2408" s="393"/>
      <c r="E2408" s="394"/>
      <c r="F2408" s="394">
        <v>0</v>
      </c>
      <c r="G2408" s="394"/>
      <c r="H2408" s="8" t="s">
        <v>235</v>
      </c>
      <c r="I2408" s="368">
        <f t="shared" si="112"/>
        <v>0</v>
      </c>
      <c r="J2408" s="365">
        <f t="shared" si="111"/>
        <v>0</v>
      </c>
      <c r="K2408" s="369">
        <f t="shared" si="113"/>
        <v>6</v>
      </c>
      <c r="L2408" s="369">
        <f>+IF((C2408&gt;='Resultats - informe'!$E$16)*(C2408&lt;='Resultats - informe'!$G$16),1,0)</f>
        <v>1</v>
      </c>
      <c r="M2408" s="369" cm="1">
        <f t="array" ref="M2408">+_xlfn.IFS((C2408&gt;='Resultats - informe'!$D$26)*(C2408&lt;='Resultats - informe'!$E$26),0,(C2408&gt;='Resultats - informe'!$D$27)*(C2408&lt;='Resultats - informe'!$E$27),0,(C2408&gt;='Resultats - informe'!$D$28)*(C2408&lt;='Resultats - informe'!$E$28),0,(C2408&gt;='Resultats - informe'!$D$29)*(C2408&lt;='Resultats - informe'!$E$29),0,1,1)</f>
        <v>0</v>
      </c>
      <c r="N2408" s="366">
        <f>+VLOOKUP(D2408,'Resultats - informe'!$Y$18:$AG$42,'Introducció dades consum'!K2408+1,0)</f>
        <v>0</v>
      </c>
      <c r="O2408" s="370" cm="1">
        <f t="array" ref="O2408">+_xlfn.SWITCH(MONTH(C2408),1,1,2,1,3,1,4,2,5,2,6,3,7,3,8,3,9,3,10,2,11,2,12,1,2)</f>
        <v>1</v>
      </c>
      <c r="P2408" s="43"/>
    </row>
    <row r="2409" spans="1:16" ht="18" x14ac:dyDescent="0.35">
      <c r="A2409" s="43"/>
      <c r="C2409" s="393"/>
      <c r="E2409" s="394"/>
      <c r="F2409" s="394">
        <v>0</v>
      </c>
      <c r="G2409" s="394"/>
      <c r="H2409" s="8" t="s">
        <v>235</v>
      </c>
      <c r="I2409" s="368">
        <f t="shared" si="112"/>
        <v>0</v>
      </c>
      <c r="J2409" s="365">
        <f t="shared" si="111"/>
        <v>0</v>
      </c>
      <c r="K2409" s="369">
        <f t="shared" si="113"/>
        <v>6</v>
      </c>
      <c r="L2409" s="369">
        <f>+IF((C2409&gt;='Resultats - informe'!$E$16)*(C2409&lt;='Resultats - informe'!$G$16),1,0)</f>
        <v>1</v>
      </c>
      <c r="M2409" s="369" cm="1">
        <f t="array" ref="M2409">+_xlfn.IFS((C2409&gt;='Resultats - informe'!$D$26)*(C2409&lt;='Resultats - informe'!$E$26),0,(C2409&gt;='Resultats - informe'!$D$27)*(C2409&lt;='Resultats - informe'!$E$27),0,(C2409&gt;='Resultats - informe'!$D$28)*(C2409&lt;='Resultats - informe'!$E$28),0,(C2409&gt;='Resultats - informe'!$D$29)*(C2409&lt;='Resultats - informe'!$E$29),0,1,1)</f>
        <v>0</v>
      </c>
      <c r="N2409" s="366">
        <f>+VLOOKUP(D2409,'Resultats - informe'!$Y$18:$AG$42,'Introducció dades consum'!K2409+1,0)</f>
        <v>0</v>
      </c>
      <c r="O2409" s="370" cm="1">
        <f t="array" ref="O2409">+_xlfn.SWITCH(MONTH(C2409),1,1,2,1,3,1,4,2,5,2,6,3,7,3,8,3,9,3,10,2,11,2,12,1,2)</f>
        <v>1</v>
      </c>
      <c r="P2409" s="43"/>
    </row>
    <row r="2410" spans="1:16" ht="18" x14ac:dyDescent="0.35">
      <c r="A2410" s="43"/>
      <c r="C2410" s="393"/>
      <c r="E2410" s="394"/>
      <c r="F2410" s="394">
        <v>0.59</v>
      </c>
      <c r="G2410" s="394"/>
      <c r="H2410" s="8" t="s">
        <v>235</v>
      </c>
      <c r="I2410" s="368">
        <f t="shared" si="112"/>
        <v>0</v>
      </c>
      <c r="J2410" s="365">
        <f t="shared" si="111"/>
        <v>0</v>
      </c>
      <c r="K2410" s="369">
        <f t="shared" si="113"/>
        <v>6</v>
      </c>
      <c r="L2410" s="369">
        <f>+IF((C2410&gt;='Resultats - informe'!$E$16)*(C2410&lt;='Resultats - informe'!$G$16),1,0)</f>
        <v>1</v>
      </c>
      <c r="M2410" s="369" cm="1">
        <f t="array" ref="M2410">+_xlfn.IFS((C2410&gt;='Resultats - informe'!$D$26)*(C2410&lt;='Resultats - informe'!$E$26),0,(C2410&gt;='Resultats - informe'!$D$27)*(C2410&lt;='Resultats - informe'!$E$27),0,(C2410&gt;='Resultats - informe'!$D$28)*(C2410&lt;='Resultats - informe'!$E$28),0,(C2410&gt;='Resultats - informe'!$D$29)*(C2410&lt;='Resultats - informe'!$E$29),0,1,1)</f>
        <v>0</v>
      </c>
      <c r="N2410" s="366">
        <f>+VLOOKUP(D2410,'Resultats - informe'!$Y$18:$AG$42,'Introducció dades consum'!K2410+1,0)</f>
        <v>0</v>
      </c>
      <c r="O2410" s="370" cm="1">
        <f t="array" ref="O2410">+_xlfn.SWITCH(MONTH(C2410),1,1,2,1,3,1,4,2,5,2,6,3,7,3,8,3,9,3,10,2,11,2,12,1,2)</f>
        <v>1</v>
      </c>
      <c r="P2410" s="43"/>
    </row>
    <row r="2411" spans="1:16" ht="18" x14ac:dyDescent="0.35">
      <c r="A2411" s="43"/>
      <c r="C2411" s="393"/>
      <c r="E2411" s="394"/>
      <c r="F2411" s="394">
        <v>1.4830000000000001</v>
      </c>
      <c r="G2411" s="394"/>
      <c r="H2411" s="8" t="s">
        <v>235</v>
      </c>
      <c r="I2411" s="368">
        <f t="shared" si="112"/>
        <v>0</v>
      </c>
      <c r="J2411" s="365">
        <f t="shared" si="111"/>
        <v>0</v>
      </c>
      <c r="K2411" s="369">
        <f t="shared" si="113"/>
        <v>6</v>
      </c>
      <c r="L2411" s="369">
        <f>+IF((C2411&gt;='Resultats - informe'!$E$16)*(C2411&lt;='Resultats - informe'!$G$16),1,0)</f>
        <v>1</v>
      </c>
      <c r="M2411" s="369" cm="1">
        <f t="array" ref="M2411">+_xlfn.IFS((C2411&gt;='Resultats - informe'!$D$26)*(C2411&lt;='Resultats - informe'!$E$26),0,(C2411&gt;='Resultats - informe'!$D$27)*(C2411&lt;='Resultats - informe'!$E$27),0,(C2411&gt;='Resultats - informe'!$D$28)*(C2411&lt;='Resultats - informe'!$E$28),0,(C2411&gt;='Resultats - informe'!$D$29)*(C2411&lt;='Resultats - informe'!$E$29),0,1,1)</f>
        <v>0</v>
      </c>
      <c r="N2411" s="366">
        <f>+VLOOKUP(D2411,'Resultats - informe'!$Y$18:$AG$42,'Introducció dades consum'!K2411+1,0)</f>
        <v>0</v>
      </c>
      <c r="O2411" s="370" cm="1">
        <f t="array" ref="O2411">+_xlfn.SWITCH(MONTH(C2411),1,1,2,1,3,1,4,2,5,2,6,3,7,3,8,3,9,3,10,2,11,2,12,1,2)</f>
        <v>1</v>
      </c>
      <c r="P2411" s="43"/>
    </row>
    <row r="2412" spans="1:16" ht="18" x14ac:dyDescent="0.35">
      <c r="A2412" s="43"/>
      <c r="C2412" s="393"/>
      <c r="E2412" s="394"/>
      <c r="F2412" s="394">
        <v>2.0670000000000002</v>
      </c>
      <c r="G2412" s="394"/>
      <c r="H2412" s="8" t="s">
        <v>235</v>
      </c>
      <c r="I2412" s="368">
        <f t="shared" si="112"/>
        <v>0</v>
      </c>
      <c r="J2412" s="365">
        <f t="shared" si="111"/>
        <v>0</v>
      </c>
      <c r="K2412" s="369">
        <f t="shared" si="113"/>
        <v>6</v>
      </c>
      <c r="L2412" s="369">
        <f>+IF((C2412&gt;='Resultats - informe'!$E$16)*(C2412&lt;='Resultats - informe'!$G$16),1,0)</f>
        <v>1</v>
      </c>
      <c r="M2412" s="369" cm="1">
        <f t="array" ref="M2412">+_xlfn.IFS((C2412&gt;='Resultats - informe'!$D$26)*(C2412&lt;='Resultats - informe'!$E$26),0,(C2412&gt;='Resultats - informe'!$D$27)*(C2412&lt;='Resultats - informe'!$E$27),0,(C2412&gt;='Resultats - informe'!$D$28)*(C2412&lt;='Resultats - informe'!$E$28),0,(C2412&gt;='Resultats - informe'!$D$29)*(C2412&lt;='Resultats - informe'!$E$29),0,1,1)</f>
        <v>0</v>
      </c>
      <c r="N2412" s="366">
        <f>+VLOOKUP(D2412,'Resultats - informe'!$Y$18:$AG$42,'Introducció dades consum'!K2412+1,0)</f>
        <v>0</v>
      </c>
      <c r="O2412" s="370" cm="1">
        <f t="array" ref="O2412">+_xlfn.SWITCH(MONTH(C2412),1,1,2,1,3,1,4,2,5,2,6,3,7,3,8,3,9,3,10,2,11,2,12,1,2)</f>
        <v>1</v>
      </c>
      <c r="P2412" s="43"/>
    </row>
    <row r="2413" spans="1:16" ht="18" x14ac:dyDescent="0.35">
      <c r="A2413" s="43"/>
      <c r="C2413" s="393"/>
      <c r="E2413" s="394"/>
      <c r="F2413" s="394">
        <v>3.2759999999999998</v>
      </c>
      <c r="G2413" s="394"/>
      <c r="H2413" s="8" t="s">
        <v>235</v>
      </c>
      <c r="I2413" s="368">
        <f t="shared" si="112"/>
        <v>0</v>
      </c>
      <c r="J2413" s="365">
        <f t="shared" si="111"/>
        <v>0</v>
      </c>
      <c r="K2413" s="369">
        <f t="shared" si="113"/>
        <v>6</v>
      </c>
      <c r="L2413" s="369">
        <f>+IF((C2413&gt;='Resultats - informe'!$E$16)*(C2413&lt;='Resultats - informe'!$G$16),1,0)</f>
        <v>1</v>
      </c>
      <c r="M2413" s="369" cm="1">
        <f t="array" ref="M2413">+_xlfn.IFS((C2413&gt;='Resultats - informe'!$D$26)*(C2413&lt;='Resultats - informe'!$E$26),0,(C2413&gt;='Resultats - informe'!$D$27)*(C2413&lt;='Resultats - informe'!$E$27),0,(C2413&gt;='Resultats - informe'!$D$28)*(C2413&lt;='Resultats - informe'!$E$28),0,(C2413&gt;='Resultats - informe'!$D$29)*(C2413&lt;='Resultats - informe'!$E$29),0,1,1)</f>
        <v>0</v>
      </c>
      <c r="N2413" s="366">
        <f>+VLOOKUP(D2413,'Resultats - informe'!$Y$18:$AG$42,'Introducció dades consum'!K2413+1,0)</f>
        <v>0</v>
      </c>
      <c r="O2413" s="370" cm="1">
        <f t="array" ref="O2413">+_xlfn.SWITCH(MONTH(C2413),1,1,2,1,3,1,4,2,5,2,6,3,7,3,8,3,9,3,10,2,11,2,12,1,2)</f>
        <v>1</v>
      </c>
      <c r="P2413" s="43"/>
    </row>
    <row r="2414" spans="1:16" ht="18" x14ac:dyDescent="0.35">
      <c r="A2414" s="43"/>
      <c r="C2414" s="393"/>
      <c r="E2414" s="394"/>
      <c r="F2414" s="394">
        <v>3.2250000000000001</v>
      </c>
      <c r="G2414" s="394"/>
      <c r="H2414" s="8" t="s">
        <v>235</v>
      </c>
      <c r="I2414" s="368">
        <f t="shared" si="112"/>
        <v>0</v>
      </c>
      <c r="J2414" s="365">
        <f t="shared" si="111"/>
        <v>0</v>
      </c>
      <c r="K2414" s="369">
        <f t="shared" si="113"/>
        <v>6</v>
      </c>
      <c r="L2414" s="369">
        <f>+IF((C2414&gt;='Resultats - informe'!$E$16)*(C2414&lt;='Resultats - informe'!$G$16),1,0)</f>
        <v>1</v>
      </c>
      <c r="M2414" s="369" cm="1">
        <f t="array" ref="M2414">+_xlfn.IFS((C2414&gt;='Resultats - informe'!$D$26)*(C2414&lt;='Resultats - informe'!$E$26),0,(C2414&gt;='Resultats - informe'!$D$27)*(C2414&lt;='Resultats - informe'!$E$27),0,(C2414&gt;='Resultats - informe'!$D$28)*(C2414&lt;='Resultats - informe'!$E$28),0,(C2414&gt;='Resultats - informe'!$D$29)*(C2414&lt;='Resultats - informe'!$E$29),0,1,1)</f>
        <v>0</v>
      </c>
      <c r="N2414" s="366">
        <f>+VLOOKUP(D2414,'Resultats - informe'!$Y$18:$AG$42,'Introducció dades consum'!K2414+1,0)</f>
        <v>0</v>
      </c>
      <c r="O2414" s="370" cm="1">
        <f t="array" ref="O2414">+_xlfn.SWITCH(MONTH(C2414),1,1,2,1,3,1,4,2,5,2,6,3,7,3,8,3,9,3,10,2,11,2,12,1,2)</f>
        <v>1</v>
      </c>
      <c r="P2414" s="43"/>
    </row>
    <row r="2415" spans="1:16" ht="18" x14ac:dyDescent="0.35">
      <c r="A2415" s="43"/>
      <c r="C2415" s="393"/>
      <c r="E2415" s="394"/>
      <c r="F2415" s="394">
        <v>3.702</v>
      </c>
      <c r="G2415" s="394"/>
      <c r="H2415" s="8" t="s">
        <v>235</v>
      </c>
      <c r="I2415" s="368">
        <f t="shared" si="112"/>
        <v>0</v>
      </c>
      <c r="J2415" s="365">
        <f t="shared" si="111"/>
        <v>0</v>
      </c>
      <c r="K2415" s="369">
        <f t="shared" si="113"/>
        <v>6</v>
      </c>
      <c r="L2415" s="369">
        <f>+IF((C2415&gt;='Resultats - informe'!$E$16)*(C2415&lt;='Resultats - informe'!$G$16),1,0)</f>
        <v>1</v>
      </c>
      <c r="M2415" s="369" cm="1">
        <f t="array" ref="M2415">+_xlfn.IFS((C2415&gt;='Resultats - informe'!$D$26)*(C2415&lt;='Resultats - informe'!$E$26),0,(C2415&gt;='Resultats - informe'!$D$27)*(C2415&lt;='Resultats - informe'!$E$27),0,(C2415&gt;='Resultats - informe'!$D$28)*(C2415&lt;='Resultats - informe'!$E$28),0,(C2415&gt;='Resultats - informe'!$D$29)*(C2415&lt;='Resultats - informe'!$E$29),0,1,1)</f>
        <v>0</v>
      </c>
      <c r="N2415" s="366">
        <f>+VLOOKUP(D2415,'Resultats - informe'!$Y$18:$AG$42,'Introducció dades consum'!K2415+1,0)</f>
        <v>0</v>
      </c>
      <c r="O2415" s="370" cm="1">
        <f t="array" ref="O2415">+_xlfn.SWITCH(MONTH(C2415),1,1,2,1,3,1,4,2,5,2,6,3,7,3,8,3,9,3,10,2,11,2,12,1,2)</f>
        <v>1</v>
      </c>
      <c r="P2415" s="43"/>
    </row>
    <row r="2416" spans="1:16" ht="18" x14ac:dyDescent="0.35">
      <c r="A2416" s="43"/>
      <c r="C2416" s="393"/>
      <c r="E2416" s="394"/>
      <c r="F2416" s="394">
        <v>3.6629999999999998</v>
      </c>
      <c r="G2416" s="394"/>
      <c r="H2416" s="8" t="s">
        <v>235</v>
      </c>
      <c r="I2416" s="368">
        <f t="shared" si="112"/>
        <v>0</v>
      </c>
      <c r="J2416" s="365">
        <f t="shared" si="111"/>
        <v>0</v>
      </c>
      <c r="K2416" s="369">
        <f t="shared" si="113"/>
        <v>6</v>
      </c>
      <c r="L2416" s="369">
        <f>+IF((C2416&gt;='Resultats - informe'!$E$16)*(C2416&lt;='Resultats - informe'!$G$16),1,0)</f>
        <v>1</v>
      </c>
      <c r="M2416" s="369" cm="1">
        <f t="array" ref="M2416">+_xlfn.IFS((C2416&gt;='Resultats - informe'!$D$26)*(C2416&lt;='Resultats - informe'!$E$26),0,(C2416&gt;='Resultats - informe'!$D$27)*(C2416&lt;='Resultats - informe'!$E$27),0,(C2416&gt;='Resultats - informe'!$D$28)*(C2416&lt;='Resultats - informe'!$E$28),0,(C2416&gt;='Resultats - informe'!$D$29)*(C2416&lt;='Resultats - informe'!$E$29),0,1,1)</f>
        <v>0</v>
      </c>
      <c r="N2416" s="366">
        <f>+VLOOKUP(D2416,'Resultats - informe'!$Y$18:$AG$42,'Introducció dades consum'!K2416+1,0)</f>
        <v>0</v>
      </c>
      <c r="O2416" s="370" cm="1">
        <f t="array" ref="O2416">+_xlfn.SWITCH(MONTH(C2416),1,1,2,1,3,1,4,2,5,2,6,3,7,3,8,3,9,3,10,2,11,2,12,1,2)</f>
        <v>1</v>
      </c>
      <c r="P2416" s="43"/>
    </row>
    <row r="2417" spans="1:16" ht="18" x14ac:dyDescent="0.35">
      <c r="A2417" s="43"/>
      <c r="C2417" s="393"/>
      <c r="E2417" s="394"/>
      <c r="F2417" s="394">
        <v>3.4209999999999998</v>
      </c>
      <c r="G2417" s="394"/>
      <c r="H2417" s="8" t="s">
        <v>235</v>
      </c>
      <c r="I2417" s="368">
        <f t="shared" si="112"/>
        <v>0</v>
      </c>
      <c r="J2417" s="365">
        <f t="shared" si="111"/>
        <v>0</v>
      </c>
      <c r="K2417" s="369">
        <f t="shared" si="113"/>
        <v>6</v>
      </c>
      <c r="L2417" s="369">
        <f>+IF((C2417&gt;='Resultats - informe'!$E$16)*(C2417&lt;='Resultats - informe'!$G$16),1,0)</f>
        <v>1</v>
      </c>
      <c r="M2417" s="369" cm="1">
        <f t="array" ref="M2417">+_xlfn.IFS((C2417&gt;='Resultats - informe'!$D$26)*(C2417&lt;='Resultats - informe'!$E$26),0,(C2417&gt;='Resultats - informe'!$D$27)*(C2417&lt;='Resultats - informe'!$E$27),0,(C2417&gt;='Resultats - informe'!$D$28)*(C2417&lt;='Resultats - informe'!$E$28),0,(C2417&gt;='Resultats - informe'!$D$29)*(C2417&lt;='Resultats - informe'!$E$29),0,1,1)</f>
        <v>0</v>
      </c>
      <c r="N2417" s="366">
        <f>+VLOOKUP(D2417,'Resultats - informe'!$Y$18:$AG$42,'Introducció dades consum'!K2417+1,0)</f>
        <v>0</v>
      </c>
      <c r="O2417" s="370" cm="1">
        <f t="array" ref="O2417">+_xlfn.SWITCH(MONTH(C2417),1,1,2,1,3,1,4,2,5,2,6,3,7,3,8,3,9,3,10,2,11,2,12,1,2)</f>
        <v>1</v>
      </c>
      <c r="P2417" s="43"/>
    </row>
    <row r="2418" spans="1:16" ht="18" x14ac:dyDescent="0.35">
      <c r="A2418" s="43"/>
      <c r="C2418" s="393"/>
      <c r="E2418" s="394"/>
      <c r="F2418" s="394">
        <v>3.1960000000000002</v>
      </c>
      <c r="G2418" s="394"/>
      <c r="H2418" s="8" t="s">
        <v>235</v>
      </c>
      <c r="I2418" s="368">
        <f t="shared" si="112"/>
        <v>0</v>
      </c>
      <c r="J2418" s="365">
        <f t="shared" si="111"/>
        <v>0</v>
      </c>
      <c r="K2418" s="369">
        <f t="shared" si="113"/>
        <v>6</v>
      </c>
      <c r="L2418" s="369">
        <f>+IF((C2418&gt;='Resultats - informe'!$E$16)*(C2418&lt;='Resultats - informe'!$G$16),1,0)</f>
        <v>1</v>
      </c>
      <c r="M2418" s="369" cm="1">
        <f t="array" ref="M2418">+_xlfn.IFS((C2418&gt;='Resultats - informe'!$D$26)*(C2418&lt;='Resultats - informe'!$E$26),0,(C2418&gt;='Resultats - informe'!$D$27)*(C2418&lt;='Resultats - informe'!$E$27),0,(C2418&gt;='Resultats - informe'!$D$28)*(C2418&lt;='Resultats - informe'!$E$28),0,(C2418&gt;='Resultats - informe'!$D$29)*(C2418&lt;='Resultats - informe'!$E$29),0,1,1)</f>
        <v>0</v>
      </c>
      <c r="N2418" s="366">
        <f>+VLOOKUP(D2418,'Resultats - informe'!$Y$18:$AG$42,'Introducció dades consum'!K2418+1,0)</f>
        <v>0</v>
      </c>
      <c r="O2418" s="370" cm="1">
        <f t="array" ref="O2418">+_xlfn.SWITCH(MONTH(C2418),1,1,2,1,3,1,4,2,5,2,6,3,7,3,8,3,9,3,10,2,11,2,12,1,2)</f>
        <v>1</v>
      </c>
      <c r="P2418" s="43"/>
    </row>
    <row r="2419" spans="1:16" ht="18" x14ac:dyDescent="0.35">
      <c r="A2419" s="43"/>
      <c r="C2419" s="393"/>
      <c r="E2419" s="394"/>
      <c r="F2419" s="394">
        <v>2.577</v>
      </c>
      <c r="G2419" s="394"/>
      <c r="H2419" s="8" t="s">
        <v>235</v>
      </c>
      <c r="I2419" s="368">
        <f t="shared" si="112"/>
        <v>0</v>
      </c>
      <c r="J2419" s="365">
        <f t="shared" si="111"/>
        <v>0</v>
      </c>
      <c r="K2419" s="369">
        <f t="shared" si="113"/>
        <v>6</v>
      </c>
      <c r="L2419" s="369">
        <f>+IF((C2419&gt;='Resultats - informe'!$E$16)*(C2419&lt;='Resultats - informe'!$G$16),1,0)</f>
        <v>1</v>
      </c>
      <c r="M2419" s="369" cm="1">
        <f t="array" ref="M2419">+_xlfn.IFS((C2419&gt;='Resultats - informe'!$D$26)*(C2419&lt;='Resultats - informe'!$E$26),0,(C2419&gt;='Resultats - informe'!$D$27)*(C2419&lt;='Resultats - informe'!$E$27),0,(C2419&gt;='Resultats - informe'!$D$28)*(C2419&lt;='Resultats - informe'!$E$28),0,(C2419&gt;='Resultats - informe'!$D$29)*(C2419&lt;='Resultats - informe'!$E$29),0,1,1)</f>
        <v>0</v>
      </c>
      <c r="N2419" s="366">
        <f>+VLOOKUP(D2419,'Resultats - informe'!$Y$18:$AG$42,'Introducció dades consum'!K2419+1,0)</f>
        <v>0</v>
      </c>
      <c r="O2419" s="370" cm="1">
        <f t="array" ref="O2419">+_xlfn.SWITCH(MONTH(C2419),1,1,2,1,3,1,4,2,5,2,6,3,7,3,8,3,9,3,10,2,11,2,12,1,2)</f>
        <v>1</v>
      </c>
      <c r="P2419" s="43"/>
    </row>
    <row r="2420" spans="1:16" ht="18" x14ac:dyDescent="0.35">
      <c r="A2420" s="43"/>
      <c r="C2420" s="393"/>
      <c r="E2420" s="394"/>
      <c r="F2420" s="394">
        <v>1.355</v>
      </c>
      <c r="G2420" s="394"/>
      <c r="H2420" s="8" t="s">
        <v>235</v>
      </c>
      <c r="I2420" s="368">
        <f t="shared" si="112"/>
        <v>0</v>
      </c>
      <c r="J2420" s="365">
        <f t="shared" si="111"/>
        <v>0</v>
      </c>
      <c r="K2420" s="369">
        <f t="shared" si="113"/>
        <v>6</v>
      </c>
      <c r="L2420" s="369">
        <f>+IF((C2420&gt;='Resultats - informe'!$E$16)*(C2420&lt;='Resultats - informe'!$G$16),1,0)</f>
        <v>1</v>
      </c>
      <c r="M2420" s="369" cm="1">
        <f t="array" ref="M2420">+_xlfn.IFS((C2420&gt;='Resultats - informe'!$D$26)*(C2420&lt;='Resultats - informe'!$E$26),0,(C2420&gt;='Resultats - informe'!$D$27)*(C2420&lt;='Resultats - informe'!$E$27),0,(C2420&gt;='Resultats - informe'!$D$28)*(C2420&lt;='Resultats - informe'!$E$28),0,(C2420&gt;='Resultats - informe'!$D$29)*(C2420&lt;='Resultats - informe'!$E$29),0,1,1)</f>
        <v>0</v>
      </c>
      <c r="N2420" s="366">
        <f>+VLOOKUP(D2420,'Resultats - informe'!$Y$18:$AG$42,'Introducció dades consum'!K2420+1,0)</f>
        <v>0</v>
      </c>
      <c r="O2420" s="370" cm="1">
        <f t="array" ref="O2420">+_xlfn.SWITCH(MONTH(C2420),1,1,2,1,3,1,4,2,5,2,6,3,7,3,8,3,9,3,10,2,11,2,12,1,2)</f>
        <v>1</v>
      </c>
      <c r="P2420" s="43"/>
    </row>
    <row r="2421" spans="1:16" ht="18" x14ac:dyDescent="0.35">
      <c r="A2421" s="43"/>
      <c r="C2421" s="393"/>
      <c r="E2421" s="394"/>
      <c r="F2421" s="394">
        <v>0.13300000000000001</v>
      </c>
      <c r="G2421" s="394"/>
      <c r="H2421" s="8" t="s">
        <v>235</v>
      </c>
      <c r="I2421" s="368">
        <f t="shared" si="112"/>
        <v>0</v>
      </c>
      <c r="J2421" s="365">
        <f t="shared" si="111"/>
        <v>0</v>
      </c>
      <c r="K2421" s="369">
        <f t="shared" si="113"/>
        <v>6</v>
      </c>
      <c r="L2421" s="369">
        <f>+IF((C2421&gt;='Resultats - informe'!$E$16)*(C2421&lt;='Resultats - informe'!$G$16),1,0)</f>
        <v>1</v>
      </c>
      <c r="M2421" s="369" cm="1">
        <f t="array" ref="M2421">+_xlfn.IFS((C2421&gt;='Resultats - informe'!$D$26)*(C2421&lt;='Resultats - informe'!$E$26),0,(C2421&gt;='Resultats - informe'!$D$27)*(C2421&lt;='Resultats - informe'!$E$27),0,(C2421&gt;='Resultats - informe'!$D$28)*(C2421&lt;='Resultats - informe'!$E$28),0,(C2421&gt;='Resultats - informe'!$D$29)*(C2421&lt;='Resultats - informe'!$E$29),0,1,1)</f>
        <v>0</v>
      </c>
      <c r="N2421" s="366">
        <f>+VLOOKUP(D2421,'Resultats - informe'!$Y$18:$AG$42,'Introducció dades consum'!K2421+1,0)</f>
        <v>0</v>
      </c>
      <c r="O2421" s="370" cm="1">
        <f t="array" ref="O2421">+_xlfn.SWITCH(MONTH(C2421),1,1,2,1,3,1,4,2,5,2,6,3,7,3,8,3,9,3,10,2,11,2,12,1,2)</f>
        <v>1</v>
      </c>
      <c r="P2421" s="43"/>
    </row>
    <row r="2422" spans="1:16" ht="18" x14ac:dyDescent="0.35">
      <c r="A2422" s="43"/>
      <c r="C2422" s="393"/>
      <c r="E2422" s="394"/>
      <c r="F2422" s="394">
        <v>0</v>
      </c>
      <c r="G2422" s="394"/>
      <c r="H2422" s="8" t="s">
        <v>235</v>
      </c>
      <c r="I2422" s="368">
        <f t="shared" si="112"/>
        <v>0</v>
      </c>
      <c r="J2422" s="365">
        <f t="shared" si="111"/>
        <v>0</v>
      </c>
      <c r="K2422" s="369">
        <f t="shared" si="113"/>
        <v>6</v>
      </c>
      <c r="L2422" s="369">
        <f>+IF((C2422&gt;='Resultats - informe'!$E$16)*(C2422&lt;='Resultats - informe'!$G$16),1,0)</f>
        <v>1</v>
      </c>
      <c r="M2422" s="369" cm="1">
        <f t="array" ref="M2422">+_xlfn.IFS((C2422&gt;='Resultats - informe'!$D$26)*(C2422&lt;='Resultats - informe'!$E$26),0,(C2422&gt;='Resultats - informe'!$D$27)*(C2422&lt;='Resultats - informe'!$E$27),0,(C2422&gt;='Resultats - informe'!$D$28)*(C2422&lt;='Resultats - informe'!$E$28),0,(C2422&gt;='Resultats - informe'!$D$29)*(C2422&lt;='Resultats - informe'!$E$29),0,1,1)</f>
        <v>0</v>
      </c>
      <c r="N2422" s="366">
        <f>+VLOOKUP(D2422,'Resultats - informe'!$Y$18:$AG$42,'Introducció dades consum'!K2422+1,0)</f>
        <v>0</v>
      </c>
      <c r="O2422" s="370" cm="1">
        <f t="array" ref="O2422">+_xlfn.SWITCH(MONTH(C2422),1,1,2,1,3,1,4,2,5,2,6,3,7,3,8,3,9,3,10,2,11,2,12,1,2)</f>
        <v>1</v>
      </c>
      <c r="P2422" s="43"/>
    </row>
    <row r="2423" spans="1:16" ht="18" x14ac:dyDescent="0.35">
      <c r="A2423" s="43"/>
      <c r="C2423" s="393"/>
      <c r="E2423" s="394"/>
      <c r="F2423" s="394">
        <v>0</v>
      </c>
      <c r="G2423" s="394"/>
      <c r="H2423" s="8" t="s">
        <v>235</v>
      </c>
      <c r="I2423" s="368">
        <f t="shared" si="112"/>
        <v>0</v>
      </c>
      <c r="J2423" s="365">
        <f t="shared" si="111"/>
        <v>0</v>
      </c>
      <c r="K2423" s="369">
        <f t="shared" si="113"/>
        <v>6</v>
      </c>
      <c r="L2423" s="369">
        <f>+IF((C2423&gt;='Resultats - informe'!$E$16)*(C2423&lt;='Resultats - informe'!$G$16),1,0)</f>
        <v>1</v>
      </c>
      <c r="M2423" s="369" cm="1">
        <f t="array" ref="M2423">+_xlfn.IFS((C2423&gt;='Resultats - informe'!$D$26)*(C2423&lt;='Resultats - informe'!$E$26),0,(C2423&gt;='Resultats - informe'!$D$27)*(C2423&lt;='Resultats - informe'!$E$27),0,(C2423&gt;='Resultats - informe'!$D$28)*(C2423&lt;='Resultats - informe'!$E$28),0,(C2423&gt;='Resultats - informe'!$D$29)*(C2423&lt;='Resultats - informe'!$E$29),0,1,1)</f>
        <v>0</v>
      </c>
      <c r="N2423" s="366">
        <f>+VLOOKUP(D2423,'Resultats - informe'!$Y$18:$AG$42,'Introducció dades consum'!K2423+1,0)</f>
        <v>0</v>
      </c>
      <c r="O2423" s="370" cm="1">
        <f t="array" ref="O2423">+_xlfn.SWITCH(MONTH(C2423),1,1,2,1,3,1,4,2,5,2,6,3,7,3,8,3,9,3,10,2,11,2,12,1,2)</f>
        <v>1</v>
      </c>
      <c r="P2423" s="43"/>
    </row>
    <row r="2424" spans="1:16" ht="18" x14ac:dyDescent="0.35">
      <c r="A2424" s="43"/>
      <c r="C2424" s="393"/>
      <c r="E2424" s="394"/>
      <c r="F2424" s="394">
        <v>0</v>
      </c>
      <c r="G2424" s="394"/>
      <c r="H2424" s="8" t="s">
        <v>235</v>
      </c>
      <c r="I2424" s="368">
        <f t="shared" si="112"/>
        <v>0</v>
      </c>
      <c r="J2424" s="365">
        <f t="shared" si="111"/>
        <v>0</v>
      </c>
      <c r="K2424" s="369">
        <f t="shared" si="113"/>
        <v>6</v>
      </c>
      <c r="L2424" s="369">
        <f>+IF((C2424&gt;='Resultats - informe'!$E$16)*(C2424&lt;='Resultats - informe'!$G$16),1,0)</f>
        <v>1</v>
      </c>
      <c r="M2424" s="369" cm="1">
        <f t="array" ref="M2424">+_xlfn.IFS((C2424&gt;='Resultats - informe'!$D$26)*(C2424&lt;='Resultats - informe'!$E$26),0,(C2424&gt;='Resultats - informe'!$D$27)*(C2424&lt;='Resultats - informe'!$E$27),0,(C2424&gt;='Resultats - informe'!$D$28)*(C2424&lt;='Resultats - informe'!$E$28),0,(C2424&gt;='Resultats - informe'!$D$29)*(C2424&lt;='Resultats - informe'!$E$29),0,1,1)</f>
        <v>0</v>
      </c>
      <c r="N2424" s="366">
        <f>+VLOOKUP(D2424,'Resultats - informe'!$Y$18:$AG$42,'Introducció dades consum'!K2424+1,0)</f>
        <v>0</v>
      </c>
      <c r="O2424" s="370" cm="1">
        <f t="array" ref="O2424">+_xlfn.SWITCH(MONTH(C2424),1,1,2,1,3,1,4,2,5,2,6,3,7,3,8,3,9,3,10,2,11,2,12,1,2)</f>
        <v>1</v>
      </c>
      <c r="P2424" s="43"/>
    </row>
    <row r="2425" spans="1:16" ht="18" x14ac:dyDescent="0.35">
      <c r="A2425" s="43"/>
      <c r="C2425" s="393"/>
      <c r="E2425" s="394"/>
      <c r="F2425" s="394">
        <v>0</v>
      </c>
      <c r="G2425" s="394"/>
      <c r="H2425" s="8" t="s">
        <v>235</v>
      </c>
      <c r="I2425" s="368">
        <f t="shared" si="112"/>
        <v>0</v>
      </c>
      <c r="J2425" s="365">
        <f t="shared" si="111"/>
        <v>0</v>
      </c>
      <c r="K2425" s="369">
        <f t="shared" si="113"/>
        <v>6</v>
      </c>
      <c r="L2425" s="369">
        <f>+IF((C2425&gt;='Resultats - informe'!$E$16)*(C2425&lt;='Resultats - informe'!$G$16),1,0)</f>
        <v>1</v>
      </c>
      <c r="M2425" s="369" cm="1">
        <f t="array" ref="M2425">+_xlfn.IFS((C2425&gt;='Resultats - informe'!$D$26)*(C2425&lt;='Resultats - informe'!$E$26),0,(C2425&gt;='Resultats - informe'!$D$27)*(C2425&lt;='Resultats - informe'!$E$27),0,(C2425&gt;='Resultats - informe'!$D$28)*(C2425&lt;='Resultats - informe'!$E$28),0,(C2425&gt;='Resultats - informe'!$D$29)*(C2425&lt;='Resultats - informe'!$E$29),0,1,1)</f>
        <v>0</v>
      </c>
      <c r="N2425" s="366">
        <f>+VLOOKUP(D2425,'Resultats - informe'!$Y$18:$AG$42,'Introducció dades consum'!K2425+1,0)</f>
        <v>0</v>
      </c>
      <c r="O2425" s="370" cm="1">
        <f t="array" ref="O2425">+_xlfn.SWITCH(MONTH(C2425),1,1,2,1,3,1,4,2,5,2,6,3,7,3,8,3,9,3,10,2,11,2,12,1,2)</f>
        <v>1</v>
      </c>
      <c r="P2425" s="43"/>
    </row>
    <row r="2426" spans="1:16" ht="18" x14ac:dyDescent="0.35">
      <c r="A2426" s="43"/>
      <c r="C2426" s="393"/>
      <c r="E2426" s="394"/>
      <c r="F2426" s="394">
        <v>0</v>
      </c>
      <c r="G2426" s="394"/>
      <c r="H2426" s="8" t="s">
        <v>235</v>
      </c>
      <c r="I2426" s="368">
        <f t="shared" si="112"/>
        <v>0</v>
      </c>
      <c r="J2426" s="365">
        <f t="shared" si="111"/>
        <v>0</v>
      </c>
      <c r="K2426" s="369">
        <f t="shared" si="113"/>
        <v>6</v>
      </c>
      <c r="L2426" s="369">
        <f>+IF((C2426&gt;='Resultats - informe'!$E$16)*(C2426&lt;='Resultats - informe'!$G$16),1,0)</f>
        <v>1</v>
      </c>
      <c r="M2426" s="369" cm="1">
        <f t="array" ref="M2426">+_xlfn.IFS((C2426&gt;='Resultats - informe'!$D$26)*(C2426&lt;='Resultats - informe'!$E$26),0,(C2426&gt;='Resultats - informe'!$D$27)*(C2426&lt;='Resultats - informe'!$E$27),0,(C2426&gt;='Resultats - informe'!$D$28)*(C2426&lt;='Resultats - informe'!$E$28),0,(C2426&gt;='Resultats - informe'!$D$29)*(C2426&lt;='Resultats - informe'!$E$29),0,1,1)</f>
        <v>0</v>
      </c>
      <c r="N2426" s="366">
        <f>+VLOOKUP(D2426,'Resultats - informe'!$Y$18:$AG$42,'Introducció dades consum'!K2426+1,0)</f>
        <v>0</v>
      </c>
      <c r="O2426" s="370" cm="1">
        <f t="array" ref="O2426">+_xlfn.SWITCH(MONTH(C2426),1,1,2,1,3,1,4,2,5,2,6,3,7,3,8,3,9,3,10,2,11,2,12,1,2)</f>
        <v>1</v>
      </c>
      <c r="P2426" s="43"/>
    </row>
    <row r="2427" spans="1:16" ht="18" x14ac:dyDescent="0.35">
      <c r="A2427" s="43"/>
      <c r="C2427" s="393"/>
      <c r="E2427" s="394"/>
      <c r="F2427" s="394">
        <v>0</v>
      </c>
      <c r="G2427" s="394"/>
      <c r="H2427" s="8" t="s">
        <v>235</v>
      </c>
      <c r="I2427" s="368">
        <f t="shared" si="112"/>
        <v>0</v>
      </c>
      <c r="J2427" s="365">
        <f t="shared" ref="J2427:J2490" si="114">+C2427</f>
        <v>0</v>
      </c>
      <c r="K2427" s="369">
        <f t="shared" si="113"/>
        <v>6</v>
      </c>
      <c r="L2427" s="369">
        <f>+IF((C2427&gt;='Resultats - informe'!$E$16)*(C2427&lt;='Resultats - informe'!$G$16),1,0)</f>
        <v>1</v>
      </c>
      <c r="M2427" s="369" cm="1">
        <f t="array" ref="M2427">+_xlfn.IFS((C2427&gt;='Resultats - informe'!$D$26)*(C2427&lt;='Resultats - informe'!$E$26),0,(C2427&gt;='Resultats - informe'!$D$27)*(C2427&lt;='Resultats - informe'!$E$27),0,(C2427&gt;='Resultats - informe'!$D$28)*(C2427&lt;='Resultats - informe'!$E$28),0,(C2427&gt;='Resultats - informe'!$D$29)*(C2427&lt;='Resultats - informe'!$E$29),0,1,1)</f>
        <v>0</v>
      </c>
      <c r="N2427" s="366">
        <f>+VLOOKUP(D2427,'Resultats - informe'!$Y$18:$AG$42,'Introducció dades consum'!K2427+1,0)</f>
        <v>0</v>
      </c>
      <c r="O2427" s="370" cm="1">
        <f t="array" ref="O2427">+_xlfn.SWITCH(MONTH(C2427),1,1,2,1,3,1,4,2,5,2,6,3,7,3,8,3,9,3,10,2,11,2,12,1,2)</f>
        <v>1</v>
      </c>
      <c r="P2427" s="43"/>
    </row>
    <row r="2428" spans="1:16" ht="18" x14ac:dyDescent="0.35">
      <c r="A2428" s="43"/>
      <c r="C2428" s="393"/>
      <c r="E2428" s="394"/>
      <c r="F2428" s="394">
        <v>0</v>
      </c>
      <c r="G2428" s="394"/>
      <c r="H2428" s="8" t="s">
        <v>235</v>
      </c>
      <c r="I2428" s="368">
        <f t="shared" si="112"/>
        <v>0</v>
      </c>
      <c r="J2428" s="365">
        <f t="shared" si="114"/>
        <v>0</v>
      </c>
      <c r="K2428" s="369">
        <f t="shared" si="113"/>
        <v>6</v>
      </c>
      <c r="L2428" s="369">
        <f>+IF((C2428&gt;='Resultats - informe'!$E$16)*(C2428&lt;='Resultats - informe'!$G$16),1,0)</f>
        <v>1</v>
      </c>
      <c r="M2428" s="369" cm="1">
        <f t="array" ref="M2428">+_xlfn.IFS((C2428&gt;='Resultats - informe'!$D$26)*(C2428&lt;='Resultats - informe'!$E$26),0,(C2428&gt;='Resultats - informe'!$D$27)*(C2428&lt;='Resultats - informe'!$E$27),0,(C2428&gt;='Resultats - informe'!$D$28)*(C2428&lt;='Resultats - informe'!$E$28),0,(C2428&gt;='Resultats - informe'!$D$29)*(C2428&lt;='Resultats - informe'!$E$29),0,1,1)</f>
        <v>0</v>
      </c>
      <c r="N2428" s="366">
        <f>+VLOOKUP(D2428,'Resultats - informe'!$Y$18:$AG$42,'Introducció dades consum'!K2428+1,0)</f>
        <v>0</v>
      </c>
      <c r="O2428" s="370" cm="1">
        <f t="array" ref="O2428">+_xlfn.SWITCH(MONTH(C2428),1,1,2,1,3,1,4,2,5,2,6,3,7,3,8,3,9,3,10,2,11,2,12,1,2)</f>
        <v>1</v>
      </c>
      <c r="P2428" s="43"/>
    </row>
    <row r="2429" spans="1:16" ht="18" x14ac:dyDescent="0.35">
      <c r="A2429" s="43"/>
      <c r="C2429" s="393"/>
      <c r="E2429" s="394"/>
      <c r="F2429" s="394">
        <v>0</v>
      </c>
      <c r="G2429" s="394"/>
      <c r="H2429" s="8" t="s">
        <v>235</v>
      </c>
      <c r="I2429" s="368">
        <f t="shared" si="112"/>
        <v>0</v>
      </c>
      <c r="J2429" s="365">
        <f t="shared" si="114"/>
        <v>0</v>
      </c>
      <c r="K2429" s="369">
        <f t="shared" si="113"/>
        <v>6</v>
      </c>
      <c r="L2429" s="369">
        <f>+IF((C2429&gt;='Resultats - informe'!$E$16)*(C2429&lt;='Resultats - informe'!$G$16),1,0)</f>
        <v>1</v>
      </c>
      <c r="M2429" s="369" cm="1">
        <f t="array" ref="M2429">+_xlfn.IFS((C2429&gt;='Resultats - informe'!$D$26)*(C2429&lt;='Resultats - informe'!$E$26),0,(C2429&gt;='Resultats - informe'!$D$27)*(C2429&lt;='Resultats - informe'!$E$27),0,(C2429&gt;='Resultats - informe'!$D$28)*(C2429&lt;='Resultats - informe'!$E$28),0,(C2429&gt;='Resultats - informe'!$D$29)*(C2429&lt;='Resultats - informe'!$E$29),0,1,1)</f>
        <v>0</v>
      </c>
      <c r="N2429" s="366">
        <f>+VLOOKUP(D2429,'Resultats - informe'!$Y$18:$AG$42,'Introducció dades consum'!K2429+1,0)</f>
        <v>0</v>
      </c>
      <c r="O2429" s="370" cm="1">
        <f t="array" ref="O2429">+_xlfn.SWITCH(MONTH(C2429),1,1,2,1,3,1,4,2,5,2,6,3,7,3,8,3,9,3,10,2,11,2,12,1,2)</f>
        <v>1</v>
      </c>
      <c r="P2429" s="43"/>
    </row>
    <row r="2430" spans="1:16" ht="18" x14ac:dyDescent="0.35">
      <c r="A2430" s="43"/>
      <c r="C2430" s="393"/>
      <c r="E2430" s="394"/>
      <c r="F2430" s="394">
        <v>0</v>
      </c>
      <c r="G2430" s="394"/>
      <c r="H2430" s="8" t="s">
        <v>235</v>
      </c>
      <c r="I2430" s="368">
        <f t="shared" si="112"/>
        <v>0</v>
      </c>
      <c r="J2430" s="365">
        <f t="shared" si="114"/>
        <v>0</v>
      </c>
      <c r="K2430" s="369">
        <f t="shared" si="113"/>
        <v>6</v>
      </c>
      <c r="L2430" s="369">
        <f>+IF((C2430&gt;='Resultats - informe'!$E$16)*(C2430&lt;='Resultats - informe'!$G$16),1,0)</f>
        <v>1</v>
      </c>
      <c r="M2430" s="369" cm="1">
        <f t="array" ref="M2430">+_xlfn.IFS((C2430&gt;='Resultats - informe'!$D$26)*(C2430&lt;='Resultats - informe'!$E$26),0,(C2430&gt;='Resultats - informe'!$D$27)*(C2430&lt;='Resultats - informe'!$E$27),0,(C2430&gt;='Resultats - informe'!$D$28)*(C2430&lt;='Resultats - informe'!$E$28),0,(C2430&gt;='Resultats - informe'!$D$29)*(C2430&lt;='Resultats - informe'!$E$29),0,1,1)</f>
        <v>0</v>
      </c>
      <c r="N2430" s="366">
        <f>+VLOOKUP(D2430,'Resultats - informe'!$Y$18:$AG$42,'Introducció dades consum'!K2430+1,0)</f>
        <v>0</v>
      </c>
      <c r="O2430" s="370" cm="1">
        <f t="array" ref="O2430">+_xlfn.SWITCH(MONTH(C2430),1,1,2,1,3,1,4,2,5,2,6,3,7,3,8,3,9,3,10,2,11,2,12,1,2)</f>
        <v>1</v>
      </c>
      <c r="P2430" s="43"/>
    </row>
    <row r="2431" spans="1:16" ht="18" x14ac:dyDescent="0.35">
      <c r="A2431" s="43"/>
      <c r="C2431" s="393"/>
      <c r="E2431" s="394"/>
      <c r="F2431" s="394">
        <v>0</v>
      </c>
      <c r="G2431" s="394"/>
      <c r="H2431" s="8" t="s">
        <v>235</v>
      </c>
      <c r="I2431" s="368">
        <f t="shared" si="112"/>
        <v>0</v>
      </c>
      <c r="J2431" s="365">
        <f t="shared" si="114"/>
        <v>0</v>
      </c>
      <c r="K2431" s="369">
        <f t="shared" si="113"/>
        <v>6</v>
      </c>
      <c r="L2431" s="369">
        <f>+IF((C2431&gt;='Resultats - informe'!$E$16)*(C2431&lt;='Resultats - informe'!$G$16),1,0)</f>
        <v>1</v>
      </c>
      <c r="M2431" s="369" cm="1">
        <f t="array" ref="M2431">+_xlfn.IFS((C2431&gt;='Resultats - informe'!$D$26)*(C2431&lt;='Resultats - informe'!$E$26),0,(C2431&gt;='Resultats - informe'!$D$27)*(C2431&lt;='Resultats - informe'!$E$27),0,(C2431&gt;='Resultats - informe'!$D$28)*(C2431&lt;='Resultats - informe'!$E$28),0,(C2431&gt;='Resultats - informe'!$D$29)*(C2431&lt;='Resultats - informe'!$E$29),0,1,1)</f>
        <v>0</v>
      </c>
      <c r="N2431" s="366">
        <f>+VLOOKUP(D2431,'Resultats - informe'!$Y$18:$AG$42,'Introducció dades consum'!K2431+1,0)</f>
        <v>0</v>
      </c>
      <c r="O2431" s="370" cm="1">
        <f t="array" ref="O2431">+_xlfn.SWITCH(MONTH(C2431),1,1,2,1,3,1,4,2,5,2,6,3,7,3,8,3,9,3,10,2,11,2,12,1,2)</f>
        <v>1</v>
      </c>
      <c r="P2431" s="43"/>
    </row>
    <row r="2432" spans="1:16" ht="18" x14ac:dyDescent="0.35">
      <c r="A2432" s="43"/>
      <c r="C2432" s="393"/>
      <c r="E2432" s="394"/>
      <c r="F2432" s="394">
        <v>0</v>
      </c>
      <c r="G2432" s="394"/>
      <c r="H2432" s="8" t="s">
        <v>235</v>
      </c>
      <c r="I2432" s="368">
        <f t="shared" si="112"/>
        <v>0</v>
      </c>
      <c r="J2432" s="365">
        <f t="shared" si="114"/>
        <v>0</v>
      </c>
      <c r="K2432" s="369">
        <f t="shared" si="113"/>
        <v>6</v>
      </c>
      <c r="L2432" s="369">
        <f>+IF((C2432&gt;='Resultats - informe'!$E$16)*(C2432&lt;='Resultats - informe'!$G$16),1,0)</f>
        <v>1</v>
      </c>
      <c r="M2432" s="369" cm="1">
        <f t="array" ref="M2432">+_xlfn.IFS((C2432&gt;='Resultats - informe'!$D$26)*(C2432&lt;='Resultats - informe'!$E$26),0,(C2432&gt;='Resultats - informe'!$D$27)*(C2432&lt;='Resultats - informe'!$E$27),0,(C2432&gt;='Resultats - informe'!$D$28)*(C2432&lt;='Resultats - informe'!$E$28),0,(C2432&gt;='Resultats - informe'!$D$29)*(C2432&lt;='Resultats - informe'!$E$29),0,1,1)</f>
        <v>0</v>
      </c>
      <c r="N2432" s="366">
        <f>+VLOOKUP(D2432,'Resultats - informe'!$Y$18:$AG$42,'Introducció dades consum'!K2432+1,0)</f>
        <v>0</v>
      </c>
      <c r="O2432" s="370" cm="1">
        <f t="array" ref="O2432">+_xlfn.SWITCH(MONTH(C2432),1,1,2,1,3,1,4,2,5,2,6,3,7,3,8,3,9,3,10,2,11,2,12,1,2)</f>
        <v>1</v>
      </c>
      <c r="P2432" s="43"/>
    </row>
    <row r="2433" spans="1:16" ht="18" x14ac:dyDescent="0.35">
      <c r="A2433" s="43"/>
      <c r="C2433" s="393"/>
      <c r="E2433" s="394"/>
      <c r="F2433" s="394">
        <v>0</v>
      </c>
      <c r="G2433" s="394"/>
      <c r="H2433" s="8" t="s">
        <v>235</v>
      </c>
      <c r="I2433" s="368">
        <f t="shared" si="112"/>
        <v>0</v>
      </c>
      <c r="J2433" s="365">
        <f t="shared" si="114"/>
        <v>0</v>
      </c>
      <c r="K2433" s="369">
        <f t="shared" si="113"/>
        <v>6</v>
      </c>
      <c r="L2433" s="369">
        <f>+IF((C2433&gt;='Resultats - informe'!$E$16)*(C2433&lt;='Resultats - informe'!$G$16),1,0)</f>
        <v>1</v>
      </c>
      <c r="M2433" s="369" cm="1">
        <f t="array" ref="M2433">+_xlfn.IFS((C2433&gt;='Resultats - informe'!$D$26)*(C2433&lt;='Resultats - informe'!$E$26),0,(C2433&gt;='Resultats - informe'!$D$27)*(C2433&lt;='Resultats - informe'!$E$27),0,(C2433&gt;='Resultats - informe'!$D$28)*(C2433&lt;='Resultats - informe'!$E$28),0,(C2433&gt;='Resultats - informe'!$D$29)*(C2433&lt;='Resultats - informe'!$E$29),0,1,1)</f>
        <v>0</v>
      </c>
      <c r="N2433" s="366">
        <f>+VLOOKUP(D2433,'Resultats - informe'!$Y$18:$AG$42,'Introducció dades consum'!K2433+1,0)</f>
        <v>0</v>
      </c>
      <c r="O2433" s="370" cm="1">
        <f t="array" ref="O2433">+_xlfn.SWITCH(MONTH(C2433),1,1,2,1,3,1,4,2,5,2,6,3,7,3,8,3,9,3,10,2,11,2,12,1,2)</f>
        <v>1</v>
      </c>
      <c r="P2433" s="43"/>
    </row>
    <row r="2434" spans="1:16" ht="18" x14ac:dyDescent="0.35">
      <c r="A2434" s="43"/>
      <c r="C2434" s="393"/>
      <c r="E2434" s="394"/>
      <c r="F2434" s="394">
        <v>0.68700000000000006</v>
      </c>
      <c r="G2434" s="394"/>
      <c r="H2434" s="8" t="s">
        <v>235</v>
      </c>
      <c r="I2434" s="368">
        <f t="shared" si="112"/>
        <v>0</v>
      </c>
      <c r="J2434" s="365">
        <f t="shared" si="114"/>
        <v>0</v>
      </c>
      <c r="K2434" s="369">
        <f t="shared" si="113"/>
        <v>6</v>
      </c>
      <c r="L2434" s="369">
        <f>+IF((C2434&gt;='Resultats - informe'!$E$16)*(C2434&lt;='Resultats - informe'!$G$16),1,0)</f>
        <v>1</v>
      </c>
      <c r="M2434" s="369" cm="1">
        <f t="array" ref="M2434">+_xlfn.IFS((C2434&gt;='Resultats - informe'!$D$26)*(C2434&lt;='Resultats - informe'!$E$26),0,(C2434&gt;='Resultats - informe'!$D$27)*(C2434&lt;='Resultats - informe'!$E$27),0,(C2434&gt;='Resultats - informe'!$D$28)*(C2434&lt;='Resultats - informe'!$E$28),0,(C2434&gt;='Resultats - informe'!$D$29)*(C2434&lt;='Resultats - informe'!$E$29),0,1,1)</f>
        <v>0</v>
      </c>
      <c r="N2434" s="366">
        <f>+VLOOKUP(D2434,'Resultats - informe'!$Y$18:$AG$42,'Introducció dades consum'!K2434+1,0)</f>
        <v>0</v>
      </c>
      <c r="O2434" s="370" cm="1">
        <f t="array" ref="O2434">+_xlfn.SWITCH(MONTH(C2434),1,1,2,1,3,1,4,2,5,2,6,3,7,3,8,3,9,3,10,2,11,2,12,1,2)</f>
        <v>1</v>
      </c>
      <c r="P2434" s="43"/>
    </row>
    <row r="2435" spans="1:16" ht="18" x14ac:dyDescent="0.35">
      <c r="A2435" s="43"/>
      <c r="C2435" s="393"/>
      <c r="E2435" s="394"/>
      <c r="F2435" s="394">
        <v>1.548</v>
      </c>
      <c r="G2435" s="394"/>
      <c r="H2435" s="8" t="s">
        <v>235</v>
      </c>
      <c r="I2435" s="368">
        <f t="shared" si="112"/>
        <v>0</v>
      </c>
      <c r="J2435" s="365">
        <f t="shared" si="114"/>
        <v>0</v>
      </c>
      <c r="K2435" s="369">
        <f t="shared" si="113"/>
        <v>6</v>
      </c>
      <c r="L2435" s="369">
        <f>+IF((C2435&gt;='Resultats - informe'!$E$16)*(C2435&lt;='Resultats - informe'!$G$16),1,0)</f>
        <v>1</v>
      </c>
      <c r="M2435" s="369" cm="1">
        <f t="array" ref="M2435">+_xlfn.IFS((C2435&gt;='Resultats - informe'!$D$26)*(C2435&lt;='Resultats - informe'!$E$26),0,(C2435&gt;='Resultats - informe'!$D$27)*(C2435&lt;='Resultats - informe'!$E$27),0,(C2435&gt;='Resultats - informe'!$D$28)*(C2435&lt;='Resultats - informe'!$E$28),0,(C2435&gt;='Resultats - informe'!$D$29)*(C2435&lt;='Resultats - informe'!$E$29),0,1,1)</f>
        <v>0</v>
      </c>
      <c r="N2435" s="366">
        <f>+VLOOKUP(D2435,'Resultats - informe'!$Y$18:$AG$42,'Introducció dades consum'!K2435+1,0)</f>
        <v>0</v>
      </c>
      <c r="O2435" s="370" cm="1">
        <f t="array" ref="O2435">+_xlfn.SWITCH(MONTH(C2435),1,1,2,1,3,1,4,2,5,2,6,3,7,3,8,3,9,3,10,2,11,2,12,1,2)</f>
        <v>1</v>
      </c>
      <c r="P2435" s="43"/>
    </row>
    <row r="2436" spans="1:16" ht="18" x14ac:dyDescent="0.35">
      <c r="A2436" s="43"/>
      <c r="C2436" s="393"/>
      <c r="E2436" s="394"/>
      <c r="F2436" s="394">
        <v>2.4969999999999999</v>
      </c>
      <c r="G2436" s="394"/>
      <c r="H2436" s="8" t="s">
        <v>235</v>
      </c>
      <c r="I2436" s="368">
        <f t="shared" si="112"/>
        <v>0</v>
      </c>
      <c r="J2436" s="365">
        <f t="shared" si="114"/>
        <v>0</v>
      </c>
      <c r="K2436" s="369">
        <f t="shared" si="113"/>
        <v>6</v>
      </c>
      <c r="L2436" s="369">
        <f>+IF((C2436&gt;='Resultats - informe'!$E$16)*(C2436&lt;='Resultats - informe'!$G$16),1,0)</f>
        <v>1</v>
      </c>
      <c r="M2436" s="369" cm="1">
        <f t="array" ref="M2436">+_xlfn.IFS((C2436&gt;='Resultats - informe'!$D$26)*(C2436&lt;='Resultats - informe'!$E$26),0,(C2436&gt;='Resultats - informe'!$D$27)*(C2436&lt;='Resultats - informe'!$E$27),0,(C2436&gt;='Resultats - informe'!$D$28)*(C2436&lt;='Resultats - informe'!$E$28),0,(C2436&gt;='Resultats - informe'!$D$29)*(C2436&lt;='Resultats - informe'!$E$29),0,1,1)</f>
        <v>0</v>
      </c>
      <c r="N2436" s="366">
        <f>+VLOOKUP(D2436,'Resultats - informe'!$Y$18:$AG$42,'Introducció dades consum'!K2436+1,0)</f>
        <v>0</v>
      </c>
      <c r="O2436" s="370" cm="1">
        <f t="array" ref="O2436">+_xlfn.SWITCH(MONTH(C2436),1,1,2,1,3,1,4,2,5,2,6,3,7,3,8,3,9,3,10,2,11,2,12,1,2)</f>
        <v>1</v>
      </c>
      <c r="P2436" s="43"/>
    </row>
    <row r="2437" spans="1:16" ht="18" x14ac:dyDescent="0.35">
      <c r="A2437" s="43"/>
      <c r="C2437" s="393"/>
      <c r="E2437" s="394"/>
      <c r="F2437" s="394">
        <v>3.1070000000000002</v>
      </c>
      <c r="G2437" s="394"/>
      <c r="H2437" s="8" t="s">
        <v>235</v>
      </c>
      <c r="I2437" s="368">
        <f t="shared" si="112"/>
        <v>0</v>
      </c>
      <c r="J2437" s="365">
        <f t="shared" si="114"/>
        <v>0</v>
      </c>
      <c r="K2437" s="369">
        <f t="shared" si="113"/>
        <v>6</v>
      </c>
      <c r="L2437" s="369">
        <f>+IF((C2437&gt;='Resultats - informe'!$E$16)*(C2437&lt;='Resultats - informe'!$G$16),1,0)</f>
        <v>1</v>
      </c>
      <c r="M2437" s="369" cm="1">
        <f t="array" ref="M2437">+_xlfn.IFS((C2437&gt;='Resultats - informe'!$D$26)*(C2437&lt;='Resultats - informe'!$E$26),0,(C2437&gt;='Resultats - informe'!$D$27)*(C2437&lt;='Resultats - informe'!$E$27),0,(C2437&gt;='Resultats - informe'!$D$28)*(C2437&lt;='Resultats - informe'!$E$28),0,(C2437&gt;='Resultats - informe'!$D$29)*(C2437&lt;='Resultats - informe'!$E$29),0,1,1)</f>
        <v>0</v>
      </c>
      <c r="N2437" s="366">
        <f>+VLOOKUP(D2437,'Resultats - informe'!$Y$18:$AG$42,'Introducció dades consum'!K2437+1,0)</f>
        <v>0</v>
      </c>
      <c r="O2437" s="370" cm="1">
        <f t="array" ref="O2437">+_xlfn.SWITCH(MONTH(C2437),1,1,2,1,3,1,4,2,5,2,6,3,7,3,8,3,9,3,10,2,11,2,12,1,2)</f>
        <v>1</v>
      </c>
      <c r="P2437" s="43"/>
    </row>
    <row r="2438" spans="1:16" ht="18" x14ac:dyDescent="0.35">
      <c r="A2438" s="43"/>
      <c r="C2438" s="393"/>
      <c r="E2438" s="394"/>
      <c r="F2438" s="394">
        <v>3.32</v>
      </c>
      <c r="G2438" s="394"/>
      <c r="H2438" s="8" t="s">
        <v>61</v>
      </c>
      <c r="I2438" s="368">
        <f t="shared" ref="I2438:I2501" si="115">+E2438+G2438</f>
        <v>0</v>
      </c>
      <c r="J2438" s="365">
        <f t="shared" si="114"/>
        <v>0</v>
      </c>
      <c r="K2438" s="369">
        <f t="shared" ref="K2438:K2501" si="116">+WEEKDAY(C2438,2)</f>
        <v>6</v>
      </c>
      <c r="L2438" s="369">
        <f>+IF((C2438&gt;='Resultats - informe'!$E$16)*(C2438&lt;='Resultats - informe'!$G$16),1,0)</f>
        <v>1</v>
      </c>
      <c r="M2438" s="369" cm="1">
        <f t="array" ref="M2438">+_xlfn.IFS((C2438&gt;='Resultats - informe'!$D$26)*(C2438&lt;='Resultats - informe'!$E$26),0,(C2438&gt;='Resultats - informe'!$D$27)*(C2438&lt;='Resultats - informe'!$E$27),0,(C2438&gt;='Resultats - informe'!$D$28)*(C2438&lt;='Resultats - informe'!$E$28),0,(C2438&gt;='Resultats - informe'!$D$29)*(C2438&lt;='Resultats - informe'!$E$29),0,1,1)</f>
        <v>0</v>
      </c>
      <c r="N2438" s="366">
        <f>+VLOOKUP(D2438,'Resultats - informe'!$Y$18:$AG$42,'Introducció dades consum'!K2438+1,0)</f>
        <v>0</v>
      </c>
      <c r="O2438" s="370" cm="1">
        <f t="array" ref="O2438">+_xlfn.SWITCH(MONTH(C2438),1,1,2,1,3,1,4,2,5,2,6,3,7,3,8,3,9,3,10,2,11,2,12,1,2)</f>
        <v>1</v>
      </c>
      <c r="P2438" s="43"/>
    </row>
    <row r="2439" spans="1:16" ht="18" x14ac:dyDescent="0.35">
      <c r="A2439" s="43"/>
      <c r="C2439" s="393"/>
      <c r="E2439" s="394"/>
      <c r="F2439" s="394">
        <v>4.75</v>
      </c>
      <c r="G2439" s="394"/>
      <c r="H2439" s="8" t="s">
        <v>61</v>
      </c>
      <c r="I2439" s="368">
        <f t="shared" si="115"/>
        <v>0</v>
      </c>
      <c r="J2439" s="365">
        <f t="shared" si="114"/>
        <v>0</v>
      </c>
      <c r="K2439" s="369">
        <f t="shared" si="116"/>
        <v>6</v>
      </c>
      <c r="L2439" s="369">
        <f>+IF((C2439&gt;='Resultats - informe'!$E$16)*(C2439&lt;='Resultats - informe'!$G$16),1,0)</f>
        <v>1</v>
      </c>
      <c r="M2439" s="369" cm="1">
        <f t="array" ref="M2439">+_xlfn.IFS((C2439&gt;='Resultats - informe'!$D$26)*(C2439&lt;='Resultats - informe'!$E$26),0,(C2439&gt;='Resultats - informe'!$D$27)*(C2439&lt;='Resultats - informe'!$E$27),0,(C2439&gt;='Resultats - informe'!$D$28)*(C2439&lt;='Resultats - informe'!$E$28),0,(C2439&gt;='Resultats - informe'!$D$29)*(C2439&lt;='Resultats - informe'!$E$29),0,1,1)</f>
        <v>0</v>
      </c>
      <c r="N2439" s="366">
        <f>+VLOOKUP(D2439,'Resultats - informe'!$Y$18:$AG$42,'Introducció dades consum'!K2439+1,0)</f>
        <v>0</v>
      </c>
      <c r="O2439" s="370" cm="1">
        <f t="array" ref="O2439">+_xlfn.SWITCH(MONTH(C2439),1,1,2,1,3,1,4,2,5,2,6,3,7,3,8,3,9,3,10,2,11,2,12,1,2)</f>
        <v>1</v>
      </c>
      <c r="P2439" s="43"/>
    </row>
    <row r="2440" spans="1:16" ht="18" x14ac:dyDescent="0.35">
      <c r="A2440" s="43"/>
      <c r="C2440" s="393"/>
      <c r="E2440" s="394"/>
      <c r="F2440" s="394">
        <v>3.55</v>
      </c>
      <c r="G2440" s="394"/>
      <c r="H2440" s="8" t="s">
        <v>61</v>
      </c>
      <c r="I2440" s="368">
        <f t="shared" si="115"/>
        <v>0</v>
      </c>
      <c r="J2440" s="365">
        <f t="shared" si="114"/>
        <v>0</v>
      </c>
      <c r="K2440" s="369">
        <f t="shared" si="116"/>
        <v>6</v>
      </c>
      <c r="L2440" s="369">
        <f>+IF((C2440&gt;='Resultats - informe'!$E$16)*(C2440&lt;='Resultats - informe'!$G$16),1,0)</f>
        <v>1</v>
      </c>
      <c r="M2440" s="369" cm="1">
        <f t="array" ref="M2440">+_xlfn.IFS((C2440&gt;='Resultats - informe'!$D$26)*(C2440&lt;='Resultats - informe'!$E$26),0,(C2440&gt;='Resultats - informe'!$D$27)*(C2440&lt;='Resultats - informe'!$E$27),0,(C2440&gt;='Resultats - informe'!$D$28)*(C2440&lt;='Resultats - informe'!$E$28),0,(C2440&gt;='Resultats - informe'!$D$29)*(C2440&lt;='Resultats - informe'!$E$29),0,1,1)</f>
        <v>0</v>
      </c>
      <c r="N2440" s="366">
        <f>+VLOOKUP(D2440,'Resultats - informe'!$Y$18:$AG$42,'Introducció dades consum'!K2440+1,0)</f>
        <v>0</v>
      </c>
      <c r="O2440" s="370" cm="1">
        <f t="array" ref="O2440">+_xlfn.SWITCH(MONTH(C2440),1,1,2,1,3,1,4,2,5,2,6,3,7,3,8,3,9,3,10,2,11,2,12,1,2)</f>
        <v>1</v>
      </c>
      <c r="P2440" s="43"/>
    </row>
    <row r="2441" spans="1:16" ht="18" x14ac:dyDescent="0.35">
      <c r="A2441" s="43"/>
      <c r="C2441" s="393"/>
      <c r="E2441" s="394"/>
      <c r="F2441" s="394">
        <v>3.952</v>
      </c>
      <c r="G2441" s="394"/>
      <c r="H2441" s="8" t="s">
        <v>61</v>
      </c>
      <c r="I2441" s="368">
        <f t="shared" si="115"/>
        <v>0</v>
      </c>
      <c r="J2441" s="365">
        <f t="shared" si="114"/>
        <v>0</v>
      </c>
      <c r="K2441" s="369">
        <f t="shared" si="116"/>
        <v>6</v>
      </c>
      <c r="L2441" s="369">
        <f>+IF((C2441&gt;='Resultats - informe'!$E$16)*(C2441&lt;='Resultats - informe'!$G$16),1,0)</f>
        <v>1</v>
      </c>
      <c r="M2441" s="369" cm="1">
        <f t="array" ref="M2441">+_xlfn.IFS((C2441&gt;='Resultats - informe'!$D$26)*(C2441&lt;='Resultats - informe'!$E$26),0,(C2441&gt;='Resultats - informe'!$D$27)*(C2441&lt;='Resultats - informe'!$E$27),0,(C2441&gt;='Resultats - informe'!$D$28)*(C2441&lt;='Resultats - informe'!$E$28),0,(C2441&gt;='Resultats - informe'!$D$29)*(C2441&lt;='Resultats - informe'!$E$29),0,1,1)</f>
        <v>0</v>
      </c>
      <c r="N2441" s="366">
        <f>+VLOOKUP(D2441,'Resultats - informe'!$Y$18:$AG$42,'Introducció dades consum'!K2441+1,0)</f>
        <v>0</v>
      </c>
      <c r="O2441" s="370" cm="1">
        <f t="array" ref="O2441">+_xlfn.SWITCH(MONTH(C2441),1,1,2,1,3,1,4,2,5,2,6,3,7,3,8,3,9,3,10,2,11,2,12,1,2)</f>
        <v>1</v>
      </c>
      <c r="P2441" s="43"/>
    </row>
    <row r="2442" spans="1:16" ht="18" x14ac:dyDescent="0.35">
      <c r="A2442" s="43"/>
      <c r="C2442" s="393"/>
      <c r="E2442" s="394"/>
      <c r="F2442" s="394">
        <v>3.7080000000000002</v>
      </c>
      <c r="G2442" s="394"/>
      <c r="H2442" s="8" t="s">
        <v>61</v>
      </c>
      <c r="I2442" s="368">
        <f t="shared" si="115"/>
        <v>0</v>
      </c>
      <c r="J2442" s="365">
        <f t="shared" si="114"/>
        <v>0</v>
      </c>
      <c r="K2442" s="369">
        <f t="shared" si="116"/>
        <v>6</v>
      </c>
      <c r="L2442" s="369">
        <f>+IF((C2442&gt;='Resultats - informe'!$E$16)*(C2442&lt;='Resultats - informe'!$G$16),1,0)</f>
        <v>1</v>
      </c>
      <c r="M2442" s="369" cm="1">
        <f t="array" ref="M2442">+_xlfn.IFS((C2442&gt;='Resultats - informe'!$D$26)*(C2442&lt;='Resultats - informe'!$E$26),0,(C2442&gt;='Resultats - informe'!$D$27)*(C2442&lt;='Resultats - informe'!$E$27),0,(C2442&gt;='Resultats - informe'!$D$28)*(C2442&lt;='Resultats - informe'!$E$28),0,(C2442&gt;='Resultats - informe'!$D$29)*(C2442&lt;='Resultats - informe'!$E$29),0,1,1)</f>
        <v>0</v>
      </c>
      <c r="N2442" s="366">
        <f>+VLOOKUP(D2442,'Resultats - informe'!$Y$18:$AG$42,'Introducció dades consum'!K2442+1,0)</f>
        <v>0</v>
      </c>
      <c r="O2442" s="370" cm="1">
        <f t="array" ref="O2442">+_xlfn.SWITCH(MONTH(C2442),1,1,2,1,3,1,4,2,5,2,6,3,7,3,8,3,9,3,10,2,11,2,12,1,2)</f>
        <v>1</v>
      </c>
      <c r="P2442" s="43"/>
    </row>
    <row r="2443" spans="1:16" ht="18" x14ac:dyDescent="0.35">
      <c r="A2443" s="43"/>
      <c r="C2443" s="393"/>
      <c r="E2443" s="394"/>
      <c r="F2443" s="394">
        <v>4.5190000000000001</v>
      </c>
      <c r="G2443" s="394"/>
      <c r="H2443" s="8" t="s">
        <v>61</v>
      </c>
      <c r="I2443" s="368">
        <f t="shared" si="115"/>
        <v>0</v>
      </c>
      <c r="J2443" s="365">
        <f t="shared" si="114"/>
        <v>0</v>
      </c>
      <c r="K2443" s="369">
        <f t="shared" si="116"/>
        <v>6</v>
      </c>
      <c r="L2443" s="369">
        <f>+IF((C2443&gt;='Resultats - informe'!$E$16)*(C2443&lt;='Resultats - informe'!$G$16),1,0)</f>
        <v>1</v>
      </c>
      <c r="M2443" s="369" cm="1">
        <f t="array" ref="M2443">+_xlfn.IFS((C2443&gt;='Resultats - informe'!$D$26)*(C2443&lt;='Resultats - informe'!$E$26),0,(C2443&gt;='Resultats - informe'!$D$27)*(C2443&lt;='Resultats - informe'!$E$27),0,(C2443&gt;='Resultats - informe'!$D$28)*(C2443&lt;='Resultats - informe'!$E$28),0,(C2443&gt;='Resultats - informe'!$D$29)*(C2443&lt;='Resultats - informe'!$E$29),0,1,1)</f>
        <v>0</v>
      </c>
      <c r="N2443" s="366">
        <f>+VLOOKUP(D2443,'Resultats - informe'!$Y$18:$AG$42,'Introducció dades consum'!K2443+1,0)</f>
        <v>0</v>
      </c>
      <c r="O2443" s="370" cm="1">
        <f t="array" ref="O2443">+_xlfn.SWITCH(MONTH(C2443),1,1,2,1,3,1,4,2,5,2,6,3,7,3,8,3,9,3,10,2,11,2,12,1,2)</f>
        <v>1</v>
      </c>
      <c r="P2443" s="43"/>
    </row>
    <row r="2444" spans="1:16" ht="18" x14ac:dyDescent="0.35">
      <c r="A2444" s="43"/>
      <c r="C2444" s="393"/>
      <c r="E2444" s="394"/>
      <c r="F2444" s="394">
        <v>2.9689999999999999</v>
      </c>
      <c r="G2444" s="394"/>
      <c r="H2444" s="8" t="s">
        <v>61</v>
      </c>
      <c r="I2444" s="368">
        <f t="shared" si="115"/>
        <v>0</v>
      </c>
      <c r="J2444" s="365">
        <f t="shared" si="114"/>
        <v>0</v>
      </c>
      <c r="K2444" s="369">
        <f t="shared" si="116"/>
        <v>6</v>
      </c>
      <c r="L2444" s="369">
        <f>+IF((C2444&gt;='Resultats - informe'!$E$16)*(C2444&lt;='Resultats - informe'!$G$16),1,0)</f>
        <v>1</v>
      </c>
      <c r="M2444" s="369" cm="1">
        <f t="array" ref="M2444">+_xlfn.IFS((C2444&gt;='Resultats - informe'!$D$26)*(C2444&lt;='Resultats - informe'!$E$26),0,(C2444&gt;='Resultats - informe'!$D$27)*(C2444&lt;='Resultats - informe'!$E$27),0,(C2444&gt;='Resultats - informe'!$D$28)*(C2444&lt;='Resultats - informe'!$E$28),0,(C2444&gt;='Resultats - informe'!$D$29)*(C2444&lt;='Resultats - informe'!$E$29),0,1,1)</f>
        <v>0</v>
      </c>
      <c r="N2444" s="366">
        <f>+VLOOKUP(D2444,'Resultats - informe'!$Y$18:$AG$42,'Introducció dades consum'!K2444+1,0)</f>
        <v>0</v>
      </c>
      <c r="O2444" s="370" cm="1">
        <f t="array" ref="O2444">+_xlfn.SWITCH(MONTH(C2444),1,1,2,1,3,1,4,2,5,2,6,3,7,3,8,3,9,3,10,2,11,2,12,1,2)</f>
        <v>1</v>
      </c>
      <c r="P2444" s="43"/>
    </row>
    <row r="2445" spans="1:16" ht="18" x14ac:dyDescent="0.35">
      <c r="A2445" s="43"/>
      <c r="C2445" s="393"/>
      <c r="E2445" s="394"/>
      <c r="F2445" s="394">
        <v>1.5369999999999999</v>
      </c>
      <c r="G2445" s="394"/>
      <c r="H2445" s="8" t="s">
        <v>61</v>
      </c>
      <c r="I2445" s="368">
        <f t="shared" si="115"/>
        <v>0</v>
      </c>
      <c r="J2445" s="365">
        <f t="shared" si="114"/>
        <v>0</v>
      </c>
      <c r="K2445" s="369">
        <f t="shared" si="116"/>
        <v>6</v>
      </c>
      <c r="L2445" s="369">
        <f>+IF((C2445&gt;='Resultats - informe'!$E$16)*(C2445&lt;='Resultats - informe'!$G$16),1,0)</f>
        <v>1</v>
      </c>
      <c r="M2445" s="369" cm="1">
        <f t="array" ref="M2445">+_xlfn.IFS((C2445&gt;='Resultats - informe'!$D$26)*(C2445&lt;='Resultats - informe'!$E$26),0,(C2445&gt;='Resultats - informe'!$D$27)*(C2445&lt;='Resultats - informe'!$E$27),0,(C2445&gt;='Resultats - informe'!$D$28)*(C2445&lt;='Resultats - informe'!$E$28),0,(C2445&gt;='Resultats - informe'!$D$29)*(C2445&lt;='Resultats - informe'!$E$29),0,1,1)</f>
        <v>0</v>
      </c>
      <c r="N2445" s="366">
        <f>+VLOOKUP(D2445,'Resultats - informe'!$Y$18:$AG$42,'Introducció dades consum'!K2445+1,0)</f>
        <v>0</v>
      </c>
      <c r="O2445" s="370" cm="1">
        <f t="array" ref="O2445">+_xlfn.SWITCH(MONTH(C2445),1,1,2,1,3,1,4,2,5,2,6,3,7,3,8,3,9,3,10,2,11,2,12,1,2)</f>
        <v>1</v>
      </c>
      <c r="P2445" s="43"/>
    </row>
    <row r="2446" spans="1:16" ht="18" x14ac:dyDescent="0.35">
      <c r="A2446" s="43"/>
      <c r="C2446" s="393"/>
      <c r="E2446" s="394"/>
      <c r="F2446" s="394">
        <v>0.69199999999999995</v>
      </c>
      <c r="G2446" s="394"/>
      <c r="H2446" s="8" t="s">
        <v>61</v>
      </c>
      <c r="I2446" s="368">
        <f t="shared" si="115"/>
        <v>0</v>
      </c>
      <c r="J2446" s="365">
        <f t="shared" si="114"/>
        <v>0</v>
      </c>
      <c r="K2446" s="369">
        <f t="shared" si="116"/>
        <v>6</v>
      </c>
      <c r="L2446" s="369">
        <f>+IF((C2446&gt;='Resultats - informe'!$E$16)*(C2446&lt;='Resultats - informe'!$G$16),1,0)</f>
        <v>1</v>
      </c>
      <c r="M2446" s="369" cm="1">
        <f t="array" ref="M2446">+_xlfn.IFS((C2446&gt;='Resultats - informe'!$D$26)*(C2446&lt;='Resultats - informe'!$E$26),0,(C2446&gt;='Resultats - informe'!$D$27)*(C2446&lt;='Resultats - informe'!$E$27),0,(C2446&gt;='Resultats - informe'!$D$28)*(C2446&lt;='Resultats - informe'!$E$28),0,(C2446&gt;='Resultats - informe'!$D$29)*(C2446&lt;='Resultats - informe'!$E$29),0,1,1)</f>
        <v>0</v>
      </c>
      <c r="N2446" s="366">
        <f>+VLOOKUP(D2446,'Resultats - informe'!$Y$18:$AG$42,'Introducció dades consum'!K2446+1,0)</f>
        <v>0</v>
      </c>
      <c r="O2446" s="370" cm="1">
        <f t="array" ref="O2446">+_xlfn.SWITCH(MONTH(C2446),1,1,2,1,3,1,4,2,5,2,6,3,7,3,8,3,9,3,10,2,11,2,12,1,2)</f>
        <v>1</v>
      </c>
      <c r="P2446" s="43"/>
    </row>
    <row r="2447" spans="1:16" ht="18" x14ac:dyDescent="0.35">
      <c r="A2447" s="43"/>
      <c r="C2447" s="393"/>
      <c r="E2447" s="394"/>
      <c r="F2447" s="394">
        <v>9.5000000000000001E-2</v>
      </c>
      <c r="G2447" s="394"/>
      <c r="H2447" s="8" t="s">
        <v>61</v>
      </c>
      <c r="I2447" s="368">
        <f t="shared" si="115"/>
        <v>0</v>
      </c>
      <c r="J2447" s="365">
        <f t="shared" si="114"/>
        <v>0</v>
      </c>
      <c r="K2447" s="369">
        <f t="shared" si="116"/>
        <v>6</v>
      </c>
      <c r="L2447" s="369">
        <f>+IF((C2447&gt;='Resultats - informe'!$E$16)*(C2447&lt;='Resultats - informe'!$G$16),1,0)</f>
        <v>1</v>
      </c>
      <c r="M2447" s="369" cm="1">
        <f t="array" ref="M2447">+_xlfn.IFS((C2447&gt;='Resultats - informe'!$D$26)*(C2447&lt;='Resultats - informe'!$E$26),0,(C2447&gt;='Resultats - informe'!$D$27)*(C2447&lt;='Resultats - informe'!$E$27),0,(C2447&gt;='Resultats - informe'!$D$28)*(C2447&lt;='Resultats - informe'!$E$28),0,(C2447&gt;='Resultats - informe'!$D$29)*(C2447&lt;='Resultats - informe'!$E$29),0,1,1)</f>
        <v>0</v>
      </c>
      <c r="N2447" s="366">
        <f>+VLOOKUP(D2447,'Resultats - informe'!$Y$18:$AG$42,'Introducció dades consum'!K2447+1,0)</f>
        <v>0</v>
      </c>
      <c r="O2447" s="370" cm="1">
        <f t="array" ref="O2447">+_xlfn.SWITCH(MONTH(C2447),1,1,2,1,3,1,4,2,5,2,6,3,7,3,8,3,9,3,10,2,11,2,12,1,2)</f>
        <v>1</v>
      </c>
      <c r="P2447" s="43"/>
    </row>
    <row r="2448" spans="1:16" ht="18" x14ac:dyDescent="0.35">
      <c r="A2448" s="43"/>
      <c r="C2448" s="393"/>
      <c r="E2448" s="394"/>
      <c r="F2448" s="394">
        <v>0</v>
      </c>
      <c r="G2448" s="394"/>
      <c r="H2448" s="8" t="s">
        <v>61</v>
      </c>
      <c r="I2448" s="368">
        <f t="shared" si="115"/>
        <v>0</v>
      </c>
      <c r="J2448" s="365">
        <f t="shared" si="114"/>
        <v>0</v>
      </c>
      <c r="K2448" s="369">
        <f t="shared" si="116"/>
        <v>6</v>
      </c>
      <c r="L2448" s="369">
        <f>+IF((C2448&gt;='Resultats - informe'!$E$16)*(C2448&lt;='Resultats - informe'!$G$16),1,0)</f>
        <v>1</v>
      </c>
      <c r="M2448" s="369" cm="1">
        <f t="array" ref="M2448">+_xlfn.IFS((C2448&gt;='Resultats - informe'!$D$26)*(C2448&lt;='Resultats - informe'!$E$26),0,(C2448&gt;='Resultats - informe'!$D$27)*(C2448&lt;='Resultats - informe'!$E$27),0,(C2448&gt;='Resultats - informe'!$D$28)*(C2448&lt;='Resultats - informe'!$E$28),0,(C2448&gt;='Resultats - informe'!$D$29)*(C2448&lt;='Resultats - informe'!$E$29),0,1,1)</f>
        <v>0</v>
      </c>
      <c r="N2448" s="366">
        <f>+VLOOKUP(D2448,'Resultats - informe'!$Y$18:$AG$42,'Introducció dades consum'!K2448+1,0)</f>
        <v>0</v>
      </c>
      <c r="O2448" s="370" cm="1">
        <f t="array" ref="O2448">+_xlfn.SWITCH(MONTH(C2448),1,1,2,1,3,1,4,2,5,2,6,3,7,3,8,3,9,3,10,2,11,2,12,1,2)</f>
        <v>1</v>
      </c>
      <c r="P2448" s="43"/>
    </row>
    <row r="2449" spans="1:16" ht="18" x14ac:dyDescent="0.35">
      <c r="A2449" s="43"/>
      <c r="C2449" s="393"/>
      <c r="E2449" s="394"/>
      <c r="F2449" s="394">
        <v>0</v>
      </c>
      <c r="G2449" s="394"/>
      <c r="H2449" s="8" t="s">
        <v>61</v>
      </c>
      <c r="I2449" s="368">
        <f t="shared" si="115"/>
        <v>0</v>
      </c>
      <c r="J2449" s="365">
        <f t="shared" si="114"/>
        <v>0</v>
      </c>
      <c r="K2449" s="369">
        <f t="shared" si="116"/>
        <v>6</v>
      </c>
      <c r="L2449" s="369">
        <f>+IF((C2449&gt;='Resultats - informe'!$E$16)*(C2449&lt;='Resultats - informe'!$G$16),1,0)</f>
        <v>1</v>
      </c>
      <c r="M2449" s="369" cm="1">
        <f t="array" ref="M2449">+_xlfn.IFS((C2449&gt;='Resultats - informe'!$D$26)*(C2449&lt;='Resultats - informe'!$E$26),0,(C2449&gt;='Resultats - informe'!$D$27)*(C2449&lt;='Resultats - informe'!$E$27),0,(C2449&gt;='Resultats - informe'!$D$28)*(C2449&lt;='Resultats - informe'!$E$28),0,(C2449&gt;='Resultats - informe'!$D$29)*(C2449&lt;='Resultats - informe'!$E$29),0,1,1)</f>
        <v>0</v>
      </c>
      <c r="N2449" s="366">
        <f>+VLOOKUP(D2449,'Resultats - informe'!$Y$18:$AG$42,'Introducció dades consum'!K2449+1,0)</f>
        <v>0</v>
      </c>
      <c r="O2449" s="370" cm="1">
        <f t="array" ref="O2449">+_xlfn.SWITCH(MONTH(C2449),1,1,2,1,3,1,4,2,5,2,6,3,7,3,8,3,9,3,10,2,11,2,12,1,2)</f>
        <v>1</v>
      </c>
      <c r="P2449" s="43"/>
    </row>
    <row r="2450" spans="1:16" ht="18" x14ac:dyDescent="0.35">
      <c r="A2450" s="43"/>
      <c r="C2450" s="393"/>
      <c r="E2450" s="394"/>
      <c r="F2450" s="394">
        <v>0</v>
      </c>
      <c r="G2450" s="394"/>
      <c r="H2450" s="8" t="s">
        <v>235</v>
      </c>
      <c r="I2450" s="368">
        <f t="shared" si="115"/>
        <v>0</v>
      </c>
      <c r="J2450" s="365">
        <f t="shared" si="114"/>
        <v>0</v>
      </c>
      <c r="K2450" s="369">
        <f t="shared" si="116"/>
        <v>6</v>
      </c>
      <c r="L2450" s="369">
        <f>+IF((C2450&gt;='Resultats - informe'!$E$16)*(C2450&lt;='Resultats - informe'!$G$16),1,0)</f>
        <v>1</v>
      </c>
      <c r="M2450" s="369" cm="1">
        <f t="array" ref="M2450">+_xlfn.IFS((C2450&gt;='Resultats - informe'!$D$26)*(C2450&lt;='Resultats - informe'!$E$26),0,(C2450&gt;='Resultats - informe'!$D$27)*(C2450&lt;='Resultats - informe'!$E$27),0,(C2450&gt;='Resultats - informe'!$D$28)*(C2450&lt;='Resultats - informe'!$E$28),0,(C2450&gt;='Resultats - informe'!$D$29)*(C2450&lt;='Resultats - informe'!$E$29),0,1,1)</f>
        <v>0</v>
      </c>
      <c r="N2450" s="366">
        <f>+VLOOKUP(D2450,'Resultats - informe'!$Y$18:$AG$42,'Introducció dades consum'!K2450+1,0)</f>
        <v>0</v>
      </c>
      <c r="O2450" s="370" cm="1">
        <f t="array" ref="O2450">+_xlfn.SWITCH(MONTH(C2450),1,1,2,1,3,1,4,2,5,2,6,3,7,3,8,3,9,3,10,2,11,2,12,1,2)</f>
        <v>1</v>
      </c>
      <c r="P2450" s="43"/>
    </row>
    <row r="2451" spans="1:16" ht="18" x14ac:dyDescent="0.35">
      <c r="A2451" s="43"/>
      <c r="C2451" s="393"/>
      <c r="E2451" s="394"/>
      <c r="F2451" s="394">
        <v>0</v>
      </c>
      <c r="G2451" s="394"/>
      <c r="H2451" s="8" t="s">
        <v>235</v>
      </c>
      <c r="I2451" s="368">
        <f t="shared" si="115"/>
        <v>0</v>
      </c>
      <c r="J2451" s="365">
        <f t="shared" si="114"/>
        <v>0</v>
      </c>
      <c r="K2451" s="369">
        <f t="shared" si="116"/>
        <v>6</v>
      </c>
      <c r="L2451" s="369">
        <f>+IF((C2451&gt;='Resultats - informe'!$E$16)*(C2451&lt;='Resultats - informe'!$G$16),1,0)</f>
        <v>1</v>
      </c>
      <c r="M2451" s="369" cm="1">
        <f t="array" ref="M2451">+_xlfn.IFS((C2451&gt;='Resultats - informe'!$D$26)*(C2451&lt;='Resultats - informe'!$E$26),0,(C2451&gt;='Resultats - informe'!$D$27)*(C2451&lt;='Resultats - informe'!$E$27),0,(C2451&gt;='Resultats - informe'!$D$28)*(C2451&lt;='Resultats - informe'!$E$28),0,(C2451&gt;='Resultats - informe'!$D$29)*(C2451&lt;='Resultats - informe'!$E$29),0,1,1)</f>
        <v>0</v>
      </c>
      <c r="N2451" s="366">
        <f>+VLOOKUP(D2451,'Resultats - informe'!$Y$18:$AG$42,'Introducció dades consum'!K2451+1,0)</f>
        <v>0</v>
      </c>
      <c r="O2451" s="370" cm="1">
        <f t="array" ref="O2451">+_xlfn.SWITCH(MONTH(C2451),1,1,2,1,3,1,4,2,5,2,6,3,7,3,8,3,9,3,10,2,11,2,12,1,2)</f>
        <v>1</v>
      </c>
      <c r="P2451" s="43"/>
    </row>
    <row r="2452" spans="1:16" ht="18" x14ac:dyDescent="0.35">
      <c r="A2452" s="43"/>
      <c r="C2452" s="393"/>
      <c r="E2452" s="394"/>
      <c r="F2452" s="394">
        <v>0</v>
      </c>
      <c r="G2452" s="394"/>
      <c r="H2452" s="8" t="s">
        <v>235</v>
      </c>
      <c r="I2452" s="368">
        <f t="shared" si="115"/>
        <v>0</v>
      </c>
      <c r="J2452" s="365">
        <f t="shared" si="114"/>
        <v>0</v>
      </c>
      <c r="K2452" s="369">
        <f t="shared" si="116"/>
        <v>6</v>
      </c>
      <c r="L2452" s="369">
        <f>+IF((C2452&gt;='Resultats - informe'!$E$16)*(C2452&lt;='Resultats - informe'!$G$16),1,0)</f>
        <v>1</v>
      </c>
      <c r="M2452" s="369" cm="1">
        <f t="array" ref="M2452">+_xlfn.IFS((C2452&gt;='Resultats - informe'!$D$26)*(C2452&lt;='Resultats - informe'!$E$26),0,(C2452&gt;='Resultats - informe'!$D$27)*(C2452&lt;='Resultats - informe'!$E$27),0,(C2452&gt;='Resultats - informe'!$D$28)*(C2452&lt;='Resultats - informe'!$E$28),0,(C2452&gt;='Resultats - informe'!$D$29)*(C2452&lt;='Resultats - informe'!$E$29),0,1,1)</f>
        <v>0</v>
      </c>
      <c r="N2452" s="366">
        <f>+VLOOKUP(D2452,'Resultats - informe'!$Y$18:$AG$42,'Introducció dades consum'!K2452+1,0)</f>
        <v>0</v>
      </c>
      <c r="O2452" s="370" cm="1">
        <f t="array" ref="O2452">+_xlfn.SWITCH(MONTH(C2452),1,1,2,1,3,1,4,2,5,2,6,3,7,3,8,3,9,3,10,2,11,2,12,1,2)</f>
        <v>1</v>
      </c>
      <c r="P2452" s="43"/>
    </row>
    <row r="2453" spans="1:16" ht="18" x14ac:dyDescent="0.35">
      <c r="A2453" s="43"/>
      <c r="C2453" s="393"/>
      <c r="E2453" s="394"/>
      <c r="F2453" s="394">
        <v>0</v>
      </c>
      <c r="G2453" s="394"/>
      <c r="H2453" s="8" t="s">
        <v>235</v>
      </c>
      <c r="I2453" s="368">
        <f t="shared" si="115"/>
        <v>0</v>
      </c>
      <c r="J2453" s="365">
        <f t="shared" si="114"/>
        <v>0</v>
      </c>
      <c r="K2453" s="369">
        <f t="shared" si="116"/>
        <v>6</v>
      </c>
      <c r="L2453" s="369">
        <f>+IF((C2453&gt;='Resultats - informe'!$E$16)*(C2453&lt;='Resultats - informe'!$G$16),1,0)</f>
        <v>1</v>
      </c>
      <c r="M2453" s="369" cm="1">
        <f t="array" ref="M2453">+_xlfn.IFS((C2453&gt;='Resultats - informe'!$D$26)*(C2453&lt;='Resultats - informe'!$E$26),0,(C2453&gt;='Resultats - informe'!$D$27)*(C2453&lt;='Resultats - informe'!$E$27),0,(C2453&gt;='Resultats - informe'!$D$28)*(C2453&lt;='Resultats - informe'!$E$28),0,(C2453&gt;='Resultats - informe'!$D$29)*(C2453&lt;='Resultats - informe'!$E$29),0,1,1)</f>
        <v>0</v>
      </c>
      <c r="N2453" s="366">
        <f>+VLOOKUP(D2453,'Resultats - informe'!$Y$18:$AG$42,'Introducció dades consum'!K2453+1,0)</f>
        <v>0</v>
      </c>
      <c r="O2453" s="370" cm="1">
        <f t="array" ref="O2453">+_xlfn.SWITCH(MONTH(C2453),1,1,2,1,3,1,4,2,5,2,6,3,7,3,8,3,9,3,10,2,11,2,12,1,2)</f>
        <v>1</v>
      </c>
      <c r="P2453" s="43"/>
    </row>
    <row r="2454" spans="1:16" ht="18" x14ac:dyDescent="0.35">
      <c r="A2454" s="43"/>
      <c r="C2454" s="393"/>
      <c r="E2454" s="394"/>
      <c r="F2454" s="394">
        <v>0</v>
      </c>
      <c r="G2454" s="394"/>
      <c r="H2454" s="8" t="s">
        <v>235</v>
      </c>
      <c r="I2454" s="368">
        <f t="shared" si="115"/>
        <v>0</v>
      </c>
      <c r="J2454" s="365">
        <f t="shared" si="114"/>
        <v>0</v>
      </c>
      <c r="K2454" s="369">
        <f t="shared" si="116"/>
        <v>6</v>
      </c>
      <c r="L2454" s="369">
        <f>+IF((C2454&gt;='Resultats - informe'!$E$16)*(C2454&lt;='Resultats - informe'!$G$16),1,0)</f>
        <v>1</v>
      </c>
      <c r="M2454" s="369" cm="1">
        <f t="array" ref="M2454">+_xlfn.IFS((C2454&gt;='Resultats - informe'!$D$26)*(C2454&lt;='Resultats - informe'!$E$26),0,(C2454&gt;='Resultats - informe'!$D$27)*(C2454&lt;='Resultats - informe'!$E$27),0,(C2454&gt;='Resultats - informe'!$D$28)*(C2454&lt;='Resultats - informe'!$E$28),0,(C2454&gt;='Resultats - informe'!$D$29)*(C2454&lt;='Resultats - informe'!$E$29),0,1,1)</f>
        <v>0</v>
      </c>
      <c r="N2454" s="366">
        <f>+VLOOKUP(D2454,'Resultats - informe'!$Y$18:$AG$42,'Introducció dades consum'!K2454+1,0)</f>
        <v>0</v>
      </c>
      <c r="O2454" s="370" cm="1">
        <f t="array" ref="O2454">+_xlfn.SWITCH(MONTH(C2454),1,1,2,1,3,1,4,2,5,2,6,3,7,3,8,3,9,3,10,2,11,2,12,1,2)</f>
        <v>1</v>
      </c>
      <c r="P2454" s="43"/>
    </row>
    <row r="2455" spans="1:16" ht="18" x14ac:dyDescent="0.35">
      <c r="A2455" s="43"/>
      <c r="C2455" s="393"/>
      <c r="E2455" s="394"/>
      <c r="F2455" s="394">
        <v>0</v>
      </c>
      <c r="G2455" s="394"/>
      <c r="H2455" s="8" t="s">
        <v>61</v>
      </c>
      <c r="I2455" s="368">
        <f t="shared" si="115"/>
        <v>0</v>
      </c>
      <c r="J2455" s="365">
        <f t="shared" si="114"/>
        <v>0</v>
      </c>
      <c r="K2455" s="369">
        <f t="shared" si="116"/>
        <v>6</v>
      </c>
      <c r="L2455" s="369">
        <f>+IF((C2455&gt;='Resultats - informe'!$E$16)*(C2455&lt;='Resultats - informe'!$G$16),1,0)</f>
        <v>1</v>
      </c>
      <c r="M2455" s="369" cm="1">
        <f t="array" ref="M2455">+_xlfn.IFS((C2455&gt;='Resultats - informe'!$D$26)*(C2455&lt;='Resultats - informe'!$E$26),0,(C2455&gt;='Resultats - informe'!$D$27)*(C2455&lt;='Resultats - informe'!$E$27),0,(C2455&gt;='Resultats - informe'!$D$28)*(C2455&lt;='Resultats - informe'!$E$28),0,(C2455&gt;='Resultats - informe'!$D$29)*(C2455&lt;='Resultats - informe'!$E$29),0,1,1)</f>
        <v>0</v>
      </c>
      <c r="N2455" s="366">
        <f>+VLOOKUP(D2455,'Resultats - informe'!$Y$18:$AG$42,'Introducció dades consum'!K2455+1,0)</f>
        <v>0</v>
      </c>
      <c r="O2455" s="370" cm="1">
        <f t="array" ref="O2455">+_xlfn.SWITCH(MONTH(C2455),1,1,2,1,3,1,4,2,5,2,6,3,7,3,8,3,9,3,10,2,11,2,12,1,2)</f>
        <v>1</v>
      </c>
      <c r="P2455" s="43"/>
    </row>
    <row r="2456" spans="1:16" ht="18" x14ac:dyDescent="0.35">
      <c r="A2456" s="43"/>
      <c r="C2456" s="393"/>
      <c r="E2456" s="394"/>
      <c r="F2456" s="394">
        <v>0</v>
      </c>
      <c r="G2456" s="394"/>
      <c r="H2456" s="8" t="s">
        <v>61</v>
      </c>
      <c r="I2456" s="368">
        <f t="shared" si="115"/>
        <v>0</v>
      </c>
      <c r="J2456" s="365">
        <f t="shared" si="114"/>
        <v>0</v>
      </c>
      <c r="K2456" s="369">
        <f t="shared" si="116"/>
        <v>6</v>
      </c>
      <c r="L2456" s="369">
        <f>+IF((C2456&gt;='Resultats - informe'!$E$16)*(C2456&lt;='Resultats - informe'!$G$16),1,0)</f>
        <v>1</v>
      </c>
      <c r="M2456" s="369" cm="1">
        <f t="array" ref="M2456">+_xlfn.IFS((C2456&gt;='Resultats - informe'!$D$26)*(C2456&lt;='Resultats - informe'!$E$26),0,(C2456&gt;='Resultats - informe'!$D$27)*(C2456&lt;='Resultats - informe'!$E$27),0,(C2456&gt;='Resultats - informe'!$D$28)*(C2456&lt;='Resultats - informe'!$E$28),0,(C2456&gt;='Resultats - informe'!$D$29)*(C2456&lt;='Resultats - informe'!$E$29),0,1,1)</f>
        <v>0</v>
      </c>
      <c r="N2456" s="366">
        <f>+VLOOKUP(D2456,'Resultats - informe'!$Y$18:$AG$42,'Introducció dades consum'!K2456+1,0)</f>
        <v>0</v>
      </c>
      <c r="O2456" s="370" cm="1">
        <f t="array" ref="O2456">+_xlfn.SWITCH(MONTH(C2456),1,1,2,1,3,1,4,2,5,2,6,3,7,3,8,3,9,3,10,2,11,2,12,1,2)</f>
        <v>1</v>
      </c>
      <c r="P2456" s="43"/>
    </row>
    <row r="2457" spans="1:16" ht="18" x14ac:dyDescent="0.35">
      <c r="A2457" s="43"/>
      <c r="C2457" s="393"/>
      <c r="E2457" s="394"/>
      <c r="F2457" s="394">
        <v>0</v>
      </c>
      <c r="G2457" s="394"/>
      <c r="H2457" s="8" t="s">
        <v>235</v>
      </c>
      <c r="I2457" s="368">
        <f t="shared" si="115"/>
        <v>0</v>
      </c>
      <c r="J2457" s="365">
        <f t="shared" si="114"/>
        <v>0</v>
      </c>
      <c r="K2457" s="369">
        <f t="shared" si="116"/>
        <v>6</v>
      </c>
      <c r="L2457" s="369">
        <f>+IF((C2457&gt;='Resultats - informe'!$E$16)*(C2457&lt;='Resultats - informe'!$G$16),1,0)</f>
        <v>1</v>
      </c>
      <c r="M2457" s="369" cm="1">
        <f t="array" ref="M2457">+_xlfn.IFS((C2457&gt;='Resultats - informe'!$D$26)*(C2457&lt;='Resultats - informe'!$E$26),0,(C2457&gt;='Resultats - informe'!$D$27)*(C2457&lt;='Resultats - informe'!$E$27),0,(C2457&gt;='Resultats - informe'!$D$28)*(C2457&lt;='Resultats - informe'!$E$28),0,(C2457&gt;='Resultats - informe'!$D$29)*(C2457&lt;='Resultats - informe'!$E$29),0,1,1)</f>
        <v>0</v>
      </c>
      <c r="N2457" s="366">
        <f>+VLOOKUP(D2457,'Resultats - informe'!$Y$18:$AG$42,'Introducció dades consum'!K2457+1,0)</f>
        <v>0</v>
      </c>
      <c r="O2457" s="370" cm="1">
        <f t="array" ref="O2457">+_xlfn.SWITCH(MONTH(C2457),1,1,2,1,3,1,4,2,5,2,6,3,7,3,8,3,9,3,10,2,11,2,12,1,2)</f>
        <v>1</v>
      </c>
      <c r="P2457" s="43"/>
    </row>
    <row r="2458" spans="1:16" ht="18" x14ac:dyDescent="0.35">
      <c r="A2458" s="43"/>
      <c r="C2458" s="393"/>
      <c r="E2458" s="394"/>
      <c r="F2458" s="394">
        <v>0.75700000000000001</v>
      </c>
      <c r="G2458" s="394"/>
      <c r="H2458" s="8" t="s">
        <v>235</v>
      </c>
      <c r="I2458" s="368">
        <f t="shared" si="115"/>
        <v>0</v>
      </c>
      <c r="J2458" s="365">
        <f t="shared" si="114"/>
        <v>0</v>
      </c>
      <c r="K2458" s="369">
        <f t="shared" si="116"/>
        <v>6</v>
      </c>
      <c r="L2458" s="369">
        <f>+IF((C2458&gt;='Resultats - informe'!$E$16)*(C2458&lt;='Resultats - informe'!$G$16),1,0)</f>
        <v>1</v>
      </c>
      <c r="M2458" s="369" cm="1">
        <f t="array" ref="M2458">+_xlfn.IFS((C2458&gt;='Resultats - informe'!$D$26)*(C2458&lt;='Resultats - informe'!$E$26),0,(C2458&gt;='Resultats - informe'!$D$27)*(C2458&lt;='Resultats - informe'!$E$27),0,(C2458&gt;='Resultats - informe'!$D$28)*(C2458&lt;='Resultats - informe'!$E$28),0,(C2458&gt;='Resultats - informe'!$D$29)*(C2458&lt;='Resultats - informe'!$E$29),0,1,1)</f>
        <v>0</v>
      </c>
      <c r="N2458" s="366">
        <f>+VLOOKUP(D2458,'Resultats - informe'!$Y$18:$AG$42,'Introducció dades consum'!K2458+1,0)</f>
        <v>0</v>
      </c>
      <c r="O2458" s="370" cm="1">
        <f t="array" ref="O2458">+_xlfn.SWITCH(MONTH(C2458),1,1,2,1,3,1,4,2,5,2,6,3,7,3,8,3,9,3,10,2,11,2,12,1,2)</f>
        <v>1</v>
      </c>
      <c r="P2458" s="43"/>
    </row>
    <row r="2459" spans="1:16" ht="18" x14ac:dyDescent="0.35">
      <c r="A2459" s="43"/>
      <c r="C2459" s="393"/>
      <c r="E2459" s="394"/>
      <c r="F2459" s="394">
        <v>0</v>
      </c>
      <c r="G2459" s="394"/>
      <c r="H2459" s="8" t="s">
        <v>61</v>
      </c>
      <c r="I2459" s="368">
        <f t="shared" si="115"/>
        <v>0</v>
      </c>
      <c r="J2459" s="365">
        <f t="shared" si="114"/>
        <v>0</v>
      </c>
      <c r="K2459" s="369">
        <f t="shared" si="116"/>
        <v>6</v>
      </c>
      <c r="L2459" s="369">
        <f>+IF((C2459&gt;='Resultats - informe'!$E$16)*(C2459&lt;='Resultats - informe'!$G$16),1,0)</f>
        <v>1</v>
      </c>
      <c r="M2459" s="369" cm="1">
        <f t="array" ref="M2459">+_xlfn.IFS((C2459&gt;='Resultats - informe'!$D$26)*(C2459&lt;='Resultats - informe'!$E$26),0,(C2459&gt;='Resultats - informe'!$D$27)*(C2459&lt;='Resultats - informe'!$E$27),0,(C2459&gt;='Resultats - informe'!$D$28)*(C2459&lt;='Resultats - informe'!$E$28),0,(C2459&gt;='Resultats - informe'!$D$29)*(C2459&lt;='Resultats - informe'!$E$29),0,1,1)</f>
        <v>0</v>
      </c>
      <c r="N2459" s="366">
        <f>+VLOOKUP(D2459,'Resultats - informe'!$Y$18:$AG$42,'Introducció dades consum'!K2459+1,0)</f>
        <v>0</v>
      </c>
      <c r="O2459" s="370" cm="1">
        <f t="array" ref="O2459">+_xlfn.SWITCH(MONTH(C2459),1,1,2,1,3,1,4,2,5,2,6,3,7,3,8,3,9,3,10,2,11,2,12,1,2)</f>
        <v>1</v>
      </c>
      <c r="P2459" s="43"/>
    </row>
    <row r="2460" spans="1:16" ht="18" x14ac:dyDescent="0.35">
      <c r="A2460" s="43"/>
      <c r="C2460" s="393"/>
      <c r="E2460" s="394"/>
      <c r="F2460" s="394">
        <v>0.39300000000000002</v>
      </c>
      <c r="G2460" s="394"/>
      <c r="H2460" s="8" t="s">
        <v>61</v>
      </c>
      <c r="I2460" s="368">
        <f t="shared" si="115"/>
        <v>0</v>
      </c>
      <c r="J2460" s="365">
        <f t="shared" si="114"/>
        <v>0</v>
      </c>
      <c r="K2460" s="369">
        <f t="shared" si="116"/>
        <v>6</v>
      </c>
      <c r="L2460" s="369">
        <f>+IF((C2460&gt;='Resultats - informe'!$E$16)*(C2460&lt;='Resultats - informe'!$G$16),1,0)</f>
        <v>1</v>
      </c>
      <c r="M2460" s="369" cm="1">
        <f t="array" ref="M2460">+_xlfn.IFS((C2460&gt;='Resultats - informe'!$D$26)*(C2460&lt;='Resultats - informe'!$E$26),0,(C2460&gt;='Resultats - informe'!$D$27)*(C2460&lt;='Resultats - informe'!$E$27),0,(C2460&gt;='Resultats - informe'!$D$28)*(C2460&lt;='Resultats - informe'!$E$28),0,(C2460&gt;='Resultats - informe'!$D$29)*(C2460&lt;='Resultats - informe'!$E$29),0,1,1)</f>
        <v>0</v>
      </c>
      <c r="N2460" s="366">
        <f>+VLOOKUP(D2460,'Resultats - informe'!$Y$18:$AG$42,'Introducció dades consum'!K2460+1,0)</f>
        <v>0</v>
      </c>
      <c r="O2460" s="370" cm="1">
        <f t="array" ref="O2460">+_xlfn.SWITCH(MONTH(C2460),1,1,2,1,3,1,4,2,5,2,6,3,7,3,8,3,9,3,10,2,11,2,12,1,2)</f>
        <v>1</v>
      </c>
      <c r="P2460" s="43"/>
    </row>
    <row r="2461" spans="1:16" ht="18" x14ac:dyDescent="0.35">
      <c r="A2461" s="43"/>
      <c r="C2461" s="393"/>
      <c r="E2461" s="394"/>
      <c r="F2461" s="394">
        <v>3.298</v>
      </c>
      <c r="G2461" s="394"/>
      <c r="H2461" s="8" t="s">
        <v>235</v>
      </c>
      <c r="I2461" s="368">
        <f t="shared" si="115"/>
        <v>0</v>
      </c>
      <c r="J2461" s="365">
        <f t="shared" si="114"/>
        <v>0</v>
      </c>
      <c r="K2461" s="369">
        <f t="shared" si="116"/>
        <v>6</v>
      </c>
      <c r="L2461" s="369">
        <f>+IF((C2461&gt;='Resultats - informe'!$E$16)*(C2461&lt;='Resultats - informe'!$G$16),1,0)</f>
        <v>1</v>
      </c>
      <c r="M2461" s="369" cm="1">
        <f t="array" ref="M2461">+_xlfn.IFS((C2461&gt;='Resultats - informe'!$D$26)*(C2461&lt;='Resultats - informe'!$E$26),0,(C2461&gt;='Resultats - informe'!$D$27)*(C2461&lt;='Resultats - informe'!$E$27),0,(C2461&gt;='Resultats - informe'!$D$28)*(C2461&lt;='Resultats - informe'!$E$28),0,(C2461&gt;='Resultats - informe'!$D$29)*(C2461&lt;='Resultats - informe'!$E$29),0,1,1)</f>
        <v>0</v>
      </c>
      <c r="N2461" s="366">
        <f>+VLOOKUP(D2461,'Resultats - informe'!$Y$18:$AG$42,'Introducció dades consum'!K2461+1,0)</f>
        <v>0</v>
      </c>
      <c r="O2461" s="370" cm="1">
        <f t="array" ref="O2461">+_xlfn.SWITCH(MONTH(C2461),1,1,2,1,3,1,4,2,5,2,6,3,7,3,8,3,9,3,10,2,11,2,12,1,2)</f>
        <v>1</v>
      </c>
      <c r="P2461" s="43"/>
    </row>
    <row r="2462" spans="1:16" ht="18" x14ac:dyDescent="0.35">
      <c r="A2462" s="43"/>
      <c r="C2462" s="393"/>
      <c r="E2462" s="394"/>
      <c r="F2462" s="394">
        <v>3.8159999999999998</v>
      </c>
      <c r="G2462" s="394"/>
      <c r="H2462" s="8" t="s">
        <v>235</v>
      </c>
      <c r="I2462" s="368">
        <f t="shared" si="115"/>
        <v>0</v>
      </c>
      <c r="J2462" s="365">
        <f t="shared" si="114"/>
        <v>0</v>
      </c>
      <c r="K2462" s="369">
        <f t="shared" si="116"/>
        <v>6</v>
      </c>
      <c r="L2462" s="369">
        <f>+IF((C2462&gt;='Resultats - informe'!$E$16)*(C2462&lt;='Resultats - informe'!$G$16),1,0)</f>
        <v>1</v>
      </c>
      <c r="M2462" s="369" cm="1">
        <f t="array" ref="M2462">+_xlfn.IFS((C2462&gt;='Resultats - informe'!$D$26)*(C2462&lt;='Resultats - informe'!$E$26),0,(C2462&gt;='Resultats - informe'!$D$27)*(C2462&lt;='Resultats - informe'!$E$27),0,(C2462&gt;='Resultats - informe'!$D$28)*(C2462&lt;='Resultats - informe'!$E$28),0,(C2462&gt;='Resultats - informe'!$D$29)*(C2462&lt;='Resultats - informe'!$E$29),0,1,1)</f>
        <v>0</v>
      </c>
      <c r="N2462" s="366">
        <f>+VLOOKUP(D2462,'Resultats - informe'!$Y$18:$AG$42,'Introducció dades consum'!K2462+1,0)</f>
        <v>0</v>
      </c>
      <c r="O2462" s="370" cm="1">
        <f t="array" ref="O2462">+_xlfn.SWITCH(MONTH(C2462),1,1,2,1,3,1,4,2,5,2,6,3,7,3,8,3,9,3,10,2,11,2,12,1,2)</f>
        <v>1</v>
      </c>
      <c r="P2462" s="43"/>
    </row>
    <row r="2463" spans="1:16" ht="18" x14ac:dyDescent="0.35">
      <c r="A2463" s="43"/>
      <c r="C2463" s="393"/>
      <c r="E2463" s="394"/>
      <c r="F2463" s="394">
        <v>2.8959999999999999</v>
      </c>
      <c r="G2463" s="394"/>
      <c r="H2463" s="8" t="s">
        <v>61</v>
      </c>
      <c r="I2463" s="368">
        <f t="shared" si="115"/>
        <v>0</v>
      </c>
      <c r="J2463" s="365">
        <f t="shared" si="114"/>
        <v>0</v>
      </c>
      <c r="K2463" s="369">
        <f t="shared" si="116"/>
        <v>6</v>
      </c>
      <c r="L2463" s="369">
        <f>+IF((C2463&gt;='Resultats - informe'!$E$16)*(C2463&lt;='Resultats - informe'!$G$16),1,0)</f>
        <v>1</v>
      </c>
      <c r="M2463" s="369" cm="1">
        <f t="array" ref="M2463">+_xlfn.IFS((C2463&gt;='Resultats - informe'!$D$26)*(C2463&lt;='Resultats - informe'!$E$26),0,(C2463&gt;='Resultats - informe'!$D$27)*(C2463&lt;='Resultats - informe'!$E$27),0,(C2463&gt;='Resultats - informe'!$D$28)*(C2463&lt;='Resultats - informe'!$E$28),0,(C2463&gt;='Resultats - informe'!$D$29)*(C2463&lt;='Resultats - informe'!$E$29),0,1,1)</f>
        <v>0</v>
      </c>
      <c r="N2463" s="366">
        <f>+VLOOKUP(D2463,'Resultats - informe'!$Y$18:$AG$42,'Introducció dades consum'!K2463+1,0)</f>
        <v>0</v>
      </c>
      <c r="O2463" s="370" cm="1">
        <f t="array" ref="O2463">+_xlfn.SWITCH(MONTH(C2463),1,1,2,1,3,1,4,2,5,2,6,3,7,3,8,3,9,3,10,2,11,2,12,1,2)</f>
        <v>1</v>
      </c>
      <c r="P2463" s="43"/>
    </row>
    <row r="2464" spans="1:16" ht="18" x14ac:dyDescent="0.35">
      <c r="A2464" s="43"/>
      <c r="C2464" s="393"/>
      <c r="E2464" s="394"/>
      <c r="F2464" s="394">
        <v>1.542</v>
      </c>
      <c r="G2464" s="394"/>
      <c r="H2464" s="8" t="s">
        <v>61</v>
      </c>
      <c r="I2464" s="368">
        <f t="shared" si="115"/>
        <v>0</v>
      </c>
      <c r="J2464" s="365">
        <f t="shared" si="114"/>
        <v>0</v>
      </c>
      <c r="K2464" s="369">
        <f t="shared" si="116"/>
        <v>6</v>
      </c>
      <c r="L2464" s="369">
        <f>+IF((C2464&gt;='Resultats - informe'!$E$16)*(C2464&lt;='Resultats - informe'!$G$16),1,0)</f>
        <v>1</v>
      </c>
      <c r="M2464" s="369" cm="1">
        <f t="array" ref="M2464">+_xlfn.IFS((C2464&gt;='Resultats - informe'!$D$26)*(C2464&lt;='Resultats - informe'!$E$26),0,(C2464&gt;='Resultats - informe'!$D$27)*(C2464&lt;='Resultats - informe'!$E$27),0,(C2464&gt;='Resultats - informe'!$D$28)*(C2464&lt;='Resultats - informe'!$E$28),0,(C2464&gt;='Resultats - informe'!$D$29)*(C2464&lt;='Resultats - informe'!$E$29),0,1,1)</f>
        <v>0</v>
      </c>
      <c r="N2464" s="366">
        <f>+VLOOKUP(D2464,'Resultats - informe'!$Y$18:$AG$42,'Introducció dades consum'!K2464+1,0)</f>
        <v>0</v>
      </c>
      <c r="O2464" s="370" cm="1">
        <f t="array" ref="O2464">+_xlfn.SWITCH(MONTH(C2464),1,1,2,1,3,1,4,2,5,2,6,3,7,3,8,3,9,3,10,2,11,2,12,1,2)</f>
        <v>1</v>
      </c>
      <c r="P2464" s="43"/>
    </row>
    <row r="2465" spans="1:16" ht="18" x14ac:dyDescent="0.35">
      <c r="A2465" s="43"/>
      <c r="C2465" s="393"/>
      <c r="E2465" s="394"/>
      <c r="F2465" s="394">
        <v>3.278</v>
      </c>
      <c r="G2465" s="394"/>
      <c r="H2465" s="8" t="s">
        <v>235</v>
      </c>
      <c r="I2465" s="368">
        <f t="shared" si="115"/>
        <v>0</v>
      </c>
      <c r="J2465" s="365">
        <f t="shared" si="114"/>
        <v>0</v>
      </c>
      <c r="K2465" s="369">
        <f t="shared" si="116"/>
        <v>6</v>
      </c>
      <c r="L2465" s="369">
        <f>+IF((C2465&gt;='Resultats - informe'!$E$16)*(C2465&lt;='Resultats - informe'!$G$16),1,0)</f>
        <v>1</v>
      </c>
      <c r="M2465" s="369" cm="1">
        <f t="array" ref="M2465">+_xlfn.IFS((C2465&gt;='Resultats - informe'!$D$26)*(C2465&lt;='Resultats - informe'!$E$26),0,(C2465&gt;='Resultats - informe'!$D$27)*(C2465&lt;='Resultats - informe'!$E$27),0,(C2465&gt;='Resultats - informe'!$D$28)*(C2465&lt;='Resultats - informe'!$E$28),0,(C2465&gt;='Resultats - informe'!$D$29)*(C2465&lt;='Resultats - informe'!$E$29),0,1,1)</f>
        <v>0</v>
      </c>
      <c r="N2465" s="366">
        <f>+VLOOKUP(D2465,'Resultats - informe'!$Y$18:$AG$42,'Introducció dades consum'!K2465+1,0)</f>
        <v>0</v>
      </c>
      <c r="O2465" s="370" cm="1">
        <f t="array" ref="O2465">+_xlfn.SWITCH(MONTH(C2465),1,1,2,1,3,1,4,2,5,2,6,3,7,3,8,3,9,3,10,2,11,2,12,1,2)</f>
        <v>1</v>
      </c>
      <c r="P2465" s="43"/>
    </row>
    <row r="2466" spans="1:16" ht="18" x14ac:dyDescent="0.35">
      <c r="A2466" s="43"/>
      <c r="C2466" s="393"/>
      <c r="E2466" s="394"/>
      <c r="F2466" s="394">
        <v>2.5609999999999999</v>
      </c>
      <c r="G2466" s="394"/>
      <c r="H2466" s="8" t="s">
        <v>235</v>
      </c>
      <c r="I2466" s="368">
        <f t="shared" si="115"/>
        <v>0</v>
      </c>
      <c r="J2466" s="365">
        <f t="shared" si="114"/>
        <v>0</v>
      </c>
      <c r="K2466" s="369">
        <f t="shared" si="116"/>
        <v>6</v>
      </c>
      <c r="L2466" s="369">
        <f>+IF((C2466&gt;='Resultats - informe'!$E$16)*(C2466&lt;='Resultats - informe'!$G$16),1,0)</f>
        <v>1</v>
      </c>
      <c r="M2466" s="369" cm="1">
        <f t="array" ref="M2466">+_xlfn.IFS((C2466&gt;='Resultats - informe'!$D$26)*(C2466&lt;='Resultats - informe'!$E$26),0,(C2466&gt;='Resultats - informe'!$D$27)*(C2466&lt;='Resultats - informe'!$E$27),0,(C2466&gt;='Resultats - informe'!$D$28)*(C2466&lt;='Resultats - informe'!$E$28),0,(C2466&gt;='Resultats - informe'!$D$29)*(C2466&lt;='Resultats - informe'!$E$29),0,1,1)</f>
        <v>0</v>
      </c>
      <c r="N2466" s="366">
        <f>+VLOOKUP(D2466,'Resultats - informe'!$Y$18:$AG$42,'Introducció dades consum'!K2466+1,0)</f>
        <v>0</v>
      </c>
      <c r="O2466" s="370" cm="1">
        <f t="array" ref="O2466">+_xlfn.SWITCH(MONTH(C2466),1,1,2,1,3,1,4,2,5,2,6,3,7,3,8,3,9,3,10,2,11,2,12,1,2)</f>
        <v>1</v>
      </c>
      <c r="P2466" s="43"/>
    </row>
    <row r="2467" spans="1:16" ht="18" x14ac:dyDescent="0.35">
      <c r="A2467" s="43"/>
      <c r="C2467" s="393"/>
      <c r="E2467" s="394"/>
      <c r="F2467" s="394">
        <v>1.6279999999999999</v>
      </c>
      <c r="G2467" s="394"/>
      <c r="H2467" s="8" t="s">
        <v>235</v>
      </c>
      <c r="I2467" s="368">
        <f t="shared" si="115"/>
        <v>0</v>
      </c>
      <c r="J2467" s="365">
        <f t="shared" si="114"/>
        <v>0</v>
      </c>
      <c r="K2467" s="369">
        <f t="shared" si="116"/>
        <v>6</v>
      </c>
      <c r="L2467" s="369">
        <f>+IF((C2467&gt;='Resultats - informe'!$E$16)*(C2467&lt;='Resultats - informe'!$G$16),1,0)</f>
        <v>1</v>
      </c>
      <c r="M2467" s="369" cm="1">
        <f t="array" ref="M2467">+_xlfn.IFS((C2467&gt;='Resultats - informe'!$D$26)*(C2467&lt;='Resultats - informe'!$E$26),0,(C2467&gt;='Resultats - informe'!$D$27)*(C2467&lt;='Resultats - informe'!$E$27),0,(C2467&gt;='Resultats - informe'!$D$28)*(C2467&lt;='Resultats - informe'!$E$28),0,(C2467&gt;='Resultats - informe'!$D$29)*(C2467&lt;='Resultats - informe'!$E$29),0,1,1)</f>
        <v>0</v>
      </c>
      <c r="N2467" s="366">
        <f>+VLOOKUP(D2467,'Resultats - informe'!$Y$18:$AG$42,'Introducció dades consum'!K2467+1,0)</f>
        <v>0</v>
      </c>
      <c r="O2467" s="370" cm="1">
        <f t="array" ref="O2467">+_xlfn.SWITCH(MONTH(C2467),1,1,2,1,3,1,4,2,5,2,6,3,7,3,8,3,9,3,10,2,11,2,12,1,2)</f>
        <v>1</v>
      </c>
      <c r="P2467" s="43"/>
    </row>
    <row r="2468" spans="1:16" ht="18" x14ac:dyDescent="0.35">
      <c r="A2468" s="43"/>
      <c r="C2468" s="393"/>
      <c r="E2468" s="394"/>
      <c r="F2468" s="394">
        <v>0.74199999999999999</v>
      </c>
      <c r="G2468" s="394"/>
      <c r="H2468" s="8" t="s">
        <v>235</v>
      </c>
      <c r="I2468" s="368">
        <f t="shared" si="115"/>
        <v>0</v>
      </c>
      <c r="J2468" s="365">
        <f t="shared" si="114"/>
        <v>0</v>
      </c>
      <c r="K2468" s="369">
        <f t="shared" si="116"/>
        <v>6</v>
      </c>
      <c r="L2468" s="369">
        <f>+IF((C2468&gt;='Resultats - informe'!$E$16)*(C2468&lt;='Resultats - informe'!$G$16),1,0)</f>
        <v>1</v>
      </c>
      <c r="M2468" s="369" cm="1">
        <f t="array" ref="M2468">+_xlfn.IFS((C2468&gt;='Resultats - informe'!$D$26)*(C2468&lt;='Resultats - informe'!$E$26),0,(C2468&gt;='Resultats - informe'!$D$27)*(C2468&lt;='Resultats - informe'!$E$27),0,(C2468&gt;='Resultats - informe'!$D$28)*(C2468&lt;='Resultats - informe'!$E$28),0,(C2468&gt;='Resultats - informe'!$D$29)*(C2468&lt;='Resultats - informe'!$E$29),0,1,1)</f>
        <v>0</v>
      </c>
      <c r="N2468" s="366">
        <f>+VLOOKUP(D2468,'Resultats - informe'!$Y$18:$AG$42,'Introducció dades consum'!K2468+1,0)</f>
        <v>0</v>
      </c>
      <c r="O2468" s="370" cm="1">
        <f t="array" ref="O2468">+_xlfn.SWITCH(MONTH(C2468),1,1,2,1,3,1,4,2,5,2,6,3,7,3,8,3,9,3,10,2,11,2,12,1,2)</f>
        <v>1</v>
      </c>
      <c r="P2468" s="43"/>
    </row>
    <row r="2469" spans="1:16" ht="18" x14ac:dyDescent="0.35">
      <c r="A2469" s="43"/>
      <c r="C2469" s="393"/>
      <c r="E2469" s="394"/>
      <c r="F2469" s="394">
        <v>0.26</v>
      </c>
      <c r="G2469" s="394"/>
      <c r="H2469" s="8" t="s">
        <v>61</v>
      </c>
      <c r="I2469" s="368">
        <f t="shared" si="115"/>
        <v>0</v>
      </c>
      <c r="J2469" s="365">
        <f t="shared" si="114"/>
        <v>0</v>
      </c>
      <c r="K2469" s="369">
        <f t="shared" si="116"/>
        <v>6</v>
      </c>
      <c r="L2469" s="369">
        <f>+IF((C2469&gt;='Resultats - informe'!$E$16)*(C2469&lt;='Resultats - informe'!$G$16),1,0)</f>
        <v>1</v>
      </c>
      <c r="M2469" s="369" cm="1">
        <f t="array" ref="M2469">+_xlfn.IFS((C2469&gt;='Resultats - informe'!$D$26)*(C2469&lt;='Resultats - informe'!$E$26),0,(C2469&gt;='Resultats - informe'!$D$27)*(C2469&lt;='Resultats - informe'!$E$27),0,(C2469&gt;='Resultats - informe'!$D$28)*(C2469&lt;='Resultats - informe'!$E$28),0,(C2469&gt;='Resultats - informe'!$D$29)*(C2469&lt;='Resultats - informe'!$E$29),0,1,1)</f>
        <v>0</v>
      </c>
      <c r="N2469" s="366">
        <f>+VLOOKUP(D2469,'Resultats - informe'!$Y$18:$AG$42,'Introducció dades consum'!K2469+1,0)</f>
        <v>0</v>
      </c>
      <c r="O2469" s="370" cm="1">
        <f t="array" ref="O2469">+_xlfn.SWITCH(MONTH(C2469),1,1,2,1,3,1,4,2,5,2,6,3,7,3,8,3,9,3,10,2,11,2,12,1,2)</f>
        <v>1</v>
      </c>
      <c r="P2469" s="43"/>
    </row>
    <row r="2470" spans="1:16" ht="18" x14ac:dyDescent="0.35">
      <c r="A2470" s="43"/>
      <c r="C2470" s="393"/>
      <c r="E2470" s="394"/>
      <c r="F2470" s="394">
        <v>0</v>
      </c>
      <c r="G2470" s="394"/>
      <c r="H2470" s="8" t="s">
        <v>61</v>
      </c>
      <c r="I2470" s="368">
        <f t="shared" si="115"/>
        <v>0</v>
      </c>
      <c r="J2470" s="365">
        <f t="shared" si="114"/>
        <v>0</v>
      </c>
      <c r="K2470" s="369">
        <f t="shared" si="116"/>
        <v>6</v>
      </c>
      <c r="L2470" s="369">
        <f>+IF((C2470&gt;='Resultats - informe'!$E$16)*(C2470&lt;='Resultats - informe'!$G$16),1,0)</f>
        <v>1</v>
      </c>
      <c r="M2470" s="369" cm="1">
        <f t="array" ref="M2470">+_xlfn.IFS((C2470&gt;='Resultats - informe'!$D$26)*(C2470&lt;='Resultats - informe'!$E$26),0,(C2470&gt;='Resultats - informe'!$D$27)*(C2470&lt;='Resultats - informe'!$E$27),0,(C2470&gt;='Resultats - informe'!$D$28)*(C2470&lt;='Resultats - informe'!$E$28),0,(C2470&gt;='Resultats - informe'!$D$29)*(C2470&lt;='Resultats - informe'!$E$29),0,1,1)</f>
        <v>0</v>
      </c>
      <c r="N2470" s="366">
        <f>+VLOOKUP(D2470,'Resultats - informe'!$Y$18:$AG$42,'Introducció dades consum'!K2470+1,0)</f>
        <v>0</v>
      </c>
      <c r="O2470" s="370" cm="1">
        <f t="array" ref="O2470">+_xlfn.SWITCH(MONTH(C2470),1,1,2,1,3,1,4,2,5,2,6,3,7,3,8,3,9,3,10,2,11,2,12,1,2)</f>
        <v>1</v>
      </c>
      <c r="P2470" s="43"/>
    </row>
    <row r="2471" spans="1:16" ht="18" x14ac:dyDescent="0.35">
      <c r="A2471" s="43"/>
      <c r="C2471" s="393"/>
      <c r="E2471" s="394"/>
      <c r="F2471" s="394">
        <v>0</v>
      </c>
      <c r="G2471" s="394"/>
      <c r="H2471" s="8" t="s">
        <v>61</v>
      </c>
      <c r="I2471" s="368">
        <f t="shared" si="115"/>
        <v>0</v>
      </c>
      <c r="J2471" s="365">
        <f t="shared" si="114"/>
        <v>0</v>
      </c>
      <c r="K2471" s="369">
        <f t="shared" si="116"/>
        <v>6</v>
      </c>
      <c r="L2471" s="369">
        <f>+IF((C2471&gt;='Resultats - informe'!$E$16)*(C2471&lt;='Resultats - informe'!$G$16),1,0)</f>
        <v>1</v>
      </c>
      <c r="M2471" s="369" cm="1">
        <f t="array" ref="M2471">+_xlfn.IFS((C2471&gt;='Resultats - informe'!$D$26)*(C2471&lt;='Resultats - informe'!$E$26),0,(C2471&gt;='Resultats - informe'!$D$27)*(C2471&lt;='Resultats - informe'!$E$27),0,(C2471&gt;='Resultats - informe'!$D$28)*(C2471&lt;='Resultats - informe'!$E$28),0,(C2471&gt;='Resultats - informe'!$D$29)*(C2471&lt;='Resultats - informe'!$E$29),0,1,1)</f>
        <v>0</v>
      </c>
      <c r="N2471" s="366">
        <f>+VLOOKUP(D2471,'Resultats - informe'!$Y$18:$AG$42,'Introducció dades consum'!K2471+1,0)</f>
        <v>0</v>
      </c>
      <c r="O2471" s="370" cm="1">
        <f t="array" ref="O2471">+_xlfn.SWITCH(MONTH(C2471),1,1,2,1,3,1,4,2,5,2,6,3,7,3,8,3,9,3,10,2,11,2,12,1,2)</f>
        <v>1</v>
      </c>
      <c r="P2471" s="43"/>
    </row>
    <row r="2472" spans="1:16" ht="18" x14ac:dyDescent="0.35">
      <c r="A2472" s="43"/>
      <c r="C2472" s="393"/>
      <c r="E2472" s="394"/>
      <c r="F2472" s="394">
        <v>0</v>
      </c>
      <c r="G2472" s="394"/>
      <c r="H2472" s="8" t="s">
        <v>61</v>
      </c>
      <c r="I2472" s="368">
        <f t="shared" si="115"/>
        <v>0</v>
      </c>
      <c r="J2472" s="365">
        <f t="shared" si="114"/>
        <v>0</v>
      </c>
      <c r="K2472" s="369">
        <f t="shared" si="116"/>
        <v>6</v>
      </c>
      <c r="L2472" s="369">
        <f>+IF((C2472&gt;='Resultats - informe'!$E$16)*(C2472&lt;='Resultats - informe'!$G$16),1,0)</f>
        <v>1</v>
      </c>
      <c r="M2472" s="369" cm="1">
        <f t="array" ref="M2472">+_xlfn.IFS((C2472&gt;='Resultats - informe'!$D$26)*(C2472&lt;='Resultats - informe'!$E$26),0,(C2472&gt;='Resultats - informe'!$D$27)*(C2472&lt;='Resultats - informe'!$E$27),0,(C2472&gt;='Resultats - informe'!$D$28)*(C2472&lt;='Resultats - informe'!$E$28),0,(C2472&gt;='Resultats - informe'!$D$29)*(C2472&lt;='Resultats - informe'!$E$29),0,1,1)</f>
        <v>0</v>
      </c>
      <c r="N2472" s="366">
        <f>+VLOOKUP(D2472,'Resultats - informe'!$Y$18:$AG$42,'Introducció dades consum'!K2472+1,0)</f>
        <v>0</v>
      </c>
      <c r="O2472" s="370" cm="1">
        <f t="array" ref="O2472">+_xlfn.SWITCH(MONTH(C2472),1,1,2,1,3,1,4,2,5,2,6,3,7,3,8,3,9,3,10,2,11,2,12,1,2)</f>
        <v>1</v>
      </c>
      <c r="P2472" s="43"/>
    </row>
    <row r="2473" spans="1:16" ht="18" x14ac:dyDescent="0.35">
      <c r="A2473" s="43"/>
      <c r="C2473" s="393"/>
      <c r="E2473" s="394"/>
      <c r="F2473" s="394">
        <v>0</v>
      </c>
      <c r="G2473" s="394"/>
      <c r="H2473" s="8" t="s">
        <v>61</v>
      </c>
      <c r="I2473" s="368">
        <f t="shared" si="115"/>
        <v>0</v>
      </c>
      <c r="J2473" s="365">
        <f t="shared" si="114"/>
        <v>0</v>
      </c>
      <c r="K2473" s="369">
        <f t="shared" si="116"/>
        <v>6</v>
      </c>
      <c r="L2473" s="369">
        <f>+IF((C2473&gt;='Resultats - informe'!$E$16)*(C2473&lt;='Resultats - informe'!$G$16),1,0)</f>
        <v>1</v>
      </c>
      <c r="M2473" s="369" cm="1">
        <f t="array" ref="M2473">+_xlfn.IFS((C2473&gt;='Resultats - informe'!$D$26)*(C2473&lt;='Resultats - informe'!$E$26),0,(C2473&gt;='Resultats - informe'!$D$27)*(C2473&lt;='Resultats - informe'!$E$27),0,(C2473&gt;='Resultats - informe'!$D$28)*(C2473&lt;='Resultats - informe'!$E$28),0,(C2473&gt;='Resultats - informe'!$D$29)*(C2473&lt;='Resultats - informe'!$E$29),0,1,1)</f>
        <v>0</v>
      </c>
      <c r="N2473" s="366">
        <f>+VLOOKUP(D2473,'Resultats - informe'!$Y$18:$AG$42,'Introducció dades consum'!K2473+1,0)</f>
        <v>0</v>
      </c>
      <c r="O2473" s="370" cm="1">
        <f t="array" ref="O2473">+_xlfn.SWITCH(MONTH(C2473),1,1,2,1,3,1,4,2,5,2,6,3,7,3,8,3,9,3,10,2,11,2,12,1,2)</f>
        <v>1</v>
      </c>
      <c r="P2473" s="43"/>
    </row>
    <row r="2474" spans="1:16" ht="18" x14ac:dyDescent="0.35">
      <c r="A2474" s="43"/>
      <c r="C2474" s="393"/>
      <c r="E2474" s="394"/>
      <c r="F2474" s="394">
        <v>0</v>
      </c>
      <c r="G2474" s="394"/>
      <c r="H2474" s="8" t="s">
        <v>61</v>
      </c>
      <c r="I2474" s="368">
        <f t="shared" si="115"/>
        <v>0</v>
      </c>
      <c r="J2474" s="365">
        <f t="shared" si="114"/>
        <v>0</v>
      </c>
      <c r="K2474" s="369">
        <f t="shared" si="116"/>
        <v>6</v>
      </c>
      <c r="L2474" s="369">
        <f>+IF((C2474&gt;='Resultats - informe'!$E$16)*(C2474&lt;='Resultats - informe'!$G$16),1,0)</f>
        <v>1</v>
      </c>
      <c r="M2474" s="369" cm="1">
        <f t="array" ref="M2474">+_xlfn.IFS((C2474&gt;='Resultats - informe'!$D$26)*(C2474&lt;='Resultats - informe'!$E$26),0,(C2474&gt;='Resultats - informe'!$D$27)*(C2474&lt;='Resultats - informe'!$E$27),0,(C2474&gt;='Resultats - informe'!$D$28)*(C2474&lt;='Resultats - informe'!$E$28),0,(C2474&gt;='Resultats - informe'!$D$29)*(C2474&lt;='Resultats - informe'!$E$29),0,1,1)</f>
        <v>0</v>
      </c>
      <c r="N2474" s="366">
        <f>+VLOOKUP(D2474,'Resultats - informe'!$Y$18:$AG$42,'Introducció dades consum'!K2474+1,0)</f>
        <v>0</v>
      </c>
      <c r="O2474" s="370" cm="1">
        <f t="array" ref="O2474">+_xlfn.SWITCH(MONTH(C2474),1,1,2,1,3,1,4,2,5,2,6,3,7,3,8,3,9,3,10,2,11,2,12,1,2)</f>
        <v>1</v>
      </c>
      <c r="P2474" s="43"/>
    </row>
    <row r="2475" spans="1:16" ht="18" x14ac:dyDescent="0.35">
      <c r="A2475" s="43"/>
      <c r="C2475" s="393"/>
      <c r="E2475" s="394"/>
      <c r="F2475" s="394">
        <v>0</v>
      </c>
      <c r="G2475" s="394"/>
      <c r="H2475" s="8" t="s">
        <v>61</v>
      </c>
      <c r="I2475" s="368">
        <f t="shared" si="115"/>
        <v>0</v>
      </c>
      <c r="J2475" s="365">
        <f t="shared" si="114"/>
        <v>0</v>
      </c>
      <c r="K2475" s="369">
        <f t="shared" si="116"/>
        <v>6</v>
      </c>
      <c r="L2475" s="369">
        <f>+IF((C2475&gt;='Resultats - informe'!$E$16)*(C2475&lt;='Resultats - informe'!$G$16),1,0)</f>
        <v>1</v>
      </c>
      <c r="M2475" s="369" cm="1">
        <f t="array" ref="M2475">+_xlfn.IFS((C2475&gt;='Resultats - informe'!$D$26)*(C2475&lt;='Resultats - informe'!$E$26),0,(C2475&gt;='Resultats - informe'!$D$27)*(C2475&lt;='Resultats - informe'!$E$27),0,(C2475&gt;='Resultats - informe'!$D$28)*(C2475&lt;='Resultats - informe'!$E$28),0,(C2475&gt;='Resultats - informe'!$D$29)*(C2475&lt;='Resultats - informe'!$E$29),0,1,1)</f>
        <v>0</v>
      </c>
      <c r="N2475" s="366">
        <f>+VLOOKUP(D2475,'Resultats - informe'!$Y$18:$AG$42,'Introducció dades consum'!K2475+1,0)</f>
        <v>0</v>
      </c>
      <c r="O2475" s="370" cm="1">
        <f t="array" ref="O2475">+_xlfn.SWITCH(MONTH(C2475),1,1,2,1,3,1,4,2,5,2,6,3,7,3,8,3,9,3,10,2,11,2,12,1,2)</f>
        <v>1</v>
      </c>
      <c r="P2475" s="43"/>
    </row>
    <row r="2476" spans="1:16" ht="18" x14ac:dyDescent="0.35">
      <c r="A2476" s="43"/>
      <c r="C2476" s="393"/>
      <c r="E2476" s="394"/>
      <c r="F2476" s="394">
        <v>0</v>
      </c>
      <c r="G2476" s="394"/>
      <c r="H2476" s="8" t="s">
        <v>61</v>
      </c>
      <c r="I2476" s="368">
        <f t="shared" si="115"/>
        <v>0</v>
      </c>
      <c r="J2476" s="365">
        <f t="shared" si="114"/>
        <v>0</v>
      </c>
      <c r="K2476" s="369">
        <f t="shared" si="116"/>
        <v>6</v>
      </c>
      <c r="L2476" s="369">
        <f>+IF((C2476&gt;='Resultats - informe'!$E$16)*(C2476&lt;='Resultats - informe'!$G$16),1,0)</f>
        <v>1</v>
      </c>
      <c r="M2476" s="369" cm="1">
        <f t="array" ref="M2476">+_xlfn.IFS((C2476&gt;='Resultats - informe'!$D$26)*(C2476&lt;='Resultats - informe'!$E$26),0,(C2476&gt;='Resultats - informe'!$D$27)*(C2476&lt;='Resultats - informe'!$E$27),0,(C2476&gt;='Resultats - informe'!$D$28)*(C2476&lt;='Resultats - informe'!$E$28),0,(C2476&gt;='Resultats - informe'!$D$29)*(C2476&lt;='Resultats - informe'!$E$29),0,1,1)</f>
        <v>0</v>
      </c>
      <c r="N2476" s="366">
        <f>+VLOOKUP(D2476,'Resultats - informe'!$Y$18:$AG$42,'Introducció dades consum'!K2476+1,0)</f>
        <v>0</v>
      </c>
      <c r="O2476" s="370" cm="1">
        <f t="array" ref="O2476">+_xlfn.SWITCH(MONTH(C2476),1,1,2,1,3,1,4,2,5,2,6,3,7,3,8,3,9,3,10,2,11,2,12,1,2)</f>
        <v>1</v>
      </c>
      <c r="P2476" s="43"/>
    </row>
    <row r="2477" spans="1:16" ht="18" x14ac:dyDescent="0.35">
      <c r="A2477" s="43"/>
      <c r="C2477" s="393"/>
      <c r="E2477" s="394"/>
      <c r="F2477" s="394">
        <v>0</v>
      </c>
      <c r="G2477" s="394"/>
      <c r="H2477" s="8" t="s">
        <v>61</v>
      </c>
      <c r="I2477" s="368">
        <f t="shared" si="115"/>
        <v>0</v>
      </c>
      <c r="J2477" s="365">
        <f t="shared" si="114"/>
        <v>0</v>
      </c>
      <c r="K2477" s="369">
        <f t="shared" si="116"/>
        <v>6</v>
      </c>
      <c r="L2477" s="369">
        <f>+IF((C2477&gt;='Resultats - informe'!$E$16)*(C2477&lt;='Resultats - informe'!$G$16),1,0)</f>
        <v>1</v>
      </c>
      <c r="M2477" s="369" cm="1">
        <f t="array" ref="M2477">+_xlfn.IFS((C2477&gt;='Resultats - informe'!$D$26)*(C2477&lt;='Resultats - informe'!$E$26),0,(C2477&gt;='Resultats - informe'!$D$27)*(C2477&lt;='Resultats - informe'!$E$27),0,(C2477&gt;='Resultats - informe'!$D$28)*(C2477&lt;='Resultats - informe'!$E$28),0,(C2477&gt;='Resultats - informe'!$D$29)*(C2477&lt;='Resultats - informe'!$E$29),0,1,1)</f>
        <v>0</v>
      </c>
      <c r="N2477" s="366">
        <f>+VLOOKUP(D2477,'Resultats - informe'!$Y$18:$AG$42,'Introducció dades consum'!K2477+1,0)</f>
        <v>0</v>
      </c>
      <c r="O2477" s="370" cm="1">
        <f t="array" ref="O2477">+_xlfn.SWITCH(MONTH(C2477),1,1,2,1,3,1,4,2,5,2,6,3,7,3,8,3,9,3,10,2,11,2,12,1,2)</f>
        <v>1</v>
      </c>
      <c r="P2477" s="43"/>
    </row>
    <row r="2478" spans="1:16" ht="18" x14ac:dyDescent="0.35">
      <c r="A2478" s="43"/>
      <c r="C2478" s="393"/>
      <c r="E2478" s="394"/>
      <c r="F2478" s="394">
        <v>0</v>
      </c>
      <c r="G2478" s="394"/>
      <c r="H2478" s="8" t="s">
        <v>61</v>
      </c>
      <c r="I2478" s="368">
        <f t="shared" si="115"/>
        <v>0</v>
      </c>
      <c r="J2478" s="365">
        <f t="shared" si="114"/>
        <v>0</v>
      </c>
      <c r="K2478" s="369">
        <f t="shared" si="116"/>
        <v>6</v>
      </c>
      <c r="L2478" s="369">
        <f>+IF((C2478&gt;='Resultats - informe'!$E$16)*(C2478&lt;='Resultats - informe'!$G$16),1,0)</f>
        <v>1</v>
      </c>
      <c r="M2478" s="369" cm="1">
        <f t="array" ref="M2478">+_xlfn.IFS((C2478&gt;='Resultats - informe'!$D$26)*(C2478&lt;='Resultats - informe'!$E$26),0,(C2478&gt;='Resultats - informe'!$D$27)*(C2478&lt;='Resultats - informe'!$E$27),0,(C2478&gt;='Resultats - informe'!$D$28)*(C2478&lt;='Resultats - informe'!$E$28),0,(C2478&gt;='Resultats - informe'!$D$29)*(C2478&lt;='Resultats - informe'!$E$29),0,1,1)</f>
        <v>0</v>
      </c>
      <c r="N2478" s="366">
        <f>+VLOOKUP(D2478,'Resultats - informe'!$Y$18:$AG$42,'Introducció dades consum'!K2478+1,0)</f>
        <v>0</v>
      </c>
      <c r="O2478" s="370" cm="1">
        <f t="array" ref="O2478">+_xlfn.SWITCH(MONTH(C2478),1,1,2,1,3,1,4,2,5,2,6,3,7,3,8,3,9,3,10,2,11,2,12,1,2)</f>
        <v>1</v>
      </c>
      <c r="P2478" s="43"/>
    </row>
    <row r="2479" spans="1:16" ht="18" x14ac:dyDescent="0.35">
      <c r="A2479" s="43"/>
      <c r="C2479" s="393"/>
      <c r="E2479" s="394"/>
      <c r="F2479" s="394">
        <v>0</v>
      </c>
      <c r="G2479" s="394"/>
      <c r="H2479" s="8" t="s">
        <v>235</v>
      </c>
      <c r="I2479" s="368">
        <f t="shared" si="115"/>
        <v>0</v>
      </c>
      <c r="J2479" s="365">
        <f t="shared" si="114"/>
        <v>0</v>
      </c>
      <c r="K2479" s="369">
        <f t="shared" si="116"/>
        <v>6</v>
      </c>
      <c r="L2479" s="369">
        <f>+IF((C2479&gt;='Resultats - informe'!$E$16)*(C2479&lt;='Resultats - informe'!$G$16),1,0)</f>
        <v>1</v>
      </c>
      <c r="M2479" s="369" cm="1">
        <f t="array" ref="M2479">+_xlfn.IFS((C2479&gt;='Resultats - informe'!$D$26)*(C2479&lt;='Resultats - informe'!$E$26),0,(C2479&gt;='Resultats - informe'!$D$27)*(C2479&lt;='Resultats - informe'!$E$27),0,(C2479&gt;='Resultats - informe'!$D$28)*(C2479&lt;='Resultats - informe'!$E$28),0,(C2479&gt;='Resultats - informe'!$D$29)*(C2479&lt;='Resultats - informe'!$E$29),0,1,1)</f>
        <v>0</v>
      </c>
      <c r="N2479" s="366">
        <f>+VLOOKUP(D2479,'Resultats - informe'!$Y$18:$AG$42,'Introducció dades consum'!K2479+1,0)</f>
        <v>0</v>
      </c>
      <c r="O2479" s="370" cm="1">
        <f t="array" ref="O2479">+_xlfn.SWITCH(MONTH(C2479),1,1,2,1,3,1,4,2,5,2,6,3,7,3,8,3,9,3,10,2,11,2,12,1,2)</f>
        <v>1</v>
      </c>
      <c r="P2479" s="43"/>
    </row>
    <row r="2480" spans="1:16" ht="18" x14ac:dyDescent="0.35">
      <c r="A2480" s="43"/>
      <c r="C2480" s="393"/>
      <c r="E2480" s="394"/>
      <c r="F2480" s="394">
        <v>0</v>
      </c>
      <c r="G2480" s="394"/>
      <c r="H2480" s="8" t="s">
        <v>235</v>
      </c>
      <c r="I2480" s="368">
        <f t="shared" si="115"/>
        <v>0</v>
      </c>
      <c r="J2480" s="365">
        <f t="shared" si="114"/>
        <v>0</v>
      </c>
      <c r="K2480" s="369">
        <f t="shared" si="116"/>
        <v>6</v>
      </c>
      <c r="L2480" s="369">
        <f>+IF((C2480&gt;='Resultats - informe'!$E$16)*(C2480&lt;='Resultats - informe'!$G$16),1,0)</f>
        <v>1</v>
      </c>
      <c r="M2480" s="369" cm="1">
        <f t="array" ref="M2480">+_xlfn.IFS((C2480&gt;='Resultats - informe'!$D$26)*(C2480&lt;='Resultats - informe'!$E$26),0,(C2480&gt;='Resultats - informe'!$D$27)*(C2480&lt;='Resultats - informe'!$E$27),0,(C2480&gt;='Resultats - informe'!$D$28)*(C2480&lt;='Resultats - informe'!$E$28),0,(C2480&gt;='Resultats - informe'!$D$29)*(C2480&lt;='Resultats - informe'!$E$29),0,1,1)</f>
        <v>0</v>
      </c>
      <c r="N2480" s="366">
        <f>+VLOOKUP(D2480,'Resultats - informe'!$Y$18:$AG$42,'Introducció dades consum'!K2480+1,0)</f>
        <v>0</v>
      </c>
      <c r="O2480" s="370" cm="1">
        <f t="array" ref="O2480">+_xlfn.SWITCH(MONTH(C2480),1,1,2,1,3,1,4,2,5,2,6,3,7,3,8,3,9,3,10,2,11,2,12,1,2)</f>
        <v>1</v>
      </c>
      <c r="P2480" s="43"/>
    </row>
    <row r="2481" spans="1:16" ht="18" x14ac:dyDescent="0.35">
      <c r="A2481" s="43"/>
      <c r="C2481" s="393"/>
      <c r="E2481" s="394"/>
      <c r="F2481" s="394">
        <v>0</v>
      </c>
      <c r="G2481" s="394"/>
      <c r="H2481" s="8" t="s">
        <v>235</v>
      </c>
      <c r="I2481" s="368">
        <f t="shared" si="115"/>
        <v>0</v>
      </c>
      <c r="J2481" s="365">
        <f t="shared" si="114"/>
        <v>0</v>
      </c>
      <c r="K2481" s="369">
        <f t="shared" si="116"/>
        <v>6</v>
      </c>
      <c r="L2481" s="369">
        <f>+IF((C2481&gt;='Resultats - informe'!$E$16)*(C2481&lt;='Resultats - informe'!$G$16),1,0)</f>
        <v>1</v>
      </c>
      <c r="M2481" s="369" cm="1">
        <f t="array" ref="M2481">+_xlfn.IFS((C2481&gt;='Resultats - informe'!$D$26)*(C2481&lt;='Resultats - informe'!$E$26),0,(C2481&gt;='Resultats - informe'!$D$27)*(C2481&lt;='Resultats - informe'!$E$27),0,(C2481&gt;='Resultats - informe'!$D$28)*(C2481&lt;='Resultats - informe'!$E$28),0,(C2481&gt;='Resultats - informe'!$D$29)*(C2481&lt;='Resultats - informe'!$E$29),0,1,1)</f>
        <v>0</v>
      </c>
      <c r="N2481" s="366">
        <f>+VLOOKUP(D2481,'Resultats - informe'!$Y$18:$AG$42,'Introducció dades consum'!K2481+1,0)</f>
        <v>0</v>
      </c>
      <c r="O2481" s="370" cm="1">
        <f t="array" ref="O2481">+_xlfn.SWITCH(MONTH(C2481),1,1,2,1,3,1,4,2,5,2,6,3,7,3,8,3,9,3,10,2,11,2,12,1,2)</f>
        <v>1</v>
      </c>
      <c r="P2481" s="43"/>
    </row>
    <row r="2482" spans="1:16" ht="18" x14ac:dyDescent="0.35">
      <c r="A2482" s="43"/>
      <c r="C2482" s="393"/>
      <c r="E2482" s="394"/>
      <c r="F2482" s="394">
        <v>0</v>
      </c>
      <c r="G2482" s="394"/>
      <c r="H2482" s="8" t="s">
        <v>61</v>
      </c>
      <c r="I2482" s="368">
        <f t="shared" si="115"/>
        <v>0</v>
      </c>
      <c r="J2482" s="365">
        <f t="shared" si="114"/>
        <v>0</v>
      </c>
      <c r="K2482" s="369">
        <f t="shared" si="116"/>
        <v>6</v>
      </c>
      <c r="L2482" s="369">
        <f>+IF((C2482&gt;='Resultats - informe'!$E$16)*(C2482&lt;='Resultats - informe'!$G$16),1,0)</f>
        <v>1</v>
      </c>
      <c r="M2482" s="369" cm="1">
        <f t="array" ref="M2482">+_xlfn.IFS((C2482&gt;='Resultats - informe'!$D$26)*(C2482&lt;='Resultats - informe'!$E$26),0,(C2482&gt;='Resultats - informe'!$D$27)*(C2482&lt;='Resultats - informe'!$E$27),0,(C2482&gt;='Resultats - informe'!$D$28)*(C2482&lt;='Resultats - informe'!$E$28),0,(C2482&gt;='Resultats - informe'!$D$29)*(C2482&lt;='Resultats - informe'!$E$29),0,1,1)</f>
        <v>0</v>
      </c>
      <c r="N2482" s="366">
        <f>+VLOOKUP(D2482,'Resultats - informe'!$Y$18:$AG$42,'Introducció dades consum'!K2482+1,0)</f>
        <v>0</v>
      </c>
      <c r="O2482" s="370" cm="1">
        <f t="array" ref="O2482">+_xlfn.SWITCH(MONTH(C2482),1,1,2,1,3,1,4,2,5,2,6,3,7,3,8,3,9,3,10,2,11,2,12,1,2)</f>
        <v>1</v>
      </c>
      <c r="P2482" s="43"/>
    </row>
    <row r="2483" spans="1:16" ht="18" x14ac:dyDescent="0.35">
      <c r="A2483" s="43"/>
      <c r="C2483" s="393"/>
      <c r="E2483" s="394"/>
      <c r="F2483" s="394">
        <v>0</v>
      </c>
      <c r="G2483" s="394"/>
      <c r="H2483" s="8" t="s">
        <v>61</v>
      </c>
      <c r="I2483" s="368">
        <f t="shared" si="115"/>
        <v>0</v>
      </c>
      <c r="J2483" s="365">
        <f t="shared" si="114"/>
        <v>0</v>
      </c>
      <c r="K2483" s="369">
        <f t="shared" si="116"/>
        <v>6</v>
      </c>
      <c r="L2483" s="369">
        <f>+IF((C2483&gt;='Resultats - informe'!$E$16)*(C2483&lt;='Resultats - informe'!$G$16),1,0)</f>
        <v>1</v>
      </c>
      <c r="M2483" s="369" cm="1">
        <f t="array" ref="M2483">+_xlfn.IFS((C2483&gt;='Resultats - informe'!$D$26)*(C2483&lt;='Resultats - informe'!$E$26),0,(C2483&gt;='Resultats - informe'!$D$27)*(C2483&lt;='Resultats - informe'!$E$27),0,(C2483&gt;='Resultats - informe'!$D$28)*(C2483&lt;='Resultats - informe'!$E$28),0,(C2483&gt;='Resultats - informe'!$D$29)*(C2483&lt;='Resultats - informe'!$E$29),0,1,1)</f>
        <v>0</v>
      </c>
      <c r="N2483" s="366">
        <f>+VLOOKUP(D2483,'Resultats - informe'!$Y$18:$AG$42,'Introducció dades consum'!K2483+1,0)</f>
        <v>0</v>
      </c>
      <c r="O2483" s="370" cm="1">
        <f t="array" ref="O2483">+_xlfn.SWITCH(MONTH(C2483),1,1,2,1,3,1,4,2,5,2,6,3,7,3,8,3,9,3,10,2,11,2,12,1,2)</f>
        <v>1</v>
      </c>
      <c r="P2483" s="43"/>
    </row>
    <row r="2484" spans="1:16" ht="18" x14ac:dyDescent="0.35">
      <c r="A2484" s="43"/>
      <c r="C2484" s="393"/>
      <c r="E2484" s="394"/>
      <c r="F2484" s="394">
        <v>0</v>
      </c>
      <c r="G2484" s="394"/>
      <c r="H2484" s="8" t="s">
        <v>61</v>
      </c>
      <c r="I2484" s="368">
        <f t="shared" si="115"/>
        <v>0</v>
      </c>
      <c r="J2484" s="365">
        <f t="shared" si="114"/>
        <v>0</v>
      </c>
      <c r="K2484" s="369">
        <f t="shared" si="116"/>
        <v>6</v>
      </c>
      <c r="L2484" s="369">
        <f>+IF((C2484&gt;='Resultats - informe'!$E$16)*(C2484&lt;='Resultats - informe'!$G$16),1,0)</f>
        <v>1</v>
      </c>
      <c r="M2484" s="369" cm="1">
        <f t="array" ref="M2484">+_xlfn.IFS((C2484&gt;='Resultats - informe'!$D$26)*(C2484&lt;='Resultats - informe'!$E$26),0,(C2484&gt;='Resultats - informe'!$D$27)*(C2484&lt;='Resultats - informe'!$E$27),0,(C2484&gt;='Resultats - informe'!$D$28)*(C2484&lt;='Resultats - informe'!$E$28),0,(C2484&gt;='Resultats - informe'!$D$29)*(C2484&lt;='Resultats - informe'!$E$29),0,1,1)</f>
        <v>0</v>
      </c>
      <c r="N2484" s="366">
        <f>+VLOOKUP(D2484,'Resultats - informe'!$Y$18:$AG$42,'Introducció dades consum'!K2484+1,0)</f>
        <v>0</v>
      </c>
      <c r="O2484" s="370" cm="1">
        <f t="array" ref="O2484">+_xlfn.SWITCH(MONTH(C2484),1,1,2,1,3,1,4,2,5,2,6,3,7,3,8,3,9,3,10,2,11,2,12,1,2)</f>
        <v>1</v>
      </c>
      <c r="P2484" s="43"/>
    </row>
    <row r="2485" spans="1:16" ht="18" x14ac:dyDescent="0.35">
      <c r="A2485" s="43"/>
      <c r="C2485" s="393"/>
      <c r="E2485" s="394"/>
      <c r="F2485" s="394">
        <v>2.7080000000000002</v>
      </c>
      <c r="G2485" s="394"/>
      <c r="H2485" s="8" t="s">
        <v>235</v>
      </c>
      <c r="I2485" s="368">
        <f t="shared" si="115"/>
        <v>0</v>
      </c>
      <c r="J2485" s="365">
        <f t="shared" si="114"/>
        <v>0</v>
      </c>
      <c r="K2485" s="369">
        <f t="shared" si="116"/>
        <v>6</v>
      </c>
      <c r="L2485" s="369">
        <f>+IF((C2485&gt;='Resultats - informe'!$E$16)*(C2485&lt;='Resultats - informe'!$G$16),1,0)</f>
        <v>1</v>
      </c>
      <c r="M2485" s="369" cm="1">
        <f t="array" ref="M2485">+_xlfn.IFS((C2485&gt;='Resultats - informe'!$D$26)*(C2485&lt;='Resultats - informe'!$E$26),0,(C2485&gt;='Resultats - informe'!$D$27)*(C2485&lt;='Resultats - informe'!$E$27),0,(C2485&gt;='Resultats - informe'!$D$28)*(C2485&lt;='Resultats - informe'!$E$28),0,(C2485&gt;='Resultats - informe'!$D$29)*(C2485&lt;='Resultats - informe'!$E$29),0,1,1)</f>
        <v>0</v>
      </c>
      <c r="N2485" s="366">
        <f>+VLOOKUP(D2485,'Resultats - informe'!$Y$18:$AG$42,'Introducció dades consum'!K2485+1,0)</f>
        <v>0</v>
      </c>
      <c r="O2485" s="370" cm="1">
        <f t="array" ref="O2485">+_xlfn.SWITCH(MONTH(C2485),1,1,2,1,3,1,4,2,5,2,6,3,7,3,8,3,9,3,10,2,11,2,12,1,2)</f>
        <v>1</v>
      </c>
      <c r="P2485" s="43"/>
    </row>
    <row r="2486" spans="1:16" ht="18" x14ac:dyDescent="0.35">
      <c r="A2486" s="43"/>
      <c r="C2486" s="393"/>
      <c r="E2486" s="394"/>
      <c r="F2486" s="394">
        <v>3.105</v>
      </c>
      <c r="G2486" s="394"/>
      <c r="H2486" s="8" t="s">
        <v>235</v>
      </c>
      <c r="I2486" s="368">
        <f t="shared" si="115"/>
        <v>0</v>
      </c>
      <c r="J2486" s="365">
        <f t="shared" si="114"/>
        <v>0</v>
      </c>
      <c r="K2486" s="369">
        <f t="shared" si="116"/>
        <v>6</v>
      </c>
      <c r="L2486" s="369">
        <f>+IF((C2486&gt;='Resultats - informe'!$E$16)*(C2486&lt;='Resultats - informe'!$G$16),1,0)</f>
        <v>1</v>
      </c>
      <c r="M2486" s="369" cm="1">
        <f t="array" ref="M2486">+_xlfn.IFS((C2486&gt;='Resultats - informe'!$D$26)*(C2486&lt;='Resultats - informe'!$E$26),0,(C2486&gt;='Resultats - informe'!$D$27)*(C2486&lt;='Resultats - informe'!$E$27),0,(C2486&gt;='Resultats - informe'!$D$28)*(C2486&lt;='Resultats - informe'!$E$28),0,(C2486&gt;='Resultats - informe'!$D$29)*(C2486&lt;='Resultats - informe'!$E$29),0,1,1)</f>
        <v>0</v>
      </c>
      <c r="N2486" s="366">
        <f>+VLOOKUP(D2486,'Resultats - informe'!$Y$18:$AG$42,'Introducció dades consum'!K2486+1,0)</f>
        <v>0</v>
      </c>
      <c r="O2486" s="370" cm="1">
        <f t="array" ref="O2486">+_xlfn.SWITCH(MONTH(C2486),1,1,2,1,3,1,4,2,5,2,6,3,7,3,8,3,9,3,10,2,11,2,12,1,2)</f>
        <v>1</v>
      </c>
      <c r="P2486" s="43"/>
    </row>
    <row r="2487" spans="1:16" ht="18" x14ac:dyDescent="0.35">
      <c r="A2487" s="43"/>
      <c r="C2487" s="393"/>
      <c r="E2487" s="394"/>
      <c r="F2487" s="394">
        <v>0</v>
      </c>
      <c r="G2487" s="394"/>
      <c r="H2487" s="8" t="s">
        <v>61</v>
      </c>
      <c r="I2487" s="368">
        <f t="shared" si="115"/>
        <v>0</v>
      </c>
      <c r="J2487" s="365">
        <f t="shared" si="114"/>
        <v>0</v>
      </c>
      <c r="K2487" s="369">
        <f t="shared" si="116"/>
        <v>6</v>
      </c>
      <c r="L2487" s="369">
        <f>+IF((C2487&gt;='Resultats - informe'!$E$16)*(C2487&lt;='Resultats - informe'!$G$16),1,0)</f>
        <v>1</v>
      </c>
      <c r="M2487" s="369" cm="1">
        <f t="array" ref="M2487">+_xlfn.IFS((C2487&gt;='Resultats - informe'!$D$26)*(C2487&lt;='Resultats - informe'!$E$26),0,(C2487&gt;='Resultats - informe'!$D$27)*(C2487&lt;='Resultats - informe'!$E$27),0,(C2487&gt;='Resultats - informe'!$D$28)*(C2487&lt;='Resultats - informe'!$E$28),0,(C2487&gt;='Resultats - informe'!$D$29)*(C2487&lt;='Resultats - informe'!$E$29),0,1,1)</f>
        <v>0</v>
      </c>
      <c r="N2487" s="366">
        <f>+VLOOKUP(D2487,'Resultats - informe'!$Y$18:$AG$42,'Introducció dades consum'!K2487+1,0)</f>
        <v>0</v>
      </c>
      <c r="O2487" s="370" cm="1">
        <f t="array" ref="O2487">+_xlfn.SWITCH(MONTH(C2487),1,1,2,1,3,1,4,2,5,2,6,3,7,3,8,3,9,3,10,2,11,2,12,1,2)</f>
        <v>1</v>
      </c>
      <c r="P2487" s="43"/>
    </row>
    <row r="2488" spans="1:16" ht="18" x14ac:dyDescent="0.35">
      <c r="A2488" s="43"/>
      <c r="C2488" s="393"/>
      <c r="E2488" s="394"/>
      <c r="F2488" s="394">
        <v>3.173</v>
      </c>
      <c r="G2488" s="394"/>
      <c r="H2488" s="8" t="s">
        <v>235</v>
      </c>
      <c r="I2488" s="368">
        <f t="shared" si="115"/>
        <v>0</v>
      </c>
      <c r="J2488" s="365">
        <f t="shared" si="114"/>
        <v>0</v>
      </c>
      <c r="K2488" s="369">
        <f t="shared" si="116"/>
        <v>6</v>
      </c>
      <c r="L2488" s="369">
        <f>+IF((C2488&gt;='Resultats - informe'!$E$16)*(C2488&lt;='Resultats - informe'!$G$16),1,0)</f>
        <v>1</v>
      </c>
      <c r="M2488" s="369" cm="1">
        <f t="array" ref="M2488">+_xlfn.IFS((C2488&gt;='Resultats - informe'!$D$26)*(C2488&lt;='Resultats - informe'!$E$26),0,(C2488&gt;='Resultats - informe'!$D$27)*(C2488&lt;='Resultats - informe'!$E$27),0,(C2488&gt;='Resultats - informe'!$D$28)*(C2488&lt;='Resultats - informe'!$E$28),0,(C2488&gt;='Resultats - informe'!$D$29)*(C2488&lt;='Resultats - informe'!$E$29),0,1,1)</f>
        <v>0</v>
      </c>
      <c r="N2488" s="366">
        <f>+VLOOKUP(D2488,'Resultats - informe'!$Y$18:$AG$42,'Introducció dades consum'!K2488+1,0)</f>
        <v>0</v>
      </c>
      <c r="O2488" s="370" cm="1">
        <f t="array" ref="O2488">+_xlfn.SWITCH(MONTH(C2488),1,1,2,1,3,1,4,2,5,2,6,3,7,3,8,3,9,3,10,2,11,2,12,1,2)</f>
        <v>1</v>
      </c>
      <c r="P2488" s="43"/>
    </row>
    <row r="2489" spans="1:16" ht="18" x14ac:dyDescent="0.35">
      <c r="A2489" s="43"/>
      <c r="C2489" s="393"/>
      <c r="E2489" s="394"/>
      <c r="F2489" s="394">
        <v>2.9159999999999999</v>
      </c>
      <c r="G2489" s="394"/>
      <c r="H2489" s="8" t="s">
        <v>235</v>
      </c>
      <c r="I2489" s="368">
        <f t="shared" si="115"/>
        <v>0</v>
      </c>
      <c r="J2489" s="365">
        <f t="shared" si="114"/>
        <v>0</v>
      </c>
      <c r="K2489" s="369">
        <f t="shared" si="116"/>
        <v>6</v>
      </c>
      <c r="L2489" s="369">
        <f>+IF((C2489&gt;='Resultats - informe'!$E$16)*(C2489&lt;='Resultats - informe'!$G$16),1,0)</f>
        <v>1</v>
      </c>
      <c r="M2489" s="369" cm="1">
        <f t="array" ref="M2489">+_xlfn.IFS((C2489&gt;='Resultats - informe'!$D$26)*(C2489&lt;='Resultats - informe'!$E$26),0,(C2489&gt;='Resultats - informe'!$D$27)*(C2489&lt;='Resultats - informe'!$E$27),0,(C2489&gt;='Resultats - informe'!$D$28)*(C2489&lt;='Resultats - informe'!$E$28),0,(C2489&gt;='Resultats - informe'!$D$29)*(C2489&lt;='Resultats - informe'!$E$29),0,1,1)</f>
        <v>0</v>
      </c>
      <c r="N2489" s="366">
        <f>+VLOOKUP(D2489,'Resultats - informe'!$Y$18:$AG$42,'Introducció dades consum'!K2489+1,0)</f>
        <v>0</v>
      </c>
      <c r="O2489" s="370" cm="1">
        <f t="array" ref="O2489">+_xlfn.SWITCH(MONTH(C2489),1,1,2,1,3,1,4,2,5,2,6,3,7,3,8,3,9,3,10,2,11,2,12,1,2)</f>
        <v>1</v>
      </c>
      <c r="P2489" s="43"/>
    </row>
    <row r="2490" spans="1:16" ht="18" x14ac:dyDescent="0.35">
      <c r="A2490" s="43"/>
      <c r="C2490" s="393"/>
      <c r="E2490" s="394"/>
      <c r="F2490" s="394">
        <v>0.28999999999999998</v>
      </c>
      <c r="G2490" s="394"/>
      <c r="H2490" s="8" t="s">
        <v>61</v>
      </c>
      <c r="I2490" s="368">
        <f t="shared" si="115"/>
        <v>0</v>
      </c>
      <c r="J2490" s="365">
        <f t="shared" si="114"/>
        <v>0</v>
      </c>
      <c r="K2490" s="369">
        <f t="shared" si="116"/>
        <v>6</v>
      </c>
      <c r="L2490" s="369">
        <f>+IF((C2490&gt;='Resultats - informe'!$E$16)*(C2490&lt;='Resultats - informe'!$G$16),1,0)</f>
        <v>1</v>
      </c>
      <c r="M2490" s="369" cm="1">
        <f t="array" ref="M2490">+_xlfn.IFS((C2490&gt;='Resultats - informe'!$D$26)*(C2490&lt;='Resultats - informe'!$E$26),0,(C2490&gt;='Resultats - informe'!$D$27)*(C2490&lt;='Resultats - informe'!$E$27),0,(C2490&gt;='Resultats - informe'!$D$28)*(C2490&lt;='Resultats - informe'!$E$28),0,(C2490&gt;='Resultats - informe'!$D$29)*(C2490&lt;='Resultats - informe'!$E$29),0,1,1)</f>
        <v>0</v>
      </c>
      <c r="N2490" s="366">
        <f>+VLOOKUP(D2490,'Resultats - informe'!$Y$18:$AG$42,'Introducció dades consum'!K2490+1,0)</f>
        <v>0</v>
      </c>
      <c r="O2490" s="370" cm="1">
        <f t="array" ref="O2490">+_xlfn.SWITCH(MONTH(C2490),1,1,2,1,3,1,4,2,5,2,6,3,7,3,8,3,9,3,10,2,11,2,12,1,2)</f>
        <v>1</v>
      </c>
      <c r="P2490" s="43"/>
    </row>
    <row r="2491" spans="1:16" ht="18" x14ac:dyDescent="0.35">
      <c r="A2491" s="43"/>
      <c r="C2491" s="393"/>
      <c r="E2491" s="394"/>
      <c r="F2491" s="394">
        <v>1.425</v>
      </c>
      <c r="G2491" s="394"/>
      <c r="H2491" s="8" t="s">
        <v>61</v>
      </c>
      <c r="I2491" s="368">
        <f t="shared" si="115"/>
        <v>0</v>
      </c>
      <c r="J2491" s="365">
        <f t="shared" ref="J2491:J2554" si="117">+C2491</f>
        <v>0</v>
      </c>
      <c r="K2491" s="369">
        <f t="shared" si="116"/>
        <v>6</v>
      </c>
      <c r="L2491" s="369">
        <f>+IF((C2491&gt;='Resultats - informe'!$E$16)*(C2491&lt;='Resultats - informe'!$G$16),1,0)</f>
        <v>1</v>
      </c>
      <c r="M2491" s="369" cm="1">
        <f t="array" ref="M2491">+_xlfn.IFS((C2491&gt;='Resultats - informe'!$D$26)*(C2491&lt;='Resultats - informe'!$E$26),0,(C2491&gt;='Resultats - informe'!$D$27)*(C2491&lt;='Resultats - informe'!$E$27),0,(C2491&gt;='Resultats - informe'!$D$28)*(C2491&lt;='Resultats - informe'!$E$28),0,(C2491&gt;='Resultats - informe'!$D$29)*(C2491&lt;='Resultats - informe'!$E$29),0,1,1)</f>
        <v>0</v>
      </c>
      <c r="N2491" s="366">
        <f>+VLOOKUP(D2491,'Resultats - informe'!$Y$18:$AG$42,'Introducció dades consum'!K2491+1,0)</f>
        <v>0</v>
      </c>
      <c r="O2491" s="370" cm="1">
        <f t="array" ref="O2491">+_xlfn.SWITCH(MONTH(C2491),1,1,2,1,3,1,4,2,5,2,6,3,7,3,8,3,9,3,10,2,11,2,12,1,2)</f>
        <v>1</v>
      </c>
      <c r="P2491" s="43"/>
    </row>
    <row r="2492" spans="1:16" ht="18" x14ac:dyDescent="0.35">
      <c r="A2492" s="43"/>
      <c r="C2492" s="393"/>
      <c r="E2492" s="394"/>
      <c r="F2492" s="394">
        <v>0.6</v>
      </c>
      <c r="G2492" s="394"/>
      <c r="H2492" s="8" t="s">
        <v>235</v>
      </c>
      <c r="I2492" s="368">
        <f t="shared" si="115"/>
        <v>0</v>
      </c>
      <c r="J2492" s="365">
        <f t="shared" si="117"/>
        <v>0</v>
      </c>
      <c r="K2492" s="369">
        <f t="shared" si="116"/>
        <v>6</v>
      </c>
      <c r="L2492" s="369">
        <f>+IF((C2492&gt;='Resultats - informe'!$E$16)*(C2492&lt;='Resultats - informe'!$G$16),1,0)</f>
        <v>1</v>
      </c>
      <c r="M2492" s="369" cm="1">
        <f t="array" ref="M2492">+_xlfn.IFS((C2492&gt;='Resultats - informe'!$D$26)*(C2492&lt;='Resultats - informe'!$E$26),0,(C2492&gt;='Resultats - informe'!$D$27)*(C2492&lt;='Resultats - informe'!$E$27),0,(C2492&gt;='Resultats - informe'!$D$28)*(C2492&lt;='Resultats - informe'!$E$28),0,(C2492&gt;='Resultats - informe'!$D$29)*(C2492&lt;='Resultats - informe'!$E$29),0,1,1)</f>
        <v>0</v>
      </c>
      <c r="N2492" s="366">
        <f>+VLOOKUP(D2492,'Resultats - informe'!$Y$18:$AG$42,'Introducció dades consum'!K2492+1,0)</f>
        <v>0</v>
      </c>
      <c r="O2492" s="370" cm="1">
        <f t="array" ref="O2492">+_xlfn.SWITCH(MONTH(C2492),1,1,2,1,3,1,4,2,5,2,6,3,7,3,8,3,9,3,10,2,11,2,12,1,2)</f>
        <v>1</v>
      </c>
      <c r="P2492" s="43"/>
    </row>
    <row r="2493" spans="1:16" ht="18" x14ac:dyDescent="0.35">
      <c r="A2493" s="43"/>
      <c r="C2493" s="393"/>
      <c r="E2493" s="394"/>
      <c r="F2493" s="394">
        <v>0</v>
      </c>
      <c r="G2493" s="394"/>
      <c r="H2493" s="8" t="s">
        <v>235</v>
      </c>
      <c r="I2493" s="368">
        <f t="shared" si="115"/>
        <v>0</v>
      </c>
      <c r="J2493" s="365">
        <f t="shared" si="117"/>
        <v>0</v>
      </c>
      <c r="K2493" s="369">
        <f t="shared" si="116"/>
        <v>6</v>
      </c>
      <c r="L2493" s="369">
        <f>+IF((C2493&gt;='Resultats - informe'!$E$16)*(C2493&lt;='Resultats - informe'!$G$16),1,0)</f>
        <v>1</v>
      </c>
      <c r="M2493" s="369" cm="1">
        <f t="array" ref="M2493">+_xlfn.IFS((C2493&gt;='Resultats - informe'!$D$26)*(C2493&lt;='Resultats - informe'!$E$26),0,(C2493&gt;='Resultats - informe'!$D$27)*(C2493&lt;='Resultats - informe'!$E$27),0,(C2493&gt;='Resultats - informe'!$D$28)*(C2493&lt;='Resultats - informe'!$E$28),0,(C2493&gt;='Resultats - informe'!$D$29)*(C2493&lt;='Resultats - informe'!$E$29),0,1,1)</f>
        <v>0</v>
      </c>
      <c r="N2493" s="366">
        <f>+VLOOKUP(D2493,'Resultats - informe'!$Y$18:$AG$42,'Introducció dades consum'!K2493+1,0)</f>
        <v>0</v>
      </c>
      <c r="O2493" s="370" cm="1">
        <f t="array" ref="O2493">+_xlfn.SWITCH(MONTH(C2493),1,1,2,1,3,1,4,2,5,2,6,3,7,3,8,3,9,3,10,2,11,2,12,1,2)</f>
        <v>1</v>
      </c>
      <c r="P2493" s="43"/>
    </row>
    <row r="2494" spans="1:16" ht="18" x14ac:dyDescent="0.35">
      <c r="A2494" s="43"/>
      <c r="C2494" s="393"/>
      <c r="E2494" s="394"/>
      <c r="F2494" s="394">
        <v>0</v>
      </c>
      <c r="G2494" s="394"/>
      <c r="H2494" s="8" t="s">
        <v>61</v>
      </c>
      <c r="I2494" s="368">
        <f t="shared" si="115"/>
        <v>0</v>
      </c>
      <c r="J2494" s="365">
        <f t="shared" si="117"/>
        <v>0</v>
      </c>
      <c r="K2494" s="369">
        <f t="shared" si="116"/>
        <v>6</v>
      </c>
      <c r="L2494" s="369">
        <f>+IF((C2494&gt;='Resultats - informe'!$E$16)*(C2494&lt;='Resultats - informe'!$G$16),1,0)</f>
        <v>1</v>
      </c>
      <c r="M2494" s="369" cm="1">
        <f t="array" ref="M2494">+_xlfn.IFS((C2494&gt;='Resultats - informe'!$D$26)*(C2494&lt;='Resultats - informe'!$E$26),0,(C2494&gt;='Resultats - informe'!$D$27)*(C2494&lt;='Resultats - informe'!$E$27),0,(C2494&gt;='Resultats - informe'!$D$28)*(C2494&lt;='Resultats - informe'!$E$28),0,(C2494&gt;='Resultats - informe'!$D$29)*(C2494&lt;='Resultats - informe'!$E$29),0,1,1)</f>
        <v>0</v>
      </c>
      <c r="N2494" s="366">
        <f>+VLOOKUP(D2494,'Resultats - informe'!$Y$18:$AG$42,'Introducció dades consum'!K2494+1,0)</f>
        <v>0</v>
      </c>
      <c r="O2494" s="370" cm="1">
        <f t="array" ref="O2494">+_xlfn.SWITCH(MONTH(C2494),1,1,2,1,3,1,4,2,5,2,6,3,7,3,8,3,9,3,10,2,11,2,12,1,2)</f>
        <v>1</v>
      </c>
      <c r="P2494" s="43"/>
    </row>
    <row r="2495" spans="1:16" ht="18" x14ac:dyDescent="0.35">
      <c r="A2495" s="43"/>
      <c r="C2495" s="393"/>
      <c r="E2495" s="394"/>
      <c r="F2495" s="394">
        <v>0</v>
      </c>
      <c r="G2495" s="394"/>
      <c r="H2495" s="8" t="s">
        <v>61</v>
      </c>
      <c r="I2495" s="368">
        <f t="shared" si="115"/>
        <v>0</v>
      </c>
      <c r="J2495" s="365">
        <f t="shared" si="117"/>
        <v>0</v>
      </c>
      <c r="K2495" s="369">
        <f t="shared" si="116"/>
        <v>6</v>
      </c>
      <c r="L2495" s="369">
        <f>+IF((C2495&gt;='Resultats - informe'!$E$16)*(C2495&lt;='Resultats - informe'!$G$16),1,0)</f>
        <v>1</v>
      </c>
      <c r="M2495" s="369" cm="1">
        <f t="array" ref="M2495">+_xlfn.IFS((C2495&gt;='Resultats - informe'!$D$26)*(C2495&lt;='Resultats - informe'!$E$26),0,(C2495&gt;='Resultats - informe'!$D$27)*(C2495&lt;='Resultats - informe'!$E$27),0,(C2495&gt;='Resultats - informe'!$D$28)*(C2495&lt;='Resultats - informe'!$E$28),0,(C2495&gt;='Resultats - informe'!$D$29)*(C2495&lt;='Resultats - informe'!$E$29),0,1,1)</f>
        <v>0</v>
      </c>
      <c r="N2495" s="366">
        <f>+VLOOKUP(D2495,'Resultats - informe'!$Y$18:$AG$42,'Introducció dades consum'!K2495+1,0)</f>
        <v>0</v>
      </c>
      <c r="O2495" s="370" cm="1">
        <f t="array" ref="O2495">+_xlfn.SWITCH(MONTH(C2495),1,1,2,1,3,1,4,2,5,2,6,3,7,3,8,3,9,3,10,2,11,2,12,1,2)</f>
        <v>1</v>
      </c>
      <c r="P2495" s="43"/>
    </row>
    <row r="2496" spans="1:16" ht="18" x14ac:dyDescent="0.35">
      <c r="A2496" s="43"/>
      <c r="C2496" s="393"/>
      <c r="E2496" s="394"/>
      <c r="F2496" s="394">
        <v>0</v>
      </c>
      <c r="G2496" s="394"/>
      <c r="H2496" s="8" t="s">
        <v>235</v>
      </c>
      <c r="I2496" s="368">
        <f t="shared" si="115"/>
        <v>0</v>
      </c>
      <c r="J2496" s="365">
        <f t="shared" si="117"/>
        <v>0</v>
      </c>
      <c r="K2496" s="369">
        <f t="shared" si="116"/>
        <v>6</v>
      </c>
      <c r="L2496" s="369">
        <f>+IF((C2496&gt;='Resultats - informe'!$E$16)*(C2496&lt;='Resultats - informe'!$G$16),1,0)</f>
        <v>1</v>
      </c>
      <c r="M2496" s="369" cm="1">
        <f t="array" ref="M2496">+_xlfn.IFS((C2496&gt;='Resultats - informe'!$D$26)*(C2496&lt;='Resultats - informe'!$E$26),0,(C2496&gt;='Resultats - informe'!$D$27)*(C2496&lt;='Resultats - informe'!$E$27),0,(C2496&gt;='Resultats - informe'!$D$28)*(C2496&lt;='Resultats - informe'!$E$28),0,(C2496&gt;='Resultats - informe'!$D$29)*(C2496&lt;='Resultats - informe'!$E$29),0,1,1)</f>
        <v>0</v>
      </c>
      <c r="N2496" s="366">
        <f>+VLOOKUP(D2496,'Resultats - informe'!$Y$18:$AG$42,'Introducció dades consum'!K2496+1,0)</f>
        <v>0</v>
      </c>
      <c r="O2496" s="370" cm="1">
        <f t="array" ref="O2496">+_xlfn.SWITCH(MONTH(C2496),1,1,2,1,3,1,4,2,5,2,6,3,7,3,8,3,9,3,10,2,11,2,12,1,2)</f>
        <v>1</v>
      </c>
      <c r="P2496" s="43"/>
    </row>
    <row r="2497" spans="1:16" ht="18" x14ac:dyDescent="0.35">
      <c r="A2497" s="43"/>
      <c r="C2497" s="393"/>
      <c r="E2497" s="394"/>
      <c r="F2497" s="394">
        <v>0</v>
      </c>
      <c r="G2497" s="394"/>
      <c r="H2497" s="8" t="s">
        <v>235</v>
      </c>
      <c r="I2497" s="368">
        <f t="shared" si="115"/>
        <v>0</v>
      </c>
      <c r="J2497" s="365">
        <f t="shared" si="117"/>
        <v>0</v>
      </c>
      <c r="K2497" s="369">
        <f t="shared" si="116"/>
        <v>6</v>
      </c>
      <c r="L2497" s="369">
        <f>+IF((C2497&gt;='Resultats - informe'!$E$16)*(C2497&lt;='Resultats - informe'!$G$16),1,0)</f>
        <v>1</v>
      </c>
      <c r="M2497" s="369" cm="1">
        <f t="array" ref="M2497">+_xlfn.IFS((C2497&gt;='Resultats - informe'!$D$26)*(C2497&lt;='Resultats - informe'!$E$26),0,(C2497&gt;='Resultats - informe'!$D$27)*(C2497&lt;='Resultats - informe'!$E$27),0,(C2497&gt;='Resultats - informe'!$D$28)*(C2497&lt;='Resultats - informe'!$E$28),0,(C2497&gt;='Resultats - informe'!$D$29)*(C2497&lt;='Resultats - informe'!$E$29),0,1,1)</f>
        <v>0</v>
      </c>
      <c r="N2497" s="366">
        <f>+VLOOKUP(D2497,'Resultats - informe'!$Y$18:$AG$42,'Introducció dades consum'!K2497+1,0)</f>
        <v>0</v>
      </c>
      <c r="O2497" s="370" cm="1">
        <f t="array" ref="O2497">+_xlfn.SWITCH(MONTH(C2497),1,1,2,1,3,1,4,2,5,2,6,3,7,3,8,3,9,3,10,2,11,2,12,1,2)</f>
        <v>1</v>
      </c>
      <c r="P2497" s="43"/>
    </row>
    <row r="2498" spans="1:16" ht="18" x14ac:dyDescent="0.35">
      <c r="A2498" s="43"/>
      <c r="C2498" s="393"/>
      <c r="E2498" s="394"/>
      <c r="F2498" s="394">
        <v>0</v>
      </c>
      <c r="G2498" s="394"/>
      <c r="H2498" s="8" t="s">
        <v>235</v>
      </c>
      <c r="I2498" s="368">
        <f t="shared" si="115"/>
        <v>0</v>
      </c>
      <c r="J2498" s="365">
        <f t="shared" si="117"/>
        <v>0</v>
      </c>
      <c r="K2498" s="369">
        <f t="shared" si="116"/>
        <v>6</v>
      </c>
      <c r="L2498" s="369">
        <f>+IF((C2498&gt;='Resultats - informe'!$E$16)*(C2498&lt;='Resultats - informe'!$G$16),1,0)</f>
        <v>1</v>
      </c>
      <c r="M2498" s="369" cm="1">
        <f t="array" ref="M2498">+_xlfn.IFS((C2498&gt;='Resultats - informe'!$D$26)*(C2498&lt;='Resultats - informe'!$E$26),0,(C2498&gt;='Resultats - informe'!$D$27)*(C2498&lt;='Resultats - informe'!$E$27),0,(C2498&gt;='Resultats - informe'!$D$28)*(C2498&lt;='Resultats - informe'!$E$28),0,(C2498&gt;='Resultats - informe'!$D$29)*(C2498&lt;='Resultats - informe'!$E$29),0,1,1)</f>
        <v>0</v>
      </c>
      <c r="N2498" s="366">
        <f>+VLOOKUP(D2498,'Resultats - informe'!$Y$18:$AG$42,'Introducció dades consum'!K2498+1,0)</f>
        <v>0</v>
      </c>
      <c r="O2498" s="370" cm="1">
        <f t="array" ref="O2498">+_xlfn.SWITCH(MONTH(C2498),1,1,2,1,3,1,4,2,5,2,6,3,7,3,8,3,9,3,10,2,11,2,12,1,2)</f>
        <v>1</v>
      </c>
      <c r="P2498" s="43"/>
    </row>
    <row r="2499" spans="1:16" ht="18" x14ac:dyDescent="0.35">
      <c r="A2499" s="43"/>
      <c r="C2499" s="393"/>
      <c r="E2499" s="394"/>
      <c r="F2499" s="394">
        <v>0</v>
      </c>
      <c r="G2499" s="394"/>
      <c r="H2499" s="8" t="s">
        <v>61</v>
      </c>
      <c r="I2499" s="368">
        <f t="shared" si="115"/>
        <v>0</v>
      </c>
      <c r="J2499" s="365">
        <f t="shared" si="117"/>
        <v>0</v>
      </c>
      <c r="K2499" s="369">
        <f t="shared" si="116"/>
        <v>6</v>
      </c>
      <c r="L2499" s="369">
        <f>+IF((C2499&gt;='Resultats - informe'!$E$16)*(C2499&lt;='Resultats - informe'!$G$16),1,0)</f>
        <v>1</v>
      </c>
      <c r="M2499" s="369" cm="1">
        <f t="array" ref="M2499">+_xlfn.IFS((C2499&gt;='Resultats - informe'!$D$26)*(C2499&lt;='Resultats - informe'!$E$26),0,(C2499&gt;='Resultats - informe'!$D$27)*(C2499&lt;='Resultats - informe'!$E$27),0,(C2499&gt;='Resultats - informe'!$D$28)*(C2499&lt;='Resultats - informe'!$E$28),0,(C2499&gt;='Resultats - informe'!$D$29)*(C2499&lt;='Resultats - informe'!$E$29),0,1,1)</f>
        <v>0</v>
      </c>
      <c r="N2499" s="366">
        <f>+VLOOKUP(D2499,'Resultats - informe'!$Y$18:$AG$42,'Introducció dades consum'!K2499+1,0)</f>
        <v>0</v>
      </c>
      <c r="O2499" s="370" cm="1">
        <f t="array" ref="O2499">+_xlfn.SWITCH(MONTH(C2499),1,1,2,1,3,1,4,2,5,2,6,3,7,3,8,3,9,3,10,2,11,2,12,1,2)</f>
        <v>1</v>
      </c>
      <c r="P2499" s="43"/>
    </row>
    <row r="2500" spans="1:16" ht="18" x14ac:dyDescent="0.35">
      <c r="A2500" s="43"/>
      <c r="C2500" s="393"/>
      <c r="E2500" s="394"/>
      <c r="F2500" s="394">
        <v>0</v>
      </c>
      <c r="G2500" s="394"/>
      <c r="H2500" s="8" t="s">
        <v>61</v>
      </c>
      <c r="I2500" s="368">
        <f t="shared" si="115"/>
        <v>0</v>
      </c>
      <c r="J2500" s="365">
        <f t="shared" si="117"/>
        <v>0</v>
      </c>
      <c r="K2500" s="369">
        <f t="shared" si="116"/>
        <v>6</v>
      </c>
      <c r="L2500" s="369">
        <f>+IF((C2500&gt;='Resultats - informe'!$E$16)*(C2500&lt;='Resultats - informe'!$G$16),1,0)</f>
        <v>1</v>
      </c>
      <c r="M2500" s="369" cm="1">
        <f t="array" ref="M2500">+_xlfn.IFS((C2500&gt;='Resultats - informe'!$D$26)*(C2500&lt;='Resultats - informe'!$E$26),0,(C2500&gt;='Resultats - informe'!$D$27)*(C2500&lt;='Resultats - informe'!$E$27),0,(C2500&gt;='Resultats - informe'!$D$28)*(C2500&lt;='Resultats - informe'!$E$28),0,(C2500&gt;='Resultats - informe'!$D$29)*(C2500&lt;='Resultats - informe'!$E$29),0,1,1)</f>
        <v>0</v>
      </c>
      <c r="N2500" s="366">
        <f>+VLOOKUP(D2500,'Resultats - informe'!$Y$18:$AG$42,'Introducció dades consum'!K2500+1,0)</f>
        <v>0</v>
      </c>
      <c r="O2500" s="370" cm="1">
        <f t="array" ref="O2500">+_xlfn.SWITCH(MONTH(C2500),1,1,2,1,3,1,4,2,5,2,6,3,7,3,8,3,9,3,10,2,11,2,12,1,2)</f>
        <v>1</v>
      </c>
      <c r="P2500" s="43"/>
    </row>
    <row r="2501" spans="1:16" ht="18" x14ac:dyDescent="0.35">
      <c r="A2501" s="43"/>
      <c r="C2501" s="393"/>
      <c r="E2501" s="394"/>
      <c r="F2501" s="394">
        <v>0</v>
      </c>
      <c r="G2501" s="394"/>
      <c r="H2501" s="8" t="s">
        <v>61</v>
      </c>
      <c r="I2501" s="368">
        <f t="shared" si="115"/>
        <v>0</v>
      </c>
      <c r="J2501" s="365">
        <f t="shared" si="117"/>
        <v>0</v>
      </c>
      <c r="K2501" s="369">
        <f t="shared" si="116"/>
        <v>6</v>
      </c>
      <c r="L2501" s="369">
        <f>+IF((C2501&gt;='Resultats - informe'!$E$16)*(C2501&lt;='Resultats - informe'!$G$16),1,0)</f>
        <v>1</v>
      </c>
      <c r="M2501" s="369" cm="1">
        <f t="array" ref="M2501">+_xlfn.IFS((C2501&gt;='Resultats - informe'!$D$26)*(C2501&lt;='Resultats - informe'!$E$26),0,(C2501&gt;='Resultats - informe'!$D$27)*(C2501&lt;='Resultats - informe'!$E$27),0,(C2501&gt;='Resultats - informe'!$D$28)*(C2501&lt;='Resultats - informe'!$E$28),0,(C2501&gt;='Resultats - informe'!$D$29)*(C2501&lt;='Resultats - informe'!$E$29),0,1,1)</f>
        <v>0</v>
      </c>
      <c r="N2501" s="366">
        <f>+VLOOKUP(D2501,'Resultats - informe'!$Y$18:$AG$42,'Introducció dades consum'!K2501+1,0)</f>
        <v>0</v>
      </c>
      <c r="O2501" s="370" cm="1">
        <f t="array" ref="O2501">+_xlfn.SWITCH(MONTH(C2501),1,1,2,1,3,1,4,2,5,2,6,3,7,3,8,3,9,3,10,2,11,2,12,1,2)</f>
        <v>1</v>
      </c>
      <c r="P2501" s="43"/>
    </row>
    <row r="2502" spans="1:16" ht="18" x14ac:dyDescent="0.35">
      <c r="A2502" s="43"/>
      <c r="C2502" s="393"/>
      <c r="E2502" s="394"/>
      <c r="F2502" s="394">
        <v>0</v>
      </c>
      <c r="G2502" s="394"/>
      <c r="H2502" s="8" t="s">
        <v>61</v>
      </c>
      <c r="I2502" s="368">
        <f t="shared" ref="I2502:I2565" si="118">+E2502+G2502</f>
        <v>0</v>
      </c>
      <c r="J2502" s="365">
        <f t="shared" si="117"/>
        <v>0</v>
      </c>
      <c r="K2502" s="369">
        <f t="shared" ref="K2502:K2565" si="119">+WEEKDAY(C2502,2)</f>
        <v>6</v>
      </c>
      <c r="L2502" s="369">
        <f>+IF((C2502&gt;='Resultats - informe'!$E$16)*(C2502&lt;='Resultats - informe'!$G$16),1,0)</f>
        <v>1</v>
      </c>
      <c r="M2502" s="369" cm="1">
        <f t="array" ref="M2502">+_xlfn.IFS((C2502&gt;='Resultats - informe'!$D$26)*(C2502&lt;='Resultats - informe'!$E$26),0,(C2502&gt;='Resultats - informe'!$D$27)*(C2502&lt;='Resultats - informe'!$E$27),0,(C2502&gt;='Resultats - informe'!$D$28)*(C2502&lt;='Resultats - informe'!$E$28),0,(C2502&gt;='Resultats - informe'!$D$29)*(C2502&lt;='Resultats - informe'!$E$29),0,1,1)</f>
        <v>0</v>
      </c>
      <c r="N2502" s="366">
        <f>+VLOOKUP(D2502,'Resultats - informe'!$Y$18:$AG$42,'Introducció dades consum'!K2502+1,0)</f>
        <v>0</v>
      </c>
      <c r="O2502" s="370" cm="1">
        <f t="array" ref="O2502">+_xlfn.SWITCH(MONTH(C2502),1,1,2,1,3,1,4,2,5,2,6,3,7,3,8,3,9,3,10,2,11,2,12,1,2)</f>
        <v>1</v>
      </c>
      <c r="P2502" s="43"/>
    </row>
    <row r="2503" spans="1:16" ht="18" x14ac:dyDescent="0.35">
      <c r="A2503" s="43"/>
      <c r="C2503" s="393"/>
      <c r="E2503" s="394"/>
      <c r="F2503" s="394">
        <v>0</v>
      </c>
      <c r="G2503" s="394"/>
      <c r="H2503" s="8" t="s">
        <v>61</v>
      </c>
      <c r="I2503" s="368">
        <f t="shared" si="118"/>
        <v>0</v>
      </c>
      <c r="J2503" s="365">
        <f t="shared" si="117"/>
        <v>0</v>
      </c>
      <c r="K2503" s="369">
        <f t="shared" si="119"/>
        <v>6</v>
      </c>
      <c r="L2503" s="369">
        <f>+IF((C2503&gt;='Resultats - informe'!$E$16)*(C2503&lt;='Resultats - informe'!$G$16),1,0)</f>
        <v>1</v>
      </c>
      <c r="M2503" s="369" cm="1">
        <f t="array" ref="M2503">+_xlfn.IFS((C2503&gt;='Resultats - informe'!$D$26)*(C2503&lt;='Resultats - informe'!$E$26),0,(C2503&gt;='Resultats - informe'!$D$27)*(C2503&lt;='Resultats - informe'!$E$27),0,(C2503&gt;='Resultats - informe'!$D$28)*(C2503&lt;='Resultats - informe'!$E$28),0,(C2503&gt;='Resultats - informe'!$D$29)*(C2503&lt;='Resultats - informe'!$E$29),0,1,1)</f>
        <v>0</v>
      </c>
      <c r="N2503" s="366">
        <f>+VLOOKUP(D2503,'Resultats - informe'!$Y$18:$AG$42,'Introducció dades consum'!K2503+1,0)</f>
        <v>0</v>
      </c>
      <c r="O2503" s="370" cm="1">
        <f t="array" ref="O2503">+_xlfn.SWITCH(MONTH(C2503),1,1,2,1,3,1,4,2,5,2,6,3,7,3,8,3,9,3,10,2,11,2,12,1,2)</f>
        <v>1</v>
      </c>
      <c r="P2503" s="43"/>
    </row>
    <row r="2504" spans="1:16" ht="18" x14ac:dyDescent="0.35">
      <c r="A2504" s="43"/>
      <c r="C2504" s="393"/>
      <c r="E2504" s="394"/>
      <c r="F2504" s="394">
        <v>0</v>
      </c>
      <c r="G2504" s="394"/>
      <c r="H2504" s="8" t="s">
        <v>61</v>
      </c>
      <c r="I2504" s="368">
        <f t="shared" si="118"/>
        <v>0</v>
      </c>
      <c r="J2504" s="365">
        <f t="shared" si="117"/>
        <v>0</v>
      </c>
      <c r="K2504" s="369">
        <f t="shared" si="119"/>
        <v>6</v>
      </c>
      <c r="L2504" s="369">
        <f>+IF((C2504&gt;='Resultats - informe'!$E$16)*(C2504&lt;='Resultats - informe'!$G$16),1,0)</f>
        <v>1</v>
      </c>
      <c r="M2504" s="369" cm="1">
        <f t="array" ref="M2504">+_xlfn.IFS((C2504&gt;='Resultats - informe'!$D$26)*(C2504&lt;='Resultats - informe'!$E$26),0,(C2504&gt;='Resultats - informe'!$D$27)*(C2504&lt;='Resultats - informe'!$E$27),0,(C2504&gt;='Resultats - informe'!$D$28)*(C2504&lt;='Resultats - informe'!$E$28),0,(C2504&gt;='Resultats - informe'!$D$29)*(C2504&lt;='Resultats - informe'!$E$29),0,1,1)</f>
        <v>0</v>
      </c>
      <c r="N2504" s="366">
        <f>+VLOOKUP(D2504,'Resultats - informe'!$Y$18:$AG$42,'Introducció dades consum'!K2504+1,0)</f>
        <v>0</v>
      </c>
      <c r="O2504" s="370" cm="1">
        <f t="array" ref="O2504">+_xlfn.SWITCH(MONTH(C2504),1,1,2,1,3,1,4,2,5,2,6,3,7,3,8,3,9,3,10,2,11,2,12,1,2)</f>
        <v>1</v>
      </c>
      <c r="P2504" s="43"/>
    </row>
    <row r="2505" spans="1:16" ht="18" x14ac:dyDescent="0.35">
      <c r="A2505" s="43"/>
      <c r="C2505" s="393"/>
      <c r="E2505" s="394"/>
      <c r="F2505" s="394">
        <v>0</v>
      </c>
      <c r="G2505" s="394"/>
      <c r="H2505" s="8" t="s">
        <v>235</v>
      </c>
      <c r="I2505" s="368">
        <f t="shared" si="118"/>
        <v>0</v>
      </c>
      <c r="J2505" s="365">
        <f t="shared" si="117"/>
        <v>0</v>
      </c>
      <c r="K2505" s="369">
        <f t="shared" si="119"/>
        <v>6</v>
      </c>
      <c r="L2505" s="369">
        <f>+IF((C2505&gt;='Resultats - informe'!$E$16)*(C2505&lt;='Resultats - informe'!$G$16),1,0)</f>
        <v>1</v>
      </c>
      <c r="M2505" s="369" cm="1">
        <f t="array" ref="M2505">+_xlfn.IFS((C2505&gt;='Resultats - informe'!$D$26)*(C2505&lt;='Resultats - informe'!$E$26),0,(C2505&gt;='Resultats - informe'!$D$27)*(C2505&lt;='Resultats - informe'!$E$27),0,(C2505&gt;='Resultats - informe'!$D$28)*(C2505&lt;='Resultats - informe'!$E$28),0,(C2505&gt;='Resultats - informe'!$D$29)*(C2505&lt;='Resultats - informe'!$E$29),0,1,1)</f>
        <v>0</v>
      </c>
      <c r="N2505" s="366">
        <f>+VLOOKUP(D2505,'Resultats - informe'!$Y$18:$AG$42,'Introducció dades consum'!K2505+1,0)</f>
        <v>0</v>
      </c>
      <c r="O2505" s="370" cm="1">
        <f t="array" ref="O2505">+_xlfn.SWITCH(MONTH(C2505),1,1,2,1,3,1,4,2,5,2,6,3,7,3,8,3,9,3,10,2,11,2,12,1,2)</f>
        <v>1</v>
      </c>
      <c r="P2505" s="43"/>
    </row>
    <row r="2506" spans="1:16" ht="18" x14ac:dyDescent="0.35">
      <c r="A2506" s="43"/>
      <c r="C2506" s="393"/>
      <c r="E2506" s="394"/>
      <c r="F2506" s="394">
        <v>0.71499999999999997</v>
      </c>
      <c r="G2506" s="394"/>
      <c r="H2506" s="8" t="s">
        <v>235</v>
      </c>
      <c r="I2506" s="368">
        <f t="shared" si="118"/>
        <v>0</v>
      </c>
      <c r="J2506" s="365">
        <f t="shared" si="117"/>
        <v>0</v>
      </c>
      <c r="K2506" s="369">
        <f t="shared" si="119"/>
        <v>6</v>
      </c>
      <c r="L2506" s="369">
        <f>+IF((C2506&gt;='Resultats - informe'!$E$16)*(C2506&lt;='Resultats - informe'!$G$16),1,0)</f>
        <v>1</v>
      </c>
      <c r="M2506" s="369" cm="1">
        <f t="array" ref="M2506">+_xlfn.IFS((C2506&gt;='Resultats - informe'!$D$26)*(C2506&lt;='Resultats - informe'!$E$26),0,(C2506&gt;='Resultats - informe'!$D$27)*(C2506&lt;='Resultats - informe'!$E$27),0,(C2506&gt;='Resultats - informe'!$D$28)*(C2506&lt;='Resultats - informe'!$E$28),0,(C2506&gt;='Resultats - informe'!$D$29)*(C2506&lt;='Resultats - informe'!$E$29),0,1,1)</f>
        <v>0</v>
      </c>
      <c r="N2506" s="366">
        <f>+VLOOKUP(D2506,'Resultats - informe'!$Y$18:$AG$42,'Introducció dades consum'!K2506+1,0)</f>
        <v>0</v>
      </c>
      <c r="O2506" s="370" cm="1">
        <f t="array" ref="O2506">+_xlfn.SWITCH(MONTH(C2506),1,1,2,1,3,1,4,2,5,2,6,3,7,3,8,3,9,3,10,2,11,2,12,1,2)</f>
        <v>1</v>
      </c>
      <c r="P2506" s="43"/>
    </row>
    <row r="2507" spans="1:16" ht="18" x14ac:dyDescent="0.35">
      <c r="A2507" s="43"/>
      <c r="C2507" s="393"/>
      <c r="E2507" s="394"/>
      <c r="F2507" s="394">
        <v>1.5329999999999999</v>
      </c>
      <c r="G2507" s="394"/>
      <c r="H2507" s="8" t="s">
        <v>235</v>
      </c>
      <c r="I2507" s="368">
        <f t="shared" si="118"/>
        <v>0</v>
      </c>
      <c r="J2507" s="365">
        <f t="shared" si="117"/>
        <v>0</v>
      </c>
      <c r="K2507" s="369">
        <f t="shared" si="119"/>
        <v>6</v>
      </c>
      <c r="L2507" s="369">
        <f>+IF((C2507&gt;='Resultats - informe'!$E$16)*(C2507&lt;='Resultats - informe'!$G$16),1,0)</f>
        <v>1</v>
      </c>
      <c r="M2507" s="369" cm="1">
        <f t="array" ref="M2507">+_xlfn.IFS((C2507&gt;='Resultats - informe'!$D$26)*(C2507&lt;='Resultats - informe'!$E$26),0,(C2507&gt;='Resultats - informe'!$D$27)*(C2507&lt;='Resultats - informe'!$E$27),0,(C2507&gt;='Resultats - informe'!$D$28)*(C2507&lt;='Resultats - informe'!$E$28),0,(C2507&gt;='Resultats - informe'!$D$29)*(C2507&lt;='Resultats - informe'!$E$29),0,1,1)</f>
        <v>0</v>
      </c>
      <c r="N2507" s="366">
        <f>+VLOOKUP(D2507,'Resultats - informe'!$Y$18:$AG$42,'Introducció dades consum'!K2507+1,0)</f>
        <v>0</v>
      </c>
      <c r="O2507" s="370" cm="1">
        <f t="array" ref="O2507">+_xlfn.SWITCH(MONTH(C2507),1,1,2,1,3,1,4,2,5,2,6,3,7,3,8,3,9,3,10,2,11,2,12,1,2)</f>
        <v>1</v>
      </c>
      <c r="P2507" s="43"/>
    </row>
    <row r="2508" spans="1:16" ht="18" x14ac:dyDescent="0.35">
      <c r="A2508" s="43"/>
      <c r="C2508" s="393"/>
      <c r="E2508" s="394"/>
      <c r="F2508" s="394">
        <v>0</v>
      </c>
      <c r="G2508" s="394"/>
      <c r="H2508" s="8" t="s">
        <v>61</v>
      </c>
      <c r="I2508" s="368">
        <f t="shared" si="118"/>
        <v>0</v>
      </c>
      <c r="J2508" s="365">
        <f t="shared" si="117"/>
        <v>0</v>
      </c>
      <c r="K2508" s="369">
        <f t="shared" si="119"/>
        <v>6</v>
      </c>
      <c r="L2508" s="369">
        <f>+IF((C2508&gt;='Resultats - informe'!$E$16)*(C2508&lt;='Resultats - informe'!$G$16),1,0)</f>
        <v>1</v>
      </c>
      <c r="M2508" s="369" cm="1">
        <f t="array" ref="M2508">+_xlfn.IFS((C2508&gt;='Resultats - informe'!$D$26)*(C2508&lt;='Resultats - informe'!$E$26),0,(C2508&gt;='Resultats - informe'!$D$27)*(C2508&lt;='Resultats - informe'!$E$27),0,(C2508&gt;='Resultats - informe'!$D$28)*(C2508&lt;='Resultats - informe'!$E$28),0,(C2508&gt;='Resultats - informe'!$D$29)*(C2508&lt;='Resultats - informe'!$E$29),0,1,1)</f>
        <v>0</v>
      </c>
      <c r="N2508" s="366">
        <f>+VLOOKUP(D2508,'Resultats - informe'!$Y$18:$AG$42,'Introducció dades consum'!K2508+1,0)</f>
        <v>0</v>
      </c>
      <c r="O2508" s="370" cm="1">
        <f t="array" ref="O2508">+_xlfn.SWITCH(MONTH(C2508),1,1,2,1,3,1,4,2,5,2,6,3,7,3,8,3,9,3,10,2,11,2,12,1,2)</f>
        <v>1</v>
      </c>
      <c r="P2508" s="43"/>
    </row>
    <row r="2509" spans="1:16" ht="18" x14ac:dyDescent="0.35">
      <c r="A2509" s="43"/>
      <c r="C2509" s="393"/>
      <c r="E2509" s="394"/>
      <c r="F2509" s="394">
        <v>0</v>
      </c>
      <c r="G2509" s="394"/>
      <c r="H2509" s="8" t="s">
        <v>61</v>
      </c>
      <c r="I2509" s="368">
        <f t="shared" si="118"/>
        <v>0</v>
      </c>
      <c r="J2509" s="365">
        <f t="shared" si="117"/>
        <v>0</v>
      </c>
      <c r="K2509" s="369">
        <f t="shared" si="119"/>
        <v>6</v>
      </c>
      <c r="L2509" s="369">
        <f>+IF((C2509&gt;='Resultats - informe'!$E$16)*(C2509&lt;='Resultats - informe'!$G$16),1,0)</f>
        <v>1</v>
      </c>
      <c r="M2509" s="369" cm="1">
        <f t="array" ref="M2509">+_xlfn.IFS((C2509&gt;='Resultats - informe'!$D$26)*(C2509&lt;='Resultats - informe'!$E$26),0,(C2509&gt;='Resultats - informe'!$D$27)*(C2509&lt;='Resultats - informe'!$E$27),0,(C2509&gt;='Resultats - informe'!$D$28)*(C2509&lt;='Resultats - informe'!$E$28),0,(C2509&gt;='Resultats - informe'!$D$29)*(C2509&lt;='Resultats - informe'!$E$29),0,1,1)</f>
        <v>0</v>
      </c>
      <c r="N2509" s="366">
        <f>+VLOOKUP(D2509,'Resultats - informe'!$Y$18:$AG$42,'Introducció dades consum'!K2509+1,0)</f>
        <v>0</v>
      </c>
      <c r="O2509" s="370" cm="1">
        <f t="array" ref="O2509">+_xlfn.SWITCH(MONTH(C2509),1,1,2,1,3,1,4,2,5,2,6,3,7,3,8,3,9,3,10,2,11,2,12,1,2)</f>
        <v>1</v>
      </c>
      <c r="P2509" s="43"/>
    </row>
    <row r="2510" spans="1:16" ht="18" x14ac:dyDescent="0.35">
      <c r="A2510" s="43"/>
      <c r="C2510" s="393"/>
      <c r="E2510" s="394"/>
      <c r="F2510" s="394">
        <v>0.73299999999999998</v>
      </c>
      <c r="G2510" s="394"/>
      <c r="H2510" s="8" t="s">
        <v>61</v>
      </c>
      <c r="I2510" s="368">
        <f t="shared" si="118"/>
        <v>0</v>
      </c>
      <c r="J2510" s="365">
        <f t="shared" si="117"/>
        <v>0</v>
      </c>
      <c r="K2510" s="369">
        <f t="shared" si="119"/>
        <v>6</v>
      </c>
      <c r="L2510" s="369">
        <f>+IF((C2510&gt;='Resultats - informe'!$E$16)*(C2510&lt;='Resultats - informe'!$G$16),1,0)</f>
        <v>1</v>
      </c>
      <c r="M2510" s="369" cm="1">
        <f t="array" ref="M2510">+_xlfn.IFS((C2510&gt;='Resultats - informe'!$D$26)*(C2510&lt;='Resultats - informe'!$E$26),0,(C2510&gt;='Resultats - informe'!$D$27)*(C2510&lt;='Resultats - informe'!$E$27),0,(C2510&gt;='Resultats - informe'!$D$28)*(C2510&lt;='Resultats - informe'!$E$28),0,(C2510&gt;='Resultats - informe'!$D$29)*(C2510&lt;='Resultats - informe'!$E$29),0,1,1)</f>
        <v>0</v>
      </c>
      <c r="N2510" s="366">
        <f>+VLOOKUP(D2510,'Resultats - informe'!$Y$18:$AG$42,'Introducció dades consum'!K2510+1,0)</f>
        <v>0</v>
      </c>
      <c r="O2510" s="370" cm="1">
        <f t="array" ref="O2510">+_xlfn.SWITCH(MONTH(C2510),1,1,2,1,3,1,4,2,5,2,6,3,7,3,8,3,9,3,10,2,11,2,12,1,2)</f>
        <v>1</v>
      </c>
      <c r="P2510" s="43"/>
    </row>
    <row r="2511" spans="1:16" ht="18" x14ac:dyDescent="0.35">
      <c r="A2511" s="43"/>
      <c r="C2511" s="393"/>
      <c r="E2511" s="394"/>
      <c r="F2511" s="394">
        <v>0</v>
      </c>
      <c r="G2511" s="394"/>
      <c r="H2511" s="8" t="s">
        <v>61</v>
      </c>
      <c r="I2511" s="368">
        <f t="shared" si="118"/>
        <v>0</v>
      </c>
      <c r="J2511" s="365">
        <f t="shared" si="117"/>
        <v>0</v>
      </c>
      <c r="K2511" s="369">
        <f t="shared" si="119"/>
        <v>6</v>
      </c>
      <c r="L2511" s="369">
        <f>+IF((C2511&gt;='Resultats - informe'!$E$16)*(C2511&lt;='Resultats - informe'!$G$16),1,0)</f>
        <v>1</v>
      </c>
      <c r="M2511" s="369" cm="1">
        <f t="array" ref="M2511">+_xlfn.IFS((C2511&gt;='Resultats - informe'!$D$26)*(C2511&lt;='Resultats - informe'!$E$26),0,(C2511&gt;='Resultats - informe'!$D$27)*(C2511&lt;='Resultats - informe'!$E$27),0,(C2511&gt;='Resultats - informe'!$D$28)*(C2511&lt;='Resultats - informe'!$E$28),0,(C2511&gt;='Resultats - informe'!$D$29)*(C2511&lt;='Resultats - informe'!$E$29),0,1,1)</f>
        <v>0</v>
      </c>
      <c r="N2511" s="366">
        <f>+VLOOKUP(D2511,'Resultats - informe'!$Y$18:$AG$42,'Introducció dades consum'!K2511+1,0)</f>
        <v>0</v>
      </c>
      <c r="O2511" s="370" cm="1">
        <f t="array" ref="O2511">+_xlfn.SWITCH(MONTH(C2511),1,1,2,1,3,1,4,2,5,2,6,3,7,3,8,3,9,3,10,2,11,2,12,1,2)</f>
        <v>1</v>
      </c>
      <c r="P2511" s="43"/>
    </row>
    <row r="2512" spans="1:16" ht="18" x14ac:dyDescent="0.35">
      <c r="A2512" s="43"/>
      <c r="C2512" s="393"/>
      <c r="E2512" s="394"/>
      <c r="F2512" s="394">
        <v>3.09</v>
      </c>
      <c r="G2512" s="394"/>
      <c r="H2512" s="8" t="s">
        <v>235</v>
      </c>
      <c r="I2512" s="368">
        <f t="shared" si="118"/>
        <v>0</v>
      </c>
      <c r="J2512" s="365">
        <f t="shared" si="117"/>
        <v>0</v>
      </c>
      <c r="K2512" s="369">
        <f t="shared" si="119"/>
        <v>6</v>
      </c>
      <c r="L2512" s="369">
        <f>+IF((C2512&gt;='Resultats - informe'!$E$16)*(C2512&lt;='Resultats - informe'!$G$16),1,0)</f>
        <v>1</v>
      </c>
      <c r="M2512" s="369" cm="1">
        <f t="array" ref="M2512">+_xlfn.IFS((C2512&gt;='Resultats - informe'!$D$26)*(C2512&lt;='Resultats - informe'!$E$26),0,(C2512&gt;='Resultats - informe'!$D$27)*(C2512&lt;='Resultats - informe'!$E$27),0,(C2512&gt;='Resultats - informe'!$D$28)*(C2512&lt;='Resultats - informe'!$E$28),0,(C2512&gt;='Resultats - informe'!$D$29)*(C2512&lt;='Resultats - informe'!$E$29),0,1,1)</f>
        <v>0</v>
      </c>
      <c r="N2512" s="366">
        <f>+VLOOKUP(D2512,'Resultats - informe'!$Y$18:$AG$42,'Introducció dades consum'!K2512+1,0)</f>
        <v>0</v>
      </c>
      <c r="O2512" s="370" cm="1">
        <f t="array" ref="O2512">+_xlfn.SWITCH(MONTH(C2512),1,1,2,1,3,1,4,2,5,2,6,3,7,3,8,3,9,3,10,2,11,2,12,1,2)</f>
        <v>1</v>
      </c>
      <c r="P2512" s="43"/>
    </row>
    <row r="2513" spans="1:16" ht="18" x14ac:dyDescent="0.35">
      <c r="A2513" s="43"/>
      <c r="C2513" s="393"/>
      <c r="E2513" s="394"/>
      <c r="F2513" s="394">
        <v>2.4289999999999998</v>
      </c>
      <c r="G2513" s="394"/>
      <c r="H2513" s="8" t="s">
        <v>235</v>
      </c>
      <c r="I2513" s="368">
        <f t="shared" si="118"/>
        <v>0</v>
      </c>
      <c r="J2513" s="365">
        <f t="shared" si="117"/>
        <v>0</v>
      </c>
      <c r="K2513" s="369">
        <f t="shared" si="119"/>
        <v>6</v>
      </c>
      <c r="L2513" s="369">
        <f>+IF((C2513&gt;='Resultats - informe'!$E$16)*(C2513&lt;='Resultats - informe'!$G$16),1,0)</f>
        <v>1</v>
      </c>
      <c r="M2513" s="369" cm="1">
        <f t="array" ref="M2513">+_xlfn.IFS((C2513&gt;='Resultats - informe'!$D$26)*(C2513&lt;='Resultats - informe'!$E$26),0,(C2513&gt;='Resultats - informe'!$D$27)*(C2513&lt;='Resultats - informe'!$E$27),0,(C2513&gt;='Resultats - informe'!$D$28)*(C2513&lt;='Resultats - informe'!$E$28),0,(C2513&gt;='Resultats - informe'!$D$29)*(C2513&lt;='Resultats - informe'!$E$29),0,1,1)</f>
        <v>0</v>
      </c>
      <c r="N2513" s="366">
        <f>+VLOOKUP(D2513,'Resultats - informe'!$Y$18:$AG$42,'Introducció dades consum'!K2513+1,0)</f>
        <v>0</v>
      </c>
      <c r="O2513" s="370" cm="1">
        <f t="array" ref="O2513">+_xlfn.SWITCH(MONTH(C2513),1,1,2,1,3,1,4,2,5,2,6,3,7,3,8,3,9,3,10,2,11,2,12,1,2)</f>
        <v>1</v>
      </c>
      <c r="P2513" s="43"/>
    </row>
    <row r="2514" spans="1:16" ht="18" x14ac:dyDescent="0.35">
      <c r="A2514" s="43"/>
      <c r="C2514" s="393"/>
      <c r="E2514" s="394"/>
      <c r="F2514" s="394">
        <v>2.3719999999999999</v>
      </c>
      <c r="G2514" s="394"/>
      <c r="H2514" s="8" t="s">
        <v>235</v>
      </c>
      <c r="I2514" s="368">
        <f t="shared" si="118"/>
        <v>0</v>
      </c>
      <c r="J2514" s="365">
        <f t="shared" si="117"/>
        <v>0</v>
      </c>
      <c r="K2514" s="369">
        <f t="shared" si="119"/>
        <v>6</v>
      </c>
      <c r="L2514" s="369">
        <f>+IF((C2514&gt;='Resultats - informe'!$E$16)*(C2514&lt;='Resultats - informe'!$G$16),1,0)</f>
        <v>1</v>
      </c>
      <c r="M2514" s="369" cm="1">
        <f t="array" ref="M2514">+_xlfn.IFS((C2514&gt;='Resultats - informe'!$D$26)*(C2514&lt;='Resultats - informe'!$E$26),0,(C2514&gt;='Resultats - informe'!$D$27)*(C2514&lt;='Resultats - informe'!$E$27),0,(C2514&gt;='Resultats - informe'!$D$28)*(C2514&lt;='Resultats - informe'!$E$28),0,(C2514&gt;='Resultats - informe'!$D$29)*(C2514&lt;='Resultats - informe'!$E$29),0,1,1)</f>
        <v>0</v>
      </c>
      <c r="N2514" s="366">
        <f>+VLOOKUP(D2514,'Resultats - informe'!$Y$18:$AG$42,'Introducció dades consum'!K2514+1,0)</f>
        <v>0</v>
      </c>
      <c r="O2514" s="370" cm="1">
        <f t="array" ref="O2514">+_xlfn.SWITCH(MONTH(C2514),1,1,2,1,3,1,4,2,5,2,6,3,7,3,8,3,9,3,10,2,11,2,12,1,2)</f>
        <v>1</v>
      </c>
      <c r="P2514" s="43"/>
    </row>
    <row r="2515" spans="1:16" ht="18" x14ac:dyDescent="0.35">
      <c r="A2515" s="43"/>
      <c r="C2515" s="393"/>
      <c r="E2515" s="394"/>
      <c r="F2515" s="394">
        <v>1.6160000000000001</v>
      </c>
      <c r="G2515" s="394"/>
      <c r="H2515" s="8" t="s">
        <v>235</v>
      </c>
      <c r="I2515" s="368">
        <f t="shared" si="118"/>
        <v>0</v>
      </c>
      <c r="J2515" s="365">
        <f t="shared" si="117"/>
        <v>0</v>
      </c>
      <c r="K2515" s="369">
        <f t="shared" si="119"/>
        <v>6</v>
      </c>
      <c r="L2515" s="369">
        <f>+IF((C2515&gt;='Resultats - informe'!$E$16)*(C2515&lt;='Resultats - informe'!$G$16),1,0)</f>
        <v>1</v>
      </c>
      <c r="M2515" s="369" cm="1">
        <f t="array" ref="M2515">+_xlfn.IFS((C2515&gt;='Resultats - informe'!$D$26)*(C2515&lt;='Resultats - informe'!$E$26),0,(C2515&gt;='Resultats - informe'!$D$27)*(C2515&lt;='Resultats - informe'!$E$27),0,(C2515&gt;='Resultats - informe'!$D$28)*(C2515&lt;='Resultats - informe'!$E$28),0,(C2515&gt;='Resultats - informe'!$D$29)*(C2515&lt;='Resultats - informe'!$E$29),0,1,1)</f>
        <v>0</v>
      </c>
      <c r="N2515" s="366">
        <f>+VLOOKUP(D2515,'Resultats - informe'!$Y$18:$AG$42,'Introducció dades consum'!K2515+1,0)</f>
        <v>0</v>
      </c>
      <c r="O2515" s="370" cm="1">
        <f t="array" ref="O2515">+_xlfn.SWITCH(MONTH(C2515),1,1,2,1,3,1,4,2,5,2,6,3,7,3,8,3,9,3,10,2,11,2,12,1,2)</f>
        <v>1</v>
      </c>
      <c r="P2515" s="43"/>
    </row>
    <row r="2516" spans="1:16" ht="18" x14ac:dyDescent="0.35">
      <c r="A2516" s="43"/>
      <c r="C2516" s="393"/>
      <c r="E2516" s="394"/>
      <c r="F2516" s="394">
        <v>0</v>
      </c>
      <c r="G2516" s="394"/>
      <c r="H2516" s="8" t="s">
        <v>235</v>
      </c>
      <c r="I2516" s="368">
        <f t="shared" si="118"/>
        <v>0</v>
      </c>
      <c r="J2516" s="365">
        <f t="shared" si="117"/>
        <v>0</v>
      </c>
      <c r="K2516" s="369">
        <f t="shared" si="119"/>
        <v>6</v>
      </c>
      <c r="L2516" s="369">
        <f>+IF((C2516&gt;='Resultats - informe'!$E$16)*(C2516&lt;='Resultats - informe'!$G$16),1,0)</f>
        <v>1</v>
      </c>
      <c r="M2516" s="369" cm="1">
        <f t="array" ref="M2516">+_xlfn.IFS((C2516&gt;='Resultats - informe'!$D$26)*(C2516&lt;='Resultats - informe'!$E$26),0,(C2516&gt;='Resultats - informe'!$D$27)*(C2516&lt;='Resultats - informe'!$E$27),0,(C2516&gt;='Resultats - informe'!$D$28)*(C2516&lt;='Resultats - informe'!$E$28),0,(C2516&gt;='Resultats - informe'!$D$29)*(C2516&lt;='Resultats - informe'!$E$29),0,1,1)</f>
        <v>0</v>
      </c>
      <c r="N2516" s="366">
        <f>+VLOOKUP(D2516,'Resultats - informe'!$Y$18:$AG$42,'Introducció dades consum'!K2516+1,0)</f>
        <v>0</v>
      </c>
      <c r="O2516" s="370" cm="1">
        <f t="array" ref="O2516">+_xlfn.SWITCH(MONTH(C2516),1,1,2,1,3,1,4,2,5,2,6,3,7,3,8,3,9,3,10,2,11,2,12,1,2)</f>
        <v>1</v>
      </c>
      <c r="P2516" s="43"/>
    </row>
    <row r="2517" spans="1:16" ht="18" x14ac:dyDescent="0.35">
      <c r="A2517" s="43"/>
      <c r="C2517" s="393"/>
      <c r="E2517" s="394"/>
      <c r="F2517" s="394">
        <v>0</v>
      </c>
      <c r="G2517" s="394"/>
      <c r="H2517" s="8" t="s">
        <v>235</v>
      </c>
      <c r="I2517" s="368">
        <f t="shared" si="118"/>
        <v>0</v>
      </c>
      <c r="J2517" s="365">
        <f t="shared" si="117"/>
        <v>0</v>
      </c>
      <c r="K2517" s="369">
        <f t="shared" si="119"/>
        <v>6</v>
      </c>
      <c r="L2517" s="369">
        <f>+IF((C2517&gt;='Resultats - informe'!$E$16)*(C2517&lt;='Resultats - informe'!$G$16),1,0)</f>
        <v>1</v>
      </c>
      <c r="M2517" s="369" cm="1">
        <f t="array" ref="M2517">+_xlfn.IFS((C2517&gt;='Resultats - informe'!$D$26)*(C2517&lt;='Resultats - informe'!$E$26),0,(C2517&gt;='Resultats - informe'!$D$27)*(C2517&lt;='Resultats - informe'!$E$27),0,(C2517&gt;='Resultats - informe'!$D$28)*(C2517&lt;='Resultats - informe'!$E$28),0,(C2517&gt;='Resultats - informe'!$D$29)*(C2517&lt;='Resultats - informe'!$E$29),0,1,1)</f>
        <v>0</v>
      </c>
      <c r="N2517" s="366">
        <f>+VLOOKUP(D2517,'Resultats - informe'!$Y$18:$AG$42,'Introducció dades consum'!K2517+1,0)</f>
        <v>0</v>
      </c>
      <c r="O2517" s="370" cm="1">
        <f t="array" ref="O2517">+_xlfn.SWITCH(MONTH(C2517),1,1,2,1,3,1,4,2,5,2,6,3,7,3,8,3,9,3,10,2,11,2,12,1,2)</f>
        <v>1</v>
      </c>
      <c r="P2517" s="43"/>
    </row>
    <row r="2518" spans="1:16" ht="18" x14ac:dyDescent="0.35">
      <c r="A2518" s="43"/>
      <c r="C2518" s="393"/>
      <c r="E2518" s="394"/>
      <c r="F2518" s="394">
        <v>0</v>
      </c>
      <c r="G2518" s="394"/>
      <c r="H2518" s="8" t="s">
        <v>61</v>
      </c>
      <c r="I2518" s="368">
        <f t="shared" si="118"/>
        <v>0</v>
      </c>
      <c r="J2518" s="365">
        <f t="shared" si="117"/>
        <v>0</v>
      </c>
      <c r="K2518" s="369">
        <f t="shared" si="119"/>
        <v>6</v>
      </c>
      <c r="L2518" s="369">
        <f>+IF((C2518&gt;='Resultats - informe'!$E$16)*(C2518&lt;='Resultats - informe'!$G$16),1,0)</f>
        <v>1</v>
      </c>
      <c r="M2518" s="369" cm="1">
        <f t="array" ref="M2518">+_xlfn.IFS((C2518&gt;='Resultats - informe'!$D$26)*(C2518&lt;='Resultats - informe'!$E$26),0,(C2518&gt;='Resultats - informe'!$D$27)*(C2518&lt;='Resultats - informe'!$E$27),0,(C2518&gt;='Resultats - informe'!$D$28)*(C2518&lt;='Resultats - informe'!$E$28),0,(C2518&gt;='Resultats - informe'!$D$29)*(C2518&lt;='Resultats - informe'!$E$29),0,1,1)</f>
        <v>0</v>
      </c>
      <c r="N2518" s="366">
        <f>+VLOOKUP(D2518,'Resultats - informe'!$Y$18:$AG$42,'Introducció dades consum'!K2518+1,0)</f>
        <v>0</v>
      </c>
      <c r="O2518" s="370" cm="1">
        <f t="array" ref="O2518">+_xlfn.SWITCH(MONTH(C2518),1,1,2,1,3,1,4,2,5,2,6,3,7,3,8,3,9,3,10,2,11,2,12,1,2)</f>
        <v>1</v>
      </c>
      <c r="P2518" s="43"/>
    </row>
    <row r="2519" spans="1:16" ht="18" x14ac:dyDescent="0.35">
      <c r="A2519" s="43"/>
      <c r="C2519" s="393"/>
      <c r="E2519" s="394"/>
      <c r="F2519" s="394">
        <v>0</v>
      </c>
      <c r="G2519" s="394"/>
      <c r="H2519" s="8" t="s">
        <v>235</v>
      </c>
      <c r="I2519" s="368">
        <f t="shared" si="118"/>
        <v>0</v>
      </c>
      <c r="J2519" s="365">
        <f t="shared" si="117"/>
        <v>0</v>
      </c>
      <c r="K2519" s="369">
        <f t="shared" si="119"/>
        <v>6</v>
      </c>
      <c r="L2519" s="369">
        <f>+IF((C2519&gt;='Resultats - informe'!$E$16)*(C2519&lt;='Resultats - informe'!$G$16),1,0)</f>
        <v>1</v>
      </c>
      <c r="M2519" s="369" cm="1">
        <f t="array" ref="M2519">+_xlfn.IFS((C2519&gt;='Resultats - informe'!$D$26)*(C2519&lt;='Resultats - informe'!$E$26),0,(C2519&gt;='Resultats - informe'!$D$27)*(C2519&lt;='Resultats - informe'!$E$27),0,(C2519&gt;='Resultats - informe'!$D$28)*(C2519&lt;='Resultats - informe'!$E$28),0,(C2519&gt;='Resultats - informe'!$D$29)*(C2519&lt;='Resultats - informe'!$E$29),0,1,1)</f>
        <v>0</v>
      </c>
      <c r="N2519" s="366">
        <f>+VLOOKUP(D2519,'Resultats - informe'!$Y$18:$AG$42,'Introducció dades consum'!K2519+1,0)</f>
        <v>0</v>
      </c>
      <c r="O2519" s="370" cm="1">
        <f t="array" ref="O2519">+_xlfn.SWITCH(MONTH(C2519),1,1,2,1,3,1,4,2,5,2,6,3,7,3,8,3,9,3,10,2,11,2,12,1,2)</f>
        <v>1</v>
      </c>
      <c r="P2519" s="43"/>
    </row>
    <row r="2520" spans="1:16" ht="18" x14ac:dyDescent="0.35">
      <c r="A2520" s="43"/>
      <c r="C2520" s="393"/>
      <c r="E2520" s="394"/>
      <c r="F2520" s="394">
        <v>0</v>
      </c>
      <c r="G2520" s="394"/>
      <c r="H2520" s="8" t="s">
        <v>235</v>
      </c>
      <c r="I2520" s="368">
        <f t="shared" si="118"/>
        <v>0</v>
      </c>
      <c r="J2520" s="365">
        <f t="shared" si="117"/>
        <v>0</v>
      </c>
      <c r="K2520" s="369">
        <f t="shared" si="119"/>
        <v>6</v>
      </c>
      <c r="L2520" s="369">
        <f>+IF((C2520&gt;='Resultats - informe'!$E$16)*(C2520&lt;='Resultats - informe'!$G$16),1,0)</f>
        <v>1</v>
      </c>
      <c r="M2520" s="369" cm="1">
        <f t="array" ref="M2520">+_xlfn.IFS((C2520&gt;='Resultats - informe'!$D$26)*(C2520&lt;='Resultats - informe'!$E$26),0,(C2520&gt;='Resultats - informe'!$D$27)*(C2520&lt;='Resultats - informe'!$E$27),0,(C2520&gt;='Resultats - informe'!$D$28)*(C2520&lt;='Resultats - informe'!$E$28),0,(C2520&gt;='Resultats - informe'!$D$29)*(C2520&lt;='Resultats - informe'!$E$29),0,1,1)</f>
        <v>0</v>
      </c>
      <c r="N2520" s="366">
        <f>+VLOOKUP(D2520,'Resultats - informe'!$Y$18:$AG$42,'Introducció dades consum'!K2520+1,0)</f>
        <v>0</v>
      </c>
      <c r="O2520" s="370" cm="1">
        <f t="array" ref="O2520">+_xlfn.SWITCH(MONTH(C2520),1,1,2,1,3,1,4,2,5,2,6,3,7,3,8,3,9,3,10,2,11,2,12,1,2)</f>
        <v>1</v>
      </c>
      <c r="P2520" s="43"/>
    </row>
    <row r="2521" spans="1:16" ht="18" x14ac:dyDescent="0.35">
      <c r="A2521" s="43"/>
      <c r="C2521" s="393"/>
      <c r="E2521" s="394"/>
      <c r="F2521" s="394">
        <v>0</v>
      </c>
      <c r="G2521" s="394"/>
      <c r="H2521" s="8" t="s">
        <v>61</v>
      </c>
      <c r="I2521" s="368">
        <f t="shared" si="118"/>
        <v>0</v>
      </c>
      <c r="J2521" s="365">
        <f t="shared" si="117"/>
        <v>0</v>
      </c>
      <c r="K2521" s="369">
        <f t="shared" si="119"/>
        <v>6</v>
      </c>
      <c r="L2521" s="369">
        <f>+IF((C2521&gt;='Resultats - informe'!$E$16)*(C2521&lt;='Resultats - informe'!$G$16),1,0)</f>
        <v>1</v>
      </c>
      <c r="M2521" s="369" cm="1">
        <f t="array" ref="M2521">+_xlfn.IFS((C2521&gt;='Resultats - informe'!$D$26)*(C2521&lt;='Resultats - informe'!$E$26),0,(C2521&gt;='Resultats - informe'!$D$27)*(C2521&lt;='Resultats - informe'!$E$27),0,(C2521&gt;='Resultats - informe'!$D$28)*(C2521&lt;='Resultats - informe'!$E$28),0,(C2521&gt;='Resultats - informe'!$D$29)*(C2521&lt;='Resultats - informe'!$E$29),0,1,1)</f>
        <v>0</v>
      </c>
      <c r="N2521" s="366">
        <f>+VLOOKUP(D2521,'Resultats - informe'!$Y$18:$AG$42,'Introducció dades consum'!K2521+1,0)</f>
        <v>0</v>
      </c>
      <c r="O2521" s="370" cm="1">
        <f t="array" ref="O2521">+_xlfn.SWITCH(MONTH(C2521),1,1,2,1,3,1,4,2,5,2,6,3,7,3,8,3,9,3,10,2,11,2,12,1,2)</f>
        <v>1</v>
      </c>
      <c r="P2521" s="43"/>
    </row>
    <row r="2522" spans="1:16" ht="18" x14ac:dyDescent="0.35">
      <c r="A2522" s="43"/>
      <c r="C2522" s="393"/>
      <c r="E2522" s="394"/>
      <c r="F2522" s="394">
        <v>0</v>
      </c>
      <c r="G2522" s="394"/>
      <c r="H2522" s="8" t="s">
        <v>61</v>
      </c>
      <c r="I2522" s="368">
        <f t="shared" si="118"/>
        <v>0</v>
      </c>
      <c r="J2522" s="365">
        <f t="shared" si="117"/>
        <v>0</v>
      </c>
      <c r="K2522" s="369">
        <f t="shared" si="119"/>
        <v>6</v>
      </c>
      <c r="L2522" s="369">
        <f>+IF((C2522&gt;='Resultats - informe'!$E$16)*(C2522&lt;='Resultats - informe'!$G$16),1,0)</f>
        <v>1</v>
      </c>
      <c r="M2522" s="369" cm="1">
        <f t="array" ref="M2522">+_xlfn.IFS((C2522&gt;='Resultats - informe'!$D$26)*(C2522&lt;='Resultats - informe'!$E$26),0,(C2522&gt;='Resultats - informe'!$D$27)*(C2522&lt;='Resultats - informe'!$E$27),0,(C2522&gt;='Resultats - informe'!$D$28)*(C2522&lt;='Resultats - informe'!$E$28),0,(C2522&gt;='Resultats - informe'!$D$29)*(C2522&lt;='Resultats - informe'!$E$29),0,1,1)</f>
        <v>0</v>
      </c>
      <c r="N2522" s="366">
        <f>+VLOOKUP(D2522,'Resultats - informe'!$Y$18:$AG$42,'Introducció dades consum'!K2522+1,0)</f>
        <v>0</v>
      </c>
      <c r="O2522" s="370" cm="1">
        <f t="array" ref="O2522">+_xlfn.SWITCH(MONTH(C2522),1,1,2,1,3,1,4,2,5,2,6,3,7,3,8,3,9,3,10,2,11,2,12,1,2)</f>
        <v>1</v>
      </c>
      <c r="P2522" s="43"/>
    </row>
    <row r="2523" spans="1:16" ht="18" x14ac:dyDescent="0.35">
      <c r="A2523" s="43"/>
      <c r="C2523" s="393"/>
      <c r="E2523" s="394"/>
      <c r="F2523" s="394">
        <v>0</v>
      </c>
      <c r="G2523" s="394"/>
      <c r="H2523" s="8" t="s">
        <v>235</v>
      </c>
      <c r="I2523" s="368">
        <f t="shared" si="118"/>
        <v>0</v>
      </c>
      <c r="J2523" s="365">
        <f t="shared" si="117"/>
        <v>0</v>
      </c>
      <c r="K2523" s="369">
        <f t="shared" si="119"/>
        <v>6</v>
      </c>
      <c r="L2523" s="369">
        <f>+IF((C2523&gt;='Resultats - informe'!$E$16)*(C2523&lt;='Resultats - informe'!$G$16),1,0)</f>
        <v>1</v>
      </c>
      <c r="M2523" s="369" cm="1">
        <f t="array" ref="M2523">+_xlfn.IFS((C2523&gt;='Resultats - informe'!$D$26)*(C2523&lt;='Resultats - informe'!$E$26),0,(C2523&gt;='Resultats - informe'!$D$27)*(C2523&lt;='Resultats - informe'!$E$27),0,(C2523&gt;='Resultats - informe'!$D$28)*(C2523&lt;='Resultats - informe'!$E$28),0,(C2523&gt;='Resultats - informe'!$D$29)*(C2523&lt;='Resultats - informe'!$E$29),0,1,1)</f>
        <v>0</v>
      </c>
      <c r="N2523" s="366">
        <f>+VLOOKUP(D2523,'Resultats - informe'!$Y$18:$AG$42,'Introducció dades consum'!K2523+1,0)</f>
        <v>0</v>
      </c>
      <c r="O2523" s="370" cm="1">
        <f t="array" ref="O2523">+_xlfn.SWITCH(MONTH(C2523),1,1,2,1,3,1,4,2,5,2,6,3,7,3,8,3,9,3,10,2,11,2,12,1,2)</f>
        <v>1</v>
      </c>
      <c r="P2523" s="43"/>
    </row>
    <row r="2524" spans="1:16" ht="18" x14ac:dyDescent="0.35">
      <c r="A2524" s="43"/>
      <c r="C2524" s="393"/>
      <c r="E2524" s="394"/>
      <c r="F2524" s="394">
        <v>0</v>
      </c>
      <c r="G2524" s="394"/>
      <c r="H2524" s="8" t="s">
        <v>235</v>
      </c>
      <c r="I2524" s="368">
        <f t="shared" si="118"/>
        <v>0</v>
      </c>
      <c r="J2524" s="365">
        <f t="shared" si="117"/>
        <v>0</v>
      </c>
      <c r="K2524" s="369">
        <f t="shared" si="119"/>
        <v>6</v>
      </c>
      <c r="L2524" s="369">
        <f>+IF((C2524&gt;='Resultats - informe'!$E$16)*(C2524&lt;='Resultats - informe'!$G$16),1,0)</f>
        <v>1</v>
      </c>
      <c r="M2524" s="369" cm="1">
        <f t="array" ref="M2524">+_xlfn.IFS((C2524&gt;='Resultats - informe'!$D$26)*(C2524&lt;='Resultats - informe'!$E$26),0,(C2524&gt;='Resultats - informe'!$D$27)*(C2524&lt;='Resultats - informe'!$E$27),0,(C2524&gt;='Resultats - informe'!$D$28)*(C2524&lt;='Resultats - informe'!$E$28),0,(C2524&gt;='Resultats - informe'!$D$29)*(C2524&lt;='Resultats - informe'!$E$29),0,1,1)</f>
        <v>0</v>
      </c>
      <c r="N2524" s="366">
        <f>+VLOOKUP(D2524,'Resultats - informe'!$Y$18:$AG$42,'Introducció dades consum'!K2524+1,0)</f>
        <v>0</v>
      </c>
      <c r="O2524" s="370" cm="1">
        <f t="array" ref="O2524">+_xlfn.SWITCH(MONTH(C2524),1,1,2,1,3,1,4,2,5,2,6,3,7,3,8,3,9,3,10,2,11,2,12,1,2)</f>
        <v>1</v>
      </c>
      <c r="P2524" s="43"/>
    </row>
    <row r="2525" spans="1:16" ht="18" x14ac:dyDescent="0.35">
      <c r="A2525" s="43"/>
      <c r="C2525" s="393"/>
      <c r="E2525" s="394"/>
      <c r="F2525" s="394">
        <v>0</v>
      </c>
      <c r="G2525" s="394"/>
      <c r="H2525" s="8" t="s">
        <v>61</v>
      </c>
      <c r="I2525" s="368">
        <f t="shared" si="118"/>
        <v>0</v>
      </c>
      <c r="J2525" s="365">
        <f t="shared" si="117"/>
        <v>0</v>
      </c>
      <c r="K2525" s="369">
        <f t="shared" si="119"/>
        <v>6</v>
      </c>
      <c r="L2525" s="369">
        <f>+IF((C2525&gt;='Resultats - informe'!$E$16)*(C2525&lt;='Resultats - informe'!$G$16),1,0)</f>
        <v>1</v>
      </c>
      <c r="M2525" s="369" cm="1">
        <f t="array" ref="M2525">+_xlfn.IFS((C2525&gt;='Resultats - informe'!$D$26)*(C2525&lt;='Resultats - informe'!$E$26),0,(C2525&gt;='Resultats - informe'!$D$27)*(C2525&lt;='Resultats - informe'!$E$27),0,(C2525&gt;='Resultats - informe'!$D$28)*(C2525&lt;='Resultats - informe'!$E$28),0,(C2525&gt;='Resultats - informe'!$D$29)*(C2525&lt;='Resultats - informe'!$E$29),0,1,1)</f>
        <v>0</v>
      </c>
      <c r="N2525" s="366">
        <f>+VLOOKUP(D2525,'Resultats - informe'!$Y$18:$AG$42,'Introducció dades consum'!K2525+1,0)</f>
        <v>0</v>
      </c>
      <c r="O2525" s="370" cm="1">
        <f t="array" ref="O2525">+_xlfn.SWITCH(MONTH(C2525),1,1,2,1,3,1,4,2,5,2,6,3,7,3,8,3,9,3,10,2,11,2,12,1,2)</f>
        <v>1</v>
      </c>
      <c r="P2525" s="43"/>
    </row>
    <row r="2526" spans="1:16" ht="18" x14ac:dyDescent="0.35">
      <c r="A2526" s="43"/>
      <c r="C2526" s="393"/>
      <c r="E2526" s="394"/>
      <c r="F2526" s="394">
        <v>0</v>
      </c>
      <c r="G2526" s="394"/>
      <c r="H2526" s="8" t="s">
        <v>235</v>
      </c>
      <c r="I2526" s="368">
        <f t="shared" si="118"/>
        <v>0</v>
      </c>
      <c r="J2526" s="365">
        <f t="shared" si="117"/>
        <v>0</v>
      </c>
      <c r="K2526" s="369">
        <f t="shared" si="119"/>
        <v>6</v>
      </c>
      <c r="L2526" s="369">
        <f>+IF((C2526&gt;='Resultats - informe'!$E$16)*(C2526&lt;='Resultats - informe'!$G$16),1,0)</f>
        <v>1</v>
      </c>
      <c r="M2526" s="369" cm="1">
        <f t="array" ref="M2526">+_xlfn.IFS((C2526&gt;='Resultats - informe'!$D$26)*(C2526&lt;='Resultats - informe'!$E$26),0,(C2526&gt;='Resultats - informe'!$D$27)*(C2526&lt;='Resultats - informe'!$E$27),0,(C2526&gt;='Resultats - informe'!$D$28)*(C2526&lt;='Resultats - informe'!$E$28),0,(C2526&gt;='Resultats - informe'!$D$29)*(C2526&lt;='Resultats - informe'!$E$29),0,1,1)</f>
        <v>0</v>
      </c>
      <c r="N2526" s="366">
        <f>+VLOOKUP(D2526,'Resultats - informe'!$Y$18:$AG$42,'Introducció dades consum'!K2526+1,0)</f>
        <v>0</v>
      </c>
      <c r="O2526" s="370" cm="1">
        <f t="array" ref="O2526">+_xlfn.SWITCH(MONTH(C2526),1,1,2,1,3,1,4,2,5,2,6,3,7,3,8,3,9,3,10,2,11,2,12,1,2)</f>
        <v>1</v>
      </c>
      <c r="P2526" s="43"/>
    </row>
    <row r="2527" spans="1:16" ht="18" x14ac:dyDescent="0.35">
      <c r="A2527" s="43"/>
      <c r="C2527" s="393"/>
      <c r="E2527" s="394"/>
      <c r="F2527" s="394">
        <v>0</v>
      </c>
      <c r="G2527" s="394"/>
      <c r="H2527" s="8" t="s">
        <v>235</v>
      </c>
      <c r="I2527" s="368">
        <f t="shared" si="118"/>
        <v>0</v>
      </c>
      <c r="J2527" s="365">
        <f t="shared" si="117"/>
        <v>0</v>
      </c>
      <c r="K2527" s="369">
        <f t="shared" si="119"/>
        <v>6</v>
      </c>
      <c r="L2527" s="369">
        <f>+IF((C2527&gt;='Resultats - informe'!$E$16)*(C2527&lt;='Resultats - informe'!$G$16),1,0)</f>
        <v>1</v>
      </c>
      <c r="M2527" s="369" cm="1">
        <f t="array" ref="M2527">+_xlfn.IFS((C2527&gt;='Resultats - informe'!$D$26)*(C2527&lt;='Resultats - informe'!$E$26),0,(C2527&gt;='Resultats - informe'!$D$27)*(C2527&lt;='Resultats - informe'!$E$27),0,(C2527&gt;='Resultats - informe'!$D$28)*(C2527&lt;='Resultats - informe'!$E$28),0,(C2527&gt;='Resultats - informe'!$D$29)*(C2527&lt;='Resultats - informe'!$E$29),0,1,1)</f>
        <v>0</v>
      </c>
      <c r="N2527" s="366">
        <f>+VLOOKUP(D2527,'Resultats - informe'!$Y$18:$AG$42,'Introducció dades consum'!K2527+1,0)</f>
        <v>0</v>
      </c>
      <c r="O2527" s="370" cm="1">
        <f t="array" ref="O2527">+_xlfn.SWITCH(MONTH(C2527),1,1,2,1,3,1,4,2,5,2,6,3,7,3,8,3,9,3,10,2,11,2,12,1,2)</f>
        <v>1</v>
      </c>
      <c r="P2527" s="43"/>
    </row>
    <row r="2528" spans="1:16" ht="18" x14ac:dyDescent="0.35">
      <c r="A2528" s="43"/>
      <c r="C2528" s="393"/>
      <c r="E2528" s="394"/>
      <c r="F2528" s="394">
        <v>0</v>
      </c>
      <c r="G2528" s="394"/>
      <c r="H2528" s="8" t="s">
        <v>235</v>
      </c>
      <c r="I2528" s="368">
        <f t="shared" si="118"/>
        <v>0</v>
      </c>
      <c r="J2528" s="365">
        <f t="shared" si="117"/>
        <v>0</v>
      </c>
      <c r="K2528" s="369">
        <f t="shared" si="119"/>
        <v>6</v>
      </c>
      <c r="L2528" s="369">
        <f>+IF((C2528&gt;='Resultats - informe'!$E$16)*(C2528&lt;='Resultats - informe'!$G$16),1,0)</f>
        <v>1</v>
      </c>
      <c r="M2528" s="369" cm="1">
        <f t="array" ref="M2528">+_xlfn.IFS((C2528&gt;='Resultats - informe'!$D$26)*(C2528&lt;='Resultats - informe'!$E$26),0,(C2528&gt;='Resultats - informe'!$D$27)*(C2528&lt;='Resultats - informe'!$E$27),0,(C2528&gt;='Resultats - informe'!$D$28)*(C2528&lt;='Resultats - informe'!$E$28),0,(C2528&gt;='Resultats - informe'!$D$29)*(C2528&lt;='Resultats - informe'!$E$29),0,1,1)</f>
        <v>0</v>
      </c>
      <c r="N2528" s="366">
        <f>+VLOOKUP(D2528,'Resultats - informe'!$Y$18:$AG$42,'Introducció dades consum'!K2528+1,0)</f>
        <v>0</v>
      </c>
      <c r="O2528" s="370" cm="1">
        <f t="array" ref="O2528">+_xlfn.SWITCH(MONTH(C2528),1,1,2,1,3,1,4,2,5,2,6,3,7,3,8,3,9,3,10,2,11,2,12,1,2)</f>
        <v>1</v>
      </c>
      <c r="P2528" s="43"/>
    </row>
    <row r="2529" spans="1:16" ht="18" x14ac:dyDescent="0.35">
      <c r="A2529" s="43"/>
      <c r="C2529" s="393"/>
      <c r="E2529" s="394"/>
      <c r="F2529" s="394">
        <v>0</v>
      </c>
      <c r="G2529" s="394"/>
      <c r="H2529" s="8" t="s">
        <v>235</v>
      </c>
      <c r="I2529" s="368">
        <f t="shared" si="118"/>
        <v>0</v>
      </c>
      <c r="J2529" s="365">
        <f t="shared" si="117"/>
        <v>0</v>
      </c>
      <c r="K2529" s="369">
        <f t="shared" si="119"/>
        <v>6</v>
      </c>
      <c r="L2529" s="369">
        <f>+IF((C2529&gt;='Resultats - informe'!$E$16)*(C2529&lt;='Resultats - informe'!$G$16),1,0)</f>
        <v>1</v>
      </c>
      <c r="M2529" s="369" cm="1">
        <f t="array" ref="M2529">+_xlfn.IFS((C2529&gt;='Resultats - informe'!$D$26)*(C2529&lt;='Resultats - informe'!$E$26),0,(C2529&gt;='Resultats - informe'!$D$27)*(C2529&lt;='Resultats - informe'!$E$27),0,(C2529&gt;='Resultats - informe'!$D$28)*(C2529&lt;='Resultats - informe'!$E$28),0,(C2529&gt;='Resultats - informe'!$D$29)*(C2529&lt;='Resultats - informe'!$E$29),0,1,1)</f>
        <v>0</v>
      </c>
      <c r="N2529" s="366">
        <f>+VLOOKUP(D2529,'Resultats - informe'!$Y$18:$AG$42,'Introducció dades consum'!K2529+1,0)</f>
        <v>0</v>
      </c>
      <c r="O2529" s="370" cm="1">
        <f t="array" ref="O2529">+_xlfn.SWITCH(MONTH(C2529),1,1,2,1,3,1,4,2,5,2,6,3,7,3,8,3,9,3,10,2,11,2,12,1,2)</f>
        <v>1</v>
      </c>
      <c r="P2529" s="43"/>
    </row>
    <row r="2530" spans="1:16" ht="18" x14ac:dyDescent="0.35">
      <c r="A2530" s="43"/>
      <c r="C2530" s="393"/>
      <c r="E2530" s="394"/>
      <c r="F2530" s="394">
        <v>0</v>
      </c>
      <c r="G2530" s="394"/>
      <c r="H2530" s="8" t="s">
        <v>61</v>
      </c>
      <c r="I2530" s="368">
        <f t="shared" si="118"/>
        <v>0</v>
      </c>
      <c r="J2530" s="365">
        <f t="shared" si="117"/>
        <v>0</v>
      </c>
      <c r="K2530" s="369">
        <f t="shared" si="119"/>
        <v>6</v>
      </c>
      <c r="L2530" s="369">
        <f>+IF((C2530&gt;='Resultats - informe'!$E$16)*(C2530&lt;='Resultats - informe'!$G$16),1,0)</f>
        <v>1</v>
      </c>
      <c r="M2530" s="369" cm="1">
        <f t="array" ref="M2530">+_xlfn.IFS((C2530&gt;='Resultats - informe'!$D$26)*(C2530&lt;='Resultats - informe'!$E$26),0,(C2530&gt;='Resultats - informe'!$D$27)*(C2530&lt;='Resultats - informe'!$E$27),0,(C2530&gt;='Resultats - informe'!$D$28)*(C2530&lt;='Resultats - informe'!$E$28),0,(C2530&gt;='Resultats - informe'!$D$29)*(C2530&lt;='Resultats - informe'!$E$29),0,1,1)</f>
        <v>0</v>
      </c>
      <c r="N2530" s="366">
        <f>+VLOOKUP(D2530,'Resultats - informe'!$Y$18:$AG$42,'Introducció dades consum'!K2530+1,0)</f>
        <v>0</v>
      </c>
      <c r="O2530" s="370" cm="1">
        <f t="array" ref="O2530">+_xlfn.SWITCH(MONTH(C2530),1,1,2,1,3,1,4,2,5,2,6,3,7,3,8,3,9,3,10,2,11,2,12,1,2)</f>
        <v>1</v>
      </c>
      <c r="P2530" s="43"/>
    </row>
    <row r="2531" spans="1:16" ht="18" x14ac:dyDescent="0.35">
      <c r="A2531" s="43"/>
      <c r="C2531" s="393"/>
      <c r="E2531" s="394"/>
      <c r="F2531" s="394">
        <v>0</v>
      </c>
      <c r="G2531" s="394"/>
      <c r="H2531" s="8" t="s">
        <v>61</v>
      </c>
      <c r="I2531" s="368">
        <f t="shared" si="118"/>
        <v>0</v>
      </c>
      <c r="J2531" s="365">
        <f t="shared" si="117"/>
        <v>0</v>
      </c>
      <c r="K2531" s="369">
        <f t="shared" si="119"/>
        <v>6</v>
      </c>
      <c r="L2531" s="369">
        <f>+IF((C2531&gt;='Resultats - informe'!$E$16)*(C2531&lt;='Resultats - informe'!$G$16),1,0)</f>
        <v>1</v>
      </c>
      <c r="M2531" s="369" cm="1">
        <f t="array" ref="M2531">+_xlfn.IFS((C2531&gt;='Resultats - informe'!$D$26)*(C2531&lt;='Resultats - informe'!$E$26),0,(C2531&gt;='Resultats - informe'!$D$27)*(C2531&lt;='Resultats - informe'!$E$27),0,(C2531&gt;='Resultats - informe'!$D$28)*(C2531&lt;='Resultats - informe'!$E$28),0,(C2531&gt;='Resultats - informe'!$D$29)*(C2531&lt;='Resultats - informe'!$E$29),0,1,1)</f>
        <v>0</v>
      </c>
      <c r="N2531" s="366">
        <f>+VLOOKUP(D2531,'Resultats - informe'!$Y$18:$AG$42,'Introducció dades consum'!K2531+1,0)</f>
        <v>0</v>
      </c>
      <c r="O2531" s="370" cm="1">
        <f t="array" ref="O2531">+_xlfn.SWITCH(MONTH(C2531),1,1,2,1,3,1,4,2,5,2,6,3,7,3,8,3,9,3,10,2,11,2,12,1,2)</f>
        <v>1</v>
      </c>
      <c r="P2531" s="43"/>
    </row>
    <row r="2532" spans="1:16" ht="18" x14ac:dyDescent="0.35">
      <c r="A2532" s="43"/>
      <c r="C2532" s="393"/>
      <c r="E2532" s="394"/>
      <c r="F2532" s="394">
        <v>0</v>
      </c>
      <c r="G2532" s="394"/>
      <c r="H2532" s="8" t="s">
        <v>61</v>
      </c>
      <c r="I2532" s="368">
        <f t="shared" si="118"/>
        <v>0</v>
      </c>
      <c r="J2532" s="365">
        <f t="shared" si="117"/>
        <v>0</v>
      </c>
      <c r="K2532" s="369">
        <f t="shared" si="119"/>
        <v>6</v>
      </c>
      <c r="L2532" s="369">
        <f>+IF((C2532&gt;='Resultats - informe'!$E$16)*(C2532&lt;='Resultats - informe'!$G$16),1,0)</f>
        <v>1</v>
      </c>
      <c r="M2532" s="369" cm="1">
        <f t="array" ref="M2532">+_xlfn.IFS((C2532&gt;='Resultats - informe'!$D$26)*(C2532&lt;='Resultats - informe'!$E$26),0,(C2532&gt;='Resultats - informe'!$D$27)*(C2532&lt;='Resultats - informe'!$E$27),0,(C2532&gt;='Resultats - informe'!$D$28)*(C2532&lt;='Resultats - informe'!$E$28),0,(C2532&gt;='Resultats - informe'!$D$29)*(C2532&lt;='Resultats - informe'!$E$29),0,1,1)</f>
        <v>0</v>
      </c>
      <c r="N2532" s="366">
        <f>+VLOOKUP(D2532,'Resultats - informe'!$Y$18:$AG$42,'Introducció dades consum'!K2532+1,0)</f>
        <v>0</v>
      </c>
      <c r="O2532" s="370" cm="1">
        <f t="array" ref="O2532">+_xlfn.SWITCH(MONTH(C2532),1,1,2,1,3,1,4,2,5,2,6,3,7,3,8,3,9,3,10,2,11,2,12,1,2)</f>
        <v>1</v>
      </c>
      <c r="P2532" s="43"/>
    </row>
    <row r="2533" spans="1:16" ht="18" x14ac:dyDescent="0.35">
      <c r="A2533" s="43"/>
      <c r="C2533" s="393"/>
      <c r="E2533" s="394"/>
      <c r="F2533" s="394">
        <v>0</v>
      </c>
      <c r="G2533" s="394"/>
      <c r="H2533" s="8" t="s">
        <v>61</v>
      </c>
      <c r="I2533" s="368">
        <f t="shared" si="118"/>
        <v>0</v>
      </c>
      <c r="J2533" s="365">
        <f t="shared" si="117"/>
        <v>0</v>
      </c>
      <c r="K2533" s="369">
        <f t="shared" si="119"/>
        <v>6</v>
      </c>
      <c r="L2533" s="369">
        <f>+IF((C2533&gt;='Resultats - informe'!$E$16)*(C2533&lt;='Resultats - informe'!$G$16),1,0)</f>
        <v>1</v>
      </c>
      <c r="M2533" s="369" cm="1">
        <f t="array" ref="M2533">+_xlfn.IFS((C2533&gt;='Resultats - informe'!$D$26)*(C2533&lt;='Resultats - informe'!$E$26),0,(C2533&gt;='Resultats - informe'!$D$27)*(C2533&lt;='Resultats - informe'!$E$27),0,(C2533&gt;='Resultats - informe'!$D$28)*(C2533&lt;='Resultats - informe'!$E$28),0,(C2533&gt;='Resultats - informe'!$D$29)*(C2533&lt;='Resultats - informe'!$E$29),0,1,1)</f>
        <v>0</v>
      </c>
      <c r="N2533" s="366">
        <f>+VLOOKUP(D2533,'Resultats - informe'!$Y$18:$AG$42,'Introducció dades consum'!K2533+1,0)</f>
        <v>0</v>
      </c>
      <c r="O2533" s="370" cm="1">
        <f t="array" ref="O2533">+_xlfn.SWITCH(MONTH(C2533),1,1,2,1,3,1,4,2,5,2,6,3,7,3,8,3,9,3,10,2,11,2,12,1,2)</f>
        <v>1</v>
      </c>
      <c r="P2533" s="43"/>
    </row>
    <row r="2534" spans="1:16" ht="18" x14ac:dyDescent="0.35">
      <c r="A2534" s="43"/>
      <c r="C2534" s="393"/>
      <c r="E2534" s="394"/>
      <c r="F2534" s="394">
        <v>0</v>
      </c>
      <c r="G2534" s="394"/>
      <c r="H2534" s="8" t="s">
        <v>61</v>
      </c>
      <c r="I2534" s="368">
        <f t="shared" si="118"/>
        <v>0</v>
      </c>
      <c r="J2534" s="365">
        <f t="shared" si="117"/>
        <v>0</v>
      </c>
      <c r="K2534" s="369">
        <f t="shared" si="119"/>
        <v>6</v>
      </c>
      <c r="L2534" s="369">
        <f>+IF((C2534&gt;='Resultats - informe'!$E$16)*(C2534&lt;='Resultats - informe'!$G$16),1,0)</f>
        <v>1</v>
      </c>
      <c r="M2534" s="369" cm="1">
        <f t="array" ref="M2534">+_xlfn.IFS((C2534&gt;='Resultats - informe'!$D$26)*(C2534&lt;='Resultats - informe'!$E$26),0,(C2534&gt;='Resultats - informe'!$D$27)*(C2534&lt;='Resultats - informe'!$E$27),0,(C2534&gt;='Resultats - informe'!$D$28)*(C2534&lt;='Resultats - informe'!$E$28),0,(C2534&gt;='Resultats - informe'!$D$29)*(C2534&lt;='Resultats - informe'!$E$29),0,1,1)</f>
        <v>0</v>
      </c>
      <c r="N2534" s="366">
        <f>+VLOOKUP(D2534,'Resultats - informe'!$Y$18:$AG$42,'Introducció dades consum'!K2534+1,0)</f>
        <v>0</v>
      </c>
      <c r="O2534" s="370" cm="1">
        <f t="array" ref="O2534">+_xlfn.SWITCH(MONTH(C2534),1,1,2,1,3,1,4,2,5,2,6,3,7,3,8,3,9,3,10,2,11,2,12,1,2)</f>
        <v>1</v>
      </c>
      <c r="P2534" s="43"/>
    </row>
    <row r="2535" spans="1:16" ht="18" x14ac:dyDescent="0.35">
      <c r="A2535" s="43"/>
      <c r="C2535" s="393"/>
      <c r="E2535" s="394"/>
      <c r="F2535" s="394">
        <v>0.78700000000000003</v>
      </c>
      <c r="G2535" s="394"/>
      <c r="H2535" s="8" t="s">
        <v>61</v>
      </c>
      <c r="I2535" s="368">
        <f t="shared" si="118"/>
        <v>0</v>
      </c>
      <c r="J2535" s="365">
        <f t="shared" si="117"/>
        <v>0</v>
      </c>
      <c r="K2535" s="369">
        <f t="shared" si="119"/>
        <v>6</v>
      </c>
      <c r="L2535" s="369">
        <f>+IF((C2535&gt;='Resultats - informe'!$E$16)*(C2535&lt;='Resultats - informe'!$G$16),1,0)</f>
        <v>1</v>
      </c>
      <c r="M2535" s="369" cm="1">
        <f t="array" ref="M2535">+_xlfn.IFS((C2535&gt;='Resultats - informe'!$D$26)*(C2535&lt;='Resultats - informe'!$E$26),0,(C2535&gt;='Resultats - informe'!$D$27)*(C2535&lt;='Resultats - informe'!$E$27),0,(C2535&gt;='Resultats - informe'!$D$28)*(C2535&lt;='Resultats - informe'!$E$28),0,(C2535&gt;='Resultats - informe'!$D$29)*(C2535&lt;='Resultats - informe'!$E$29),0,1,1)</f>
        <v>0</v>
      </c>
      <c r="N2535" s="366">
        <f>+VLOOKUP(D2535,'Resultats - informe'!$Y$18:$AG$42,'Introducció dades consum'!K2535+1,0)</f>
        <v>0</v>
      </c>
      <c r="O2535" s="370" cm="1">
        <f t="array" ref="O2535">+_xlfn.SWITCH(MONTH(C2535),1,1,2,1,3,1,4,2,5,2,6,3,7,3,8,3,9,3,10,2,11,2,12,1,2)</f>
        <v>1</v>
      </c>
      <c r="P2535" s="43"/>
    </row>
    <row r="2536" spans="1:16" ht="18" x14ac:dyDescent="0.35">
      <c r="A2536" s="43"/>
      <c r="C2536" s="393"/>
      <c r="E2536" s="394"/>
      <c r="F2536" s="394">
        <v>1.851</v>
      </c>
      <c r="G2536" s="394"/>
      <c r="H2536" s="8" t="s">
        <v>61</v>
      </c>
      <c r="I2536" s="368">
        <f t="shared" si="118"/>
        <v>0</v>
      </c>
      <c r="J2536" s="365">
        <f t="shared" si="117"/>
        <v>0</v>
      </c>
      <c r="K2536" s="369">
        <f t="shared" si="119"/>
        <v>6</v>
      </c>
      <c r="L2536" s="369">
        <f>+IF((C2536&gt;='Resultats - informe'!$E$16)*(C2536&lt;='Resultats - informe'!$G$16),1,0)</f>
        <v>1</v>
      </c>
      <c r="M2536" s="369" cm="1">
        <f t="array" ref="M2536">+_xlfn.IFS((C2536&gt;='Resultats - informe'!$D$26)*(C2536&lt;='Resultats - informe'!$E$26),0,(C2536&gt;='Resultats - informe'!$D$27)*(C2536&lt;='Resultats - informe'!$E$27),0,(C2536&gt;='Resultats - informe'!$D$28)*(C2536&lt;='Resultats - informe'!$E$28),0,(C2536&gt;='Resultats - informe'!$D$29)*(C2536&lt;='Resultats - informe'!$E$29),0,1,1)</f>
        <v>0</v>
      </c>
      <c r="N2536" s="366">
        <f>+VLOOKUP(D2536,'Resultats - informe'!$Y$18:$AG$42,'Introducció dades consum'!K2536+1,0)</f>
        <v>0</v>
      </c>
      <c r="O2536" s="370" cm="1">
        <f t="array" ref="O2536">+_xlfn.SWITCH(MONTH(C2536),1,1,2,1,3,1,4,2,5,2,6,3,7,3,8,3,9,3,10,2,11,2,12,1,2)</f>
        <v>1</v>
      </c>
      <c r="P2536" s="43"/>
    </row>
    <row r="2537" spans="1:16" ht="18" x14ac:dyDescent="0.35">
      <c r="A2537" s="43"/>
      <c r="C2537" s="393"/>
      <c r="E2537" s="394"/>
      <c r="F2537" s="394">
        <v>2.0830000000000002</v>
      </c>
      <c r="G2537" s="394"/>
      <c r="H2537" s="8" t="s">
        <v>61</v>
      </c>
      <c r="I2537" s="368">
        <f t="shared" si="118"/>
        <v>0</v>
      </c>
      <c r="J2537" s="365">
        <f t="shared" si="117"/>
        <v>0</v>
      </c>
      <c r="K2537" s="369">
        <f t="shared" si="119"/>
        <v>6</v>
      </c>
      <c r="L2537" s="369">
        <f>+IF((C2537&gt;='Resultats - informe'!$E$16)*(C2537&lt;='Resultats - informe'!$G$16),1,0)</f>
        <v>1</v>
      </c>
      <c r="M2537" s="369" cm="1">
        <f t="array" ref="M2537">+_xlfn.IFS((C2537&gt;='Resultats - informe'!$D$26)*(C2537&lt;='Resultats - informe'!$E$26),0,(C2537&gt;='Resultats - informe'!$D$27)*(C2537&lt;='Resultats - informe'!$E$27),0,(C2537&gt;='Resultats - informe'!$D$28)*(C2537&lt;='Resultats - informe'!$E$28),0,(C2537&gt;='Resultats - informe'!$D$29)*(C2537&lt;='Resultats - informe'!$E$29),0,1,1)</f>
        <v>0</v>
      </c>
      <c r="N2537" s="366">
        <f>+VLOOKUP(D2537,'Resultats - informe'!$Y$18:$AG$42,'Introducció dades consum'!K2537+1,0)</f>
        <v>0</v>
      </c>
      <c r="O2537" s="370" cm="1">
        <f t="array" ref="O2537">+_xlfn.SWITCH(MONTH(C2537),1,1,2,1,3,1,4,2,5,2,6,3,7,3,8,3,9,3,10,2,11,2,12,1,2)</f>
        <v>1</v>
      </c>
      <c r="P2537" s="43"/>
    </row>
    <row r="2538" spans="1:16" ht="18" x14ac:dyDescent="0.35">
      <c r="A2538" s="43"/>
      <c r="C2538" s="393"/>
      <c r="E2538" s="394"/>
      <c r="F2538" s="394">
        <v>1.38</v>
      </c>
      <c r="G2538" s="394"/>
      <c r="H2538" s="8" t="s">
        <v>61</v>
      </c>
      <c r="I2538" s="368">
        <f t="shared" si="118"/>
        <v>0</v>
      </c>
      <c r="J2538" s="365">
        <f t="shared" si="117"/>
        <v>0</v>
      </c>
      <c r="K2538" s="369">
        <f t="shared" si="119"/>
        <v>6</v>
      </c>
      <c r="L2538" s="369">
        <f>+IF((C2538&gt;='Resultats - informe'!$E$16)*(C2538&lt;='Resultats - informe'!$G$16),1,0)</f>
        <v>1</v>
      </c>
      <c r="M2538" s="369" cm="1">
        <f t="array" ref="M2538">+_xlfn.IFS((C2538&gt;='Resultats - informe'!$D$26)*(C2538&lt;='Resultats - informe'!$E$26),0,(C2538&gt;='Resultats - informe'!$D$27)*(C2538&lt;='Resultats - informe'!$E$27),0,(C2538&gt;='Resultats - informe'!$D$28)*(C2538&lt;='Resultats - informe'!$E$28),0,(C2538&gt;='Resultats - informe'!$D$29)*(C2538&lt;='Resultats - informe'!$E$29),0,1,1)</f>
        <v>0</v>
      </c>
      <c r="N2538" s="366">
        <f>+VLOOKUP(D2538,'Resultats - informe'!$Y$18:$AG$42,'Introducció dades consum'!K2538+1,0)</f>
        <v>0</v>
      </c>
      <c r="O2538" s="370" cm="1">
        <f t="array" ref="O2538">+_xlfn.SWITCH(MONTH(C2538),1,1,2,1,3,1,4,2,5,2,6,3,7,3,8,3,9,3,10,2,11,2,12,1,2)</f>
        <v>1</v>
      </c>
      <c r="P2538" s="43"/>
    </row>
    <row r="2539" spans="1:16" ht="18" x14ac:dyDescent="0.35">
      <c r="A2539" s="43"/>
      <c r="C2539" s="393"/>
      <c r="E2539" s="394"/>
      <c r="F2539" s="394">
        <v>4.7699999999999996</v>
      </c>
      <c r="G2539" s="394"/>
      <c r="H2539" s="8" t="s">
        <v>61</v>
      </c>
      <c r="I2539" s="368">
        <f t="shared" si="118"/>
        <v>0</v>
      </c>
      <c r="J2539" s="365">
        <f t="shared" si="117"/>
        <v>0</v>
      </c>
      <c r="K2539" s="369">
        <f t="shared" si="119"/>
        <v>6</v>
      </c>
      <c r="L2539" s="369">
        <f>+IF((C2539&gt;='Resultats - informe'!$E$16)*(C2539&lt;='Resultats - informe'!$G$16),1,0)</f>
        <v>1</v>
      </c>
      <c r="M2539" s="369" cm="1">
        <f t="array" ref="M2539">+_xlfn.IFS((C2539&gt;='Resultats - informe'!$D$26)*(C2539&lt;='Resultats - informe'!$E$26),0,(C2539&gt;='Resultats - informe'!$D$27)*(C2539&lt;='Resultats - informe'!$E$27),0,(C2539&gt;='Resultats - informe'!$D$28)*(C2539&lt;='Resultats - informe'!$E$28),0,(C2539&gt;='Resultats - informe'!$D$29)*(C2539&lt;='Resultats - informe'!$E$29),0,1,1)</f>
        <v>0</v>
      </c>
      <c r="N2539" s="366">
        <f>+VLOOKUP(D2539,'Resultats - informe'!$Y$18:$AG$42,'Introducció dades consum'!K2539+1,0)</f>
        <v>0</v>
      </c>
      <c r="O2539" s="370" cm="1">
        <f t="array" ref="O2539">+_xlfn.SWITCH(MONTH(C2539),1,1,2,1,3,1,4,2,5,2,6,3,7,3,8,3,9,3,10,2,11,2,12,1,2)</f>
        <v>1</v>
      </c>
      <c r="P2539" s="43"/>
    </row>
    <row r="2540" spans="1:16" ht="18" x14ac:dyDescent="0.35">
      <c r="A2540" s="43"/>
      <c r="C2540" s="393"/>
      <c r="E2540" s="394"/>
      <c r="F2540" s="394">
        <v>4.6310000000000002</v>
      </c>
      <c r="G2540" s="394"/>
      <c r="H2540" s="8" t="s">
        <v>61</v>
      </c>
      <c r="I2540" s="368">
        <f t="shared" si="118"/>
        <v>0</v>
      </c>
      <c r="J2540" s="365">
        <f t="shared" si="117"/>
        <v>0</v>
      </c>
      <c r="K2540" s="369">
        <f t="shared" si="119"/>
        <v>6</v>
      </c>
      <c r="L2540" s="369">
        <f>+IF((C2540&gt;='Resultats - informe'!$E$16)*(C2540&lt;='Resultats - informe'!$G$16),1,0)</f>
        <v>1</v>
      </c>
      <c r="M2540" s="369" cm="1">
        <f t="array" ref="M2540">+_xlfn.IFS((C2540&gt;='Resultats - informe'!$D$26)*(C2540&lt;='Resultats - informe'!$E$26),0,(C2540&gt;='Resultats - informe'!$D$27)*(C2540&lt;='Resultats - informe'!$E$27),0,(C2540&gt;='Resultats - informe'!$D$28)*(C2540&lt;='Resultats - informe'!$E$28),0,(C2540&gt;='Resultats - informe'!$D$29)*(C2540&lt;='Resultats - informe'!$E$29),0,1,1)</f>
        <v>0</v>
      </c>
      <c r="N2540" s="366">
        <f>+VLOOKUP(D2540,'Resultats - informe'!$Y$18:$AG$42,'Introducció dades consum'!K2540+1,0)</f>
        <v>0</v>
      </c>
      <c r="O2540" s="370" cm="1">
        <f t="array" ref="O2540">+_xlfn.SWITCH(MONTH(C2540),1,1,2,1,3,1,4,2,5,2,6,3,7,3,8,3,9,3,10,2,11,2,12,1,2)</f>
        <v>1</v>
      </c>
      <c r="P2540" s="43"/>
    </row>
    <row r="2541" spans="1:16" ht="18" x14ac:dyDescent="0.35">
      <c r="A2541" s="43"/>
      <c r="C2541" s="393"/>
      <c r="E2541" s="394"/>
      <c r="F2541" s="394">
        <v>0</v>
      </c>
      <c r="G2541" s="394"/>
      <c r="H2541" s="8" t="s">
        <v>235</v>
      </c>
      <c r="I2541" s="368">
        <f t="shared" si="118"/>
        <v>0</v>
      </c>
      <c r="J2541" s="365">
        <f t="shared" si="117"/>
        <v>0</v>
      </c>
      <c r="K2541" s="369">
        <f t="shared" si="119"/>
        <v>6</v>
      </c>
      <c r="L2541" s="369">
        <f>+IF((C2541&gt;='Resultats - informe'!$E$16)*(C2541&lt;='Resultats - informe'!$G$16),1,0)</f>
        <v>1</v>
      </c>
      <c r="M2541" s="369" cm="1">
        <f t="array" ref="M2541">+_xlfn.IFS((C2541&gt;='Resultats - informe'!$D$26)*(C2541&lt;='Resultats - informe'!$E$26),0,(C2541&gt;='Resultats - informe'!$D$27)*(C2541&lt;='Resultats - informe'!$E$27),0,(C2541&gt;='Resultats - informe'!$D$28)*(C2541&lt;='Resultats - informe'!$E$28),0,(C2541&gt;='Resultats - informe'!$D$29)*(C2541&lt;='Resultats - informe'!$E$29),0,1,1)</f>
        <v>0</v>
      </c>
      <c r="N2541" s="366">
        <f>+VLOOKUP(D2541,'Resultats - informe'!$Y$18:$AG$42,'Introducció dades consum'!K2541+1,0)</f>
        <v>0</v>
      </c>
      <c r="O2541" s="370" cm="1">
        <f t="array" ref="O2541">+_xlfn.SWITCH(MONTH(C2541),1,1,2,1,3,1,4,2,5,2,6,3,7,3,8,3,9,3,10,2,11,2,12,1,2)</f>
        <v>1</v>
      </c>
      <c r="P2541" s="43"/>
    </row>
    <row r="2542" spans="1:16" ht="18" x14ac:dyDescent="0.35">
      <c r="A2542" s="43"/>
      <c r="C2542" s="393"/>
      <c r="E2542" s="394"/>
      <c r="F2542" s="394">
        <v>0</v>
      </c>
      <c r="G2542" s="394"/>
      <c r="H2542" s="8" t="s">
        <v>235</v>
      </c>
      <c r="I2542" s="368">
        <f t="shared" si="118"/>
        <v>0</v>
      </c>
      <c r="J2542" s="365">
        <f t="shared" si="117"/>
        <v>0</v>
      </c>
      <c r="K2542" s="369">
        <f t="shared" si="119"/>
        <v>6</v>
      </c>
      <c r="L2542" s="369">
        <f>+IF((C2542&gt;='Resultats - informe'!$E$16)*(C2542&lt;='Resultats - informe'!$G$16),1,0)</f>
        <v>1</v>
      </c>
      <c r="M2542" s="369" cm="1">
        <f t="array" ref="M2542">+_xlfn.IFS((C2542&gt;='Resultats - informe'!$D$26)*(C2542&lt;='Resultats - informe'!$E$26),0,(C2542&gt;='Resultats - informe'!$D$27)*(C2542&lt;='Resultats - informe'!$E$27),0,(C2542&gt;='Resultats - informe'!$D$28)*(C2542&lt;='Resultats - informe'!$E$28),0,(C2542&gt;='Resultats - informe'!$D$29)*(C2542&lt;='Resultats - informe'!$E$29),0,1,1)</f>
        <v>0</v>
      </c>
      <c r="N2542" s="366">
        <f>+VLOOKUP(D2542,'Resultats - informe'!$Y$18:$AG$42,'Introducció dades consum'!K2542+1,0)</f>
        <v>0</v>
      </c>
      <c r="O2542" s="370" cm="1">
        <f t="array" ref="O2542">+_xlfn.SWITCH(MONTH(C2542),1,1,2,1,3,1,4,2,5,2,6,3,7,3,8,3,9,3,10,2,11,2,12,1,2)</f>
        <v>1</v>
      </c>
      <c r="P2542" s="43"/>
    </row>
    <row r="2543" spans="1:16" ht="18" x14ac:dyDescent="0.35">
      <c r="A2543" s="43"/>
      <c r="C2543" s="393"/>
      <c r="E2543" s="394"/>
      <c r="F2543" s="394">
        <v>0</v>
      </c>
      <c r="G2543" s="394"/>
      <c r="H2543" s="8" t="s">
        <v>235</v>
      </c>
      <c r="I2543" s="368">
        <f t="shared" si="118"/>
        <v>0</v>
      </c>
      <c r="J2543" s="365">
        <f t="shared" si="117"/>
        <v>0</v>
      </c>
      <c r="K2543" s="369">
        <f t="shared" si="119"/>
        <v>6</v>
      </c>
      <c r="L2543" s="369">
        <f>+IF((C2543&gt;='Resultats - informe'!$E$16)*(C2543&lt;='Resultats - informe'!$G$16),1,0)</f>
        <v>1</v>
      </c>
      <c r="M2543" s="369" cm="1">
        <f t="array" ref="M2543">+_xlfn.IFS((C2543&gt;='Resultats - informe'!$D$26)*(C2543&lt;='Resultats - informe'!$E$26),0,(C2543&gt;='Resultats - informe'!$D$27)*(C2543&lt;='Resultats - informe'!$E$27),0,(C2543&gt;='Resultats - informe'!$D$28)*(C2543&lt;='Resultats - informe'!$E$28),0,(C2543&gt;='Resultats - informe'!$D$29)*(C2543&lt;='Resultats - informe'!$E$29),0,1,1)</f>
        <v>0</v>
      </c>
      <c r="N2543" s="366">
        <f>+VLOOKUP(D2543,'Resultats - informe'!$Y$18:$AG$42,'Introducció dades consum'!K2543+1,0)</f>
        <v>0</v>
      </c>
      <c r="O2543" s="370" cm="1">
        <f t="array" ref="O2543">+_xlfn.SWITCH(MONTH(C2543),1,1,2,1,3,1,4,2,5,2,6,3,7,3,8,3,9,3,10,2,11,2,12,1,2)</f>
        <v>1</v>
      </c>
      <c r="P2543" s="43"/>
    </row>
    <row r="2544" spans="1:16" ht="18" x14ac:dyDescent="0.35">
      <c r="A2544" s="43"/>
      <c r="C2544" s="393"/>
      <c r="E2544" s="394"/>
      <c r="F2544" s="394">
        <v>0</v>
      </c>
      <c r="G2544" s="394"/>
      <c r="H2544" s="8" t="s">
        <v>235</v>
      </c>
      <c r="I2544" s="368">
        <f t="shared" si="118"/>
        <v>0</v>
      </c>
      <c r="J2544" s="365">
        <f t="shared" si="117"/>
        <v>0</v>
      </c>
      <c r="K2544" s="369">
        <f t="shared" si="119"/>
        <v>6</v>
      </c>
      <c r="L2544" s="369">
        <f>+IF((C2544&gt;='Resultats - informe'!$E$16)*(C2544&lt;='Resultats - informe'!$G$16),1,0)</f>
        <v>1</v>
      </c>
      <c r="M2544" s="369" cm="1">
        <f t="array" ref="M2544">+_xlfn.IFS((C2544&gt;='Resultats - informe'!$D$26)*(C2544&lt;='Resultats - informe'!$E$26),0,(C2544&gt;='Resultats - informe'!$D$27)*(C2544&lt;='Resultats - informe'!$E$27),0,(C2544&gt;='Resultats - informe'!$D$28)*(C2544&lt;='Resultats - informe'!$E$28),0,(C2544&gt;='Resultats - informe'!$D$29)*(C2544&lt;='Resultats - informe'!$E$29),0,1,1)</f>
        <v>0</v>
      </c>
      <c r="N2544" s="366">
        <f>+VLOOKUP(D2544,'Resultats - informe'!$Y$18:$AG$42,'Introducció dades consum'!K2544+1,0)</f>
        <v>0</v>
      </c>
      <c r="O2544" s="370" cm="1">
        <f t="array" ref="O2544">+_xlfn.SWITCH(MONTH(C2544),1,1,2,1,3,1,4,2,5,2,6,3,7,3,8,3,9,3,10,2,11,2,12,1,2)</f>
        <v>1</v>
      </c>
      <c r="P2544" s="43"/>
    </row>
    <row r="2545" spans="1:16" ht="18" x14ac:dyDescent="0.35">
      <c r="A2545" s="43"/>
      <c r="C2545" s="393"/>
      <c r="E2545" s="394"/>
      <c r="F2545" s="394">
        <v>0</v>
      </c>
      <c r="G2545" s="394"/>
      <c r="H2545" s="8" t="s">
        <v>235</v>
      </c>
      <c r="I2545" s="368">
        <f t="shared" si="118"/>
        <v>0</v>
      </c>
      <c r="J2545" s="365">
        <f t="shared" si="117"/>
        <v>0</v>
      </c>
      <c r="K2545" s="369">
        <f t="shared" si="119"/>
        <v>6</v>
      </c>
      <c r="L2545" s="369">
        <f>+IF((C2545&gt;='Resultats - informe'!$E$16)*(C2545&lt;='Resultats - informe'!$G$16),1,0)</f>
        <v>1</v>
      </c>
      <c r="M2545" s="369" cm="1">
        <f t="array" ref="M2545">+_xlfn.IFS((C2545&gt;='Resultats - informe'!$D$26)*(C2545&lt;='Resultats - informe'!$E$26),0,(C2545&gt;='Resultats - informe'!$D$27)*(C2545&lt;='Resultats - informe'!$E$27),0,(C2545&gt;='Resultats - informe'!$D$28)*(C2545&lt;='Resultats - informe'!$E$28),0,(C2545&gt;='Resultats - informe'!$D$29)*(C2545&lt;='Resultats - informe'!$E$29),0,1,1)</f>
        <v>0</v>
      </c>
      <c r="N2545" s="366">
        <f>+VLOOKUP(D2545,'Resultats - informe'!$Y$18:$AG$42,'Introducció dades consum'!K2545+1,0)</f>
        <v>0</v>
      </c>
      <c r="O2545" s="370" cm="1">
        <f t="array" ref="O2545">+_xlfn.SWITCH(MONTH(C2545),1,1,2,1,3,1,4,2,5,2,6,3,7,3,8,3,9,3,10,2,11,2,12,1,2)</f>
        <v>1</v>
      </c>
      <c r="P2545" s="43"/>
    </row>
    <row r="2546" spans="1:16" ht="18" x14ac:dyDescent="0.35">
      <c r="A2546" s="43"/>
      <c r="C2546" s="393"/>
      <c r="E2546" s="394"/>
      <c r="F2546" s="394">
        <v>0</v>
      </c>
      <c r="G2546" s="394"/>
      <c r="H2546" s="8" t="s">
        <v>61</v>
      </c>
      <c r="I2546" s="368">
        <f t="shared" si="118"/>
        <v>0</v>
      </c>
      <c r="J2546" s="365">
        <f t="shared" si="117"/>
        <v>0</v>
      </c>
      <c r="K2546" s="369">
        <f t="shared" si="119"/>
        <v>6</v>
      </c>
      <c r="L2546" s="369">
        <f>+IF((C2546&gt;='Resultats - informe'!$E$16)*(C2546&lt;='Resultats - informe'!$G$16),1,0)</f>
        <v>1</v>
      </c>
      <c r="M2546" s="369" cm="1">
        <f t="array" ref="M2546">+_xlfn.IFS((C2546&gt;='Resultats - informe'!$D$26)*(C2546&lt;='Resultats - informe'!$E$26),0,(C2546&gt;='Resultats - informe'!$D$27)*(C2546&lt;='Resultats - informe'!$E$27),0,(C2546&gt;='Resultats - informe'!$D$28)*(C2546&lt;='Resultats - informe'!$E$28),0,(C2546&gt;='Resultats - informe'!$D$29)*(C2546&lt;='Resultats - informe'!$E$29),0,1,1)</f>
        <v>0</v>
      </c>
      <c r="N2546" s="366">
        <f>+VLOOKUP(D2546,'Resultats - informe'!$Y$18:$AG$42,'Introducció dades consum'!K2546+1,0)</f>
        <v>0</v>
      </c>
      <c r="O2546" s="370" cm="1">
        <f t="array" ref="O2546">+_xlfn.SWITCH(MONTH(C2546),1,1,2,1,3,1,4,2,5,2,6,3,7,3,8,3,9,3,10,2,11,2,12,1,2)</f>
        <v>1</v>
      </c>
      <c r="P2546" s="43"/>
    </row>
    <row r="2547" spans="1:16" ht="18" x14ac:dyDescent="0.35">
      <c r="A2547" s="43"/>
      <c r="C2547" s="393"/>
      <c r="E2547" s="394"/>
      <c r="F2547" s="394">
        <v>0</v>
      </c>
      <c r="G2547" s="394"/>
      <c r="H2547" s="8" t="s">
        <v>61</v>
      </c>
      <c r="I2547" s="368">
        <f t="shared" si="118"/>
        <v>0</v>
      </c>
      <c r="J2547" s="365">
        <f t="shared" si="117"/>
        <v>0</v>
      </c>
      <c r="K2547" s="369">
        <f t="shared" si="119"/>
        <v>6</v>
      </c>
      <c r="L2547" s="369">
        <f>+IF((C2547&gt;='Resultats - informe'!$E$16)*(C2547&lt;='Resultats - informe'!$G$16),1,0)</f>
        <v>1</v>
      </c>
      <c r="M2547" s="369" cm="1">
        <f t="array" ref="M2547">+_xlfn.IFS((C2547&gt;='Resultats - informe'!$D$26)*(C2547&lt;='Resultats - informe'!$E$26),0,(C2547&gt;='Resultats - informe'!$D$27)*(C2547&lt;='Resultats - informe'!$E$27),0,(C2547&gt;='Resultats - informe'!$D$28)*(C2547&lt;='Resultats - informe'!$E$28),0,(C2547&gt;='Resultats - informe'!$D$29)*(C2547&lt;='Resultats - informe'!$E$29),0,1,1)</f>
        <v>0</v>
      </c>
      <c r="N2547" s="366">
        <f>+VLOOKUP(D2547,'Resultats - informe'!$Y$18:$AG$42,'Introducció dades consum'!K2547+1,0)</f>
        <v>0</v>
      </c>
      <c r="O2547" s="370" cm="1">
        <f t="array" ref="O2547">+_xlfn.SWITCH(MONTH(C2547),1,1,2,1,3,1,4,2,5,2,6,3,7,3,8,3,9,3,10,2,11,2,12,1,2)</f>
        <v>1</v>
      </c>
      <c r="P2547" s="43"/>
    </row>
    <row r="2548" spans="1:16" ht="18" x14ac:dyDescent="0.35">
      <c r="A2548" s="43"/>
      <c r="C2548" s="393"/>
      <c r="E2548" s="394"/>
      <c r="F2548" s="394">
        <v>0</v>
      </c>
      <c r="G2548" s="394"/>
      <c r="H2548" s="8" t="s">
        <v>61</v>
      </c>
      <c r="I2548" s="368">
        <f t="shared" si="118"/>
        <v>0</v>
      </c>
      <c r="J2548" s="365">
        <f t="shared" si="117"/>
        <v>0</v>
      </c>
      <c r="K2548" s="369">
        <f t="shared" si="119"/>
        <v>6</v>
      </c>
      <c r="L2548" s="369">
        <f>+IF((C2548&gt;='Resultats - informe'!$E$16)*(C2548&lt;='Resultats - informe'!$G$16),1,0)</f>
        <v>1</v>
      </c>
      <c r="M2548" s="369" cm="1">
        <f t="array" ref="M2548">+_xlfn.IFS((C2548&gt;='Resultats - informe'!$D$26)*(C2548&lt;='Resultats - informe'!$E$26),0,(C2548&gt;='Resultats - informe'!$D$27)*(C2548&lt;='Resultats - informe'!$E$27),0,(C2548&gt;='Resultats - informe'!$D$28)*(C2548&lt;='Resultats - informe'!$E$28),0,(C2548&gt;='Resultats - informe'!$D$29)*(C2548&lt;='Resultats - informe'!$E$29),0,1,1)</f>
        <v>0</v>
      </c>
      <c r="N2548" s="366">
        <f>+VLOOKUP(D2548,'Resultats - informe'!$Y$18:$AG$42,'Introducció dades consum'!K2548+1,0)</f>
        <v>0</v>
      </c>
      <c r="O2548" s="370" cm="1">
        <f t="array" ref="O2548">+_xlfn.SWITCH(MONTH(C2548),1,1,2,1,3,1,4,2,5,2,6,3,7,3,8,3,9,3,10,2,11,2,12,1,2)</f>
        <v>1</v>
      </c>
      <c r="P2548" s="43"/>
    </row>
    <row r="2549" spans="1:16" ht="18" x14ac:dyDescent="0.35">
      <c r="A2549" s="43"/>
      <c r="C2549" s="393"/>
      <c r="E2549" s="394"/>
      <c r="F2549" s="394">
        <v>0</v>
      </c>
      <c r="G2549" s="394"/>
      <c r="H2549" s="8" t="s">
        <v>61</v>
      </c>
      <c r="I2549" s="368">
        <f t="shared" si="118"/>
        <v>0</v>
      </c>
      <c r="J2549" s="365">
        <f t="shared" si="117"/>
        <v>0</v>
      </c>
      <c r="K2549" s="369">
        <f t="shared" si="119"/>
        <v>6</v>
      </c>
      <c r="L2549" s="369">
        <f>+IF((C2549&gt;='Resultats - informe'!$E$16)*(C2549&lt;='Resultats - informe'!$G$16),1,0)</f>
        <v>1</v>
      </c>
      <c r="M2549" s="369" cm="1">
        <f t="array" ref="M2549">+_xlfn.IFS((C2549&gt;='Resultats - informe'!$D$26)*(C2549&lt;='Resultats - informe'!$E$26),0,(C2549&gt;='Resultats - informe'!$D$27)*(C2549&lt;='Resultats - informe'!$E$27),0,(C2549&gt;='Resultats - informe'!$D$28)*(C2549&lt;='Resultats - informe'!$E$28),0,(C2549&gt;='Resultats - informe'!$D$29)*(C2549&lt;='Resultats - informe'!$E$29),0,1,1)</f>
        <v>0</v>
      </c>
      <c r="N2549" s="366">
        <f>+VLOOKUP(D2549,'Resultats - informe'!$Y$18:$AG$42,'Introducció dades consum'!K2549+1,0)</f>
        <v>0</v>
      </c>
      <c r="O2549" s="370" cm="1">
        <f t="array" ref="O2549">+_xlfn.SWITCH(MONTH(C2549),1,1,2,1,3,1,4,2,5,2,6,3,7,3,8,3,9,3,10,2,11,2,12,1,2)</f>
        <v>1</v>
      </c>
      <c r="P2549" s="43"/>
    </row>
    <row r="2550" spans="1:16" ht="18" x14ac:dyDescent="0.35">
      <c r="A2550" s="43"/>
      <c r="C2550" s="393"/>
      <c r="E2550" s="394"/>
      <c r="F2550" s="394">
        <v>0</v>
      </c>
      <c r="G2550" s="394"/>
      <c r="H2550" s="8" t="s">
        <v>235</v>
      </c>
      <c r="I2550" s="368">
        <f t="shared" si="118"/>
        <v>0</v>
      </c>
      <c r="J2550" s="365">
        <f t="shared" si="117"/>
        <v>0</v>
      </c>
      <c r="K2550" s="369">
        <f t="shared" si="119"/>
        <v>6</v>
      </c>
      <c r="L2550" s="369">
        <f>+IF((C2550&gt;='Resultats - informe'!$E$16)*(C2550&lt;='Resultats - informe'!$G$16),1,0)</f>
        <v>1</v>
      </c>
      <c r="M2550" s="369" cm="1">
        <f t="array" ref="M2550">+_xlfn.IFS((C2550&gt;='Resultats - informe'!$D$26)*(C2550&lt;='Resultats - informe'!$E$26),0,(C2550&gt;='Resultats - informe'!$D$27)*(C2550&lt;='Resultats - informe'!$E$27),0,(C2550&gt;='Resultats - informe'!$D$28)*(C2550&lt;='Resultats - informe'!$E$28),0,(C2550&gt;='Resultats - informe'!$D$29)*(C2550&lt;='Resultats - informe'!$E$29),0,1,1)</f>
        <v>0</v>
      </c>
      <c r="N2550" s="366">
        <f>+VLOOKUP(D2550,'Resultats - informe'!$Y$18:$AG$42,'Introducció dades consum'!K2550+1,0)</f>
        <v>0</v>
      </c>
      <c r="O2550" s="370" cm="1">
        <f t="array" ref="O2550">+_xlfn.SWITCH(MONTH(C2550),1,1,2,1,3,1,4,2,5,2,6,3,7,3,8,3,9,3,10,2,11,2,12,1,2)</f>
        <v>1</v>
      </c>
      <c r="P2550" s="43"/>
    </row>
    <row r="2551" spans="1:16" ht="18" x14ac:dyDescent="0.35">
      <c r="A2551" s="43"/>
      <c r="C2551" s="393"/>
      <c r="E2551" s="394"/>
      <c r="F2551" s="394">
        <v>0</v>
      </c>
      <c r="G2551" s="394"/>
      <c r="H2551" s="8" t="s">
        <v>235</v>
      </c>
      <c r="I2551" s="368">
        <f t="shared" si="118"/>
        <v>0</v>
      </c>
      <c r="J2551" s="365">
        <f t="shared" si="117"/>
        <v>0</v>
      </c>
      <c r="K2551" s="369">
        <f t="shared" si="119"/>
        <v>6</v>
      </c>
      <c r="L2551" s="369">
        <f>+IF((C2551&gt;='Resultats - informe'!$E$16)*(C2551&lt;='Resultats - informe'!$G$16),1,0)</f>
        <v>1</v>
      </c>
      <c r="M2551" s="369" cm="1">
        <f t="array" ref="M2551">+_xlfn.IFS((C2551&gt;='Resultats - informe'!$D$26)*(C2551&lt;='Resultats - informe'!$E$26),0,(C2551&gt;='Resultats - informe'!$D$27)*(C2551&lt;='Resultats - informe'!$E$27),0,(C2551&gt;='Resultats - informe'!$D$28)*(C2551&lt;='Resultats - informe'!$E$28),0,(C2551&gt;='Resultats - informe'!$D$29)*(C2551&lt;='Resultats - informe'!$E$29),0,1,1)</f>
        <v>0</v>
      </c>
      <c r="N2551" s="366">
        <f>+VLOOKUP(D2551,'Resultats - informe'!$Y$18:$AG$42,'Introducció dades consum'!K2551+1,0)</f>
        <v>0</v>
      </c>
      <c r="O2551" s="370" cm="1">
        <f t="array" ref="O2551">+_xlfn.SWITCH(MONTH(C2551),1,1,2,1,3,1,4,2,5,2,6,3,7,3,8,3,9,3,10,2,11,2,12,1,2)</f>
        <v>1</v>
      </c>
      <c r="P2551" s="43"/>
    </row>
    <row r="2552" spans="1:16" ht="18" x14ac:dyDescent="0.35">
      <c r="A2552" s="43"/>
      <c r="C2552" s="393"/>
      <c r="E2552" s="394"/>
      <c r="F2552" s="394">
        <v>0</v>
      </c>
      <c r="G2552" s="394"/>
      <c r="H2552" s="8" t="s">
        <v>61</v>
      </c>
      <c r="I2552" s="368">
        <f t="shared" si="118"/>
        <v>0</v>
      </c>
      <c r="J2552" s="365">
        <f t="shared" si="117"/>
        <v>0</v>
      </c>
      <c r="K2552" s="369">
        <f t="shared" si="119"/>
        <v>6</v>
      </c>
      <c r="L2552" s="369">
        <f>+IF((C2552&gt;='Resultats - informe'!$E$16)*(C2552&lt;='Resultats - informe'!$G$16),1,0)</f>
        <v>1</v>
      </c>
      <c r="M2552" s="369" cm="1">
        <f t="array" ref="M2552">+_xlfn.IFS((C2552&gt;='Resultats - informe'!$D$26)*(C2552&lt;='Resultats - informe'!$E$26),0,(C2552&gt;='Resultats - informe'!$D$27)*(C2552&lt;='Resultats - informe'!$E$27),0,(C2552&gt;='Resultats - informe'!$D$28)*(C2552&lt;='Resultats - informe'!$E$28),0,(C2552&gt;='Resultats - informe'!$D$29)*(C2552&lt;='Resultats - informe'!$E$29),0,1,1)</f>
        <v>0</v>
      </c>
      <c r="N2552" s="366">
        <f>+VLOOKUP(D2552,'Resultats - informe'!$Y$18:$AG$42,'Introducció dades consum'!K2552+1,0)</f>
        <v>0</v>
      </c>
      <c r="O2552" s="370" cm="1">
        <f t="array" ref="O2552">+_xlfn.SWITCH(MONTH(C2552),1,1,2,1,3,1,4,2,5,2,6,3,7,3,8,3,9,3,10,2,11,2,12,1,2)</f>
        <v>1</v>
      </c>
      <c r="P2552" s="43"/>
    </row>
    <row r="2553" spans="1:16" ht="18" x14ac:dyDescent="0.35">
      <c r="A2553" s="43"/>
      <c r="C2553" s="393"/>
      <c r="E2553" s="394"/>
      <c r="F2553" s="394">
        <v>0</v>
      </c>
      <c r="G2553" s="394"/>
      <c r="H2553" s="8" t="s">
        <v>235</v>
      </c>
      <c r="I2553" s="368">
        <f t="shared" si="118"/>
        <v>0</v>
      </c>
      <c r="J2553" s="365">
        <f t="shared" si="117"/>
        <v>0</v>
      </c>
      <c r="K2553" s="369">
        <f t="shared" si="119"/>
        <v>6</v>
      </c>
      <c r="L2553" s="369">
        <f>+IF((C2553&gt;='Resultats - informe'!$E$16)*(C2553&lt;='Resultats - informe'!$G$16),1,0)</f>
        <v>1</v>
      </c>
      <c r="M2553" s="369" cm="1">
        <f t="array" ref="M2553">+_xlfn.IFS((C2553&gt;='Resultats - informe'!$D$26)*(C2553&lt;='Resultats - informe'!$E$26),0,(C2553&gt;='Resultats - informe'!$D$27)*(C2553&lt;='Resultats - informe'!$E$27),0,(C2553&gt;='Resultats - informe'!$D$28)*(C2553&lt;='Resultats - informe'!$E$28),0,(C2553&gt;='Resultats - informe'!$D$29)*(C2553&lt;='Resultats - informe'!$E$29),0,1,1)</f>
        <v>0</v>
      </c>
      <c r="N2553" s="366">
        <f>+VLOOKUP(D2553,'Resultats - informe'!$Y$18:$AG$42,'Introducció dades consum'!K2553+1,0)</f>
        <v>0</v>
      </c>
      <c r="O2553" s="370" cm="1">
        <f t="array" ref="O2553">+_xlfn.SWITCH(MONTH(C2553),1,1,2,1,3,1,4,2,5,2,6,3,7,3,8,3,9,3,10,2,11,2,12,1,2)</f>
        <v>1</v>
      </c>
      <c r="P2553" s="43"/>
    </row>
    <row r="2554" spans="1:16" ht="18" x14ac:dyDescent="0.35">
      <c r="A2554" s="43"/>
      <c r="C2554" s="393"/>
      <c r="E2554" s="394"/>
      <c r="F2554" s="394">
        <v>0.125</v>
      </c>
      <c r="G2554" s="394"/>
      <c r="H2554" s="8" t="s">
        <v>235</v>
      </c>
      <c r="I2554" s="368">
        <f t="shared" si="118"/>
        <v>0</v>
      </c>
      <c r="J2554" s="365">
        <f t="shared" si="117"/>
        <v>0</v>
      </c>
      <c r="K2554" s="369">
        <f t="shared" si="119"/>
        <v>6</v>
      </c>
      <c r="L2554" s="369">
        <f>+IF((C2554&gt;='Resultats - informe'!$E$16)*(C2554&lt;='Resultats - informe'!$G$16),1,0)</f>
        <v>1</v>
      </c>
      <c r="M2554" s="369" cm="1">
        <f t="array" ref="M2554">+_xlfn.IFS((C2554&gt;='Resultats - informe'!$D$26)*(C2554&lt;='Resultats - informe'!$E$26),0,(C2554&gt;='Resultats - informe'!$D$27)*(C2554&lt;='Resultats - informe'!$E$27),0,(C2554&gt;='Resultats - informe'!$D$28)*(C2554&lt;='Resultats - informe'!$E$28),0,(C2554&gt;='Resultats - informe'!$D$29)*(C2554&lt;='Resultats - informe'!$E$29),0,1,1)</f>
        <v>0</v>
      </c>
      <c r="N2554" s="366">
        <f>+VLOOKUP(D2554,'Resultats - informe'!$Y$18:$AG$42,'Introducció dades consum'!K2554+1,0)</f>
        <v>0</v>
      </c>
      <c r="O2554" s="370" cm="1">
        <f t="array" ref="O2554">+_xlfn.SWITCH(MONTH(C2554),1,1,2,1,3,1,4,2,5,2,6,3,7,3,8,3,9,3,10,2,11,2,12,1,2)</f>
        <v>1</v>
      </c>
      <c r="P2554" s="43"/>
    </row>
    <row r="2555" spans="1:16" ht="18" x14ac:dyDescent="0.35">
      <c r="A2555" s="43"/>
      <c r="C2555" s="393"/>
      <c r="E2555" s="394"/>
      <c r="F2555" s="394">
        <v>0.98599999999999999</v>
      </c>
      <c r="G2555" s="394"/>
      <c r="H2555" s="8" t="s">
        <v>235</v>
      </c>
      <c r="I2555" s="368">
        <f t="shared" si="118"/>
        <v>0</v>
      </c>
      <c r="J2555" s="365">
        <f t="shared" ref="J2555:J2618" si="120">+C2555</f>
        <v>0</v>
      </c>
      <c r="K2555" s="369">
        <f t="shared" si="119"/>
        <v>6</v>
      </c>
      <c r="L2555" s="369">
        <f>+IF((C2555&gt;='Resultats - informe'!$E$16)*(C2555&lt;='Resultats - informe'!$G$16),1,0)</f>
        <v>1</v>
      </c>
      <c r="M2555" s="369" cm="1">
        <f t="array" ref="M2555">+_xlfn.IFS((C2555&gt;='Resultats - informe'!$D$26)*(C2555&lt;='Resultats - informe'!$E$26),0,(C2555&gt;='Resultats - informe'!$D$27)*(C2555&lt;='Resultats - informe'!$E$27),0,(C2555&gt;='Resultats - informe'!$D$28)*(C2555&lt;='Resultats - informe'!$E$28),0,(C2555&gt;='Resultats - informe'!$D$29)*(C2555&lt;='Resultats - informe'!$E$29),0,1,1)</f>
        <v>0</v>
      </c>
      <c r="N2555" s="366">
        <f>+VLOOKUP(D2555,'Resultats - informe'!$Y$18:$AG$42,'Introducció dades consum'!K2555+1,0)</f>
        <v>0</v>
      </c>
      <c r="O2555" s="370" cm="1">
        <f t="array" ref="O2555">+_xlfn.SWITCH(MONTH(C2555),1,1,2,1,3,1,4,2,5,2,6,3,7,3,8,3,9,3,10,2,11,2,12,1,2)</f>
        <v>1</v>
      </c>
      <c r="P2555" s="43"/>
    </row>
    <row r="2556" spans="1:16" ht="18" x14ac:dyDescent="0.35">
      <c r="A2556" s="43"/>
      <c r="C2556" s="393"/>
      <c r="E2556" s="394"/>
      <c r="F2556" s="394">
        <v>3.2210000000000001</v>
      </c>
      <c r="G2556" s="394"/>
      <c r="H2556" s="8" t="s">
        <v>235</v>
      </c>
      <c r="I2556" s="368">
        <f t="shared" si="118"/>
        <v>0</v>
      </c>
      <c r="J2556" s="365">
        <f t="shared" si="120"/>
        <v>0</v>
      </c>
      <c r="K2556" s="369">
        <f t="shared" si="119"/>
        <v>6</v>
      </c>
      <c r="L2556" s="369">
        <f>+IF((C2556&gt;='Resultats - informe'!$E$16)*(C2556&lt;='Resultats - informe'!$G$16),1,0)</f>
        <v>1</v>
      </c>
      <c r="M2556" s="369" cm="1">
        <f t="array" ref="M2556">+_xlfn.IFS((C2556&gt;='Resultats - informe'!$D$26)*(C2556&lt;='Resultats - informe'!$E$26),0,(C2556&gt;='Resultats - informe'!$D$27)*(C2556&lt;='Resultats - informe'!$E$27),0,(C2556&gt;='Resultats - informe'!$D$28)*(C2556&lt;='Resultats - informe'!$E$28),0,(C2556&gt;='Resultats - informe'!$D$29)*(C2556&lt;='Resultats - informe'!$E$29),0,1,1)</f>
        <v>0</v>
      </c>
      <c r="N2556" s="366">
        <f>+VLOOKUP(D2556,'Resultats - informe'!$Y$18:$AG$42,'Introducció dades consum'!K2556+1,0)</f>
        <v>0</v>
      </c>
      <c r="O2556" s="370" cm="1">
        <f t="array" ref="O2556">+_xlfn.SWITCH(MONTH(C2556),1,1,2,1,3,1,4,2,5,2,6,3,7,3,8,3,9,3,10,2,11,2,12,1,2)</f>
        <v>1</v>
      </c>
      <c r="P2556" s="43"/>
    </row>
    <row r="2557" spans="1:16" ht="18" x14ac:dyDescent="0.35">
      <c r="A2557" s="43"/>
      <c r="C2557" s="393"/>
      <c r="E2557" s="394"/>
      <c r="F2557" s="394">
        <v>1.5780000000000001</v>
      </c>
      <c r="G2557" s="394"/>
      <c r="H2557" s="8" t="s">
        <v>61</v>
      </c>
      <c r="I2557" s="368">
        <f t="shared" si="118"/>
        <v>0</v>
      </c>
      <c r="J2557" s="365">
        <f t="shared" si="120"/>
        <v>0</v>
      </c>
      <c r="K2557" s="369">
        <f t="shared" si="119"/>
        <v>6</v>
      </c>
      <c r="L2557" s="369">
        <f>+IF((C2557&gt;='Resultats - informe'!$E$16)*(C2557&lt;='Resultats - informe'!$G$16),1,0)</f>
        <v>1</v>
      </c>
      <c r="M2557" s="369" cm="1">
        <f t="array" ref="M2557">+_xlfn.IFS((C2557&gt;='Resultats - informe'!$D$26)*(C2557&lt;='Resultats - informe'!$E$26),0,(C2557&gt;='Resultats - informe'!$D$27)*(C2557&lt;='Resultats - informe'!$E$27),0,(C2557&gt;='Resultats - informe'!$D$28)*(C2557&lt;='Resultats - informe'!$E$28),0,(C2557&gt;='Resultats - informe'!$D$29)*(C2557&lt;='Resultats - informe'!$E$29),0,1,1)</f>
        <v>0</v>
      </c>
      <c r="N2557" s="366">
        <f>+VLOOKUP(D2557,'Resultats - informe'!$Y$18:$AG$42,'Introducció dades consum'!K2557+1,0)</f>
        <v>0</v>
      </c>
      <c r="O2557" s="370" cm="1">
        <f t="array" ref="O2557">+_xlfn.SWITCH(MONTH(C2557),1,1,2,1,3,1,4,2,5,2,6,3,7,3,8,3,9,3,10,2,11,2,12,1,2)</f>
        <v>1</v>
      </c>
      <c r="P2557" s="43"/>
    </row>
    <row r="2558" spans="1:16" ht="18" x14ac:dyDescent="0.35">
      <c r="A2558" s="43"/>
      <c r="C2558" s="393"/>
      <c r="E2558" s="394"/>
      <c r="F2558" s="394">
        <v>3.8250000000000002</v>
      </c>
      <c r="G2558" s="394"/>
      <c r="H2558" s="8" t="s">
        <v>235</v>
      </c>
      <c r="I2558" s="368">
        <f t="shared" si="118"/>
        <v>0</v>
      </c>
      <c r="J2558" s="365">
        <f t="shared" si="120"/>
        <v>0</v>
      </c>
      <c r="K2558" s="369">
        <f t="shared" si="119"/>
        <v>6</v>
      </c>
      <c r="L2558" s="369">
        <f>+IF((C2558&gt;='Resultats - informe'!$E$16)*(C2558&lt;='Resultats - informe'!$G$16),1,0)</f>
        <v>1</v>
      </c>
      <c r="M2558" s="369" cm="1">
        <f t="array" ref="M2558">+_xlfn.IFS((C2558&gt;='Resultats - informe'!$D$26)*(C2558&lt;='Resultats - informe'!$E$26),0,(C2558&gt;='Resultats - informe'!$D$27)*(C2558&lt;='Resultats - informe'!$E$27),0,(C2558&gt;='Resultats - informe'!$D$28)*(C2558&lt;='Resultats - informe'!$E$28),0,(C2558&gt;='Resultats - informe'!$D$29)*(C2558&lt;='Resultats - informe'!$E$29),0,1,1)</f>
        <v>0</v>
      </c>
      <c r="N2558" s="366">
        <f>+VLOOKUP(D2558,'Resultats - informe'!$Y$18:$AG$42,'Introducció dades consum'!K2558+1,0)</f>
        <v>0</v>
      </c>
      <c r="O2558" s="370" cm="1">
        <f t="array" ref="O2558">+_xlfn.SWITCH(MONTH(C2558),1,1,2,1,3,1,4,2,5,2,6,3,7,3,8,3,9,3,10,2,11,2,12,1,2)</f>
        <v>1</v>
      </c>
      <c r="P2558" s="43"/>
    </row>
    <row r="2559" spans="1:16" ht="18" x14ac:dyDescent="0.35">
      <c r="A2559" s="43"/>
      <c r="C2559" s="393"/>
      <c r="E2559" s="394"/>
      <c r="F2559" s="394">
        <v>3.9129999999999998</v>
      </c>
      <c r="G2559" s="394"/>
      <c r="H2559" s="8" t="s">
        <v>235</v>
      </c>
      <c r="I2559" s="368">
        <f t="shared" si="118"/>
        <v>0</v>
      </c>
      <c r="J2559" s="365">
        <f t="shared" si="120"/>
        <v>0</v>
      </c>
      <c r="K2559" s="369">
        <f t="shared" si="119"/>
        <v>6</v>
      </c>
      <c r="L2559" s="369">
        <f>+IF((C2559&gt;='Resultats - informe'!$E$16)*(C2559&lt;='Resultats - informe'!$G$16),1,0)</f>
        <v>1</v>
      </c>
      <c r="M2559" s="369" cm="1">
        <f t="array" ref="M2559">+_xlfn.IFS((C2559&gt;='Resultats - informe'!$D$26)*(C2559&lt;='Resultats - informe'!$E$26),0,(C2559&gt;='Resultats - informe'!$D$27)*(C2559&lt;='Resultats - informe'!$E$27),0,(C2559&gt;='Resultats - informe'!$D$28)*(C2559&lt;='Resultats - informe'!$E$28),0,(C2559&gt;='Resultats - informe'!$D$29)*(C2559&lt;='Resultats - informe'!$E$29),0,1,1)</f>
        <v>0</v>
      </c>
      <c r="N2559" s="366">
        <f>+VLOOKUP(D2559,'Resultats - informe'!$Y$18:$AG$42,'Introducció dades consum'!K2559+1,0)</f>
        <v>0</v>
      </c>
      <c r="O2559" s="370" cm="1">
        <f t="array" ref="O2559">+_xlfn.SWITCH(MONTH(C2559),1,1,2,1,3,1,4,2,5,2,6,3,7,3,8,3,9,3,10,2,11,2,12,1,2)</f>
        <v>1</v>
      </c>
      <c r="P2559" s="43"/>
    </row>
    <row r="2560" spans="1:16" ht="18" x14ac:dyDescent="0.35">
      <c r="A2560" s="43"/>
      <c r="C2560" s="393"/>
      <c r="E2560" s="394"/>
      <c r="F2560" s="394">
        <v>3.8279999999999998</v>
      </c>
      <c r="G2560" s="394"/>
      <c r="H2560" s="8" t="s">
        <v>235</v>
      </c>
      <c r="I2560" s="368">
        <f t="shared" si="118"/>
        <v>0</v>
      </c>
      <c r="J2560" s="365">
        <f t="shared" si="120"/>
        <v>0</v>
      </c>
      <c r="K2560" s="369">
        <f t="shared" si="119"/>
        <v>6</v>
      </c>
      <c r="L2560" s="369">
        <f>+IF((C2560&gt;='Resultats - informe'!$E$16)*(C2560&lt;='Resultats - informe'!$G$16),1,0)</f>
        <v>1</v>
      </c>
      <c r="M2560" s="369" cm="1">
        <f t="array" ref="M2560">+_xlfn.IFS((C2560&gt;='Resultats - informe'!$D$26)*(C2560&lt;='Resultats - informe'!$E$26),0,(C2560&gt;='Resultats - informe'!$D$27)*(C2560&lt;='Resultats - informe'!$E$27),0,(C2560&gt;='Resultats - informe'!$D$28)*(C2560&lt;='Resultats - informe'!$E$28),0,(C2560&gt;='Resultats - informe'!$D$29)*(C2560&lt;='Resultats - informe'!$E$29),0,1,1)</f>
        <v>0</v>
      </c>
      <c r="N2560" s="366">
        <f>+VLOOKUP(D2560,'Resultats - informe'!$Y$18:$AG$42,'Introducció dades consum'!K2560+1,0)</f>
        <v>0</v>
      </c>
      <c r="O2560" s="370" cm="1">
        <f t="array" ref="O2560">+_xlfn.SWITCH(MONTH(C2560),1,1,2,1,3,1,4,2,5,2,6,3,7,3,8,3,9,3,10,2,11,2,12,1,2)</f>
        <v>1</v>
      </c>
      <c r="P2560" s="43"/>
    </row>
    <row r="2561" spans="1:16" ht="18" x14ac:dyDescent="0.35">
      <c r="A2561" s="43"/>
      <c r="C2561" s="393"/>
      <c r="E2561" s="394"/>
      <c r="F2561" s="394">
        <v>3.1930000000000001</v>
      </c>
      <c r="G2561" s="394"/>
      <c r="H2561" s="8" t="s">
        <v>235</v>
      </c>
      <c r="I2561" s="368">
        <f t="shared" si="118"/>
        <v>0</v>
      </c>
      <c r="J2561" s="365">
        <f t="shared" si="120"/>
        <v>0</v>
      </c>
      <c r="K2561" s="369">
        <f t="shared" si="119"/>
        <v>6</v>
      </c>
      <c r="L2561" s="369">
        <f>+IF((C2561&gt;='Resultats - informe'!$E$16)*(C2561&lt;='Resultats - informe'!$G$16),1,0)</f>
        <v>1</v>
      </c>
      <c r="M2561" s="369" cm="1">
        <f t="array" ref="M2561">+_xlfn.IFS((C2561&gt;='Resultats - informe'!$D$26)*(C2561&lt;='Resultats - informe'!$E$26),0,(C2561&gt;='Resultats - informe'!$D$27)*(C2561&lt;='Resultats - informe'!$E$27),0,(C2561&gt;='Resultats - informe'!$D$28)*(C2561&lt;='Resultats - informe'!$E$28),0,(C2561&gt;='Resultats - informe'!$D$29)*(C2561&lt;='Resultats - informe'!$E$29),0,1,1)</f>
        <v>0</v>
      </c>
      <c r="N2561" s="366">
        <f>+VLOOKUP(D2561,'Resultats - informe'!$Y$18:$AG$42,'Introducció dades consum'!K2561+1,0)</f>
        <v>0</v>
      </c>
      <c r="O2561" s="370" cm="1">
        <f t="array" ref="O2561">+_xlfn.SWITCH(MONTH(C2561),1,1,2,1,3,1,4,2,5,2,6,3,7,3,8,3,9,3,10,2,11,2,12,1,2)</f>
        <v>1</v>
      </c>
      <c r="P2561" s="43"/>
    </row>
    <row r="2562" spans="1:16" ht="18" x14ac:dyDescent="0.35">
      <c r="A2562" s="43"/>
      <c r="C2562" s="393"/>
      <c r="E2562" s="394"/>
      <c r="F2562" s="394">
        <v>3.35</v>
      </c>
      <c r="G2562" s="394"/>
      <c r="H2562" s="8" t="s">
        <v>235</v>
      </c>
      <c r="I2562" s="368">
        <f t="shared" si="118"/>
        <v>0</v>
      </c>
      <c r="J2562" s="365">
        <f t="shared" si="120"/>
        <v>0</v>
      </c>
      <c r="K2562" s="369">
        <f t="shared" si="119"/>
        <v>6</v>
      </c>
      <c r="L2562" s="369">
        <f>+IF((C2562&gt;='Resultats - informe'!$E$16)*(C2562&lt;='Resultats - informe'!$G$16),1,0)</f>
        <v>1</v>
      </c>
      <c r="M2562" s="369" cm="1">
        <f t="array" ref="M2562">+_xlfn.IFS((C2562&gt;='Resultats - informe'!$D$26)*(C2562&lt;='Resultats - informe'!$E$26),0,(C2562&gt;='Resultats - informe'!$D$27)*(C2562&lt;='Resultats - informe'!$E$27),0,(C2562&gt;='Resultats - informe'!$D$28)*(C2562&lt;='Resultats - informe'!$E$28),0,(C2562&gt;='Resultats - informe'!$D$29)*(C2562&lt;='Resultats - informe'!$E$29),0,1,1)</f>
        <v>0</v>
      </c>
      <c r="N2562" s="366">
        <f>+VLOOKUP(D2562,'Resultats - informe'!$Y$18:$AG$42,'Introducció dades consum'!K2562+1,0)</f>
        <v>0</v>
      </c>
      <c r="O2562" s="370" cm="1">
        <f t="array" ref="O2562">+_xlfn.SWITCH(MONTH(C2562),1,1,2,1,3,1,4,2,5,2,6,3,7,3,8,3,9,3,10,2,11,2,12,1,2)</f>
        <v>1</v>
      </c>
      <c r="P2562" s="43"/>
    </row>
    <row r="2563" spans="1:16" ht="18" x14ac:dyDescent="0.35">
      <c r="A2563" s="43"/>
      <c r="C2563" s="393"/>
      <c r="E2563" s="394"/>
      <c r="F2563" s="394">
        <v>2.5880000000000001</v>
      </c>
      <c r="G2563" s="394"/>
      <c r="H2563" s="8" t="s">
        <v>235</v>
      </c>
      <c r="I2563" s="368">
        <f t="shared" si="118"/>
        <v>0</v>
      </c>
      <c r="J2563" s="365">
        <f t="shared" si="120"/>
        <v>0</v>
      </c>
      <c r="K2563" s="369">
        <f t="shared" si="119"/>
        <v>6</v>
      </c>
      <c r="L2563" s="369">
        <f>+IF((C2563&gt;='Resultats - informe'!$E$16)*(C2563&lt;='Resultats - informe'!$G$16),1,0)</f>
        <v>1</v>
      </c>
      <c r="M2563" s="369" cm="1">
        <f t="array" ref="M2563">+_xlfn.IFS((C2563&gt;='Resultats - informe'!$D$26)*(C2563&lt;='Resultats - informe'!$E$26),0,(C2563&gt;='Resultats - informe'!$D$27)*(C2563&lt;='Resultats - informe'!$E$27),0,(C2563&gt;='Resultats - informe'!$D$28)*(C2563&lt;='Resultats - informe'!$E$28),0,(C2563&gt;='Resultats - informe'!$D$29)*(C2563&lt;='Resultats - informe'!$E$29),0,1,1)</f>
        <v>0</v>
      </c>
      <c r="N2563" s="366">
        <f>+VLOOKUP(D2563,'Resultats - informe'!$Y$18:$AG$42,'Introducció dades consum'!K2563+1,0)</f>
        <v>0</v>
      </c>
      <c r="O2563" s="370" cm="1">
        <f t="array" ref="O2563">+_xlfn.SWITCH(MONTH(C2563),1,1,2,1,3,1,4,2,5,2,6,3,7,3,8,3,9,3,10,2,11,2,12,1,2)</f>
        <v>1</v>
      </c>
      <c r="P2563" s="43"/>
    </row>
    <row r="2564" spans="1:16" ht="18" x14ac:dyDescent="0.35">
      <c r="A2564" s="43"/>
      <c r="C2564" s="393"/>
      <c r="E2564" s="394"/>
      <c r="F2564" s="394">
        <v>5.4550000000000001</v>
      </c>
      <c r="G2564" s="394"/>
      <c r="H2564" s="8" t="s">
        <v>61</v>
      </c>
      <c r="I2564" s="368">
        <f t="shared" si="118"/>
        <v>0</v>
      </c>
      <c r="J2564" s="365">
        <f t="shared" si="120"/>
        <v>0</v>
      </c>
      <c r="K2564" s="369">
        <f t="shared" si="119"/>
        <v>6</v>
      </c>
      <c r="L2564" s="369">
        <f>+IF((C2564&gt;='Resultats - informe'!$E$16)*(C2564&lt;='Resultats - informe'!$G$16),1,0)</f>
        <v>1</v>
      </c>
      <c r="M2564" s="369" cm="1">
        <f t="array" ref="M2564">+_xlfn.IFS((C2564&gt;='Resultats - informe'!$D$26)*(C2564&lt;='Resultats - informe'!$E$26),0,(C2564&gt;='Resultats - informe'!$D$27)*(C2564&lt;='Resultats - informe'!$E$27),0,(C2564&gt;='Resultats - informe'!$D$28)*(C2564&lt;='Resultats - informe'!$E$28),0,(C2564&gt;='Resultats - informe'!$D$29)*(C2564&lt;='Resultats - informe'!$E$29),0,1,1)</f>
        <v>0</v>
      </c>
      <c r="N2564" s="366">
        <f>+VLOOKUP(D2564,'Resultats - informe'!$Y$18:$AG$42,'Introducció dades consum'!K2564+1,0)</f>
        <v>0</v>
      </c>
      <c r="O2564" s="370" cm="1">
        <f t="array" ref="O2564">+_xlfn.SWITCH(MONTH(C2564),1,1,2,1,3,1,4,2,5,2,6,3,7,3,8,3,9,3,10,2,11,2,12,1,2)</f>
        <v>1</v>
      </c>
      <c r="P2564" s="43"/>
    </row>
    <row r="2565" spans="1:16" ht="18" x14ac:dyDescent="0.35">
      <c r="A2565" s="43"/>
      <c r="C2565" s="393"/>
      <c r="E2565" s="394"/>
      <c r="F2565" s="394">
        <v>3.7639999999999998</v>
      </c>
      <c r="G2565" s="394"/>
      <c r="H2565" s="8" t="s">
        <v>61</v>
      </c>
      <c r="I2565" s="368">
        <f t="shared" si="118"/>
        <v>0</v>
      </c>
      <c r="J2565" s="365">
        <f t="shared" si="120"/>
        <v>0</v>
      </c>
      <c r="K2565" s="369">
        <f t="shared" si="119"/>
        <v>6</v>
      </c>
      <c r="L2565" s="369">
        <f>+IF((C2565&gt;='Resultats - informe'!$E$16)*(C2565&lt;='Resultats - informe'!$G$16),1,0)</f>
        <v>1</v>
      </c>
      <c r="M2565" s="369" cm="1">
        <f t="array" ref="M2565">+_xlfn.IFS((C2565&gt;='Resultats - informe'!$D$26)*(C2565&lt;='Resultats - informe'!$E$26),0,(C2565&gt;='Resultats - informe'!$D$27)*(C2565&lt;='Resultats - informe'!$E$27),0,(C2565&gt;='Resultats - informe'!$D$28)*(C2565&lt;='Resultats - informe'!$E$28),0,(C2565&gt;='Resultats - informe'!$D$29)*(C2565&lt;='Resultats - informe'!$E$29),0,1,1)</f>
        <v>0</v>
      </c>
      <c r="N2565" s="366">
        <f>+VLOOKUP(D2565,'Resultats - informe'!$Y$18:$AG$42,'Introducció dades consum'!K2565+1,0)</f>
        <v>0</v>
      </c>
      <c r="O2565" s="370" cm="1">
        <f t="array" ref="O2565">+_xlfn.SWITCH(MONTH(C2565),1,1,2,1,3,1,4,2,5,2,6,3,7,3,8,3,9,3,10,2,11,2,12,1,2)</f>
        <v>1</v>
      </c>
      <c r="P2565" s="43"/>
    </row>
    <row r="2566" spans="1:16" ht="18" x14ac:dyDescent="0.35">
      <c r="A2566" s="43"/>
      <c r="C2566" s="393"/>
      <c r="E2566" s="394"/>
      <c r="F2566" s="394">
        <v>0</v>
      </c>
      <c r="G2566" s="394"/>
      <c r="H2566" s="8" t="s">
        <v>235</v>
      </c>
      <c r="I2566" s="368">
        <f t="shared" ref="I2566:I2629" si="121">+E2566+G2566</f>
        <v>0</v>
      </c>
      <c r="J2566" s="365">
        <f t="shared" si="120"/>
        <v>0</v>
      </c>
      <c r="K2566" s="369">
        <f t="shared" ref="K2566:K2629" si="122">+WEEKDAY(C2566,2)</f>
        <v>6</v>
      </c>
      <c r="L2566" s="369">
        <f>+IF((C2566&gt;='Resultats - informe'!$E$16)*(C2566&lt;='Resultats - informe'!$G$16),1,0)</f>
        <v>1</v>
      </c>
      <c r="M2566" s="369" cm="1">
        <f t="array" ref="M2566">+_xlfn.IFS((C2566&gt;='Resultats - informe'!$D$26)*(C2566&lt;='Resultats - informe'!$E$26),0,(C2566&gt;='Resultats - informe'!$D$27)*(C2566&lt;='Resultats - informe'!$E$27),0,(C2566&gt;='Resultats - informe'!$D$28)*(C2566&lt;='Resultats - informe'!$E$28),0,(C2566&gt;='Resultats - informe'!$D$29)*(C2566&lt;='Resultats - informe'!$E$29),0,1,1)</f>
        <v>0</v>
      </c>
      <c r="N2566" s="366">
        <f>+VLOOKUP(D2566,'Resultats - informe'!$Y$18:$AG$42,'Introducció dades consum'!K2566+1,0)</f>
        <v>0</v>
      </c>
      <c r="O2566" s="370" cm="1">
        <f t="array" ref="O2566">+_xlfn.SWITCH(MONTH(C2566),1,1,2,1,3,1,4,2,5,2,6,3,7,3,8,3,9,3,10,2,11,2,12,1,2)</f>
        <v>1</v>
      </c>
      <c r="P2566" s="43"/>
    </row>
    <row r="2567" spans="1:16" ht="18" x14ac:dyDescent="0.35">
      <c r="A2567" s="43"/>
      <c r="C2567" s="393"/>
      <c r="E2567" s="394"/>
      <c r="F2567" s="394">
        <v>0</v>
      </c>
      <c r="G2567" s="394"/>
      <c r="H2567" s="8" t="s">
        <v>235</v>
      </c>
      <c r="I2567" s="368">
        <f t="shared" si="121"/>
        <v>0</v>
      </c>
      <c r="J2567" s="365">
        <f t="shared" si="120"/>
        <v>0</v>
      </c>
      <c r="K2567" s="369">
        <f t="shared" si="122"/>
        <v>6</v>
      </c>
      <c r="L2567" s="369">
        <f>+IF((C2567&gt;='Resultats - informe'!$E$16)*(C2567&lt;='Resultats - informe'!$G$16),1,0)</f>
        <v>1</v>
      </c>
      <c r="M2567" s="369" cm="1">
        <f t="array" ref="M2567">+_xlfn.IFS((C2567&gt;='Resultats - informe'!$D$26)*(C2567&lt;='Resultats - informe'!$E$26),0,(C2567&gt;='Resultats - informe'!$D$27)*(C2567&lt;='Resultats - informe'!$E$27),0,(C2567&gt;='Resultats - informe'!$D$28)*(C2567&lt;='Resultats - informe'!$E$28),0,(C2567&gt;='Resultats - informe'!$D$29)*(C2567&lt;='Resultats - informe'!$E$29),0,1,1)</f>
        <v>0</v>
      </c>
      <c r="N2567" s="366">
        <f>+VLOOKUP(D2567,'Resultats - informe'!$Y$18:$AG$42,'Introducció dades consum'!K2567+1,0)</f>
        <v>0</v>
      </c>
      <c r="O2567" s="370" cm="1">
        <f t="array" ref="O2567">+_xlfn.SWITCH(MONTH(C2567),1,1,2,1,3,1,4,2,5,2,6,3,7,3,8,3,9,3,10,2,11,2,12,1,2)</f>
        <v>1</v>
      </c>
      <c r="P2567" s="43"/>
    </row>
    <row r="2568" spans="1:16" ht="18" x14ac:dyDescent="0.35">
      <c r="A2568" s="43"/>
      <c r="C2568" s="393"/>
      <c r="E2568" s="394"/>
      <c r="F2568" s="394">
        <v>0</v>
      </c>
      <c r="G2568" s="394"/>
      <c r="H2568" s="8" t="s">
        <v>61</v>
      </c>
      <c r="I2568" s="368">
        <f t="shared" si="121"/>
        <v>0</v>
      </c>
      <c r="J2568" s="365">
        <f t="shared" si="120"/>
        <v>0</v>
      </c>
      <c r="K2568" s="369">
        <f t="shared" si="122"/>
        <v>6</v>
      </c>
      <c r="L2568" s="369">
        <f>+IF((C2568&gt;='Resultats - informe'!$E$16)*(C2568&lt;='Resultats - informe'!$G$16),1,0)</f>
        <v>1</v>
      </c>
      <c r="M2568" s="369" cm="1">
        <f t="array" ref="M2568">+_xlfn.IFS((C2568&gt;='Resultats - informe'!$D$26)*(C2568&lt;='Resultats - informe'!$E$26),0,(C2568&gt;='Resultats - informe'!$D$27)*(C2568&lt;='Resultats - informe'!$E$27),0,(C2568&gt;='Resultats - informe'!$D$28)*(C2568&lt;='Resultats - informe'!$E$28),0,(C2568&gt;='Resultats - informe'!$D$29)*(C2568&lt;='Resultats - informe'!$E$29),0,1,1)</f>
        <v>0</v>
      </c>
      <c r="N2568" s="366">
        <f>+VLOOKUP(D2568,'Resultats - informe'!$Y$18:$AG$42,'Introducció dades consum'!K2568+1,0)</f>
        <v>0</v>
      </c>
      <c r="O2568" s="370" cm="1">
        <f t="array" ref="O2568">+_xlfn.SWITCH(MONTH(C2568),1,1,2,1,3,1,4,2,5,2,6,3,7,3,8,3,9,3,10,2,11,2,12,1,2)</f>
        <v>1</v>
      </c>
      <c r="P2568" s="43"/>
    </row>
    <row r="2569" spans="1:16" ht="18" x14ac:dyDescent="0.35">
      <c r="A2569" s="43"/>
      <c r="C2569" s="393"/>
      <c r="E2569" s="394"/>
      <c r="F2569" s="394">
        <v>0</v>
      </c>
      <c r="G2569" s="394"/>
      <c r="H2569" s="8" t="s">
        <v>61</v>
      </c>
      <c r="I2569" s="368">
        <f t="shared" si="121"/>
        <v>0</v>
      </c>
      <c r="J2569" s="365">
        <f t="shared" si="120"/>
        <v>0</v>
      </c>
      <c r="K2569" s="369">
        <f t="shared" si="122"/>
        <v>6</v>
      </c>
      <c r="L2569" s="369">
        <f>+IF((C2569&gt;='Resultats - informe'!$E$16)*(C2569&lt;='Resultats - informe'!$G$16),1,0)</f>
        <v>1</v>
      </c>
      <c r="M2569" s="369" cm="1">
        <f t="array" ref="M2569">+_xlfn.IFS((C2569&gt;='Resultats - informe'!$D$26)*(C2569&lt;='Resultats - informe'!$E$26),0,(C2569&gt;='Resultats - informe'!$D$27)*(C2569&lt;='Resultats - informe'!$E$27),0,(C2569&gt;='Resultats - informe'!$D$28)*(C2569&lt;='Resultats - informe'!$E$28),0,(C2569&gt;='Resultats - informe'!$D$29)*(C2569&lt;='Resultats - informe'!$E$29),0,1,1)</f>
        <v>0</v>
      </c>
      <c r="N2569" s="366">
        <f>+VLOOKUP(D2569,'Resultats - informe'!$Y$18:$AG$42,'Introducció dades consum'!K2569+1,0)</f>
        <v>0</v>
      </c>
      <c r="O2569" s="370" cm="1">
        <f t="array" ref="O2569">+_xlfn.SWITCH(MONTH(C2569),1,1,2,1,3,1,4,2,5,2,6,3,7,3,8,3,9,3,10,2,11,2,12,1,2)</f>
        <v>1</v>
      </c>
      <c r="P2569" s="43"/>
    </row>
    <row r="2570" spans="1:16" ht="18" x14ac:dyDescent="0.35">
      <c r="A2570" s="43"/>
      <c r="C2570" s="393"/>
      <c r="E2570" s="394"/>
      <c r="F2570" s="394">
        <v>0</v>
      </c>
      <c r="G2570" s="394"/>
      <c r="H2570" s="8" t="s">
        <v>61</v>
      </c>
      <c r="I2570" s="368">
        <f t="shared" si="121"/>
        <v>0</v>
      </c>
      <c r="J2570" s="365">
        <f t="shared" si="120"/>
        <v>0</v>
      </c>
      <c r="K2570" s="369">
        <f t="shared" si="122"/>
        <v>6</v>
      </c>
      <c r="L2570" s="369">
        <f>+IF((C2570&gt;='Resultats - informe'!$E$16)*(C2570&lt;='Resultats - informe'!$G$16),1,0)</f>
        <v>1</v>
      </c>
      <c r="M2570" s="369" cm="1">
        <f t="array" ref="M2570">+_xlfn.IFS((C2570&gt;='Resultats - informe'!$D$26)*(C2570&lt;='Resultats - informe'!$E$26),0,(C2570&gt;='Resultats - informe'!$D$27)*(C2570&lt;='Resultats - informe'!$E$27),0,(C2570&gt;='Resultats - informe'!$D$28)*(C2570&lt;='Resultats - informe'!$E$28),0,(C2570&gt;='Resultats - informe'!$D$29)*(C2570&lt;='Resultats - informe'!$E$29),0,1,1)</f>
        <v>0</v>
      </c>
      <c r="N2570" s="366">
        <f>+VLOOKUP(D2570,'Resultats - informe'!$Y$18:$AG$42,'Introducció dades consum'!K2570+1,0)</f>
        <v>0</v>
      </c>
      <c r="O2570" s="370" cm="1">
        <f t="array" ref="O2570">+_xlfn.SWITCH(MONTH(C2570),1,1,2,1,3,1,4,2,5,2,6,3,7,3,8,3,9,3,10,2,11,2,12,1,2)</f>
        <v>1</v>
      </c>
      <c r="P2570" s="43"/>
    </row>
    <row r="2571" spans="1:16" ht="18" x14ac:dyDescent="0.35">
      <c r="A2571" s="43"/>
      <c r="C2571" s="393"/>
      <c r="E2571" s="394"/>
      <c r="F2571" s="394">
        <v>0</v>
      </c>
      <c r="G2571" s="394"/>
      <c r="H2571" s="8" t="s">
        <v>61</v>
      </c>
      <c r="I2571" s="368">
        <f t="shared" si="121"/>
        <v>0</v>
      </c>
      <c r="J2571" s="365">
        <f t="shared" si="120"/>
        <v>0</v>
      </c>
      <c r="K2571" s="369">
        <f t="shared" si="122"/>
        <v>6</v>
      </c>
      <c r="L2571" s="369">
        <f>+IF((C2571&gt;='Resultats - informe'!$E$16)*(C2571&lt;='Resultats - informe'!$G$16),1,0)</f>
        <v>1</v>
      </c>
      <c r="M2571" s="369" cm="1">
        <f t="array" ref="M2571">+_xlfn.IFS((C2571&gt;='Resultats - informe'!$D$26)*(C2571&lt;='Resultats - informe'!$E$26),0,(C2571&gt;='Resultats - informe'!$D$27)*(C2571&lt;='Resultats - informe'!$E$27),0,(C2571&gt;='Resultats - informe'!$D$28)*(C2571&lt;='Resultats - informe'!$E$28),0,(C2571&gt;='Resultats - informe'!$D$29)*(C2571&lt;='Resultats - informe'!$E$29),0,1,1)</f>
        <v>0</v>
      </c>
      <c r="N2571" s="366">
        <f>+VLOOKUP(D2571,'Resultats - informe'!$Y$18:$AG$42,'Introducció dades consum'!K2571+1,0)</f>
        <v>0</v>
      </c>
      <c r="O2571" s="370" cm="1">
        <f t="array" ref="O2571">+_xlfn.SWITCH(MONTH(C2571),1,1,2,1,3,1,4,2,5,2,6,3,7,3,8,3,9,3,10,2,11,2,12,1,2)</f>
        <v>1</v>
      </c>
      <c r="P2571" s="43"/>
    </row>
    <row r="2572" spans="1:16" ht="18" x14ac:dyDescent="0.35">
      <c r="A2572" s="43"/>
      <c r="C2572" s="393"/>
      <c r="E2572" s="394"/>
      <c r="F2572" s="394">
        <v>0</v>
      </c>
      <c r="G2572" s="394"/>
      <c r="H2572" s="8" t="s">
        <v>61</v>
      </c>
      <c r="I2572" s="368">
        <f t="shared" si="121"/>
        <v>0</v>
      </c>
      <c r="J2572" s="365">
        <f t="shared" si="120"/>
        <v>0</v>
      </c>
      <c r="K2572" s="369">
        <f t="shared" si="122"/>
        <v>6</v>
      </c>
      <c r="L2572" s="369">
        <f>+IF((C2572&gt;='Resultats - informe'!$E$16)*(C2572&lt;='Resultats - informe'!$G$16),1,0)</f>
        <v>1</v>
      </c>
      <c r="M2572" s="369" cm="1">
        <f t="array" ref="M2572">+_xlfn.IFS((C2572&gt;='Resultats - informe'!$D$26)*(C2572&lt;='Resultats - informe'!$E$26),0,(C2572&gt;='Resultats - informe'!$D$27)*(C2572&lt;='Resultats - informe'!$E$27),0,(C2572&gt;='Resultats - informe'!$D$28)*(C2572&lt;='Resultats - informe'!$E$28),0,(C2572&gt;='Resultats - informe'!$D$29)*(C2572&lt;='Resultats - informe'!$E$29),0,1,1)</f>
        <v>0</v>
      </c>
      <c r="N2572" s="366">
        <f>+VLOOKUP(D2572,'Resultats - informe'!$Y$18:$AG$42,'Introducció dades consum'!K2572+1,0)</f>
        <v>0</v>
      </c>
      <c r="O2572" s="370" cm="1">
        <f t="array" ref="O2572">+_xlfn.SWITCH(MONTH(C2572),1,1,2,1,3,1,4,2,5,2,6,3,7,3,8,3,9,3,10,2,11,2,12,1,2)</f>
        <v>1</v>
      </c>
      <c r="P2572" s="43"/>
    </row>
    <row r="2573" spans="1:16" ht="18" x14ac:dyDescent="0.35">
      <c r="A2573" s="43"/>
      <c r="C2573" s="393"/>
      <c r="E2573" s="394"/>
      <c r="F2573" s="394">
        <v>0</v>
      </c>
      <c r="G2573" s="394"/>
      <c r="H2573" s="8" t="s">
        <v>61</v>
      </c>
      <c r="I2573" s="368">
        <f t="shared" si="121"/>
        <v>0</v>
      </c>
      <c r="J2573" s="365">
        <f t="shared" si="120"/>
        <v>0</v>
      </c>
      <c r="K2573" s="369">
        <f t="shared" si="122"/>
        <v>6</v>
      </c>
      <c r="L2573" s="369">
        <f>+IF((C2573&gt;='Resultats - informe'!$E$16)*(C2573&lt;='Resultats - informe'!$G$16),1,0)</f>
        <v>1</v>
      </c>
      <c r="M2573" s="369" cm="1">
        <f t="array" ref="M2573">+_xlfn.IFS((C2573&gt;='Resultats - informe'!$D$26)*(C2573&lt;='Resultats - informe'!$E$26),0,(C2573&gt;='Resultats - informe'!$D$27)*(C2573&lt;='Resultats - informe'!$E$27),0,(C2573&gt;='Resultats - informe'!$D$28)*(C2573&lt;='Resultats - informe'!$E$28),0,(C2573&gt;='Resultats - informe'!$D$29)*(C2573&lt;='Resultats - informe'!$E$29),0,1,1)</f>
        <v>0</v>
      </c>
      <c r="N2573" s="366">
        <f>+VLOOKUP(D2573,'Resultats - informe'!$Y$18:$AG$42,'Introducció dades consum'!K2573+1,0)</f>
        <v>0</v>
      </c>
      <c r="O2573" s="370" cm="1">
        <f t="array" ref="O2573">+_xlfn.SWITCH(MONTH(C2573),1,1,2,1,3,1,4,2,5,2,6,3,7,3,8,3,9,3,10,2,11,2,12,1,2)</f>
        <v>1</v>
      </c>
      <c r="P2573" s="43"/>
    </row>
    <row r="2574" spans="1:16" ht="18" x14ac:dyDescent="0.35">
      <c r="A2574" s="43"/>
      <c r="C2574" s="393"/>
      <c r="E2574" s="394"/>
      <c r="F2574" s="394">
        <v>0</v>
      </c>
      <c r="G2574" s="394"/>
      <c r="H2574" s="8" t="s">
        <v>235</v>
      </c>
      <c r="I2574" s="368">
        <f t="shared" si="121"/>
        <v>0</v>
      </c>
      <c r="J2574" s="365">
        <f t="shared" si="120"/>
        <v>0</v>
      </c>
      <c r="K2574" s="369">
        <f t="shared" si="122"/>
        <v>6</v>
      </c>
      <c r="L2574" s="369">
        <f>+IF((C2574&gt;='Resultats - informe'!$E$16)*(C2574&lt;='Resultats - informe'!$G$16),1,0)</f>
        <v>1</v>
      </c>
      <c r="M2574" s="369" cm="1">
        <f t="array" ref="M2574">+_xlfn.IFS((C2574&gt;='Resultats - informe'!$D$26)*(C2574&lt;='Resultats - informe'!$E$26),0,(C2574&gt;='Resultats - informe'!$D$27)*(C2574&lt;='Resultats - informe'!$E$27),0,(C2574&gt;='Resultats - informe'!$D$28)*(C2574&lt;='Resultats - informe'!$E$28),0,(C2574&gt;='Resultats - informe'!$D$29)*(C2574&lt;='Resultats - informe'!$E$29),0,1,1)</f>
        <v>0</v>
      </c>
      <c r="N2574" s="366">
        <f>+VLOOKUP(D2574,'Resultats - informe'!$Y$18:$AG$42,'Introducció dades consum'!K2574+1,0)</f>
        <v>0</v>
      </c>
      <c r="O2574" s="370" cm="1">
        <f t="array" ref="O2574">+_xlfn.SWITCH(MONTH(C2574),1,1,2,1,3,1,4,2,5,2,6,3,7,3,8,3,9,3,10,2,11,2,12,1,2)</f>
        <v>1</v>
      </c>
      <c r="P2574" s="43"/>
    </row>
    <row r="2575" spans="1:16" ht="18" x14ac:dyDescent="0.35">
      <c r="A2575" s="43"/>
      <c r="C2575" s="393"/>
      <c r="E2575" s="394"/>
      <c r="F2575" s="394">
        <v>0</v>
      </c>
      <c r="G2575" s="394"/>
      <c r="H2575" s="8" t="s">
        <v>235</v>
      </c>
      <c r="I2575" s="368">
        <f t="shared" si="121"/>
        <v>0</v>
      </c>
      <c r="J2575" s="365">
        <f t="shared" si="120"/>
        <v>0</v>
      </c>
      <c r="K2575" s="369">
        <f t="shared" si="122"/>
        <v>6</v>
      </c>
      <c r="L2575" s="369">
        <f>+IF((C2575&gt;='Resultats - informe'!$E$16)*(C2575&lt;='Resultats - informe'!$G$16),1,0)</f>
        <v>1</v>
      </c>
      <c r="M2575" s="369" cm="1">
        <f t="array" ref="M2575">+_xlfn.IFS((C2575&gt;='Resultats - informe'!$D$26)*(C2575&lt;='Resultats - informe'!$E$26),0,(C2575&gt;='Resultats - informe'!$D$27)*(C2575&lt;='Resultats - informe'!$E$27),0,(C2575&gt;='Resultats - informe'!$D$28)*(C2575&lt;='Resultats - informe'!$E$28),0,(C2575&gt;='Resultats - informe'!$D$29)*(C2575&lt;='Resultats - informe'!$E$29),0,1,1)</f>
        <v>0</v>
      </c>
      <c r="N2575" s="366">
        <f>+VLOOKUP(D2575,'Resultats - informe'!$Y$18:$AG$42,'Introducció dades consum'!K2575+1,0)</f>
        <v>0</v>
      </c>
      <c r="O2575" s="370" cm="1">
        <f t="array" ref="O2575">+_xlfn.SWITCH(MONTH(C2575),1,1,2,1,3,1,4,2,5,2,6,3,7,3,8,3,9,3,10,2,11,2,12,1,2)</f>
        <v>1</v>
      </c>
      <c r="P2575" s="43"/>
    </row>
    <row r="2576" spans="1:16" ht="18" x14ac:dyDescent="0.35">
      <c r="A2576" s="43"/>
      <c r="C2576" s="393"/>
      <c r="E2576" s="394"/>
      <c r="F2576" s="394">
        <v>0</v>
      </c>
      <c r="G2576" s="394"/>
      <c r="H2576" s="8" t="s">
        <v>235</v>
      </c>
      <c r="I2576" s="368">
        <f t="shared" si="121"/>
        <v>0</v>
      </c>
      <c r="J2576" s="365">
        <f t="shared" si="120"/>
        <v>0</v>
      </c>
      <c r="K2576" s="369">
        <f t="shared" si="122"/>
        <v>6</v>
      </c>
      <c r="L2576" s="369">
        <f>+IF((C2576&gt;='Resultats - informe'!$E$16)*(C2576&lt;='Resultats - informe'!$G$16),1,0)</f>
        <v>1</v>
      </c>
      <c r="M2576" s="369" cm="1">
        <f t="array" ref="M2576">+_xlfn.IFS((C2576&gt;='Resultats - informe'!$D$26)*(C2576&lt;='Resultats - informe'!$E$26),0,(C2576&gt;='Resultats - informe'!$D$27)*(C2576&lt;='Resultats - informe'!$E$27),0,(C2576&gt;='Resultats - informe'!$D$28)*(C2576&lt;='Resultats - informe'!$E$28),0,(C2576&gt;='Resultats - informe'!$D$29)*(C2576&lt;='Resultats - informe'!$E$29),0,1,1)</f>
        <v>0</v>
      </c>
      <c r="N2576" s="366">
        <f>+VLOOKUP(D2576,'Resultats - informe'!$Y$18:$AG$42,'Introducció dades consum'!K2576+1,0)</f>
        <v>0</v>
      </c>
      <c r="O2576" s="370" cm="1">
        <f t="array" ref="O2576">+_xlfn.SWITCH(MONTH(C2576),1,1,2,1,3,1,4,2,5,2,6,3,7,3,8,3,9,3,10,2,11,2,12,1,2)</f>
        <v>1</v>
      </c>
      <c r="P2576" s="43"/>
    </row>
    <row r="2577" spans="1:16" ht="18" x14ac:dyDescent="0.35">
      <c r="A2577" s="43"/>
      <c r="C2577" s="393"/>
      <c r="E2577" s="394"/>
      <c r="F2577" s="394">
        <v>0</v>
      </c>
      <c r="G2577" s="394"/>
      <c r="H2577" s="8" t="s">
        <v>235</v>
      </c>
      <c r="I2577" s="368">
        <f t="shared" si="121"/>
        <v>0</v>
      </c>
      <c r="J2577" s="365">
        <f t="shared" si="120"/>
        <v>0</v>
      </c>
      <c r="K2577" s="369">
        <f t="shared" si="122"/>
        <v>6</v>
      </c>
      <c r="L2577" s="369">
        <f>+IF((C2577&gt;='Resultats - informe'!$E$16)*(C2577&lt;='Resultats - informe'!$G$16),1,0)</f>
        <v>1</v>
      </c>
      <c r="M2577" s="369" cm="1">
        <f t="array" ref="M2577">+_xlfn.IFS((C2577&gt;='Resultats - informe'!$D$26)*(C2577&lt;='Resultats - informe'!$E$26),0,(C2577&gt;='Resultats - informe'!$D$27)*(C2577&lt;='Resultats - informe'!$E$27),0,(C2577&gt;='Resultats - informe'!$D$28)*(C2577&lt;='Resultats - informe'!$E$28),0,(C2577&gt;='Resultats - informe'!$D$29)*(C2577&lt;='Resultats - informe'!$E$29),0,1,1)</f>
        <v>0</v>
      </c>
      <c r="N2577" s="366">
        <f>+VLOOKUP(D2577,'Resultats - informe'!$Y$18:$AG$42,'Introducció dades consum'!K2577+1,0)</f>
        <v>0</v>
      </c>
      <c r="O2577" s="370" cm="1">
        <f t="array" ref="O2577">+_xlfn.SWITCH(MONTH(C2577),1,1,2,1,3,1,4,2,5,2,6,3,7,3,8,3,9,3,10,2,11,2,12,1,2)</f>
        <v>1</v>
      </c>
      <c r="P2577" s="43"/>
    </row>
    <row r="2578" spans="1:16" ht="18" x14ac:dyDescent="0.35">
      <c r="A2578" s="43"/>
      <c r="C2578" s="393"/>
      <c r="E2578" s="394"/>
      <c r="F2578" s="394">
        <v>0</v>
      </c>
      <c r="G2578" s="394"/>
      <c r="H2578" s="8" t="s">
        <v>61</v>
      </c>
      <c r="I2578" s="368">
        <f t="shared" si="121"/>
        <v>0</v>
      </c>
      <c r="J2578" s="365">
        <f t="shared" si="120"/>
        <v>0</v>
      </c>
      <c r="K2578" s="369">
        <f t="shared" si="122"/>
        <v>6</v>
      </c>
      <c r="L2578" s="369">
        <f>+IF((C2578&gt;='Resultats - informe'!$E$16)*(C2578&lt;='Resultats - informe'!$G$16),1,0)</f>
        <v>1</v>
      </c>
      <c r="M2578" s="369" cm="1">
        <f t="array" ref="M2578">+_xlfn.IFS((C2578&gt;='Resultats - informe'!$D$26)*(C2578&lt;='Resultats - informe'!$E$26),0,(C2578&gt;='Resultats - informe'!$D$27)*(C2578&lt;='Resultats - informe'!$E$27),0,(C2578&gt;='Resultats - informe'!$D$28)*(C2578&lt;='Resultats - informe'!$E$28),0,(C2578&gt;='Resultats - informe'!$D$29)*(C2578&lt;='Resultats - informe'!$E$29),0,1,1)</f>
        <v>0</v>
      </c>
      <c r="N2578" s="366">
        <f>+VLOOKUP(D2578,'Resultats - informe'!$Y$18:$AG$42,'Introducció dades consum'!K2578+1,0)</f>
        <v>0</v>
      </c>
      <c r="O2578" s="370" cm="1">
        <f t="array" ref="O2578">+_xlfn.SWITCH(MONTH(C2578),1,1,2,1,3,1,4,2,5,2,6,3,7,3,8,3,9,3,10,2,11,2,12,1,2)</f>
        <v>1</v>
      </c>
      <c r="P2578" s="43"/>
    </row>
    <row r="2579" spans="1:16" ht="18" x14ac:dyDescent="0.35">
      <c r="A2579" s="43"/>
      <c r="C2579" s="393"/>
      <c r="E2579" s="394"/>
      <c r="F2579" s="394">
        <v>0</v>
      </c>
      <c r="G2579" s="394"/>
      <c r="H2579" s="8" t="s">
        <v>61</v>
      </c>
      <c r="I2579" s="368">
        <f t="shared" si="121"/>
        <v>0</v>
      </c>
      <c r="J2579" s="365">
        <f t="shared" si="120"/>
        <v>0</v>
      </c>
      <c r="K2579" s="369">
        <f t="shared" si="122"/>
        <v>6</v>
      </c>
      <c r="L2579" s="369">
        <f>+IF((C2579&gt;='Resultats - informe'!$E$16)*(C2579&lt;='Resultats - informe'!$G$16),1,0)</f>
        <v>1</v>
      </c>
      <c r="M2579" s="369" cm="1">
        <f t="array" ref="M2579">+_xlfn.IFS((C2579&gt;='Resultats - informe'!$D$26)*(C2579&lt;='Resultats - informe'!$E$26),0,(C2579&gt;='Resultats - informe'!$D$27)*(C2579&lt;='Resultats - informe'!$E$27),0,(C2579&gt;='Resultats - informe'!$D$28)*(C2579&lt;='Resultats - informe'!$E$28),0,(C2579&gt;='Resultats - informe'!$D$29)*(C2579&lt;='Resultats - informe'!$E$29),0,1,1)</f>
        <v>0</v>
      </c>
      <c r="N2579" s="366">
        <f>+VLOOKUP(D2579,'Resultats - informe'!$Y$18:$AG$42,'Introducció dades consum'!K2579+1,0)</f>
        <v>0</v>
      </c>
      <c r="O2579" s="370" cm="1">
        <f t="array" ref="O2579">+_xlfn.SWITCH(MONTH(C2579),1,1,2,1,3,1,4,2,5,2,6,3,7,3,8,3,9,3,10,2,11,2,12,1,2)</f>
        <v>1</v>
      </c>
      <c r="P2579" s="43"/>
    </row>
    <row r="2580" spans="1:16" ht="18" x14ac:dyDescent="0.35">
      <c r="A2580" s="43"/>
      <c r="C2580" s="393"/>
      <c r="E2580" s="394"/>
      <c r="F2580" s="394">
        <v>0.36599999999999999</v>
      </c>
      <c r="G2580" s="394"/>
      <c r="H2580" s="8" t="s">
        <v>61</v>
      </c>
      <c r="I2580" s="368">
        <f t="shared" si="121"/>
        <v>0</v>
      </c>
      <c r="J2580" s="365">
        <f t="shared" si="120"/>
        <v>0</v>
      </c>
      <c r="K2580" s="369">
        <f t="shared" si="122"/>
        <v>6</v>
      </c>
      <c r="L2580" s="369">
        <f>+IF((C2580&gt;='Resultats - informe'!$E$16)*(C2580&lt;='Resultats - informe'!$G$16),1,0)</f>
        <v>1</v>
      </c>
      <c r="M2580" s="369" cm="1">
        <f t="array" ref="M2580">+_xlfn.IFS((C2580&gt;='Resultats - informe'!$D$26)*(C2580&lt;='Resultats - informe'!$E$26),0,(C2580&gt;='Resultats - informe'!$D$27)*(C2580&lt;='Resultats - informe'!$E$27),0,(C2580&gt;='Resultats - informe'!$D$28)*(C2580&lt;='Resultats - informe'!$E$28),0,(C2580&gt;='Resultats - informe'!$D$29)*(C2580&lt;='Resultats - informe'!$E$29),0,1,1)</f>
        <v>0</v>
      </c>
      <c r="N2580" s="366">
        <f>+VLOOKUP(D2580,'Resultats - informe'!$Y$18:$AG$42,'Introducció dades consum'!K2580+1,0)</f>
        <v>0</v>
      </c>
      <c r="O2580" s="370" cm="1">
        <f t="array" ref="O2580">+_xlfn.SWITCH(MONTH(C2580),1,1,2,1,3,1,4,2,5,2,6,3,7,3,8,3,9,3,10,2,11,2,12,1,2)</f>
        <v>1</v>
      </c>
      <c r="P2580" s="43"/>
    </row>
    <row r="2581" spans="1:16" ht="18" x14ac:dyDescent="0.35">
      <c r="A2581" s="43"/>
      <c r="C2581" s="393"/>
      <c r="E2581" s="394"/>
      <c r="F2581" s="394">
        <v>5.2759999999999998</v>
      </c>
      <c r="G2581" s="394"/>
      <c r="H2581" s="8" t="s">
        <v>235</v>
      </c>
      <c r="I2581" s="368">
        <f t="shared" si="121"/>
        <v>0</v>
      </c>
      <c r="J2581" s="365">
        <f t="shared" si="120"/>
        <v>0</v>
      </c>
      <c r="K2581" s="369">
        <f t="shared" si="122"/>
        <v>6</v>
      </c>
      <c r="L2581" s="369">
        <f>+IF((C2581&gt;='Resultats - informe'!$E$16)*(C2581&lt;='Resultats - informe'!$G$16),1,0)</f>
        <v>1</v>
      </c>
      <c r="M2581" s="369" cm="1">
        <f t="array" ref="M2581">+_xlfn.IFS((C2581&gt;='Resultats - informe'!$D$26)*(C2581&lt;='Resultats - informe'!$E$26),0,(C2581&gt;='Resultats - informe'!$D$27)*(C2581&lt;='Resultats - informe'!$E$27),0,(C2581&gt;='Resultats - informe'!$D$28)*(C2581&lt;='Resultats - informe'!$E$28),0,(C2581&gt;='Resultats - informe'!$D$29)*(C2581&lt;='Resultats - informe'!$E$29),0,1,1)</f>
        <v>0</v>
      </c>
      <c r="N2581" s="366">
        <f>+VLOOKUP(D2581,'Resultats - informe'!$Y$18:$AG$42,'Introducció dades consum'!K2581+1,0)</f>
        <v>0</v>
      </c>
      <c r="O2581" s="370" cm="1">
        <f t="array" ref="O2581">+_xlfn.SWITCH(MONTH(C2581),1,1,2,1,3,1,4,2,5,2,6,3,7,3,8,3,9,3,10,2,11,2,12,1,2)</f>
        <v>1</v>
      </c>
      <c r="P2581" s="43"/>
    </row>
    <row r="2582" spans="1:16" ht="18" x14ac:dyDescent="0.35">
      <c r="A2582" s="43"/>
      <c r="C2582" s="393"/>
      <c r="E2582" s="394"/>
      <c r="F2582" s="394">
        <v>5.1349999999999998</v>
      </c>
      <c r="G2582" s="394"/>
      <c r="H2582" s="8" t="s">
        <v>235</v>
      </c>
      <c r="I2582" s="368">
        <f t="shared" si="121"/>
        <v>0</v>
      </c>
      <c r="J2582" s="365">
        <f t="shared" si="120"/>
        <v>0</v>
      </c>
      <c r="K2582" s="369">
        <f t="shared" si="122"/>
        <v>6</v>
      </c>
      <c r="L2582" s="369">
        <f>+IF((C2582&gt;='Resultats - informe'!$E$16)*(C2582&lt;='Resultats - informe'!$G$16),1,0)</f>
        <v>1</v>
      </c>
      <c r="M2582" s="369" cm="1">
        <f t="array" ref="M2582">+_xlfn.IFS((C2582&gt;='Resultats - informe'!$D$26)*(C2582&lt;='Resultats - informe'!$E$26),0,(C2582&gt;='Resultats - informe'!$D$27)*(C2582&lt;='Resultats - informe'!$E$27),0,(C2582&gt;='Resultats - informe'!$D$28)*(C2582&lt;='Resultats - informe'!$E$28),0,(C2582&gt;='Resultats - informe'!$D$29)*(C2582&lt;='Resultats - informe'!$E$29),0,1,1)</f>
        <v>0</v>
      </c>
      <c r="N2582" s="366">
        <f>+VLOOKUP(D2582,'Resultats - informe'!$Y$18:$AG$42,'Introducció dades consum'!K2582+1,0)</f>
        <v>0</v>
      </c>
      <c r="O2582" s="370" cm="1">
        <f t="array" ref="O2582">+_xlfn.SWITCH(MONTH(C2582),1,1,2,1,3,1,4,2,5,2,6,3,7,3,8,3,9,3,10,2,11,2,12,1,2)</f>
        <v>1</v>
      </c>
      <c r="P2582" s="43"/>
    </row>
    <row r="2583" spans="1:16" ht="18" x14ac:dyDescent="0.35">
      <c r="A2583" s="43"/>
      <c r="C2583" s="393"/>
      <c r="E2583" s="394"/>
      <c r="F2583" s="394">
        <v>6.0510000000000002</v>
      </c>
      <c r="G2583" s="394"/>
      <c r="H2583" s="8" t="s">
        <v>61</v>
      </c>
      <c r="I2583" s="368">
        <f t="shared" si="121"/>
        <v>0</v>
      </c>
      <c r="J2583" s="365">
        <f t="shared" si="120"/>
        <v>0</v>
      </c>
      <c r="K2583" s="369">
        <f t="shared" si="122"/>
        <v>6</v>
      </c>
      <c r="L2583" s="369">
        <f>+IF((C2583&gt;='Resultats - informe'!$E$16)*(C2583&lt;='Resultats - informe'!$G$16),1,0)</f>
        <v>1</v>
      </c>
      <c r="M2583" s="369" cm="1">
        <f t="array" ref="M2583">+_xlfn.IFS((C2583&gt;='Resultats - informe'!$D$26)*(C2583&lt;='Resultats - informe'!$E$26),0,(C2583&gt;='Resultats - informe'!$D$27)*(C2583&lt;='Resultats - informe'!$E$27),0,(C2583&gt;='Resultats - informe'!$D$28)*(C2583&lt;='Resultats - informe'!$E$28),0,(C2583&gt;='Resultats - informe'!$D$29)*(C2583&lt;='Resultats - informe'!$E$29),0,1,1)</f>
        <v>0</v>
      </c>
      <c r="N2583" s="366">
        <f>+VLOOKUP(D2583,'Resultats - informe'!$Y$18:$AG$42,'Introducció dades consum'!K2583+1,0)</f>
        <v>0</v>
      </c>
      <c r="O2583" s="370" cm="1">
        <f t="array" ref="O2583">+_xlfn.SWITCH(MONTH(C2583),1,1,2,1,3,1,4,2,5,2,6,3,7,3,8,3,9,3,10,2,11,2,12,1,2)</f>
        <v>1</v>
      </c>
      <c r="P2583" s="43"/>
    </row>
    <row r="2584" spans="1:16" ht="18" x14ac:dyDescent="0.35">
      <c r="A2584" s="43"/>
      <c r="C2584" s="393"/>
      <c r="E2584" s="394"/>
      <c r="F2584" s="394">
        <v>7.0069999999999997</v>
      </c>
      <c r="G2584" s="394"/>
      <c r="H2584" s="8" t="s">
        <v>61</v>
      </c>
      <c r="I2584" s="368">
        <f t="shared" si="121"/>
        <v>0</v>
      </c>
      <c r="J2584" s="365">
        <f t="shared" si="120"/>
        <v>0</v>
      </c>
      <c r="K2584" s="369">
        <f t="shared" si="122"/>
        <v>6</v>
      </c>
      <c r="L2584" s="369">
        <f>+IF((C2584&gt;='Resultats - informe'!$E$16)*(C2584&lt;='Resultats - informe'!$G$16),1,0)</f>
        <v>1</v>
      </c>
      <c r="M2584" s="369" cm="1">
        <f t="array" ref="M2584">+_xlfn.IFS((C2584&gt;='Resultats - informe'!$D$26)*(C2584&lt;='Resultats - informe'!$E$26),0,(C2584&gt;='Resultats - informe'!$D$27)*(C2584&lt;='Resultats - informe'!$E$27),0,(C2584&gt;='Resultats - informe'!$D$28)*(C2584&lt;='Resultats - informe'!$E$28),0,(C2584&gt;='Resultats - informe'!$D$29)*(C2584&lt;='Resultats - informe'!$E$29),0,1,1)</f>
        <v>0</v>
      </c>
      <c r="N2584" s="366">
        <f>+VLOOKUP(D2584,'Resultats - informe'!$Y$18:$AG$42,'Introducció dades consum'!K2584+1,0)</f>
        <v>0</v>
      </c>
      <c r="O2584" s="370" cm="1">
        <f t="array" ref="O2584">+_xlfn.SWITCH(MONTH(C2584),1,1,2,1,3,1,4,2,5,2,6,3,7,3,8,3,9,3,10,2,11,2,12,1,2)</f>
        <v>1</v>
      </c>
      <c r="P2584" s="43"/>
    </row>
    <row r="2585" spans="1:16" ht="18" x14ac:dyDescent="0.35">
      <c r="A2585" s="43"/>
      <c r="C2585" s="393"/>
      <c r="E2585" s="394"/>
      <c r="F2585" s="394">
        <v>4.4589999999999996</v>
      </c>
      <c r="G2585" s="394"/>
      <c r="H2585" s="8" t="s">
        <v>235</v>
      </c>
      <c r="I2585" s="368">
        <f t="shared" si="121"/>
        <v>0</v>
      </c>
      <c r="J2585" s="365">
        <f t="shared" si="120"/>
        <v>0</v>
      </c>
      <c r="K2585" s="369">
        <f t="shared" si="122"/>
        <v>6</v>
      </c>
      <c r="L2585" s="369">
        <f>+IF((C2585&gt;='Resultats - informe'!$E$16)*(C2585&lt;='Resultats - informe'!$G$16),1,0)</f>
        <v>1</v>
      </c>
      <c r="M2585" s="369" cm="1">
        <f t="array" ref="M2585">+_xlfn.IFS((C2585&gt;='Resultats - informe'!$D$26)*(C2585&lt;='Resultats - informe'!$E$26),0,(C2585&gt;='Resultats - informe'!$D$27)*(C2585&lt;='Resultats - informe'!$E$27),0,(C2585&gt;='Resultats - informe'!$D$28)*(C2585&lt;='Resultats - informe'!$E$28),0,(C2585&gt;='Resultats - informe'!$D$29)*(C2585&lt;='Resultats - informe'!$E$29),0,1,1)</f>
        <v>0</v>
      </c>
      <c r="N2585" s="366">
        <f>+VLOOKUP(D2585,'Resultats - informe'!$Y$18:$AG$42,'Introducció dades consum'!K2585+1,0)</f>
        <v>0</v>
      </c>
      <c r="O2585" s="370" cm="1">
        <f t="array" ref="O2585">+_xlfn.SWITCH(MONTH(C2585),1,1,2,1,3,1,4,2,5,2,6,3,7,3,8,3,9,3,10,2,11,2,12,1,2)</f>
        <v>1</v>
      </c>
      <c r="P2585" s="43"/>
    </row>
    <row r="2586" spans="1:16" ht="18" x14ac:dyDescent="0.35">
      <c r="A2586" s="43"/>
      <c r="C2586" s="393"/>
      <c r="E2586" s="394"/>
      <c r="F2586" s="394">
        <v>4.1890000000000001</v>
      </c>
      <c r="G2586" s="394"/>
      <c r="H2586" s="8" t="s">
        <v>235</v>
      </c>
      <c r="I2586" s="368">
        <f t="shared" si="121"/>
        <v>0</v>
      </c>
      <c r="J2586" s="365">
        <f t="shared" si="120"/>
        <v>0</v>
      </c>
      <c r="K2586" s="369">
        <f t="shared" si="122"/>
        <v>6</v>
      </c>
      <c r="L2586" s="369">
        <f>+IF((C2586&gt;='Resultats - informe'!$E$16)*(C2586&lt;='Resultats - informe'!$G$16),1,0)</f>
        <v>1</v>
      </c>
      <c r="M2586" s="369" cm="1">
        <f t="array" ref="M2586">+_xlfn.IFS((C2586&gt;='Resultats - informe'!$D$26)*(C2586&lt;='Resultats - informe'!$E$26),0,(C2586&gt;='Resultats - informe'!$D$27)*(C2586&lt;='Resultats - informe'!$E$27),0,(C2586&gt;='Resultats - informe'!$D$28)*(C2586&lt;='Resultats - informe'!$E$28),0,(C2586&gt;='Resultats - informe'!$D$29)*(C2586&lt;='Resultats - informe'!$E$29),0,1,1)</f>
        <v>0</v>
      </c>
      <c r="N2586" s="366">
        <f>+VLOOKUP(D2586,'Resultats - informe'!$Y$18:$AG$42,'Introducció dades consum'!K2586+1,0)</f>
        <v>0</v>
      </c>
      <c r="O2586" s="370" cm="1">
        <f t="array" ref="O2586">+_xlfn.SWITCH(MONTH(C2586),1,1,2,1,3,1,4,2,5,2,6,3,7,3,8,3,9,3,10,2,11,2,12,1,2)</f>
        <v>1</v>
      </c>
      <c r="P2586" s="43"/>
    </row>
    <row r="2587" spans="1:16" ht="18" x14ac:dyDescent="0.35">
      <c r="A2587" s="43"/>
      <c r="C2587" s="393"/>
      <c r="E2587" s="394"/>
      <c r="F2587" s="394">
        <v>5.9020000000000001</v>
      </c>
      <c r="G2587" s="394"/>
      <c r="H2587" s="8" t="s">
        <v>61</v>
      </c>
      <c r="I2587" s="368">
        <f t="shared" si="121"/>
        <v>0</v>
      </c>
      <c r="J2587" s="365">
        <f t="shared" si="120"/>
        <v>0</v>
      </c>
      <c r="K2587" s="369">
        <f t="shared" si="122"/>
        <v>6</v>
      </c>
      <c r="L2587" s="369">
        <f>+IF((C2587&gt;='Resultats - informe'!$E$16)*(C2587&lt;='Resultats - informe'!$G$16),1,0)</f>
        <v>1</v>
      </c>
      <c r="M2587" s="369" cm="1">
        <f t="array" ref="M2587">+_xlfn.IFS((C2587&gt;='Resultats - informe'!$D$26)*(C2587&lt;='Resultats - informe'!$E$26),0,(C2587&gt;='Resultats - informe'!$D$27)*(C2587&lt;='Resultats - informe'!$E$27),0,(C2587&gt;='Resultats - informe'!$D$28)*(C2587&lt;='Resultats - informe'!$E$28),0,(C2587&gt;='Resultats - informe'!$D$29)*(C2587&lt;='Resultats - informe'!$E$29),0,1,1)</f>
        <v>0</v>
      </c>
      <c r="N2587" s="366">
        <f>+VLOOKUP(D2587,'Resultats - informe'!$Y$18:$AG$42,'Introducció dades consum'!K2587+1,0)</f>
        <v>0</v>
      </c>
      <c r="O2587" s="370" cm="1">
        <f t="array" ref="O2587">+_xlfn.SWITCH(MONTH(C2587),1,1,2,1,3,1,4,2,5,2,6,3,7,3,8,3,9,3,10,2,11,2,12,1,2)</f>
        <v>1</v>
      </c>
      <c r="P2587" s="43"/>
    </row>
    <row r="2588" spans="1:16" ht="18" x14ac:dyDescent="0.35">
      <c r="A2588" s="43"/>
      <c r="C2588" s="393"/>
      <c r="E2588" s="394"/>
      <c r="F2588" s="394">
        <v>1.4239999999999999</v>
      </c>
      <c r="G2588" s="394"/>
      <c r="H2588" s="8" t="s">
        <v>235</v>
      </c>
      <c r="I2588" s="368">
        <f t="shared" si="121"/>
        <v>0</v>
      </c>
      <c r="J2588" s="365">
        <f t="shared" si="120"/>
        <v>0</v>
      </c>
      <c r="K2588" s="369">
        <f t="shared" si="122"/>
        <v>6</v>
      </c>
      <c r="L2588" s="369">
        <f>+IF((C2588&gt;='Resultats - informe'!$E$16)*(C2588&lt;='Resultats - informe'!$G$16),1,0)</f>
        <v>1</v>
      </c>
      <c r="M2588" s="369" cm="1">
        <f t="array" ref="M2588">+_xlfn.IFS((C2588&gt;='Resultats - informe'!$D$26)*(C2588&lt;='Resultats - informe'!$E$26),0,(C2588&gt;='Resultats - informe'!$D$27)*(C2588&lt;='Resultats - informe'!$E$27),0,(C2588&gt;='Resultats - informe'!$D$28)*(C2588&lt;='Resultats - informe'!$E$28),0,(C2588&gt;='Resultats - informe'!$D$29)*(C2588&lt;='Resultats - informe'!$E$29),0,1,1)</f>
        <v>0</v>
      </c>
      <c r="N2588" s="366">
        <f>+VLOOKUP(D2588,'Resultats - informe'!$Y$18:$AG$42,'Introducció dades consum'!K2588+1,0)</f>
        <v>0</v>
      </c>
      <c r="O2588" s="370" cm="1">
        <f t="array" ref="O2588">+_xlfn.SWITCH(MONTH(C2588),1,1,2,1,3,1,4,2,5,2,6,3,7,3,8,3,9,3,10,2,11,2,12,1,2)</f>
        <v>1</v>
      </c>
      <c r="P2588" s="43"/>
    </row>
    <row r="2589" spans="1:16" ht="18" x14ac:dyDescent="0.35">
      <c r="A2589" s="43"/>
      <c r="C2589" s="393"/>
      <c r="E2589" s="394"/>
      <c r="F2589" s="394">
        <v>0.193</v>
      </c>
      <c r="G2589" s="394"/>
      <c r="H2589" s="8" t="s">
        <v>235</v>
      </c>
      <c r="I2589" s="368">
        <f t="shared" si="121"/>
        <v>0</v>
      </c>
      <c r="J2589" s="365">
        <f t="shared" si="120"/>
        <v>0</v>
      </c>
      <c r="K2589" s="369">
        <f t="shared" si="122"/>
        <v>6</v>
      </c>
      <c r="L2589" s="369">
        <f>+IF((C2589&gt;='Resultats - informe'!$E$16)*(C2589&lt;='Resultats - informe'!$G$16),1,0)</f>
        <v>1</v>
      </c>
      <c r="M2589" s="369" cm="1">
        <f t="array" ref="M2589">+_xlfn.IFS((C2589&gt;='Resultats - informe'!$D$26)*(C2589&lt;='Resultats - informe'!$E$26),0,(C2589&gt;='Resultats - informe'!$D$27)*(C2589&lt;='Resultats - informe'!$E$27),0,(C2589&gt;='Resultats - informe'!$D$28)*(C2589&lt;='Resultats - informe'!$E$28),0,(C2589&gt;='Resultats - informe'!$D$29)*(C2589&lt;='Resultats - informe'!$E$29),0,1,1)</f>
        <v>0</v>
      </c>
      <c r="N2589" s="366">
        <f>+VLOOKUP(D2589,'Resultats - informe'!$Y$18:$AG$42,'Introducció dades consum'!K2589+1,0)</f>
        <v>0</v>
      </c>
      <c r="O2589" s="370" cm="1">
        <f t="array" ref="O2589">+_xlfn.SWITCH(MONTH(C2589),1,1,2,1,3,1,4,2,5,2,6,3,7,3,8,3,9,3,10,2,11,2,12,1,2)</f>
        <v>1</v>
      </c>
      <c r="P2589" s="43"/>
    </row>
    <row r="2590" spans="1:16" ht="18" x14ac:dyDescent="0.35">
      <c r="A2590" s="43"/>
      <c r="C2590" s="393"/>
      <c r="E2590" s="394"/>
      <c r="F2590" s="394">
        <v>0</v>
      </c>
      <c r="G2590" s="394"/>
      <c r="H2590" s="8" t="s">
        <v>235</v>
      </c>
      <c r="I2590" s="368">
        <f t="shared" si="121"/>
        <v>0</v>
      </c>
      <c r="J2590" s="365">
        <f t="shared" si="120"/>
        <v>0</v>
      </c>
      <c r="K2590" s="369">
        <f t="shared" si="122"/>
        <v>6</v>
      </c>
      <c r="L2590" s="369">
        <f>+IF((C2590&gt;='Resultats - informe'!$E$16)*(C2590&lt;='Resultats - informe'!$G$16),1,0)</f>
        <v>1</v>
      </c>
      <c r="M2590" s="369" cm="1">
        <f t="array" ref="M2590">+_xlfn.IFS((C2590&gt;='Resultats - informe'!$D$26)*(C2590&lt;='Resultats - informe'!$E$26),0,(C2590&gt;='Resultats - informe'!$D$27)*(C2590&lt;='Resultats - informe'!$E$27),0,(C2590&gt;='Resultats - informe'!$D$28)*(C2590&lt;='Resultats - informe'!$E$28),0,(C2590&gt;='Resultats - informe'!$D$29)*(C2590&lt;='Resultats - informe'!$E$29),0,1,1)</f>
        <v>0</v>
      </c>
      <c r="N2590" s="366">
        <f>+VLOOKUP(D2590,'Resultats - informe'!$Y$18:$AG$42,'Introducció dades consum'!K2590+1,0)</f>
        <v>0</v>
      </c>
      <c r="O2590" s="370" cm="1">
        <f t="array" ref="O2590">+_xlfn.SWITCH(MONTH(C2590),1,1,2,1,3,1,4,2,5,2,6,3,7,3,8,3,9,3,10,2,11,2,12,1,2)</f>
        <v>1</v>
      </c>
      <c r="P2590" s="43"/>
    </row>
    <row r="2591" spans="1:16" ht="18" x14ac:dyDescent="0.35">
      <c r="A2591" s="43"/>
      <c r="C2591" s="393"/>
      <c r="E2591" s="394"/>
      <c r="F2591" s="394">
        <v>0.21</v>
      </c>
      <c r="G2591" s="394"/>
      <c r="H2591" s="8" t="s">
        <v>61</v>
      </c>
      <c r="I2591" s="368">
        <f t="shared" si="121"/>
        <v>0</v>
      </c>
      <c r="J2591" s="365">
        <f t="shared" si="120"/>
        <v>0</v>
      </c>
      <c r="K2591" s="369">
        <f t="shared" si="122"/>
        <v>6</v>
      </c>
      <c r="L2591" s="369">
        <f>+IF((C2591&gt;='Resultats - informe'!$E$16)*(C2591&lt;='Resultats - informe'!$G$16),1,0)</f>
        <v>1</v>
      </c>
      <c r="M2591" s="369" cm="1">
        <f t="array" ref="M2591">+_xlfn.IFS((C2591&gt;='Resultats - informe'!$D$26)*(C2591&lt;='Resultats - informe'!$E$26),0,(C2591&gt;='Resultats - informe'!$D$27)*(C2591&lt;='Resultats - informe'!$E$27),0,(C2591&gt;='Resultats - informe'!$D$28)*(C2591&lt;='Resultats - informe'!$E$28),0,(C2591&gt;='Resultats - informe'!$D$29)*(C2591&lt;='Resultats - informe'!$E$29),0,1,1)</f>
        <v>0</v>
      </c>
      <c r="N2591" s="366">
        <f>+VLOOKUP(D2591,'Resultats - informe'!$Y$18:$AG$42,'Introducció dades consum'!K2591+1,0)</f>
        <v>0</v>
      </c>
      <c r="O2591" s="370" cm="1">
        <f t="array" ref="O2591">+_xlfn.SWITCH(MONTH(C2591),1,1,2,1,3,1,4,2,5,2,6,3,7,3,8,3,9,3,10,2,11,2,12,1,2)</f>
        <v>1</v>
      </c>
      <c r="P2591" s="43"/>
    </row>
    <row r="2592" spans="1:16" ht="18" x14ac:dyDescent="0.35">
      <c r="A2592" s="43"/>
      <c r="C2592" s="393"/>
      <c r="E2592" s="394"/>
      <c r="F2592" s="394">
        <v>0</v>
      </c>
      <c r="G2592" s="394"/>
      <c r="H2592" s="8" t="s">
        <v>61</v>
      </c>
      <c r="I2592" s="368">
        <f t="shared" si="121"/>
        <v>0</v>
      </c>
      <c r="J2592" s="365">
        <f t="shared" si="120"/>
        <v>0</v>
      </c>
      <c r="K2592" s="369">
        <f t="shared" si="122"/>
        <v>6</v>
      </c>
      <c r="L2592" s="369">
        <f>+IF((C2592&gt;='Resultats - informe'!$E$16)*(C2592&lt;='Resultats - informe'!$G$16),1,0)</f>
        <v>1</v>
      </c>
      <c r="M2592" s="369" cm="1">
        <f t="array" ref="M2592">+_xlfn.IFS((C2592&gt;='Resultats - informe'!$D$26)*(C2592&lt;='Resultats - informe'!$E$26),0,(C2592&gt;='Resultats - informe'!$D$27)*(C2592&lt;='Resultats - informe'!$E$27),0,(C2592&gt;='Resultats - informe'!$D$28)*(C2592&lt;='Resultats - informe'!$E$28),0,(C2592&gt;='Resultats - informe'!$D$29)*(C2592&lt;='Resultats - informe'!$E$29),0,1,1)</f>
        <v>0</v>
      </c>
      <c r="N2592" s="366">
        <f>+VLOOKUP(D2592,'Resultats - informe'!$Y$18:$AG$42,'Introducció dades consum'!K2592+1,0)</f>
        <v>0</v>
      </c>
      <c r="O2592" s="370" cm="1">
        <f t="array" ref="O2592">+_xlfn.SWITCH(MONTH(C2592),1,1,2,1,3,1,4,2,5,2,6,3,7,3,8,3,9,3,10,2,11,2,12,1,2)</f>
        <v>1</v>
      </c>
      <c r="P2592" s="43"/>
    </row>
    <row r="2593" spans="1:16" ht="18" x14ac:dyDescent="0.35">
      <c r="A2593" s="43"/>
      <c r="C2593" s="393"/>
      <c r="E2593" s="394"/>
      <c r="F2593" s="394">
        <v>0</v>
      </c>
      <c r="G2593" s="394"/>
      <c r="H2593" s="8" t="s">
        <v>61</v>
      </c>
      <c r="I2593" s="368">
        <f t="shared" si="121"/>
        <v>0</v>
      </c>
      <c r="J2593" s="365">
        <f t="shared" si="120"/>
        <v>0</v>
      </c>
      <c r="K2593" s="369">
        <f t="shared" si="122"/>
        <v>6</v>
      </c>
      <c r="L2593" s="369">
        <f>+IF((C2593&gt;='Resultats - informe'!$E$16)*(C2593&lt;='Resultats - informe'!$G$16),1,0)</f>
        <v>1</v>
      </c>
      <c r="M2593" s="369" cm="1">
        <f t="array" ref="M2593">+_xlfn.IFS((C2593&gt;='Resultats - informe'!$D$26)*(C2593&lt;='Resultats - informe'!$E$26),0,(C2593&gt;='Resultats - informe'!$D$27)*(C2593&lt;='Resultats - informe'!$E$27),0,(C2593&gt;='Resultats - informe'!$D$28)*(C2593&lt;='Resultats - informe'!$E$28),0,(C2593&gt;='Resultats - informe'!$D$29)*(C2593&lt;='Resultats - informe'!$E$29),0,1,1)</f>
        <v>0</v>
      </c>
      <c r="N2593" s="366">
        <f>+VLOOKUP(D2593,'Resultats - informe'!$Y$18:$AG$42,'Introducció dades consum'!K2593+1,0)</f>
        <v>0</v>
      </c>
      <c r="O2593" s="370" cm="1">
        <f t="array" ref="O2593">+_xlfn.SWITCH(MONTH(C2593),1,1,2,1,3,1,4,2,5,2,6,3,7,3,8,3,9,3,10,2,11,2,12,1,2)</f>
        <v>1</v>
      </c>
      <c r="P2593" s="43"/>
    </row>
    <row r="2594" spans="1:16" ht="18" x14ac:dyDescent="0.35">
      <c r="A2594" s="43"/>
      <c r="C2594" s="393"/>
      <c r="E2594" s="394"/>
      <c r="F2594" s="394">
        <v>0</v>
      </c>
      <c r="G2594" s="394"/>
      <c r="H2594" s="8" t="s">
        <v>61</v>
      </c>
      <c r="I2594" s="368">
        <f t="shared" si="121"/>
        <v>0</v>
      </c>
      <c r="J2594" s="365">
        <f t="shared" si="120"/>
        <v>0</v>
      </c>
      <c r="K2594" s="369">
        <f t="shared" si="122"/>
        <v>6</v>
      </c>
      <c r="L2594" s="369">
        <f>+IF((C2594&gt;='Resultats - informe'!$E$16)*(C2594&lt;='Resultats - informe'!$G$16),1,0)</f>
        <v>1</v>
      </c>
      <c r="M2594" s="369" cm="1">
        <f t="array" ref="M2594">+_xlfn.IFS((C2594&gt;='Resultats - informe'!$D$26)*(C2594&lt;='Resultats - informe'!$E$26),0,(C2594&gt;='Resultats - informe'!$D$27)*(C2594&lt;='Resultats - informe'!$E$27),0,(C2594&gt;='Resultats - informe'!$D$28)*(C2594&lt;='Resultats - informe'!$E$28),0,(C2594&gt;='Resultats - informe'!$D$29)*(C2594&lt;='Resultats - informe'!$E$29),0,1,1)</f>
        <v>0</v>
      </c>
      <c r="N2594" s="366">
        <f>+VLOOKUP(D2594,'Resultats - informe'!$Y$18:$AG$42,'Introducció dades consum'!K2594+1,0)</f>
        <v>0</v>
      </c>
      <c r="O2594" s="370" cm="1">
        <f t="array" ref="O2594">+_xlfn.SWITCH(MONTH(C2594),1,1,2,1,3,1,4,2,5,2,6,3,7,3,8,3,9,3,10,2,11,2,12,1,2)</f>
        <v>1</v>
      </c>
      <c r="P2594" s="43"/>
    </row>
    <row r="2595" spans="1:16" ht="18" x14ac:dyDescent="0.35">
      <c r="A2595" s="43"/>
      <c r="C2595" s="393"/>
      <c r="E2595" s="394"/>
      <c r="F2595" s="394">
        <v>0</v>
      </c>
      <c r="G2595" s="394"/>
      <c r="H2595" s="8" t="s">
        <v>61</v>
      </c>
      <c r="I2595" s="368">
        <f t="shared" si="121"/>
        <v>0</v>
      </c>
      <c r="J2595" s="365">
        <f t="shared" si="120"/>
        <v>0</v>
      </c>
      <c r="K2595" s="369">
        <f t="shared" si="122"/>
        <v>6</v>
      </c>
      <c r="L2595" s="369">
        <f>+IF((C2595&gt;='Resultats - informe'!$E$16)*(C2595&lt;='Resultats - informe'!$G$16),1,0)</f>
        <v>1</v>
      </c>
      <c r="M2595" s="369" cm="1">
        <f t="array" ref="M2595">+_xlfn.IFS((C2595&gt;='Resultats - informe'!$D$26)*(C2595&lt;='Resultats - informe'!$E$26),0,(C2595&gt;='Resultats - informe'!$D$27)*(C2595&lt;='Resultats - informe'!$E$27),0,(C2595&gt;='Resultats - informe'!$D$28)*(C2595&lt;='Resultats - informe'!$E$28),0,(C2595&gt;='Resultats - informe'!$D$29)*(C2595&lt;='Resultats - informe'!$E$29),0,1,1)</f>
        <v>0</v>
      </c>
      <c r="N2595" s="366">
        <f>+VLOOKUP(D2595,'Resultats - informe'!$Y$18:$AG$42,'Introducció dades consum'!K2595+1,0)</f>
        <v>0</v>
      </c>
      <c r="O2595" s="370" cm="1">
        <f t="array" ref="O2595">+_xlfn.SWITCH(MONTH(C2595),1,1,2,1,3,1,4,2,5,2,6,3,7,3,8,3,9,3,10,2,11,2,12,1,2)</f>
        <v>1</v>
      </c>
      <c r="P2595" s="43"/>
    </row>
    <row r="2596" spans="1:16" ht="18" x14ac:dyDescent="0.35">
      <c r="A2596" s="43"/>
      <c r="C2596" s="393"/>
      <c r="E2596" s="394"/>
      <c r="F2596" s="394">
        <v>0</v>
      </c>
      <c r="G2596" s="394"/>
      <c r="H2596" s="8" t="s">
        <v>61</v>
      </c>
      <c r="I2596" s="368">
        <f t="shared" si="121"/>
        <v>0</v>
      </c>
      <c r="J2596" s="365">
        <f t="shared" si="120"/>
        <v>0</v>
      </c>
      <c r="K2596" s="369">
        <f t="shared" si="122"/>
        <v>6</v>
      </c>
      <c r="L2596" s="369">
        <f>+IF((C2596&gt;='Resultats - informe'!$E$16)*(C2596&lt;='Resultats - informe'!$G$16),1,0)</f>
        <v>1</v>
      </c>
      <c r="M2596" s="369" cm="1">
        <f t="array" ref="M2596">+_xlfn.IFS((C2596&gt;='Resultats - informe'!$D$26)*(C2596&lt;='Resultats - informe'!$E$26),0,(C2596&gt;='Resultats - informe'!$D$27)*(C2596&lt;='Resultats - informe'!$E$27),0,(C2596&gt;='Resultats - informe'!$D$28)*(C2596&lt;='Resultats - informe'!$E$28),0,(C2596&gt;='Resultats - informe'!$D$29)*(C2596&lt;='Resultats - informe'!$E$29),0,1,1)</f>
        <v>0</v>
      </c>
      <c r="N2596" s="366">
        <f>+VLOOKUP(D2596,'Resultats - informe'!$Y$18:$AG$42,'Introducció dades consum'!K2596+1,0)</f>
        <v>0</v>
      </c>
      <c r="O2596" s="370" cm="1">
        <f t="array" ref="O2596">+_xlfn.SWITCH(MONTH(C2596),1,1,2,1,3,1,4,2,5,2,6,3,7,3,8,3,9,3,10,2,11,2,12,1,2)</f>
        <v>1</v>
      </c>
      <c r="P2596" s="43"/>
    </row>
    <row r="2597" spans="1:16" ht="18" x14ac:dyDescent="0.35">
      <c r="A2597" s="43"/>
      <c r="C2597" s="393"/>
      <c r="E2597" s="394"/>
      <c r="F2597" s="394">
        <v>0</v>
      </c>
      <c r="G2597" s="394"/>
      <c r="H2597" s="8" t="s">
        <v>61</v>
      </c>
      <c r="I2597" s="368">
        <f t="shared" si="121"/>
        <v>0</v>
      </c>
      <c r="J2597" s="365">
        <f t="shared" si="120"/>
        <v>0</v>
      </c>
      <c r="K2597" s="369">
        <f t="shared" si="122"/>
        <v>6</v>
      </c>
      <c r="L2597" s="369">
        <f>+IF((C2597&gt;='Resultats - informe'!$E$16)*(C2597&lt;='Resultats - informe'!$G$16),1,0)</f>
        <v>1</v>
      </c>
      <c r="M2597" s="369" cm="1">
        <f t="array" ref="M2597">+_xlfn.IFS((C2597&gt;='Resultats - informe'!$D$26)*(C2597&lt;='Resultats - informe'!$E$26),0,(C2597&gt;='Resultats - informe'!$D$27)*(C2597&lt;='Resultats - informe'!$E$27),0,(C2597&gt;='Resultats - informe'!$D$28)*(C2597&lt;='Resultats - informe'!$E$28),0,(C2597&gt;='Resultats - informe'!$D$29)*(C2597&lt;='Resultats - informe'!$E$29),0,1,1)</f>
        <v>0</v>
      </c>
      <c r="N2597" s="366">
        <f>+VLOOKUP(D2597,'Resultats - informe'!$Y$18:$AG$42,'Introducció dades consum'!K2597+1,0)</f>
        <v>0</v>
      </c>
      <c r="O2597" s="370" cm="1">
        <f t="array" ref="O2597">+_xlfn.SWITCH(MONTH(C2597),1,1,2,1,3,1,4,2,5,2,6,3,7,3,8,3,9,3,10,2,11,2,12,1,2)</f>
        <v>1</v>
      </c>
      <c r="P2597" s="43"/>
    </row>
    <row r="2598" spans="1:16" ht="18" x14ac:dyDescent="0.35">
      <c r="A2598" s="43"/>
      <c r="C2598" s="393"/>
      <c r="E2598" s="394"/>
      <c r="F2598" s="394">
        <v>0</v>
      </c>
      <c r="G2598" s="394"/>
      <c r="H2598" s="8" t="s">
        <v>61</v>
      </c>
      <c r="I2598" s="368">
        <f t="shared" si="121"/>
        <v>0</v>
      </c>
      <c r="J2598" s="365">
        <f t="shared" si="120"/>
        <v>0</v>
      </c>
      <c r="K2598" s="369">
        <f t="shared" si="122"/>
        <v>6</v>
      </c>
      <c r="L2598" s="369">
        <f>+IF((C2598&gt;='Resultats - informe'!$E$16)*(C2598&lt;='Resultats - informe'!$G$16),1,0)</f>
        <v>1</v>
      </c>
      <c r="M2598" s="369" cm="1">
        <f t="array" ref="M2598">+_xlfn.IFS((C2598&gt;='Resultats - informe'!$D$26)*(C2598&lt;='Resultats - informe'!$E$26),0,(C2598&gt;='Resultats - informe'!$D$27)*(C2598&lt;='Resultats - informe'!$E$27),0,(C2598&gt;='Resultats - informe'!$D$28)*(C2598&lt;='Resultats - informe'!$E$28),0,(C2598&gt;='Resultats - informe'!$D$29)*(C2598&lt;='Resultats - informe'!$E$29),0,1,1)</f>
        <v>0</v>
      </c>
      <c r="N2598" s="366">
        <f>+VLOOKUP(D2598,'Resultats - informe'!$Y$18:$AG$42,'Introducció dades consum'!K2598+1,0)</f>
        <v>0</v>
      </c>
      <c r="O2598" s="370" cm="1">
        <f t="array" ref="O2598">+_xlfn.SWITCH(MONTH(C2598),1,1,2,1,3,1,4,2,5,2,6,3,7,3,8,3,9,3,10,2,11,2,12,1,2)</f>
        <v>1</v>
      </c>
      <c r="P2598" s="43"/>
    </row>
    <row r="2599" spans="1:16" ht="18" x14ac:dyDescent="0.35">
      <c r="A2599" s="43"/>
      <c r="C2599" s="393"/>
      <c r="E2599" s="394"/>
      <c r="F2599" s="394">
        <v>0</v>
      </c>
      <c r="G2599" s="394"/>
      <c r="H2599" s="8" t="s">
        <v>61</v>
      </c>
      <c r="I2599" s="368">
        <f t="shared" si="121"/>
        <v>0</v>
      </c>
      <c r="J2599" s="365">
        <f t="shared" si="120"/>
        <v>0</v>
      </c>
      <c r="K2599" s="369">
        <f t="shared" si="122"/>
        <v>6</v>
      </c>
      <c r="L2599" s="369">
        <f>+IF((C2599&gt;='Resultats - informe'!$E$16)*(C2599&lt;='Resultats - informe'!$G$16),1,0)</f>
        <v>1</v>
      </c>
      <c r="M2599" s="369" cm="1">
        <f t="array" ref="M2599">+_xlfn.IFS((C2599&gt;='Resultats - informe'!$D$26)*(C2599&lt;='Resultats - informe'!$E$26),0,(C2599&gt;='Resultats - informe'!$D$27)*(C2599&lt;='Resultats - informe'!$E$27),0,(C2599&gt;='Resultats - informe'!$D$28)*(C2599&lt;='Resultats - informe'!$E$28),0,(C2599&gt;='Resultats - informe'!$D$29)*(C2599&lt;='Resultats - informe'!$E$29),0,1,1)</f>
        <v>0</v>
      </c>
      <c r="N2599" s="366">
        <f>+VLOOKUP(D2599,'Resultats - informe'!$Y$18:$AG$42,'Introducció dades consum'!K2599+1,0)</f>
        <v>0</v>
      </c>
      <c r="O2599" s="370" cm="1">
        <f t="array" ref="O2599">+_xlfn.SWITCH(MONTH(C2599),1,1,2,1,3,1,4,2,5,2,6,3,7,3,8,3,9,3,10,2,11,2,12,1,2)</f>
        <v>1</v>
      </c>
      <c r="P2599" s="43"/>
    </row>
    <row r="2600" spans="1:16" ht="18" x14ac:dyDescent="0.35">
      <c r="A2600" s="43"/>
      <c r="C2600" s="393"/>
      <c r="E2600" s="394"/>
      <c r="F2600" s="394">
        <v>0</v>
      </c>
      <c r="G2600" s="394"/>
      <c r="H2600" s="8" t="s">
        <v>235</v>
      </c>
      <c r="I2600" s="368">
        <f t="shared" si="121"/>
        <v>0</v>
      </c>
      <c r="J2600" s="365">
        <f t="shared" si="120"/>
        <v>0</v>
      </c>
      <c r="K2600" s="369">
        <f t="shared" si="122"/>
        <v>6</v>
      </c>
      <c r="L2600" s="369">
        <f>+IF((C2600&gt;='Resultats - informe'!$E$16)*(C2600&lt;='Resultats - informe'!$G$16),1,0)</f>
        <v>1</v>
      </c>
      <c r="M2600" s="369" cm="1">
        <f t="array" ref="M2600">+_xlfn.IFS((C2600&gt;='Resultats - informe'!$D$26)*(C2600&lt;='Resultats - informe'!$E$26),0,(C2600&gt;='Resultats - informe'!$D$27)*(C2600&lt;='Resultats - informe'!$E$27),0,(C2600&gt;='Resultats - informe'!$D$28)*(C2600&lt;='Resultats - informe'!$E$28),0,(C2600&gt;='Resultats - informe'!$D$29)*(C2600&lt;='Resultats - informe'!$E$29),0,1,1)</f>
        <v>0</v>
      </c>
      <c r="N2600" s="366">
        <f>+VLOOKUP(D2600,'Resultats - informe'!$Y$18:$AG$42,'Introducció dades consum'!K2600+1,0)</f>
        <v>0</v>
      </c>
      <c r="O2600" s="370" cm="1">
        <f t="array" ref="O2600">+_xlfn.SWITCH(MONTH(C2600),1,1,2,1,3,1,4,2,5,2,6,3,7,3,8,3,9,3,10,2,11,2,12,1,2)</f>
        <v>1</v>
      </c>
      <c r="P2600" s="43"/>
    </row>
    <row r="2601" spans="1:16" ht="18" x14ac:dyDescent="0.35">
      <c r="A2601" s="43"/>
      <c r="C2601" s="393"/>
      <c r="E2601" s="394"/>
      <c r="F2601" s="394">
        <v>0</v>
      </c>
      <c r="G2601" s="394"/>
      <c r="H2601" s="8" t="s">
        <v>235</v>
      </c>
      <c r="I2601" s="368">
        <f t="shared" si="121"/>
        <v>0</v>
      </c>
      <c r="J2601" s="365">
        <f t="shared" si="120"/>
        <v>0</v>
      </c>
      <c r="K2601" s="369">
        <f t="shared" si="122"/>
        <v>6</v>
      </c>
      <c r="L2601" s="369">
        <f>+IF((C2601&gt;='Resultats - informe'!$E$16)*(C2601&lt;='Resultats - informe'!$G$16),1,0)</f>
        <v>1</v>
      </c>
      <c r="M2601" s="369" cm="1">
        <f t="array" ref="M2601">+_xlfn.IFS((C2601&gt;='Resultats - informe'!$D$26)*(C2601&lt;='Resultats - informe'!$E$26),0,(C2601&gt;='Resultats - informe'!$D$27)*(C2601&lt;='Resultats - informe'!$E$27),0,(C2601&gt;='Resultats - informe'!$D$28)*(C2601&lt;='Resultats - informe'!$E$28),0,(C2601&gt;='Resultats - informe'!$D$29)*(C2601&lt;='Resultats - informe'!$E$29),0,1,1)</f>
        <v>0</v>
      </c>
      <c r="N2601" s="366">
        <f>+VLOOKUP(D2601,'Resultats - informe'!$Y$18:$AG$42,'Introducció dades consum'!K2601+1,0)</f>
        <v>0</v>
      </c>
      <c r="O2601" s="370" cm="1">
        <f t="array" ref="O2601">+_xlfn.SWITCH(MONTH(C2601),1,1,2,1,3,1,4,2,5,2,6,3,7,3,8,3,9,3,10,2,11,2,12,1,2)</f>
        <v>1</v>
      </c>
      <c r="P2601" s="43"/>
    </row>
    <row r="2602" spans="1:16" ht="18" x14ac:dyDescent="0.35">
      <c r="A2602" s="43"/>
      <c r="C2602" s="393"/>
      <c r="E2602" s="394"/>
      <c r="F2602" s="394">
        <v>0.77500000000000002</v>
      </c>
      <c r="G2602" s="394"/>
      <c r="H2602" s="8" t="s">
        <v>235</v>
      </c>
      <c r="I2602" s="368">
        <f t="shared" si="121"/>
        <v>0</v>
      </c>
      <c r="J2602" s="365">
        <f t="shared" si="120"/>
        <v>0</v>
      </c>
      <c r="K2602" s="369">
        <f t="shared" si="122"/>
        <v>6</v>
      </c>
      <c r="L2602" s="369">
        <f>+IF((C2602&gt;='Resultats - informe'!$E$16)*(C2602&lt;='Resultats - informe'!$G$16),1,0)</f>
        <v>1</v>
      </c>
      <c r="M2602" s="369" cm="1">
        <f t="array" ref="M2602">+_xlfn.IFS((C2602&gt;='Resultats - informe'!$D$26)*(C2602&lt;='Resultats - informe'!$E$26),0,(C2602&gt;='Resultats - informe'!$D$27)*(C2602&lt;='Resultats - informe'!$E$27),0,(C2602&gt;='Resultats - informe'!$D$28)*(C2602&lt;='Resultats - informe'!$E$28),0,(C2602&gt;='Resultats - informe'!$D$29)*(C2602&lt;='Resultats - informe'!$E$29),0,1,1)</f>
        <v>0</v>
      </c>
      <c r="N2602" s="366">
        <f>+VLOOKUP(D2602,'Resultats - informe'!$Y$18:$AG$42,'Introducció dades consum'!K2602+1,0)</f>
        <v>0</v>
      </c>
      <c r="O2602" s="370" cm="1">
        <f t="array" ref="O2602">+_xlfn.SWITCH(MONTH(C2602),1,1,2,1,3,1,4,2,5,2,6,3,7,3,8,3,9,3,10,2,11,2,12,1,2)</f>
        <v>1</v>
      </c>
      <c r="P2602" s="43"/>
    </row>
    <row r="2603" spans="1:16" ht="18" x14ac:dyDescent="0.35">
      <c r="A2603" s="43"/>
      <c r="C2603" s="393"/>
      <c r="E2603" s="394"/>
      <c r="F2603" s="394">
        <v>1.6060000000000001</v>
      </c>
      <c r="G2603" s="394"/>
      <c r="H2603" s="8" t="s">
        <v>235</v>
      </c>
      <c r="I2603" s="368">
        <f t="shared" si="121"/>
        <v>0</v>
      </c>
      <c r="J2603" s="365">
        <f t="shared" si="120"/>
        <v>0</v>
      </c>
      <c r="K2603" s="369">
        <f t="shared" si="122"/>
        <v>6</v>
      </c>
      <c r="L2603" s="369">
        <f>+IF((C2603&gt;='Resultats - informe'!$E$16)*(C2603&lt;='Resultats - informe'!$G$16),1,0)</f>
        <v>1</v>
      </c>
      <c r="M2603" s="369" cm="1">
        <f t="array" ref="M2603">+_xlfn.IFS((C2603&gt;='Resultats - informe'!$D$26)*(C2603&lt;='Resultats - informe'!$E$26),0,(C2603&gt;='Resultats - informe'!$D$27)*(C2603&lt;='Resultats - informe'!$E$27),0,(C2603&gt;='Resultats - informe'!$D$28)*(C2603&lt;='Resultats - informe'!$E$28),0,(C2603&gt;='Resultats - informe'!$D$29)*(C2603&lt;='Resultats - informe'!$E$29),0,1,1)</f>
        <v>0</v>
      </c>
      <c r="N2603" s="366">
        <f>+VLOOKUP(D2603,'Resultats - informe'!$Y$18:$AG$42,'Introducció dades consum'!K2603+1,0)</f>
        <v>0</v>
      </c>
      <c r="O2603" s="370" cm="1">
        <f t="array" ref="O2603">+_xlfn.SWITCH(MONTH(C2603),1,1,2,1,3,1,4,2,5,2,6,3,7,3,8,3,9,3,10,2,11,2,12,1,2)</f>
        <v>1</v>
      </c>
      <c r="P2603" s="43"/>
    </row>
    <row r="2604" spans="1:16" ht="18" x14ac:dyDescent="0.35">
      <c r="A2604" s="43"/>
      <c r="C2604" s="393"/>
      <c r="E2604" s="394"/>
      <c r="F2604" s="394">
        <v>2.5550000000000002</v>
      </c>
      <c r="G2604" s="394"/>
      <c r="H2604" s="8" t="s">
        <v>235</v>
      </c>
      <c r="I2604" s="368">
        <f t="shared" si="121"/>
        <v>0</v>
      </c>
      <c r="J2604" s="365">
        <f t="shared" si="120"/>
        <v>0</v>
      </c>
      <c r="K2604" s="369">
        <f t="shared" si="122"/>
        <v>6</v>
      </c>
      <c r="L2604" s="369">
        <f>+IF((C2604&gt;='Resultats - informe'!$E$16)*(C2604&lt;='Resultats - informe'!$G$16),1,0)</f>
        <v>1</v>
      </c>
      <c r="M2604" s="369" cm="1">
        <f t="array" ref="M2604">+_xlfn.IFS((C2604&gt;='Resultats - informe'!$D$26)*(C2604&lt;='Resultats - informe'!$E$26),0,(C2604&gt;='Resultats - informe'!$D$27)*(C2604&lt;='Resultats - informe'!$E$27),0,(C2604&gt;='Resultats - informe'!$D$28)*(C2604&lt;='Resultats - informe'!$E$28),0,(C2604&gt;='Resultats - informe'!$D$29)*(C2604&lt;='Resultats - informe'!$E$29),0,1,1)</f>
        <v>0</v>
      </c>
      <c r="N2604" s="366">
        <f>+VLOOKUP(D2604,'Resultats - informe'!$Y$18:$AG$42,'Introducció dades consum'!K2604+1,0)</f>
        <v>0</v>
      </c>
      <c r="O2604" s="370" cm="1">
        <f t="array" ref="O2604">+_xlfn.SWITCH(MONTH(C2604),1,1,2,1,3,1,4,2,5,2,6,3,7,3,8,3,9,3,10,2,11,2,12,1,2)</f>
        <v>1</v>
      </c>
      <c r="P2604" s="43"/>
    </row>
    <row r="2605" spans="1:16" ht="18" x14ac:dyDescent="0.35">
      <c r="A2605" s="43"/>
      <c r="C2605" s="393"/>
      <c r="E2605" s="394"/>
      <c r="F2605" s="394">
        <v>3.0449999999999999</v>
      </c>
      <c r="G2605" s="394"/>
      <c r="H2605" s="8" t="s">
        <v>235</v>
      </c>
      <c r="I2605" s="368">
        <f t="shared" si="121"/>
        <v>0</v>
      </c>
      <c r="J2605" s="365">
        <f t="shared" si="120"/>
        <v>0</v>
      </c>
      <c r="K2605" s="369">
        <f t="shared" si="122"/>
        <v>6</v>
      </c>
      <c r="L2605" s="369">
        <f>+IF((C2605&gt;='Resultats - informe'!$E$16)*(C2605&lt;='Resultats - informe'!$G$16),1,0)</f>
        <v>1</v>
      </c>
      <c r="M2605" s="369" cm="1">
        <f t="array" ref="M2605">+_xlfn.IFS((C2605&gt;='Resultats - informe'!$D$26)*(C2605&lt;='Resultats - informe'!$E$26),0,(C2605&gt;='Resultats - informe'!$D$27)*(C2605&lt;='Resultats - informe'!$E$27),0,(C2605&gt;='Resultats - informe'!$D$28)*(C2605&lt;='Resultats - informe'!$E$28),0,(C2605&gt;='Resultats - informe'!$D$29)*(C2605&lt;='Resultats - informe'!$E$29),0,1,1)</f>
        <v>0</v>
      </c>
      <c r="N2605" s="366">
        <f>+VLOOKUP(D2605,'Resultats - informe'!$Y$18:$AG$42,'Introducció dades consum'!K2605+1,0)</f>
        <v>0</v>
      </c>
      <c r="O2605" s="370" cm="1">
        <f t="array" ref="O2605">+_xlfn.SWITCH(MONTH(C2605),1,1,2,1,3,1,4,2,5,2,6,3,7,3,8,3,9,3,10,2,11,2,12,1,2)</f>
        <v>1</v>
      </c>
      <c r="P2605" s="43"/>
    </row>
    <row r="2606" spans="1:16" ht="18" x14ac:dyDescent="0.35">
      <c r="A2606" s="43"/>
      <c r="C2606" s="393"/>
      <c r="E2606" s="394"/>
      <c r="F2606" s="394">
        <v>3.4470000000000001</v>
      </c>
      <c r="G2606" s="394"/>
      <c r="H2606" s="8" t="s">
        <v>235</v>
      </c>
      <c r="I2606" s="368">
        <f t="shared" si="121"/>
        <v>0</v>
      </c>
      <c r="J2606" s="365">
        <f t="shared" si="120"/>
        <v>0</v>
      </c>
      <c r="K2606" s="369">
        <f t="shared" si="122"/>
        <v>6</v>
      </c>
      <c r="L2606" s="369">
        <f>+IF((C2606&gt;='Resultats - informe'!$E$16)*(C2606&lt;='Resultats - informe'!$G$16),1,0)</f>
        <v>1</v>
      </c>
      <c r="M2606" s="369" cm="1">
        <f t="array" ref="M2606">+_xlfn.IFS((C2606&gt;='Resultats - informe'!$D$26)*(C2606&lt;='Resultats - informe'!$E$26),0,(C2606&gt;='Resultats - informe'!$D$27)*(C2606&lt;='Resultats - informe'!$E$27),0,(C2606&gt;='Resultats - informe'!$D$28)*(C2606&lt;='Resultats - informe'!$E$28),0,(C2606&gt;='Resultats - informe'!$D$29)*(C2606&lt;='Resultats - informe'!$E$29),0,1,1)</f>
        <v>0</v>
      </c>
      <c r="N2606" s="366">
        <f>+VLOOKUP(D2606,'Resultats - informe'!$Y$18:$AG$42,'Introducció dades consum'!K2606+1,0)</f>
        <v>0</v>
      </c>
      <c r="O2606" s="370" cm="1">
        <f t="array" ref="O2606">+_xlfn.SWITCH(MONTH(C2606),1,1,2,1,3,1,4,2,5,2,6,3,7,3,8,3,9,3,10,2,11,2,12,1,2)</f>
        <v>1</v>
      </c>
      <c r="P2606" s="43"/>
    </row>
    <row r="2607" spans="1:16" ht="18" x14ac:dyDescent="0.35">
      <c r="A2607" s="43"/>
      <c r="C2607" s="393"/>
      <c r="E2607" s="394"/>
      <c r="F2607" s="394">
        <v>3.5779999999999998</v>
      </c>
      <c r="G2607" s="394"/>
      <c r="H2607" s="8" t="s">
        <v>235</v>
      </c>
      <c r="I2607" s="368">
        <f t="shared" si="121"/>
        <v>0</v>
      </c>
      <c r="J2607" s="365">
        <f t="shared" si="120"/>
        <v>0</v>
      </c>
      <c r="K2607" s="369">
        <f t="shared" si="122"/>
        <v>6</v>
      </c>
      <c r="L2607" s="369">
        <f>+IF((C2607&gt;='Resultats - informe'!$E$16)*(C2607&lt;='Resultats - informe'!$G$16),1,0)</f>
        <v>1</v>
      </c>
      <c r="M2607" s="369" cm="1">
        <f t="array" ref="M2607">+_xlfn.IFS((C2607&gt;='Resultats - informe'!$D$26)*(C2607&lt;='Resultats - informe'!$E$26),0,(C2607&gt;='Resultats - informe'!$D$27)*(C2607&lt;='Resultats - informe'!$E$27),0,(C2607&gt;='Resultats - informe'!$D$28)*(C2607&lt;='Resultats - informe'!$E$28),0,(C2607&gt;='Resultats - informe'!$D$29)*(C2607&lt;='Resultats - informe'!$E$29),0,1,1)</f>
        <v>0</v>
      </c>
      <c r="N2607" s="366">
        <f>+VLOOKUP(D2607,'Resultats - informe'!$Y$18:$AG$42,'Introducció dades consum'!K2607+1,0)</f>
        <v>0</v>
      </c>
      <c r="O2607" s="370" cm="1">
        <f t="array" ref="O2607">+_xlfn.SWITCH(MONTH(C2607),1,1,2,1,3,1,4,2,5,2,6,3,7,3,8,3,9,3,10,2,11,2,12,1,2)</f>
        <v>1</v>
      </c>
      <c r="P2607" s="43"/>
    </row>
    <row r="2608" spans="1:16" ht="18" x14ac:dyDescent="0.35">
      <c r="A2608" s="43"/>
      <c r="C2608" s="393"/>
      <c r="E2608" s="394"/>
      <c r="F2608" s="394">
        <v>0.94199999999999995</v>
      </c>
      <c r="G2608" s="394"/>
      <c r="H2608" s="8" t="s">
        <v>61</v>
      </c>
      <c r="I2608" s="368">
        <f t="shared" si="121"/>
        <v>0</v>
      </c>
      <c r="J2608" s="365">
        <f t="shared" si="120"/>
        <v>0</v>
      </c>
      <c r="K2608" s="369">
        <f t="shared" si="122"/>
        <v>6</v>
      </c>
      <c r="L2608" s="369">
        <f>+IF((C2608&gt;='Resultats - informe'!$E$16)*(C2608&lt;='Resultats - informe'!$G$16),1,0)</f>
        <v>1</v>
      </c>
      <c r="M2608" s="369" cm="1">
        <f t="array" ref="M2608">+_xlfn.IFS((C2608&gt;='Resultats - informe'!$D$26)*(C2608&lt;='Resultats - informe'!$E$26),0,(C2608&gt;='Resultats - informe'!$D$27)*(C2608&lt;='Resultats - informe'!$E$27),0,(C2608&gt;='Resultats - informe'!$D$28)*(C2608&lt;='Resultats - informe'!$E$28),0,(C2608&gt;='Resultats - informe'!$D$29)*(C2608&lt;='Resultats - informe'!$E$29),0,1,1)</f>
        <v>0</v>
      </c>
      <c r="N2608" s="366">
        <f>+VLOOKUP(D2608,'Resultats - informe'!$Y$18:$AG$42,'Introducció dades consum'!K2608+1,0)</f>
        <v>0</v>
      </c>
      <c r="O2608" s="370" cm="1">
        <f t="array" ref="O2608">+_xlfn.SWITCH(MONTH(C2608),1,1,2,1,3,1,4,2,5,2,6,3,7,3,8,3,9,3,10,2,11,2,12,1,2)</f>
        <v>1</v>
      </c>
      <c r="P2608" s="43"/>
    </row>
    <row r="2609" spans="1:16" ht="18" x14ac:dyDescent="0.35">
      <c r="A2609" s="43"/>
      <c r="C2609" s="393"/>
      <c r="E2609" s="394"/>
      <c r="F2609" s="394">
        <v>1.482</v>
      </c>
      <c r="G2609" s="394"/>
      <c r="H2609" s="8" t="s">
        <v>61</v>
      </c>
      <c r="I2609" s="368">
        <f t="shared" si="121"/>
        <v>0</v>
      </c>
      <c r="J2609" s="365">
        <f t="shared" si="120"/>
        <v>0</v>
      </c>
      <c r="K2609" s="369">
        <f t="shared" si="122"/>
        <v>6</v>
      </c>
      <c r="L2609" s="369">
        <f>+IF((C2609&gt;='Resultats - informe'!$E$16)*(C2609&lt;='Resultats - informe'!$G$16),1,0)</f>
        <v>1</v>
      </c>
      <c r="M2609" s="369" cm="1">
        <f t="array" ref="M2609">+_xlfn.IFS((C2609&gt;='Resultats - informe'!$D$26)*(C2609&lt;='Resultats - informe'!$E$26),0,(C2609&gt;='Resultats - informe'!$D$27)*(C2609&lt;='Resultats - informe'!$E$27),0,(C2609&gt;='Resultats - informe'!$D$28)*(C2609&lt;='Resultats - informe'!$E$28),0,(C2609&gt;='Resultats - informe'!$D$29)*(C2609&lt;='Resultats - informe'!$E$29),0,1,1)</f>
        <v>0</v>
      </c>
      <c r="N2609" s="366">
        <f>+VLOOKUP(D2609,'Resultats - informe'!$Y$18:$AG$42,'Introducció dades consum'!K2609+1,0)</f>
        <v>0</v>
      </c>
      <c r="O2609" s="370" cm="1">
        <f t="array" ref="O2609">+_xlfn.SWITCH(MONTH(C2609),1,1,2,1,3,1,4,2,5,2,6,3,7,3,8,3,9,3,10,2,11,2,12,1,2)</f>
        <v>1</v>
      </c>
      <c r="P2609" s="43"/>
    </row>
    <row r="2610" spans="1:16" ht="18" x14ac:dyDescent="0.35">
      <c r="A2610" s="43"/>
      <c r="C2610" s="393"/>
      <c r="E2610" s="394"/>
      <c r="F2610" s="394">
        <v>1.1200000000000001</v>
      </c>
      <c r="G2610" s="394"/>
      <c r="H2610" s="8" t="s">
        <v>61</v>
      </c>
      <c r="I2610" s="368">
        <f t="shared" si="121"/>
        <v>0</v>
      </c>
      <c r="J2610" s="365">
        <f t="shared" si="120"/>
        <v>0</v>
      </c>
      <c r="K2610" s="369">
        <f t="shared" si="122"/>
        <v>6</v>
      </c>
      <c r="L2610" s="369">
        <f>+IF((C2610&gt;='Resultats - informe'!$E$16)*(C2610&lt;='Resultats - informe'!$G$16),1,0)</f>
        <v>1</v>
      </c>
      <c r="M2610" s="369" cm="1">
        <f t="array" ref="M2610">+_xlfn.IFS((C2610&gt;='Resultats - informe'!$D$26)*(C2610&lt;='Resultats - informe'!$E$26),0,(C2610&gt;='Resultats - informe'!$D$27)*(C2610&lt;='Resultats - informe'!$E$27),0,(C2610&gt;='Resultats - informe'!$D$28)*(C2610&lt;='Resultats - informe'!$E$28),0,(C2610&gt;='Resultats - informe'!$D$29)*(C2610&lt;='Resultats - informe'!$E$29),0,1,1)</f>
        <v>0</v>
      </c>
      <c r="N2610" s="366">
        <f>+VLOOKUP(D2610,'Resultats - informe'!$Y$18:$AG$42,'Introducció dades consum'!K2610+1,0)</f>
        <v>0</v>
      </c>
      <c r="O2610" s="370" cm="1">
        <f t="array" ref="O2610">+_xlfn.SWITCH(MONTH(C2610),1,1,2,1,3,1,4,2,5,2,6,3,7,3,8,3,9,3,10,2,11,2,12,1,2)</f>
        <v>1</v>
      </c>
      <c r="P2610" s="43"/>
    </row>
    <row r="2611" spans="1:16" ht="18" x14ac:dyDescent="0.35">
      <c r="A2611" s="43"/>
      <c r="C2611" s="393"/>
      <c r="E2611" s="394"/>
      <c r="F2611" s="394">
        <v>0.18099999999999999</v>
      </c>
      <c r="G2611" s="394"/>
      <c r="H2611" s="8" t="s">
        <v>61</v>
      </c>
      <c r="I2611" s="368">
        <f t="shared" si="121"/>
        <v>0</v>
      </c>
      <c r="J2611" s="365">
        <f t="shared" si="120"/>
        <v>0</v>
      </c>
      <c r="K2611" s="369">
        <f t="shared" si="122"/>
        <v>6</v>
      </c>
      <c r="L2611" s="369">
        <f>+IF((C2611&gt;='Resultats - informe'!$E$16)*(C2611&lt;='Resultats - informe'!$G$16),1,0)</f>
        <v>1</v>
      </c>
      <c r="M2611" s="369" cm="1">
        <f t="array" ref="M2611">+_xlfn.IFS((C2611&gt;='Resultats - informe'!$D$26)*(C2611&lt;='Resultats - informe'!$E$26),0,(C2611&gt;='Resultats - informe'!$D$27)*(C2611&lt;='Resultats - informe'!$E$27),0,(C2611&gt;='Resultats - informe'!$D$28)*(C2611&lt;='Resultats - informe'!$E$28),0,(C2611&gt;='Resultats - informe'!$D$29)*(C2611&lt;='Resultats - informe'!$E$29),0,1,1)</f>
        <v>0</v>
      </c>
      <c r="N2611" s="366">
        <f>+VLOOKUP(D2611,'Resultats - informe'!$Y$18:$AG$42,'Introducció dades consum'!K2611+1,0)</f>
        <v>0</v>
      </c>
      <c r="O2611" s="370" cm="1">
        <f t="array" ref="O2611">+_xlfn.SWITCH(MONTH(C2611),1,1,2,1,3,1,4,2,5,2,6,3,7,3,8,3,9,3,10,2,11,2,12,1,2)</f>
        <v>1</v>
      </c>
      <c r="P2611" s="43"/>
    </row>
    <row r="2612" spans="1:16" ht="18" x14ac:dyDescent="0.35">
      <c r="A2612" s="43"/>
      <c r="C2612" s="393"/>
      <c r="E2612" s="394"/>
      <c r="F2612" s="394">
        <v>0.14099999999999999</v>
      </c>
      <c r="G2612" s="394"/>
      <c r="H2612" s="8" t="s">
        <v>61</v>
      </c>
      <c r="I2612" s="368">
        <f t="shared" si="121"/>
        <v>0</v>
      </c>
      <c r="J2612" s="365">
        <f t="shared" si="120"/>
        <v>0</v>
      </c>
      <c r="K2612" s="369">
        <f t="shared" si="122"/>
        <v>6</v>
      </c>
      <c r="L2612" s="369">
        <f>+IF((C2612&gt;='Resultats - informe'!$E$16)*(C2612&lt;='Resultats - informe'!$G$16),1,0)</f>
        <v>1</v>
      </c>
      <c r="M2612" s="369" cm="1">
        <f t="array" ref="M2612">+_xlfn.IFS((C2612&gt;='Resultats - informe'!$D$26)*(C2612&lt;='Resultats - informe'!$E$26),0,(C2612&gt;='Resultats - informe'!$D$27)*(C2612&lt;='Resultats - informe'!$E$27),0,(C2612&gt;='Resultats - informe'!$D$28)*(C2612&lt;='Resultats - informe'!$E$28),0,(C2612&gt;='Resultats - informe'!$D$29)*(C2612&lt;='Resultats - informe'!$E$29),0,1,1)</f>
        <v>0</v>
      </c>
      <c r="N2612" s="366">
        <f>+VLOOKUP(D2612,'Resultats - informe'!$Y$18:$AG$42,'Introducció dades consum'!K2612+1,0)</f>
        <v>0</v>
      </c>
      <c r="O2612" s="370" cm="1">
        <f t="array" ref="O2612">+_xlfn.SWITCH(MONTH(C2612),1,1,2,1,3,1,4,2,5,2,6,3,7,3,8,3,9,3,10,2,11,2,12,1,2)</f>
        <v>1</v>
      </c>
      <c r="P2612" s="43"/>
    </row>
    <row r="2613" spans="1:16" ht="18" x14ac:dyDescent="0.35">
      <c r="A2613" s="43"/>
      <c r="C2613" s="393"/>
      <c r="E2613" s="394"/>
      <c r="F2613" s="394">
        <v>0</v>
      </c>
      <c r="G2613" s="394"/>
      <c r="H2613" s="8" t="s">
        <v>61</v>
      </c>
      <c r="I2613" s="368">
        <f t="shared" si="121"/>
        <v>0</v>
      </c>
      <c r="J2613" s="365">
        <f t="shared" si="120"/>
        <v>0</v>
      </c>
      <c r="K2613" s="369">
        <f t="shared" si="122"/>
        <v>6</v>
      </c>
      <c r="L2613" s="369">
        <f>+IF((C2613&gt;='Resultats - informe'!$E$16)*(C2613&lt;='Resultats - informe'!$G$16),1,0)</f>
        <v>1</v>
      </c>
      <c r="M2613" s="369" cm="1">
        <f t="array" ref="M2613">+_xlfn.IFS((C2613&gt;='Resultats - informe'!$D$26)*(C2613&lt;='Resultats - informe'!$E$26),0,(C2613&gt;='Resultats - informe'!$D$27)*(C2613&lt;='Resultats - informe'!$E$27),0,(C2613&gt;='Resultats - informe'!$D$28)*(C2613&lt;='Resultats - informe'!$E$28),0,(C2613&gt;='Resultats - informe'!$D$29)*(C2613&lt;='Resultats - informe'!$E$29),0,1,1)</f>
        <v>0</v>
      </c>
      <c r="N2613" s="366">
        <f>+VLOOKUP(D2613,'Resultats - informe'!$Y$18:$AG$42,'Introducció dades consum'!K2613+1,0)</f>
        <v>0</v>
      </c>
      <c r="O2613" s="370" cm="1">
        <f t="array" ref="O2613">+_xlfn.SWITCH(MONTH(C2613),1,1,2,1,3,1,4,2,5,2,6,3,7,3,8,3,9,3,10,2,11,2,12,1,2)</f>
        <v>1</v>
      </c>
      <c r="P2613" s="43"/>
    </row>
    <row r="2614" spans="1:16" ht="18" x14ac:dyDescent="0.35">
      <c r="A2614" s="43"/>
      <c r="C2614" s="393"/>
      <c r="E2614" s="394"/>
      <c r="F2614" s="394">
        <v>1.1419999999999999</v>
      </c>
      <c r="G2614" s="394"/>
      <c r="H2614" s="8" t="s">
        <v>61</v>
      </c>
      <c r="I2614" s="368">
        <f t="shared" si="121"/>
        <v>0</v>
      </c>
      <c r="J2614" s="365">
        <f t="shared" si="120"/>
        <v>0</v>
      </c>
      <c r="K2614" s="369">
        <f t="shared" si="122"/>
        <v>6</v>
      </c>
      <c r="L2614" s="369">
        <f>+IF((C2614&gt;='Resultats - informe'!$E$16)*(C2614&lt;='Resultats - informe'!$G$16),1,0)</f>
        <v>1</v>
      </c>
      <c r="M2614" s="369" cm="1">
        <f t="array" ref="M2614">+_xlfn.IFS((C2614&gt;='Resultats - informe'!$D$26)*(C2614&lt;='Resultats - informe'!$E$26),0,(C2614&gt;='Resultats - informe'!$D$27)*(C2614&lt;='Resultats - informe'!$E$27),0,(C2614&gt;='Resultats - informe'!$D$28)*(C2614&lt;='Resultats - informe'!$E$28),0,(C2614&gt;='Resultats - informe'!$D$29)*(C2614&lt;='Resultats - informe'!$E$29),0,1,1)</f>
        <v>0</v>
      </c>
      <c r="N2614" s="366">
        <f>+VLOOKUP(D2614,'Resultats - informe'!$Y$18:$AG$42,'Introducció dades consum'!K2614+1,0)</f>
        <v>0</v>
      </c>
      <c r="O2614" s="370" cm="1">
        <f t="array" ref="O2614">+_xlfn.SWITCH(MONTH(C2614),1,1,2,1,3,1,4,2,5,2,6,3,7,3,8,3,9,3,10,2,11,2,12,1,2)</f>
        <v>1</v>
      </c>
      <c r="P2614" s="43"/>
    </row>
    <row r="2615" spans="1:16" ht="18" x14ac:dyDescent="0.35">
      <c r="A2615" s="43"/>
      <c r="C2615" s="393"/>
      <c r="E2615" s="394"/>
      <c r="F2615" s="394">
        <v>0.151</v>
      </c>
      <c r="G2615" s="394"/>
      <c r="H2615" s="8" t="s">
        <v>61</v>
      </c>
      <c r="I2615" s="368">
        <f t="shared" si="121"/>
        <v>0</v>
      </c>
      <c r="J2615" s="365">
        <f t="shared" si="120"/>
        <v>0</v>
      </c>
      <c r="K2615" s="369">
        <f t="shared" si="122"/>
        <v>6</v>
      </c>
      <c r="L2615" s="369">
        <f>+IF((C2615&gt;='Resultats - informe'!$E$16)*(C2615&lt;='Resultats - informe'!$G$16),1,0)</f>
        <v>1</v>
      </c>
      <c r="M2615" s="369" cm="1">
        <f t="array" ref="M2615">+_xlfn.IFS((C2615&gt;='Resultats - informe'!$D$26)*(C2615&lt;='Resultats - informe'!$E$26),0,(C2615&gt;='Resultats - informe'!$D$27)*(C2615&lt;='Resultats - informe'!$E$27),0,(C2615&gt;='Resultats - informe'!$D$28)*(C2615&lt;='Resultats - informe'!$E$28),0,(C2615&gt;='Resultats - informe'!$D$29)*(C2615&lt;='Resultats - informe'!$E$29),0,1,1)</f>
        <v>0</v>
      </c>
      <c r="N2615" s="366">
        <f>+VLOOKUP(D2615,'Resultats - informe'!$Y$18:$AG$42,'Introducció dades consum'!K2615+1,0)</f>
        <v>0</v>
      </c>
      <c r="O2615" s="370" cm="1">
        <f t="array" ref="O2615">+_xlfn.SWITCH(MONTH(C2615),1,1,2,1,3,1,4,2,5,2,6,3,7,3,8,3,9,3,10,2,11,2,12,1,2)</f>
        <v>1</v>
      </c>
      <c r="P2615" s="43"/>
    </row>
    <row r="2616" spans="1:16" ht="18" x14ac:dyDescent="0.35">
      <c r="A2616" s="43"/>
      <c r="C2616" s="393"/>
      <c r="E2616" s="394"/>
      <c r="F2616" s="394">
        <v>0</v>
      </c>
      <c r="G2616" s="394"/>
      <c r="H2616" s="8" t="s">
        <v>235</v>
      </c>
      <c r="I2616" s="368">
        <f t="shared" si="121"/>
        <v>0</v>
      </c>
      <c r="J2616" s="365">
        <f t="shared" si="120"/>
        <v>0</v>
      </c>
      <c r="K2616" s="369">
        <f t="shared" si="122"/>
        <v>6</v>
      </c>
      <c r="L2616" s="369">
        <f>+IF((C2616&gt;='Resultats - informe'!$E$16)*(C2616&lt;='Resultats - informe'!$G$16),1,0)</f>
        <v>1</v>
      </c>
      <c r="M2616" s="369" cm="1">
        <f t="array" ref="M2616">+_xlfn.IFS((C2616&gt;='Resultats - informe'!$D$26)*(C2616&lt;='Resultats - informe'!$E$26),0,(C2616&gt;='Resultats - informe'!$D$27)*(C2616&lt;='Resultats - informe'!$E$27),0,(C2616&gt;='Resultats - informe'!$D$28)*(C2616&lt;='Resultats - informe'!$E$28),0,(C2616&gt;='Resultats - informe'!$D$29)*(C2616&lt;='Resultats - informe'!$E$29),0,1,1)</f>
        <v>0</v>
      </c>
      <c r="N2616" s="366">
        <f>+VLOOKUP(D2616,'Resultats - informe'!$Y$18:$AG$42,'Introducció dades consum'!K2616+1,0)</f>
        <v>0</v>
      </c>
      <c r="O2616" s="370" cm="1">
        <f t="array" ref="O2616">+_xlfn.SWITCH(MONTH(C2616),1,1,2,1,3,1,4,2,5,2,6,3,7,3,8,3,9,3,10,2,11,2,12,1,2)</f>
        <v>1</v>
      </c>
      <c r="P2616" s="43"/>
    </row>
    <row r="2617" spans="1:16" ht="18" x14ac:dyDescent="0.35">
      <c r="A2617" s="43"/>
      <c r="C2617" s="393"/>
      <c r="E2617" s="394"/>
      <c r="F2617" s="394">
        <v>0</v>
      </c>
      <c r="G2617" s="394"/>
      <c r="H2617" s="8" t="s">
        <v>235</v>
      </c>
      <c r="I2617" s="368">
        <f t="shared" si="121"/>
        <v>0</v>
      </c>
      <c r="J2617" s="365">
        <f t="shared" si="120"/>
        <v>0</v>
      </c>
      <c r="K2617" s="369">
        <f t="shared" si="122"/>
        <v>6</v>
      </c>
      <c r="L2617" s="369">
        <f>+IF((C2617&gt;='Resultats - informe'!$E$16)*(C2617&lt;='Resultats - informe'!$G$16),1,0)</f>
        <v>1</v>
      </c>
      <c r="M2617" s="369" cm="1">
        <f t="array" ref="M2617">+_xlfn.IFS((C2617&gt;='Resultats - informe'!$D$26)*(C2617&lt;='Resultats - informe'!$E$26),0,(C2617&gt;='Resultats - informe'!$D$27)*(C2617&lt;='Resultats - informe'!$E$27),0,(C2617&gt;='Resultats - informe'!$D$28)*(C2617&lt;='Resultats - informe'!$E$28),0,(C2617&gt;='Resultats - informe'!$D$29)*(C2617&lt;='Resultats - informe'!$E$29),0,1,1)</f>
        <v>0</v>
      </c>
      <c r="N2617" s="366">
        <f>+VLOOKUP(D2617,'Resultats - informe'!$Y$18:$AG$42,'Introducció dades consum'!K2617+1,0)</f>
        <v>0</v>
      </c>
      <c r="O2617" s="370" cm="1">
        <f t="array" ref="O2617">+_xlfn.SWITCH(MONTH(C2617),1,1,2,1,3,1,4,2,5,2,6,3,7,3,8,3,9,3,10,2,11,2,12,1,2)</f>
        <v>1</v>
      </c>
      <c r="P2617" s="43"/>
    </row>
    <row r="2618" spans="1:16" ht="18" x14ac:dyDescent="0.35">
      <c r="A2618" s="43"/>
      <c r="C2618" s="393"/>
      <c r="E2618" s="394"/>
      <c r="F2618" s="394">
        <v>0</v>
      </c>
      <c r="G2618" s="394"/>
      <c r="H2618" s="8" t="s">
        <v>235</v>
      </c>
      <c r="I2618" s="368">
        <f t="shared" si="121"/>
        <v>0</v>
      </c>
      <c r="J2618" s="365">
        <f t="shared" si="120"/>
        <v>0</v>
      </c>
      <c r="K2618" s="369">
        <f t="shared" si="122"/>
        <v>6</v>
      </c>
      <c r="L2618" s="369">
        <f>+IF((C2618&gt;='Resultats - informe'!$E$16)*(C2618&lt;='Resultats - informe'!$G$16),1,0)</f>
        <v>1</v>
      </c>
      <c r="M2618" s="369" cm="1">
        <f t="array" ref="M2618">+_xlfn.IFS((C2618&gt;='Resultats - informe'!$D$26)*(C2618&lt;='Resultats - informe'!$E$26),0,(C2618&gt;='Resultats - informe'!$D$27)*(C2618&lt;='Resultats - informe'!$E$27),0,(C2618&gt;='Resultats - informe'!$D$28)*(C2618&lt;='Resultats - informe'!$E$28),0,(C2618&gt;='Resultats - informe'!$D$29)*(C2618&lt;='Resultats - informe'!$E$29),0,1,1)</f>
        <v>0</v>
      </c>
      <c r="N2618" s="366">
        <f>+VLOOKUP(D2618,'Resultats - informe'!$Y$18:$AG$42,'Introducció dades consum'!K2618+1,0)</f>
        <v>0</v>
      </c>
      <c r="O2618" s="370" cm="1">
        <f t="array" ref="O2618">+_xlfn.SWITCH(MONTH(C2618),1,1,2,1,3,1,4,2,5,2,6,3,7,3,8,3,9,3,10,2,11,2,12,1,2)</f>
        <v>1</v>
      </c>
      <c r="P2618" s="43"/>
    </row>
    <row r="2619" spans="1:16" ht="18" x14ac:dyDescent="0.35">
      <c r="A2619" s="43"/>
      <c r="C2619" s="393"/>
      <c r="E2619" s="394"/>
      <c r="F2619" s="394">
        <v>0</v>
      </c>
      <c r="G2619" s="394"/>
      <c r="H2619" s="8" t="s">
        <v>235</v>
      </c>
      <c r="I2619" s="368">
        <f t="shared" si="121"/>
        <v>0</v>
      </c>
      <c r="J2619" s="365">
        <f t="shared" ref="J2619:J2682" si="123">+C2619</f>
        <v>0</v>
      </c>
      <c r="K2619" s="369">
        <f t="shared" si="122"/>
        <v>6</v>
      </c>
      <c r="L2619" s="369">
        <f>+IF((C2619&gt;='Resultats - informe'!$E$16)*(C2619&lt;='Resultats - informe'!$G$16),1,0)</f>
        <v>1</v>
      </c>
      <c r="M2619" s="369" cm="1">
        <f t="array" ref="M2619">+_xlfn.IFS((C2619&gt;='Resultats - informe'!$D$26)*(C2619&lt;='Resultats - informe'!$E$26),0,(C2619&gt;='Resultats - informe'!$D$27)*(C2619&lt;='Resultats - informe'!$E$27),0,(C2619&gt;='Resultats - informe'!$D$28)*(C2619&lt;='Resultats - informe'!$E$28),0,(C2619&gt;='Resultats - informe'!$D$29)*(C2619&lt;='Resultats - informe'!$E$29),0,1,1)</f>
        <v>0</v>
      </c>
      <c r="N2619" s="366">
        <f>+VLOOKUP(D2619,'Resultats - informe'!$Y$18:$AG$42,'Introducció dades consum'!K2619+1,0)</f>
        <v>0</v>
      </c>
      <c r="O2619" s="370" cm="1">
        <f t="array" ref="O2619">+_xlfn.SWITCH(MONTH(C2619),1,1,2,1,3,1,4,2,5,2,6,3,7,3,8,3,9,3,10,2,11,2,12,1,2)</f>
        <v>1</v>
      </c>
      <c r="P2619" s="43"/>
    </row>
    <row r="2620" spans="1:16" ht="18" x14ac:dyDescent="0.35">
      <c r="A2620" s="43"/>
      <c r="C2620" s="393"/>
      <c r="E2620" s="394"/>
      <c r="F2620" s="394">
        <v>0</v>
      </c>
      <c r="G2620" s="394"/>
      <c r="H2620" s="8" t="s">
        <v>235</v>
      </c>
      <c r="I2620" s="368">
        <f t="shared" si="121"/>
        <v>0</v>
      </c>
      <c r="J2620" s="365">
        <f t="shared" si="123"/>
        <v>0</v>
      </c>
      <c r="K2620" s="369">
        <f t="shared" si="122"/>
        <v>6</v>
      </c>
      <c r="L2620" s="369">
        <f>+IF((C2620&gt;='Resultats - informe'!$E$16)*(C2620&lt;='Resultats - informe'!$G$16),1,0)</f>
        <v>1</v>
      </c>
      <c r="M2620" s="369" cm="1">
        <f t="array" ref="M2620">+_xlfn.IFS((C2620&gt;='Resultats - informe'!$D$26)*(C2620&lt;='Resultats - informe'!$E$26),0,(C2620&gt;='Resultats - informe'!$D$27)*(C2620&lt;='Resultats - informe'!$E$27),0,(C2620&gt;='Resultats - informe'!$D$28)*(C2620&lt;='Resultats - informe'!$E$28),0,(C2620&gt;='Resultats - informe'!$D$29)*(C2620&lt;='Resultats - informe'!$E$29),0,1,1)</f>
        <v>0</v>
      </c>
      <c r="N2620" s="366">
        <f>+VLOOKUP(D2620,'Resultats - informe'!$Y$18:$AG$42,'Introducció dades consum'!K2620+1,0)</f>
        <v>0</v>
      </c>
      <c r="O2620" s="370" cm="1">
        <f t="array" ref="O2620">+_xlfn.SWITCH(MONTH(C2620),1,1,2,1,3,1,4,2,5,2,6,3,7,3,8,3,9,3,10,2,11,2,12,1,2)</f>
        <v>1</v>
      </c>
      <c r="P2620" s="43"/>
    </row>
    <row r="2621" spans="1:16" ht="18" x14ac:dyDescent="0.35">
      <c r="A2621" s="43"/>
      <c r="C2621" s="393"/>
      <c r="E2621" s="394"/>
      <c r="F2621" s="394">
        <v>0</v>
      </c>
      <c r="G2621" s="394"/>
      <c r="H2621" s="8" t="s">
        <v>61</v>
      </c>
      <c r="I2621" s="368">
        <f t="shared" si="121"/>
        <v>0</v>
      </c>
      <c r="J2621" s="365">
        <f t="shared" si="123"/>
        <v>0</v>
      </c>
      <c r="K2621" s="369">
        <f t="shared" si="122"/>
        <v>6</v>
      </c>
      <c r="L2621" s="369">
        <f>+IF((C2621&gt;='Resultats - informe'!$E$16)*(C2621&lt;='Resultats - informe'!$G$16),1,0)</f>
        <v>1</v>
      </c>
      <c r="M2621" s="369" cm="1">
        <f t="array" ref="M2621">+_xlfn.IFS((C2621&gt;='Resultats - informe'!$D$26)*(C2621&lt;='Resultats - informe'!$E$26),0,(C2621&gt;='Resultats - informe'!$D$27)*(C2621&lt;='Resultats - informe'!$E$27),0,(C2621&gt;='Resultats - informe'!$D$28)*(C2621&lt;='Resultats - informe'!$E$28),0,(C2621&gt;='Resultats - informe'!$D$29)*(C2621&lt;='Resultats - informe'!$E$29),0,1,1)</f>
        <v>0</v>
      </c>
      <c r="N2621" s="366">
        <f>+VLOOKUP(D2621,'Resultats - informe'!$Y$18:$AG$42,'Introducció dades consum'!K2621+1,0)</f>
        <v>0</v>
      </c>
      <c r="O2621" s="370" cm="1">
        <f t="array" ref="O2621">+_xlfn.SWITCH(MONTH(C2621),1,1,2,1,3,1,4,2,5,2,6,3,7,3,8,3,9,3,10,2,11,2,12,1,2)</f>
        <v>1</v>
      </c>
      <c r="P2621" s="43"/>
    </row>
    <row r="2622" spans="1:16" ht="18" x14ac:dyDescent="0.35">
      <c r="A2622" s="43"/>
      <c r="C2622" s="393"/>
      <c r="E2622" s="394"/>
      <c r="F2622" s="394">
        <v>0</v>
      </c>
      <c r="G2622" s="394"/>
      <c r="H2622" s="8" t="s">
        <v>61</v>
      </c>
      <c r="I2622" s="368">
        <f t="shared" si="121"/>
        <v>0</v>
      </c>
      <c r="J2622" s="365">
        <f t="shared" si="123"/>
        <v>0</v>
      </c>
      <c r="K2622" s="369">
        <f t="shared" si="122"/>
        <v>6</v>
      </c>
      <c r="L2622" s="369">
        <f>+IF((C2622&gt;='Resultats - informe'!$E$16)*(C2622&lt;='Resultats - informe'!$G$16),1,0)</f>
        <v>1</v>
      </c>
      <c r="M2622" s="369" cm="1">
        <f t="array" ref="M2622">+_xlfn.IFS((C2622&gt;='Resultats - informe'!$D$26)*(C2622&lt;='Resultats - informe'!$E$26),0,(C2622&gt;='Resultats - informe'!$D$27)*(C2622&lt;='Resultats - informe'!$E$27),0,(C2622&gt;='Resultats - informe'!$D$28)*(C2622&lt;='Resultats - informe'!$E$28),0,(C2622&gt;='Resultats - informe'!$D$29)*(C2622&lt;='Resultats - informe'!$E$29),0,1,1)</f>
        <v>0</v>
      </c>
      <c r="N2622" s="366">
        <f>+VLOOKUP(D2622,'Resultats - informe'!$Y$18:$AG$42,'Introducció dades consum'!K2622+1,0)</f>
        <v>0</v>
      </c>
      <c r="O2622" s="370" cm="1">
        <f t="array" ref="O2622">+_xlfn.SWITCH(MONTH(C2622),1,1,2,1,3,1,4,2,5,2,6,3,7,3,8,3,9,3,10,2,11,2,12,1,2)</f>
        <v>1</v>
      </c>
      <c r="P2622" s="43"/>
    </row>
    <row r="2623" spans="1:16" ht="18" x14ac:dyDescent="0.35">
      <c r="A2623" s="43"/>
      <c r="C2623" s="393"/>
      <c r="E2623" s="394"/>
      <c r="F2623" s="394">
        <v>0</v>
      </c>
      <c r="G2623" s="394"/>
      <c r="H2623" s="8" t="s">
        <v>61</v>
      </c>
      <c r="I2623" s="368">
        <f t="shared" si="121"/>
        <v>0</v>
      </c>
      <c r="J2623" s="365">
        <f t="shared" si="123"/>
        <v>0</v>
      </c>
      <c r="K2623" s="369">
        <f t="shared" si="122"/>
        <v>6</v>
      </c>
      <c r="L2623" s="369">
        <f>+IF((C2623&gt;='Resultats - informe'!$E$16)*(C2623&lt;='Resultats - informe'!$G$16),1,0)</f>
        <v>1</v>
      </c>
      <c r="M2623" s="369" cm="1">
        <f t="array" ref="M2623">+_xlfn.IFS((C2623&gt;='Resultats - informe'!$D$26)*(C2623&lt;='Resultats - informe'!$E$26),0,(C2623&gt;='Resultats - informe'!$D$27)*(C2623&lt;='Resultats - informe'!$E$27),0,(C2623&gt;='Resultats - informe'!$D$28)*(C2623&lt;='Resultats - informe'!$E$28),0,(C2623&gt;='Resultats - informe'!$D$29)*(C2623&lt;='Resultats - informe'!$E$29),0,1,1)</f>
        <v>0</v>
      </c>
      <c r="N2623" s="366">
        <f>+VLOOKUP(D2623,'Resultats - informe'!$Y$18:$AG$42,'Introducció dades consum'!K2623+1,0)</f>
        <v>0</v>
      </c>
      <c r="O2623" s="370" cm="1">
        <f t="array" ref="O2623">+_xlfn.SWITCH(MONTH(C2623),1,1,2,1,3,1,4,2,5,2,6,3,7,3,8,3,9,3,10,2,11,2,12,1,2)</f>
        <v>1</v>
      </c>
      <c r="P2623" s="43"/>
    </row>
    <row r="2624" spans="1:16" ht="18" x14ac:dyDescent="0.35">
      <c r="A2624" s="43"/>
      <c r="C2624" s="393"/>
      <c r="E2624" s="394"/>
      <c r="F2624" s="394">
        <v>0</v>
      </c>
      <c r="G2624" s="394"/>
      <c r="H2624" s="8" t="s">
        <v>61</v>
      </c>
      <c r="I2624" s="368">
        <f t="shared" si="121"/>
        <v>0</v>
      </c>
      <c r="J2624" s="365">
        <f t="shared" si="123"/>
        <v>0</v>
      </c>
      <c r="K2624" s="369">
        <f t="shared" si="122"/>
        <v>6</v>
      </c>
      <c r="L2624" s="369">
        <f>+IF((C2624&gt;='Resultats - informe'!$E$16)*(C2624&lt;='Resultats - informe'!$G$16),1,0)</f>
        <v>1</v>
      </c>
      <c r="M2624" s="369" cm="1">
        <f t="array" ref="M2624">+_xlfn.IFS((C2624&gt;='Resultats - informe'!$D$26)*(C2624&lt;='Resultats - informe'!$E$26),0,(C2624&gt;='Resultats - informe'!$D$27)*(C2624&lt;='Resultats - informe'!$E$27),0,(C2624&gt;='Resultats - informe'!$D$28)*(C2624&lt;='Resultats - informe'!$E$28),0,(C2624&gt;='Resultats - informe'!$D$29)*(C2624&lt;='Resultats - informe'!$E$29),0,1,1)</f>
        <v>0</v>
      </c>
      <c r="N2624" s="366">
        <f>+VLOOKUP(D2624,'Resultats - informe'!$Y$18:$AG$42,'Introducció dades consum'!K2624+1,0)</f>
        <v>0</v>
      </c>
      <c r="O2624" s="370" cm="1">
        <f t="array" ref="O2624">+_xlfn.SWITCH(MONTH(C2624),1,1,2,1,3,1,4,2,5,2,6,3,7,3,8,3,9,3,10,2,11,2,12,1,2)</f>
        <v>1</v>
      </c>
      <c r="P2624" s="43"/>
    </row>
    <row r="2625" spans="1:16" ht="18" x14ac:dyDescent="0.35">
      <c r="A2625" s="43"/>
      <c r="C2625" s="393"/>
      <c r="E2625" s="394"/>
      <c r="F2625" s="394">
        <v>0</v>
      </c>
      <c r="G2625" s="394"/>
      <c r="H2625" s="8" t="s">
        <v>61</v>
      </c>
      <c r="I2625" s="368">
        <f t="shared" si="121"/>
        <v>0</v>
      </c>
      <c r="J2625" s="365">
        <f t="shared" si="123"/>
        <v>0</v>
      </c>
      <c r="K2625" s="369">
        <f t="shared" si="122"/>
        <v>6</v>
      </c>
      <c r="L2625" s="369">
        <f>+IF((C2625&gt;='Resultats - informe'!$E$16)*(C2625&lt;='Resultats - informe'!$G$16),1,0)</f>
        <v>1</v>
      </c>
      <c r="M2625" s="369" cm="1">
        <f t="array" ref="M2625">+_xlfn.IFS((C2625&gt;='Resultats - informe'!$D$26)*(C2625&lt;='Resultats - informe'!$E$26),0,(C2625&gt;='Resultats - informe'!$D$27)*(C2625&lt;='Resultats - informe'!$E$27),0,(C2625&gt;='Resultats - informe'!$D$28)*(C2625&lt;='Resultats - informe'!$E$28),0,(C2625&gt;='Resultats - informe'!$D$29)*(C2625&lt;='Resultats - informe'!$E$29),0,1,1)</f>
        <v>0</v>
      </c>
      <c r="N2625" s="366">
        <f>+VLOOKUP(D2625,'Resultats - informe'!$Y$18:$AG$42,'Introducció dades consum'!K2625+1,0)</f>
        <v>0</v>
      </c>
      <c r="O2625" s="370" cm="1">
        <f t="array" ref="O2625">+_xlfn.SWITCH(MONTH(C2625),1,1,2,1,3,1,4,2,5,2,6,3,7,3,8,3,9,3,10,2,11,2,12,1,2)</f>
        <v>1</v>
      </c>
      <c r="P2625" s="43"/>
    </row>
    <row r="2626" spans="1:16" ht="18" x14ac:dyDescent="0.35">
      <c r="A2626" s="43"/>
      <c r="C2626" s="393"/>
      <c r="E2626" s="394"/>
      <c r="F2626" s="394">
        <v>0</v>
      </c>
      <c r="G2626" s="394"/>
      <c r="H2626" s="8" t="s">
        <v>61</v>
      </c>
      <c r="I2626" s="368">
        <f t="shared" si="121"/>
        <v>0</v>
      </c>
      <c r="J2626" s="365">
        <f t="shared" si="123"/>
        <v>0</v>
      </c>
      <c r="K2626" s="369">
        <f t="shared" si="122"/>
        <v>6</v>
      </c>
      <c r="L2626" s="369">
        <f>+IF((C2626&gt;='Resultats - informe'!$E$16)*(C2626&lt;='Resultats - informe'!$G$16),1,0)</f>
        <v>1</v>
      </c>
      <c r="M2626" s="369" cm="1">
        <f t="array" ref="M2626">+_xlfn.IFS((C2626&gt;='Resultats - informe'!$D$26)*(C2626&lt;='Resultats - informe'!$E$26),0,(C2626&gt;='Resultats - informe'!$D$27)*(C2626&lt;='Resultats - informe'!$E$27),0,(C2626&gt;='Resultats - informe'!$D$28)*(C2626&lt;='Resultats - informe'!$E$28),0,(C2626&gt;='Resultats - informe'!$D$29)*(C2626&lt;='Resultats - informe'!$E$29),0,1,1)</f>
        <v>0</v>
      </c>
      <c r="N2626" s="366">
        <f>+VLOOKUP(D2626,'Resultats - informe'!$Y$18:$AG$42,'Introducció dades consum'!K2626+1,0)</f>
        <v>0</v>
      </c>
      <c r="O2626" s="370" cm="1">
        <f t="array" ref="O2626">+_xlfn.SWITCH(MONTH(C2626),1,1,2,1,3,1,4,2,5,2,6,3,7,3,8,3,9,3,10,2,11,2,12,1,2)</f>
        <v>1</v>
      </c>
      <c r="P2626" s="43"/>
    </row>
    <row r="2627" spans="1:16" ht="18" x14ac:dyDescent="0.35">
      <c r="A2627" s="43"/>
      <c r="C2627" s="393"/>
      <c r="E2627" s="394"/>
      <c r="F2627" s="394">
        <v>0</v>
      </c>
      <c r="G2627" s="394"/>
      <c r="H2627" s="8" t="s">
        <v>61</v>
      </c>
      <c r="I2627" s="368">
        <f t="shared" si="121"/>
        <v>0</v>
      </c>
      <c r="J2627" s="365">
        <f t="shared" si="123"/>
        <v>0</v>
      </c>
      <c r="K2627" s="369">
        <f t="shared" si="122"/>
        <v>6</v>
      </c>
      <c r="L2627" s="369">
        <f>+IF((C2627&gt;='Resultats - informe'!$E$16)*(C2627&lt;='Resultats - informe'!$G$16),1,0)</f>
        <v>1</v>
      </c>
      <c r="M2627" s="369" cm="1">
        <f t="array" ref="M2627">+_xlfn.IFS((C2627&gt;='Resultats - informe'!$D$26)*(C2627&lt;='Resultats - informe'!$E$26),0,(C2627&gt;='Resultats - informe'!$D$27)*(C2627&lt;='Resultats - informe'!$E$27),0,(C2627&gt;='Resultats - informe'!$D$28)*(C2627&lt;='Resultats - informe'!$E$28),0,(C2627&gt;='Resultats - informe'!$D$29)*(C2627&lt;='Resultats - informe'!$E$29),0,1,1)</f>
        <v>0</v>
      </c>
      <c r="N2627" s="366">
        <f>+VLOOKUP(D2627,'Resultats - informe'!$Y$18:$AG$42,'Introducció dades consum'!K2627+1,0)</f>
        <v>0</v>
      </c>
      <c r="O2627" s="370" cm="1">
        <f t="array" ref="O2627">+_xlfn.SWITCH(MONTH(C2627),1,1,2,1,3,1,4,2,5,2,6,3,7,3,8,3,9,3,10,2,11,2,12,1,2)</f>
        <v>1</v>
      </c>
      <c r="P2627" s="43"/>
    </row>
    <row r="2628" spans="1:16" ht="18" x14ac:dyDescent="0.35">
      <c r="A2628" s="43"/>
      <c r="C2628" s="393"/>
      <c r="E2628" s="394"/>
      <c r="F2628" s="394">
        <v>0.47099999999999997</v>
      </c>
      <c r="G2628" s="394"/>
      <c r="H2628" s="8" t="s">
        <v>61</v>
      </c>
      <c r="I2628" s="368">
        <f t="shared" si="121"/>
        <v>0</v>
      </c>
      <c r="J2628" s="365">
        <f t="shared" si="123"/>
        <v>0</v>
      </c>
      <c r="K2628" s="369">
        <f t="shared" si="122"/>
        <v>6</v>
      </c>
      <c r="L2628" s="369">
        <f>+IF((C2628&gt;='Resultats - informe'!$E$16)*(C2628&lt;='Resultats - informe'!$G$16),1,0)</f>
        <v>1</v>
      </c>
      <c r="M2628" s="369" cm="1">
        <f t="array" ref="M2628">+_xlfn.IFS((C2628&gt;='Resultats - informe'!$D$26)*(C2628&lt;='Resultats - informe'!$E$26),0,(C2628&gt;='Resultats - informe'!$D$27)*(C2628&lt;='Resultats - informe'!$E$27),0,(C2628&gt;='Resultats - informe'!$D$28)*(C2628&lt;='Resultats - informe'!$E$28),0,(C2628&gt;='Resultats - informe'!$D$29)*(C2628&lt;='Resultats - informe'!$E$29),0,1,1)</f>
        <v>0</v>
      </c>
      <c r="N2628" s="366">
        <f>+VLOOKUP(D2628,'Resultats - informe'!$Y$18:$AG$42,'Introducció dades consum'!K2628+1,0)</f>
        <v>0</v>
      </c>
      <c r="O2628" s="370" cm="1">
        <f t="array" ref="O2628">+_xlfn.SWITCH(MONTH(C2628),1,1,2,1,3,1,4,2,5,2,6,3,7,3,8,3,9,3,10,2,11,2,12,1,2)</f>
        <v>1</v>
      </c>
      <c r="P2628" s="43"/>
    </row>
    <row r="2629" spans="1:16" ht="18" x14ac:dyDescent="0.35">
      <c r="A2629" s="43"/>
      <c r="C2629" s="393"/>
      <c r="E2629" s="394"/>
      <c r="F2629" s="394">
        <v>3.3250000000000002</v>
      </c>
      <c r="G2629" s="394"/>
      <c r="H2629" s="8" t="s">
        <v>235</v>
      </c>
      <c r="I2629" s="368">
        <f t="shared" si="121"/>
        <v>0</v>
      </c>
      <c r="J2629" s="365">
        <f t="shared" si="123"/>
        <v>0</v>
      </c>
      <c r="K2629" s="369">
        <f t="shared" si="122"/>
        <v>6</v>
      </c>
      <c r="L2629" s="369">
        <f>+IF((C2629&gt;='Resultats - informe'!$E$16)*(C2629&lt;='Resultats - informe'!$G$16),1,0)</f>
        <v>1</v>
      </c>
      <c r="M2629" s="369" cm="1">
        <f t="array" ref="M2629">+_xlfn.IFS((C2629&gt;='Resultats - informe'!$D$26)*(C2629&lt;='Resultats - informe'!$E$26),0,(C2629&gt;='Resultats - informe'!$D$27)*(C2629&lt;='Resultats - informe'!$E$27),0,(C2629&gt;='Resultats - informe'!$D$28)*(C2629&lt;='Resultats - informe'!$E$28),0,(C2629&gt;='Resultats - informe'!$D$29)*(C2629&lt;='Resultats - informe'!$E$29),0,1,1)</f>
        <v>0</v>
      </c>
      <c r="N2629" s="366">
        <f>+VLOOKUP(D2629,'Resultats - informe'!$Y$18:$AG$42,'Introducció dades consum'!K2629+1,0)</f>
        <v>0</v>
      </c>
      <c r="O2629" s="370" cm="1">
        <f t="array" ref="O2629">+_xlfn.SWITCH(MONTH(C2629),1,1,2,1,3,1,4,2,5,2,6,3,7,3,8,3,9,3,10,2,11,2,12,1,2)</f>
        <v>1</v>
      </c>
      <c r="P2629" s="43"/>
    </row>
    <row r="2630" spans="1:16" ht="18" x14ac:dyDescent="0.35">
      <c r="A2630" s="43"/>
      <c r="C2630" s="393"/>
      <c r="E2630" s="394"/>
      <c r="F2630" s="394">
        <v>3.86</v>
      </c>
      <c r="G2630" s="394"/>
      <c r="H2630" s="8" t="s">
        <v>235</v>
      </c>
      <c r="I2630" s="368">
        <f t="shared" ref="I2630:I2693" si="124">+E2630+G2630</f>
        <v>0</v>
      </c>
      <c r="J2630" s="365">
        <f t="shared" si="123"/>
        <v>0</v>
      </c>
      <c r="K2630" s="369">
        <f t="shared" ref="K2630:K2693" si="125">+WEEKDAY(C2630,2)</f>
        <v>6</v>
      </c>
      <c r="L2630" s="369">
        <f>+IF((C2630&gt;='Resultats - informe'!$E$16)*(C2630&lt;='Resultats - informe'!$G$16),1,0)</f>
        <v>1</v>
      </c>
      <c r="M2630" s="369" cm="1">
        <f t="array" ref="M2630">+_xlfn.IFS((C2630&gt;='Resultats - informe'!$D$26)*(C2630&lt;='Resultats - informe'!$E$26),0,(C2630&gt;='Resultats - informe'!$D$27)*(C2630&lt;='Resultats - informe'!$E$27),0,(C2630&gt;='Resultats - informe'!$D$28)*(C2630&lt;='Resultats - informe'!$E$28),0,(C2630&gt;='Resultats - informe'!$D$29)*(C2630&lt;='Resultats - informe'!$E$29),0,1,1)</f>
        <v>0</v>
      </c>
      <c r="N2630" s="366">
        <f>+VLOOKUP(D2630,'Resultats - informe'!$Y$18:$AG$42,'Introducció dades consum'!K2630+1,0)</f>
        <v>0</v>
      </c>
      <c r="O2630" s="370" cm="1">
        <f t="array" ref="O2630">+_xlfn.SWITCH(MONTH(C2630),1,1,2,1,3,1,4,2,5,2,6,3,7,3,8,3,9,3,10,2,11,2,12,1,2)</f>
        <v>1</v>
      </c>
      <c r="P2630" s="43"/>
    </row>
    <row r="2631" spans="1:16" ht="18" x14ac:dyDescent="0.35">
      <c r="A2631" s="43"/>
      <c r="C2631" s="393"/>
      <c r="E2631" s="394"/>
      <c r="F2631" s="394">
        <v>2.4550000000000001</v>
      </c>
      <c r="G2631" s="394"/>
      <c r="H2631" s="8" t="s">
        <v>61</v>
      </c>
      <c r="I2631" s="368">
        <f t="shared" si="124"/>
        <v>0</v>
      </c>
      <c r="J2631" s="365">
        <f t="shared" si="123"/>
        <v>0</v>
      </c>
      <c r="K2631" s="369">
        <f t="shared" si="125"/>
        <v>6</v>
      </c>
      <c r="L2631" s="369">
        <f>+IF((C2631&gt;='Resultats - informe'!$E$16)*(C2631&lt;='Resultats - informe'!$G$16),1,0)</f>
        <v>1</v>
      </c>
      <c r="M2631" s="369" cm="1">
        <f t="array" ref="M2631">+_xlfn.IFS((C2631&gt;='Resultats - informe'!$D$26)*(C2631&lt;='Resultats - informe'!$E$26),0,(C2631&gt;='Resultats - informe'!$D$27)*(C2631&lt;='Resultats - informe'!$E$27),0,(C2631&gt;='Resultats - informe'!$D$28)*(C2631&lt;='Resultats - informe'!$E$28),0,(C2631&gt;='Resultats - informe'!$D$29)*(C2631&lt;='Resultats - informe'!$E$29),0,1,1)</f>
        <v>0</v>
      </c>
      <c r="N2631" s="366">
        <f>+VLOOKUP(D2631,'Resultats - informe'!$Y$18:$AG$42,'Introducció dades consum'!K2631+1,0)</f>
        <v>0</v>
      </c>
      <c r="O2631" s="370" cm="1">
        <f t="array" ref="O2631">+_xlfn.SWITCH(MONTH(C2631),1,1,2,1,3,1,4,2,5,2,6,3,7,3,8,3,9,3,10,2,11,2,12,1,2)</f>
        <v>1</v>
      </c>
      <c r="P2631" s="43"/>
    </row>
    <row r="2632" spans="1:16" ht="18" x14ac:dyDescent="0.35">
      <c r="A2632" s="43"/>
      <c r="C2632" s="393"/>
      <c r="E2632" s="394"/>
      <c r="F2632" s="394">
        <v>5.0830000000000002</v>
      </c>
      <c r="G2632" s="394"/>
      <c r="H2632" s="8" t="s">
        <v>61</v>
      </c>
      <c r="I2632" s="368">
        <f t="shared" si="124"/>
        <v>0</v>
      </c>
      <c r="J2632" s="365">
        <f t="shared" si="123"/>
        <v>0</v>
      </c>
      <c r="K2632" s="369">
        <f t="shared" si="125"/>
        <v>6</v>
      </c>
      <c r="L2632" s="369">
        <f>+IF((C2632&gt;='Resultats - informe'!$E$16)*(C2632&lt;='Resultats - informe'!$G$16),1,0)</f>
        <v>1</v>
      </c>
      <c r="M2632" s="369" cm="1">
        <f t="array" ref="M2632">+_xlfn.IFS((C2632&gt;='Resultats - informe'!$D$26)*(C2632&lt;='Resultats - informe'!$E$26),0,(C2632&gt;='Resultats - informe'!$D$27)*(C2632&lt;='Resultats - informe'!$E$27),0,(C2632&gt;='Resultats - informe'!$D$28)*(C2632&lt;='Resultats - informe'!$E$28),0,(C2632&gt;='Resultats - informe'!$D$29)*(C2632&lt;='Resultats - informe'!$E$29),0,1,1)</f>
        <v>0</v>
      </c>
      <c r="N2632" s="366">
        <f>+VLOOKUP(D2632,'Resultats - informe'!$Y$18:$AG$42,'Introducció dades consum'!K2632+1,0)</f>
        <v>0</v>
      </c>
      <c r="O2632" s="370" cm="1">
        <f t="array" ref="O2632">+_xlfn.SWITCH(MONTH(C2632),1,1,2,1,3,1,4,2,5,2,6,3,7,3,8,3,9,3,10,2,11,2,12,1,2)</f>
        <v>1</v>
      </c>
      <c r="P2632" s="43"/>
    </row>
    <row r="2633" spans="1:16" ht="18" x14ac:dyDescent="0.35">
      <c r="A2633" s="43"/>
      <c r="C2633" s="393"/>
      <c r="E2633" s="394"/>
      <c r="F2633" s="394">
        <v>3.2570000000000001</v>
      </c>
      <c r="G2633" s="394"/>
      <c r="H2633" s="8" t="s">
        <v>235</v>
      </c>
      <c r="I2633" s="368">
        <f t="shared" si="124"/>
        <v>0</v>
      </c>
      <c r="J2633" s="365">
        <f t="shared" si="123"/>
        <v>0</v>
      </c>
      <c r="K2633" s="369">
        <f t="shared" si="125"/>
        <v>6</v>
      </c>
      <c r="L2633" s="369">
        <f>+IF((C2633&gt;='Resultats - informe'!$E$16)*(C2633&lt;='Resultats - informe'!$G$16),1,0)</f>
        <v>1</v>
      </c>
      <c r="M2633" s="369" cm="1">
        <f t="array" ref="M2633">+_xlfn.IFS((C2633&gt;='Resultats - informe'!$D$26)*(C2633&lt;='Resultats - informe'!$E$26),0,(C2633&gt;='Resultats - informe'!$D$27)*(C2633&lt;='Resultats - informe'!$E$27),0,(C2633&gt;='Resultats - informe'!$D$28)*(C2633&lt;='Resultats - informe'!$E$28),0,(C2633&gt;='Resultats - informe'!$D$29)*(C2633&lt;='Resultats - informe'!$E$29),0,1,1)</f>
        <v>0</v>
      </c>
      <c r="N2633" s="366">
        <f>+VLOOKUP(D2633,'Resultats - informe'!$Y$18:$AG$42,'Introducció dades consum'!K2633+1,0)</f>
        <v>0</v>
      </c>
      <c r="O2633" s="370" cm="1">
        <f t="array" ref="O2633">+_xlfn.SWITCH(MONTH(C2633),1,1,2,1,3,1,4,2,5,2,6,3,7,3,8,3,9,3,10,2,11,2,12,1,2)</f>
        <v>1</v>
      </c>
      <c r="P2633" s="43"/>
    </row>
    <row r="2634" spans="1:16" ht="18" x14ac:dyDescent="0.35">
      <c r="A2634" s="43"/>
      <c r="C2634" s="393"/>
      <c r="E2634" s="394"/>
      <c r="F2634" s="394">
        <v>2.5870000000000002</v>
      </c>
      <c r="G2634" s="394"/>
      <c r="H2634" s="8" t="s">
        <v>235</v>
      </c>
      <c r="I2634" s="368">
        <f t="shared" si="124"/>
        <v>0</v>
      </c>
      <c r="J2634" s="365">
        <f t="shared" si="123"/>
        <v>0</v>
      </c>
      <c r="K2634" s="369">
        <f t="shared" si="125"/>
        <v>6</v>
      </c>
      <c r="L2634" s="369">
        <f>+IF((C2634&gt;='Resultats - informe'!$E$16)*(C2634&lt;='Resultats - informe'!$G$16),1,0)</f>
        <v>1</v>
      </c>
      <c r="M2634" s="369" cm="1">
        <f t="array" ref="M2634">+_xlfn.IFS((C2634&gt;='Resultats - informe'!$D$26)*(C2634&lt;='Resultats - informe'!$E$26),0,(C2634&gt;='Resultats - informe'!$D$27)*(C2634&lt;='Resultats - informe'!$E$27),0,(C2634&gt;='Resultats - informe'!$D$28)*(C2634&lt;='Resultats - informe'!$E$28),0,(C2634&gt;='Resultats - informe'!$D$29)*(C2634&lt;='Resultats - informe'!$E$29),0,1,1)</f>
        <v>0</v>
      </c>
      <c r="N2634" s="366">
        <f>+VLOOKUP(D2634,'Resultats - informe'!$Y$18:$AG$42,'Introducció dades consum'!K2634+1,0)</f>
        <v>0</v>
      </c>
      <c r="O2634" s="370" cm="1">
        <f t="array" ref="O2634">+_xlfn.SWITCH(MONTH(C2634),1,1,2,1,3,1,4,2,5,2,6,3,7,3,8,3,9,3,10,2,11,2,12,1,2)</f>
        <v>1</v>
      </c>
      <c r="P2634" s="43"/>
    </row>
    <row r="2635" spans="1:16" ht="18" x14ac:dyDescent="0.35">
      <c r="A2635" s="43"/>
      <c r="C2635" s="393"/>
      <c r="E2635" s="394"/>
      <c r="F2635" s="394">
        <v>4.585</v>
      </c>
      <c r="G2635" s="394"/>
      <c r="H2635" s="8" t="s">
        <v>61</v>
      </c>
      <c r="I2635" s="368">
        <f t="shared" si="124"/>
        <v>0</v>
      </c>
      <c r="J2635" s="365">
        <f t="shared" si="123"/>
        <v>0</v>
      </c>
      <c r="K2635" s="369">
        <f t="shared" si="125"/>
        <v>6</v>
      </c>
      <c r="L2635" s="369">
        <f>+IF((C2635&gt;='Resultats - informe'!$E$16)*(C2635&lt;='Resultats - informe'!$G$16),1,0)</f>
        <v>1</v>
      </c>
      <c r="M2635" s="369" cm="1">
        <f t="array" ref="M2635">+_xlfn.IFS((C2635&gt;='Resultats - informe'!$D$26)*(C2635&lt;='Resultats - informe'!$E$26),0,(C2635&gt;='Resultats - informe'!$D$27)*(C2635&lt;='Resultats - informe'!$E$27),0,(C2635&gt;='Resultats - informe'!$D$28)*(C2635&lt;='Resultats - informe'!$E$28),0,(C2635&gt;='Resultats - informe'!$D$29)*(C2635&lt;='Resultats - informe'!$E$29),0,1,1)</f>
        <v>0</v>
      </c>
      <c r="N2635" s="366">
        <f>+VLOOKUP(D2635,'Resultats - informe'!$Y$18:$AG$42,'Introducció dades consum'!K2635+1,0)</f>
        <v>0</v>
      </c>
      <c r="O2635" s="370" cm="1">
        <f t="array" ref="O2635">+_xlfn.SWITCH(MONTH(C2635),1,1,2,1,3,1,4,2,5,2,6,3,7,3,8,3,9,3,10,2,11,2,12,1,2)</f>
        <v>1</v>
      </c>
      <c r="P2635" s="43"/>
    </row>
    <row r="2636" spans="1:16" ht="18" x14ac:dyDescent="0.35">
      <c r="A2636" s="43"/>
      <c r="C2636" s="393"/>
      <c r="E2636" s="394"/>
      <c r="F2636" s="394">
        <v>0.78800000000000003</v>
      </c>
      <c r="G2636" s="394"/>
      <c r="H2636" s="8" t="s">
        <v>235</v>
      </c>
      <c r="I2636" s="368">
        <f t="shared" si="124"/>
        <v>0</v>
      </c>
      <c r="J2636" s="365">
        <f t="shared" si="123"/>
        <v>0</v>
      </c>
      <c r="K2636" s="369">
        <f t="shared" si="125"/>
        <v>6</v>
      </c>
      <c r="L2636" s="369">
        <f>+IF((C2636&gt;='Resultats - informe'!$E$16)*(C2636&lt;='Resultats - informe'!$G$16),1,0)</f>
        <v>1</v>
      </c>
      <c r="M2636" s="369" cm="1">
        <f t="array" ref="M2636">+_xlfn.IFS((C2636&gt;='Resultats - informe'!$D$26)*(C2636&lt;='Resultats - informe'!$E$26),0,(C2636&gt;='Resultats - informe'!$D$27)*(C2636&lt;='Resultats - informe'!$E$27),0,(C2636&gt;='Resultats - informe'!$D$28)*(C2636&lt;='Resultats - informe'!$E$28),0,(C2636&gt;='Resultats - informe'!$D$29)*(C2636&lt;='Resultats - informe'!$E$29),0,1,1)</f>
        <v>0</v>
      </c>
      <c r="N2636" s="366">
        <f>+VLOOKUP(D2636,'Resultats - informe'!$Y$18:$AG$42,'Introducció dades consum'!K2636+1,0)</f>
        <v>0</v>
      </c>
      <c r="O2636" s="370" cm="1">
        <f t="array" ref="O2636">+_xlfn.SWITCH(MONTH(C2636),1,1,2,1,3,1,4,2,5,2,6,3,7,3,8,3,9,3,10,2,11,2,12,1,2)</f>
        <v>1</v>
      </c>
      <c r="P2636" s="43"/>
    </row>
    <row r="2637" spans="1:16" ht="18" x14ac:dyDescent="0.35">
      <c r="A2637" s="43"/>
      <c r="C2637" s="393"/>
      <c r="E2637" s="394"/>
      <c r="F2637" s="394">
        <v>0</v>
      </c>
      <c r="G2637" s="394"/>
      <c r="H2637" s="8" t="s">
        <v>235</v>
      </c>
      <c r="I2637" s="368">
        <f t="shared" si="124"/>
        <v>0</v>
      </c>
      <c r="J2637" s="365">
        <f t="shared" si="123"/>
        <v>0</v>
      </c>
      <c r="K2637" s="369">
        <f t="shared" si="125"/>
        <v>6</v>
      </c>
      <c r="L2637" s="369">
        <f>+IF((C2637&gt;='Resultats - informe'!$E$16)*(C2637&lt;='Resultats - informe'!$G$16),1,0)</f>
        <v>1</v>
      </c>
      <c r="M2637" s="369" cm="1">
        <f t="array" ref="M2637">+_xlfn.IFS((C2637&gt;='Resultats - informe'!$D$26)*(C2637&lt;='Resultats - informe'!$E$26),0,(C2637&gt;='Resultats - informe'!$D$27)*(C2637&lt;='Resultats - informe'!$E$27),0,(C2637&gt;='Resultats - informe'!$D$28)*(C2637&lt;='Resultats - informe'!$E$28),0,(C2637&gt;='Resultats - informe'!$D$29)*(C2637&lt;='Resultats - informe'!$E$29),0,1,1)</f>
        <v>0</v>
      </c>
      <c r="N2637" s="366">
        <f>+VLOOKUP(D2637,'Resultats - informe'!$Y$18:$AG$42,'Introducció dades consum'!K2637+1,0)</f>
        <v>0</v>
      </c>
      <c r="O2637" s="370" cm="1">
        <f t="array" ref="O2637">+_xlfn.SWITCH(MONTH(C2637),1,1,2,1,3,1,4,2,5,2,6,3,7,3,8,3,9,3,10,2,11,2,12,1,2)</f>
        <v>1</v>
      </c>
      <c r="P2637" s="43"/>
    </row>
    <row r="2638" spans="1:16" ht="18" x14ac:dyDescent="0.35">
      <c r="A2638" s="43"/>
      <c r="C2638" s="393"/>
      <c r="E2638" s="394"/>
      <c r="F2638" s="394">
        <v>2.4279999999999999</v>
      </c>
      <c r="G2638" s="394"/>
      <c r="H2638" s="8" t="s">
        <v>61</v>
      </c>
      <c r="I2638" s="368">
        <f t="shared" si="124"/>
        <v>0</v>
      </c>
      <c r="J2638" s="365">
        <f t="shared" si="123"/>
        <v>0</v>
      </c>
      <c r="K2638" s="369">
        <f t="shared" si="125"/>
        <v>6</v>
      </c>
      <c r="L2638" s="369">
        <f>+IF((C2638&gt;='Resultats - informe'!$E$16)*(C2638&lt;='Resultats - informe'!$G$16),1,0)</f>
        <v>1</v>
      </c>
      <c r="M2638" s="369" cm="1">
        <f t="array" ref="M2638">+_xlfn.IFS((C2638&gt;='Resultats - informe'!$D$26)*(C2638&lt;='Resultats - informe'!$E$26),0,(C2638&gt;='Resultats - informe'!$D$27)*(C2638&lt;='Resultats - informe'!$E$27),0,(C2638&gt;='Resultats - informe'!$D$28)*(C2638&lt;='Resultats - informe'!$E$28),0,(C2638&gt;='Resultats - informe'!$D$29)*(C2638&lt;='Resultats - informe'!$E$29),0,1,1)</f>
        <v>0</v>
      </c>
      <c r="N2638" s="366">
        <f>+VLOOKUP(D2638,'Resultats - informe'!$Y$18:$AG$42,'Introducció dades consum'!K2638+1,0)</f>
        <v>0</v>
      </c>
      <c r="O2638" s="370" cm="1">
        <f t="array" ref="O2638">+_xlfn.SWITCH(MONTH(C2638),1,1,2,1,3,1,4,2,5,2,6,3,7,3,8,3,9,3,10,2,11,2,12,1,2)</f>
        <v>1</v>
      </c>
      <c r="P2638" s="43"/>
    </row>
    <row r="2639" spans="1:16" ht="18" x14ac:dyDescent="0.35">
      <c r="A2639" s="43"/>
      <c r="C2639" s="393"/>
      <c r="E2639" s="394"/>
      <c r="F2639" s="394">
        <v>0.16700000000000001</v>
      </c>
      <c r="G2639" s="394"/>
      <c r="H2639" s="8" t="s">
        <v>61</v>
      </c>
      <c r="I2639" s="368">
        <f t="shared" si="124"/>
        <v>0</v>
      </c>
      <c r="J2639" s="365">
        <f t="shared" si="123"/>
        <v>0</v>
      </c>
      <c r="K2639" s="369">
        <f t="shared" si="125"/>
        <v>6</v>
      </c>
      <c r="L2639" s="369">
        <f>+IF((C2639&gt;='Resultats - informe'!$E$16)*(C2639&lt;='Resultats - informe'!$G$16),1,0)</f>
        <v>1</v>
      </c>
      <c r="M2639" s="369" cm="1">
        <f t="array" ref="M2639">+_xlfn.IFS((C2639&gt;='Resultats - informe'!$D$26)*(C2639&lt;='Resultats - informe'!$E$26),0,(C2639&gt;='Resultats - informe'!$D$27)*(C2639&lt;='Resultats - informe'!$E$27),0,(C2639&gt;='Resultats - informe'!$D$28)*(C2639&lt;='Resultats - informe'!$E$28),0,(C2639&gt;='Resultats - informe'!$D$29)*(C2639&lt;='Resultats - informe'!$E$29),0,1,1)</f>
        <v>0</v>
      </c>
      <c r="N2639" s="366">
        <f>+VLOOKUP(D2639,'Resultats - informe'!$Y$18:$AG$42,'Introducció dades consum'!K2639+1,0)</f>
        <v>0</v>
      </c>
      <c r="O2639" s="370" cm="1">
        <f t="array" ref="O2639">+_xlfn.SWITCH(MONTH(C2639),1,1,2,1,3,1,4,2,5,2,6,3,7,3,8,3,9,3,10,2,11,2,12,1,2)</f>
        <v>1</v>
      </c>
      <c r="P2639" s="43"/>
    </row>
    <row r="2640" spans="1:16" ht="18" x14ac:dyDescent="0.35">
      <c r="A2640" s="43"/>
      <c r="C2640" s="393"/>
      <c r="E2640" s="394"/>
      <c r="F2640" s="394">
        <v>0</v>
      </c>
      <c r="G2640" s="394"/>
      <c r="H2640" s="8" t="s">
        <v>61</v>
      </c>
      <c r="I2640" s="368">
        <f t="shared" si="124"/>
        <v>0</v>
      </c>
      <c r="J2640" s="365">
        <f t="shared" si="123"/>
        <v>0</v>
      </c>
      <c r="K2640" s="369">
        <f t="shared" si="125"/>
        <v>6</v>
      </c>
      <c r="L2640" s="369">
        <f>+IF((C2640&gt;='Resultats - informe'!$E$16)*(C2640&lt;='Resultats - informe'!$G$16),1,0)</f>
        <v>1</v>
      </c>
      <c r="M2640" s="369" cm="1">
        <f t="array" ref="M2640">+_xlfn.IFS((C2640&gt;='Resultats - informe'!$D$26)*(C2640&lt;='Resultats - informe'!$E$26),0,(C2640&gt;='Resultats - informe'!$D$27)*(C2640&lt;='Resultats - informe'!$E$27),0,(C2640&gt;='Resultats - informe'!$D$28)*(C2640&lt;='Resultats - informe'!$E$28),0,(C2640&gt;='Resultats - informe'!$D$29)*(C2640&lt;='Resultats - informe'!$E$29),0,1,1)</f>
        <v>0</v>
      </c>
      <c r="N2640" s="366">
        <f>+VLOOKUP(D2640,'Resultats - informe'!$Y$18:$AG$42,'Introducció dades consum'!K2640+1,0)</f>
        <v>0</v>
      </c>
      <c r="O2640" s="370" cm="1">
        <f t="array" ref="O2640">+_xlfn.SWITCH(MONTH(C2640),1,1,2,1,3,1,4,2,5,2,6,3,7,3,8,3,9,3,10,2,11,2,12,1,2)</f>
        <v>1</v>
      </c>
      <c r="P2640" s="43"/>
    </row>
    <row r="2641" spans="1:16" ht="18" x14ac:dyDescent="0.35">
      <c r="A2641" s="43"/>
      <c r="C2641" s="393"/>
      <c r="E2641" s="394"/>
      <c r="F2641" s="394">
        <v>0</v>
      </c>
      <c r="G2641" s="394"/>
      <c r="H2641" s="8" t="s">
        <v>235</v>
      </c>
      <c r="I2641" s="368">
        <f t="shared" si="124"/>
        <v>0</v>
      </c>
      <c r="J2641" s="365">
        <f t="shared" si="123"/>
        <v>0</v>
      </c>
      <c r="K2641" s="369">
        <f t="shared" si="125"/>
        <v>6</v>
      </c>
      <c r="L2641" s="369">
        <f>+IF((C2641&gt;='Resultats - informe'!$E$16)*(C2641&lt;='Resultats - informe'!$G$16),1,0)</f>
        <v>1</v>
      </c>
      <c r="M2641" s="369" cm="1">
        <f t="array" ref="M2641">+_xlfn.IFS((C2641&gt;='Resultats - informe'!$D$26)*(C2641&lt;='Resultats - informe'!$E$26),0,(C2641&gt;='Resultats - informe'!$D$27)*(C2641&lt;='Resultats - informe'!$E$27),0,(C2641&gt;='Resultats - informe'!$D$28)*(C2641&lt;='Resultats - informe'!$E$28),0,(C2641&gt;='Resultats - informe'!$D$29)*(C2641&lt;='Resultats - informe'!$E$29),0,1,1)</f>
        <v>0</v>
      </c>
      <c r="N2641" s="366">
        <f>+VLOOKUP(D2641,'Resultats - informe'!$Y$18:$AG$42,'Introducció dades consum'!K2641+1,0)</f>
        <v>0</v>
      </c>
      <c r="O2641" s="370" cm="1">
        <f t="array" ref="O2641">+_xlfn.SWITCH(MONTH(C2641),1,1,2,1,3,1,4,2,5,2,6,3,7,3,8,3,9,3,10,2,11,2,12,1,2)</f>
        <v>1</v>
      </c>
      <c r="P2641" s="43"/>
    </row>
    <row r="2642" spans="1:16" ht="18" x14ac:dyDescent="0.35">
      <c r="A2642" s="43"/>
      <c r="C2642" s="393"/>
      <c r="E2642" s="394"/>
      <c r="F2642" s="394">
        <v>0</v>
      </c>
      <c r="G2642" s="394"/>
      <c r="H2642" s="8" t="s">
        <v>235</v>
      </c>
      <c r="I2642" s="368">
        <f t="shared" si="124"/>
        <v>0</v>
      </c>
      <c r="J2642" s="365">
        <f t="shared" si="123"/>
        <v>0</v>
      </c>
      <c r="K2642" s="369">
        <f t="shared" si="125"/>
        <v>6</v>
      </c>
      <c r="L2642" s="369">
        <f>+IF((C2642&gt;='Resultats - informe'!$E$16)*(C2642&lt;='Resultats - informe'!$G$16),1,0)</f>
        <v>1</v>
      </c>
      <c r="M2642" s="369" cm="1">
        <f t="array" ref="M2642">+_xlfn.IFS((C2642&gt;='Resultats - informe'!$D$26)*(C2642&lt;='Resultats - informe'!$E$26),0,(C2642&gt;='Resultats - informe'!$D$27)*(C2642&lt;='Resultats - informe'!$E$27),0,(C2642&gt;='Resultats - informe'!$D$28)*(C2642&lt;='Resultats - informe'!$E$28),0,(C2642&gt;='Resultats - informe'!$D$29)*(C2642&lt;='Resultats - informe'!$E$29),0,1,1)</f>
        <v>0</v>
      </c>
      <c r="N2642" s="366">
        <f>+VLOOKUP(D2642,'Resultats - informe'!$Y$18:$AG$42,'Introducció dades consum'!K2642+1,0)</f>
        <v>0</v>
      </c>
      <c r="O2642" s="370" cm="1">
        <f t="array" ref="O2642">+_xlfn.SWITCH(MONTH(C2642),1,1,2,1,3,1,4,2,5,2,6,3,7,3,8,3,9,3,10,2,11,2,12,1,2)</f>
        <v>1</v>
      </c>
      <c r="P2642" s="43"/>
    </row>
    <row r="2643" spans="1:16" ht="18" x14ac:dyDescent="0.35">
      <c r="A2643" s="43"/>
      <c r="C2643" s="393"/>
      <c r="E2643" s="394"/>
      <c r="F2643" s="394">
        <v>0</v>
      </c>
      <c r="G2643" s="394"/>
      <c r="H2643" s="8" t="s">
        <v>61</v>
      </c>
      <c r="I2643" s="368">
        <f t="shared" si="124"/>
        <v>0</v>
      </c>
      <c r="J2643" s="365">
        <f t="shared" si="123"/>
        <v>0</v>
      </c>
      <c r="K2643" s="369">
        <f t="shared" si="125"/>
        <v>6</v>
      </c>
      <c r="L2643" s="369">
        <f>+IF((C2643&gt;='Resultats - informe'!$E$16)*(C2643&lt;='Resultats - informe'!$G$16),1,0)</f>
        <v>1</v>
      </c>
      <c r="M2643" s="369" cm="1">
        <f t="array" ref="M2643">+_xlfn.IFS((C2643&gt;='Resultats - informe'!$D$26)*(C2643&lt;='Resultats - informe'!$E$26),0,(C2643&gt;='Resultats - informe'!$D$27)*(C2643&lt;='Resultats - informe'!$E$27),0,(C2643&gt;='Resultats - informe'!$D$28)*(C2643&lt;='Resultats - informe'!$E$28),0,(C2643&gt;='Resultats - informe'!$D$29)*(C2643&lt;='Resultats - informe'!$E$29),0,1,1)</f>
        <v>0</v>
      </c>
      <c r="N2643" s="366">
        <f>+VLOOKUP(D2643,'Resultats - informe'!$Y$18:$AG$42,'Introducció dades consum'!K2643+1,0)</f>
        <v>0</v>
      </c>
      <c r="O2643" s="370" cm="1">
        <f t="array" ref="O2643">+_xlfn.SWITCH(MONTH(C2643),1,1,2,1,3,1,4,2,5,2,6,3,7,3,8,3,9,3,10,2,11,2,12,1,2)</f>
        <v>1</v>
      </c>
      <c r="P2643" s="43"/>
    </row>
    <row r="2644" spans="1:16" ht="18" x14ac:dyDescent="0.35">
      <c r="A2644" s="43"/>
      <c r="C2644" s="393"/>
      <c r="E2644" s="394"/>
      <c r="F2644" s="394">
        <v>0</v>
      </c>
      <c r="G2644" s="394"/>
      <c r="H2644" s="8" t="s">
        <v>61</v>
      </c>
      <c r="I2644" s="368">
        <f t="shared" si="124"/>
        <v>0</v>
      </c>
      <c r="J2644" s="365">
        <f t="shared" si="123"/>
        <v>0</v>
      </c>
      <c r="K2644" s="369">
        <f t="shared" si="125"/>
        <v>6</v>
      </c>
      <c r="L2644" s="369">
        <f>+IF((C2644&gt;='Resultats - informe'!$E$16)*(C2644&lt;='Resultats - informe'!$G$16),1,0)</f>
        <v>1</v>
      </c>
      <c r="M2644" s="369" cm="1">
        <f t="array" ref="M2644">+_xlfn.IFS((C2644&gt;='Resultats - informe'!$D$26)*(C2644&lt;='Resultats - informe'!$E$26),0,(C2644&gt;='Resultats - informe'!$D$27)*(C2644&lt;='Resultats - informe'!$E$27),0,(C2644&gt;='Resultats - informe'!$D$28)*(C2644&lt;='Resultats - informe'!$E$28),0,(C2644&gt;='Resultats - informe'!$D$29)*(C2644&lt;='Resultats - informe'!$E$29),0,1,1)</f>
        <v>0</v>
      </c>
      <c r="N2644" s="366">
        <f>+VLOOKUP(D2644,'Resultats - informe'!$Y$18:$AG$42,'Introducció dades consum'!K2644+1,0)</f>
        <v>0</v>
      </c>
      <c r="O2644" s="370" cm="1">
        <f t="array" ref="O2644">+_xlfn.SWITCH(MONTH(C2644),1,1,2,1,3,1,4,2,5,2,6,3,7,3,8,3,9,3,10,2,11,2,12,1,2)</f>
        <v>1</v>
      </c>
      <c r="P2644" s="43"/>
    </row>
    <row r="2645" spans="1:16" ht="18" x14ac:dyDescent="0.35">
      <c r="A2645" s="43"/>
      <c r="C2645" s="393"/>
      <c r="E2645" s="394"/>
      <c r="F2645" s="394">
        <v>0</v>
      </c>
      <c r="G2645" s="394"/>
      <c r="H2645" s="8" t="s">
        <v>61</v>
      </c>
      <c r="I2645" s="368">
        <f t="shared" si="124"/>
        <v>0</v>
      </c>
      <c r="J2645" s="365">
        <f t="shared" si="123"/>
        <v>0</v>
      </c>
      <c r="K2645" s="369">
        <f t="shared" si="125"/>
        <v>6</v>
      </c>
      <c r="L2645" s="369">
        <f>+IF((C2645&gt;='Resultats - informe'!$E$16)*(C2645&lt;='Resultats - informe'!$G$16),1,0)</f>
        <v>1</v>
      </c>
      <c r="M2645" s="369" cm="1">
        <f t="array" ref="M2645">+_xlfn.IFS((C2645&gt;='Resultats - informe'!$D$26)*(C2645&lt;='Resultats - informe'!$E$26),0,(C2645&gt;='Resultats - informe'!$D$27)*(C2645&lt;='Resultats - informe'!$E$27),0,(C2645&gt;='Resultats - informe'!$D$28)*(C2645&lt;='Resultats - informe'!$E$28),0,(C2645&gt;='Resultats - informe'!$D$29)*(C2645&lt;='Resultats - informe'!$E$29),0,1,1)</f>
        <v>0</v>
      </c>
      <c r="N2645" s="366">
        <f>+VLOOKUP(D2645,'Resultats - informe'!$Y$18:$AG$42,'Introducció dades consum'!K2645+1,0)</f>
        <v>0</v>
      </c>
      <c r="O2645" s="370" cm="1">
        <f t="array" ref="O2645">+_xlfn.SWITCH(MONTH(C2645),1,1,2,1,3,1,4,2,5,2,6,3,7,3,8,3,9,3,10,2,11,2,12,1,2)</f>
        <v>1</v>
      </c>
      <c r="P2645" s="43"/>
    </row>
    <row r="2646" spans="1:16" ht="18" x14ac:dyDescent="0.35">
      <c r="A2646" s="43"/>
      <c r="C2646" s="393"/>
      <c r="E2646" s="394"/>
      <c r="F2646" s="394">
        <v>0</v>
      </c>
      <c r="G2646" s="394"/>
      <c r="H2646" s="8" t="s">
        <v>235</v>
      </c>
      <c r="I2646" s="368">
        <f t="shared" si="124"/>
        <v>0</v>
      </c>
      <c r="J2646" s="365">
        <f t="shared" si="123"/>
        <v>0</v>
      </c>
      <c r="K2646" s="369">
        <f t="shared" si="125"/>
        <v>6</v>
      </c>
      <c r="L2646" s="369">
        <f>+IF((C2646&gt;='Resultats - informe'!$E$16)*(C2646&lt;='Resultats - informe'!$G$16),1,0)</f>
        <v>1</v>
      </c>
      <c r="M2646" s="369" cm="1">
        <f t="array" ref="M2646">+_xlfn.IFS((C2646&gt;='Resultats - informe'!$D$26)*(C2646&lt;='Resultats - informe'!$E$26),0,(C2646&gt;='Resultats - informe'!$D$27)*(C2646&lt;='Resultats - informe'!$E$27),0,(C2646&gt;='Resultats - informe'!$D$28)*(C2646&lt;='Resultats - informe'!$E$28),0,(C2646&gt;='Resultats - informe'!$D$29)*(C2646&lt;='Resultats - informe'!$E$29),0,1,1)</f>
        <v>0</v>
      </c>
      <c r="N2646" s="366">
        <f>+VLOOKUP(D2646,'Resultats - informe'!$Y$18:$AG$42,'Introducció dades consum'!K2646+1,0)</f>
        <v>0</v>
      </c>
      <c r="O2646" s="370" cm="1">
        <f t="array" ref="O2646">+_xlfn.SWITCH(MONTH(C2646),1,1,2,1,3,1,4,2,5,2,6,3,7,3,8,3,9,3,10,2,11,2,12,1,2)</f>
        <v>1</v>
      </c>
      <c r="P2646" s="43"/>
    </row>
    <row r="2647" spans="1:16" ht="18" x14ac:dyDescent="0.35">
      <c r="A2647" s="43"/>
      <c r="C2647" s="393"/>
      <c r="E2647" s="394"/>
      <c r="F2647" s="394">
        <v>0</v>
      </c>
      <c r="G2647" s="394"/>
      <c r="H2647" s="8" t="s">
        <v>235</v>
      </c>
      <c r="I2647" s="368">
        <f t="shared" si="124"/>
        <v>0</v>
      </c>
      <c r="J2647" s="365">
        <f t="shared" si="123"/>
        <v>0</v>
      </c>
      <c r="K2647" s="369">
        <f t="shared" si="125"/>
        <v>6</v>
      </c>
      <c r="L2647" s="369">
        <f>+IF((C2647&gt;='Resultats - informe'!$E$16)*(C2647&lt;='Resultats - informe'!$G$16),1,0)</f>
        <v>1</v>
      </c>
      <c r="M2647" s="369" cm="1">
        <f t="array" ref="M2647">+_xlfn.IFS((C2647&gt;='Resultats - informe'!$D$26)*(C2647&lt;='Resultats - informe'!$E$26),0,(C2647&gt;='Resultats - informe'!$D$27)*(C2647&lt;='Resultats - informe'!$E$27),0,(C2647&gt;='Resultats - informe'!$D$28)*(C2647&lt;='Resultats - informe'!$E$28),0,(C2647&gt;='Resultats - informe'!$D$29)*(C2647&lt;='Resultats - informe'!$E$29),0,1,1)</f>
        <v>0</v>
      </c>
      <c r="N2647" s="366">
        <f>+VLOOKUP(D2647,'Resultats - informe'!$Y$18:$AG$42,'Introducció dades consum'!K2647+1,0)</f>
        <v>0</v>
      </c>
      <c r="O2647" s="370" cm="1">
        <f t="array" ref="O2647">+_xlfn.SWITCH(MONTH(C2647),1,1,2,1,3,1,4,2,5,2,6,3,7,3,8,3,9,3,10,2,11,2,12,1,2)</f>
        <v>1</v>
      </c>
      <c r="P2647" s="43"/>
    </row>
    <row r="2648" spans="1:16" ht="18" x14ac:dyDescent="0.35">
      <c r="A2648" s="43"/>
      <c r="C2648" s="393"/>
      <c r="E2648" s="394"/>
      <c r="F2648" s="394">
        <v>0</v>
      </c>
      <c r="G2648" s="394"/>
      <c r="H2648" s="8" t="s">
        <v>235</v>
      </c>
      <c r="I2648" s="368">
        <f t="shared" si="124"/>
        <v>0</v>
      </c>
      <c r="J2648" s="365">
        <f t="shared" si="123"/>
        <v>0</v>
      </c>
      <c r="K2648" s="369">
        <f t="shared" si="125"/>
        <v>6</v>
      </c>
      <c r="L2648" s="369">
        <f>+IF((C2648&gt;='Resultats - informe'!$E$16)*(C2648&lt;='Resultats - informe'!$G$16),1,0)</f>
        <v>1</v>
      </c>
      <c r="M2648" s="369" cm="1">
        <f t="array" ref="M2648">+_xlfn.IFS((C2648&gt;='Resultats - informe'!$D$26)*(C2648&lt;='Resultats - informe'!$E$26),0,(C2648&gt;='Resultats - informe'!$D$27)*(C2648&lt;='Resultats - informe'!$E$27),0,(C2648&gt;='Resultats - informe'!$D$28)*(C2648&lt;='Resultats - informe'!$E$28),0,(C2648&gt;='Resultats - informe'!$D$29)*(C2648&lt;='Resultats - informe'!$E$29),0,1,1)</f>
        <v>0</v>
      </c>
      <c r="N2648" s="366">
        <f>+VLOOKUP(D2648,'Resultats - informe'!$Y$18:$AG$42,'Introducció dades consum'!K2648+1,0)</f>
        <v>0</v>
      </c>
      <c r="O2648" s="370" cm="1">
        <f t="array" ref="O2648">+_xlfn.SWITCH(MONTH(C2648),1,1,2,1,3,1,4,2,5,2,6,3,7,3,8,3,9,3,10,2,11,2,12,1,2)</f>
        <v>1</v>
      </c>
      <c r="P2648" s="43"/>
    </row>
    <row r="2649" spans="1:16" ht="18" x14ac:dyDescent="0.35">
      <c r="A2649" s="43"/>
      <c r="C2649" s="393"/>
      <c r="E2649" s="394"/>
      <c r="F2649" s="394">
        <v>0</v>
      </c>
      <c r="G2649" s="394"/>
      <c r="H2649" s="8" t="s">
        <v>235</v>
      </c>
      <c r="I2649" s="368">
        <f t="shared" si="124"/>
        <v>0</v>
      </c>
      <c r="J2649" s="365">
        <f t="shared" si="123"/>
        <v>0</v>
      </c>
      <c r="K2649" s="369">
        <f t="shared" si="125"/>
        <v>6</v>
      </c>
      <c r="L2649" s="369">
        <f>+IF((C2649&gt;='Resultats - informe'!$E$16)*(C2649&lt;='Resultats - informe'!$G$16),1,0)</f>
        <v>1</v>
      </c>
      <c r="M2649" s="369" cm="1">
        <f t="array" ref="M2649">+_xlfn.IFS((C2649&gt;='Resultats - informe'!$D$26)*(C2649&lt;='Resultats - informe'!$E$26),0,(C2649&gt;='Resultats - informe'!$D$27)*(C2649&lt;='Resultats - informe'!$E$27),0,(C2649&gt;='Resultats - informe'!$D$28)*(C2649&lt;='Resultats - informe'!$E$28),0,(C2649&gt;='Resultats - informe'!$D$29)*(C2649&lt;='Resultats - informe'!$E$29),0,1,1)</f>
        <v>0</v>
      </c>
      <c r="N2649" s="366">
        <f>+VLOOKUP(D2649,'Resultats - informe'!$Y$18:$AG$42,'Introducció dades consum'!K2649+1,0)</f>
        <v>0</v>
      </c>
      <c r="O2649" s="370" cm="1">
        <f t="array" ref="O2649">+_xlfn.SWITCH(MONTH(C2649),1,1,2,1,3,1,4,2,5,2,6,3,7,3,8,3,9,3,10,2,11,2,12,1,2)</f>
        <v>1</v>
      </c>
      <c r="P2649" s="43"/>
    </row>
    <row r="2650" spans="1:16" ht="18" x14ac:dyDescent="0.35">
      <c r="A2650" s="43"/>
      <c r="C2650" s="393"/>
      <c r="E2650" s="394"/>
      <c r="F2650" s="394">
        <v>0.76700000000000002</v>
      </c>
      <c r="G2650" s="394"/>
      <c r="H2650" s="8" t="s">
        <v>235</v>
      </c>
      <c r="I2650" s="368">
        <f t="shared" si="124"/>
        <v>0</v>
      </c>
      <c r="J2650" s="365">
        <f t="shared" si="123"/>
        <v>0</v>
      </c>
      <c r="K2650" s="369">
        <f t="shared" si="125"/>
        <v>6</v>
      </c>
      <c r="L2650" s="369">
        <f>+IF((C2650&gt;='Resultats - informe'!$E$16)*(C2650&lt;='Resultats - informe'!$G$16),1,0)</f>
        <v>1</v>
      </c>
      <c r="M2650" s="369" cm="1">
        <f t="array" ref="M2650">+_xlfn.IFS((C2650&gt;='Resultats - informe'!$D$26)*(C2650&lt;='Resultats - informe'!$E$26),0,(C2650&gt;='Resultats - informe'!$D$27)*(C2650&lt;='Resultats - informe'!$E$27),0,(C2650&gt;='Resultats - informe'!$D$28)*(C2650&lt;='Resultats - informe'!$E$28),0,(C2650&gt;='Resultats - informe'!$D$29)*(C2650&lt;='Resultats - informe'!$E$29),0,1,1)</f>
        <v>0</v>
      </c>
      <c r="N2650" s="366">
        <f>+VLOOKUP(D2650,'Resultats - informe'!$Y$18:$AG$42,'Introducció dades consum'!K2650+1,0)</f>
        <v>0</v>
      </c>
      <c r="O2650" s="370" cm="1">
        <f t="array" ref="O2650">+_xlfn.SWITCH(MONTH(C2650),1,1,2,1,3,1,4,2,5,2,6,3,7,3,8,3,9,3,10,2,11,2,12,1,2)</f>
        <v>1</v>
      </c>
      <c r="P2650" s="43"/>
    </row>
    <row r="2651" spans="1:16" ht="18" x14ac:dyDescent="0.35">
      <c r="A2651" s="43"/>
      <c r="C2651" s="393"/>
      <c r="E2651" s="394"/>
      <c r="F2651" s="394">
        <v>1.6339999999999999</v>
      </c>
      <c r="G2651" s="394"/>
      <c r="H2651" s="8" t="s">
        <v>235</v>
      </c>
      <c r="I2651" s="368">
        <f t="shared" si="124"/>
        <v>0</v>
      </c>
      <c r="J2651" s="365">
        <f t="shared" si="123"/>
        <v>0</v>
      </c>
      <c r="K2651" s="369">
        <f t="shared" si="125"/>
        <v>6</v>
      </c>
      <c r="L2651" s="369">
        <f>+IF((C2651&gt;='Resultats - informe'!$E$16)*(C2651&lt;='Resultats - informe'!$G$16),1,0)</f>
        <v>1</v>
      </c>
      <c r="M2651" s="369" cm="1">
        <f t="array" ref="M2651">+_xlfn.IFS((C2651&gt;='Resultats - informe'!$D$26)*(C2651&lt;='Resultats - informe'!$E$26),0,(C2651&gt;='Resultats - informe'!$D$27)*(C2651&lt;='Resultats - informe'!$E$27),0,(C2651&gt;='Resultats - informe'!$D$28)*(C2651&lt;='Resultats - informe'!$E$28),0,(C2651&gt;='Resultats - informe'!$D$29)*(C2651&lt;='Resultats - informe'!$E$29),0,1,1)</f>
        <v>0</v>
      </c>
      <c r="N2651" s="366">
        <f>+VLOOKUP(D2651,'Resultats - informe'!$Y$18:$AG$42,'Introducció dades consum'!K2651+1,0)</f>
        <v>0</v>
      </c>
      <c r="O2651" s="370" cm="1">
        <f t="array" ref="O2651">+_xlfn.SWITCH(MONTH(C2651),1,1,2,1,3,1,4,2,5,2,6,3,7,3,8,3,9,3,10,2,11,2,12,1,2)</f>
        <v>1</v>
      </c>
      <c r="P2651" s="43"/>
    </row>
    <row r="2652" spans="1:16" ht="18" x14ac:dyDescent="0.35">
      <c r="A2652" s="43"/>
      <c r="C2652" s="393"/>
      <c r="E2652" s="394"/>
      <c r="F2652" s="394">
        <v>4.1760000000000002</v>
      </c>
      <c r="G2652" s="394"/>
      <c r="H2652" s="8" t="s">
        <v>235</v>
      </c>
      <c r="I2652" s="368">
        <f t="shared" si="124"/>
        <v>0</v>
      </c>
      <c r="J2652" s="365">
        <f t="shared" si="123"/>
        <v>0</v>
      </c>
      <c r="K2652" s="369">
        <f t="shared" si="125"/>
        <v>6</v>
      </c>
      <c r="L2652" s="369">
        <f>+IF((C2652&gt;='Resultats - informe'!$E$16)*(C2652&lt;='Resultats - informe'!$G$16),1,0)</f>
        <v>1</v>
      </c>
      <c r="M2652" s="369" cm="1">
        <f t="array" ref="M2652">+_xlfn.IFS((C2652&gt;='Resultats - informe'!$D$26)*(C2652&lt;='Resultats - informe'!$E$26),0,(C2652&gt;='Resultats - informe'!$D$27)*(C2652&lt;='Resultats - informe'!$E$27),0,(C2652&gt;='Resultats - informe'!$D$28)*(C2652&lt;='Resultats - informe'!$E$28),0,(C2652&gt;='Resultats - informe'!$D$29)*(C2652&lt;='Resultats - informe'!$E$29),0,1,1)</f>
        <v>0</v>
      </c>
      <c r="N2652" s="366">
        <f>+VLOOKUP(D2652,'Resultats - informe'!$Y$18:$AG$42,'Introducció dades consum'!K2652+1,0)</f>
        <v>0</v>
      </c>
      <c r="O2652" s="370" cm="1">
        <f t="array" ref="O2652">+_xlfn.SWITCH(MONTH(C2652),1,1,2,1,3,1,4,2,5,2,6,3,7,3,8,3,9,3,10,2,11,2,12,1,2)</f>
        <v>1</v>
      </c>
      <c r="P2652" s="43"/>
    </row>
    <row r="2653" spans="1:16" ht="18" x14ac:dyDescent="0.35">
      <c r="A2653" s="43"/>
      <c r="C2653" s="393"/>
      <c r="E2653" s="394"/>
      <c r="F2653" s="394">
        <v>5.3170000000000002</v>
      </c>
      <c r="G2653" s="394"/>
      <c r="H2653" s="8" t="s">
        <v>235</v>
      </c>
      <c r="I2653" s="368">
        <f t="shared" si="124"/>
        <v>0</v>
      </c>
      <c r="J2653" s="365">
        <f t="shared" si="123"/>
        <v>0</v>
      </c>
      <c r="K2653" s="369">
        <f t="shared" si="125"/>
        <v>6</v>
      </c>
      <c r="L2653" s="369">
        <f>+IF((C2653&gt;='Resultats - informe'!$E$16)*(C2653&lt;='Resultats - informe'!$G$16),1,0)</f>
        <v>1</v>
      </c>
      <c r="M2653" s="369" cm="1">
        <f t="array" ref="M2653">+_xlfn.IFS((C2653&gt;='Resultats - informe'!$D$26)*(C2653&lt;='Resultats - informe'!$E$26),0,(C2653&gt;='Resultats - informe'!$D$27)*(C2653&lt;='Resultats - informe'!$E$27),0,(C2653&gt;='Resultats - informe'!$D$28)*(C2653&lt;='Resultats - informe'!$E$28),0,(C2653&gt;='Resultats - informe'!$D$29)*(C2653&lt;='Resultats - informe'!$E$29),0,1,1)</f>
        <v>0</v>
      </c>
      <c r="N2653" s="366">
        <f>+VLOOKUP(D2653,'Resultats - informe'!$Y$18:$AG$42,'Introducció dades consum'!K2653+1,0)</f>
        <v>0</v>
      </c>
      <c r="O2653" s="370" cm="1">
        <f t="array" ref="O2653">+_xlfn.SWITCH(MONTH(C2653),1,1,2,1,3,1,4,2,5,2,6,3,7,3,8,3,9,3,10,2,11,2,12,1,2)</f>
        <v>1</v>
      </c>
      <c r="P2653" s="43"/>
    </row>
    <row r="2654" spans="1:16" ht="18" x14ac:dyDescent="0.35">
      <c r="A2654" s="43"/>
      <c r="C2654" s="393"/>
      <c r="E2654" s="394"/>
      <c r="F2654" s="394">
        <v>5.1950000000000003</v>
      </c>
      <c r="G2654" s="394"/>
      <c r="H2654" s="8" t="s">
        <v>235</v>
      </c>
      <c r="I2654" s="368">
        <f t="shared" si="124"/>
        <v>0</v>
      </c>
      <c r="J2654" s="365">
        <f t="shared" si="123"/>
        <v>0</v>
      </c>
      <c r="K2654" s="369">
        <f t="shared" si="125"/>
        <v>6</v>
      </c>
      <c r="L2654" s="369">
        <f>+IF((C2654&gt;='Resultats - informe'!$E$16)*(C2654&lt;='Resultats - informe'!$G$16),1,0)</f>
        <v>1</v>
      </c>
      <c r="M2654" s="369" cm="1">
        <f t="array" ref="M2654">+_xlfn.IFS((C2654&gt;='Resultats - informe'!$D$26)*(C2654&lt;='Resultats - informe'!$E$26),0,(C2654&gt;='Resultats - informe'!$D$27)*(C2654&lt;='Resultats - informe'!$E$27),0,(C2654&gt;='Resultats - informe'!$D$28)*(C2654&lt;='Resultats - informe'!$E$28),0,(C2654&gt;='Resultats - informe'!$D$29)*(C2654&lt;='Resultats - informe'!$E$29),0,1,1)</f>
        <v>0</v>
      </c>
      <c r="N2654" s="366">
        <f>+VLOOKUP(D2654,'Resultats - informe'!$Y$18:$AG$42,'Introducció dades consum'!K2654+1,0)</f>
        <v>0</v>
      </c>
      <c r="O2654" s="370" cm="1">
        <f t="array" ref="O2654">+_xlfn.SWITCH(MONTH(C2654),1,1,2,1,3,1,4,2,5,2,6,3,7,3,8,3,9,3,10,2,11,2,12,1,2)</f>
        <v>1</v>
      </c>
      <c r="P2654" s="43"/>
    </row>
    <row r="2655" spans="1:16" ht="18" x14ac:dyDescent="0.35">
      <c r="A2655" s="43"/>
      <c r="C2655" s="393"/>
      <c r="E2655" s="394"/>
      <c r="F2655" s="394">
        <v>5.3689999999999998</v>
      </c>
      <c r="G2655" s="394"/>
      <c r="H2655" s="8" t="s">
        <v>235</v>
      </c>
      <c r="I2655" s="368">
        <f t="shared" si="124"/>
        <v>0</v>
      </c>
      <c r="J2655" s="365">
        <f t="shared" si="123"/>
        <v>0</v>
      </c>
      <c r="K2655" s="369">
        <f t="shared" si="125"/>
        <v>6</v>
      </c>
      <c r="L2655" s="369">
        <f>+IF((C2655&gt;='Resultats - informe'!$E$16)*(C2655&lt;='Resultats - informe'!$G$16),1,0)</f>
        <v>1</v>
      </c>
      <c r="M2655" s="369" cm="1">
        <f t="array" ref="M2655">+_xlfn.IFS((C2655&gt;='Resultats - informe'!$D$26)*(C2655&lt;='Resultats - informe'!$E$26),0,(C2655&gt;='Resultats - informe'!$D$27)*(C2655&lt;='Resultats - informe'!$E$27),0,(C2655&gt;='Resultats - informe'!$D$28)*(C2655&lt;='Resultats - informe'!$E$28),0,(C2655&gt;='Resultats - informe'!$D$29)*(C2655&lt;='Resultats - informe'!$E$29),0,1,1)</f>
        <v>0</v>
      </c>
      <c r="N2655" s="366">
        <f>+VLOOKUP(D2655,'Resultats - informe'!$Y$18:$AG$42,'Introducció dades consum'!K2655+1,0)</f>
        <v>0</v>
      </c>
      <c r="O2655" s="370" cm="1">
        <f t="array" ref="O2655">+_xlfn.SWITCH(MONTH(C2655),1,1,2,1,3,1,4,2,5,2,6,3,7,3,8,3,9,3,10,2,11,2,12,1,2)</f>
        <v>1</v>
      </c>
      <c r="P2655" s="43"/>
    </row>
    <row r="2656" spans="1:16" ht="18" x14ac:dyDescent="0.35">
      <c r="A2656" s="43"/>
      <c r="C2656" s="393"/>
      <c r="E2656" s="394"/>
      <c r="F2656" s="394">
        <v>5.1779999999999999</v>
      </c>
      <c r="G2656" s="394"/>
      <c r="H2656" s="8" t="s">
        <v>235</v>
      </c>
      <c r="I2656" s="368">
        <f t="shared" si="124"/>
        <v>0</v>
      </c>
      <c r="J2656" s="365">
        <f t="shared" si="123"/>
        <v>0</v>
      </c>
      <c r="K2656" s="369">
        <f t="shared" si="125"/>
        <v>6</v>
      </c>
      <c r="L2656" s="369">
        <f>+IF((C2656&gt;='Resultats - informe'!$E$16)*(C2656&lt;='Resultats - informe'!$G$16),1,0)</f>
        <v>1</v>
      </c>
      <c r="M2656" s="369" cm="1">
        <f t="array" ref="M2656">+_xlfn.IFS((C2656&gt;='Resultats - informe'!$D$26)*(C2656&lt;='Resultats - informe'!$E$26),0,(C2656&gt;='Resultats - informe'!$D$27)*(C2656&lt;='Resultats - informe'!$E$27),0,(C2656&gt;='Resultats - informe'!$D$28)*(C2656&lt;='Resultats - informe'!$E$28),0,(C2656&gt;='Resultats - informe'!$D$29)*(C2656&lt;='Resultats - informe'!$E$29),0,1,1)</f>
        <v>0</v>
      </c>
      <c r="N2656" s="366">
        <f>+VLOOKUP(D2656,'Resultats - informe'!$Y$18:$AG$42,'Introducció dades consum'!K2656+1,0)</f>
        <v>0</v>
      </c>
      <c r="O2656" s="370" cm="1">
        <f t="array" ref="O2656">+_xlfn.SWITCH(MONTH(C2656),1,1,2,1,3,1,4,2,5,2,6,3,7,3,8,3,9,3,10,2,11,2,12,1,2)</f>
        <v>1</v>
      </c>
      <c r="P2656" s="43"/>
    </row>
    <row r="2657" spans="1:16" ht="18" x14ac:dyDescent="0.35">
      <c r="A2657" s="43"/>
      <c r="C2657" s="393"/>
      <c r="E2657" s="394"/>
      <c r="F2657" s="394">
        <v>4.492</v>
      </c>
      <c r="G2657" s="394"/>
      <c r="H2657" s="8" t="s">
        <v>235</v>
      </c>
      <c r="I2657" s="368">
        <f t="shared" si="124"/>
        <v>0</v>
      </c>
      <c r="J2657" s="365">
        <f t="shared" si="123"/>
        <v>0</v>
      </c>
      <c r="K2657" s="369">
        <f t="shared" si="125"/>
        <v>6</v>
      </c>
      <c r="L2657" s="369">
        <f>+IF((C2657&gt;='Resultats - informe'!$E$16)*(C2657&lt;='Resultats - informe'!$G$16),1,0)</f>
        <v>1</v>
      </c>
      <c r="M2657" s="369" cm="1">
        <f t="array" ref="M2657">+_xlfn.IFS((C2657&gt;='Resultats - informe'!$D$26)*(C2657&lt;='Resultats - informe'!$E$26),0,(C2657&gt;='Resultats - informe'!$D$27)*(C2657&lt;='Resultats - informe'!$E$27),0,(C2657&gt;='Resultats - informe'!$D$28)*(C2657&lt;='Resultats - informe'!$E$28),0,(C2657&gt;='Resultats - informe'!$D$29)*(C2657&lt;='Resultats - informe'!$E$29),0,1,1)</f>
        <v>0</v>
      </c>
      <c r="N2657" s="366">
        <f>+VLOOKUP(D2657,'Resultats - informe'!$Y$18:$AG$42,'Introducció dades consum'!K2657+1,0)</f>
        <v>0</v>
      </c>
      <c r="O2657" s="370" cm="1">
        <f t="array" ref="O2657">+_xlfn.SWITCH(MONTH(C2657),1,1,2,1,3,1,4,2,5,2,6,3,7,3,8,3,9,3,10,2,11,2,12,1,2)</f>
        <v>1</v>
      </c>
      <c r="P2657" s="43"/>
    </row>
    <row r="2658" spans="1:16" ht="18" x14ac:dyDescent="0.35">
      <c r="A2658" s="43"/>
      <c r="C2658" s="393"/>
      <c r="E2658" s="394"/>
      <c r="F2658" s="394">
        <v>4.1920000000000002</v>
      </c>
      <c r="G2658" s="394"/>
      <c r="H2658" s="8" t="s">
        <v>235</v>
      </c>
      <c r="I2658" s="368">
        <f t="shared" si="124"/>
        <v>0</v>
      </c>
      <c r="J2658" s="365">
        <f t="shared" si="123"/>
        <v>0</v>
      </c>
      <c r="K2658" s="369">
        <f t="shared" si="125"/>
        <v>6</v>
      </c>
      <c r="L2658" s="369">
        <f>+IF((C2658&gt;='Resultats - informe'!$E$16)*(C2658&lt;='Resultats - informe'!$G$16),1,0)</f>
        <v>1</v>
      </c>
      <c r="M2658" s="369" cm="1">
        <f t="array" ref="M2658">+_xlfn.IFS((C2658&gt;='Resultats - informe'!$D$26)*(C2658&lt;='Resultats - informe'!$E$26),0,(C2658&gt;='Resultats - informe'!$D$27)*(C2658&lt;='Resultats - informe'!$E$27),0,(C2658&gt;='Resultats - informe'!$D$28)*(C2658&lt;='Resultats - informe'!$E$28),0,(C2658&gt;='Resultats - informe'!$D$29)*(C2658&lt;='Resultats - informe'!$E$29),0,1,1)</f>
        <v>0</v>
      </c>
      <c r="N2658" s="366">
        <f>+VLOOKUP(D2658,'Resultats - informe'!$Y$18:$AG$42,'Introducció dades consum'!K2658+1,0)</f>
        <v>0</v>
      </c>
      <c r="O2658" s="370" cm="1">
        <f t="array" ref="O2658">+_xlfn.SWITCH(MONTH(C2658),1,1,2,1,3,1,4,2,5,2,6,3,7,3,8,3,9,3,10,2,11,2,12,1,2)</f>
        <v>1</v>
      </c>
      <c r="P2658" s="43"/>
    </row>
    <row r="2659" spans="1:16" ht="18" x14ac:dyDescent="0.35">
      <c r="A2659" s="43"/>
      <c r="C2659" s="393"/>
      <c r="E2659" s="394"/>
      <c r="F2659" s="394">
        <v>2.758</v>
      </c>
      <c r="G2659" s="394"/>
      <c r="H2659" s="8" t="s">
        <v>235</v>
      </c>
      <c r="I2659" s="368">
        <f t="shared" si="124"/>
        <v>0</v>
      </c>
      <c r="J2659" s="365">
        <f t="shared" si="123"/>
        <v>0</v>
      </c>
      <c r="K2659" s="369">
        <f t="shared" si="125"/>
        <v>6</v>
      </c>
      <c r="L2659" s="369">
        <f>+IF((C2659&gt;='Resultats - informe'!$E$16)*(C2659&lt;='Resultats - informe'!$G$16),1,0)</f>
        <v>1</v>
      </c>
      <c r="M2659" s="369" cm="1">
        <f t="array" ref="M2659">+_xlfn.IFS((C2659&gt;='Resultats - informe'!$D$26)*(C2659&lt;='Resultats - informe'!$E$26),0,(C2659&gt;='Resultats - informe'!$D$27)*(C2659&lt;='Resultats - informe'!$E$27),0,(C2659&gt;='Resultats - informe'!$D$28)*(C2659&lt;='Resultats - informe'!$E$28),0,(C2659&gt;='Resultats - informe'!$D$29)*(C2659&lt;='Resultats - informe'!$E$29),0,1,1)</f>
        <v>0</v>
      </c>
      <c r="N2659" s="366">
        <f>+VLOOKUP(D2659,'Resultats - informe'!$Y$18:$AG$42,'Introducció dades consum'!K2659+1,0)</f>
        <v>0</v>
      </c>
      <c r="O2659" s="370" cm="1">
        <f t="array" ref="O2659">+_xlfn.SWITCH(MONTH(C2659),1,1,2,1,3,1,4,2,5,2,6,3,7,3,8,3,9,3,10,2,11,2,12,1,2)</f>
        <v>1</v>
      </c>
      <c r="P2659" s="43"/>
    </row>
    <row r="2660" spans="1:16" ht="18" x14ac:dyDescent="0.35">
      <c r="A2660" s="43"/>
      <c r="C2660" s="393"/>
      <c r="E2660" s="394"/>
      <c r="F2660" s="394">
        <v>1.413</v>
      </c>
      <c r="G2660" s="394"/>
      <c r="H2660" s="8" t="s">
        <v>235</v>
      </c>
      <c r="I2660" s="368">
        <f t="shared" si="124"/>
        <v>0</v>
      </c>
      <c r="J2660" s="365">
        <f t="shared" si="123"/>
        <v>0</v>
      </c>
      <c r="K2660" s="369">
        <f t="shared" si="125"/>
        <v>6</v>
      </c>
      <c r="L2660" s="369">
        <f>+IF((C2660&gt;='Resultats - informe'!$E$16)*(C2660&lt;='Resultats - informe'!$G$16),1,0)</f>
        <v>1</v>
      </c>
      <c r="M2660" s="369" cm="1">
        <f t="array" ref="M2660">+_xlfn.IFS((C2660&gt;='Resultats - informe'!$D$26)*(C2660&lt;='Resultats - informe'!$E$26),0,(C2660&gt;='Resultats - informe'!$D$27)*(C2660&lt;='Resultats - informe'!$E$27),0,(C2660&gt;='Resultats - informe'!$D$28)*(C2660&lt;='Resultats - informe'!$E$28),0,(C2660&gt;='Resultats - informe'!$D$29)*(C2660&lt;='Resultats - informe'!$E$29),0,1,1)</f>
        <v>0</v>
      </c>
      <c r="N2660" s="366">
        <f>+VLOOKUP(D2660,'Resultats - informe'!$Y$18:$AG$42,'Introducció dades consum'!K2660+1,0)</f>
        <v>0</v>
      </c>
      <c r="O2660" s="370" cm="1">
        <f t="array" ref="O2660">+_xlfn.SWITCH(MONTH(C2660),1,1,2,1,3,1,4,2,5,2,6,3,7,3,8,3,9,3,10,2,11,2,12,1,2)</f>
        <v>1</v>
      </c>
      <c r="P2660" s="43"/>
    </row>
    <row r="2661" spans="1:16" ht="18" x14ac:dyDescent="0.35">
      <c r="A2661" s="43"/>
      <c r="C2661" s="393"/>
      <c r="E2661" s="394"/>
      <c r="F2661" s="394">
        <v>0.19800000000000001</v>
      </c>
      <c r="G2661" s="394"/>
      <c r="H2661" s="8" t="s">
        <v>235</v>
      </c>
      <c r="I2661" s="368">
        <f t="shared" si="124"/>
        <v>0</v>
      </c>
      <c r="J2661" s="365">
        <f t="shared" si="123"/>
        <v>0</v>
      </c>
      <c r="K2661" s="369">
        <f t="shared" si="125"/>
        <v>6</v>
      </c>
      <c r="L2661" s="369">
        <f>+IF((C2661&gt;='Resultats - informe'!$E$16)*(C2661&lt;='Resultats - informe'!$G$16),1,0)</f>
        <v>1</v>
      </c>
      <c r="M2661" s="369" cm="1">
        <f t="array" ref="M2661">+_xlfn.IFS((C2661&gt;='Resultats - informe'!$D$26)*(C2661&lt;='Resultats - informe'!$E$26),0,(C2661&gt;='Resultats - informe'!$D$27)*(C2661&lt;='Resultats - informe'!$E$27),0,(C2661&gt;='Resultats - informe'!$D$28)*(C2661&lt;='Resultats - informe'!$E$28),0,(C2661&gt;='Resultats - informe'!$D$29)*(C2661&lt;='Resultats - informe'!$E$29),0,1,1)</f>
        <v>0</v>
      </c>
      <c r="N2661" s="366">
        <f>+VLOOKUP(D2661,'Resultats - informe'!$Y$18:$AG$42,'Introducció dades consum'!K2661+1,0)</f>
        <v>0</v>
      </c>
      <c r="O2661" s="370" cm="1">
        <f t="array" ref="O2661">+_xlfn.SWITCH(MONTH(C2661),1,1,2,1,3,1,4,2,5,2,6,3,7,3,8,3,9,3,10,2,11,2,12,1,2)</f>
        <v>1</v>
      </c>
      <c r="P2661" s="43"/>
    </row>
    <row r="2662" spans="1:16" ht="18" x14ac:dyDescent="0.35">
      <c r="A2662" s="43"/>
      <c r="C2662" s="393"/>
      <c r="E2662" s="394"/>
      <c r="F2662" s="394">
        <v>0</v>
      </c>
      <c r="G2662" s="394"/>
      <c r="H2662" s="8" t="s">
        <v>235</v>
      </c>
      <c r="I2662" s="368">
        <f t="shared" si="124"/>
        <v>0</v>
      </c>
      <c r="J2662" s="365">
        <f t="shared" si="123"/>
        <v>0</v>
      </c>
      <c r="K2662" s="369">
        <f t="shared" si="125"/>
        <v>6</v>
      </c>
      <c r="L2662" s="369">
        <f>+IF((C2662&gt;='Resultats - informe'!$E$16)*(C2662&lt;='Resultats - informe'!$G$16),1,0)</f>
        <v>1</v>
      </c>
      <c r="M2662" s="369" cm="1">
        <f t="array" ref="M2662">+_xlfn.IFS((C2662&gt;='Resultats - informe'!$D$26)*(C2662&lt;='Resultats - informe'!$E$26),0,(C2662&gt;='Resultats - informe'!$D$27)*(C2662&lt;='Resultats - informe'!$E$27),0,(C2662&gt;='Resultats - informe'!$D$28)*(C2662&lt;='Resultats - informe'!$E$28),0,(C2662&gt;='Resultats - informe'!$D$29)*(C2662&lt;='Resultats - informe'!$E$29),0,1,1)</f>
        <v>0</v>
      </c>
      <c r="N2662" s="366">
        <f>+VLOOKUP(D2662,'Resultats - informe'!$Y$18:$AG$42,'Introducció dades consum'!K2662+1,0)</f>
        <v>0</v>
      </c>
      <c r="O2662" s="370" cm="1">
        <f t="array" ref="O2662">+_xlfn.SWITCH(MONTH(C2662),1,1,2,1,3,1,4,2,5,2,6,3,7,3,8,3,9,3,10,2,11,2,12,1,2)</f>
        <v>1</v>
      </c>
      <c r="P2662" s="43"/>
    </row>
    <row r="2663" spans="1:16" ht="18" x14ac:dyDescent="0.35">
      <c r="A2663" s="43"/>
      <c r="C2663" s="393"/>
      <c r="E2663" s="394"/>
      <c r="F2663" s="394">
        <v>0</v>
      </c>
      <c r="G2663" s="394"/>
      <c r="H2663" s="8" t="s">
        <v>235</v>
      </c>
      <c r="I2663" s="368">
        <f t="shared" si="124"/>
        <v>0</v>
      </c>
      <c r="J2663" s="365">
        <f t="shared" si="123"/>
        <v>0</v>
      </c>
      <c r="K2663" s="369">
        <f t="shared" si="125"/>
        <v>6</v>
      </c>
      <c r="L2663" s="369">
        <f>+IF((C2663&gt;='Resultats - informe'!$E$16)*(C2663&lt;='Resultats - informe'!$G$16),1,0)</f>
        <v>1</v>
      </c>
      <c r="M2663" s="369" cm="1">
        <f t="array" ref="M2663">+_xlfn.IFS((C2663&gt;='Resultats - informe'!$D$26)*(C2663&lt;='Resultats - informe'!$E$26),0,(C2663&gt;='Resultats - informe'!$D$27)*(C2663&lt;='Resultats - informe'!$E$27),0,(C2663&gt;='Resultats - informe'!$D$28)*(C2663&lt;='Resultats - informe'!$E$28),0,(C2663&gt;='Resultats - informe'!$D$29)*(C2663&lt;='Resultats - informe'!$E$29),0,1,1)</f>
        <v>0</v>
      </c>
      <c r="N2663" s="366">
        <f>+VLOOKUP(D2663,'Resultats - informe'!$Y$18:$AG$42,'Introducció dades consum'!K2663+1,0)</f>
        <v>0</v>
      </c>
      <c r="O2663" s="370" cm="1">
        <f t="array" ref="O2663">+_xlfn.SWITCH(MONTH(C2663),1,1,2,1,3,1,4,2,5,2,6,3,7,3,8,3,9,3,10,2,11,2,12,1,2)</f>
        <v>1</v>
      </c>
      <c r="P2663" s="43"/>
    </row>
    <row r="2664" spans="1:16" ht="18" x14ac:dyDescent="0.35">
      <c r="A2664" s="43"/>
      <c r="C2664" s="393"/>
      <c r="E2664" s="394"/>
      <c r="F2664" s="394">
        <v>0</v>
      </c>
      <c r="G2664" s="394"/>
      <c r="H2664" s="8" t="s">
        <v>235</v>
      </c>
      <c r="I2664" s="368">
        <f t="shared" si="124"/>
        <v>0</v>
      </c>
      <c r="J2664" s="365">
        <f t="shared" si="123"/>
        <v>0</v>
      </c>
      <c r="K2664" s="369">
        <f t="shared" si="125"/>
        <v>6</v>
      </c>
      <c r="L2664" s="369">
        <f>+IF((C2664&gt;='Resultats - informe'!$E$16)*(C2664&lt;='Resultats - informe'!$G$16),1,0)</f>
        <v>1</v>
      </c>
      <c r="M2664" s="369" cm="1">
        <f t="array" ref="M2664">+_xlfn.IFS((C2664&gt;='Resultats - informe'!$D$26)*(C2664&lt;='Resultats - informe'!$E$26),0,(C2664&gt;='Resultats - informe'!$D$27)*(C2664&lt;='Resultats - informe'!$E$27),0,(C2664&gt;='Resultats - informe'!$D$28)*(C2664&lt;='Resultats - informe'!$E$28),0,(C2664&gt;='Resultats - informe'!$D$29)*(C2664&lt;='Resultats - informe'!$E$29),0,1,1)</f>
        <v>0</v>
      </c>
      <c r="N2664" s="366">
        <f>+VLOOKUP(D2664,'Resultats - informe'!$Y$18:$AG$42,'Introducció dades consum'!K2664+1,0)</f>
        <v>0</v>
      </c>
      <c r="O2664" s="370" cm="1">
        <f t="array" ref="O2664">+_xlfn.SWITCH(MONTH(C2664),1,1,2,1,3,1,4,2,5,2,6,3,7,3,8,3,9,3,10,2,11,2,12,1,2)</f>
        <v>1</v>
      </c>
      <c r="P2664" s="43"/>
    </row>
    <row r="2665" spans="1:16" ht="18" x14ac:dyDescent="0.35">
      <c r="A2665" s="43"/>
      <c r="C2665" s="393"/>
      <c r="E2665" s="394"/>
      <c r="F2665" s="394">
        <v>0</v>
      </c>
      <c r="G2665" s="394"/>
      <c r="H2665" s="8" t="s">
        <v>61</v>
      </c>
      <c r="I2665" s="368">
        <f t="shared" si="124"/>
        <v>0</v>
      </c>
      <c r="J2665" s="365">
        <f t="shared" si="123"/>
        <v>0</v>
      </c>
      <c r="K2665" s="369">
        <f t="shared" si="125"/>
        <v>6</v>
      </c>
      <c r="L2665" s="369">
        <f>+IF((C2665&gt;='Resultats - informe'!$E$16)*(C2665&lt;='Resultats - informe'!$G$16),1,0)</f>
        <v>1</v>
      </c>
      <c r="M2665" s="369" cm="1">
        <f t="array" ref="M2665">+_xlfn.IFS((C2665&gt;='Resultats - informe'!$D$26)*(C2665&lt;='Resultats - informe'!$E$26),0,(C2665&gt;='Resultats - informe'!$D$27)*(C2665&lt;='Resultats - informe'!$E$27),0,(C2665&gt;='Resultats - informe'!$D$28)*(C2665&lt;='Resultats - informe'!$E$28),0,(C2665&gt;='Resultats - informe'!$D$29)*(C2665&lt;='Resultats - informe'!$E$29),0,1,1)</f>
        <v>0</v>
      </c>
      <c r="N2665" s="366">
        <f>+VLOOKUP(D2665,'Resultats - informe'!$Y$18:$AG$42,'Introducció dades consum'!K2665+1,0)</f>
        <v>0</v>
      </c>
      <c r="O2665" s="370" cm="1">
        <f t="array" ref="O2665">+_xlfn.SWITCH(MONTH(C2665),1,1,2,1,3,1,4,2,5,2,6,3,7,3,8,3,9,3,10,2,11,2,12,1,2)</f>
        <v>1</v>
      </c>
      <c r="P2665" s="43"/>
    </row>
    <row r="2666" spans="1:16" ht="18" x14ac:dyDescent="0.35">
      <c r="A2666" s="43"/>
      <c r="C2666" s="393"/>
      <c r="E2666" s="394"/>
      <c r="F2666" s="394">
        <v>0</v>
      </c>
      <c r="G2666" s="394"/>
      <c r="H2666" s="8" t="s">
        <v>61</v>
      </c>
      <c r="I2666" s="368">
        <f t="shared" si="124"/>
        <v>0</v>
      </c>
      <c r="J2666" s="365">
        <f t="shared" si="123"/>
        <v>0</v>
      </c>
      <c r="K2666" s="369">
        <f t="shared" si="125"/>
        <v>6</v>
      </c>
      <c r="L2666" s="369">
        <f>+IF((C2666&gt;='Resultats - informe'!$E$16)*(C2666&lt;='Resultats - informe'!$G$16),1,0)</f>
        <v>1</v>
      </c>
      <c r="M2666" s="369" cm="1">
        <f t="array" ref="M2666">+_xlfn.IFS((C2666&gt;='Resultats - informe'!$D$26)*(C2666&lt;='Resultats - informe'!$E$26),0,(C2666&gt;='Resultats - informe'!$D$27)*(C2666&lt;='Resultats - informe'!$E$27),0,(C2666&gt;='Resultats - informe'!$D$28)*(C2666&lt;='Resultats - informe'!$E$28),0,(C2666&gt;='Resultats - informe'!$D$29)*(C2666&lt;='Resultats - informe'!$E$29),0,1,1)</f>
        <v>0</v>
      </c>
      <c r="N2666" s="366">
        <f>+VLOOKUP(D2666,'Resultats - informe'!$Y$18:$AG$42,'Introducció dades consum'!K2666+1,0)</f>
        <v>0</v>
      </c>
      <c r="O2666" s="370" cm="1">
        <f t="array" ref="O2666">+_xlfn.SWITCH(MONTH(C2666),1,1,2,1,3,1,4,2,5,2,6,3,7,3,8,3,9,3,10,2,11,2,12,1,2)</f>
        <v>1</v>
      </c>
      <c r="P2666" s="43"/>
    </row>
    <row r="2667" spans="1:16" ht="18" x14ac:dyDescent="0.35">
      <c r="A2667" s="43"/>
      <c r="C2667" s="393"/>
      <c r="E2667" s="394"/>
      <c r="F2667" s="394">
        <v>0</v>
      </c>
      <c r="G2667" s="394"/>
      <c r="H2667" s="8" t="s">
        <v>61</v>
      </c>
      <c r="I2667" s="368">
        <f t="shared" si="124"/>
        <v>0</v>
      </c>
      <c r="J2667" s="365">
        <f t="shared" si="123"/>
        <v>0</v>
      </c>
      <c r="K2667" s="369">
        <f t="shared" si="125"/>
        <v>6</v>
      </c>
      <c r="L2667" s="369">
        <f>+IF((C2667&gt;='Resultats - informe'!$E$16)*(C2667&lt;='Resultats - informe'!$G$16),1,0)</f>
        <v>1</v>
      </c>
      <c r="M2667" s="369" cm="1">
        <f t="array" ref="M2667">+_xlfn.IFS((C2667&gt;='Resultats - informe'!$D$26)*(C2667&lt;='Resultats - informe'!$E$26),0,(C2667&gt;='Resultats - informe'!$D$27)*(C2667&lt;='Resultats - informe'!$E$27),0,(C2667&gt;='Resultats - informe'!$D$28)*(C2667&lt;='Resultats - informe'!$E$28),0,(C2667&gt;='Resultats - informe'!$D$29)*(C2667&lt;='Resultats - informe'!$E$29),0,1,1)</f>
        <v>0</v>
      </c>
      <c r="N2667" s="366">
        <f>+VLOOKUP(D2667,'Resultats - informe'!$Y$18:$AG$42,'Introducció dades consum'!K2667+1,0)</f>
        <v>0</v>
      </c>
      <c r="O2667" s="370" cm="1">
        <f t="array" ref="O2667">+_xlfn.SWITCH(MONTH(C2667),1,1,2,1,3,1,4,2,5,2,6,3,7,3,8,3,9,3,10,2,11,2,12,1,2)</f>
        <v>1</v>
      </c>
      <c r="P2667" s="43"/>
    </row>
    <row r="2668" spans="1:16" ht="18" x14ac:dyDescent="0.35">
      <c r="A2668" s="43"/>
      <c r="C2668" s="393"/>
      <c r="E2668" s="394"/>
      <c r="F2668" s="394">
        <v>0</v>
      </c>
      <c r="G2668" s="394"/>
      <c r="H2668" s="8" t="s">
        <v>61</v>
      </c>
      <c r="I2668" s="368">
        <f t="shared" si="124"/>
        <v>0</v>
      </c>
      <c r="J2668" s="365">
        <f t="shared" si="123"/>
        <v>0</v>
      </c>
      <c r="K2668" s="369">
        <f t="shared" si="125"/>
        <v>6</v>
      </c>
      <c r="L2668" s="369">
        <f>+IF((C2668&gt;='Resultats - informe'!$E$16)*(C2668&lt;='Resultats - informe'!$G$16),1,0)</f>
        <v>1</v>
      </c>
      <c r="M2668" s="369" cm="1">
        <f t="array" ref="M2668">+_xlfn.IFS((C2668&gt;='Resultats - informe'!$D$26)*(C2668&lt;='Resultats - informe'!$E$26),0,(C2668&gt;='Resultats - informe'!$D$27)*(C2668&lt;='Resultats - informe'!$E$27),0,(C2668&gt;='Resultats - informe'!$D$28)*(C2668&lt;='Resultats - informe'!$E$28),0,(C2668&gt;='Resultats - informe'!$D$29)*(C2668&lt;='Resultats - informe'!$E$29),0,1,1)</f>
        <v>0</v>
      </c>
      <c r="N2668" s="366">
        <f>+VLOOKUP(D2668,'Resultats - informe'!$Y$18:$AG$42,'Introducció dades consum'!K2668+1,0)</f>
        <v>0</v>
      </c>
      <c r="O2668" s="370" cm="1">
        <f t="array" ref="O2668">+_xlfn.SWITCH(MONTH(C2668),1,1,2,1,3,1,4,2,5,2,6,3,7,3,8,3,9,3,10,2,11,2,12,1,2)</f>
        <v>1</v>
      </c>
      <c r="P2668" s="43"/>
    </row>
    <row r="2669" spans="1:16" ht="18" x14ac:dyDescent="0.35">
      <c r="A2669" s="43"/>
      <c r="C2669" s="393"/>
      <c r="E2669" s="394"/>
      <c r="F2669" s="394">
        <v>0</v>
      </c>
      <c r="G2669" s="394"/>
      <c r="H2669" s="8" t="s">
        <v>61</v>
      </c>
      <c r="I2669" s="368">
        <f t="shared" si="124"/>
        <v>0</v>
      </c>
      <c r="J2669" s="365">
        <f t="shared" si="123"/>
        <v>0</v>
      </c>
      <c r="K2669" s="369">
        <f t="shared" si="125"/>
        <v>6</v>
      </c>
      <c r="L2669" s="369">
        <f>+IF((C2669&gt;='Resultats - informe'!$E$16)*(C2669&lt;='Resultats - informe'!$G$16),1,0)</f>
        <v>1</v>
      </c>
      <c r="M2669" s="369" cm="1">
        <f t="array" ref="M2669">+_xlfn.IFS((C2669&gt;='Resultats - informe'!$D$26)*(C2669&lt;='Resultats - informe'!$E$26),0,(C2669&gt;='Resultats - informe'!$D$27)*(C2669&lt;='Resultats - informe'!$E$27),0,(C2669&gt;='Resultats - informe'!$D$28)*(C2669&lt;='Resultats - informe'!$E$28),0,(C2669&gt;='Resultats - informe'!$D$29)*(C2669&lt;='Resultats - informe'!$E$29),0,1,1)</f>
        <v>0</v>
      </c>
      <c r="N2669" s="366">
        <f>+VLOOKUP(D2669,'Resultats - informe'!$Y$18:$AG$42,'Introducció dades consum'!K2669+1,0)</f>
        <v>0</v>
      </c>
      <c r="O2669" s="370" cm="1">
        <f t="array" ref="O2669">+_xlfn.SWITCH(MONTH(C2669),1,1,2,1,3,1,4,2,5,2,6,3,7,3,8,3,9,3,10,2,11,2,12,1,2)</f>
        <v>1</v>
      </c>
      <c r="P2669" s="43"/>
    </row>
    <row r="2670" spans="1:16" ht="18" x14ac:dyDescent="0.35">
      <c r="A2670" s="43"/>
      <c r="C2670" s="393"/>
      <c r="E2670" s="394"/>
      <c r="F2670" s="394">
        <v>0</v>
      </c>
      <c r="G2670" s="394"/>
      <c r="H2670" s="8" t="s">
        <v>61</v>
      </c>
      <c r="I2670" s="368">
        <f t="shared" si="124"/>
        <v>0</v>
      </c>
      <c r="J2670" s="365">
        <f t="shared" si="123"/>
        <v>0</v>
      </c>
      <c r="K2670" s="369">
        <f t="shared" si="125"/>
        <v>6</v>
      </c>
      <c r="L2670" s="369">
        <f>+IF((C2670&gt;='Resultats - informe'!$E$16)*(C2670&lt;='Resultats - informe'!$G$16),1,0)</f>
        <v>1</v>
      </c>
      <c r="M2670" s="369" cm="1">
        <f t="array" ref="M2670">+_xlfn.IFS((C2670&gt;='Resultats - informe'!$D$26)*(C2670&lt;='Resultats - informe'!$E$26),0,(C2670&gt;='Resultats - informe'!$D$27)*(C2670&lt;='Resultats - informe'!$E$27),0,(C2670&gt;='Resultats - informe'!$D$28)*(C2670&lt;='Resultats - informe'!$E$28),0,(C2670&gt;='Resultats - informe'!$D$29)*(C2670&lt;='Resultats - informe'!$E$29),0,1,1)</f>
        <v>0</v>
      </c>
      <c r="N2670" s="366">
        <f>+VLOOKUP(D2670,'Resultats - informe'!$Y$18:$AG$42,'Introducció dades consum'!K2670+1,0)</f>
        <v>0</v>
      </c>
      <c r="O2670" s="370" cm="1">
        <f t="array" ref="O2670">+_xlfn.SWITCH(MONTH(C2670),1,1,2,1,3,1,4,2,5,2,6,3,7,3,8,3,9,3,10,2,11,2,12,1,2)</f>
        <v>1</v>
      </c>
      <c r="P2670" s="43"/>
    </row>
    <row r="2671" spans="1:16" ht="18" x14ac:dyDescent="0.35">
      <c r="A2671" s="43"/>
      <c r="C2671" s="393"/>
      <c r="E2671" s="394"/>
      <c r="F2671" s="394">
        <v>0</v>
      </c>
      <c r="G2671" s="394"/>
      <c r="H2671" s="8" t="s">
        <v>61</v>
      </c>
      <c r="I2671" s="368">
        <f t="shared" si="124"/>
        <v>0</v>
      </c>
      <c r="J2671" s="365">
        <f t="shared" si="123"/>
        <v>0</v>
      </c>
      <c r="K2671" s="369">
        <f t="shared" si="125"/>
        <v>6</v>
      </c>
      <c r="L2671" s="369">
        <f>+IF((C2671&gt;='Resultats - informe'!$E$16)*(C2671&lt;='Resultats - informe'!$G$16),1,0)</f>
        <v>1</v>
      </c>
      <c r="M2671" s="369" cm="1">
        <f t="array" ref="M2671">+_xlfn.IFS((C2671&gt;='Resultats - informe'!$D$26)*(C2671&lt;='Resultats - informe'!$E$26),0,(C2671&gt;='Resultats - informe'!$D$27)*(C2671&lt;='Resultats - informe'!$E$27),0,(C2671&gt;='Resultats - informe'!$D$28)*(C2671&lt;='Resultats - informe'!$E$28),0,(C2671&gt;='Resultats - informe'!$D$29)*(C2671&lt;='Resultats - informe'!$E$29),0,1,1)</f>
        <v>0</v>
      </c>
      <c r="N2671" s="366">
        <f>+VLOOKUP(D2671,'Resultats - informe'!$Y$18:$AG$42,'Introducció dades consum'!K2671+1,0)</f>
        <v>0</v>
      </c>
      <c r="O2671" s="370" cm="1">
        <f t="array" ref="O2671">+_xlfn.SWITCH(MONTH(C2671),1,1,2,1,3,1,4,2,5,2,6,3,7,3,8,3,9,3,10,2,11,2,12,1,2)</f>
        <v>1</v>
      </c>
      <c r="P2671" s="43"/>
    </row>
    <row r="2672" spans="1:16" ht="18" x14ac:dyDescent="0.35">
      <c r="A2672" s="43"/>
      <c r="C2672" s="393"/>
      <c r="E2672" s="394"/>
      <c r="F2672" s="394">
        <v>0</v>
      </c>
      <c r="G2672" s="394"/>
      <c r="H2672" s="8" t="s">
        <v>61</v>
      </c>
      <c r="I2672" s="368">
        <f t="shared" si="124"/>
        <v>0</v>
      </c>
      <c r="J2672" s="365">
        <f t="shared" si="123"/>
        <v>0</v>
      </c>
      <c r="K2672" s="369">
        <f t="shared" si="125"/>
        <v>6</v>
      </c>
      <c r="L2672" s="369">
        <f>+IF((C2672&gt;='Resultats - informe'!$E$16)*(C2672&lt;='Resultats - informe'!$G$16),1,0)</f>
        <v>1</v>
      </c>
      <c r="M2672" s="369" cm="1">
        <f t="array" ref="M2672">+_xlfn.IFS((C2672&gt;='Resultats - informe'!$D$26)*(C2672&lt;='Resultats - informe'!$E$26),0,(C2672&gt;='Resultats - informe'!$D$27)*(C2672&lt;='Resultats - informe'!$E$27),0,(C2672&gt;='Resultats - informe'!$D$28)*(C2672&lt;='Resultats - informe'!$E$28),0,(C2672&gt;='Resultats - informe'!$D$29)*(C2672&lt;='Resultats - informe'!$E$29),0,1,1)</f>
        <v>0</v>
      </c>
      <c r="N2672" s="366">
        <f>+VLOOKUP(D2672,'Resultats - informe'!$Y$18:$AG$42,'Introducció dades consum'!K2672+1,0)</f>
        <v>0</v>
      </c>
      <c r="O2672" s="370" cm="1">
        <f t="array" ref="O2672">+_xlfn.SWITCH(MONTH(C2672),1,1,2,1,3,1,4,2,5,2,6,3,7,3,8,3,9,3,10,2,11,2,12,1,2)</f>
        <v>1</v>
      </c>
      <c r="P2672" s="43"/>
    </row>
    <row r="2673" spans="1:16" ht="18" x14ac:dyDescent="0.35">
      <c r="A2673" s="43"/>
      <c r="C2673" s="393"/>
      <c r="E2673" s="394"/>
      <c r="F2673" s="394">
        <v>0</v>
      </c>
      <c r="G2673" s="394"/>
      <c r="H2673" s="8" t="s">
        <v>61</v>
      </c>
      <c r="I2673" s="368">
        <f t="shared" si="124"/>
        <v>0</v>
      </c>
      <c r="J2673" s="365">
        <f t="shared" si="123"/>
        <v>0</v>
      </c>
      <c r="K2673" s="369">
        <f t="shared" si="125"/>
        <v>6</v>
      </c>
      <c r="L2673" s="369">
        <f>+IF((C2673&gt;='Resultats - informe'!$E$16)*(C2673&lt;='Resultats - informe'!$G$16),1,0)</f>
        <v>1</v>
      </c>
      <c r="M2673" s="369" cm="1">
        <f t="array" ref="M2673">+_xlfn.IFS((C2673&gt;='Resultats - informe'!$D$26)*(C2673&lt;='Resultats - informe'!$E$26),0,(C2673&gt;='Resultats - informe'!$D$27)*(C2673&lt;='Resultats - informe'!$E$27),0,(C2673&gt;='Resultats - informe'!$D$28)*(C2673&lt;='Resultats - informe'!$E$28),0,(C2673&gt;='Resultats - informe'!$D$29)*(C2673&lt;='Resultats - informe'!$E$29),0,1,1)</f>
        <v>0</v>
      </c>
      <c r="N2673" s="366">
        <f>+VLOOKUP(D2673,'Resultats - informe'!$Y$18:$AG$42,'Introducció dades consum'!K2673+1,0)</f>
        <v>0</v>
      </c>
      <c r="O2673" s="370" cm="1">
        <f t="array" ref="O2673">+_xlfn.SWITCH(MONTH(C2673),1,1,2,1,3,1,4,2,5,2,6,3,7,3,8,3,9,3,10,2,11,2,12,1,2)</f>
        <v>1</v>
      </c>
      <c r="P2673" s="43"/>
    </row>
    <row r="2674" spans="1:16" ht="18" x14ac:dyDescent="0.35">
      <c r="A2674" s="43"/>
      <c r="C2674" s="393"/>
      <c r="E2674" s="394"/>
      <c r="F2674" s="394">
        <v>0.77</v>
      </c>
      <c r="G2674" s="394"/>
      <c r="H2674" s="8" t="s">
        <v>235</v>
      </c>
      <c r="I2674" s="368">
        <f t="shared" si="124"/>
        <v>0</v>
      </c>
      <c r="J2674" s="365">
        <f t="shared" si="123"/>
        <v>0</v>
      </c>
      <c r="K2674" s="369">
        <f t="shared" si="125"/>
        <v>6</v>
      </c>
      <c r="L2674" s="369">
        <f>+IF((C2674&gt;='Resultats - informe'!$E$16)*(C2674&lt;='Resultats - informe'!$G$16),1,0)</f>
        <v>1</v>
      </c>
      <c r="M2674" s="369" cm="1">
        <f t="array" ref="M2674">+_xlfn.IFS((C2674&gt;='Resultats - informe'!$D$26)*(C2674&lt;='Resultats - informe'!$E$26),0,(C2674&gt;='Resultats - informe'!$D$27)*(C2674&lt;='Resultats - informe'!$E$27),0,(C2674&gt;='Resultats - informe'!$D$28)*(C2674&lt;='Resultats - informe'!$E$28),0,(C2674&gt;='Resultats - informe'!$D$29)*(C2674&lt;='Resultats - informe'!$E$29),0,1,1)</f>
        <v>0</v>
      </c>
      <c r="N2674" s="366">
        <f>+VLOOKUP(D2674,'Resultats - informe'!$Y$18:$AG$42,'Introducció dades consum'!K2674+1,0)</f>
        <v>0</v>
      </c>
      <c r="O2674" s="370" cm="1">
        <f t="array" ref="O2674">+_xlfn.SWITCH(MONTH(C2674),1,1,2,1,3,1,4,2,5,2,6,3,7,3,8,3,9,3,10,2,11,2,12,1,2)</f>
        <v>1</v>
      </c>
      <c r="P2674" s="43"/>
    </row>
    <row r="2675" spans="1:16" ht="18" x14ac:dyDescent="0.35">
      <c r="A2675" s="43"/>
      <c r="C2675" s="393"/>
      <c r="E2675" s="394"/>
      <c r="F2675" s="394">
        <v>1.486</v>
      </c>
      <c r="G2675" s="394"/>
      <c r="H2675" s="8" t="s">
        <v>235</v>
      </c>
      <c r="I2675" s="368">
        <f t="shared" si="124"/>
        <v>0</v>
      </c>
      <c r="J2675" s="365">
        <f t="shared" si="123"/>
        <v>0</v>
      </c>
      <c r="K2675" s="369">
        <f t="shared" si="125"/>
        <v>6</v>
      </c>
      <c r="L2675" s="369">
        <f>+IF((C2675&gt;='Resultats - informe'!$E$16)*(C2675&lt;='Resultats - informe'!$G$16),1,0)</f>
        <v>1</v>
      </c>
      <c r="M2675" s="369" cm="1">
        <f t="array" ref="M2675">+_xlfn.IFS((C2675&gt;='Resultats - informe'!$D$26)*(C2675&lt;='Resultats - informe'!$E$26),0,(C2675&gt;='Resultats - informe'!$D$27)*(C2675&lt;='Resultats - informe'!$E$27),0,(C2675&gt;='Resultats - informe'!$D$28)*(C2675&lt;='Resultats - informe'!$E$28),0,(C2675&gt;='Resultats - informe'!$D$29)*(C2675&lt;='Resultats - informe'!$E$29),0,1,1)</f>
        <v>0</v>
      </c>
      <c r="N2675" s="366">
        <f>+VLOOKUP(D2675,'Resultats - informe'!$Y$18:$AG$42,'Introducció dades consum'!K2675+1,0)</f>
        <v>0</v>
      </c>
      <c r="O2675" s="370" cm="1">
        <f t="array" ref="O2675">+_xlfn.SWITCH(MONTH(C2675),1,1,2,1,3,1,4,2,5,2,6,3,7,3,8,3,9,3,10,2,11,2,12,1,2)</f>
        <v>1</v>
      </c>
      <c r="P2675" s="43"/>
    </row>
    <row r="2676" spans="1:16" ht="18" x14ac:dyDescent="0.35">
      <c r="A2676" s="43"/>
      <c r="C2676" s="393"/>
      <c r="E2676" s="394"/>
      <c r="F2676" s="394">
        <v>0</v>
      </c>
      <c r="G2676" s="394"/>
      <c r="H2676" s="8" t="s">
        <v>235</v>
      </c>
      <c r="I2676" s="368">
        <f t="shared" si="124"/>
        <v>0</v>
      </c>
      <c r="J2676" s="365">
        <f t="shared" si="123"/>
        <v>0</v>
      </c>
      <c r="K2676" s="369">
        <f t="shared" si="125"/>
        <v>6</v>
      </c>
      <c r="L2676" s="369">
        <f>+IF((C2676&gt;='Resultats - informe'!$E$16)*(C2676&lt;='Resultats - informe'!$G$16),1,0)</f>
        <v>1</v>
      </c>
      <c r="M2676" s="369" cm="1">
        <f t="array" ref="M2676">+_xlfn.IFS((C2676&gt;='Resultats - informe'!$D$26)*(C2676&lt;='Resultats - informe'!$E$26),0,(C2676&gt;='Resultats - informe'!$D$27)*(C2676&lt;='Resultats - informe'!$E$27),0,(C2676&gt;='Resultats - informe'!$D$28)*(C2676&lt;='Resultats - informe'!$E$28),0,(C2676&gt;='Resultats - informe'!$D$29)*(C2676&lt;='Resultats - informe'!$E$29),0,1,1)</f>
        <v>0</v>
      </c>
      <c r="N2676" s="366">
        <f>+VLOOKUP(D2676,'Resultats - informe'!$Y$18:$AG$42,'Introducció dades consum'!K2676+1,0)</f>
        <v>0</v>
      </c>
      <c r="O2676" s="370" cm="1">
        <f t="array" ref="O2676">+_xlfn.SWITCH(MONTH(C2676),1,1,2,1,3,1,4,2,5,2,6,3,7,3,8,3,9,3,10,2,11,2,12,1,2)</f>
        <v>1</v>
      </c>
      <c r="P2676" s="43"/>
    </row>
    <row r="2677" spans="1:16" ht="18" x14ac:dyDescent="0.35">
      <c r="A2677" s="43"/>
      <c r="C2677" s="393"/>
      <c r="E2677" s="394"/>
      <c r="F2677" s="394">
        <v>1.2030000000000001</v>
      </c>
      <c r="G2677" s="394"/>
      <c r="H2677" s="8" t="s">
        <v>235</v>
      </c>
      <c r="I2677" s="368">
        <f t="shared" si="124"/>
        <v>0</v>
      </c>
      <c r="J2677" s="365">
        <f t="shared" si="123"/>
        <v>0</v>
      </c>
      <c r="K2677" s="369">
        <f t="shared" si="125"/>
        <v>6</v>
      </c>
      <c r="L2677" s="369">
        <f>+IF((C2677&gt;='Resultats - informe'!$E$16)*(C2677&lt;='Resultats - informe'!$G$16),1,0)</f>
        <v>1</v>
      </c>
      <c r="M2677" s="369" cm="1">
        <f t="array" ref="M2677">+_xlfn.IFS((C2677&gt;='Resultats - informe'!$D$26)*(C2677&lt;='Resultats - informe'!$E$26),0,(C2677&gt;='Resultats - informe'!$D$27)*(C2677&lt;='Resultats - informe'!$E$27),0,(C2677&gt;='Resultats - informe'!$D$28)*(C2677&lt;='Resultats - informe'!$E$28),0,(C2677&gt;='Resultats - informe'!$D$29)*(C2677&lt;='Resultats - informe'!$E$29),0,1,1)</f>
        <v>0</v>
      </c>
      <c r="N2677" s="366">
        <f>+VLOOKUP(D2677,'Resultats - informe'!$Y$18:$AG$42,'Introducció dades consum'!K2677+1,0)</f>
        <v>0</v>
      </c>
      <c r="O2677" s="370" cm="1">
        <f t="array" ref="O2677">+_xlfn.SWITCH(MONTH(C2677),1,1,2,1,3,1,4,2,5,2,6,3,7,3,8,3,9,3,10,2,11,2,12,1,2)</f>
        <v>1</v>
      </c>
      <c r="P2677" s="43"/>
    </row>
    <row r="2678" spans="1:16" ht="18" x14ac:dyDescent="0.35">
      <c r="A2678" s="43"/>
      <c r="C2678" s="393"/>
      <c r="E2678" s="394"/>
      <c r="F2678" s="394">
        <v>2.87</v>
      </c>
      <c r="G2678" s="394"/>
      <c r="H2678" s="8" t="s">
        <v>235</v>
      </c>
      <c r="I2678" s="368">
        <f t="shared" si="124"/>
        <v>0</v>
      </c>
      <c r="J2678" s="365">
        <f t="shared" si="123"/>
        <v>0</v>
      </c>
      <c r="K2678" s="369">
        <f t="shared" si="125"/>
        <v>6</v>
      </c>
      <c r="L2678" s="369">
        <f>+IF((C2678&gt;='Resultats - informe'!$E$16)*(C2678&lt;='Resultats - informe'!$G$16),1,0)</f>
        <v>1</v>
      </c>
      <c r="M2678" s="369" cm="1">
        <f t="array" ref="M2678">+_xlfn.IFS((C2678&gt;='Resultats - informe'!$D$26)*(C2678&lt;='Resultats - informe'!$E$26),0,(C2678&gt;='Resultats - informe'!$D$27)*(C2678&lt;='Resultats - informe'!$E$27),0,(C2678&gt;='Resultats - informe'!$D$28)*(C2678&lt;='Resultats - informe'!$E$28),0,(C2678&gt;='Resultats - informe'!$D$29)*(C2678&lt;='Resultats - informe'!$E$29),0,1,1)</f>
        <v>0</v>
      </c>
      <c r="N2678" s="366">
        <f>+VLOOKUP(D2678,'Resultats - informe'!$Y$18:$AG$42,'Introducció dades consum'!K2678+1,0)</f>
        <v>0</v>
      </c>
      <c r="O2678" s="370" cm="1">
        <f t="array" ref="O2678">+_xlfn.SWITCH(MONTH(C2678),1,1,2,1,3,1,4,2,5,2,6,3,7,3,8,3,9,3,10,2,11,2,12,1,2)</f>
        <v>1</v>
      </c>
      <c r="P2678" s="43"/>
    </row>
    <row r="2679" spans="1:16" ht="18" x14ac:dyDescent="0.35">
      <c r="A2679" s="43"/>
      <c r="C2679" s="393"/>
      <c r="E2679" s="394"/>
      <c r="F2679" s="394">
        <v>3.5950000000000002</v>
      </c>
      <c r="G2679" s="394"/>
      <c r="H2679" s="8" t="s">
        <v>235</v>
      </c>
      <c r="I2679" s="368">
        <f t="shared" si="124"/>
        <v>0</v>
      </c>
      <c r="J2679" s="365">
        <f t="shared" si="123"/>
        <v>0</v>
      </c>
      <c r="K2679" s="369">
        <f t="shared" si="125"/>
        <v>6</v>
      </c>
      <c r="L2679" s="369">
        <f>+IF((C2679&gt;='Resultats - informe'!$E$16)*(C2679&lt;='Resultats - informe'!$G$16),1,0)</f>
        <v>1</v>
      </c>
      <c r="M2679" s="369" cm="1">
        <f t="array" ref="M2679">+_xlfn.IFS((C2679&gt;='Resultats - informe'!$D$26)*(C2679&lt;='Resultats - informe'!$E$26),0,(C2679&gt;='Resultats - informe'!$D$27)*(C2679&lt;='Resultats - informe'!$E$27),0,(C2679&gt;='Resultats - informe'!$D$28)*(C2679&lt;='Resultats - informe'!$E$28),0,(C2679&gt;='Resultats - informe'!$D$29)*(C2679&lt;='Resultats - informe'!$E$29),0,1,1)</f>
        <v>0</v>
      </c>
      <c r="N2679" s="366">
        <f>+VLOOKUP(D2679,'Resultats - informe'!$Y$18:$AG$42,'Introducció dades consum'!K2679+1,0)</f>
        <v>0</v>
      </c>
      <c r="O2679" s="370" cm="1">
        <f t="array" ref="O2679">+_xlfn.SWITCH(MONTH(C2679),1,1,2,1,3,1,4,2,5,2,6,3,7,3,8,3,9,3,10,2,11,2,12,1,2)</f>
        <v>1</v>
      </c>
      <c r="P2679" s="43"/>
    </row>
    <row r="2680" spans="1:16" ht="18" x14ac:dyDescent="0.35">
      <c r="A2680" s="43"/>
      <c r="C2680" s="393"/>
      <c r="E2680" s="394"/>
      <c r="F2680" s="394">
        <v>3.1179999999999999</v>
      </c>
      <c r="G2680" s="394"/>
      <c r="H2680" s="8" t="s">
        <v>235</v>
      </c>
      <c r="I2680" s="368">
        <f t="shared" si="124"/>
        <v>0</v>
      </c>
      <c r="J2680" s="365">
        <f t="shared" si="123"/>
        <v>0</v>
      </c>
      <c r="K2680" s="369">
        <f t="shared" si="125"/>
        <v>6</v>
      </c>
      <c r="L2680" s="369">
        <f>+IF((C2680&gt;='Resultats - informe'!$E$16)*(C2680&lt;='Resultats - informe'!$G$16),1,0)</f>
        <v>1</v>
      </c>
      <c r="M2680" s="369" cm="1">
        <f t="array" ref="M2680">+_xlfn.IFS((C2680&gt;='Resultats - informe'!$D$26)*(C2680&lt;='Resultats - informe'!$E$26),0,(C2680&gt;='Resultats - informe'!$D$27)*(C2680&lt;='Resultats - informe'!$E$27),0,(C2680&gt;='Resultats - informe'!$D$28)*(C2680&lt;='Resultats - informe'!$E$28),0,(C2680&gt;='Resultats - informe'!$D$29)*(C2680&lt;='Resultats - informe'!$E$29),0,1,1)</f>
        <v>0</v>
      </c>
      <c r="N2680" s="366">
        <f>+VLOOKUP(D2680,'Resultats - informe'!$Y$18:$AG$42,'Introducció dades consum'!K2680+1,0)</f>
        <v>0</v>
      </c>
      <c r="O2680" s="370" cm="1">
        <f t="array" ref="O2680">+_xlfn.SWITCH(MONTH(C2680),1,1,2,1,3,1,4,2,5,2,6,3,7,3,8,3,9,3,10,2,11,2,12,1,2)</f>
        <v>1</v>
      </c>
      <c r="P2680" s="43"/>
    </row>
    <row r="2681" spans="1:16" ht="18" x14ac:dyDescent="0.35">
      <c r="A2681" s="43"/>
      <c r="C2681" s="393"/>
      <c r="E2681" s="394"/>
      <c r="F2681" s="394">
        <v>1.8320000000000001</v>
      </c>
      <c r="G2681" s="394"/>
      <c r="H2681" s="8" t="s">
        <v>235</v>
      </c>
      <c r="I2681" s="368">
        <f t="shared" si="124"/>
        <v>0</v>
      </c>
      <c r="J2681" s="365">
        <f t="shared" si="123"/>
        <v>0</v>
      </c>
      <c r="K2681" s="369">
        <f t="shared" si="125"/>
        <v>6</v>
      </c>
      <c r="L2681" s="369">
        <f>+IF((C2681&gt;='Resultats - informe'!$E$16)*(C2681&lt;='Resultats - informe'!$G$16),1,0)</f>
        <v>1</v>
      </c>
      <c r="M2681" s="369" cm="1">
        <f t="array" ref="M2681">+_xlfn.IFS((C2681&gt;='Resultats - informe'!$D$26)*(C2681&lt;='Resultats - informe'!$E$26),0,(C2681&gt;='Resultats - informe'!$D$27)*(C2681&lt;='Resultats - informe'!$E$27),0,(C2681&gt;='Resultats - informe'!$D$28)*(C2681&lt;='Resultats - informe'!$E$28),0,(C2681&gt;='Resultats - informe'!$D$29)*(C2681&lt;='Resultats - informe'!$E$29),0,1,1)</f>
        <v>0</v>
      </c>
      <c r="N2681" s="366">
        <f>+VLOOKUP(D2681,'Resultats - informe'!$Y$18:$AG$42,'Introducció dades consum'!K2681+1,0)</f>
        <v>0</v>
      </c>
      <c r="O2681" s="370" cm="1">
        <f t="array" ref="O2681">+_xlfn.SWITCH(MONTH(C2681),1,1,2,1,3,1,4,2,5,2,6,3,7,3,8,3,9,3,10,2,11,2,12,1,2)</f>
        <v>1</v>
      </c>
      <c r="P2681" s="43"/>
    </row>
    <row r="2682" spans="1:16" ht="18" x14ac:dyDescent="0.35">
      <c r="A2682" s="43"/>
      <c r="C2682" s="393"/>
      <c r="E2682" s="394"/>
      <c r="F2682" s="394">
        <v>1.7869999999999999</v>
      </c>
      <c r="G2682" s="394"/>
      <c r="H2682" s="8" t="s">
        <v>235</v>
      </c>
      <c r="I2682" s="368">
        <f t="shared" si="124"/>
        <v>0</v>
      </c>
      <c r="J2682" s="365">
        <f t="shared" si="123"/>
        <v>0</v>
      </c>
      <c r="K2682" s="369">
        <f t="shared" si="125"/>
        <v>6</v>
      </c>
      <c r="L2682" s="369">
        <f>+IF((C2682&gt;='Resultats - informe'!$E$16)*(C2682&lt;='Resultats - informe'!$G$16),1,0)</f>
        <v>1</v>
      </c>
      <c r="M2682" s="369" cm="1">
        <f t="array" ref="M2682">+_xlfn.IFS((C2682&gt;='Resultats - informe'!$D$26)*(C2682&lt;='Resultats - informe'!$E$26),0,(C2682&gt;='Resultats - informe'!$D$27)*(C2682&lt;='Resultats - informe'!$E$27),0,(C2682&gt;='Resultats - informe'!$D$28)*(C2682&lt;='Resultats - informe'!$E$28),0,(C2682&gt;='Resultats - informe'!$D$29)*(C2682&lt;='Resultats - informe'!$E$29),0,1,1)</f>
        <v>0</v>
      </c>
      <c r="N2682" s="366">
        <f>+VLOOKUP(D2682,'Resultats - informe'!$Y$18:$AG$42,'Introducció dades consum'!K2682+1,0)</f>
        <v>0</v>
      </c>
      <c r="O2682" s="370" cm="1">
        <f t="array" ref="O2682">+_xlfn.SWITCH(MONTH(C2682),1,1,2,1,3,1,4,2,5,2,6,3,7,3,8,3,9,3,10,2,11,2,12,1,2)</f>
        <v>1</v>
      </c>
      <c r="P2682" s="43"/>
    </row>
    <row r="2683" spans="1:16" ht="18" x14ac:dyDescent="0.35">
      <c r="A2683" s="43"/>
      <c r="C2683" s="393"/>
      <c r="E2683" s="394"/>
      <c r="F2683" s="394">
        <v>1.742</v>
      </c>
      <c r="G2683" s="394"/>
      <c r="H2683" s="8" t="s">
        <v>235</v>
      </c>
      <c r="I2683" s="368">
        <f t="shared" si="124"/>
        <v>0</v>
      </c>
      <c r="J2683" s="365">
        <f t="shared" ref="J2683:J2746" si="126">+C2683</f>
        <v>0</v>
      </c>
      <c r="K2683" s="369">
        <f t="shared" si="125"/>
        <v>6</v>
      </c>
      <c r="L2683" s="369">
        <f>+IF((C2683&gt;='Resultats - informe'!$E$16)*(C2683&lt;='Resultats - informe'!$G$16),1,0)</f>
        <v>1</v>
      </c>
      <c r="M2683" s="369" cm="1">
        <f t="array" ref="M2683">+_xlfn.IFS((C2683&gt;='Resultats - informe'!$D$26)*(C2683&lt;='Resultats - informe'!$E$26),0,(C2683&gt;='Resultats - informe'!$D$27)*(C2683&lt;='Resultats - informe'!$E$27),0,(C2683&gt;='Resultats - informe'!$D$28)*(C2683&lt;='Resultats - informe'!$E$28),0,(C2683&gt;='Resultats - informe'!$D$29)*(C2683&lt;='Resultats - informe'!$E$29),0,1,1)</f>
        <v>0</v>
      </c>
      <c r="N2683" s="366">
        <f>+VLOOKUP(D2683,'Resultats - informe'!$Y$18:$AG$42,'Introducció dades consum'!K2683+1,0)</f>
        <v>0</v>
      </c>
      <c r="O2683" s="370" cm="1">
        <f t="array" ref="O2683">+_xlfn.SWITCH(MONTH(C2683),1,1,2,1,3,1,4,2,5,2,6,3,7,3,8,3,9,3,10,2,11,2,12,1,2)</f>
        <v>1</v>
      </c>
      <c r="P2683" s="43"/>
    </row>
    <row r="2684" spans="1:16" ht="18" x14ac:dyDescent="0.35">
      <c r="A2684" s="43"/>
      <c r="C2684" s="393"/>
      <c r="E2684" s="394"/>
      <c r="F2684" s="394">
        <v>0.11600000000000001</v>
      </c>
      <c r="G2684" s="394"/>
      <c r="H2684" s="8" t="s">
        <v>235</v>
      </c>
      <c r="I2684" s="368">
        <f t="shared" si="124"/>
        <v>0</v>
      </c>
      <c r="J2684" s="365">
        <f t="shared" si="126"/>
        <v>0</v>
      </c>
      <c r="K2684" s="369">
        <f t="shared" si="125"/>
        <v>6</v>
      </c>
      <c r="L2684" s="369">
        <f>+IF((C2684&gt;='Resultats - informe'!$E$16)*(C2684&lt;='Resultats - informe'!$G$16),1,0)</f>
        <v>1</v>
      </c>
      <c r="M2684" s="369" cm="1">
        <f t="array" ref="M2684">+_xlfn.IFS((C2684&gt;='Resultats - informe'!$D$26)*(C2684&lt;='Resultats - informe'!$E$26),0,(C2684&gt;='Resultats - informe'!$D$27)*(C2684&lt;='Resultats - informe'!$E$27),0,(C2684&gt;='Resultats - informe'!$D$28)*(C2684&lt;='Resultats - informe'!$E$28),0,(C2684&gt;='Resultats - informe'!$D$29)*(C2684&lt;='Resultats - informe'!$E$29),0,1,1)</f>
        <v>0</v>
      </c>
      <c r="N2684" s="366">
        <f>+VLOOKUP(D2684,'Resultats - informe'!$Y$18:$AG$42,'Introducció dades consum'!K2684+1,0)</f>
        <v>0</v>
      </c>
      <c r="O2684" s="370" cm="1">
        <f t="array" ref="O2684">+_xlfn.SWITCH(MONTH(C2684),1,1,2,1,3,1,4,2,5,2,6,3,7,3,8,3,9,3,10,2,11,2,12,1,2)</f>
        <v>1</v>
      </c>
      <c r="P2684" s="43"/>
    </row>
    <row r="2685" spans="1:16" ht="18" x14ac:dyDescent="0.35">
      <c r="A2685" s="43"/>
      <c r="C2685" s="393"/>
      <c r="E2685" s="394"/>
      <c r="F2685" s="394">
        <v>0</v>
      </c>
      <c r="G2685" s="394"/>
      <c r="H2685" s="8" t="s">
        <v>61</v>
      </c>
      <c r="I2685" s="368">
        <f t="shared" si="124"/>
        <v>0</v>
      </c>
      <c r="J2685" s="365">
        <f t="shared" si="126"/>
        <v>0</v>
      </c>
      <c r="K2685" s="369">
        <f t="shared" si="125"/>
        <v>6</v>
      </c>
      <c r="L2685" s="369">
        <f>+IF((C2685&gt;='Resultats - informe'!$E$16)*(C2685&lt;='Resultats - informe'!$G$16),1,0)</f>
        <v>1</v>
      </c>
      <c r="M2685" s="369" cm="1">
        <f t="array" ref="M2685">+_xlfn.IFS((C2685&gt;='Resultats - informe'!$D$26)*(C2685&lt;='Resultats - informe'!$E$26),0,(C2685&gt;='Resultats - informe'!$D$27)*(C2685&lt;='Resultats - informe'!$E$27),0,(C2685&gt;='Resultats - informe'!$D$28)*(C2685&lt;='Resultats - informe'!$E$28),0,(C2685&gt;='Resultats - informe'!$D$29)*(C2685&lt;='Resultats - informe'!$E$29),0,1,1)</f>
        <v>0</v>
      </c>
      <c r="N2685" s="366">
        <f>+VLOOKUP(D2685,'Resultats - informe'!$Y$18:$AG$42,'Introducció dades consum'!K2685+1,0)</f>
        <v>0</v>
      </c>
      <c r="O2685" s="370" cm="1">
        <f t="array" ref="O2685">+_xlfn.SWITCH(MONTH(C2685),1,1,2,1,3,1,4,2,5,2,6,3,7,3,8,3,9,3,10,2,11,2,12,1,2)</f>
        <v>1</v>
      </c>
      <c r="P2685" s="43"/>
    </row>
    <row r="2686" spans="1:16" ht="18" x14ac:dyDescent="0.35">
      <c r="A2686" s="43"/>
      <c r="C2686" s="393"/>
      <c r="E2686" s="394"/>
      <c r="F2686" s="394">
        <v>0</v>
      </c>
      <c r="G2686" s="394"/>
      <c r="H2686" s="8" t="s">
        <v>61</v>
      </c>
      <c r="I2686" s="368">
        <f t="shared" si="124"/>
        <v>0</v>
      </c>
      <c r="J2686" s="365">
        <f t="shared" si="126"/>
        <v>0</v>
      </c>
      <c r="K2686" s="369">
        <f t="shared" si="125"/>
        <v>6</v>
      </c>
      <c r="L2686" s="369">
        <f>+IF((C2686&gt;='Resultats - informe'!$E$16)*(C2686&lt;='Resultats - informe'!$G$16),1,0)</f>
        <v>1</v>
      </c>
      <c r="M2686" s="369" cm="1">
        <f t="array" ref="M2686">+_xlfn.IFS((C2686&gt;='Resultats - informe'!$D$26)*(C2686&lt;='Resultats - informe'!$E$26),0,(C2686&gt;='Resultats - informe'!$D$27)*(C2686&lt;='Resultats - informe'!$E$27),0,(C2686&gt;='Resultats - informe'!$D$28)*(C2686&lt;='Resultats - informe'!$E$28),0,(C2686&gt;='Resultats - informe'!$D$29)*(C2686&lt;='Resultats - informe'!$E$29),0,1,1)</f>
        <v>0</v>
      </c>
      <c r="N2686" s="366">
        <f>+VLOOKUP(D2686,'Resultats - informe'!$Y$18:$AG$42,'Introducció dades consum'!K2686+1,0)</f>
        <v>0</v>
      </c>
      <c r="O2686" s="370" cm="1">
        <f t="array" ref="O2686">+_xlfn.SWITCH(MONTH(C2686),1,1,2,1,3,1,4,2,5,2,6,3,7,3,8,3,9,3,10,2,11,2,12,1,2)</f>
        <v>1</v>
      </c>
      <c r="P2686" s="43"/>
    </row>
    <row r="2687" spans="1:16" ht="18" x14ac:dyDescent="0.35">
      <c r="A2687" s="43"/>
      <c r="C2687" s="393"/>
      <c r="E2687" s="394"/>
      <c r="F2687" s="394">
        <v>0</v>
      </c>
      <c r="G2687" s="394"/>
      <c r="H2687" s="8" t="s">
        <v>61</v>
      </c>
      <c r="I2687" s="368">
        <f t="shared" si="124"/>
        <v>0</v>
      </c>
      <c r="J2687" s="365">
        <f t="shared" si="126"/>
        <v>0</v>
      </c>
      <c r="K2687" s="369">
        <f t="shared" si="125"/>
        <v>6</v>
      </c>
      <c r="L2687" s="369">
        <f>+IF((C2687&gt;='Resultats - informe'!$E$16)*(C2687&lt;='Resultats - informe'!$G$16),1,0)</f>
        <v>1</v>
      </c>
      <c r="M2687" s="369" cm="1">
        <f t="array" ref="M2687">+_xlfn.IFS((C2687&gt;='Resultats - informe'!$D$26)*(C2687&lt;='Resultats - informe'!$E$26),0,(C2687&gt;='Resultats - informe'!$D$27)*(C2687&lt;='Resultats - informe'!$E$27),0,(C2687&gt;='Resultats - informe'!$D$28)*(C2687&lt;='Resultats - informe'!$E$28),0,(C2687&gt;='Resultats - informe'!$D$29)*(C2687&lt;='Resultats - informe'!$E$29),0,1,1)</f>
        <v>0</v>
      </c>
      <c r="N2687" s="366">
        <f>+VLOOKUP(D2687,'Resultats - informe'!$Y$18:$AG$42,'Introducció dades consum'!K2687+1,0)</f>
        <v>0</v>
      </c>
      <c r="O2687" s="370" cm="1">
        <f t="array" ref="O2687">+_xlfn.SWITCH(MONTH(C2687),1,1,2,1,3,1,4,2,5,2,6,3,7,3,8,3,9,3,10,2,11,2,12,1,2)</f>
        <v>1</v>
      </c>
      <c r="P2687" s="43"/>
    </row>
    <row r="2688" spans="1:16" ht="18" x14ac:dyDescent="0.35">
      <c r="A2688" s="43"/>
      <c r="C2688" s="393"/>
      <c r="E2688" s="394"/>
      <c r="F2688" s="394">
        <v>0</v>
      </c>
      <c r="G2688" s="394"/>
      <c r="H2688" s="8" t="s">
        <v>61</v>
      </c>
      <c r="I2688" s="368">
        <f t="shared" si="124"/>
        <v>0</v>
      </c>
      <c r="J2688" s="365">
        <f t="shared" si="126"/>
        <v>0</v>
      </c>
      <c r="K2688" s="369">
        <f t="shared" si="125"/>
        <v>6</v>
      </c>
      <c r="L2688" s="369">
        <f>+IF((C2688&gt;='Resultats - informe'!$E$16)*(C2688&lt;='Resultats - informe'!$G$16),1,0)</f>
        <v>1</v>
      </c>
      <c r="M2688" s="369" cm="1">
        <f t="array" ref="M2688">+_xlfn.IFS((C2688&gt;='Resultats - informe'!$D$26)*(C2688&lt;='Resultats - informe'!$E$26),0,(C2688&gt;='Resultats - informe'!$D$27)*(C2688&lt;='Resultats - informe'!$E$27),0,(C2688&gt;='Resultats - informe'!$D$28)*(C2688&lt;='Resultats - informe'!$E$28),0,(C2688&gt;='Resultats - informe'!$D$29)*(C2688&lt;='Resultats - informe'!$E$29),0,1,1)</f>
        <v>0</v>
      </c>
      <c r="N2688" s="366">
        <f>+VLOOKUP(D2688,'Resultats - informe'!$Y$18:$AG$42,'Introducció dades consum'!K2688+1,0)</f>
        <v>0</v>
      </c>
      <c r="O2688" s="370" cm="1">
        <f t="array" ref="O2688">+_xlfn.SWITCH(MONTH(C2688),1,1,2,1,3,1,4,2,5,2,6,3,7,3,8,3,9,3,10,2,11,2,12,1,2)</f>
        <v>1</v>
      </c>
      <c r="P2688" s="43"/>
    </row>
    <row r="2689" spans="1:16" ht="18" x14ac:dyDescent="0.35">
      <c r="A2689" s="43"/>
      <c r="C2689" s="393"/>
      <c r="E2689" s="394"/>
      <c r="F2689" s="394">
        <v>0</v>
      </c>
      <c r="G2689" s="394"/>
      <c r="H2689" s="8" t="s">
        <v>61</v>
      </c>
      <c r="I2689" s="368">
        <f t="shared" si="124"/>
        <v>0</v>
      </c>
      <c r="J2689" s="365">
        <f t="shared" si="126"/>
        <v>0</v>
      </c>
      <c r="K2689" s="369">
        <f t="shared" si="125"/>
        <v>6</v>
      </c>
      <c r="L2689" s="369">
        <f>+IF((C2689&gt;='Resultats - informe'!$E$16)*(C2689&lt;='Resultats - informe'!$G$16),1,0)</f>
        <v>1</v>
      </c>
      <c r="M2689" s="369" cm="1">
        <f t="array" ref="M2689">+_xlfn.IFS((C2689&gt;='Resultats - informe'!$D$26)*(C2689&lt;='Resultats - informe'!$E$26),0,(C2689&gt;='Resultats - informe'!$D$27)*(C2689&lt;='Resultats - informe'!$E$27),0,(C2689&gt;='Resultats - informe'!$D$28)*(C2689&lt;='Resultats - informe'!$E$28),0,(C2689&gt;='Resultats - informe'!$D$29)*(C2689&lt;='Resultats - informe'!$E$29),0,1,1)</f>
        <v>0</v>
      </c>
      <c r="N2689" s="366">
        <f>+VLOOKUP(D2689,'Resultats - informe'!$Y$18:$AG$42,'Introducció dades consum'!K2689+1,0)</f>
        <v>0</v>
      </c>
      <c r="O2689" s="370" cm="1">
        <f t="array" ref="O2689">+_xlfn.SWITCH(MONTH(C2689),1,1,2,1,3,1,4,2,5,2,6,3,7,3,8,3,9,3,10,2,11,2,12,1,2)</f>
        <v>1</v>
      </c>
      <c r="P2689" s="43"/>
    </row>
    <row r="2690" spans="1:16" ht="18" x14ac:dyDescent="0.35">
      <c r="A2690" s="43"/>
      <c r="C2690" s="393"/>
      <c r="E2690" s="394"/>
      <c r="F2690" s="394">
        <v>0</v>
      </c>
      <c r="G2690" s="394"/>
      <c r="H2690" s="8" t="s">
        <v>61</v>
      </c>
      <c r="I2690" s="368">
        <f t="shared" si="124"/>
        <v>0</v>
      </c>
      <c r="J2690" s="365">
        <f t="shared" si="126"/>
        <v>0</v>
      </c>
      <c r="K2690" s="369">
        <f t="shared" si="125"/>
        <v>6</v>
      </c>
      <c r="L2690" s="369">
        <f>+IF((C2690&gt;='Resultats - informe'!$E$16)*(C2690&lt;='Resultats - informe'!$G$16),1,0)</f>
        <v>1</v>
      </c>
      <c r="M2690" s="369" cm="1">
        <f t="array" ref="M2690">+_xlfn.IFS((C2690&gt;='Resultats - informe'!$D$26)*(C2690&lt;='Resultats - informe'!$E$26),0,(C2690&gt;='Resultats - informe'!$D$27)*(C2690&lt;='Resultats - informe'!$E$27),0,(C2690&gt;='Resultats - informe'!$D$28)*(C2690&lt;='Resultats - informe'!$E$28),0,(C2690&gt;='Resultats - informe'!$D$29)*(C2690&lt;='Resultats - informe'!$E$29),0,1,1)</f>
        <v>0</v>
      </c>
      <c r="N2690" s="366">
        <f>+VLOOKUP(D2690,'Resultats - informe'!$Y$18:$AG$42,'Introducció dades consum'!K2690+1,0)</f>
        <v>0</v>
      </c>
      <c r="O2690" s="370" cm="1">
        <f t="array" ref="O2690">+_xlfn.SWITCH(MONTH(C2690),1,1,2,1,3,1,4,2,5,2,6,3,7,3,8,3,9,3,10,2,11,2,12,1,2)</f>
        <v>1</v>
      </c>
      <c r="P2690" s="43"/>
    </row>
    <row r="2691" spans="1:16" ht="18" x14ac:dyDescent="0.35">
      <c r="A2691" s="43"/>
      <c r="C2691" s="393"/>
      <c r="E2691" s="394"/>
      <c r="F2691" s="394">
        <v>0</v>
      </c>
      <c r="G2691" s="394"/>
      <c r="H2691" s="8" t="s">
        <v>235</v>
      </c>
      <c r="I2691" s="368">
        <f t="shared" si="124"/>
        <v>0</v>
      </c>
      <c r="J2691" s="365">
        <f t="shared" si="126"/>
        <v>0</v>
      </c>
      <c r="K2691" s="369">
        <f t="shared" si="125"/>
        <v>6</v>
      </c>
      <c r="L2691" s="369">
        <f>+IF((C2691&gt;='Resultats - informe'!$E$16)*(C2691&lt;='Resultats - informe'!$G$16),1,0)</f>
        <v>1</v>
      </c>
      <c r="M2691" s="369" cm="1">
        <f t="array" ref="M2691">+_xlfn.IFS((C2691&gt;='Resultats - informe'!$D$26)*(C2691&lt;='Resultats - informe'!$E$26),0,(C2691&gt;='Resultats - informe'!$D$27)*(C2691&lt;='Resultats - informe'!$E$27),0,(C2691&gt;='Resultats - informe'!$D$28)*(C2691&lt;='Resultats - informe'!$E$28),0,(C2691&gt;='Resultats - informe'!$D$29)*(C2691&lt;='Resultats - informe'!$E$29),0,1,1)</f>
        <v>0</v>
      </c>
      <c r="N2691" s="366">
        <f>+VLOOKUP(D2691,'Resultats - informe'!$Y$18:$AG$42,'Introducció dades consum'!K2691+1,0)</f>
        <v>0</v>
      </c>
      <c r="O2691" s="370" cm="1">
        <f t="array" ref="O2691">+_xlfn.SWITCH(MONTH(C2691),1,1,2,1,3,1,4,2,5,2,6,3,7,3,8,3,9,3,10,2,11,2,12,1,2)</f>
        <v>1</v>
      </c>
      <c r="P2691" s="43"/>
    </row>
    <row r="2692" spans="1:16" ht="18" x14ac:dyDescent="0.35">
      <c r="A2692" s="43"/>
      <c r="C2692" s="393"/>
      <c r="E2692" s="394"/>
      <c r="F2692" s="394">
        <v>0</v>
      </c>
      <c r="G2692" s="394"/>
      <c r="H2692" s="8" t="s">
        <v>235</v>
      </c>
      <c r="I2692" s="368">
        <f t="shared" si="124"/>
        <v>0</v>
      </c>
      <c r="J2692" s="365">
        <f t="shared" si="126"/>
        <v>0</v>
      </c>
      <c r="K2692" s="369">
        <f t="shared" si="125"/>
        <v>6</v>
      </c>
      <c r="L2692" s="369">
        <f>+IF((C2692&gt;='Resultats - informe'!$E$16)*(C2692&lt;='Resultats - informe'!$G$16),1,0)</f>
        <v>1</v>
      </c>
      <c r="M2692" s="369" cm="1">
        <f t="array" ref="M2692">+_xlfn.IFS((C2692&gt;='Resultats - informe'!$D$26)*(C2692&lt;='Resultats - informe'!$E$26),0,(C2692&gt;='Resultats - informe'!$D$27)*(C2692&lt;='Resultats - informe'!$E$27),0,(C2692&gt;='Resultats - informe'!$D$28)*(C2692&lt;='Resultats - informe'!$E$28),0,(C2692&gt;='Resultats - informe'!$D$29)*(C2692&lt;='Resultats - informe'!$E$29),0,1,1)</f>
        <v>0</v>
      </c>
      <c r="N2692" s="366">
        <f>+VLOOKUP(D2692,'Resultats - informe'!$Y$18:$AG$42,'Introducció dades consum'!K2692+1,0)</f>
        <v>0</v>
      </c>
      <c r="O2692" s="370" cm="1">
        <f t="array" ref="O2692">+_xlfn.SWITCH(MONTH(C2692),1,1,2,1,3,1,4,2,5,2,6,3,7,3,8,3,9,3,10,2,11,2,12,1,2)</f>
        <v>1</v>
      </c>
      <c r="P2692" s="43"/>
    </row>
    <row r="2693" spans="1:16" ht="18" x14ac:dyDescent="0.35">
      <c r="A2693" s="43"/>
      <c r="C2693" s="393"/>
      <c r="E2693" s="394"/>
      <c r="F2693" s="394">
        <v>0</v>
      </c>
      <c r="G2693" s="394"/>
      <c r="H2693" s="8" t="s">
        <v>61</v>
      </c>
      <c r="I2693" s="368">
        <f t="shared" si="124"/>
        <v>0</v>
      </c>
      <c r="J2693" s="365">
        <f t="shared" si="126"/>
        <v>0</v>
      </c>
      <c r="K2693" s="369">
        <f t="shared" si="125"/>
        <v>6</v>
      </c>
      <c r="L2693" s="369">
        <f>+IF((C2693&gt;='Resultats - informe'!$E$16)*(C2693&lt;='Resultats - informe'!$G$16),1,0)</f>
        <v>1</v>
      </c>
      <c r="M2693" s="369" cm="1">
        <f t="array" ref="M2693">+_xlfn.IFS((C2693&gt;='Resultats - informe'!$D$26)*(C2693&lt;='Resultats - informe'!$E$26),0,(C2693&gt;='Resultats - informe'!$D$27)*(C2693&lt;='Resultats - informe'!$E$27),0,(C2693&gt;='Resultats - informe'!$D$28)*(C2693&lt;='Resultats - informe'!$E$28),0,(C2693&gt;='Resultats - informe'!$D$29)*(C2693&lt;='Resultats - informe'!$E$29),0,1,1)</f>
        <v>0</v>
      </c>
      <c r="N2693" s="366">
        <f>+VLOOKUP(D2693,'Resultats - informe'!$Y$18:$AG$42,'Introducció dades consum'!K2693+1,0)</f>
        <v>0</v>
      </c>
      <c r="O2693" s="370" cm="1">
        <f t="array" ref="O2693">+_xlfn.SWITCH(MONTH(C2693),1,1,2,1,3,1,4,2,5,2,6,3,7,3,8,3,9,3,10,2,11,2,12,1,2)</f>
        <v>1</v>
      </c>
      <c r="P2693" s="43"/>
    </row>
    <row r="2694" spans="1:16" ht="18" x14ac:dyDescent="0.35">
      <c r="A2694" s="43"/>
      <c r="C2694" s="393"/>
      <c r="E2694" s="394"/>
      <c r="F2694" s="394">
        <v>0</v>
      </c>
      <c r="G2694" s="394"/>
      <c r="H2694" s="8" t="s">
        <v>61</v>
      </c>
      <c r="I2694" s="368">
        <f t="shared" ref="I2694:I2757" si="127">+E2694+G2694</f>
        <v>0</v>
      </c>
      <c r="J2694" s="365">
        <f t="shared" si="126"/>
        <v>0</v>
      </c>
      <c r="K2694" s="369">
        <f t="shared" ref="K2694:K2757" si="128">+WEEKDAY(C2694,2)</f>
        <v>6</v>
      </c>
      <c r="L2694" s="369">
        <f>+IF((C2694&gt;='Resultats - informe'!$E$16)*(C2694&lt;='Resultats - informe'!$G$16),1,0)</f>
        <v>1</v>
      </c>
      <c r="M2694" s="369" cm="1">
        <f t="array" ref="M2694">+_xlfn.IFS((C2694&gt;='Resultats - informe'!$D$26)*(C2694&lt;='Resultats - informe'!$E$26),0,(C2694&gt;='Resultats - informe'!$D$27)*(C2694&lt;='Resultats - informe'!$E$27),0,(C2694&gt;='Resultats - informe'!$D$28)*(C2694&lt;='Resultats - informe'!$E$28),0,(C2694&gt;='Resultats - informe'!$D$29)*(C2694&lt;='Resultats - informe'!$E$29),0,1,1)</f>
        <v>0</v>
      </c>
      <c r="N2694" s="366">
        <f>+VLOOKUP(D2694,'Resultats - informe'!$Y$18:$AG$42,'Introducció dades consum'!K2694+1,0)</f>
        <v>0</v>
      </c>
      <c r="O2694" s="370" cm="1">
        <f t="array" ref="O2694">+_xlfn.SWITCH(MONTH(C2694),1,1,2,1,3,1,4,2,5,2,6,3,7,3,8,3,9,3,10,2,11,2,12,1,2)</f>
        <v>1</v>
      </c>
      <c r="P2694" s="43"/>
    </row>
    <row r="2695" spans="1:16" ht="18" x14ac:dyDescent="0.35">
      <c r="A2695" s="43"/>
      <c r="C2695" s="393"/>
      <c r="E2695" s="394"/>
      <c r="F2695" s="394">
        <v>0</v>
      </c>
      <c r="G2695" s="394"/>
      <c r="H2695" s="8" t="s">
        <v>235</v>
      </c>
      <c r="I2695" s="368">
        <f t="shared" si="127"/>
        <v>0</v>
      </c>
      <c r="J2695" s="365">
        <f t="shared" si="126"/>
        <v>0</v>
      </c>
      <c r="K2695" s="369">
        <f t="shared" si="128"/>
        <v>6</v>
      </c>
      <c r="L2695" s="369">
        <f>+IF((C2695&gt;='Resultats - informe'!$E$16)*(C2695&lt;='Resultats - informe'!$G$16),1,0)</f>
        <v>1</v>
      </c>
      <c r="M2695" s="369" cm="1">
        <f t="array" ref="M2695">+_xlfn.IFS((C2695&gt;='Resultats - informe'!$D$26)*(C2695&lt;='Resultats - informe'!$E$26),0,(C2695&gt;='Resultats - informe'!$D$27)*(C2695&lt;='Resultats - informe'!$E$27),0,(C2695&gt;='Resultats - informe'!$D$28)*(C2695&lt;='Resultats - informe'!$E$28),0,(C2695&gt;='Resultats - informe'!$D$29)*(C2695&lt;='Resultats - informe'!$E$29),0,1,1)</f>
        <v>0</v>
      </c>
      <c r="N2695" s="366">
        <f>+VLOOKUP(D2695,'Resultats - informe'!$Y$18:$AG$42,'Introducció dades consum'!K2695+1,0)</f>
        <v>0</v>
      </c>
      <c r="O2695" s="370" cm="1">
        <f t="array" ref="O2695">+_xlfn.SWITCH(MONTH(C2695),1,1,2,1,3,1,4,2,5,2,6,3,7,3,8,3,9,3,10,2,11,2,12,1,2)</f>
        <v>1</v>
      </c>
      <c r="P2695" s="43"/>
    </row>
    <row r="2696" spans="1:16" ht="18" x14ac:dyDescent="0.35">
      <c r="A2696" s="43"/>
      <c r="C2696" s="393"/>
      <c r="E2696" s="394"/>
      <c r="F2696" s="394">
        <v>0</v>
      </c>
      <c r="G2696" s="394"/>
      <c r="H2696" s="8" t="s">
        <v>235</v>
      </c>
      <c r="I2696" s="368">
        <f t="shared" si="127"/>
        <v>0</v>
      </c>
      <c r="J2696" s="365">
        <f t="shared" si="126"/>
        <v>0</v>
      </c>
      <c r="K2696" s="369">
        <f t="shared" si="128"/>
        <v>6</v>
      </c>
      <c r="L2696" s="369">
        <f>+IF((C2696&gt;='Resultats - informe'!$E$16)*(C2696&lt;='Resultats - informe'!$G$16),1,0)</f>
        <v>1</v>
      </c>
      <c r="M2696" s="369" cm="1">
        <f t="array" ref="M2696">+_xlfn.IFS((C2696&gt;='Resultats - informe'!$D$26)*(C2696&lt;='Resultats - informe'!$E$26),0,(C2696&gt;='Resultats - informe'!$D$27)*(C2696&lt;='Resultats - informe'!$E$27),0,(C2696&gt;='Resultats - informe'!$D$28)*(C2696&lt;='Resultats - informe'!$E$28),0,(C2696&gt;='Resultats - informe'!$D$29)*(C2696&lt;='Resultats - informe'!$E$29),0,1,1)</f>
        <v>0</v>
      </c>
      <c r="N2696" s="366">
        <f>+VLOOKUP(D2696,'Resultats - informe'!$Y$18:$AG$42,'Introducció dades consum'!K2696+1,0)</f>
        <v>0</v>
      </c>
      <c r="O2696" s="370" cm="1">
        <f t="array" ref="O2696">+_xlfn.SWITCH(MONTH(C2696),1,1,2,1,3,1,4,2,5,2,6,3,7,3,8,3,9,3,10,2,11,2,12,1,2)</f>
        <v>1</v>
      </c>
      <c r="P2696" s="43"/>
    </row>
    <row r="2697" spans="1:16" ht="18" x14ac:dyDescent="0.35">
      <c r="A2697" s="43"/>
      <c r="C2697" s="393"/>
      <c r="E2697" s="394"/>
      <c r="F2697" s="394">
        <v>0</v>
      </c>
      <c r="G2697" s="394"/>
      <c r="H2697" s="8" t="s">
        <v>61</v>
      </c>
      <c r="I2697" s="368">
        <f t="shared" si="127"/>
        <v>0</v>
      </c>
      <c r="J2697" s="365">
        <f t="shared" si="126"/>
        <v>0</v>
      </c>
      <c r="K2697" s="369">
        <f t="shared" si="128"/>
        <v>6</v>
      </c>
      <c r="L2697" s="369">
        <f>+IF((C2697&gt;='Resultats - informe'!$E$16)*(C2697&lt;='Resultats - informe'!$G$16),1,0)</f>
        <v>1</v>
      </c>
      <c r="M2697" s="369" cm="1">
        <f t="array" ref="M2697">+_xlfn.IFS((C2697&gt;='Resultats - informe'!$D$26)*(C2697&lt;='Resultats - informe'!$E$26),0,(C2697&gt;='Resultats - informe'!$D$27)*(C2697&lt;='Resultats - informe'!$E$27),0,(C2697&gt;='Resultats - informe'!$D$28)*(C2697&lt;='Resultats - informe'!$E$28),0,(C2697&gt;='Resultats - informe'!$D$29)*(C2697&lt;='Resultats - informe'!$E$29),0,1,1)</f>
        <v>0</v>
      </c>
      <c r="N2697" s="366">
        <f>+VLOOKUP(D2697,'Resultats - informe'!$Y$18:$AG$42,'Introducció dades consum'!K2697+1,0)</f>
        <v>0</v>
      </c>
      <c r="O2697" s="370" cm="1">
        <f t="array" ref="O2697">+_xlfn.SWITCH(MONTH(C2697),1,1,2,1,3,1,4,2,5,2,6,3,7,3,8,3,9,3,10,2,11,2,12,1,2)</f>
        <v>1</v>
      </c>
      <c r="P2697" s="43"/>
    </row>
    <row r="2698" spans="1:16" ht="18" x14ac:dyDescent="0.35">
      <c r="A2698" s="43"/>
      <c r="C2698" s="393"/>
      <c r="E2698" s="394"/>
      <c r="F2698" s="394">
        <v>0</v>
      </c>
      <c r="G2698" s="394"/>
      <c r="H2698" s="8" t="s">
        <v>61</v>
      </c>
      <c r="I2698" s="368">
        <f t="shared" si="127"/>
        <v>0</v>
      </c>
      <c r="J2698" s="365">
        <f t="shared" si="126"/>
        <v>0</v>
      </c>
      <c r="K2698" s="369">
        <f t="shared" si="128"/>
        <v>6</v>
      </c>
      <c r="L2698" s="369">
        <f>+IF((C2698&gt;='Resultats - informe'!$E$16)*(C2698&lt;='Resultats - informe'!$G$16),1,0)</f>
        <v>1</v>
      </c>
      <c r="M2698" s="369" cm="1">
        <f t="array" ref="M2698">+_xlfn.IFS((C2698&gt;='Resultats - informe'!$D$26)*(C2698&lt;='Resultats - informe'!$E$26),0,(C2698&gt;='Resultats - informe'!$D$27)*(C2698&lt;='Resultats - informe'!$E$27),0,(C2698&gt;='Resultats - informe'!$D$28)*(C2698&lt;='Resultats - informe'!$E$28),0,(C2698&gt;='Resultats - informe'!$D$29)*(C2698&lt;='Resultats - informe'!$E$29),0,1,1)</f>
        <v>0</v>
      </c>
      <c r="N2698" s="366">
        <f>+VLOOKUP(D2698,'Resultats - informe'!$Y$18:$AG$42,'Introducció dades consum'!K2698+1,0)</f>
        <v>0</v>
      </c>
      <c r="O2698" s="370" cm="1">
        <f t="array" ref="O2698">+_xlfn.SWITCH(MONTH(C2698),1,1,2,1,3,1,4,2,5,2,6,3,7,3,8,3,9,3,10,2,11,2,12,1,2)</f>
        <v>1</v>
      </c>
      <c r="P2698" s="43"/>
    </row>
    <row r="2699" spans="1:16" ht="18" x14ac:dyDescent="0.35">
      <c r="A2699" s="43"/>
      <c r="C2699" s="393"/>
      <c r="E2699" s="394"/>
      <c r="F2699" s="394">
        <v>0</v>
      </c>
      <c r="G2699" s="394"/>
      <c r="H2699" s="8" t="s">
        <v>61</v>
      </c>
      <c r="I2699" s="368">
        <f t="shared" si="127"/>
        <v>0</v>
      </c>
      <c r="J2699" s="365">
        <f t="shared" si="126"/>
        <v>0</v>
      </c>
      <c r="K2699" s="369">
        <f t="shared" si="128"/>
        <v>6</v>
      </c>
      <c r="L2699" s="369">
        <f>+IF((C2699&gt;='Resultats - informe'!$E$16)*(C2699&lt;='Resultats - informe'!$G$16),1,0)</f>
        <v>1</v>
      </c>
      <c r="M2699" s="369" cm="1">
        <f t="array" ref="M2699">+_xlfn.IFS((C2699&gt;='Resultats - informe'!$D$26)*(C2699&lt;='Resultats - informe'!$E$26),0,(C2699&gt;='Resultats - informe'!$D$27)*(C2699&lt;='Resultats - informe'!$E$27),0,(C2699&gt;='Resultats - informe'!$D$28)*(C2699&lt;='Resultats - informe'!$E$28),0,(C2699&gt;='Resultats - informe'!$D$29)*(C2699&lt;='Resultats - informe'!$E$29),0,1,1)</f>
        <v>0</v>
      </c>
      <c r="N2699" s="366">
        <f>+VLOOKUP(D2699,'Resultats - informe'!$Y$18:$AG$42,'Introducció dades consum'!K2699+1,0)</f>
        <v>0</v>
      </c>
      <c r="O2699" s="370" cm="1">
        <f t="array" ref="O2699">+_xlfn.SWITCH(MONTH(C2699),1,1,2,1,3,1,4,2,5,2,6,3,7,3,8,3,9,3,10,2,11,2,12,1,2)</f>
        <v>1</v>
      </c>
      <c r="P2699" s="43"/>
    </row>
    <row r="2700" spans="1:16" ht="18" x14ac:dyDescent="0.35">
      <c r="A2700" s="43"/>
      <c r="C2700" s="393"/>
      <c r="E2700" s="394"/>
      <c r="F2700" s="394">
        <v>1.579</v>
      </c>
      <c r="G2700" s="394"/>
      <c r="H2700" s="8" t="s">
        <v>235</v>
      </c>
      <c r="I2700" s="368">
        <f t="shared" si="127"/>
        <v>0</v>
      </c>
      <c r="J2700" s="365">
        <f t="shared" si="126"/>
        <v>0</v>
      </c>
      <c r="K2700" s="369">
        <f t="shared" si="128"/>
        <v>6</v>
      </c>
      <c r="L2700" s="369">
        <f>+IF((C2700&gt;='Resultats - informe'!$E$16)*(C2700&lt;='Resultats - informe'!$G$16),1,0)</f>
        <v>1</v>
      </c>
      <c r="M2700" s="369" cm="1">
        <f t="array" ref="M2700">+_xlfn.IFS((C2700&gt;='Resultats - informe'!$D$26)*(C2700&lt;='Resultats - informe'!$E$26),0,(C2700&gt;='Resultats - informe'!$D$27)*(C2700&lt;='Resultats - informe'!$E$27),0,(C2700&gt;='Resultats - informe'!$D$28)*(C2700&lt;='Resultats - informe'!$E$28),0,(C2700&gt;='Resultats - informe'!$D$29)*(C2700&lt;='Resultats - informe'!$E$29),0,1,1)</f>
        <v>0</v>
      </c>
      <c r="N2700" s="366">
        <f>+VLOOKUP(D2700,'Resultats - informe'!$Y$18:$AG$42,'Introducció dades consum'!K2700+1,0)</f>
        <v>0</v>
      </c>
      <c r="O2700" s="370" cm="1">
        <f t="array" ref="O2700">+_xlfn.SWITCH(MONTH(C2700),1,1,2,1,3,1,4,2,5,2,6,3,7,3,8,3,9,3,10,2,11,2,12,1,2)</f>
        <v>1</v>
      </c>
      <c r="P2700" s="43"/>
    </row>
    <row r="2701" spans="1:16" ht="18" x14ac:dyDescent="0.35">
      <c r="A2701" s="43"/>
      <c r="C2701" s="393"/>
      <c r="E2701" s="394"/>
      <c r="F2701" s="394">
        <v>3.085</v>
      </c>
      <c r="G2701" s="394"/>
      <c r="H2701" s="8" t="s">
        <v>235</v>
      </c>
      <c r="I2701" s="368">
        <f t="shared" si="127"/>
        <v>0</v>
      </c>
      <c r="J2701" s="365">
        <f t="shared" si="126"/>
        <v>0</v>
      </c>
      <c r="K2701" s="369">
        <f t="shared" si="128"/>
        <v>6</v>
      </c>
      <c r="L2701" s="369">
        <f>+IF((C2701&gt;='Resultats - informe'!$E$16)*(C2701&lt;='Resultats - informe'!$G$16),1,0)</f>
        <v>1</v>
      </c>
      <c r="M2701" s="369" cm="1">
        <f t="array" ref="M2701">+_xlfn.IFS((C2701&gt;='Resultats - informe'!$D$26)*(C2701&lt;='Resultats - informe'!$E$26),0,(C2701&gt;='Resultats - informe'!$D$27)*(C2701&lt;='Resultats - informe'!$E$27),0,(C2701&gt;='Resultats - informe'!$D$28)*(C2701&lt;='Resultats - informe'!$E$28),0,(C2701&gt;='Resultats - informe'!$D$29)*(C2701&lt;='Resultats - informe'!$E$29),0,1,1)</f>
        <v>0</v>
      </c>
      <c r="N2701" s="366">
        <f>+VLOOKUP(D2701,'Resultats - informe'!$Y$18:$AG$42,'Introducció dades consum'!K2701+1,0)</f>
        <v>0</v>
      </c>
      <c r="O2701" s="370" cm="1">
        <f t="array" ref="O2701">+_xlfn.SWITCH(MONTH(C2701),1,1,2,1,3,1,4,2,5,2,6,3,7,3,8,3,9,3,10,2,11,2,12,1,2)</f>
        <v>1</v>
      </c>
      <c r="P2701" s="43"/>
    </row>
    <row r="2702" spans="1:16" ht="18" x14ac:dyDescent="0.35">
      <c r="A2702" s="43"/>
      <c r="C2702" s="393"/>
      <c r="E2702" s="394"/>
      <c r="F2702" s="394">
        <v>3.9430000000000001</v>
      </c>
      <c r="G2702" s="394"/>
      <c r="H2702" s="8" t="s">
        <v>235</v>
      </c>
      <c r="I2702" s="368">
        <f t="shared" si="127"/>
        <v>0</v>
      </c>
      <c r="J2702" s="365">
        <f t="shared" si="126"/>
        <v>0</v>
      </c>
      <c r="K2702" s="369">
        <f t="shared" si="128"/>
        <v>6</v>
      </c>
      <c r="L2702" s="369">
        <f>+IF((C2702&gt;='Resultats - informe'!$E$16)*(C2702&lt;='Resultats - informe'!$G$16),1,0)</f>
        <v>1</v>
      </c>
      <c r="M2702" s="369" cm="1">
        <f t="array" ref="M2702">+_xlfn.IFS((C2702&gt;='Resultats - informe'!$D$26)*(C2702&lt;='Resultats - informe'!$E$26),0,(C2702&gt;='Resultats - informe'!$D$27)*(C2702&lt;='Resultats - informe'!$E$27),0,(C2702&gt;='Resultats - informe'!$D$28)*(C2702&lt;='Resultats - informe'!$E$28),0,(C2702&gt;='Resultats - informe'!$D$29)*(C2702&lt;='Resultats - informe'!$E$29),0,1,1)</f>
        <v>0</v>
      </c>
      <c r="N2702" s="366">
        <f>+VLOOKUP(D2702,'Resultats - informe'!$Y$18:$AG$42,'Introducció dades consum'!K2702+1,0)</f>
        <v>0</v>
      </c>
      <c r="O2702" s="370" cm="1">
        <f t="array" ref="O2702">+_xlfn.SWITCH(MONTH(C2702),1,1,2,1,3,1,4,2,5,2,6,3,7,3,8,3,9,3,10,2,11,2,12,1,2)</f>
        <v>1</v>
      </c>
      <c r="P2702" s="43"/>
    </row>
    <row r="2703" spans="1:16" ht="18" x14ac:dyDescent="0.35">
      <c r="A2703" s="43"/>
      <c r="C2703" s="393"/>
      <c r="E2703" s="394"/>
      <c r="F2703" s="394">
        <v>4.1769999999999996</v>
      </c>
      <c r="G2703" s="394"/>
      <c r="H2703" s="8" t="s">
        <v>235</v>
      </c>
      <c r="I2703" s="368">
        <f t="shared" si="127"/>
        <v>0</v>
      </c>
      <c r="J2703" s="365">
        <f t="shared" si="126"/>
        <v>0</v>
      </c>
      <c r="K2703" s="369">
        <f t="shared" si="128"/>
        <v>6</v>
      </c>
      <c r="L2703" s="369">
        <f>+IF((C2703&gt;='Resultats - informe'!$E$16)*(C2703&lt;='Resultats - informe'!$G$16),1,0)</f>
        <v>1</v>
      </c>
      <c r="M2703" s="369" cm="1">
        <f t="array" ref="M2703">+_xlfn.IFS((C2703&gt;='Resultats - informe'!$D$26)*(C2703&lt;='Resultats - informe'!$E$26),0,(C2703&gt;='Resultats - informe'!$D$27)*(C2703&lt;='Resultats - informe'!$E$27),0,(C2703&gt;='Resultats - informe'!$D$28)*(C2703&lt;='Resultats - informe'!$E$28),0,(C2703&gt;='Resultats - informe'!$D$29)*(C2703&lt;='Resultats - informe'!$E$29),0,1,1)</f>
        <v>0</v>
      </c>
      <c r="N2703" s="366">
        <f>+VLOOKUP(D2703,'Resultats - informe'!$Y$18:$AG$42,'Introducció dades consum'!K2703+1,0)</f>
        <v>0</v>
      </c>
      <c r="O2703" s="370" cm="1">
        <f t="array" ref="O2703">+_xlfn.SWITCH(MONTH(C2703),1,1,2,1,3,1,4,2,5,2,6,3,7,3,8,3,9,3,10,2,11,2,12,1,2)</f>
        <v>1</v>
      </c>
      <c r="P2703" s="43"/>
    </row>
    <row r="2704" spans="1:16" ht="18" x14ac:dyDescent="0.35">
      <c r="A2704" s="43"/>
      <c r="C2704" s="393"/>
      <c r="E2704" s="394"/>
      <c r="F2704" s="394">
        <v>3.956</v>
      </c>
      <c r="G2704" s="394"/>
      <c r="H2704" s="8" t="s">
        <v>235</v>
      </c>
      <c r="I2704" s="368">
        <f t="shared" si="127"/>
        <v>0</v>
      </c>
      <c r="J2704" s="365">
        <f t="shared" si="126"/>
        <v>0</v>
      </c>
      <c r="K2704" s="369">
        <f t="shared" si="128"/>
        <v>6</v>
      </c>
      <c r="L2704" s="369">
        <f>+IF((C2704&gt;='Resultats - informe'!$E$16)*(C2704&lt;='Resultats - informe'!$G$16),1,0)</f>
        <v>1</v>
      </c>
      <c r="M2704" s="369" cm="1">
        <f t="array" ref="M2704">+_xlfn.IFS((C2704&gt;='Resultats - informe'!$D$26)*(C2704&lt;='Resultats - informe'!$E$26),0,(C2704&gt;='Resultats - informe'!$D$27)*(C2704&lt;='Resultats - informe'!$E$27),0,(C2704&gt;='Resultats - informe'!$D$28)*(C2704&lt;='Resultats - informe'!$E$28),0,(C2704&gt;='Resultats - informe'!$D$29)*(C2704&lt;='Resultats - informe'!$E$29),0,1,1)</f>
        <v>0</v>
      </c>
      <c r="N2704" s="366">
        <f>+VLOOKUP(D2704,'Resultats - informe'!$Y$18:$AG$42,'Introducció dades consum'!K2704+1,0)</f>
        <v>0</v>
      </c>
      <c r="O2704" s="370" cm="1">
        <f t="array" ref="O2704">+_xlfn.SWITCH(MONTH(C2704),1,1,2,1,3,1,4,2,5,2,6,3,7,3,8,3,9,3,10,2,11,2,12,1,2)</f>
        <v>1</v>
      </c>
      <c r="P2704" s="43"/>
    </row>
    <row r="2705" spans="1:16" ht="18" x14ac:dyDescent="0.35">
      <c r="A2705" s="43"/>
      <c r="C2705" s="393"/>
      <c r="E2705" s="394"/>
      <c r="F2705" s="394">
        <v>2.036</v>
      </c>
      <c r="G2705" s="394"/>
      <c r="H2705" s="8" t="s">
        <v>61</v>
      </c>
      <c r="I2705" s="368">
        <f t="shared" si="127"/>
        <v>0</v>
      </c>
      <c r="J2705" s="365">
        <f t="shared" si="126"/>
        <v>0</v>
      </c>
      <c r="K2705" s="369">
        <f t="shared" si="128"/>
        <v>6</v>
      </c>
      <c r="L2705" s="369">
        <f>+IF((C2705&gt;='Resultats - informe'!$E$16)*(C2705&lt;='Resultats - informe'!$G$16),1,0)</f>
        <v>1</v>
      </c>
      <c r="M2705" s="369" cm="1">
        <f t="array" ref="M2705">+_xlfn.IFS((C2705&gt;='Resultats - informe'!$D$26)*(C2705&lt;='Resultats - informe'!$E$26),0,(C2705&gt;='Resultats - informe'!$D$27)*(C2705&lt;='Resultats - informe'!$E$27),0,(C2705&gt;='Resultats - informe'!$D$28)*(C2705&lt;='Resultats - informe'!$E$28),0,(C2705&gt;='Resultats - informe'!$D$29)*(C2705&lt;='Resultats - informe'!$E$29),0,1,1)</f>
        <v>0</v>
      </c>
      <c r="N2705" s="366">
        <f>+VLOOKUP(D2705,'Resultats - informe'!$Y$18:$AG$42,'Introducció dades consum'!K2705+1,0)</f>
        <v>0</v>
      </c>
      <c r="O2705" s="370" cm="1">
        <f t="array" ref="O2705">+_xlfn.SWITCH(MONTH(C2705),1,1,2,1,3,1,4,2,5,2,6,3,7,3,8,3,9,3,10,2,11,2,12,1,2)</f>
        <v>1</v>
      </c>
      <c r="P2705" s="43"/>
    </row>
    <row r="2706" spans="1:16" ht="18" x14ac:dyDescent="0.35">
      <c r="A2706" s="43"/>
      <c r="C2706" s="393"/>
      <c r="E2706" s="394"/>
      <c r="F2706" s="394">
        <v>4.24</v>
      </c>
      <c r="G2706" s="394"/>
      <c r="H2706" s="8" t="s">
        <v>61</v>
      </c>
      <c r="I2706" s="368">
        <f t="shared" si="127"/>
        <v>0</v>
      </c>
      <c r="J2706" s="365">
        <f t="shared" si="126"/>
        <v>0</v>
      </c>
      <c r="K2706" s="369">
        <f t="shared" si="128"/>
        <v>6</v>
      </c>
      <c r="L2706" s="369">
        <f>+IF((C2706&gt;='Resultats - informe'!$E$16)*(C2706&lt;='Resultats - informe'!$G$16),1,0)</f>
        <v>1</v>
      </c>
      <c r="M2706" s="369" cm="1">
        <f t="array" ref="M2706">+_xlfn.IFS((C2706&gt;='Resultats - informe'!$D$26)*(C2706&lt;='Resultats - informe'!$E$26),0,(C2706&gt;='Resultats - informe'!$D$27)*(C2706&lt;='Resultats - informe'!$E$27),0,(C2706&gt;='Resultats - informe'!$D$28)*(C2706&lt;='Resultats - informe'!$E$28),0,(C2706&gt;='Resultats - informe'!$D$29)*(C2706&lt;='Resultats - informe'!$E$29),0,1,1)</f>
        <v>0</v>
      </c>
      <c r="N2706" s="366">
        <f>+VLOOKUP(D2706,'Resultats - informe'!$Y$18:$AG$42,'Introducció dades consum'!K2706+1,0)</f>
        <v>0</v>
      </c>
      <c r="O2706" s="370" cm="1">
        <f t="array" ref="O2706">+_xlfn.SWITCH(MONTH(C2706),1,1,2,1,3,1,4,2,5,2,6,3,7,3,8,3,9,3,10,2,11,2,12,1,2)</f>
        <v>1</v>
      </c>
      <c r="P2706" s="43"/>
    </row>
    <row r="2707" spans="1:16" ht="18" x14ac:dyDescent="0.35">
      <c r="A2707" s="43"/>
      <c r="C2707" s="393"/>
      <c r="E2707" s="394"/>
      <c r="F2707" s="394">
        <v>2.4750000000000001</v>
      </c>
      <c r="G2707" s="394"/>
      <c r="H2707" s="8" t="s">
        <v>235</v>
      </c>
      <c r="I2707" s="368">
        <f t="shared" si="127"/>
        <v>0</v>
      </c>
      <c r="J2707" s="365">
        <f t="shared" si="126"/>
        <v>0</v>
      </c>
      <c r="K2707" s="369">
        <f t="shared" si="128"/>
        <v>6</v>
      </c>
      <c r="L2707" s="369">
        <f>+IF((C2707&gt;='Resultats - informe'!$E$16)*(C2707&lt;='Resultats - informe'!$G$16),1,0)</f>
        <v>1</v>
      </c>
      <c r="M2707" s="369" cm="1">
        <f t="array" ref="M2707">+_xlfn.IFS((C2707&gt;='Resultats - informe'!$D$26)*(C2707&lt;='Resultats - informe'!$E$26),0,(C2707&gt;='Resultats - informe'!$D$27)*(C2707&lt;='Resultats - informe'!$E$27),0,(C2707&gt;='Resultats - informe'!$D$28)*(C2707&lt;='Resultats - informe'!$E$28),0,(C2707&gt;='Resultats - informe'!$D$29)*(C2707&lt;='Resultats - informe'!$E$29),0,1,1)</f>
        <v>0</v>
      </c>
      <c r="N2707" s="366">
        <f>+VLOOKUP(D2707,'Resultats - informe'!$Y$18:$AG$42,'Introducció dades consum'!K2707+1,0)</f>
        <v>0</v>
      </c>
      <c r="O2707" s="370" cm="1">
        <f t="array" ref="O2707">+_xlfn.SWITCH(MONTH(C2707),1,1,2,1,3,1,4,2,5,2,6,3,7,3,8,3,9,3,10,2,11,2,12,1,2)</f>
        <v>1</v>
      </c>
      <c r="P2707" s="43"/>
    </row>
    <row r="2708" spans="1:16" ht="18" x14ac:dyDescent="0.35">
      <c r="A2708" s="43"/>
      <c r="C2708" s="393"/>
      <c r="E2708" s="394"/>
      <c r="F2708" s="394">
        <v>1.21</v>
      </c>
      <c r="G2708" s="394"/>
      <c r="H2708" s="8" t="s">
        <v>235</v>
      </c>
      <c r="I2708" s="368">
        <f t="shared" si="127"/>
        <v>0</v>
      </c>
      <c r="J2708" s="365">
        <f t="shared" si="126"/>
        <v>0</v>
      </c>
      <c r="K2708" s="369">
        <f t="shared" si="128"/>
        <v>6</v>
      </c>
      <c r="L2708" s="369">
        <f>+IF((C2708&gt;='Resultats - informe'!$E$16)*(C2708&lt;='Resultats - informe'!$G$16),1,0)</f>
        <v>1</v>
      </c>
      <c r="M2708" s="369" cm="1">
        <f t="array" ref="M2708">+_xlfn.IFS((C2708&gt;='Resultats - informe'!$D$26)*(C2708&lt;='Resultats - informe'!$E$26),0,(C2708&gt;='Resultats - informe'!$D$27)*(C2708&lt;='Resultats - informe'!$E$27),0,(C2708&gt;='Resultats - informe'!$D$28)*(C2708&lt;='Resultats - informe'!$E$28),0,(C2708&gt;='Resultats - informe'!$D$29)*(C2708&lt;='Resultats - informe'!$E$29),0,1,1)</f>
        <v>0</v>
      </c>
      <c r="N2708" s="366">
        <f>+VLOOKUP(D2708,'Resultats - informe'!$Y$18:$AG$42,'Introducció dades consum'!K2708+1,0)</f>
        <v>0</v>
      </c>
      <c r="O2708" s="370" cm="1">
        <f t="array" ref="O2708">+_xlfn.SWITCH(MONTH(C2708),1,1,2,1,3,1,4,2,5,2,6,3,7,3,8,3,9,3,10,2,11,2,12,1,2)</f>
        <v>1</v>
      </c>
      <c r="P2708" s="43"/>
    </row>
    <row r="2709" spans="1:16" ht="18" x14ac:dyDescent="0.35">
      <c r="A2709" s="43"/>
      <c r="C2709" s="393"/>
      <c r="E2709" s="394"/>
      <c r="F2709" s="394">
        <v>0</v>
      </c>
      <c r="G2709" s="394"/>
      <c r="H2709" s="8" t="s">
        <v>235</v>
      </c>
      <c r="I2709" s="368">
        <f t="shared" si="127"/>
        <v>0</v>
      </c>
      <c r="J2709" s="365">
        <f t="shared" si="126"/>
        <v>0</v>
      </c>
      <c r="K2709" s="369">
        <f t="shared" si="128"/>
        <v>6</v>
      </c>
      <c r="L2709" s="369">
        <f>+IF((C2709&gt;='Resultats - informe'!$E$16)*(C2709&lt;='Resultats - informe'!$G$16),1,0)</f>
        <v>1</v>
      </c>
      <c r="M2709" s="369" cm="1">
        <f t="array" ref="M2709">+_xlfn.IFS((C2709&gt;='Resultats - informe'!$D$26)*(C2709&lt;='Resultats - informe'!$E$26),0,(C2709&gt;='Resultats - informe'!$D$27)*(C2709&lt;='Resultats - informe'!$E$27),0,(C2709&gt;='Resultats - informe'!$D$28)*(C2709&lt;='Resultats - informe'!$E$28),0,(C2709&gt;='Resultats - informe'!$D$29)*(C2709&lt;='Resultats - informe'!$E$29),0,1,1)</f>
        <v>0</v>
      </c>
      <c r="N2709" s="366">
        <f>+VLOOKUP(D2709,'Resultats - informe'!$Y$18:$AG$42,'Introducció dades consum'!K2709+1,0)</f>
        <v>0</v>
      </c>
      <c r="O2709" s="370" cm="1">
        <f t="array" ref="O2709">+_xlfn.SWITCH(MONTH(C2709),1,1,2,1,3,1,4,2,5,2,6,3,7,3,8,3,9,3,10,2,11,2,12,1,2)</f>
        <v>1</v>
      </c>
      <c r="P2709" s="43"/>
    </row>
    <row r="2710" spans="1:16" ht="18" x14ac:dyDescent="0.35">
      <c r="A2710" s="43"/>
      <c r="C2710" s="393"/>
      <c r="E2710" s="394"/>
      <c r="F2710" s="394">
        <v>0</v>
      </c>
      <c r="G2710" s="394"/>
      <c r="H2710" s="8" t="s">
        <v>235</v>
      </c>
      <c r="I2710" s="368">
        <f t="shared" si="127"/>
        <v>0</v>
      </c>
      <c r="J2710" s="365">
        <f t="shared" si="126"/>
        <v>0</v>
      </c>
      <c r="K2710" s="369">
        <f t="shared" si="128"/>
        <v>6</v>
      </c>
      <c r="L2710" s="369">
        <f>+IF((C2710&gt;='Resultats - informe'!$E$16)*(C2710&lt;='Resultats - informe'!$G$16),1,0)</f>
        <v>1</v>
      </c>
      <c r="M2710" s="369" cm="1">
        <f t="array" ref="M2710">+_xlfn.IFS((C2710&gt;='Resultats - informe'!$D$26)*(C2710&lt;='Resultats - informe'!$E$26),0,(C2710&gt;='Resultats - informe'!$D$27)*(C2710&lt;='Resultats - informe'!$E$27),0,(C2710&gt;='Resultats - informe'!$D$28)*(C2710&lt;='Resultats - informe'!$E$28),0,(C2710&gt;='Resultats - informe'!$D$29)*(C2710&lt;='Resultats - informe'!$E$29),0,1,1)</f>
        <v>0</v>
      </c>
      <c r="N2710" s="366">
        <f>+VLOOKUP(D2710,'Resultats - informe'!$Y$18:$AG$42,'Introducció dades consum'!K2710+1,0)</f>
        <v>0</v>
      </c>
      <c r="O2710" s="370" cm="1">
        <f t="array" ref="O2710">+_xlfn.SWITCH(MONTH(C2710),1,1,2,1,3,1,4,2,5,2,6,3,7,3,8,3,9,3,10,2,11,2,12,1,2)</f>
        <v>1</v>
      </c>
      <c r="P2710" s="43"/>
    </row>
    <row r="2711" spans="1:16" ht="18" x14ac:dyDescent="0.35">
      <c r="A2711" s="43"/>
      <c r="C2711" s="393"/>
      <c r="E2711" s="394"/>
      <c r="F2711" s="394">
        <v>0.158</v>
      </c>
      <c r="G2711" s="394"/>
      <c r="H2711" s="8" t="s">
        <v>61</v>
      </c>
      <c r="I2711" s="368">
        <f t="shared" si="127"/>
        <v>0</v>
      </c>
      <c r="J2711" s="365">
        <f t="shared" si="126"/>
        <v>0</v>
      </c>
      <c r="K2711" s="369">
        <f t="shared" si="128"/>
        <v>6</v>
      </c>
      <c r="L2711" s="369">
        <f>+IF((C2711&gt;='Resultats - informe'!$E$16)*(C2711&lt;='Resultats - informe'!$G$16),1,0)</f>
        <v>1</v>
      </c>
      <c r="M2711" s="369" cm="1">
        <f t="array" ref="M2711">+_xlfn.IFS((C2711&gt;='Resultats - informe'!$D$26)*(C2711&lt;='Resultats - informe'!$E$26),0,(C2711&gt;='Resultats - informe'!$D$27)*(C2711&lt;='Resultats - informe'!$E$27),0,(C2711&gt;='Resultats - informe'!$D$28)*(C2711&lt;='Resultats - informe'!$E$28),0,(C2711&gt;='Resultats - informe'!$D$29)*(C2711&lt;='Resultats - informe'!$E$29),0,1,1)</f>
        <v>0</v>
      </c>
      <c r="N2711" s="366">
        <f>+VLOOKUP(D2711,'Resultats - informe'!$Y$18:$AG$42,'Introducció dades consum'!K2711+1,0)</f>
        <v>0</v>
      </c>
      <c r="O2711" s="370" cm="1">
        <f t="array" ref="O2711">+_xlfn.SWITCH(MONTH(C2711),1,1,2,1,3,1,4,2,5,2,6,3,7,3,8,3,9,3,10,2,11,2,12,1,2)</f>
        <v>1</v>
      </c>
      <c r="P2711" s="43"/>
    </row>
    <row r="2712" spans="1:16" ht="18" x14ac:dyDescent="0.35">
      <c r="A2712" s="43"/>
      <c r="C2712" s="393"/>
      <c r="E2712" s="394"/>
      <c r="F2712" s="394">
        <v>0</v>
      </c>
      <c r="G2712" s="394"/>
      <c r="H2712" s="8" t="s">
        <v>61</v>
      </c>
      <c r="I2712" s="368">
        <f t="shared" si="127"/>
        <v>0</v>
      </c>
      <c r="J2712" s="365">
        <f t="shared" si="126"/>
        <v>0</v>
      </c>
      <c r="K2712" s="369">
        <f t="shared" si="128"/>
        <v>6</v>
      </c>
      <c r="L2712" s="369">
        <f>+IF((C2712&gt;='Resultats - informe'!$E$16)*(C2712&lt;='Resultats - informe'!$G$16),1,0)</f>
        <v>1</v>
      </c>
      <c r="M2712" s="369" cm="1">
        <f t="array" ref="M2712">+_xlfn.IFS((C2712&gt;='Resultats - informe'!$D$26)*(C2712&lt;='Resultats - informe'!$E$26),0,(C2712&gt;='Resultats - informe'!$D$27)*(C2712&lt;='Resultats - informe'!$E$27),0,(C2712&gt;='Resultats - informe'!$D$28)*(C2712&lt;='Resultats - informe'!$E$28),0,(C2712&gt;='Resultats - informe'!$D$29)*(C2712&lt;='Resultats - informe'!$E$29),0,1,1)</f>
        <v>0</v>
      </c>
      <c r="N2712" s="366">
        <f>+VLOOKUP(D2712,'Resultats - informe'!$Y$18:$AG$42,'Introducció dades consum'!K2712+1,0)</f>
        <v>0</v>
      </c>
      <c r="O2712" s="370" cm="1">
        <f t="array" ref="O2712">+_xlfn.SWITCH(MONTH(C2712),1,1,2,1,3,1,4,2,5,2,6,3,7,3,8,3,9,3,10,2,11,2,12,1,2)</f>
        <v>1</v>
      </c>
      <c r="P2712" s="43"/>
    </row>
    <row r="2713" spans="1:16" ht="18" x14ac:dyDescent="0.35">
      <c r="A2713" s="43"/>
      <c r="C2713" s="393"/>
      <c r="E2713" s="394"/>
      <c r="F2713" s="394">
        <v>0</v>
      </c>
      <c r="G2713" s="394"/>
      <c r="H2713" s="8" t="s">
        <v>235</v>
      </c>
      <c r="I2713" s="368">
        <f t="shared" si="127"/>
        <v>0</v>
      </c>
      <c r="J2713" s="365">
        <f t="shared" si="126"/>
        <v>0</v>
      </c>
      <c r="K2713" s="369">
        <f t="shared" si="128"/>
        <v>6</v>
      </c>
      <c r="L2713" s="369">
        <f>+IF((C2713&gt;='Resultats - informe'!$E$16)*(C2713&lt;='Resultats - informe'!$G$16),1,0)</f>
        <v>1</v>
      </c>
      <c r="M2713" s="369" cm="1">
        <f t="array" ref="M2713">+_xlfn.IFS((C2713&gt;='Resultats - informe'!$D$26)*(C2713&lt;='Resultats - informe'!$E$26),0,(C2713&gt;='Resultats - informe'!$D$27)*(C2713&lt;='Resultats - informe'!$E$27),0,(C2713&gt;='Resultats - informe'!$D$28)*(C2713&lt;='Resultats - informe'!$E$28),0,(C2713&gt;='Resultats - informe'!$D$29)*(C2713&lt;='Resultats - informe'!$E$29),0,1,1)</f>
        <v>0</v>
      </c>
      <c r="N2713" s="366">
        <f>+VLOOKUP(D2713,'Resultats - informe'!$Y$18:$AG$42,'Introducció dades consum'!K2713+1,0)</f>
        <v>0</v>
      </c>
      <c r="O2713" s="370" cm="1">
        <f t="array" ref="O2713">+_xlfn.SWITCH(MONTH(C2713),1,1,2,1,3,1,4,2,5,2,6,3,7,3,8,3,9,3,10,2,11,2,12,1,2)</f>
        <v>1</v>
      </c>
      <c r="P2713" s="43"/>
    </row>
    <row r="2714" spans="1:16" ht="18" x14ac:dyDescent="0.35">
      <c r="A2714" s="43"/>
      <c r="C2714" s="393"/>
      <c r="E2714" s="394"/>
      <c r="F2714" s="394">
        <v>0</v>
      </c>
      <c r="G2714" s="394"/>
      <c r="H2714" s="8" t="s">
        <v>235</v>
      </c>
      <c r="I2714" s="368">
        <f t="shared" si="127"/>
        <v>0</v>
      </c>
      <c r="J2714" s="365">
        <f t="shared" si="126"/>
        <v>0</v>
      </c>
      <c r="K2714" s="369">
        <f t="shared" si="128"/>
        <v>6</v>
      </c>
      <c r="L2714" s="369">
        <f>+IF((C2714&gt;='Resultats - informe'!$E$16)*(C2714&lt;='Resultats - informe'!$G$16),1,0)</f>
        <v>1</v>
      </c>
      <c r="M2714" s="369" cm="1">
        <f t="array" ref="M2714">+_xlfn.IFS((C2714&gt;='Resultats - informe'!$D$26)*(C2714&lt;='Resultats - informe'!$E$26),0,(C2714&gt;='Resultats - informe'!$D$27)*(C2714&lt;='Resultats - informe'!$E$27),0,(C2714&gt;='Resultats - informe'!$D$28)*(C2714&lt;='Resultats - informe'!$E$28),0,(C2714&gt;='Resultats - informe'!$D$29)*(C2714&lt;='Resultats - informe'!$E$29),0,1,1)</f>
        <v>0</v>
      </c>
      <c r="N2714" s="366">
        <f>+VLOOKUP(D2714,'Resultats - informe'!$Y$18:$AG$42,'Introducció dades consum'!K2714+1,0)</f>
        <v>0</v>
      </c>
      <c r="O2714" s="370" cm="1">
        <f t="array" ref="O2714">+_xlfn.SWITCH(MONTH(C2714),1,1,2,1,3,1,4,2,5,2,6,3,7,3,8,3,9,3,10,2,11,2,12,1,2)</f>
        <v>1</v>
      </c>
      <c r="P2714" s="43"/>
    </row>
    <row r="2715" spans="1:16" ht="18" x14ac:dyDescent="0.35">
      <c r="A2715" s="43"/>
      <c r="C2715" s="393"/>
      <c r="E2715" s="394"/>
      <c r="F2715" s="394">
        <v>0</v>
      </c>
      <c r="G2715" s="394"/>
      <c r="H2715" s="8" t="s">
        <v>61</v>
      </c>
      <c r="I2715" s="368">
        <f t="shared" si="127"/>
        <v>0</v>
      </c>
      <c r="J2715" s="365">
        <f t="shared" si="126"/>
        <v>0</v>
      </c>
      <c r="K2715" s="369">
        <f t="shared" si="128"/>
        <v>6</v>
      </c>
      <c r="L2715" s="369">
        <f>+IF((C2715&gt;='Resultats - informe'!$E$16)*(C2715&lt;='Resultats - informe'!$G$16),1,0)</f>
        <v>1</v>
      </c>
      <c r="M2715" s="369" cm="1">
        <f t="array" ref="M2715">+_xlfn.IFS((C2715&gt;='Resultats - informe'!$D$26)*(C2715&lt;='Resultats - informe'!$E$26),0,(C2715&gt;='Resultats - informe'!$D$27)*(C2715&lt;='Resultats - informe'!$E$27),0,(C2715&gt;='Resultats - informe'!$D$28)*(C2715&lt;='Resultats - informe'!$E$28),0,(C2715&gt;='Resultats - informe'!$D$29)*(C2715&lt;='Resultats - informe'!$E$29),0,1,1)</f>
        <v>0</v>
      </c>
      <c r="N2715" s="366">
        <f>+VLOOKUP(D2715,'Resultats - informe'!$Y$18:$AG$42,'Introducció dades consum'!K2715+1,0)</f>
        <v>0</v>
      </c>
      <c r="O2715" s="370" cm="1">
        <f t="array" ref="O2715">+_xlfn.SWITCH(MONTH(C2715),1,1,2,1,3,1,4,2,5,2,6,3,7,3,8,3,9,3,10,2,11,2,12,1,2)</f>
        <v>1</v>
      </c>
      <c r="P2715" s="43"/>
    </row>
    <row r="2716" spans="1:16" ht="18" x14ac:dyDescent="0.35">
      <c r="A2716" s="43"/>
      <c r="C2716" s="393"/>
      <c r="E2716" s="394"/>
      <c r="F2716" s="394">
        <v>0</v>
      </c>
      <c r="G2716" s="394"/>
      <c r="H2716" s="8" t="s">
        <v>61</v>
      </c>
      <c r="I2716" s="368">
        <f t="shared" si="127"/>
        <v>0</v>
      </c>
      <c r="J2716" s="365">
        <f t="shared" si="126"/>
        <v>0</v>
      </c>
      <c r="K2716" s="369">
        <f t="shared" si="128"/>
        <v>6</v>
      </c>
      <c r="L2716" s="369">
        <f>+IF((C2716&gt;='Resultats - informe'!$E$16)*(C2716&lt;='Resultats - informe'!$G$16),1,0)</f>
        <v>1</v>
      </c>
      <c r="M2716" s="369" cm="1">
        <f t="array" ref="M2716">+_xlfn.IFS((C2716&gt;='Resultats - informe'!$D$26)*(C2716&lt;='Resultats - informe'!$E$26),0,(C2716&gt;='Resultats - informe'!$D$27)*(C2716&lt;='Resultats - informe'!$E$27),0,(C2716&gt;='Resultats - informe'!$D$28)*(C2716&lt;='Resultats - informe'!$E$28),0,(C2716&gt;='Resultats - informe'!$D$29)*(C2716&lt;='Resultats - informe'!$E$29),0,1,1)</f>
        <v>0</v>
      </c>
      <c r="N2716" s="366">
        <f>+VLOOKUP(D2716,'Resultats - informe'!$Y$18:$AG$42,'Introducció dades consum'!K2716+1,0)</f>
        <v>0</v>
      </c>
      <c r="O2716" s="370" cm="1">
        <f t="array" ref="O2716">+_xlfn.SWITCH(MONTH(C2716),1,1,2,1,3,1,4,2,5,2,6,3,7,3,8,3,9,3,10,2,11,2,12,1,2)</f>
        <v>1</v>
      </c>
      <c r="P2716" s="43"/>
    </row>
    <row r="2717" spans="1:16" ht="18" x14ac:dyDescent="0.35">
      <c r="A2717" s="43"/>
      <c r="C2717" s="393"/>
      <c r="E2717" s="394"/>
      <c r="F2717" s="394">
        <v>0</v>
      </c>
      <c r="G2717" s="394"/>
      <c r="H2717" s="8" t="s">
        <v>61</v>
      </c>
      <c r="I2717" s="368">
        <f t="shared" si="127"/>
        <v>0</v>
      </c>
      <c r="J2717" s="365">
        <f t="shared" si="126"/>
        <v>0</v>
      </c>
      <c r="K2717" s="369">
        <f t="shared" si="128"/>
        <v>6</v>
      </c>
      <c r="L2717" s="369">
        <f>+IF((C2717&gt;='Resultats - informe'!$E$16)*(C2717&lt;='Resultats - informe'!$G$16),1,0)</f>
        <v>1</v>
      </c>
      <c r="M2717" s="369" cm="1">
        <f t="array" ref="M2717">+_xlfn.IFS((C2717&gt;='Resultats - informe'!$D$26)*(C2717&lt;='Resultats - informe'!$E$26),0,(C2717&gt;='Resultats - informe'!$D$27)*(C2717&lt;='Resultats - informe'!$E$27),0,(C2717&gt;='Resultats - informe'!$D$28)*(C2717&lt;='Resultats - informe'!$E$28),0,(C2717&gt;='Resultats - informe'!$D$29)*(C2717&lt;='Resultats - informe'!$E$29),0,1,1)</f>
        <v>0</v>
      </c>
      <c r="N2717" s="366">
        <f>+VLOOKUP(D2717,'Resultats - informe'!$Y$18:$AG$42,'Introducció dades consum'!K2717+1,0)</f>
        <v>0</v>
      </c>
      <c r="O2717" s="370" cm="1">
        <f t="array" ref="O2717">+_xlfn.SWITCH(MONTH(C2717),1,1,2,1,3,1,4,2,5,2,6,3,7,3,8,3,9,3,10,2,11,2,12,1,2)</f>
        <v>1</v>
      </c>
      <c r="P2717" s="43"/>
    </row>
    <row r="2718" spans="1:16" ht="18" x14ac:dyDescent="0.35">
      <c r="A2718" s="43"/>
      <c r="C2718" s="393"/>
      <c r="E2718" s="394"/>
      <c r="F2718" s="394">
        <v>0</v>
      </c>
      <c r="G2718" s="394"/>
      <c r="H2718" s="8" t="s">
        <v>61</v>
      </c>
      <c r="I2718" s="368">
        <f t="shared" si="127"/>
        <v>0</v>
      </c>
      <c r="J2718" s="365">
        <f t="shared" si="126"/>
        <v>0</v>
      </c>
      <c r="K2718" s="369">
        <f t="shared" si="128"/>
        <v>6</v>
      </c>
      <c r="L2718" s="369">
        <f>+IF((C2718&gt;='Resultats - informe'!$E$16)*(C2718&lt;='Resultats - informe'!$G$16),1,0)</f>
        <v>1</v>
      </c>
      <c r="M2718" s="369" cm="1">
        <f t="array" ref="M2718">+_xlfn.IFS((C2718&gt;='Resultats - informe'!$D$26)*(C2718&lt;='Resultats - informe'!$E$26),0,(C2718&gt;='Resultats - informe'!$D$27)*(C2718&lt;='Resultats - informe'!$E$27),0,(C2718&gt;='Resultats - informe'!$D$28)*(C2718&lt;='Resultats - informe'!$E$28),0,(C2718&gt;='Resultats - informe'!$D$29)*(C2718&lt;='Resultats - informe'!$E$29),0,1,1)</f>
        <v>0</v>
      </c>
      <c r="N2718" s="366">
        <f>+VLOOKUP(D2718,'Resultats - informe'!$Y$18:$AG$42,'Introducció dades consum'!K2718+1,0)</f>
        <v>0</v>
      </c>
      <c r="O2718" s="370" cm="1">
        <f t="array" ref="O2718">+_xlfn.SWITCH(MONTH(C2718),1,1,2,1,3,1,4,2,5,2,6,3,7,3,8,3,9,3,10,2,11,2,12,1,2)</f>
        <v>1</v>
      </c>
      <c r="P2718" s="43"/>
    </row>
    <row r="2719" spans="1:16" ht="18" x14ac:dyDescent="0.35">
      <c r="A2719" s="43"/>
      <c r="C2719" s="393"/>
      <c r="E2719" s="394"/>
      <c r="F2719" s="394">
        <v>0</v>
      </c>
      <c r="G2719" s="394"/>
      <c r="H2719" s="8" t="s">
        <v>61</v>
      </c>
      <c r="I2719" s="368">
        <f t="shared" si="127"/>
        <v>0</v>
      </c>
      <c r="J2719" s="365">
        <f t="shared" si="126"/>
        <v>0</v>
      </c>
      <c r="K2719" s="369">
        <f t="shared" si="128"/>
        <v>6</v>
      </c>
      <c r="L2719" s="369">
        <f>+IF((C2719&gt;='Resultats - informe'!$E$16)*(C2719&lt;='Resultats - informe'!$G$16),1,0)</f>
        <v>1</v>
      </c>
      <c r="M2719" s="369" cm="1">
        <f t="array" ref="M2719">+_xlfn.IFS((C2719&gt;='Resultats - informe'!$D$26)*(C2719&lt;='Resultats - informe'!$E$26),0,(C2719&gt;='Resultats - informe'!$D$27)*(C2719&lt;='Resultats - informe'!$E$27),0,(C2719&gt;='Resultats - informe'!$D$28)*(C2719&lt;='Resultats - informe'!$E$28),0,(C2719&gt;='Resultats - informe'!$D$29)*(C2719&lt;='Resultats - informe'!$E$29),0,1,1)</f>
        <v>0</v>
      </c>
      <c r="N2719" s="366">
        <f>+VLOOKUP(D2719,'Resultats - informe'!$Y$18:$AG$42,'Introducció dades consum'!K2719+1,0)</f>
        <v>0</v>
      </c>
      <c r="O2719" s="370" cm="1">
        <f t="array" ref="O2719">+_xlfn.SWITCH(MONTH(C2719),1,1,2,1,3,1,4,2,5,2,6,3,7,3,8,3,9,3,10,2,11,2,12,1,2)</f>
        <v>1</v>
      </c>
      <c r="P2719" s="43"/>
    </row>
    <row r="2720" spans="1:16" ht="18" x14ac:dyDescent="0.35">
      <c r="A2720" s="43"/>
      <c r="C2720" s="393"/>
      <c r="E2720" s="394"/>
      <c r="F2720" s="394">
        <v>0</v>
      </c>
      <c r="G2720" s="394"/>
      <c r="H2720" s="8" t="s">
        <v>61</v>
      </c>
      <c r="I2720" s="368">
        <f t="shared" si="127"/>
        <v>0</v>
      </c>
      <c r="J2720" s="365">
        <f t="shared" si="126"/>
        <v>0</v>
      </c>
      <c r="K2720" s="369">
        <f t="shared" si="128"/>
        <v>6</v>
      </c>
      <c r="L2720" s="369">
        <f>+IF((C2720&gt;='Resultats - informe'!$E$16)*(C2720&lt;='Resultats - informe'!$G$16),1,0)</f>
        <v>1</v>
      </c>
      <c r="M2720" s="369" cm="1">
        <f t="array" ref="M2720">+_xlfn.IFS((C2720&gt;='Resultats - informe'!$D$26)*(C2720&lt;='Resultats - informe'!$E$26),0,(C2720&gt;='Resultats - informe'!$D$27)*(C2720&lt;='Resultats - informe'!$E$27),0,(C2720&gt;='Resultats - informe'!$D$28)*(C2720&lt;='Resultats - informe'!$E$28),0,(C2720&gt;='Resultats - informe'!$D$29)*(C2720&lt;='Resultats - informe'!$E$29),0,1,1)</f>
        <v>0</v>
      </c>
      <c r="N2720" s="366">
        <f>+VLOOKUP(D2720,'Resultats - informe'!$Y$18:$AG$42,'Introducció dades consum'!K2720+1,0)</f>
        <v>0</v>
      </c>
      <c r="O2720" s="370" cm="1">
        <f t="array" ref="O2720">+_xlfn.SWITCH(MONTH(C2720),1,1,2,1,3,1,4,2,5,2,6,3,7,3,8,3,9,3,10,2,11,2,12,1,2)</f>
        <v>1</v>
      </c>
      <c r="P2720" s="43"/>
    </row>
    <row r="2721" spans="1:16" ht="18" x14ac:dyDescent="0.35">
      <c r="A2721" s="43"/>
      <c r="C2721" s="393"/>
      <c r="E2721" s="394"/>
      <c r="F2721" s="394">
        <v>0</v>
      </c>
      <c r="G2721" s="394"/>
      <c r="H2721" s="8" t="s">
        <v>61</v>
      </c>
      <c r="I2721" s="368">
        <f t="shared" si="127"/>
        <v>0</v>
      </c>
      <c r="J2721" s="365">
        <f t="shared" si="126"/>
        <v>0</v>
      </c>
      <c r="K2721" s="369">
        <f t="shared" si="128"/>
        <v>6</v>
      </c>
      <c r="L2721" s="369">
        <f>+IF((C2721&gt;='Resultats - informe'!$E$16)*(C2721&lt;='Resultats - informe'!$G$16),1,0)</f>
        <v>1</v>
      </c>
      <c r="M2721" s="369" cm="1">
        <f t="array" ref="M2721">+_xlfn.IFS((C2721&gt;='Resultats - informe'!$D$26)*(C2721&lt;='Resultats - informe'!$E$26),0,(C2721&gt;='Resultats - informe'!$D$27)*(C2721&lt;='Resultats - informe'!$E$27),0,(C2721&gt;='Resultats - informe'!$D$28)*(C2721&lt;='Resultats - informe'!$E$28),0,(C2721&gt;='Resultats - informe'!$D$29)*(C2721&lt;='Resultats - informe'!$E$29),0,1,1)</f>
        <v>0</v>
      </c>
      <c r="N2721" s="366">
        <f>+VLOOKUP(D2721,'Resultats - informe'!$Y$18:$AG$42,'Introducció dades consum'!K2721+1,0)</f>
        <v>0</v>
      </c>
      <c r="O2721" s="370" cm="1">
        <f t="array" ref="O2721">+_xlfn.SWITCH(MONTH(C2721),1,1,2,1,3,1,4,2,5,2,6,3,7,3,8,3,9,3,10,2,11,2,12,1,2)</f>
        <v>1</v>
      </c>
      <c r="P2721" s="43"/>
    </row>
    <row r="2722" spans="1:16" ht="18" x14ac:dyDescent="0.35">
      <c r="A2722" s="43"/>
      <c r="C2722" s="393"/>
      <c r="E2722" s="394"/>
      <c r="F2722" s="394">
        <v>0.69299999999999995</v>
      </c>
      <c r="G2722" s="394"/>
      <c r="H2722" s="8" t="s">
        <v>235</v>
      </c>
      <c r="I2722" s="368">
        <f t="shared" si="127"/>
        <v>0</v>
      </c>
      <c r="J2722" s="365">
        <f t="shared" si="126"/>
        <v>0</v>
      </c>
      <c r="K2722" s="369">
        <f t="shared" si="128"/>
        <v>6</v>
      </c>
      <c r="L2722" s="369">
        <f>+IF((C2722&gt;='Resultats - informe'!$E$16)*(C2722&lt;='Resultats - informe'!$G$16),1,0)</f>
        <v>1</v>
      </c>
      <c r="M2722" s="369" cm="1">
        <f t="array" ref="M2722">+_xlfn.IFS((C2722&gt;='Resultats - informe'!$D$26)*(C2722&lt;='Resultats - informe'!$E$26),0,(C2722&gt;='Resultats - informe'!$D$27)*(C2722&lt;='Resultats - informe'!$E$27),0,(C2722&gt;='Resultats - informe'!$D$28)*(C2722&lt;='Resultats - informe'!$E$28),0,(C2722&gt;='Resultats - informe'!$D$29)*(C2722&lt;='Resultats - informe'!$E$29),0,1,1)</f>
        <v>0</v>
      </c>
      <c r="N2722" s="366">
        <f>+VLOOKUP(D2722,'Resultats - informe'!$Y$18:$AG$42,'Introducció dades consum'!K2722+1,0)</f>
        <v>0</v>
      </c>
      <c r="O2722" s="370" cm="1">
        <f t="array" ref="O2722">+_xlfn.SWITCH(MONTH(C2722),1,1,2,1,3,1,4,2,5,2,6,3,7,3,8,3,9,3,10,2,11,2,12,1,2)</f>
        <v>1</v>
      </c>
      <c r="P2722" s="43"/>
    </row>
    <row r="2723" spans="1:16" ht="18" x14ac:dyDescent="0.35">
      <c r="A2723" s="43"/>
      <c r="C2723" s="393"/>
      <c r="E2723" s="394"/>
      <c r="F2723" s="394">
        <v>1.534</v>
      </c>
      <c r="G2723" s="394"/>
      <c r="H2723" s="8" t="s">
        <v>235</v>
      </c>
      <c r="I2723" s="368">
        <f t="shared" si="127"/>
        <v>0</v>
      </c>
      <c r="J2723" s="365">
        <f t="shared" si="126"/>
        <v>0</v>
      </c>
      <c r="K2723" s="369">
        <f t="shared" si="128"/>
        <v>6</v>
      </c>
      <c r="L2723" s="369">
        <f>+IF((C2723&gt;='Resultats - informe'!$E$16)*(C2723&lt;='Resultats - informe'!$G$16),1,0)</f>
        <v>1</v>
      </c>
      <c r="M2723" s="369" cm="1">
        <f t="array" ref="M2723">+_xlfn.IFS((C2723&gt;='Resultats - informe'!$D$26)*(C2723&lt;='Resultats - informe'!$E$26),0,(C2723&gt;='Resultats - informe'!$D$27)*(C2723&lt;='Resultats - informe'!$E$27),0,(C2723&gt;='Resultats - informe'!$D$28)*(C2723&lt;='Resultats - informe'!$E$28),0,(C2723&gt;='Resultats - informe'!$D$29)*(C2723&lt;='Resultats - informe'!$E$29),0,1,1)</f>
        <v>0</v>
      </c>
      <c r="N2723" s="366">
        <f>+VLOOKUP(D2723,'Resultats - informe'!$Y$18:$AG$42,'Introducció dades consum'!K2723+1,0)</f>
        <v>0</v>
      </c>
      <c r="O2723" s="370" cm="1">
        <f t="array" ref="O2723">+_xlfn.SWITCH(MONTH(C2723),1,1,2,1,3,1,4,2,5,2,6,3,7,3,8,3,9,3,10,2,11,2,12,1,2)</f>
        <v>1</v>
      </c>
      <c r="P2723" s="43"/>
    </row>
    <row r="2724" spans="1:16" ht="18" x14ac:dyDescent="0.35">
      <c r="A2724" s="43"/>
      <c r="C2724" s="393"/>
      <c r="E2724" s="394"/>
      <c r="F2724" s="394">
        <v>1.177</v>
      </c>
      <c r="G2724" s="394"/>
      <c r="H2724" s="8" t="s">
        <v>235</v>
      </c>
      <c r="I2724" s="368">
        <f t="shared" si="127"/>
        <v>0</v>
      </c>
      <c r="J2724" s="365">
        <f t="shared" si="126"/>
        <v>0</v>
      </c>
      <c r="K2724" s="369">
        <f t="shared" si="128"/>
        <v>6</v>
      </c>
      <c r="L2724" s="369">
        <f>+IF((C2724&gt;='Resultats - informe'!$E$16)*(C2724&lt;='Resultats - informe'!$G$16),1,0)</f>
        <v>1</v>
      </c>
      <c r="M2724" s="369" cm="1">
        <f t="array" ref="M2724">+_xlfn.IFS((C2724&gt;='Resultats - informe'!$D$26)*(C2724&lt;='Resultats - informe'!$E$26),0,(C2724&gt;='Resultats - informe'!$D$27)*(C2724&lt;='Resultats - informe'!$E$27),0,(C2724&gt;='Resultats - informe'!$D$28)*(C2724&lt;='Resultats - informe'!$E$28),0,(C2724&gt;='Resultats - informe'!$D$29)*(C2724&lt;='Resultats - informe'!$E$29),0,1,1)</f>
        <v>0</v>
      </c>
      <c r="N2724" s="366">
        <f>+VLOOKUP(D2724,'Resultats - informe'!$Y$18:$AG$42,'Introducció dades consum'!K2724+1,0)</f>
        <v>0</v>
      </c>
      <c r="O2724" s="370" cm="1">
        <f t="array" ref="O2724">+_xlfn.SWITCH(MONTH(C2724),1,1,2,1,3,1,4,2,5,2,6,3,7,3,8,3,9,3,10,2,11,2,12,1,2)</f>
        <v>1</v>
      </c>
      <c r="P2724" s="43"/>
    </row>
    <row r="2725" spans="1:16" ht="18" x14ac:dyDescent="0.35">
      <c r="A2725" s="43"/>
      <c r="C2725" s="393"/>
      <c r="E2725" s="394"/>
      <c r="F2725" s="394">
        <v>1.9950000000000001</v>
      </c>
      <c r="G2725" s="394"/>
      <c r="H2725" s="8" t="s">
        <v>235</v>
      </c>
      <c r="I2725" s="368">
        <f t="shared" si="127"/>
        <v>0</v>
      </c>
      <c r="J2725" s="365">
        <f t="shared" si="126"/>
        <v>0</v>
      </c>
      <c r="K2725" s="369">
        <f t="shared" si="128"/>
        <v>6</v>
      </c>
      <c r="L2725" s="369">
        <f>+IF((C2725&gt;='Resultats - informe'!$E$16)*(C2725&lt;='Resultats - informe'!$G$16),1,0)</f>
        <v>1</v>
      </c>
      <c r="M2725" s="369" cm="1">
        <f t="array" ref="M2725">+_xlfn.IFS((C2725&gt;='Resultats - informe'!$D$26)*(C2725&lt;='Resultats - informe'!$E$26),0,(C2725&gt;='Resultats - informe'!$D$27)*(C2725&lt;='Resultats - informe'!$E$27),0,(C2725&gt;='Resultats - informe'!$D$28)*(C2725&lt;='Resultats - informe'!$E$28),0,(C2725&gt;='Resultats - informe'!$D$29)*(C2725&lt;='Resultats - informe'!$E$29),0,1,1)</f>
        <v>0</v>
      </c>
      <c r="N2725" s="366">
        <f>+VLOOKUP(D2725,'Resultats - informe'!$Y$18:$AG$42,'Introducció dades consum'!K2725+1,0)</f>
        <v>0</v>
      </c>
      <c r="O2725" s="370" cm="1">
        <f t="array" ref="O2725">+_xlfn.SWITCH(MONTH(C2725),1,1,2,1,3,1,4,2,5,2,6,3,7,3,8,3,9,3,10,2,11,2,12,1,2)</f>
        <v>1</v>
      </c>
      <c r="P2725" s="43"/>
    </row>
    <row r="2726" spans="1:16" ht="18" x14ac:dyDescent="0.35">
      <c r="A2726" s="43"/>
      <c r="C2726" s="393"/>
      <c r="E2726" s="394"/>
      <c r="F2726" s="394">
        <v>1.738</v>
      </c>
      <c r="G2726" s="394"/>
      <c r="H2726" s="8" t="s">
        <v>61</v>
      </c>
      <c r="I2726" s="368">
        <f t="shared" si="127"/>
        <v>0</v>
      </c>
      <c r="J2726" s="365">
        <f t="shared" si="126"/>
        <v>0</v>
      </c>
      <c r="K2726" s="369">
        <f t="shared" si="128"/>
        <v>6</v>
      </c>
      <c r="L2726" s="369">
        <f>+IF((C2726&gt;='Resultats - informe'!$E$16)*(C2726&lt;='Resultats - informe'!$G$16),1,0)</f>
        <v>1</v>
      </c>
      <c r="M2726" s="369" cm="1">
        <f t="array" ref="M2726">+_xlfn.IFS((C2726&gt;='Resultats - informe'!$D$26)*(C2726&lt;='Resultats - informe'!$E$26),0,(C2726&gt;='Resultats - informe'!$D$27)*(C2726&lt;='Resultats - informe'!$E$27),0,(C2726&gt;='Resultats - informe'!$D$28)*(C2726&lt;='Resultats - informe'!$E$28),0,(C2726&gt;='Resultats - informe'!$D$29)*(C2726&lt;='Resultats - informe'!$E$29),0,1,1)</f>
        <v>0</v>
      </c>
      <c r="N2726" s="366">
        <f>+VLOOKUP(D2726,'Resultats - informe'!$Y$18:$AG$42,'Introducció dades consum'!K2726+1,0)</f>
        <v>0</v>
      </c>
      <c r="O2726" s="370" cm="1">
        <f t="array" ref="O2726">+_xlfn.SWITCH(MONTH(C2726),1,1,2,1,3,1,4,2,5,2,6,3,7,3,8,3,9,3,10,2,11,2,12,1,2)</f>
        <v>1</v>
      </c>
      <c r="P2726" s="43"/>
    </row>
    <row r="2727" spans="1:16" ht="18" x14ac:dyDescent="0.35">
      <c r="A2727" s="43"/>
      <c r="C2727" s="393"/>
      <c r="E2727" s="394"/>
      <c r="F2727" s="394">
        <v>3.7160000000000002</v>
      </c>
      <c r="G2727" s="394"/>
      <c r="H2727" s="8" t="s">
        <v>61</v>
      </c>
      <c r="I2727" s="368">
        <f t="shared" si="127"/>
        <v>0</v>
      </c>
      <c r="J2727" s="365">
        <f t="shared" si="126"/>
        <v>0</v>
      </c>
      <c r="K2727" s="369">
        <f t="shared" si="128"/>
        <v>6</v>
      </c>
      <c r="L2727" s="369">
        <f>+IF((C2727&gt;='Resultats - informe'!$E$16)*(C2727&lt;='Resultats - informe'!$G$16),1,0)</f>
        <v>1</v>
      </c>
      <c r="M2727" s="369" cm="1">
        <f t="array" ref="M2727">+_xlfn.IFS((C2727&gt;='Resultats - informe'!$D$26)*(C2727&lt;='Resultats - informe'!$E$26),0,(C2727&gt;='Resultats - informe'!$D$27)*(C2727&lt;='Resultats - informe'!$E$27),0,(C2727&gt;='Resultats - informe'!$D$28)*(C2727&lt;='Resultats - informe'!$E$28),0,(C2727&gt;='Resultats - informe'!$D$29)*(C2727&lt;='Resultats - informe'!$E$29),0,1,1)</f>
        <v>0</v>
      </c>
      <c r="N2727" s="366">
        <f>+VLOOKUP(D2727,'Resultats - informe'!$Y$18:$AG$42,'Introducció dades consum'!K2727+1,0)</f>
        <v>0</v>
      </c>
      <c r="O2727" s="370" cm="1">
        <f t="array" ref="O2727">+_xlfn.SWITCH(MONTH(C2727),1,1,2,1,3,1,4,2,5,2,6,3,7,3,8,3,9,3,10,2,11,2,12,1,2)</f>
        <v>1</v>
      </c>
      <c r="P2727" s="43"/>
    </row>
    <row r="2728" spans="1:16" ht="18" x14ac:dyDescent="0.35">
      <c r="A2728" s="43"/>
      <c r="C2728" s="393"/>
      <c r="E2728" s="394"/>
      <c r="F2728" s="394">
        <v>4.5330000000000004</v>
      </c>
      <c r="G2728" s="394"/>
      <c r="H2728" s="8" t="s">
        <v>61</v>
      </c>
      <c r="I2728" s="368">
        <f t="shared" si="127"/>
        <v>0</v>
      </c>
      <c r="J2728" s="365">
        <f t="shared" si="126"/>
        <v>0</v>
      </c>
      <c r="K2728" s="369">
        <f t="shared" si="128"/>
        <v>6</v>
      </c>
      <c r="L2728" s="369">
        <f>+IF((C2728&gt;='Resultats - informe'!$E$16)*(C2728&lt;='Resultats - informe'!$G$16),1,0)</f>
        <v>1</v>
      </c>
      <c r="M2728" s="369" cm="1">
        <f t="array" ref="M2728">+_xlfn.IFS((C2728&gt;='Resultats - informe'!$D$26)*(C2728&lt;='Resultats - informe'!$E$26),0,(C2728&gt;='Resultats - informe'!$D$27)*(C2728&lt;='Resultats - informe'!$E$27),0,(C2728&gt;='Resultats - informe'!$D$28)*(C2728&lt;='Resultats - informe'!$E$28),0,(C2728&gt;='Resultats - informe'!$D$29)*(C2728&lt;='Resultats - informe'!$E$29),0,1,1)</f>
        <v>0</v>
      </c>
      <c r="N2728" s="366">
        <f>+VLOOKUP(D2728,'Resultats - informe'!$Y$18:$AG$42,'Introducció dades consum'!K2728+1,0)</f>
        <v>0</v>
      </c>
      <c r="O2728" s="370" cm="1">
        <f t="array" ref="O2728">+_xlfn.SWITCH(MONTH(C2728),1,1,2,1,3,1,4,2,5,2,6,3,7,3,8,3,9,3,10,2,11,2,12,1,2)</f>
        <v>1</v>
      </c>
      <c r="P2728" s="43"/>
    </row>
    <row r="2729" spans="1:16" ht="18" x14ac:dyDescent="0.35">
      <c r="A2729" s="43"/>
      <c r="C2729" s="393"/>
      <c r="E2729" s="394"/>
      <c r="F2729" s="394">
        <v>5.37</v>
      </c>
      <c r="G2729" s="394"/>
      <c r="H2729" s="8" t="s">
        <v>61</v>
      </c>
      <c r="I2729" s="368">
        <f t="shared" si="127"/>
        <v>0</v>
      </c>
      <c r="J2729" s="365">
        <f t="shared" si="126"/>
        <v>0</v>
      </c>
      <c r="K2729" s="369">
        <f t="shared" si="128"/>
        <v>6</v>
      </c>
      <c r="L2729" s="369">
        <f>+IF((C2729&gt;='Resultats - informe'!$E$16)*(C2729&lt;='Resultats - informe'!$G$16),1,0)</f>
        <v>1</v>
      </c>
      <c r="M2729" s="369" cm="1">
        <f t="array" ref="M2729">+_xlfn.IFS((C2729&gt;='Resultats - informe'!$D$26)*(C2729&lt;='Resultats - informe'!$E$26),0,(C2729&gt;='Resultats - informe'!$D$27)*(C2729&lt;='Resultats - informe'!$E$27),0,(C2729&gt;='Resultats - informe'!$D$28)*(C2729&lt;='Resultats - informe'!$E$28),0,(C2729&gt;='Resultats - informe'!$D$29)*(C2729&lt;='Resultats - informe'!$E$29),0,1,1)</f>
        <v>0</v>
      </c>
      <c r="N2729" s="366">
        <f>+VLOOKUP(D2729,'Resultats - informe'!$Y$18:$AG$42,'Introducció dades consum'!K2729+1,0)</f>
        <v>0</v>
      </c>
      <c r="O2729" s="370" cm="1">
        <f t="array" ref="O2729">+_xlfn.SWITCH(MONTH(C2729),1,1,2,1,3,1,4,2,5,2,6,3,7,3,8,3,9,3,10,2,11,2,12,1,2)</f>
        <v>1</v>
      </c>
      <c r="P2729" s="43"/>
    </row>
    <row r="2730" spans="1:16" ht="18" x14ac:dyDescent="0.35">
      <c r="A2730" s="43"/>
      <c r="C2730" s="393"/>
      <c r="E2730" s="394"/>
      <c r="F2730" s="394">
        <v>3.0470000000000002</v>
      </c>
      <c r="G2730" s="394"/>
      <c r="H2730" s="8" t="s">
        <v>235</v>
      </c>
      <c r="I2730" s="368">
        <f t="shared" si="127"/>
        <v>0</v>
      </c>
      <c r="J2730" s="365">
        <f t="shared" si="126"/>
        <v>0</v>
      </c>
      <c r="K2730" s="369">
        <f t="shared" si="128"/>
        <v>6</v>
      </c>
      <c r="L2730" s="369">
        <f>+IF((C2730&gt;='Resultats - informe'!$E$16)*(C2730&lt;='Resultats - informe'!$G$16),1,0)</f>
        <v>1</v>
      </c>
      <c r="M2730" s="369" cm="1">
        <f t="array" ref="M2730">+_xlfn.IFS((C2730&gt;='Resultats - informe'!$D$26)*(C2730&lt;='Resultats - informe'!$E$26),0,(C2730&gt;='Resultats - informe'!$D$27)*(C2730&lt;='Resultats - informe'!$E$27),0,(C2730&gt;='Resultats - informe'!$D$28)*(C2730&lt;='Resultats - informe'!$E$28),0,(C2730&gt;='Resultats - informe'!$D$29)*(C2730&lt;='Resultats - informe'!$E$29),0,1,1)</f>
        <v>0</v>
      </c>
      <c r="N2730" s="366">
        <f>+VLOOKUP(D2730,'Resultats - informe'!$Y$18:$AG$42,'Introducció dades consum'!K2730+1,0)</f>
        <v>0</v>
      </c>
      <c r="O2730" s="370" cm="1">
        <f t="array" ref="O2730">+_xlfn.SWITCH(MONTH(C2730),1,1,2,1,3,1,4,2,5,2,6,3,7,3,8,3,9,3,10,2,11,2,12,1,2)</f>
        <v>1</v>
      </c>
      <c r="P2730" s="43"/>
    </row>
    <row r="2731" spans="1:16" ht="18" x14ac:dyDescent="0.35">
      <c r="A2731" s="43"/>
      <c r="C2731" s="393"/>
      <c r="E2731" s="394"/>
      <c r="F2731" s="394">
        <v>2.4460000000000002</v>
      </c>
      <c r="G2731" s="394"/>
      <c r="H2731" s="8" t="s">
        <v>235</v>
      </c>
      <c r="I2731" s="368">
        <f t="shared" si="127"/>
        <v>0</v>
      </c>
      <c r="J2731" s="365">
        <f t="shared" si="126"/>
        <v>0</v>
      </c>
      <c r="K2731" s="369">
        <f t="shared" si="128"/>
        <v>6</v>
      </c>
      <c r="L2731" s="369">
        <f>+IF((C2731&gt;='Resultats - informe'!$E$16)*(C2731&lt;='Resultats - informe'!$G$16),1,0)</f>
        <v>1</v>
      </c>
      <c r="M2731" s="369" cm="1">
        <f t="array" ref="M2731">+_xlfn.IFS((C2731&gt;='Resultats - informe'!$D$26)*(C2731&lt;='Resultats - informe'!$E$26),0,(C2731&gt;='Resultats - informe'!$D$27)*(C2731&lt;='Resultats - informe'!$E$27),0,(C2731&gt;='Resultats - informe'!$D$28)*(C2731&lt;='Resultats - informe'!$E$28),0,(C2731&gt;='Resultats - informe'!$D$29)*(C2731&lt;='Resultats - informe'!$E$29),0,1,1)</f>
        <v>0</v>
      </c>
      <c r="N2731" s="366">
        <f>+VLOOKUP(D2731,'Resultats - informe'!$Y$18:$AG$42,'Introducció dades consum'!K2731+1,0)</f>
        <v>0</v>
      </c>
      <c r="O2731" s="370" cm="1">
        <f t="array" ref="O2731">+_xlfn.SWITCH(MONTH(C2731),1,1,2,1,3,1,4,2,5,2,6,3,7,3,8,3,9,3,10,2,11,2,12,1,2)</f>
        <v>1</v>
      </c>
      <c r="P2731" s="43"/>
    </row>
    <row r="2732" spans="1:16" ht="18" x14ac:dyDescent="0.35">
      <c r="A2732" s="43"/>
      <c r="C2732" s="393"/>
      <c r="E2732" s="394"/>
      <c r="F2732" s="394">
        <v>1.175</v>
      </c>
      <c r="G2732" s="394"/>
      <c r="H2732" s="8" t="s">
        <v>235</v>
      </c>
      <c r="I2732" s="368">
        <f t="shared" si="127"/>
        <v>0</v>
      </c>
      <c r="J2732" s="365">
        <f t="shared" si="126"/>
        <v>0</v>
      </c>
      <c r="K2732" s="369">
        <f t="shared" si="128"/>
        <v>6</v>
      </c>
      <c r="L2732" s="369">
        <f>+IF((C2732&gt;='Resultats - informe'!$E$16)*(C2732&lt;='Resultats - informe'!$G$16),1,0)</f>
        <v>1</v>
      </c>
      <c r="M2732" s="369" cm="1">
        <f t="array" ref="M2732">+_xlfn.IFS((C2732&gt;='Resultats - informe'!$D$26)*(C2732&lt;='Resultats - informe'!$E$26),0,(C2732&gt;='Resultats - informe'!$D$27)*(C2732&lt;='Resultats - informe'!$E$27),0,(C2732&gt;='Resultats - informe'!$D$28)*(C2732&lt;='Resultats - informe'!$E$28),0,(C2732&gt;='Resultats - informe'!$D$29)*(C2732&lt;='Resultats - informe'!$E$29),0,1,1)</f>
        <v>0</v>
      </c>
      <c r="N2732" s="366">
        <f>+VLOOKUP(D2732,'Resultats - informe'!$Y$18:$AG$42,'Introducció dades consum'!K2732+1,0)</f>
        <v>0</v>
      </c>
      <c r="O2732" s="370" cm="1">
        <f t="array" ref="O2732">+_xlfn.SWITCH(MONTH(C2732),1,1,2,1,3,1,4,2,5,2,6,3,7,3,8,3,9,3,10,2,11,2,12,1,2)</f>
        <v>1</v>
      </c>
      <c r="P2732" s="43"/>
    </row>
    <row r="2733" spans="1:16" ht="18" x14ac:dyDescent="0.35">
      <c r="A2733" s="43"/>
      <c r="C2733" s="393"/>
      <c r="E2733" s="394"/>
      <c r="F2733" s="394">
        <v>3.6909999999999998</v>
      </c>
      <c r="G2733" s="394"/>
      <c r="H2733" s="8" t="s">
        <v>61</v>
      </c>
      <c r="I2733" s="368">
        <f t="shared" si="127"/>
        <v>0</v>
      </c>
      <c r="J2733" s="365">
        <f t="shared" si="126"/>
        <v>0</v>
      </c>
      <c r="K2733" s="369">
        <f t="shared" si="128"/>
        <v>6</v>
      </c>
      <c r="L2733" s="369">
        <f>+IF((C2733&gt;='Resultats - informe'!$E$16)*(C2733&lt;='Resultats - informe'!$G$16),1,0)</f>
        <v>1</v>
      </c>
      <c r="M2733" s="369" cm="1">
        <f t="array" ref="M2733">+_xlfn.IFS((C2733&gt;='Resultats - informe'!$D$26)*(C2733&lt;='Resultats - informe'!$E$26),0,(C2733&gt;='Resultats - informe'!$D$27)*(C2733&lt;='Resultats - informe'!$E$27),0,(C2733&gt;='Resultats - informe'!$D$28)*(C2733&lt;='Resultats - informe'!$E$28),0,(C2733&gt;='Resultats - informe'!$D$29)*(C2733&lt;='Resultats - informe'!$E$29),0,1,1)</f>
        <v>0</v>
      </c>
      <c r="N2733" s="366">
        <f>+VLOOKUP(D2733,'Resultats - informe'!$Y$18:$AG$42,'Introducció dades consum'!K2733+1,0)</f>
        <v>0</v>
      </c>
      <c r="O2733" s="370" cm="1">
        <f t="array" ref="O2733">+_xlfn.SWITCH(MONTH(C2733),1,1,2,1,3,1,4,2,5,2,6,3,7,3,8,3,9,3,10,2,11,2,12,1,2)</f>
        <v>1</v>
      </c>
      <c r="P2733" s="43"/>
    </row>
    <row r="2734" spans="1:16" ht="18" x14ac:dyDescent="0.35">
      <c r="A2734" s="43"/>
      <c r="C2734" s="393"/>
      <c r="E2734" s="394"/>
      <c r="F2734" s="394">
        <v>0</v>
      </c>
      <c r="G2734" s="394"/>
      <c r="H2734" s="8" t="s">
        <v>235</v>
      </c>
      <c r="I2734" s="368">
        <f t="shared" si="127"/>
        <v>0</v>
      </c>
      <c r="J2734" s="365">
        <f t="shared" si="126"/>
        <v>0</v>
      </c>
      <c r="K2734" s="369">
        <f t="shared" si="128"/>
        <v>6</v>
      </c>
      <c r="L2734" s="369">
        <f>+IF((C2734&gt;='Resultats - informe'!$E$16)*(C2734&lt;='Resultats - informe'!$G$16),1,0)</f>
        <v>1</v>
      </c>
      <c r="M2734" s="369" cm="1">
        <f t="array" ref="M2734">+_xlfn.IFS((C2734&gt;='Resultats - informe'!$D$26)*(C2734&lt;='Resultats - informe'!$E$26),0,(C2734&gt;='Resultats - informe'!$D$27)*(C2734&lt;='Resultats - informe'!$E$27),0,(C2734&gt;='Resultats - informe'!$D$28)*(C2734&lt;='Resultats - informe'!$E$28),0,(C2734&gt;='Resultats - informe'!$D$29)*(C2734&lt;='Resultats - informe'!$E$29),0,1,1)</f>
        <v>0</v>
      </c>
      <c r="N2734" s="366">
        <f>+VLOOKUP(D2734,'Resultats - informe'!$Y$18:$AG$42,'Introducció dades consum'!K2734+1,0)</f>
        <v>0</v>
      </c>
      <c r="O2734" s="370" cm="1">
        <f t="array" ref="O2734">+_xlfn.SWITCH(MONTH(C2734),1,1,2,1,3,1,4,2,5,2,6,3,7,3,8,3,9,3,10,2,11,2,12,1,2)</f>
        <v>1</v>
      </c>
      <c r="P2734" s="43"/>
    </row>
    <row r="2735" spans="1:16" ht="18" x14ac:dyDescent="0.35">
      <c r="A2735" s="43"/>
      <c r="C2735" s="393"/>
      <c r="E2735" s="394"/>
      <c r="F2735" s="394">
        <v>0</v>
      </c>
      <c r="G2735" s="394"/>
      <c r="H2735" s="8" t="s">
        <v>235</v>
      </c>
      <c r="I2735" s="368">
        <f t="shared" si="127"/>
        <v>0</v>
      </c>
      <c r="J2735" s="365">
        <f t="shared" si="126"/>
        <v>0</v>
      </c>
      <c r="K2735" s="369">
        <f t="shared" si="128"/>
        <v>6</v>
      </c>
      <c r="L2735" s="369">
        <f>+IF((C2735&gt;='Resultats - informe'!$E$16)*(C2735&lt;='Resultats - informe'!$G$16),1,0)</f>
        <v>1</v>
      </c>
      <c r="M2735" s="369" cm="1">
        <f t="array" ref="M2735">+_xlfn.IFS((C2735&gt;='Resultats - informe'!$D$26)*(C2735&lt;='Resultats - informe'!$E$26),0,(C2735&gt;='Resultats - informe'!$D$27)*(C2735&lt;='Resultats - informe'!$E$27),0,(C2735&gt;='Resultats - informe'!$D$28)*(C2735&lt;='Resultats - informe'!$E$28),0,(C2735&gt;='Resultats - informe'!$D$29)*(C2735&lt;='Resultats - informe'!$E$29),0,1,1)</f>
        <v>0</v>
      </c>
      <c r="N2735" s="366">
        <f>+VLOOKUP(D2735,'Resultats - informe'!$Y$18:$AG$42,'Introducció dades consum'!K2735+1,0)</f>
        <v>0</v>
      </c>
      <c r="O2735" s="370" cm="1">
        <f t="array" ref="O2735">+_xlfn.SWITCH(MONTH(C2735),1,1,2,1,3,1,4,2,5,2,6,3,7,3,8,3,9,3,10,2,11,2,12,1,2)</f>
        <v>1</v>
      </c>
      <c r="P2735" s="43"/>
    </row>
    <row r="2736" spans="1:16" ht="18" x14ac:dyDescent="0.35">
      <c r="A2736" s="43"/>
      <c r="C2736" s="393"/>
      <c r="E2736" s="394"/>
      <c r="F2736" s="394">
        <v>0</v>
      </c>
      <c r="G2736" s="394"/>
      <c r="H2736" s="8" t="s">
        <v>61</v>
      </c>
      <c r="I2736" s="368">
        <f t="shared" si="127"/>
        <v>0</v>
      </c>
      <c r="J2736" s="365">
        <f t="shared" si="126"/>
        <v>0</v>
      </c>
      <c r="K2736" s="369">
        <f t="shared" si="128"/>
        <v>6</v>
      </c>
      <c r="L2736" s="369">
        <f>+IF((C2736&gt;='Resultats - informe'!$E$16)*(C2736&lt;='Resultats - informe'!$G$16),1,0)</f>
        <v>1</v>
      </c>
      <c r="M2736" s="369" cm="1">
        <f t="array" ref="M2736">+_xlfn.IFS((C2736&gt;='Resultats - informe'!$D$26)*(C2736&lt;='Resultats - informe'!$E$26),0,(C2736&gt;='Resultats - informe'!$D$27)*(C2736&lt;='Resultats - informe'!$E$27),0,(C2736&gt;='Resultats - informe'!$D$28)*(C2736&lt;='Resultats - informe'!$E$28),0,(C2736&gt;='Resultats - informe'!$D$29)*(C2736&lt;='Resultats - informe'!$E$29),0,1,1)</f>
        <v>0</v>
      </c>
      <c r="N2736" s="366">
        <f>+VLOOKUP(D2736,'Resultats - informe'!$Y$18:$AG$42,'Introducció dades consum'!K2736+1,0)</f>
        <v>0</v>
      </c>
      <c r="O2736" s="370" cm="1">
        <f t="array" ref="O2736">+_xlfn.SWITCH(MONTH(C2736),1,1,2,1,3,1,4,2,5,2,6,3,7,3,8,3,9,3,10,2,11,2,12,1,2)</f>
        <v>1</v>
      </c>
      <c r="P2736" s="43"/>
    </row>
    <row r="2737" spans="1:16" ht="18" x14ac:dyDescent="0.35">
      <c r="A2737" s="43"/>
      <c r="C2737" s="393"/>
      <c r="E2737" s="394"/>
      <c r="F2737" s="394">
        <v>0</v>
      </c>
      <c r="G2737" s="394"/>
      <c r="H2737" s="8" t="s">
        <v>235</v>
      </c>
      <c r="I2737" s="368">
        <f t="shared" si="127"/>
        <v>0</v>
      </c>
      <c r="J2737" s="365">
        <f t="shared" si="126"/>
        <v>0</v>
      </c>
      <c r="K2737" s="369">
        <f t="shared" si="128"/>
        <v>6</v>
      </c>
      <c r="L2737" s="369">
        <f>+IF((C2737&gt;='Resultats - informe'!$E$16)*(C2737&lt;='Resultats - informe'!$G$16),1,0)</f>
        <v>1</v>
      </c>
      <c r="M2737" s="369" cm="1">
        <f t="array" ref="M2737">+_xlfn.IFS((C2737&gt;='Resultats - informe'!$D$26)*(C2737&lt;='Resultats - informe'!$E$26),0,(C2737&gt;='Resultats - informe'!$D$27)*(C2737&lt;='Resultats - informe'!$E$27),0,(C2737&gt;='Resultats - informe'!$D$28)*(C2737&lt;='Resultats - informe'!$E$28),0,(C2737&gt;='Resultats - informe'!$D$29)*(C2737&lt;='Resultats - informe'!$E$29),0,1,1)</f>
        <v>0</v>
      </c>
      <c r="N2737" s="366">
        <f>+VLOOKUP(D2737,'Resultats - informe'!$Y$18:$AG$42,'Introducció dades consum'!K2737+1,0)</f>
        <v>0</v>
      </c>
      <c r="O2737" s="370" cm="1">
        <f t="array" ref="O2737">+_xlfn.SWITCH(MONTH(C2737),1,1,2,1,3,1,4,2,5,2,6,3,7,3,8,3,9,3,10,2,11,2,12,1,2)</f>
        <v>1</v>
      </c>
      <c r="P2737" s="43"/>
    </row>
    <row r="2738" spans="1:16" ht="18" x14ac:dyDescent="0.35">
      <c r="A2738" s="43"/>
      <c r="C2738" s="393"/>
      <c r="E2738" s="394"/>
      <c r="F2738" s="394">
        <v>0</v>
      </c>
      <c r="G2738" s="394"/>
      <c r="H2738" s="8" t="s">
        <v>235</v>
      </c>
      <c r="I2738" s="368">
        <f t="shared" si="127"/>
        <v>0</v>
      </c>
      <c r="J2738" s="365">
        <f t="shared" si="126"/>
        <v>0</v>
      </c>
      <c r="K2738" s="369">
        <f t="shared" si="128"/>
        <v>6</v>
      </c>
      <c r="L2738" s="369">
        <f>+IF((C2738&gt;='Resultats - informe'!$E$16)*(C2738&lt;='Resultats - informe'!$G$16),1,0)</f>
        <v>1</v>
      </c>
      <c r="M2738" s="369" cm="1">
        <f t="array" ref="M2738">+_xlfn.IFS((C2738&gt;='Resultats - informe'!$D$26)*(C2738&lt;='Resultats - informe'!$E$26),0,(C2738&gt;='Resultats - informe'!$D$27)*(C2738&lt;='Resultats - informe'!$E$27),0,(C2738&gt;='Resultats - informe'!$D$28)*(C2738&lt;='Resultats - informe'!$E$28),0,(C2738&gt;='Resultats - informe'!$D$29)*(C2738&lt;='Resultats - informe'!$E$29),0,1,1)</f>
        <v>0</v>
      </c>
      <c r="N2738" s="366">
        <f>+VLOOKUP(D2738,'Resultats - informe'!$Y$18:$AG$42,'Introducció dades consum'!K2738+1,0)</f>
        <v>0</v>
      </c>
      <c r="O2738" s="370" cm="1">
        <f t="array" ref="O2738">+_xlfn.SWITCH(MONTH(C2738),1,1,2,1,3,1,4,2,5,2,6,3,7,3,8,3,9,3,10,2,11,2,12,1,2)</f>
        <v>1</v>
      </c>
      <c r="P2738" s="43"/>
    </row>
    <row r="2739" spans="1:16" ht="18" x14ac:dyDescent="0.35">
      <c r="A2739" s="43"/>
      <c r="C2739" s="393"/>
      <c r="E2739" s="394"/>
      <c r="F2739" s="394">
        <v>0</v>
      </c>
      <c r="G2739" s="394"/>
      <c r="H2739" s="8" t="s">
        <v>235</v>
      </c>
      <c r="I2739" s="368">
        <f t="shared" si="127"/>
        <v>0</v>
      </c>
      <c r="J2739" s="365">
        <f t="shared" si="126"/>
        <v>0</v>
      </c>
      <c r="K2739" s="369">
        <f t="shared" si="128"/>
        <v>6</v>
      </c>
      <c r="L2739" s="369">
        <f>+IF((C2739&gt;='Resultats - informe'!$E$16)*(C2739&lt;='Resultats - informe'!$G$16),1,0)</f>
        <v>1</v>
      </c>
      <c r="M2739" s="369" cm="1">
        <f t="array" ref="M2739">+_xlfn.IFS((C2739&gt;='Resultats - informe'!$D$26)*(C2739&lt;='Resultats - informe'!$E$26),0,(C2739&gt;='Resultats - informe'!$D$27)*(C2739&lt;='Resultats - informe'!$E$27),0,(C2739&gt;='Resultats - informe'!$D$28)*(C2739&lt;='Resultats - informe'!$E$28),0,(C2739&gt;='Resultats - informe'!$D$29)*(C2739&lt;='Resultats - informe'!$E$29),0,1,1)</f>
        <v>0</v>
      </c>
      <c r="N2739" s="366">
        <f>+VLOOKUP(D2739,'Resultats - informe'!$Y$18:$AG$42,'Introducció dades consum'!K2739+1,0)</f>
        <v>0</v>
      </c>
      <c r="O2739" s="370" cm="1">
        <f t="array" ref="O2739">+_xlfn.SWITCH(MONTH(C2739),1,1,2,1,3,1,4,2,5,2,6,3,7,3,8,3,9,3,10,2,11,2,12,1,2)</f>
        <v>1</v>
      </c>
      <c r="P2739" s="43"/>
    </row>
    <row r="2740" spans="1:16" ht="18" x14ac:dyDescent="0.35">
      <c r="A2740" s="43"/>
      <c r="C2740" s="393"/>
      <c r="E2740" s="394"/>
      <c r="F2740" s="394">
        <v>0</v>
      </c>
      <c r="G2740" s="394"/>
      <c r="H2740" s="8" t="s">
        <v>235</v>
      </c>
      <c r="I2740" s="368">
        <f t="shared" si="127"/>
        <v>0</v>
      </c>
      <c r="J2740" s="365">
        <f t="shared" si="126"/>
        <v>0</v>
      </c>
      <c r="K2740" s="369">
        <f t="shared" si="128"/>
        <v>6</v>
      </c>
      <c r="L2740" s="369">
        <f>+IF((C2740&gt;='Resultats - informe'!$E$16)*(C2740&lt;='Resultats - informe'!$G$16),1,0)</f>
        <v>1</v>
      </c>
      <c r="M2740" s="369" cm="1">
        <f t="array" ref="M2740">+_xlfn.IFS((C2740&gt;='Resultats - informe'!$D$26)*(C2740&lt;='Resultats - informe'!$E$26),0,(C2740&gt;='Resultats - informe'!$D$27)*(C2740&lt;='Resultats - informe'!$E$27),0,(C2740&gt;='Resultats - informe'!$D$28)*(C2740&lt;='Resultats - informe'!$E$28),0,(C2740&gt;='Resultats - informe'!$D$29)*(C2740&lt;='Resultats - informe'!$E$29),0,1,1)</f>
        <v>0</v>
      </c>
      <c r="N2740" s="366">
        <f>+VLOOKUP(D2740,'Resultats - informe'!$Y$18:$AG$42,'Introducció dades consum'!K2740+1,0)</f>
        <v>0</v>
      </c>
      <c r="O2740" s="370" cm="1">
        <f t="array" ref="O2740">+_xlfn.SWITCH(MONTH(C2740),1,1,2,1,3,1,4,2,5,2,6,3,7,3,8,3,9,3,10,2,11,2,12,1,2)</f>
        <v>1</v>
      </c>
      <c r="P2740" s="43"/>
    </row>
    <row r="2741" spans="1:16" ht="18" x14ac:dyDescent="0.35">
      <c r="A2741" s="43"/>
      <c r="C2741" s="393"/>
      <c r="E2741" s="394"/>
      <c r="F2741" s="394">
        <v>0</v>
      </c>
      <c r="G2741" s="394"/>
      <c r="H2741" s="8" t="s">
        <v>235</v>
      </c>
      <c r="I2741" s="368">
        <f t="shared" si="127"/>
        <v>0</v>
      </c>
      <c r="J2741" s="365">
        <f t="shared" si="126"/>
        <v>0</v>
      </c>
      <c r="K2741" s="369">
        <f t="shared" si="128"/>
        <v>6</v>
      </c>
      <c r="L2741" s="369">
        <f>+IF((C2741&gt;='Resultats - informe'!$E$16)*(C2741&lt;='Resultats - informe'!$G$16),1,0)</f>
        <v>1</v>
      </c>
      <c r="M2741" s="369" cm="1">
        <f t="array" ref="M2741">+_xlfn.IFS((C2741&gt;='Resultats - informe'!$D$26)*(C2741&lt;='Resultats - informe'!$E$26),0,(C2741&gt;='Resultats - informe'!$D$27)*(C2741&lt;='Resultats - informe'!$E$27),0,(C2741&gt;='Resultats - informe'!$D$28)*(C2741&lt;='Resultats - informe'!$E$28),0,(C2741&gt;='Resultats - informe'!$D$29)*(C2741&lt;='Resultats - informe'!$E$29),0,1,1)</f>
        <v>0</v>
      </c>
      <c r="N2741" s="366">
        <f>+VLOOKUP(D2741,'Resultats - informe'!$Y$18:$AG$42,'Introducció dades consum'!K2741+1,0)</f>
        <v>0</v>
      </c>
      <c r="O2741" s="370" cm="1">
        <f t="array" ref="O2741">+_xlfn.SWITCH(MONTH(C2741),1,1,2,1,3,1,4,2,5,2,6,3,7,3,8,3,9,3,10,2,11,2,12,1,2)</f>
        <v>1</v>
      </c>
      <c r="P2741" s="43"/>
    </row>
    <row r="2742" spans="1:16" ht="18" x14ac:dyDescent="0.35">
      <c r="A2742" s="43"/>
      <c r="C2742" s="393"/>
      <c r="E2742" s="394"/>
      <c r="F2742" s="394">
        <v>0</v>
      </c>
      <c r="G2742" s="394"/>
      <c r="H2742" s="8" t="s">
        <v>235</v>
      </c>
      <c r="I2742" s="368">
        <f t="shared" si="127"/>
        <v>0</v>
      </c>
      <c r="J2742" s="365">
        <f t="shared" si="126"/>
        <v>0</v>
      </c>
      <c r="K2742" s="369">
        <f t="shared" si="128"/>
        <v>6</v>
      </c>
      <c r="L2742" s="369">
        <f>+IF((C2742&gt;='Resultats - informe'!$E$16)*(C2742&lt;='Resultats - informe'!$G$16),1,0)</f>
        <v>1</v>
      </c>
      <c r="M2742" s="369" cm="1">
        <f t="array" ref="M2742">+_xlfn.IFS((C2742&gt;='Resultats - informe'!$D$26)*(C2742&lt;='Resultats - informe'!$E$26),0,(C2742&gt;='Resultats - informe'!$D$27)*(C2742&lt;='Resultats - informe'!$E$27),0,(C2742&gt;='Resultats - informe'!$D$28)*(C2742&lt;='Resultats - informe'!$E$28),0,(C2742&gt;='Resultats - informe'!$D$29)*(C2742&lt;='Resultats - informe'!$E$29),0,1,1)</f>
        <v>0</v>
      </c>
      <c r="N2742" s="366">
        <f>+VLOOKUP(D2742,'Resultats - informe'!$Y$18:$AG$42,'Introducció dades consum'!K2742+1,0)</f>
        <v>0</v>
      </c>
      <c r="O2742" s="370" cm="1">
        <f t="array" ref="O2742">+_xlfn.SWITCH(MONTH(C2742),1,1,2,1,3,1,4,2,5,2,6,3,7,3,8,3,9,3,10,2,11,2,12,1,2)</f>
        <v>1</v>
      </c>
      <c r="P2742" s="43"/>
    </row>
    <row r="2743" spans="1:16" ht="18" x14ac:dyDescent="0.35">
      <c r="A2743" s="43"/>
      <c r="C2743" s="393"/>
      <c r="E2743" s="394"/>
      <c r="F2743" s="394">
        <v>0</v>
      </c>
      <c r="G2743" s="394"/>
      <c r="H2743" s="8" t="s">
        <v>235</v>
      </c>
      <c r="I2743" s="368">
        <f t="shared" si="127"/>
        <v>0</v>
      </c>
      <c r="J2743" s="365">
        <f t="shared" si="126"/>
        <v>0</v>
      </c>
      <c r="K2743" s="369">
        <f t="shared" si="128"/>
        <v>6</v>
      </c>
      <c r="L2743" s="369">
        <f>+IF((C2743&gt;='Resultats - informe'!$E$16)*(C2743&lt;='Resultats - informe'!$G$16),1,0)</f>
        <v>1</v>
      </c>
      <c r="M2743" s="369" cm="1">
        <f t="array" ref="M2743">+_xlfn.IFS((C2743&gt;='Resultats - informe'!$D$26)*(C2743&lt;='Resultats - informe'!$E$26),0,(C2743&gt;='Resultats - informe'!$D$27)*(C2743&lt;='Resultats - informe'!$E$27),0,(C2743&gt;='Resultats - informe'!$D$28)*(C2743&lt;='Resultats - informe'!$E$28),0,(C2743&gt;='Resultats - informe'!$D$29)*(C2743&lt;='Resultats - informe'!$E$29),0,1,1)</f>
        <v>0</v>
      </c>
      <c r="N2743" s="366">
        <f>+VLOOKUP(D2743,'Resultats - informe'!$Y$18:$AG$42,'Introducció dades consum'!K2743+1,0)</f>
        <v>0</v>
      </c>
      <c r="O2743" s="370" cm="1">
        <f t="array" ref="O2743">+_xlfn.SWITCH(MONTH(C2743),1,1,2,1,3,1,4,2,5,2,6,3,7,3,8,3,9,3,10,2,11,2,12,1,2)</f>
        <v>1</v>
      </c>
      <c r="P2743" s="43"/>
    </row>
    <row r="2744" spans="1:16" ht="18" x14ac:dyDescent="0.35">
      <c r="A2744" s="43"/>
      <c r="C2744" s="393"/>
      <c r="E2744" s="394"/>
      <c r="F2744" s="394">
        <v>0</v>
      </c>
      <c r="G2744" s="394"/>
      <c r="H2744" s="8" t="s">
        <v>61</v>
      </c>
      <c r="I2744" s="368">
        <f t="shared" si="127"/>
        <v>0</v>
      </c>
      <c r="J2744" s="365">
        <f t="shared" si="126"/>
        <v>0</v>
      </c>
      <c r="K2744" s="369">
        <f t="shared" si="128"/>
        <v>6</v>
      </c>
      <c r="L2744" s="369">
        <f>+IF((C2744&gt;='Resultats - informe'!$E$16)*(C2744&lt;='Resultats - informe'!$G$16),1,0)</f>
        <v>1</v>
      </c>
      <c r="M2744" s="369" cm="1">
        <f t="array" ref="M2744">+_xlfn.IFS((C2744&gt;='Resultats - informe'!$D$26)*(C2744&lt;='Resultats - informe'!$E$26),0,(C2744&gt;='Resultats - informe'!$D$27)*(C2744&lt;='Resultats - informe'!$E$27),0,(C2744&gt;='Resultats - informe'!$D$28)*(C2744&lt;='Resultats - informe'!$E$28),0,(C2744&gt;='Resultats - informe'!$D$29)*(C2744&lt;='Resultats - informe'!$E$29),0,1,1)</f>
        <v>0</v>
      </c>
      <c r="N2744" s="366">
        <f>+VLOOKUP(D2744,'Resultats - informe'!$Y$18:$AG$42,'Introducció dades consum'!K2744+1,0)</f>
        <v>0</v>
      </c>
      <c r="O2744" s="370" cm="1">
        <f t="array" ref="O2744">+_xlfn.SWITCH(MONTH(C2744),1,1,2,1,3,1,4,2,5,2,6,3,7,3,8,3,9,3,10,2,11,2,12,1,2)</f>
        <v>1</v>
      </c>
      <c r="P2744" s="43"/>
    </row>
    <row r="2745" spans="1:16" ht="18" x14ac:dyDescent="0.35">
      <c r="A2745" s="43"/>
      <c r="C2745" s="393"/>
      <c r="E2745" s="394"/>
      <c r="F2745" s="394">
        <v>0</v>
      </c>
      <c r="G2745" s="394"/>
      <c r="H2745" s="8" t="s">
        <v>61</v>
      </c>
      <c r="I2745" s="368">
        <f t="shared" si="127"/>
        <v>0</v>
      </c>
      <c r="J2745" s="365">
        <f t="shared" si="126"/>
        <v>0</v>
      </c>
      <c r="K2745" s="369">
        <f t="shared" si="128"/>
        <v>6</v>
      </c>
      <c r="L2745" s="369">
        <f>+IF((C2745&gt;='Resultats - informe'!$E$16)*(C2745&lt;='Resultats - informe'!$G$16),1,0)</f>
        <v>1</v>
      </c>
      <c r="M2745" s="369" cm="1">
        <f t="array" ref="M2745">+_xlfn.IFS((C2745&gt;='Resultats - informe'!$D$26)*(C2745&lt;='Resultats - informe'!$E$26),0,(C2745&gt;='Resultats - informe'!$D$27)*(C2745&lt;='Resultats - informe'!$E$27),0,(C2745&gt;='Resultats - informe'!$D$28)*(C2745&lt;='Resultats - informe'!$E$28),0,(C2745&gt;='Resultats - informe'!$D$29)*(C2745&lt;='Resultats - informe'!$E$29),0,1,1)</f>
        <v>0</v>
      </c>
      <c r="N2745" s="366">
        <f>+VLOOKUP(D2745,'Resultats - informe'!$Y$18:$AG$42,'Introducció dades consum'!K2745+1,0)</f>
        <v>0</v>
      </c>
      <c r="O2745" s="370" cm="1">
        <f t="array" ref="O2745">+_xlfn.SWITCH(MONTH(C2745),1,1,2,1,3,1,4,2,5,2,6,3,7,3,8,3,9,3,10,2,11,2,12,1,2)</f>
        <v>1</v>
      </c>
      <c r="P2745" s="43"/>
    </row>
    <row r="2746" spans="1:16" ht="18" x14ac:dyDescent="0.35">
      <c r="A2746" s="43"/>
      <c r="C2746" s="393"/>
      <c r="E2746" s="394"/>
      <c r="F2746" s="394">
        <v>0</v>
      </c>
      <c r="G2746" s="394"/>
      <c r="H2746" s="8" t="s">
        <v>61</v>
      </c>
      <c r="I2746" s="368">
        <f t="shared" si="127"/>
        <v>0</v>
      </c>
      <c r="J2746" s="365">
        <f t="shared" si="126"/>
        <v>0</v>
      </c>
      <c r="K2746" s="369">
        <f t="shared" si="128"/>
        <v>6</v>
      </c>
      <c r="L2746" s="369">
        <f>+IF((C2746&gt;='Resultats - informe'!$E$16)*(C2746&lt;='Resultats - informe'!$G$16),1,0)</f>
        <v>1</v>
      </c>
      <c r="M2746" s="369" cm="1">
        <f t="array" ref="M2746">+_xlfn.IFS((C2746&gt;='Resultats - informe'!$D$26)*(C2746&lt;='Resultats - informe'!$E$26),0,(C2746&gt;='Resultats - informe'!$D$27)*(C2746&lt;='Resultats - informe'!$E$27),0,(C2746&gt;='Resultats - informe'!$D$28)*(C2746&lt;='Resultats - informe'!$E$28),0,(C2746&gt;='Resultats - informe'!$D$29)*(C2746&lt;='Resultats - informe'!$E$29),0,1,1)</f>
        <v>0</v>
      </c>
      <c r="N2746" s="366">
        <f>+VLOOKUP(D2746,'Resultats - informe'!$Y$18:$AG$42,'Introducció dades consum'!K2746+1,0)</f>
        <v>0</v>
      </c>
      <c r="O2746" s="370" cm="1">
        <f t="array" ref="O2746">+_xlfn.SWITCH(MONTH(C2746),1,1,2,1,3,1,4,2,5,2,6,3,7,3,8,3,9,3,10,2,11,2,12,1,2)</f>
        <v>1</v>
      </c>
      <c r="P2746" s="43"/>
    </row>
    <row r="2747" spans="1:16" ht="18" x14ac:dyDescent="0.35">
      <c r="A2747" s="43"/>
      <c r="C2747" s="393"/>
      <c r="E2747" s="394"/>
      <c r="F2747" s="394">
        <v>1.5669999999999999</v>
      </c>
      <c r="G2747" s="394"/>
      <c r="H2747" s="8" t="s">
        <v>235</v>
      </c>
      <c r="I2747" s="368">
        <f t="shared" si="127"/>
        <v>0</v>
      </c>
      <c r="J2747" s="365">
        <f t="shared" ref="J2747:J2810" si="129">+C2747</f>
        <v>0</v>
      </c>
      <c r="K2747" s="369">
        <f t="shared" si="128"/>
        <v>6</v>
      </c>
      <c r="L2747" s="369">
        <f>+IF((C2747&gt;='Resultats - informe'!$E$16)*(C2747&lt;='Resultats - informe'!$G$16),1,0)</f>
        <v>1</v>
      </c>
      <c r="M2747" s="369" cm="1">
        <f t="array" ref="M2747">+_xlfn.IFS((C2747&gt;='Resultats - informe'!$D$26)*(C2747&lt;='Resultats - informe'!$E$26),0,(C2747&gt;='Resultats - informe'!$D$27)*(C2747&lt;='Resultats - informe'!$E$27),0,(C2747&gt;='Resultats - informe'!$D$28)*(C2747&lt;='Resultats - informe'!$E$28),0,(C2747&gt;='Resultats - informe'!$D$29)*(C2747&lt;='Resultats - informe'!$E$29),0,1,1)</f>
        <v>0</v>
      </c>
      <c r="N2747" s="366">
        <f>+VLOOKUP(D2747,'Resultats - informe'!$Y$18:$AG$42,'Introducció dades consum'!K2747+1,0)</f>
        <v>0</v>
      </c>
      <c r="O2747" s="370" cm="1">
        <f t="array" ref="O2747">+_xlfn.SWITCH(MONTH(C2747),1,1,2,1,3,1,4,2,5,2,6,3,7,3,8,3,9,3,10,2,11,2,12,1,2)</f>
        <v>1</v>
      </c>
      <c r="P2747" s="43"/>
    </row>
    <row r="2748" spans="1:16" ht="18" x14ac:dyDescent="0.35">
      <c r="A2748" s="43"/>
      <c r="C2748" s="393"/>
      <c r="E2748" s="394"/>
      <c r="F2748" s="394">
        <v>2.09</v>
      </c>
      <c r="G2748" s="394"/>
      <c r="H2748" s="8" t="s">
        <v>235</v>
      </c>
      <c r="I2748" s="368">
        <f t="shared" si="127"/>
        <v>0</v>
      </c>
      <c r="J2748" s="365">
        <f t="shared" si="129"/>
        <v>0</v>
      </c>
      <c r="K2748" s="369">
        <f t="shared" si="128"/>
        <v>6</v>
      </c>
      <c r="L2748" s="369">
        <f>+IF((C2748&gt;='Resultats - informe'!$E$16)*(C2748&lt;='Resultats - informe'!$G$16),1,0)</f>
        <v>1</v>
      </c>
      <c r="M2748" s="369" cm="1">
        <f t="array" ref="M2748">+_xlfn.IFS((C2748&gt;='Resultats - informe'!$D$26)*(C2748&lt;='Resultats - informe'!$E$26),0,(C2748&gt;='Resultats - informe'!$D$27)*(C2748&lt;='Resultats - informe'!$E$27),0,(C2748&gt;='Resultats - informe'!$D$28)*(C2748&lt;='Resultats - informe'!$E$28),0,(C2748&gt;='Resultats - informe'!$D$29)*(C2748&lt;='Resultats - informe'!$E$29),0,1,1)</f>
        <v>0</v>
      </c>
      <c r="N2748" s="366">
        <f>+VLOOKUP(D2748,'Resultats - informe'!$Y$18:$AG$42,'Introducció dades consum'!K2748+1,0)</f>
        <v>0</v>
      </c>
      <c r="O2748" s="370" cm="1">
        <f t="array" ref="O2748">+_xlfn.SWITCH(MONTH(C2748),1,1,2,1,3,1,4,2,5,2,6,3,7,3,8,3,9,3,10,2,11,2,12,1,2)</f>
        <v>1</v>
      </c>
      <c r="P2748" s="43"/>
    </row>
    <row r="2749" spans="1:16" ht="18" x14ac:dyDescent="0.35">
      <c r="A2749" s="43"/>
      <c r="C2749" s="393"/>
      <c r="E2749" s="394"/>
      <c r="F2749" s="394">
        <v>0</v>
      </c>
      <c r="G2749" s="394"/>
      <c r="H2749" s="8" t="s">
        <v>61</v>
      </c>
      <c r="I2749" s="368">
        <f t="shared" si="127"/>
        <v>0</v>
      </c>
      <c r="J2749" s="365">
        <f t="shared" si="129"/>
        <v>0</v>
      </c>
      <c r="K2749" s="369">
        <f t="shared" si="128"/>
        <v>6</v>
      </c>
      <c r="L2749" s="369">
        <f>+IF((C2749&gt;='Resultats - informe'!$E$16)*(C2749&lt;='Resultats - informe'!$G$16),1,0)</f>
        <v>1</v>
      </c>
      <c r="M2749" s="369" cm="1">
        <f t="array" ref="M2749">+_xlfn.IFS((C2749&gt;='Resultats - informe'!$D$26)*(C2749&lt;='Resultats - informe'!$E$26),0,(C2749&gt;='Resultats - informe'!$D$27)*(C2749&lt;='Resultats - informe'!$E$27),0,(C2749&gt;='Resultats - informe'!$D$28)*(C2749&lt;='Resultats - informe'!$E$28),0,(C2749&gt;='Resultats - informe'!$D$29)*(C2749&lt;='Resultats - informe'!$E$29),0,1,1)</f>
        <v>0</v>
      </c>
      <c r="N2749" s="366">
        <f>+VLOOKUP(D2749,'Resultats - informe'!$Y$18:$AG$42,'Introducció dades consum'!K2749+1,0)</f>
        <v>0</v>
      </c>
      <c r="O2749" s="370" cm="1">
        <f t="array" ref="O2749">+_xlfn.SWITCH(MONTH(C2749),1,1,2,1,3,1,4,2,5,2,6,3,7,3,8,3,9,3,10,2,11,2,12,1,2)</f>
        <v>1</v>
      </c>
      <c r="P2749" s="43"/>
    </row>
    <row r="2750" spans="1:16" ht="18" x14ac:dyDescent="0.35">
      <c r="A2750" s="43"/>
      <c r="C2750" s="393"/>
      <c r="E2750" s="394"/>
      <c r="F2750" s="394">
        <v>2.0550000000000002</v>
      </c>
      <c r="G2750" s="394"/>
      <c r="H2750" s="8" t="s">
        <v>61</v>
      </c>
      <c r="I2750" s="368">
        <f t="shared" si="127"/>
        <v>0</v>
      </c>
      <c r="J2750" s="365">
        <f t="shared" si="129"/>
        <v>0</v>
      </c>
      <c r="K2750" s="369">
        <f t="shared" si="128"/>
        <v>6</v>
      </c>
      <c r="L2750" s="369">
        <f>+IF((C2750&gt;='Resultats - informe'!$E$16)*(C2750&lt;='Resultats - informe'!$G$16),1,0)</f>
        <v>1</v>
      </c>
      <c r="M2750" s="369" cm="1">
        <f t="array" ref="M2750">+_xlfn.IFS((C2750&gt;='Resultats - informe'!$D$26)*(C2750&lt;='Resultats - informe'!$E$26),0,(C2750&gt;='Resultats - informe'!$D$27)*(C2750&lt;='Resultats - informe'!$E$27),0,(C2750&gt;='Resultats - informe'!$D$28)*(C2750&lt;='Resultats - informe'!$E$28),0,(C2750&gt;='Resultats - informe'!$D$29)*(C2750&lt;='Resultats - informe'!$E$29),0,1,1)</f>
        <v>0</v>
      </c>
      <c r="N2750" s="366">
        <f>+VLOOKUP(D2750,'Resultats - informe'!$Y$18:$AG$42,'Introducció dades consum'!K2750+1,0)</f>
        <v>0</v>
      </c>
      <c r="O2750" s="370" cm="1">
        <f t="array" ref="O2750">+_xlfn.SWITCH(MONTH(C2750),1,1,2,1,3,1,4,2,5,2,6,3,7,3,8,3,9,3,10,2,11,2,12,1,2)</f>
        <v>1</v>
      </c>
      <c r="P2750" s="43"/>
    </row>
    <row r="2751" spans="1:16" ht="18" x14ac:dyDescent="0.35">
      <c r="A2751" s="43"/>
      <c r="C2751" s="393"/>
      <c r="E2751" s="394"/>
      <c r="F2751" s="394">
        <v>3.3660000000000001</v>
      </c>
      <c r="G2751" s="394"/>
      <c r="H2751" s="8" t="s">
        <v>235</v>
      </c>
      <c r="I2751" s="368">
        <f t="shared" si="127"/>
        <v>0</v>
      </c>
      <c r="J2751" s="365">
        <f t="shared" si="129"/>
        <v>0</v>
      </c>
      <c r="K2751" s="369">
        <f t="shared" si="128"/>
        <v>6</v>
      </c>
      <c r="L2751" s="369">
        <f>+IF((C2751&gt;='Resultats - informe'!$E$16)*(C2751&lt;='Resultats - informe'!$G$16),1,0)</f>
        <v>1</v>
      </c>
      <c r="M2751" s="369" cm="1">
        <f t="array" ref="M2751">+_xlfn.IFS((C2751&gt;='Resultats - informe'!$D$26)*(C2751&lt;='Resultats - informe'!$E$26),0,(C2751&gt;='Resultats - informe'!$D$27)*(C2751&lt;='Resultats - informe'!$E$27),0,(C2751&gt;='Resultats - informe'!$D$28)*(C2751&lt;='Resultats - informe'!$E$28),0,(C2751&gt;='Resultats - informe'!$D$29)*(C2751&lt;='Resultats - informe'!$E$29),0,1,1)</f>
        <v>0</v>
      </c>
      <c r="N2751" s="366">
        <f>+VLOOKUP(D2751,'Resultats - informe'!$Y$18:$AG$42,'Introducció dades consum'!K2751+1,0)</f>
        <v>0</v>
      </c>
      <c r="O2751" s="370" cm="1">
        <f t="array" ref="O2751">+_xlfn.SWITCH(MONTH(C2751),1,1,2,1,3,1,4,2,5,2,6,3,7,3,8,3,9,3,10,2,11,2,12,1,2)</f>
        <v>1</v>
      </c>
      <c r="P2751" s="43"/>
    </row>
    <row r="2752" spans="1:16" ht="18" x14ac:dyDescent="0.35">
      <c r="A2752" s="43"/>
      <c r="C2752" s="393"/>
      <c r="E2752" s="394"/>
      <c r="F2752" s="394">
        <v>3.242</v>
      </c>
      <c r="G2752" s="394"/>
      <c r="H2752" s="8" t="s">
        <v>235</v>
      </c>
      <c r="I2752" s="368">
        <f t="shared" si="127"/>
        <v>0</v>
      </c>
      <c r="J2752" s="365">
        <f t="shared" si="129"/>
        <v>0</v>
      </c>
      <c r="K2752" s="369">
        <f t="shared" si="128"/>
        <v>6</v>
      </c>
      <c r="L2752" s="369">
        <f>+IF((C2752&gt;='Resultats - informe'!$E$16)*(C2752&lt;='Resultats - informe'!$G$16),1,0)</f>
        <v>1</v>
      </c>
      <c r="M2752" s="369" cm="1">
        <f t="array" ref="M2752">+_xlfn.IFS((C2752&gt;='Resultats - informe'!$D$26)*(C2752&lt;='Resultats - informe'!$E$26),0,(C2752&gt;='Resultats - informe'!$D$27)*(C2752&lt;='Resultats - informe'!$E$27),0,(C2752&gt;='Resultats - informe'!$D$28)*(C2752&lt;='Resultats - informe'!$E$28),0,(C2752&gt;='Resultats - informe'!$D$29)*(C2752&lt;='Resultats - informe'!$E$29),0,1,1)</f>
        <v>0</v>
      </c>
      <c r="N2752" s="366">
        <f>+VLOOKUP(D2752,'Resultats - informe'!$Y$18:$AG$42,'Introducció dades consum'!K2752+1,0)</f>
        <v>0</v>
      </c>
      <c r="O2752" s="370" cm="1">
        <f t="array" ref="O2752">+_xlfn.SWITCH(MONTH(C2752),1,1,2,1,3,1,4,2,5,2,6,3,7,3,8,3,9,3,10,2,11,2,12,1,2)</f>
        <v>1</v>
      </c>
      <c r="P2752" s="43"/>
    </row>
    <row r="2753" spans="1:16" ht="18" x14ac:dyDescent="0.35">
      <c r="A2753" s="43"/>
      <c r="C2753" s="393"/>
      <c r="E2753" s="394"/>
      <c r="F2753" s="394">
        <v>3.282</v>
      </c>
      <c r="G2753" s="394"/>
      <c r="H2753" s="8" t="s">
        <v>235</v>
      </c>
      <c r="I2753" s="368">
        <f t="shared" si="127"/>
        <v>0</v>
      </c>
      <c r="J2753" s="365">
        <f t="shared" si="129"/>
        <v>0</v>
      </c>
      <c r="K2753" s="369">
        <f t="shared" si="128"/>
        <v>6</v>
      </c>
      <c r="L2753" s="369">
        <f>+IF((C2753&gt;='Resultats - informe'!$E$16)*(C2753&lt;='Resultats - informe'!$G$16),1,0)</f>
        <v>1</v>
      </c>
      <c r="M2753" s="369" cm="1">
        <f t="array" ref="M2753">+_xlfn.IFS((C2753&gt;='Resultats - informe'!$D$26)*(C2753&lt;='Resultats - informe'!$E$26),0,(C2753&gt;='Resultats - informe'!$D$27)*(C2753&lt;='Resultats - informe'!$E$27),0,(C2753&gt;='Resultats - informe'!$D$28)*(C2753&lt;='Resultats - informe'!$E$28),0,(C2753&gt;='Resultats - informe'!$D$29)*(C2753&lt;='Resultats - informe'!$E$29),0,1,1)</f>
        <v>0</v>
      </c>
      <c r="N2753" s="366">
        <f>+VLOOKUP(D2753,'Resultats - informe'!$Y$18:$AG$42,'Introducció dades consum'!K2753+1,0)</f>
        <v>0</v>
      </c>
      <c r="O2753" s="370" cm="1">
        <f t="array" ref="O2753">+_xlfn.SWITCH(MONTH(C2753),1,1,2,1,3,1,4,2,5,2,6,3,7,3,8,3,9,3,10,2,11,2,12,1,2)</f>
        <v>1</v>
      </c>
      <c r="P2753" s="43"/>
    </row>
    <row r="2754" spans="1:16" ht="18" x14ac:dyDescent="0.35">
      <c r="A2754" s="43"/>
      <c r="C2754" s="393"/>
      <c r="E2754" s="394"/>
      <c r="F2754" s="394">
        <v>3.2650000000000001</v>
      </c>
      <c r="G2754" s="394"/>
      <c r="H2754" s="8" t="s">
        <v>235</v>
      </c>
      <c r="I2754" s="368">
        <f t="shared" si="127"/>
        <v>0</v>
      </c>
      <c r="J2754" s="365">
        <f t="shared" si="129"/>
        <v>0</v>
      </c>
      <c r="K2754" s="369">
        <f t="shared" si="128"/>
        <v>6</v>
      </c>
      <c r="L2754" s="369">
        <f>+IF((C2754&gt;='Resultats - informe'!$E$16)*(C2754&lt;='Resultats - informe'!$G$16),1,0)</f>
        <v>1</v>
      </c>
      <c r="M2754" s="369" cm="1">
        <f t="array" ref="M2754">+_xlfn.IFS((C2754&gt;='Resultats - informe'!$D$26)*(C2754&lt;='Resultats - informe'!$E$26),0,(C2754&gt;='Resultats - informe'!$D$27)*(C2754&lt;='Resultats - informe'!$E$27),0,(C2754&gt;='Resultats - informe'!$D$28)*(C2754&lt;='Resultats - informe'!$E$28),0,(C2754&gt;='Resultats - informe'!$D$29)*(C2754&lt;='Resultats - informe'!$E$29),0,1,1)</f>
        <v>0</v>
      </c>
      <c r="N2754" s="366">
        <f>+VLOOKUP(D2754,'Resultats - informe'!$Y$18:$AG$42,'Introducció dades consum'!K2754+1,0)</f>
        <v>0</v>
      </c>
      <c r="O2754" s="370" cm="1">
        <f t="array" ref="O2754">+_xlfn.SWITCH(MONTH(C2754),1,1,2,1,3,1,4,2,5,2,6,3,7,3,8,3,9,3,10,2,11,2,12,1,2)</f>
        <v>1</v>
      </c>
      <c r="P2754" s="43"/>
    </row>
    <row r="2755" spans="1:16" ht="18" x14ac:dyDescent="0.35">
      <c r="A2755" s="43"/>
      <c r="C2755" s="393"/>
      <c r="E2755" s="394"/>
      <c r="F2755" s="394">
        <v>2.6659999999999999</v>
      </c>
      <c r="G2755" s="394"/>
      <c r="H2755" s="8" t="s">
        <v>235</v>
      </c>
      <c r="I2755" s="368">
        <f t="shared" si="127"/>
        <v>0</v>
      </c>
      <c r="J2755" s="365">
        <f t="shared" si="129"/>
        <v>0</v>
      </c>
      <c r="K2755" s="369">
        <f t="shared" si="128"/>
        <v>6</v>
      </c>
      <c r="L2755" s="369">
        <f>+IF((C2755&gt;='Resultats - informe'!$E$16)*(C2755&lt;='Resultats - informe'!$G$16),1,0)</f>
        <v>1</v>
      </c>
      <c r="M2755" s="369" cm="1">
        <f t="array" ref="M2755">+_xlfn.IFS((C2755&gt;='Resultats - informe'!$D$26)*(C2755&lt;='Resultats - informe'!$E$26),0,(C2755&gt;='Resultats - informe'!$D$27)*(C2755&lt;='Resultats - informe'!$E$27),0,(C2755&gt;='Resultats - informe'!$D$28)*(C2755&lt;='Resultats - informe'!$E$28),0,(C2755&gt;='Resultats - informe'!$D$29)*(C2755&lt;='Resultats - informe'!$E$29),0,1,1)</f>
        <v>0</v>
      </c>
      <c r="N2755" s="366">
        <f>+VLOOKUP(D2755,'Resultats - informe'!$Y$18:$AG$42,'Introducció dades consum'!K2755+1,0)</f>
        <v>0</v>
      </c>
      <c r="O2755" s="370" cm="1">
        <f t="array" ref="O2755">+_xlfn.SWITCH(MONTH(C2755),1,1,2,1,3,1,4,2,5,2,6,3,7,3,8,3,9,3,10,2,11,2,12,1,2)</f>
        <v>1</v>
      </c>
      <c r="P2755" s="43"/>
    </row>
    <row r="2756" spans="1:16" ht="18" x14ac:dyDescent="0.35">
      <c r="A2756" s="43"/>
      <c r="C2756" s="393"/>
      <c r="E2756" s="394"/>
      <c r="F2756" s="394">
        <v>5.8220000000000001</v>
      </c>
      <c r="G2756" s="394"/>
      <c r="H2756" s="8" t="s">
        <v>61</v>
      </c>
      <c r="I2756" s="368">
        <f t="shared" si="127"/>
        <v>0</v>
      </c>
      <c r="J2756" s="365">
        <f t="shared" si="129"/>
        <v>0</v>
      </c>
      <c r="K2756" s="369">
        <f t="shared" si="128"/>
        <v>6</v>
      </c>
      <c r="L2756" s="369">
        <f>+IF((C2756&gt;='Resultats - informe'!$E$16)*(C2756&lt;='Resultats - informe'!$G$16),1,0)</f>
        <v>1</v>
      </c>
      <c r="M2756" s="369" cm="1">
        <f t="array" ref="M2756">+_xlfn.IFS((C2756&gt;='Resultats - informe'!$D$26)*(C2756&lt;='Resultats - informe'!$E$26),0,(C2756&gt;='Resultats - informe'!$D$27)*(C2756&lt;='Resultats - informe'!$E$27),0,(C2756&gt;='Resultats - informe'!$D$28)*(C2756&lt;='Resultats - informe'!$E$28),0,(C2756&gt;='Resultats - informe'!$D$29)*(C2756&lt;='Resultats - informe'!$E$29),0,1,1)</f>
        <v>0</v>
      </c>
      <c r="N2756" s="366">
        <f>+VLOOKUP(D2756,'Resultats - informe'!$Y$18:$AG$42,'Introducció dades consum'!K2756+1,0)</f>
        <v>0</v>
      </c>
      <c r="O2756" s="370" cm="1">
        <f t="array" ref="O2756">+_xlfn.SWITCH(MONTH(C2756),1,1,2,1,3,1,4,2,5,2,6,3,7,3,8,3,9,3,10,2,11,2,12,1,2)</f>
        <v>1</v>
      </c>
      <c r="P2756" s="43"/>
    </row>
    <row r="2757" spans="1:16" ht="18" x14ac:dyDescent="0.35">
      <c r="A2757" s="43"/>
      <c r="C2757" s="393"/>
      <c r="E2757" s="394"/>
      <c r="F2757" s="394">
        <v>4.1319999999999997</v>
      </c>
      <c r="G2757" s="394"/>
      <c r="H2757" s="8" t="s">
        <v>61</v>
      </c>
      <c r="I2757" s="368">
        <f t="shared" si="127"/>
        <v>0</v>
      </c>
      <c r="J2757" s="365">
        <f t="shared" si="129"/>
        <v>0</v>
      </c>
      <c r="K2757" s="369">
        <f t="shared" si="128"/>
        <v>6</v>
      </c>
      <c r="L2757" s="369">
        <f>+IF((C2757&gt;='Resultats - informe'!$E$16)*(C2757&lt;='Resultats - informe'!$G$16),1,0)</f>
        <v>1</v>
      </c>
      <c r="M2757" s="369" cm="1">
        <f t="array" ref="M2757">+_xlfn.IFS((C2757&gt;='Resultats - informe'!$D$26)*(C2757&lt;='Resultats - informe'!$E$26),0,(C2757&gt;='Resultats - informe'!$D$27)*(C2757&lt;='Resultats - informe'!$E$27),0,(C2757&gt;='Resultats - informe'!$D$28)*(C2757&lt;='Resultats - informe'!$E$28),0,(C2757&gt;='Resultats - informe'!$D$29)*(C2757&lt;='Resultats - informe'!$E$29),0,1,1)</f>
        <v>0</v>
      </c>
      <c r="N2757" s="366">
        <f>+VLOOKUP(D2757,'Resultats - informe'!$Y$18:$AG$42,'Introducció dades consum'!K2757+1,0)</f>
        <v>0</v>
      </c>
      <c r="O2757" s="370" cm="1">
        <f t="array" ref="O2757">+_xlfn.SWITCH(MONTH(C2757),1,1,2,1,3,1,4,2,5,2,6,3,7,3,8,3,9,3,10,2,11,2,12,1,2)</f>
        <v>1</v>
      </c>
      <c r="P2757" s="43"/>
    </row>
    <row r="2758" spans="1:16" ht="18" x14ac:dyDescent="0.35">
      <c r="A2758" s="43"/>
      <c r="C2758" s="393"/>
      <c r="E2758" s="394"/>
      <c r="F2758" s="394">
        <v>0</v>
      </c>
      <c r="G2758" s="394"/>
      <c r="H2758" s="8" t="s">
        <v>235</v>
      </c>
      <c r="I2758" s="368">
        <f t="shared" ref="I2758:I2821" si="130">+E2758+G2758</f>
        <v>0</v>
      </c>
      <c r="J2758" s="365">
        <f t="shared" si="129"/>
        <v>0</v>
      </c>
      <c r="K2758" s="369">
        <f t="shared" ref="K2758:K2821" si="131">+WEEKDAY(C2758,2)</f>
        <v>6</v>
      </c>
      <c r="L2758" s="369">
        <f>+IF((C2758&gt;='Resultats - informe'!$E$16)*(C2758&lt;='Resultats - informe'!$G$16),1,0)</f>
        <v>1</v>
      </c>
      <c r="M2758" s="369" cm="1">
        <f t="array" ref="M2758">+_xlfn.IFS((C2758&gt;='Resultats - informe'!$D$26)*(C2758&lt;='Resultats - informe'!$E$26),0,(C2758&gt;='Resultats - informe'!$D$27)*(C2758&lt;='Resultats - informe'!$E$27),0,(C2758&gt;='Resultats - informe'!$D$28)*(C2758&lt;='Resultats - informe'!$E$28),0,(C2758&gt;='Resultats - informe'!$D$29)*(C2758&lt;='Resultats - informe'!$E$29),0,1,1)</f>
        <v>0</v>
      </c>
      <c r="N2758" s="366">
        <f>+VLOOKUP(D2758,'Resultats - informe'!$Y$18:$AG$42,'Introducció dades consum'!K2758+1,0)</f>
        <v>0</v>
      </c>
      <c r="O2758" s="370" cm="1">
        <f t="array" ref="O2758">+_xlfn.SWITCH(MONTH(C2758),1,1,2,1,3,1,4,2,5,2,6,3,7,3,8,3,9,3,10,2,11,2,12,1,2)</f>
        <v>1</v>
      </c>
      <c r="P2758" s="43"/>
    </row>
    <row r="2759" spans="1:16" ht="18" x14ac:dyDescent="0.35">
      <c r="A2759" s="43"/>
      <c r="C2759" s="393"/>
      <c r="E2759" s="394"/>
      <c r="F2759" s="394">
        <v>0</v>
      </c>
      <c r="G2759" s="394"/>
      <c r="H2759" s="8" t="s">
        <v>235</v>
      </c>
      <c r="I2759" s="368">
        <f t="shared" si="130"/>
        <v>0</v>
      </c>
      <c r="J2759" s="365">
        <f t="shared" si="129"/>
        <v>0</v>
      </c>
      <c r="K2759" s="369">
        <f t="shared" si="131"/>
        <v>6</v>
      </c>
      <c r="L2759" s="369">
        <f>+IF((C2759&gt;='Resultats - informe'!$E$16)*(C2759&lt;='Resultats - informe'!$G$16),1,0)</f>
        <v>1</v>
      </c>
      <c r="M2759" s="369" cm="1">
        <f t="array" ref="M2759">+_xlfn.IFS((C2759&gt;='Resultats - informe'!$D$26)*(C2759&lt;='Resultats - informe'!$E$26),0,(C2759&gt;='Resultats - informe'!$D$27)*(C2759&lt;='Resultats - informe'!$E$27),0,(C2759&gt;='Resultats - informe'!$D$28)*(C2759&lt;='Resultats - informe'!$E$28),0,(C2759&gt;='Resultats - informe'!$D$29)*(C2759&lt;='Resultats - informe'!$E$29),0,1,1)</f>
        <v>0</v>
      </c>
      <c r="N2759" s="366">
        <f>+VLOOKUP(D2759,'Resultats - informe'!$Y$18:$AG$42,'Introducció dades consum'!K2759+1,0)</f>
        <v>0</v>
      </c>
      <c r="O2759" s="370" cm="1">
        <f t="array" ref="O2759">+_xlfn.SWITCH(MONTH(C2759),1,1,2,1,3,1,4,2,5,2,6,3,7,3,8,3,9,3,10,2,11,2,12,1,2)</f>
        <v>1</v>
      </c>
      <c r="P2759" s="43"/>
    </row>
    <row r="2760" spans="1:16" ht="18" x14ac:dyDescent="0.35">
      <c r="A2760" s="43"/>
      <c r="C2760" s="393"/>
      <c r="E2760" s="394"/>
      <c r="F2760" s="394">
        <v>0</v>
      </c>
      <c r="G2760" s="394"/>
      <c r="H2760" s="8" t="s">
        <v>235</v>
      </c>
      <c r="I2760" s="368">
        <f t="shared" si="130"/>
        <v>0</v>
      </c>
      <c r="J2760" s="365">
        <f t="shared" si="129"/>
        <v>0</v>
      </c>
      <c r="K2760" s="369">
        <f t="shared" si="131"/>
        <v>6</v>
      </c>
      <c r="L2760" s="369">
        <f>+IF((C2760&gt;='Resultats - informe'!$E$16)*(C2760&lt;='Resultats - informe'!$G$16),1,0)</f>
        <v>1</v>
      </c>
      <c r="M2760" s="369" cm="1">
        <f t="array" ref="M2760">+_xlfn.IFS((C2760&gt;='Resultats - informe'!$D$26)*(C2760&lt;='Resultats - informe'!$E$26),0,(C2760&gt;='Resultats - informe'!$D$27)*(C2760&lt;='Resultats - informe'!$E$27),0,(C2760&gt;='Resultats - informe'!$D$28)*(C2760&lt;='Resultats - informe'!$E$28),0,(C2760&gt;='Resultats - informe'!$D$29)*(C2760&lt;='Resultats - informe'!$E$29),0,1,1)</f>
        <v>0</v>
      </c>
      <c r="N2760" s="366">
        <f>+VLOOKUP(D2760,'Resultats - informe'!$Y$18:$AG$42,'Introducció dades consum'!K2760+1,0)</f>
        <v>0</v>
      </c>
      <c r="O2760" s="370" cm="1">
        <f t="array" ref="O2760">+_xlfn.SWITCH(MONTH(C2760),1,1,2,1,3,1,4,2,5,2,6,3,7,3,8,3,9,3,10,2,11,2,12,1,2)</f>
        <v>1</v>
      </c>
      <c r="P2760" s="43"/>
    </row>
    <row r="2761" spans="1:16" ht="18" x14ac:dyDescent="0.35">
      <c r="A2761" s="43"/>
      <c r="C2761" s="393"/>
      <c r="E2761" s="394"/>
      <c r="F2761" s="394">
        <v>0</v>
      </c>
      <c r="G2761" s="394"/>
      <c r="H2761" s="8" t="s">
        <v>235</v>
      </c>
      <c r="I2761" s="368">
        <f t="shared" si="130"/>
        <v>0</v>
      </c>
      <c r="J2761" s="365">
        <f t="shared" si="129"/>
        <v>0</v>
      </c>
      <c r="K2761" s="369">
        <f t="shared" si="131"/>
        <v>6</v>
      </c>
      <c r="L2761" s="369">
        <f>+IF((C2761&gt;='Resultats - informe'!$E$16)*(C2761&lt;='Resultats - informe'!$G$16),1,0)</f>
        <v>1</v>
      </c>
      <c r="M2761" s="369" cm="1">
        <f t="array" ref="M2761">+_xlfn.IFS((C2761&gt;='Resultats - informe'!$D$26)*(C2761&lt;='Resultats - informe'!$E$26),0,(C2761&gt;='Resultats - informe'!$D$27)*(C2761&lt;='Resultats - informe'!$E$27),0,(C2761&gt;='Resultats - informe'!$D$28)*(C2761&lt;='Resultats - informe'!$E$28),0,(C2761&gt;='Resultats - informe'!$D$29)*(C2761&lt;='Resultats - informe'!$E$29),0,1,1)</f>
        <v>0</v>
      </c>
      <c r="N2761" s="366">
        <f>+VLOOKUP(D2761,'Resultats - informe'!$Y$18:$AG$42,'Introducció dades consum'!K2761+1,0)</f>
        <v>0</v>
      </c>
      <c r="O2761" s="370" cm="1">
        <f t="array" ref="O2761">+_xlfn.SWITCH(MONTH(C2761),1,1,2,1,3,1,4,2,5,2,6,3,7,3,8,3,9,3,10,2,11,2,12,1,2)</f>
        <v>1</v>
      </c>
      <c r="P2761" s="43"/>
    </row>
    <row r="2762" spans="1:16" ht="18" x14ac:dyDescent="0.35">
      <c r="A2762" s="43"/>
      <c r="C2762" s="393"/>
      <c r="E2762" s="394"/>
      <c r="F2762" s="394">
        <v>0</v>
      </c>
      <c r="G2762" s="394"/>
      <c r="H2762" s="8" t="s">
        <v>61</v>
      </c>
      <c r="I2762" s="368">
        <f t="shared" si="130"/>
        <v>0</v>
      </c>
      <c r="J2762" s="365">
        <f t="shared" si="129"/>
        <v>0</v>
      </c>
      <c r="K2762" s="369">
        <f t="shared" si="131"/>
        <v>6</v>
      </c>
      <c r="L2762" s="369">
        <f>+IF((C2762&gt;='Resultats - informe'!$E$16)*(C2762&lt;='Resultats - informe'!$G$16),1,0)</f>
        <v>1</v>
      </c>
      <c r="M2762" s="369" cm="1">
        <f t="array" ref="M2762">+_xlfn.IFS((C2762&gt;='Resultats - informe'!$D$26)*(C2762&lt;='Resultats - informe'!$E$26),0,(C2762&gt;='Resultats - informe'!$D$27)*(C2762&lt;='Resultats - informe'!$E$27),0,(C2762&gt;='Resultats - informe'!$D$28)*(C2762&lt;='Resultats - informe'!$E$28),0,(C2762&gt;='Resultats - informe'!$D$29)*(C2762&lt;='Resultats - informe'!$E$29),0,1,1)</f>
        <v>0</v>
      </c>
      <c r="N2762" s="366">
        <f>+VLOOKUP(D2762,'Resultats - informe'!$Y$18:$AG$42,'Introducció dades consum'!K2762+1,0)</f>
        <v>0</v>
      </c>
      <c r="O2762" s="370" cm="1">
        <f t="array" ref="O2762">+_xlfn.SWITCH(MONTH(C2762),1,1,2,1,3,1,4,2,5,2,6,3,7,3,8,3,9,3,10,2,11,2,12,1,2)</f>
        <v>1</v>
      </c>
      <c r="P2762" s="43"/>
    </row>
    <row r="2763" spans="1:16" ht="18" x14ac:dyDescent="0.35">
      <c r="A2763" s="43"/>
      <c r="C2763" s="393"/>
      <c r="E2763" s="394"/>
      <c r="F2763" s="394">
        <v>0</v>
      </c>
      <c r="G2763" s="394"/>
      <c r="H2763" s="8" t="s">
        <v>61</v>
      </c>
      <c r="I2763" s="368">
        <f t="shared" si="130"/>
        <v>0</v>
      </c>
      <c r="J2763" s="365">
        <f t="shared" si="129"/>
        <v>0</v>
      </c>
      <c r="K2763" s="369">
        <f t="shared" si="131"/>
        <v>6</v>
      </c>
      <c r="L2763" s="369">
        <f>+IF((C2763&gt;='Resultats - informe'!$E$16)*(C2763&lt;='Resultats - informe'!$G$16),1,0)</f>
        <v>1</v>
      </c>
      <c r="M2763" s="369" cm="1">
        <f t="array" ref="M2763">+_xlfn.IFS((C2763&gt;='Resultats - informe'!$D$26)*(C2763&lt;='Resultats - informe'!$E$26),0,(C2763&gt;='Resultats - informe'!$D$27)*(C2763&lt;='Resultats - informe'!$E$27),0,(C2763&gt;='Resultats - informe'!$D$28)*(C2763&lt;='Resultats - informe'!$E$28),0,(C2763&gt;='Resultats - informe'!$D$29)*(C2763&lt;='Resultats - informe'!$E$29),0,1,1)</f>
        <v>0</v>
      </c>
      <c r="N2763" s="366">
        <f>+VLOOKUP(D2763,'Resultats - informe'!$Y$18:$AG$42,'Introducció dades consum'!K2763+1,0)</f>
        <v>0</v>
      </c>
      <c r="O2763" s="370" cm="1">
        <f t="array" ref="O2763">+_xlfn.SWITCH(MONTH(C2763),1,1,2,1,3,1,4,2,5,2,6,3,7,3,8,3,9,3,10,2,11,2,12,1,2)</f>
        <v>1</v>
      </c>
      <c r="P2763" s="43"/>
    </row>
    <row r="2764" spans="1:16" ht="18" x14ac:dyDescent="0.35">
      <c r="A2764" s="43"/>
      <c r="C2764" s="393"/>
      <c r="E2764" s="394"/>
      <c r="F2764" s="394">
        <v>0</v>
      </c>
      <c r="G2764" s="394"/>
      <c r="H2764" s="8" t="s">
        <v>235</v>
      </c>
      <c r="I2764" s="368">
        <f t="shared" si="130"/>
        <v>0</v>
      </c>
      <c r="J2764" s="365">
        <f t="shared" si="129"/>
        <v>0</v>
      </c>
      <c r="K2764" s="369">
        <f t="shared" si="131"/>
        <v>6</v>
      </c>
      <c r="L2764" s="369">
        <f>+IF((C2764&gt;='Resultats - informe'!$E$16)*(C2764&lt;='Resultats - informe'!$G$16),1,0)</f>
        <v>1</v>
      </c>
      <c r="M2764" s="369" cm="1">
        <f t="array" ref="M2764">+_xlfn.IFS((C2764&gt;='Resultats - informe'!$D$26)*(C2764&lt;='Resultats - informe'!$E$26),0,(C2764&gt;='Resultats - informe'!$D$27)*(C2764&lt;='Resultats - informe'!$E$27),0,(C2764&gt;='Resultats - informe'!$D$28)*(C2764&lt;='Resultats - informe'!$E$28),0,(C2764&gt;='Resultats - informe'!$D$29)*(C2764&lt;='Resultats - informe'!$E$29),0,1,1)</f>
        <v>0</v>
      </c>
      <c r="N2764" s="366">
        <f>+VLOOKUP(D2764,'Resultats - informe'!$Y$18:$AG$42,'Introducció dades consum'!K2764+1,0)</f>
        <v>0</v>
      </c>
      <c r="O2764" s="370" cm="1">
        <f t="array" ref="O2764">+_xlfn.SWITCH(MONTH(C2764),1,1,2,1,3,1,4,2,5,2,6,3,7,3,8,3,9,3,10,2,11,2,12,1,2)</f>
        <v>1</v>
      </c>
      <c r="P2764" s="43"/>
    </row>
    <row r="2765" spans="1:16" ht="18" x14ac:dyDescent="0.35">
      <c r="A2765" s="43"/>
      <c r="C2765" s="393"/>
      <c r="E2765" s="394"/>
      <c r="F2765" s="394">
        <v>0</v>
      </c>
      <c r="G2765" s="394"/>
      <c r="H2765" s="8" t="s">
        <v>235</v>
      </c>
      <c r="I2765" s="368">
        <f t="shared" si="130"/>
        <v>0</v>
      </c>
      <c r="J2765" s="365">
        <f t="shared" si="129"/>
        <v>0</v>
      </c>
      <c r="K2765" s="369">
        <f t="shared" si="131"/>
        <v>6</v>
      </c>
      <c r="L2765" s="369">
        <f>+IF((C2765&gt;='Resultats - informe'!$E$16)*(C2765&lt;='Resultats - informe'!$G$16),1,0)</f>
        <v>1</v>
      </c>
      <c r="M2765" s="369" cm="1">
        <f t="array" ref="M2765">+_xlfn.IFS((C2765&gt;='Resultats - informe'!$D$26)*(C2765&lt;='Resultats - informe'!$E$26),0,(C2765&gt;='Resultats - informe'!$D$27)*(C2765&lt;='Resultats - informe'!$E$27),0,(C2765&gt;='Resultats - informe'!$D$28)*(C2765&lt;='Resultats - informe'!$E$28),0,(C2765&gt;='Resultats - informe'!$D$29)*(C2765&lt;='Resultats - informe'!$E$29),0,1,1)</f>
        <v>0</v>
      </c>
      <c r="N2765" s="366">
        <f>+VLOOKUP(D2765,'Resultats - informe'!$Y$18:$AG$42,'Introducció dades consum'!K2765+1,0)</f>
        <v>0</v>
      </c>
      <c r="O2765" s="370" cm="1">
        <f t="array" ref="O2765">+_xlfn.SWITCH(MONTH(C2765),1,1,2,1,3,1,4,2,5,2,6,3,7,3,8,3,9,3,10,2,11,2,12,1,2)</f>
        <v>1</v>
      </c>
      <c r="P2765" s="43"/>
    </row>
    <row r="2766" spans="1:16" ht="18" x14ac:dyDescent="0.35">
      <c r="A2766" s="43"/>
      <c r="C2766" s="393"/>
      <c r="E2766" s="394"/>
      <c r="F2766" s="394">
        <v>0</v>
      </c>
      <c r="G2766" s="394"/>
      <c r="H2766" s="8" t="s">
        <v>235</v>
      </c>
      <c r="I2766" s="368">
        <f t="shared" si="130"/>
        <v>0</v>
      </c>
      <c r="J2766" s="365">
        <f t="shared" si="129"/>
        <v>0</v>
      </c>
      <c r="K2766" s="369">
        <f t="shared" si="131"/>
        <v>6</v>
      </c>
      <c r="L2766" s="369">
        <f>+IF((C2766&gt;='Resultats - informe'!$E$16)*(C2766&lt;='Resultats - informe'!$G$16),1,0)</f>
        <v>1</v>
      </c>
      <c r="M2766" s="369" cm="1">
        <f t="array" ref="M2766">+_xlfn.IFS((C2766&gt;='Resultats - informe'!$D$26)*(C2766&lt;='Resultats - informe'!$E$26),0,(C2766&gt;='Resultats - informe'!$D$27)*(C2766&lt;='Resultats - informe'!$E$27),0,(C2766&gt;='Resultats - informe'!$D$28)*(C2766&lt;='Resultats - informe'!$E$28),0,(C2766&gt;='Resultats - informe'!$D$29)*(C2766&lt;='Resultats - informe'!$E$29),0,1,1)</f>
        <v>0</v>
      </c>
      <c r="N2766" s="366">
        <f>+VLOOKUP(D2766,'Resultats - informe'!$Y$18:$AG$42,'Introducció dades consum'!K2766+1,0)</f>
        <v>0</v>
      </c>
      <c r="O2766" s="370" cm="1">
        <f t="array" ref="O2766">+_xlfn.SWITCH(MONTH(C2766),1,1,2,1,3,1,4,2,5,2,6,3,7,3,8,3,9,3,10,2,11,2,12,1,2)</f>
        <v>1</v>
      </c>
      <c r="P2766" s="43"/>
    </row>
    <row r="2767" spans="1:16" ht="18" x14ac:dyDescent="0.35">
      <c r="A2767" s="43"/>
      <c r="C2767" s="393"/>
      <c r="E2767" s="394"/>
      <c r="F2767" s="394">
        <v>0</v>
      </c>
      <c r="G2767" s="394"/>
      <c r="H2767" s="8" t="s">
        <v>235</v>
      </c>
      <c r="I2767" s="368">
        <f t="shared" si="130"/>
        <v>0</v>
      </c>
      <c r="J2767" s="365">
        <f t="shared" si="129"/>
        <v>0</v>
      </c>
      <c r="K2767" s="369">
        <f t="shared" si="131"/>
        <v>6</v>
      </c>
      <c r="L2767" s="369">
        <f>+IF((C2767&gt;='Resultats - informe'!$E$16)*(C2767&lt;='Resultats - informe'!$G$16),1,0)</f>
        <v>1</v>
      </c>
      <c r="M2767" s="369" cm="1">
        <f t="array" ref="M2767">+_xlfn.IFS((C2767&gt;='Resultats - informe'!$D$26)*(C2767&lt;='Resultats - informe'!$E$26),0,(C2767&gt;='Resultats - informe'!$D$27)*(C2767&lt;='Resultats - informe'!$E$27),0,(C2767&gt;='Resultats - informe'!$D$28)*(C2767&lt;='Resultats - informe'!$E$28),0,(C2767&gt;='Resultats - informe'!$D$29)*(C2767&lt;='Resultats - informe'!$E$29),0,1,1)</f>
        <v>0</v>
      </c>
      <c r="N2767" s="366">
        <f>+VLOOKUP(D2767,'Resultats - informe'!$Y$18:$AG$42,'Introducció dades consum'!K2767+1,0)</f>
        <v>0</v>
      </c>
      <c r="O2767" s="370" cm="1">
        <f t="array" ref="O2767">+_xlfn.SWITCH(MONTH(C2767),1,1,2,1,3,1,4,2,5,2,6,3,7,3,8,3,9,3,10,2,11,2,12,1,2)</f>
        <v>1</v>
      </c>
      <c r="P2767" s="43"/>
    </row>
    <row r="2768" spans="1:16" ht="18" x14ac:dyDescent="0.35">
      <c r="A2768" s="43"/>
      <c r="C2768" s="393"/>
      <c r="E2768" s="394"/>
      <c r="F2768" s="394">
        <v>0</v>
      </c>
      <c r="G2768" s="394"/>
      <c r="H2768" s="8" t="s">
        <v>235</v>
      </c>
      <c r="I2768" s="368">
        <f t="shared" si="130"/>
        <v>0</v>
      </c>
      <c r="J2768" s="365">
        <f t="shared" si="129"/>
        <v>0</v>
      </c>
      <c r="K2768" s="369">
        <f t="shared" si="131"/>
        <v>6</v>
      </c>
      <c r="L2768" s="369">
        <f>+IF((C2768&gt;='Resultats - informe'!$E$16)*(C2768&lt;='Resultats - informe'!$G$16),1,0)</f>
        <v>1</v>
      </c>
      <c r="M2768" s="369" cm="1">
        <f t="array" ref="M2768">+_xlfn.IFS((C2768&gt;='Resultats - informe'!$D$26)*(C2768&lt;='Resultats - informe'!$E$26),0,(C2768&gt;='Resultats - informe'!$D$27)*(C2768&lt;='Resultats - informe'!$E$27),0,(C2768&gt;='Resultats - informe'!$D$28)*(C2768&lt;='Resultats - informe'!$E$28),0,(C2768&gt;='Resultats - informe'!$D$29)*(C2768&lt;='Resultats - informe'!$E$29),0,1,1)</f>
        <v>0</v>
      </c>
      <c r="N2768" s="366">
        <f>+VLOOKUP(D2768,'Resultats - informe'!$Y$18:$AG$42,'Introducció dades consum'!K2768+1,0)</f>
        <v>0</v>
      </c>
      <c r="O2768" s="370" cm="1">
        <f t="array" ref="O2768">+_xlfn.SWITCH(MONTH(C2768),1,1,2,1,3,1,4,2,5,2,6,3,7,3,8,3,9,3,10,2,11,2,12,1,2)</f>
        <v>1</v>
      </c>
      <c r="P2768" s="43"/>
    </row>
    <row r="2769" spans="1:16" ht="18" x14ac:dyDescent="0.35">
      <c r="A2769" s="43"/>
      <c r="C2769" s="393"/>
      <c r="E2769" s="394"/>
      <c r="F2769" s="394">
        <v>0</v>
      </c>
      <c r="G2769" s="394"/>
      <c r="H2769" s="8" t="s">
        <v>61</v>
      </c>
      <c r="I2769" s="368">
        <f t="shared" si="130"/>
        <v>0</v>
      </c>
      <c r="J2769" s="365">
        <f t="shared" si="129"/>
        <v>0</v>
      </c>
      <c r="K2769" s="369">
        <f t="shared" si="131"/>
        <v>6</v>
      </c>
      <c r="L2769" s="369">
        <f>+IF((C2769&gt;='Resultats - informe'!$E$16)*(C2769&lt;='Resultats - informe'!$G$16),1,0)</f>
        <v>1</v>
      </c>
      <c r="M2769" s="369" cm="1">
        <f t="array" ref="M2769">+_xlfn.IFS((C2769&gt;='Resultats - informe'!$D$26)*(C2769&lt;='Resultats - informe'!$E$26),0,(C2769&gt;='Resultats - informe'!$D$27)*(C2769&lt;='Resultats - informe'!$E$27),0,(C2769&gt;='Resultats - informe'!$D$28)*(C2769&lt;='Resultats - informe'!$E$28),0,(C2769&gt;='Resultats - informe'!$D$29)*(C2769&lt;='Resultats - informe'!$E$29),0,1,1)</f>
        <v>0</v>
      </c>
      <c r="N2769" s="366">
        <f>+VLOOKUP(D2769,'Resultats - informe'!$Y$18:$AG$42,'Introducció dades consum'!K2769+1,0)</f>
        <v>0</v>
      </c>
      <c r="O2769" s="370" cm="1">
        <f t="array" ref="O2769">+_xlfn.SWITCH(MONTH(C2769),1,1,2,1,3,1,4,2,5,2,6,3,7,3,8,3,9,3,10,2,11,2,12,1,2)</f>
        <v>1</v>
      </c>
      <c r="P2769" s="43"/>
    </row>
    <row r="2770" spans="1:16" ht="18" x14ac:dyDescent="0.35">
      <c r="A2770" s="43"/>
      <c r="C2770" s="393"/>
      <c r="E2770" s="394"/>
      <c r="F2770" s="394">
        <v>0</v>
      </c>
      <c r="G2770" s="394"/>
      <c r="H2770" s="8" t="s">
        <v>61</v>
      </c>
      <c r="I2770" s="368">
        <f t="shared" si="130"/>
        <v>0</v>
      </c>
      <c r="J2770" s="365">
        <f t="shared" si="129"/>
        <v>0</v>
      </c>
      <c r="K2770" s="369">
        <f t="shared" si="131"/>
        <v>6</v>
      </c>
      <c r="L2770" s="369">
        <f>+IF((C2770&gt;='Resultats - informe'!$E$16)*(C2770&lt;='Resultats - informe'!$G$16),1,0)</f>
        <v>1</v>
      </c>
      <c r="M2770" s="369" cm="1">
        <f t="array" ref="M2770">+_xlfn.IFS((C2770&gt;='Resultats - informe'!$D$26)*(C2770&lt;='Resultats - informe'!$E$26),0,(C2770&gt;='Resultats - informe'!$D$27)*(C2770&lt;='Resultats - informe'!$E$27),0,(C2770&gt;='Resultats - informe'!$D$28)*(C2770&lt;='Resultats - informe'!$E$28),0,(C2770&gt;='Resultats - informe'!$D$29)*(C2770&lt;='Resultats - informe'!$E$29),0,1,1)</f>
        <v>0</v>
      </c>
      <c r="N2770" s="366">
        <f>+VLOOKUP(D2770,'Resultats - informe'!$Y$18:$AG$42,'Introducció dades consum'!K2770+1,0)</f>
        <v>0</v>
      </c>
      <c r="O2770" s="370" cm="1">
        <f t="array" ref="O2770">+_xlfn.SWITCH(MONTH(C2770),1,1,2,1,3,1,4,2,5,2,6,3,7,3,8,3,9,3,10,2,11,2,12,1,2)</f>
        <v>1</v>
      </c>
      <c r="P2770" s="43"/>
    </row>
    <row r="2771" spans="1:16" ht="18" x14ac:dyDescent="0.35">
      <c r="A2771" s="43"/>
      <c r="C2771" s="393"/>
      <c r="E2771" s="394"/>
      <c r="F2771" s="394">
        <v>0</v>
      </c>
      <c r="G2771" s="394"/>
      <c r="H2771" s="8" t="s">
        <v>61</v>
      </c>
      <c r="I2771" s="368">
        <f t="shared" si="130"/>
        <v>0</v>
      </c>
      <c r="J2771" s="365">
        <f t="shared" si="129"/>
        <v>0</v>
      </c>
      <c r="K2771" s="369">
        <f t="shared" si="131"/>
        <v>6</v>
      </c>
      <c r="L2771" s="369">
        <f>+IF((C2771&gt;='Resultats - informe'!$E$16)*(C2771&lt;='Resultats - informe'!$G$16),1,0)</f>
        <v>1</v>
      </c>
      <c r="M2771" s="369" cm="1">
        <f t="array" ref="M2771">+_xlfn.IFS((C2771&gt;='Resultats - informe'!$D$26)*(C2771&lt;='Resultats - informe'!$E$26),0,(C2771&gt;='Resultats - informe'!$D$27)*(C2771&lt;='Resultats - informe'!$E$27),0,(C2771&gt;='Resultats - informe'!$D$28)*(C2771&lt;='Resultats - informe'!$E$28),0,(C2771&gt;='Resultats - informe'!$D$29)*(C2771&lt;='Resultats - informe'!$E$29),0,1,1)</f>
        <v>0</v>
      </c>
      <c r="N2771" s="366">
        <f>+VLOOKUP(D2771,'Resultats - informe'!$Y$18:$AG$42,'Introducció dades consum'!K2771+1,0)</f>
        <v>0</v>
      </c>
      <c r="O2771" s="370" cm="1">
        <f t="array" ref="O2771">+_xlfn.SWITCH(MONTH(C2771),1,1,2,1,3,1,4,2,5,2,6,3,7,3,8,3,9,3,10,2,11,2,12,1,2)</f>
        <v>1</v>
      </c>
      <c r="P2771" s="43"/>
    </row>
    <row r="2772" spans="1:16" ht="18" x14ac:dyDescent="0.35">
      <c r="A2772" s="43"/>
      <c r="C2772" s="393"/>
      <c r="E2772" s="394"/>
      <c r="F2772" s="394">
        <v>0</v>
      </c>
      <c r="G2772" s="394"/>
      <c r="H2772" s="8" t="s">
        <v>61</v>
      </c>
      <c r="I2772" s="368">
        <f t="shared" si="130"/>
        <v>0</v>
      </c>
      <c r="J2772" s="365">
        <f t="shared" si="129"/>
        <v>0</v>
      </c>
      <c r="K2772" s="369">
        <f t="shared" si="131"/>
        <v>6</v>
      </c>
      <c r="L2772" s="369">
        <f>+IF((C2772&gt;='Resultats - informe'!$E$16)*(C2772&lt;='Resultats - informe'!$G$16),1,0)</f>
        <v>1</v>
      </c>
      <c r="M2772" s="369" cm="1">
        <f t="array" ref="M2772">+_xlfn.IFS((C2772&gt;='Resultats - informe'!$D$26)*(C2772&lt;='Resultats - informe'!$E$26),0,(C2772&gt;='Resultats - informe'!$D$27)*(C2772&lt;='Resultats - informe'!$E$27),0,(C2772&gt;='Resultats - informe'!$D$28)*(C2772&lt;='Resultats - informe'!$E$28),0,(C2772&gt;='Resultats - informe'!$D$29)*(C2772&lt;='Resultats - informe'!$E$29),0,1,1)</f>
        <v>0</v>
      </c>
      <c r="N2772" s="366">
        <f>+VLOOKUP(D2772,'Resultats - informe'!$Y$18:$AG$42,'Introducció dades consum'!K2772+1,0)</f>
        <v>0</v>
      </c>
      <c r="O2772" s="370" cm="1">
        <f t="array" ref="O2772">+_xlfn.SWITCH(MONTH(C2772),1,1,2,1,3,1,4,2,5,2,6,3,7,3,8,3,9,3,10,2,11,2,12,1,2)</f>
        <v>1</v>
      </c>
      <c r="P2772" s="43"/>
    </row>
    <row r="2773" spans="1:16" ht="18" x14ac:dyDescent="0.35">
      <c r="A2773" s="43"/>
      <c r="C2773" s="393"/>
      <c r="E2773" s="394"/>
      <c r="F2773" s="394">
        <v>0.32600000000000001</v>
      </c>
      <c r="G2773" s="394"/>
      <c r="H2773" s="8" t="s">
        <v>61</v>
      </c>
      <c r="I2773" s="368">
        <f t="shared" si="130"/>
        <v>0</v>
      </c>
      <c r="J2773" s="365">
        <f t="shared" si="129"/>
        <v>0</v>
      </c>
      <c r="K2773" s="369">
        <f t="shared" si="131"/>
        <v>6</v>
      </c>
      <c r="L2773" s="369">
        <f>+IF((C2773&gt;='Resultats - informe'!$E$16)*(C2773&lt;='Resultats - informe'!$G$16),1,0)</f>
        <v>1</v>
      </c>
      <c r="M2773" s="369" cm="1">
        <f t="array" ref="M2773">+_xlfn.IFS((C2773&gt;='Resultats - informe'!$D$26)*(C2773&lt;='Resultats - informe'!$E$26),0,(C2773&gt;='Resultats - informe'!$D$27)*(C2773&lt;='Resultats - informe'!$E$27),0,(C2773&gt;='Resultats - informe'!$D$28)*(C2773&lt;='Resultats - informe'!$E$28),0,(C2773&gt;='Resultats - informe'!$D$29)*(C2773&lt;='Resultats - informe'!$E$29),0,1,1)</f>
        <v>0</v>
      </c>
      <c r="N2773" s="366">
        <f>+VLOOKUP(D2773,'Resultats - informe'!$Y$18:$AG$42,'Introducció dades consum'!K2773+1,0)</f>
        <v>0</v>
      </c>
      <c r="O2773" s="370" cm="1">
        <f t="array" ref="O2773">+_xlfn.SWITCH(MONTH(C2773),1,1,2,1,3,1,4,2,5,2,6,3,7,3,8,3,9,3,10,2,11,2,12,1,2)</f>
        <v>1</v>
      </c>
      <c r="P2773" s="43"/>
    </row>
    <row r="2774" spans="1:16" ht="18" x14ac:dyDescent="0.35">
      <c r="A2774" s="43"/>
      <c r="C2774" s="393"/>
      <c r="E2774" s="394"/>
      <c r="F2774" s="394">
        <v>0.39500000000000002</v>
      </c>
      <c r="G2774" s="394"/>
      <c r="H2774" s="8" t="s">
        <v>61</v>
      </c>
      <c r="I2774" s="368">
        <f t="shared" si="130"/>
        <v>0</v>
      </c>
      <c r="J2774" s="365">
        <f t="shared" si="129"/>
        <v>0</v>
      </c>
      <c r="K2774" s="369">
        <f t="shared" si="131"/>
        <v>6</v>
      </c>
      <c r="L2774" s="369">
        <f>+IF((C2774&gt;='Resultats - informe'!$E$16)*(C2774&lt;='Resultats - informe'!$G$16),1,0)</f>
        <v>1</v>
      </c>
      <c r="M2774" s="369" cm="1">
        <f t="array" ref="M2774">+_xlfn.IFS((C2774&gt;='Resultats - informe'!$D$26)*(C2774&lt;='Resultats - informe'!$E$26),0,(C2774&gt;='Resultats - informe'!$D$27)*(C2774&lt;='Resultats - informe'!$E$27),0,(C2774&gt;='Resultats - informe'!$D$28)*(C2774&lt;='Resultats - informe'!$E$28),0,(C2774&gt;='Resultats - informe'!$D$29)*(C2774&lt;='Resultats - informe'!$E$29),0,1,1)</f>
        <v>0</v>
      </c>
      <c r="N2774" s="366">
        <f>+VLOOKUP(D2774,'Resultats - informe'!$Y$18:$AG$42,'Introducció dades consum'!K2774+1,0)</f>
        <v>0</v>
      </c>
      <c r="O2774" s="370" cm="1">
        <f t="array" ref="O2774">+_xlfn.SWITCH(MONTH(C2774),1,1,2,1,3,1,4,2,5,2,6,3,7,3,8,3,9,3,10,2,11,2,12,1,2)</f>
        <v>1</v>
      </c>
      <c r="P2774" s="43"/>
    </row>
    <row r="2775" spans="1:16" ht="18" x14ac:dyDescent="0.35">
      <c r="A2775" s="43"/>
      <c r="C2775" s="393"/>
      <c r="E2775" s="394"/>
      <c r="F2775" s="394">
        <v>0</v>
      </c>
      <c r="G2775" s="394"/>
      <c r="H2775" s="8" t="s">
        <v>61</v>
      </c>
      <c r="I2775" s="368">
        <f t="shared" si="130"/>
        <v>0</v>
      </c>
      <c r="J2775" s="365">
        <f t="shared" si="129"/>
        <v>0</v>
      </c>
      <c r="K2775" s="369">
        <f t="shared" si="131"/>
        <v>6</v>
      </c>
      <c r="L2775" s="369">
        <f>+IF((C2775&gt;='Resultats - informe'!$E$16)*(C2775&lt;='Resultats - informe'!$G$16),1,0)</f>
        <v>1</v>
      </c>
      <c r="M2775" s="369" cm="1">
        <f t="array" ref="M2775">+_xlfn.IFS((C2775&gt;='Resultats - informe'!$D$26)*(C2775&lt;='Resultats - informe'!$E$26),0,(C2775&gt;='Resultats - informe'!$D$27)*(C2775&lt;='Resultats - informe'!$E$27),0,(C2775&gt;='Resultats - informe'!$D$28)*(C2775&lt;='Resultats - informe'!$E$28),0,(C2775&gt;='Resultats - informe'!$D$29)*(C2775&lt;='Resultats - informe'!$E$29),0,1,1)</f>
        <v>0</v>
      </c>
      <c r="N2775" s="366">
        <f>+VLOOKUP(D2775,'Resultats - informe'!$Y$18:$AG$42,'Introducció dades consum'!K2775+1,0)</f>
        <v>0</v>
      </c>
      <c r="O2775" s="370" cm="1">
        <f t="array" ref="O2775">+_xlfn.SWITCH(MONTH(C2775),1,1,2,1,3,1,4,2,5,2,6,3,7,3,8,3,9,3,10,2,11,2,12,1,2)</f>
        <v>1</v>
      </c>
      <c r="P2775" s="43"/>
    </row>
    <row r="2776" spans="1:16" ht="18" x14ac:dyDescent="0.35">
      <c r="A2776" s="43"/>
      <c r="C2776" s="393"/>
      <c r="E2776" s="394"/>
      <c r="F2776" s="394">
        <v>9.2999999999999999E-2</v>
      </c>
      <c r="G2776" s="394"/>
      <c r="H2776" s="8" t="s">
        <v>61</v>
      </c>
      <c r="I2776" s="368">
        <f t="shared" si="130"/>
        <v>0</v>
      </c>
      <c r="J2776" s="365">
        <f t="shared" si="129"/>
        <v>0</v>
      </c>
      <c r="K2776" s="369">
        <f t="shared" si="131"/>
        <v>6</v>
      </c>
      <c r="L2776" s="369">
        <f>+IF((C2776&gt;='Resultats - informe'!$E$16)*(C2776&lt;='Resultats - informe'!$G$16),1,0)</f>
        <v>1</v>
      </c>
      <c r="M2776" s="369" cm="1">
        <f t="array" ref="M2776">+_xlfn.IFS((C2776&gt;='Resultats - informe'!$D$26)*(C2776&lt;='Resultats - informe'!$E$26),0,(C2776&gt;='Resultats - informe'!$D$27)*(C2776&lt;='Resultats - informe'!$E$27),0,(C2776&gt;='Resultats - informe'!$D$28)*(C2776&lt;='Resultats - informe'!$E$28),0,(C2776&gt;='Resultats - informe'!$D$29)*(C2776&lt;='Resultats - informe'!$E$29),0,1,1)</f>
        <v>0</v>
      </c>
      <c r="N2776" s="366">
        <f>+VLOOKUP(D2776,'Resultats - informe'!$Y$18:$AG$42,'Introducció dades consum'!K2776+1,0)</f>
        <v>0</v>
      </c>
      <c r="O2776" s="370" cm="1">
        <f t="array" ref="O2776">+_xlfn.SWITCH(MONTH(C2776),1,1,2,1,3,1,4,2,5,2,6,3,7,3,8,3,9,3,10,2,11,2,12,1,2)</f>
        <v>1</v>
      </c>
      <c r="P2776" s="43"/>
    </row>
    <row r="2777" spans="1:16" ht="18" x14ac:dyDescent="0.35">
      <c r="A2777" s="43"/>
      <c r="C2777" s="393"/>
      <c r="E2777" s="394"/>
      <c r="F2777" s="394">
        <v>0</v>
      </c>
      <c r="G2777" s="394"/>
      <c r="H2777" s="8" t="s">
        <v>61</v>
      </c>
      <c r="I2777" s="368">
        <f t="shared" si="130"/>
        <v>0</v>
      </c>
      <c r="J2777" s="365">
        <f t="shared" si="129"/>
        <v>0</v>
      </c>
      <c r="K2777" s="369">
        <f t="shared" si="131"/>
        <v>6</v>
      </c>
      <c r="L2777" s="369">
        <f>+IF((C2777&gt;='Resultats - informe'!$E$16)*(C2777&lt;='Resultats - informe'!$G$16),1,0)</f>
        <v>1</v>
      </c>
      <c r="M2777" s="369" cm="1">
        <f t="array" ref="M2777">+_xlfn.IFS((C2777&gt;='Resultats - informe'!$D$26)*(C2777&lt;='Resultats - informe'!$E$26),0,(C2777&gt;='Resultats - informe'!$D$27)*(C2777&lt;='Resultats - informe'!$E$27),0,(C2777&gt;='Resultats - informe'!$D$28)*(C2777&lt;='Resultats - informe'!$E$28),0,(C2777&gt;='Resultats - informe'!$D$29)*(C2777&lt;='Resultats - informe'!$E$29),0,1,1)</f>
        <v>0</v>
      </c>
      <c r="N2777" s="366">
        <f>+VLOOKUP(D2777,'Resultats - informe'!$Y$18:$AG$42,'Introducció dades consum'!K2777+1,0)</f>
        <v>0</v>
      </c>
      <c r="O2777" s="370" cm="1">
        <f t="array" ref="O2777">+_xlfn.SWITCH(MONTH(C2777),1,1,2,1,3,1,4,2,5,2,6,3,7,3,8,3,9,3,10,2,11,2,12,1,2)</f>
        <v>1</v>
      </c>
      <c r="P2777" s="43"/>
    </row>
    <row r="2778" spans="1:16" ht="18" x14ac:dyDescent="0.35">
      <c r="A2778" s="43"/>
      <c r="C2778" s="393"/>
      <c r="E2778" s="394"/>
      <c r="F2778" s="394">
        <v>0.214</v>
      </c>
      <c r="G2778" s="394"/>
      <c r="H2778" s="8" t="s">
        <v>61</v>
      </c>
      <c r="I2778" s="368">
        <f t="shared" si="130"/>
        <v>0</v>
      </c>
      <c r="J2778" s="365">
        <f t="shared" si="129"/>
        <v>0</v>
      </c>
      <c r="K2778" s="369">
        <f t="shared" si="131"/>
        <v>6</v>
      </c>
      <c r="L2778" s="369">
        <f>+IF((C2778&gt;='Resultats - informe'!$E$16)*(C2778&lt;='Resultats - informe'!$G$16),1,0)</f>
        <v>1</v>
      </c>
      <c r="M2778" s="369" cm="1">
        <f t="array" ref="M2778">+_xlfn.IFS((C2778&gt;='Resultats - informe'!$D$26)*(C2778&lt;='Resultats - informe'!$E$26),0,(C2778&gt;='Resultats - informe'!$D$27)*(C2778&lt;='Resultats - informe'!$E$27),0,(C2778&gt;='Resultats - informe'!$D$28)*(C2778&lt;='Resultats - informe'!$E$28),0,(C2778&gt;='Resultats - informe'!$D$29)*(C2778&lt;='Resultats - informe'!$E$29),0,1,1)</f>
        <v>0</v>
      </c>
      <c r="N2778" s="366">
        <f>+VLOOKUP(D2778,'Resultats - informe'!$Y$18:$AG$42,'Introducció dades consum'!K2778+1,0)</f>
        <v>0</v>
      </c>
      <c r="O2778" s="370" cm="1">
        <f t="array" ref="O2778">+_xlfn.SWITCH(MONTH(C2778),1,1,2,1,3,1,4,2,5,2,6,3,7,3,8,3,9,3,10,2,11,2,12,1,2)</f>
        <v>1</v>
      </c>
      <c r="P2778" s="43"/>
    </row>
    <row r="2779" spans="1:16" ht="18" x14ac:dyDescent="0.35">
      <c r="A2779" s="43"/>
      <c r="C2779" s="393"/>
      <c r="E2779" s="394"/>
      <c r="F2779" s="394">
        <v>0.27300000000000002</v>
      </c>
      <c r="G2779" s="394"/>
      <c r="H2779" s="8" t="s">
        <v>61</v>
      </c>
      <c r="I2779" s="368">
        <f t="shared" si="130"/>
        <v>0</v>
      </c>
      <c r="J2779" s="365">
        <f t="shared" si="129"/>
        <v>0</v>
      </c>
      <c r="K2779" s="369">
        <f t="shared" si="131"/>
        <v>6</v>
      </c>
      <c r="L2779" s="369">
        <f>+IF((C2779&gt;='Resultats - informe'!$E$16)*(C2779&lt;='Resultats - informe'!$G$16),1,0)</f>
        <v>1</v>
      </c>
      <c r="M2779" s="369" cm="1">
        <f t="array" ref="M2779">+_xlfn.IFS((C2779&gt;='Resultats - informe'!$D$26)*(C2779&lt;='Resultats - informe'!$E$26),0,(C2779&gt;='Resultats - informe'!$D$27)*(C2779&lt;='Resultats - informe'!$E$27),0,(C2779&gt;='Resultats - informe'!$D$28)*(C2779&lt;='Resultats - informe'!$E$28),0,(C2779&gt;='Resultats - informe'!$D$29)*(C2779&lt;='Resultats - informe'!$E$29),0,1,1)</f>
        <v>0</v>
      </c>
      <c r="N2779" s="366">
        <f>+VLOOKUP(D2779,'Resultats - informe'!$Y$18:$AG$42,'Introducció dades consum'!K2779+1,0)</f>
        <v>0</v>
      </c>
      <c r="O2779" s="370" cm="1">
        <f t="array" ref="O2779">+_xlfn.SWITCH(MONTH(C2779),1,1,2,1,3,1,4,2,5,2,6,3,7,3,8,3,9,3,10,2,11,2,12,1,2)</f>
        <v>1</v>
      </c>
      <c r="P2779" s="43"/>
    </row>
    <row r="2780" spans="1:16" ht="18" x14ac:dyDescent="0.35">
      <c r="A2780" s="43"/>
      <c r="C2780" s="393"/>
      <c r="E2780" s="394"/>
      <c r="F2780" s="394">
        <v>0.72699999999999998</v>
      </c>
      <c r="G2780" s="394"/>
      <c r="H2780" s="8" t="s">
        <v>235</v>
      </c>
      <c r="I2780" s="368">
        <f t="shared" si="130"/>
        <v>0</v>
      </c>
      <c r="J2780" s="365">
        <f t="shared" si="129"/>
        <v>0</v>
      </c>
      <c r="K2780" s="369">
        <f t="shared" si="131"/>
        <v>6</v>
      </c>
      <c r="L2780" s="369">
        <f>+IF((C2780&gt;='Resultats - informe'!$E$16)*(C2780&lt;='Resultats - informe'!$G$16),1,0)</f>
        <v>1</v>
      </c>
      <c r="M2780" s="369" cm="1">
        <f t="array" ref="M2780">+_xlfn.IFS((C2780&gt;='Resultats - informe'!$D$26)*(C2780&lt;='Resultats - informe'!$E$26),0,(C2780&gt;='Resultats - informe'!$D$27)*(C2780&lt;='Resultats - informe'!$E$27),0,(C2780&gt;='Resultats - informe'!$D$28)*(C2780&lt;='Resultats - informe'!$E$28),0,(C2780&gt;='Resultats - informe'!$D$29)*(C2780&lt;='Resultats - informe'!$E$29),0,1,1)</f>
        <v>0</v>
      </c>
      <c r="N2780" s="366">
        <f>+VLOOKUP(D2780,'Resultats - informe'!$Y$18:$AG$42,'Introducció dades consum'!K2780+1,0)</f>
        <v>0</v>
      </c>
      <c r="O2780" s="370" cm="1">
        <f t="array" ref="O2780">+_xlfn.SWITCH(MONTH(C2780),1,1,2,1,3,1,4,2,5,2,6,3,7,3,8,3,9,3,10,2,11,2,12,1,2)</f>
        <v>1</v>
      </c>
      <c r="P2780" s="43"/>
    </row>
    <row r="2781" spans="1:16" ht="18" x14ac:dyDescent="0.35">
      <c r="A2781" s="43"/>
      <c r="C2781" s="393"/>
      <c r="E2781" s="394"/>
      <c r="F2781" s="394">
        <v>0</v>
      </c>
      <c r="G2781" s="394"/>
      <c r="H2781" s="8" t="s">
        <v>235</v>
      </c>
      <c r="I2781" s="368">
        <f t="shared" si="130"/>
        <v>0</v>
      </c>
      <c r="J2781" s="365">
        <f t="shared" si="129"/>
        <v>0</v>
      </c>
      <c r="K2781" s="369">
        <f t="shared" si="131"/>
        <v>6</v>
      </c>
      <c r="L2781" s="369">
        <f>+IF((C2781&gt;='Resultats - informe'!$E$16)*(C2781&lt;='Resultats - informe'!$G$16),1,0)</f>
        <v>1</v>
      </c>
      <c r="M2781" s="369" cm="1">
        <f t="array" ref="M2781">+_xlfn.IFS((C2781&gt;='Resultats - informe'!$D$26)*(C2781&lt;='Resultats - informe'!$E$26),0,(C2781&gt;='Resultats - informe'!$D$27)*(C2781&lt;='Resultats - informe'!$E$27),0,(C2781&gt;='Resultats - informe'!$D$28)*(C2781&lt;='Resultats - informe'!$E$28),0,(C2781&gt;='Resultats - informe'!$D$29)*(C2781&lt;='Resultats - informe'!$E$29),0,1,1)</f>
        <v>0</v>
      </c>
      <c r="N2781" s="366">
        <f>+VLOOKUP(D2781,'Resultats - informe'!$Y$18:$AG$42,'Introducció dades consum'!K2781+1,0)</f>
        <v>0</v>
      </c>
      <c r="O2781" s="370" cm="1">
        <f t="array" ref="O2781">+_xlfn.SWITCH(MONTH(C2781),1,1,2,1,3,1,4,2,5,2,6,3,7,3,8,3,9,3,10,2,11,2,12,1,2)</f>
        <v>1</v>
      </c>
      <c r="P2781" s="43"/>
    </row>
    <row r="2782" spans="1:16" ht="18" x14ac:dyDescent="0.35">
      <c r="A2782" s="43"/>
      <c r="C2782" s="393"/>
      <c r="E2782" s="394"/>
      <c r="F2782" s="394">
        <v>0</v>
      </c>
      <c r="G2782" s="394"/>
      <c r="H2782" s="8" t="s">
        <v>235</v>
      </c>
      <c r="I2782" s="368">
        <f t="shared" si="130"/>
        <v>0</v>
      </c>
      <c r="J2782" s="365">
        <f t="shared" si="129"/>
        <v>0</v>
      </c>
      <c r="K2782" s="369">
        <f t="shared" si="131"/>
        <v>6</v>
      </c>
      <c r="L2782" s="369">
        <f>+IF((C2782&gt;='Resultats - informe'!$E$16)*(C2782&lt;='Resultats - informe'!$G$16),1,0)</f>
        <v>1</v>
      </c>
      <c r="M2782" s="369" cm="1">
        <f t="array" ref="M2782">+_xlfn.IFS((C2782&gt;='Resultats - informe'!$D$26)*(C2782&lt;='Resultats - informe'!$E$26),0,(C2782&gt;='Resultats - informe'!$D$27)*(C2782&lt;='Resultats - informe'!$E$27),0,(C2782&gt;='Resultats - informe'!$D$28)*(C2782&lt;='Resultats - informe'!$E$28),0,(C2782&gt;='Resultats - informe'!$D$29)*(C2782&lt;='Resultats - informe'!$E$29),0,1,1)</f>
        <v>0</v>
      </c>
      <c r="N2782" s="366">
        <f>+VLOOKUP(D2782,'Resultats - informe'!$Y$18:$AG$42,'Introducció dades consum'!K2782+1,0)</f>
        <v>0</v>
      </c>
      <c r="O2782" s="370" cm="1">
        <f t="array" ref="O2782">+_xlfn.SWITCH(MONTH(C2782),1,1,2,1,3,1,4,2,5,2,6,3,7,3,8,3,9,3,10,2,11,2,12,1,2)</f>
        <v>1</v>
      </c>
      <c r="P2782" s="43"/>
    </row>
    <row r="2783" spans="1:16" ht="18" x14ac:dyDescent="0.35">
      <c r="A2783" s="43"/>
      <c r="C2783" s="393"/>
      <c r="E2783" s="394"/>
      <c r="F2783" s="394">
        <v>0</v>
      </c>
      <c r="G2783" s="394"/>
      <c r="H2783" s="8" t="s">
        <v>235</v>
      </c>
      <c r="I2783" s="368">
        <f t="shared" si="130"/>
        <v>0</v>
      </c>
      <c r="J2783" s="365">
        <f t="shared" si="129"/>
        <v>0</v>
      </c>
      <c r="K2783" s="369">
        <f t="shared" si="131"/>
        <v>6</v>
      </c>
      <c r="L2783" s="369">
        <f>+IF((C2783&gt;='Resultats - informe'!$E$16)*(C2783&lt;='Resultats - informe'!$G$16),1,0)</f>
        <v>1</v>
      </c>
      <c r="M2783" s="369" cm="1">
        <f t="array" ref="M2783">+_xlfn.IFS((C2783&gt;='Resultats - informe'!$D$26)*(C2783&lt;='Resultats - informe'!$E$26),0,(C2783&gt;='Resultats - informe'!$D$27)*(C2783&lt;='Resultats - informe'!$E$27),0,(C2783&gt;='Resultats - informe'!$D$28)*(C2783&lt;='Resultats - informe'!$E$28),0,(C2783&gt;='Resultats - informe'!$D$29)*(C2783&lt;='Resultats - informe'!$E$29),0,1,1)</f>
        <v>0</v>
      </c>
      <c r="N2783" s="366">
        <f>+VLOOKUP(D2783,'Resultats - informe'!$Y$18:$AG$42,'Introducció dades consum'!K2783+1,0)</f>
        <v>0</v>
      </c>
      <c r="O2783" s="370" cm="1">
        <f t="array" ref="O2783">+_xlfn.SWITCH(MONTH(C2783),1,1,2,1,3,1,4,2,5,2,6,3,7,3,8,3,9,3,10,2,11,2,12,1,2)</f>
        <v>1</v>
      </c>
      <c r="P2783" s="43"/>
    </row>
    <row r="2784" spans="1:16" ht="18" x14ac:dyDescent="0.35">
      <c r="A2784" s="43"/>
      <c r="C2784" s="393"/>
      <c r="E2784" s="394"/>
      <c r="F2784" s="394">
        <v>0</v>
      </c>
      <c r="G2784" s="394"/>
      <c r="H2784" s="8" t="s">
        <v>235</v>
      </c>
      <c r="I2784" s="368">
        <f t="shared" si="130"/>
        <v>0</v>
      </c>
      <c r="J2784" s="365">
        <f t="shared" si="129"/>
        <v>0</v>
      </c>
      <c r="K2784" s="369">
        <f t="shared" si="131"/>
        <v>6</v>
      </c>
      <c r="L2784" s="369">
        <f>+IF((C2784&gt;='Resultats - informe'!$E$16)*(C2784&lt;='Resultats - informe'!$G$16),1,0)</f>
        <v>1</v>
      </c>
      <c r="M2784" s="369" cm="1">
        <f t="array" ref="M2784">+_xlfn.IFS((C2784&gt;='Resultats - informe'!$D$26)*(C2784&lt;='Resultats - informe'!$E$26),0,(C2784&gt;='Resultats - informe'!$D$27)*(C2784&lt;='Resultats - informe'!$E$27),0,(C2784&gt;='Resultats - informe'!$D$28)*(C2784&lt;='Resultats - informe'!$E$28),0,(C2784&gt;='Resultats - informe'!$D$29)*(C2784&lt;='Resultats - informe'!$E$29),0,1,1)</f>
        <v>0</v>
      </c>
      <c r="N2784" s="366">
        <f>+VLOOKUP(D2784,'Resultats - informe'!$Y$18:$AG$42,'Introducció dades consum'!K2784+1,0)</f>
        <v>0</v>
      </c>
      <c r="O2784" s="370" cm="1">
        <f t="array" ref="O2784">+_xlfn.SWITCH(MONTH(C2784),1,1,2,1,3,1,4,2,5,2,6,3,7,3,8,3,9,3,10,2,11,2,12,1,2)</f>
        <v>1</v>
      </c>
      <c r="P2784" s="43"/>
    </row>
    <row r="2785" spans="1:16" ht="18" x14ac:dyDescent="0.35">
      <c r="A2785" s="43"/>
      <c r="C2785" s="393"/>
      <c r="E2785" s="394"/>
      <c r="F2785" s="394">
        <v>0</v>
      </c>
      <c r="G2785" s="394"/>
      <c r="H2785" s="8" t="s">
        <v>235</v>
      </c>
      <c r="I2785" s="368">
        <f t="shared" si="130"/>
        <v>0</v>
      </c>
      <c r="J2785" s="365">
        <f t="shared" si="129"/>
        <v>0</v>
      </c>
      <c r="K2785" s="369">
        <f t="shared" si="131"/>
        <v>6</v>
      </c>
      <c r="L2785" s="369">
        <f>+IF((C2785&gt;='Resultats - informe'!$E$16)*(C2785&lt;='Resultats - informe'!$G$16),1,0)</f>
        <v>1</v>
      </c>
      <c r="M2785" s="369" cm="1">
        <f t="array" ref="M2785">+_xlfn.IFS((C2785&gt;='Resultats - informe'!$D$26)*(C2785&lt;='Resultats - informe'!$E$26),0,(C2785&gt;='Resultats - informe'!$D$27)*(C2785&lt;='Resultats - informe'!$E$27),0,(C2785&gt;='Resultats - informe'!$D$28)*(C2785&lt;='Resultats - informe'!$E$28),0,(C2785&gt;='Resultats - informe'!$D$29)*(C2785&lt;='Resultats - informe'!$E$29),0,1,1)</f>
        <v>0</v>
      </c>
      <c r="N2785" s="366">
        <f>+VLOOKUP(D2785,'Resultats - informe'!$Y$18:$AG$42,'Introducció dades consum'!K2785+1,0)</f>
        <v>0</v>
      </c>
      <c r="O2785" s="370" cm="1">
        <f t="array" ref="O2785">+_xlfn.SWITCH(MONTH(C2785),1,1,2,1,3,1,4,2,5,2,6,3,7,3,8,3,9,3,10,2,11,2,12,1,2)</f>
        <v>1</v>
      </c>
      <c r="P2785" s="43"/>
    </row>
    <row r="2786" spans="1:16" ht="18" x14ac:dyDescent="0.35">
      <c r="A2786" s="43"/>
      <c r="C2786" s="393"/>
      <c r="E2786" s="394"/>
      <c r="F2786" s="394">
        <v>0</v>
      </c>
      <c r="G2786" s="394"/>
      <c r="H2786" s="8" t="s">
        <v>235</v>
      </c>
      <c r="I2786" s="368">
        <f t="shared" si="130"/>
        <v>0</v>
      </c>
      <c r="J2786" s="365">
        <f t="shared" si="129"/>
        <v>0</v>
      </c>
      <c r="K2786" s="369">
        <f t="shared" si="131"/>
        <v>6</v>
      </c>
      <c r="L2786" s="369">
        <f>+IF((C2786&gt;='Resultats - informe'!$E$16)*(C2786&lt;='Resultats - informe'!$G$16),1,0)</f>
        <v>1</v>
      </c>
      <c r="M2786" s="369" cm="1">
        <f t="array" ref="M2786">+_xlfn.IFS((C2786&gt;='Resultats - informe'!$D$26)*(C2786&lt;='Resultats - informe'!$E$26),0,(C2786&gt;='Resultats - informe'!$D$27)*(C2786&lt;='Resultats - informe'!$E$27),0,(C2786&gt;='Resultats - informe'!$D$28)*(C2786&lt;='Resultats - informe'!$E$28),0,(C2786&gt;='Resultats - informe'!$D$29)*(C2786&lt;='Resultats - informe'!$E$29),0,1,1)</f>
        <v>0</v>
      </c>
      <c r="N2786" s="366">
        <f>+VLOOKUP(D2786,'Resultats - informe'!$Y$18:$AG$42,'Introducció dades consum'!K2786+1,0)</f>
        <v>0</v>
      </c>
      <c r="O2786" s="370" cm="1">
        <f t="array" ref="O2786">+_xlfn.SWITCH(MONTH(C2786),1,1,2,1,3,1,4,2,5,2,6,3,7,3,8,3,9,3,10,2,11,2,12,1,2)</f>
        <v>1</v>
      </c>
      <c r="P2786" s="43"/>
    </row>
    <row r="2787" spans="1:16" ht="18" x14ac:dyDescent="0.35">
      <c r="A2787" s="43"/>
      <c r="C2787" s="393"/>
      <c r="E2787" s="394"/>
      <c r="F2787" s="394">
        <v>0</v>
      </c>
      <c r="G2787" s="394"/>
      <c r="H2787" s="8" t="s">
        <v>61</v>
      </c>
      <c r="I2787" s="368">
        <f t="shared" si="130"/>
        <v>0</v>
      </c>
      <c r="J2787" s="365">
        <f t="shared" si="129"/>
        <v>0</v>
      </c>
      <c r="K2787" s="369">
        <f t="shared" si="131"/>
        <v>6</v>
      </c>
      <c r="L2787" s="369">
        <f>+IF((C2787&gt;='Resultats - informe'!$E$16)*(C2787&lt;='Resultats - informe'!$G$16),1,0)</f>
        <v>1</v>
      </c>
      <c r="M2787" s="369" cm="1">
        <f t="array" ref="M2787">+_xlfn.IFS((C2787&gt;='Resultats - informe'!$D$26)*(C2787&lt;='Resultats - informe'!$E$26),0,(C2787&gt;='Resultats - informe'!$D$27)*(C2787&lt;='Resultats - informe'!$E$27),0,(C2787&gt;='Resultats - informe'!$D$28)*(C2787&lt;='Resultats - informe'!$E$28),0,(C2787&gt;='Resultats - informe'!$D$29)*(C2787&lt;='Resultats - informe'!$E$29),0,1,1)</f>
        <v>0</v>
      </c>
      <c r="N2787" s="366">
        <f>+VLOOKUP(D2787,'Resultats - informe'!$Y$18:$AG$42,'Introducció dades consum'!K2787+1,0)</f>
        <v>0</v>
      </c>
      <c r="O2787" s="370" cm="1">
        <f t="array" ref="O2787">+_xlfn.SWITCH(MONTH(C2787),1,1,2,1,3,1,4,2,5,2,6,3,7,3,8,3,9,3,10,2,11,2,12,1,2)</f>
        <v>1</v>
      </c>
      <c r="P2787" s="43"/>
    </row>
    <row r="2788" spans="1:16" ht="18" x14ac:dyDescent="0.35">
      <c r="A2788" s="43"/>
      <c r="C2788" s="393"/>
      <c r="E2788" s="394"/>
      <c r="F2788" s="394">
        <v>0</v>
      </c>
      <c r="G2788" s="394"/>
      <c r="H2788" s="8" t="s">
        <v>61</v>
      </c>
      <c r="I2788" s="368">
        <f t="shared" si="130"/>
        <v>0</v>
      </c>
      <c r="J2788" s="365">
        <f t="shared" si="129"/>
        <v>0</v>
      </c>
      <c r="K2788" s="369">
        <f t="shared" si="131"/>
        <v>6</v>
      </c>
      <c r="L2788" s="369">
        <f>+IF((C2788&gt;='Resultats - informe'!$E$16)*(C2788&lt;='Resultats - informe'!$G$16),1,0)</f>
        <v>1</v>
      </c>
      <c r="M2788" s="369" cm="1">
        <f t="array" ref="M2788">+_xlfn.IFS((C2788&gt;='Resultats - informe'!$D$26)*(C2788&lt;='Resultats - informe'!$E$26),0,(C2788&gt;='Resultats - informe'!$D$27)*(C2788&lt;='Resultats - informe'!$E$27),0,(C2788&gt;='Resultats - informe'!$D$28)*(C2788&lt;='Resultats - informe'!$E$28),0,(C2788&gt;='Resultats - informe'!$D$29)*(C2788&lt;='Resultats - informe'!$E$29),0,1,1)</f>
        <v>0</v>
      </c>
      <c r="N2788" s="366">
        <f>+VLOOKUP(D2788,'Resultats - informe'!$Y$18:$AG$42,'Introducció dades consum'!K2788+1,0)</f>
        <v>0</v>
      </c>
      <c r="O2788" s="370" cm="1">
        <f t="array" ref="O2788">+_xlfn.SWITCH(MONTH(C2788),1,1,2,1,3,1,4,2,5,2,6,3,7,3,8,3,9,3,10,2,11,2,12,1,2)</f>
        <v>1</v>
      </c>
      <c r="P2788" s="43"/>
    </row>
    <row r="2789" spans="1:16" ht="18" x14ac:dyDescent="0.35">
      <c r="A2789" s="43"/>
      <c r="C2789" s="393"/>
      <c r="E2789" s="394"/>
      <c r="F2789" s="394">
        <v>0</v>
      </c>
      <c r="G2789" s="394"/>
      <c r="H2789" s="8" t="s">
        <v>61</v>
      </c>
      <c r="I2789" s="368">
        <f t="shared" si="130"/>
        <v>0</v>
      </c>
      <c r="J2789" s="365">
        <f t="shared" si="129"/>
        <v>0</v>
      </c>
      <c r="K2789" s="369">
        <f t="shared" si="131"/>
        <v>6</v>
      </c>
      <c r="L2789" s="369">
        <f>+IF((C2789&gt;='Resultats - informe'!$E$16)*(C2789&lt;='Resultats - informe'!$G$16),1,0)</f>
        <v>1</v>
      </c>
      <c r="M2789" s="369" cm="1">
        <f t="array" ref="M2789">+_xlfn.IFS((C2789&gt;='Resultats - informe'!$D$26)*(C2789&lt;='Resultats - informe'!$E$26),0,(C2789&gt;='Resultats - informe'!$D$27)*(C2789&lt;='Resultats - informe'!$E$27),0,(C2789&gt;='Resultats - informe'!$D$28)*(C2789&lt;='Resultats - informe'!$E$28),0,(C2789&gt;='Resultats - informe'!$D$29)*(C2789&lt;='Resultats - informe'!$E$29),0,1,1)</f>
        <v>0</v>
      </c>
      <c r="N2789" s="366">
        <f>+VLOOKUP(D2789,'Resultats - informe'!$Y$18:$AG$42,'Introducció dades consum'!K2789+1,0)</f>
        <v>0</v>
      </c>
      <c r="O2789" s="370" cm="1">
        <f t="array" ref="O2789">+_xlfn.SWITCH(MONTH(C2789),1,1,2,1,3,1,4,2,5,2,6,3,7,3,8,3,9,3,10,2,11,2,12,1,2)</f>
        <v>1</v>
      </c>
      <c r="P2789" s="43"/>
    </row>
    <row r="2790" spans="1:16" ht="18" x14ac:dyDescent="0.35">
      <c r="A2790" s="43"/>
      <c r="C2790" s="393"/>
      <c r="E2790" s="394"/>
      <c r="F2790" s="394">
        <v>0</v>
      </c>
      <c r="G2790" s="394"/>
      <c r="H2790" s="8" t="s">
        <v>235</v>
      </c>
      <c r="I2790" s="368">
        <f t="shared" si="130"/>
        <v>0</v>
      </c>
      <c r="J2790" s="365">
        <f t="shared" si="129"/>
        <v>0</v>
      </c>
      <c r="K2790" s="369">
        <f t="shared" si="131"/>
        <v>6</v>
      </c>
      <c r="L2790" s="369">
        <f>+IF((C2790&gt;='Resultats - informe'!$E$16)*(C2790&lt;='Resultats - informe'!$G$16),1,0)</f>
        <v>1</v>
      </c>
      <c r="M2790" s="369" cm="1">
        <f t="array" ref="M2790">+_xlfn.IFS((C2790&gt;='Resultats - informe'!$D$26)*(C2790&lt;='Resultats - informe'!$E$26),0,(C2790&gt;='Resultats - informe'!$D$27)*(C2790&lt;='Resultats - informe'!$E$27),0,(C2790&gt;='Resultats - informe'!$D$28)*(C2790&lt;='Resultats - informe'!$E$28),0,(C2790&gt;='Resultats - informe'!$D$29)*(C2790&lt;='Resultats - informe'!$E$29),0,1,1)</f>
        <v>0</v>
      </c>
      <c r="N2790" s="366">
        <f>+VLOOKUP(D2790,'Resultats - informe'!$Y$18:$AG$42,'Introducció dades consum'!K2790+1,0)</f>
        <v>0</v>
      </c>
      <c r="O2790" s="370" cm="1">
        <f t="array" ref="O2790">+_xlfn.SWITCH(MONTH(C2790),1,1,2,1,3,1,4,2,5,2,6,3,7,3,8,3,9,3,10,2,11,2,12,1,2)</f>
        <v>1</v>
      </c>
      <c r="P2790" s="43"/>
    </row>
    <row r="2791" spans="1:16" ht="18" x14ac:dyDescent="0.35">
      <c r="A2791" s="43"/>
      <c r="C2791" s="393"/>
      <c r="E2791" s="394"/>
      <c r="F2791" s="394">
        <v>0</v>
      </c>
      <c r="G2791" s="394"/>
      <c r="H2791" s="8" t="s">
        <v>235</v>
      </c>
      <c r="I2791" s="368">
        <f t="shared" si="130"/>
        <v>0</v>
      </c>
      <c r="J2791" s="365">
        <f t="shared" si="129"/>
        <v>0</v>
      </c>
      <c r="K2791" s="369">
        <f t="shared" si="131"/>
        <v>6</v>
      </c>
      <c r="L2791" s="369">
        <f>+IF((C2791&gt;='Resultats - informe'!$E$16)*(C2791&lt;='Resultats - informe'!$G$16),1,0)</f>
        <v>1</v>
      </c>
      <c r="M2791" s="369" cm="1">
        <f t="array" ref="M2791">+_xlfn.IFS((C2791&gt;='Resultats - informe'!$D$26)*(C2791&lt;='Resultats - informe'!$E$26),0,(C2791&gt;='Resultats - informe'!$D$27)*(C2791&lt;='Resultats - informe'!$E$27),0,(C2791&gt;='Resultats - informe'!$D$28)*(C2791&lt;='Resultats - informe'!$E$28),0,(C2791&gt;='Resultats - informe'!$D$29)*(C2791&lt;='Resultats - informe'!$E$29),0,1,1)</f>
        <v>0</v>
      </c>
      <c r="N2791" s="366">
        <f>+VLOOKUP(D2791,'Resultats - informe'!$Y$18:$AG$42,'Introducció dades consum'!K2791+1,0)</f>
        <v>0</v>
      </c>
      <c r="O2791" s="370" cm="1">
        <f t="array" ref="O2791">+_xlfn.SWITCH(MONTH(C2791),1,1,2,1,3,1,4,2,5,2,6,3,7,3,8,3,9,3,10,2,11,2,12,1,2)</f>
        <v>1</v>
      </c>
      <c r="P2791" s="43"/>
    </row>
    <row r="2792" spans="1:16" ht="18" x14ac:dyDescent="0.35">
      <c r="A2792" s="43"/>
      <c r="C2792" s="393"/>
      <c r="E2792" s="394"/>
      <c r="F2792" s="394">
        <v>0</v>
      </c>
      <c r="G2792" s="394"/>
      <c r="H2792" s="8" t="s">
        <v>235</v>
      </c>
      <c r="I2792" s="368">
        <f t="shared" si="130"/>
        <v>0</v>
      </c>
      <c r="J2792" s="365">
        <f t="shared" si="129"/>
        <v>0</v>
      </c>
      <c r="K2792" s="369">
        <f t="shared" si="131"/>
        <v>6</v>
      </c>
      <c r="L2792" s="369">
        <f>+IF((C2792&gt;='Resultats - informe'!$E$16)*(C2792&lt;='Resultats - informe'!$G$16),1,0)</f>
        <v>1</v>
      </c>
      <c r="M2792" s="369" cm="1">
        <f t="array" ref="M2792">+_xlfn.IFS((C2792&gt;='Resultats - informe'!$D$26)*(C2792&lt;='Resultats - informe'!$E$26),0,(C2792&gt;='Resultats - informe'!$D$27)*(C2792&lt;='Resultats - informe'!$E$27),0,(C2792&gt;='Resultats - informe'!$D$28)*(C2792&lt;='Resultats - informe'!$E$28),0,(C2792&gt;='Resultats - informe'!$D$29)*(C2792&lt;='Resultats - informe'!$E$29),0,1,1)</f>
        <v>0</v>
      </c>
      <c r="N2792" s="366">
        <f>+VLOOKUP(D2792,'Resultats - informe'!$Y$18:$AG$42,'Introducció dades consum'!K2792+1,0)</f>
        <v>0</v>
      </c>
      <c r="O2792" s="370" cm="1">
        <f t="array" ref="O2792">+_xlfn.SWITCH(MONTH(C2792),1,1,2,1,3,1,4,2,5,2,6,3,7,3,8,3,9,3,10,2,11,2,12,1,2)</f>
        <v>1</v>
      </c>
      <c r="P2792" s="43"/>
    </row>
    <row r="2793" spans="1:16" ht="18" x14ac:dyDescent="0.35">
      <c r="A2793" s="43"/>
      <c r="C2793" s="393"/>
      <c r="E2793" s="394"/>
      <c r="F2793" s="394">
        <v>0</v>
      </c>
      <c r="G2793" s="394"/>
      <c r="H2793" s="8" t="s">
        <v>235</v>
      </c>
      <c r="I2793" s="368">
        <f t="shared" si="130"/>
        <v>0</v>
      </c>
      <c r="J2793" s="365">
        <f t="shared" si="129"/>
        <v>0</v>
      </c>
      <c r="K2793" s="369">
        <f t="shared" si="131"/>
        <v>6</v>
      </c>
      <c r="L2793" s="369">
        <f>+IF((C2793&gt;='Resultats - informe'!$E$16)*(C2793&lt;='Resultats - informe'!$G$16),1,0)</f>
        <v>1</v>
      </c>
      <c r="M2793" s="369" cm="1">
        <f t="array" ref="M2793">+_xlfn.IFS((C2793&gt;='Resultats - informe'!$D$26)*(C2793&lt;='Resultats - informe'!$E$26),0,(C2793&gt;='Resultats - informe'!$D$27)*(C2793&lt;='Resultats - informe'!$E$27),0,(C2793&gt;='Resultats - informe'!$D$28)*(C2793&lt;='Resultats - informe'!$E$28),0,(C2793&gt;='Resultats - informe'!$D$29)*(C2793&lt;='Resultats - informe'!$E$29),0,1,1)</f>
        <v>0</v>
      </c>
      <c r="N2793" s="366">
        <f>+VLOOKUP(D2793,'Resultats - informe'!$Y$18:$AG$42,'Introducció dades consum'!K2793+1,0)</f>
        <v>0</v>
      </c>
      <c r="O2793" s="370" cm="1">
        <f t="array" ref="O2793">+_xlfn.SWITCH(MONTH(C2793),1,1,2,1,3,1,4,2,5,2,6,3,7,3,8,3,9,3,10,2,11,2,12,1,2)</f>
        <v>1</v>
      </c>
      <c r="P2793" s="43"/>
    </row>
    <row r="2794" spans="1:16" ht="18" x14ac:dyDescent="0.35">
      <c r="A2794" s="43"/>
      <c r="C2794" s="393"/>
      <c r="E2794" s="394"/>
      <c r="F2794" s="394">
        <v>0.73499999999999999</v>
      </c>
      <c r="G2794" s="394"/>
      <c r="H2794" s="8" t="s">
        <v>235</v>
      </c>
      <c r="I2794" s="368">
        <f t="shared" si="130"/>
        <v>0</v>
      </c>
      <c r="J2794" s="365">
        <f t="shared" si="129"/>
        <v>0</v>
      </c>
      <c r="K2794" s="369">
        <f t="shared" si="131"/>
        <v>6</v>
      </c>
      <c r="L2794" s="369">
        <f>+IF((C2794&gt;='Resultats - informe'!$E$16)*(C2794&lt;='Resultats - informe'!$G$16),1,0)</f>
        <v>1</v>
      </c>
      <c r="M2794" s="369" cm="1">
        <f t="array" ref="M2794">+_xlfn.IFS((C2794&gt;='Resultats - informe'!$D$26)*(C2794&lt;='Resultats - informe'!$E$26),0,(C2794&gt;='Resultats - informe'!$D$27)*(C2794&lt;='Resultats - informe'!$E$27),0,(C2794&gt;='Resultats - informe'!$D$28)*(C2794&lt;='Resultats - informe'!$E$28),0,(C2794&gt;='Resultats - informe'!$D$29)*(C2794&lt;='Resultats - informe'!$E$29),0,1,1)</f>
        <v>0</v>
      </c>
      <c r="N2794" s="366">
        <f>+VLOOKUP(D2794,'Resultats - informe'!$Y$18:$AG$42,'Introducció dades consum'!K2794+1,0)</f>
        <v>0</v>
      </c>
      <c r="O2794" s="370" cm="1">
        <f t="array" ref="O2794">+_xlfn.SWITCH(MONTH(C2794),1,1,2,1,3,1,4,2,5,2,6,3,7,3,8,3,9,3,10,2,11,2,12,1,2)</f>
        <v>1</v>
      </c>
      <c r="P2794" s="43"/>
    </row>
    <row r="2795" spans="1:16" ht="18" x14ac:dyDescent="0.35">
      <c r="A2795" s="43"/>
      <c r="C2795" s="393"/>
      <c r="E2795" s="394"/>
      <c r="F2795" s="394">
        <v>1.62</v>
      </c>
      <c r="G2795" s="394"/>
      <c r="H2795" s="8" t="s">
        <v>235</v>
      </c>
      <c r="I2795" s="368">
        <f t="shared" si="130"/>
        <v>0</v>
      </c>
      <c r="J2795" s="365">
        <f t="shared" si="129"/>
        <v>0</v>
      </c>
      <c r="K2795" s="369">
        <f t="shared" si="131"/>
        <v>6</v>
      </c>
      <c r="L2795" s="369">
        <f>+IF((C2795&gt;='Resultats - informe'!$E$16)*(C2795&lt;='Resultats - informe'!$G$16),1,0)</f>
        <v>1</v>
      </c>
      <c r="M2795" s="369" cm="1">
        <f t="array" ref="M2795">+_xlfn.IFS((C2795&gt;='Resultats - informe'!$D$26)*(C2795&lt;='Resultats - informe'!$E$26),0,(C2795&gt;='Resultats - informe'!$D$27)*(C2795&lt;='Resultats - informe'!$E$27),0,(C2795&gt;='Resultats - informe'!$D$28)*(C2795&lt;='Resultats - informe'!$E$28),0,(C2795&gt;='Resultats - informe'!$D$29)*(C2795&lt;='Resultats - informe'!$E$29),0,1,1)</f>
        <v>0</v>
      </c>
      <c r="N2795" s="366">
        <f>+VLOOKUP(D2795,'Resultats - informe'!$Y$18:$AG$42,'Introducció dades consum'!K2795+1,0)</f>
        <v>0</v>
      </c>
      <c r="O2795" s="370" cm="1">
        <f t="array" ref="O2795">+_xlfn.SWITCH(MONTH(C2795),1,1,2,1,3,1,4,2,5,2,6,3,7,3,8,3,9,3,10,2,11,2,12,1,2)</f>
        <v>1</v>
      </c>
      <c r="P2795" s="43"/>
    </row>
    <row r="2796" spans="1:16" ht="18" x14ac:dyDescent="0.35">
      <c r="A2796" s="43"/>
      <c r="C2796" s="393"/>
      <c r="E2796" s="394"/>
      <c r="F2796" s="394">
        <v>0.69599999999999995</v>
      </c>
      <c r="G2796" s="394"/>
      <c r="H2796" s="8" t="s">
        <v>61</v>
      </c>
      <c r="I2796" s="368">
        <f t="shared" si="130"/>
        <v>0</v>
      </c>
      <c r="J2796" s="365">
        <f t="shared" si="129"/>
        <v>0</v>
      </c>
      <c r="K2796" s="369">
        <f t="shared" si="131"/>
        <v>6</v>
      </c>
      <c r="L2796" s="369">
        <f>+IF((C2796&gt;='Resultats - informe'!$E$16)*(C2796&lt;='Resultats - informe'!$G$16),1,0)</f>
        <v>1</v>
      </c>
      <c r="M2796" s="369" cm="1">
        <f t="array" ref="M2796">+_xlfn.IFS((C2796&gt;='Resultats - informe'!$D$26)*(C2796&lt;='Resultats - informe'!$E$26),0,(C2796&gt;='Resultats - informe'!$D$27)*(C2796&lt;='Resultats - informe'!$E$27),0,(C2796&gt;='Resultats - informe'!$D$28)*(C2796&lt;='Resultats - informe'!$E$28),0,(C2796&gt;='Resultats - informe'!$D$29)*(C2796&lt;='Resultats - informe'!$E$29),0,1,1)</f>
        <v>0</v>
      </c>
      <c r="N2796" s="366">
        <f>+VLOOKUP(D2796,'Resultats - informe'!$Y$18:$AG$42,'Introducció dades consum'!K2796+1,0)</f>
        <v>0</v>
      </c>
      <c r="O2796" s="370" cm="1">
        <f t="array" ref="O2796">+_xlfn.SWITCH(MONTH(C2796),1,1,2,1,3,1,4,2,5,2,6,3,7,3,8,3,9,3,10,2,11,2,12,1,2)</f>
        <v>1</v>
      </c>
      <c r="P2796" s="43"/>
    </row>
    <row r="2797" spans="1:16" ht="18" x14ac:dyDescent="0.35">
      <c r="A2797" s="43"/>
      <c r="C2797" s="393"/>
      <c r="E2797" s="394"/>
      <c r="F2797" s="394">
        <v>3.1269999999999998</v>
      </c>
      <c r="G2797" s="394"/>
      <c r="H2797" s="8" t="s">
        <v>61</v>
      </c>
      <c r="I2797" s="368">
        <f t="shared" si="130"/>
        <v>0</v>
      </c>
      <c r="J2797" s="365">
        <f t="shared" si="129"/>
        <v>0</v>
      </c>
      <c r="K2797" s="369">
        <f t="shared" si="131"/>
        <v>6</v>
      </c>
      <c r="L2797" s="369">
        <f>+IF((C2797&gt;='Resultats - informe'!$E$16)*(C2797&lt;='Resultats - informe'!$G$16),1,0)</f>
        <v>1</v>
      </c>
      <c r="M2797" s="369" cm="1">
        <f t="array" ref="M2797">+_xlfn.IFS((C2797&gt;='Resultats - informe'!$D$26)*(C2797&lt;='Resultats - informe'!$E$26),0,(C2797&gt;='Resultats - informe'!$D$27)*(C2797&lt;='Resultats - informe'!$E$27),0,(C2797&gt;='Resultats - informe'!$D$28)*(C2797&lt;='Resultats - informe'!$E$28),0,(C2797&gt;='Resultats - informe'!$D$29)*(C2797&lt;='Resultats - informe'!$E$29),0,1,1)</f>
        <v>0</v>
      </c>
      <c r="N2797" s="366">
        <f>+VLOOKUP(D2797,'Resultats - informe'!$Y$18:$AG$42,'Introducció dades consum'!K2797+1,0)</f>
        <v>0</v>
      </c>
      <c r="O2797" s="370" cm="1">
        <f t="array" ref="O2797">+_xlfn.SWITCH(MONTH(C2797),1,1,2,1,3,1,4,2,5,2,6,3,7,3,8,3,9,3,10,2,11,2,12,1,2)</f>
        <v>1</v>
      </c>
      <c r="P2797" s="43"/>
    </row>
    <row r="2798" spans="1:16" ht="18" x14ac:dyDescent="0.35">
      <c r="A2798" s="43"/>
      <c r="C2798" s="393"/>
      <c r="E2798" s="394"/>
      <c r="F2798" s="394">
        <v>3.8250000000000002</v>
      </c>
      <c r="G2798" s="394"/>
      <c r="H2798" s="8" t="s">
        <v>235</v>
      </c>
      <c r="I2798" s="368">
        <f t="shared" si="130"/>
        <v>0</v>
      </c>
      <c r="J2798" s="365">
        <f t="shared" si="129"/>
        <v>0</v>
      </c>
      <c r="K2798" s="369">
        <f t="shared" si="131"/>
        <v>6</v>
      </c>
      <c r="L2798" s="369">
        <f>+IF((C2798&gt;='Resultats - informe'!$E$16)*(C2798&lt;='Resultats - informe'!$G$16),1,0)</f>
        <v>1</v>
      </c>
      <c r="M2798" s="369" cm="1">
        <f t="array" ref="M2798">+_xlfn.IFS((C2798&gt;='Resultats - informe'!$D$26)*(C2798&lt;='Resultats - informe'!$E$26),0,(C2798&gt;='Resultats - informe'!$D$27)*(C2798&lt;='Resultats - informe'!$E$27),0,(C2798&gt;='Resultats - informe'!$D$28)*(C2798&lt;='Resultats - informe'!$E$28),0,(C2798&gt;='Resultats - informe'!$D$29)*(C2798&lt;='Resultats - informe'!$E$29),0,1,1)</f>
        <v>0</v>
      </c>
      <c r="N2798" s="366">
        <f>+VLOOKUP(D2798,'Resultats - informe'!$Y$18:$AG$42,'Introducció dades consum'!K2798+1,0)</f>
        <v>0</v>
      </c>
      <c r="O2798" s="370" cm="1">
        <f t="array" ref="O2798">+_xlfn.SWITCH(MONTH(C2798),1,1,2,1,3,1,4,2,5,2,6,3,7,3,8,3,9,3,10,2,11,2,12,1,2)</f>
        <v>1</v>
      </c>
      <c r="P2798" s="43"/>
    </row>
    <row r="2799" spans="1:16" ht="18" x14ac:dyDescent="0.35">
      <c r="A2799" s="43"/>
      <c r="C2799" s="393"/>
      <c r="E2799" s="394"/>
      <c r="F2799" s="394">
        <v>3.9489999999999998</v>
      </c>
      <c r="G2799" s="394"/>
      <c r="H2799" s="8" t="s">
        <v>235</v>
      </c>
      <c r="I2799" s="368">
        <f t="shared" si="130"/>
        <v>0</v>
      </c>
      <c r="J2799" s="365">
        <f t="shared" si="129"/>
        <v>0</v>
      </c>
      <c r="K2799" s="369">
        <f t="shared" si="131"/>
        <v>6</v>
      </c>
      <c r="L2799" s="369">
        <f>+IF((C2799&gt;='Resultats - informe'!$E$16)*(C2799&lt;='Resultats - informe'!$G$16),1,0)</f>
        <v>1</v>
      </c>
      <c r="M2799" s="369" cm="1">
        <f t="array" ref="M2799">+_xlfn.IFS((C2799&gt;='Resultats - informe'!$D$26)*(C2799&lt;='Resultats - informe'!$E$26),0,(C2799&gt;='Resultats - informe'!$D$27)*(C2799&lt;='Resultats - informe'!$E$27),0,(C2799&gt;='Resultats - informe'!$D$28)*(C2799&lt;='Resultats - informe'!$E$28),0,(C2799&gt;='Resultats - informe'!$D$29)*(C2799&lt;='Resultats - informe'!$E$29),0,1,1)</f>
        <v>0</v>
      </c>
      <c r="N2799" s="366">
        <f>+VLOOKUP(D2799,'Resultats - informe'!$Y$18:$AG$42,'Introducció dades consum'!K2799+1,0)</f>
        <v>0</v>
      </c>
      <c r="O2799" s="370" cm="1">
        <f t="array" ref="O2799">+_xlfn.SWITCH(MONTH(C2799),1,1,2,1,3,1,4,2,5,2,6,3,7,3,8,3,9,3,10,2,11,2,12,1,2)</f>
        <v>1</v>
      </c>
      <c r="P2799" s="43"/>
    </row>
    <row r="2800" spans="1:16" ht="18" x14ac:dyDescent="0.35">
      <c r="A2800" s="43"/>
      <c r="C2800" s="393"/>
      <c r="E2800" s="394"/>
      <c r="F2800" s="394">
        <v>7.2510000000000003</v>
      </c>
      <c r="G2800" s="394"/>
      <c r="H2800" s="8" t="s">
        <v>61</v>
      </c>
      <c r="I2800" s="368">
        <f t="shared" si="130"/>
        <v>0</v>
      </c>
      <c r="J2800" s="365">
        <f t="shared" si="129"/>
        <v>0</v>
      </c>
      <c r="K2800" s="369">
        <f t="shared" si="131"/>
        <v>6</v>
      </c>
      <c r="L2800" s="369">
        <f>+IF((C2800&gt;='Resultats - informe'!$E$16)*(C2800&lt;='Resultats - informe'!$G$16),1,0)</f>
        <v>1</v>
      </c>
      <c r="M2800" s="369" cm="1">
        <f t="array" ref="M2800">+_xlfn.IFS((C2800&gt;='Resultats - informe'!$D$26)*(C2800&lt;='Resultats - informe'!$E$26),0,(C2800&gt;='Resultats - informe'!$D$27)*(C2800&lt;='Resultats - informe'!$E$27),0,(C2800&gt;='Resultats - informe'!$D$28)*(C2800&lt;='Resultats - informe'!$E$28),0,(C2800&gt;='Resultats - informe'!$D$29)*(C2800&lt;='Resultats - informe'!$E$29),0,1,1)</f>
        <v>0</v>
      </c>
      <c r="N2800" s="366">
        <f>+VLOOKUP(D2800,'Resultats - informe'!$Y$18:$AG$42,'Introducció dades consum'!K2800+1,0)</f>
        <v>0</v>
      </c>
      <c r="O2800" s="370" cm="1">
        <f t="array" ref="O2800">+_xlfn.SWITCH(MONTH(C2800),1,1,2,1,3,1,4,2,5,2,6,3,7,3,8,3,9,3,10,2,11,2,12,1,2)</f>
        <v>1</v>
      </c>
      <c r="P2800" s="43"/>
    </row>
    <row r="2801" spans="1:16" ht="18" x14ac:dyDescent="0.35">
      <c r="A2801" s="43"/>
      <c r="C2801" s="393"/>
      <c r="E2801" s="394"/>
      <c r="F2801" s="394">
        <v>6.726</v>
      </c>
      <c r="G2801" s="394"/>
      <c r="H2801" s="8" t="s">
        <v>61</v>
      </c>
      <c r="I2801" s="368">
        <f t="shared" si="130"/>
        <v>0</v>
      </c>
      <c r="J2801" s="365">
        <f t="shared" si="129"/>
        <v>0</v>
      </c>
      <c r="K2801" s="369">
        <f t="shared" si="131"/>
        <v>6</v>
      </c>
      <c r="L2801" s="369">
        <f>+IF((C2801&gt;='Resultats - informe'!$E$16)*(C2801&lt;='Resultats - informe'!$G$16),1,0)</f>
        <v>1</v>
      </c>
      <c r="M2801" s="369" cm="1">
        <f t="array" ref="M2801">+_xlfn.IFS((C2801&gt;='Resultats - informe'!$D$26)*(C2801&lt;='Resultats - informe'!$E$26),0,(C2801&gt;='Resultats - informe'!$D$27)*(C2801&lt;='Resultats - informe'!$E$27),0,(C2801&gt;='Resultats - informe'!$D$28)*(C2801&lt;='Resultats - informe'!$E$28),0,(C2801&gt;='Resultats - informe'!$D$29)*(C2801&lt;='Resultats - informe'!$E$29),0,1,1)</f>
        <v>0</v>
      </c>
      <c r="N2801" s="366">
        <f>+VLOOKUP(D2801,'Resultats - informe'!$Y$18:$AG$42,'Introducció dades consum'!K2801+1,0)</f>
        <v>0</v>
      </c>
      <c r="O2801" s="370" cm="1">
        <f t="array" ref="O2801">+_xlfn.SWITCH(MONTH(C2801),1,1,2,1,3,1,4,2,5,2,6,3,7,3,8,3,9,3,10,2,11,2,12,1,2)</f>
        <v>1</v>
      </c>
      <c r="P2801" s="43"/>
    </row>
    <row r="2802" spans="1:16" ht="18" x14ac:dyDescent="0.35">
      <c r="A2802" s="43"/>
      <c r="C2802" s="393"/>
      <c r="E2802" s="394"/>
      <c r="F2802" s="394">
        <v>5.7110000000000003</v>
      </c>
      <c r="G2802" s="394"/>
      <c r="H2802" s="8" t="s">
        <v>61</v>
      </c>
      <c r="I2802" s="368">
        <f t="shared" si="130"/>
        <v>0</v>
      </c>
      <c r="J2802" s="365">
        <f t="shared" si="129"/>
        <v>0</v>
      </c>
      <c r="K2802" s="369">
        <f t="shared" si="131"/>
        <v>6</v>
      </c>
      <c r="L2802" s="369">
        <f>+IF((C2802&gt;='Resultats - informe'!$E$16)*(C2802&lt;='Resultats - informe'!$G$16),1,0)</f>
        <v>1</v>
      </c>
      <c r="M2802" s="369" cm="1">
        <f t="array" ref="M2802">+_xlfn.IFS((C2802&gt;='Resultats - informe'!$D$26)*(C2802&lt;='Resultats - informe'!$E$26),0,(C2802&gt;='Resultats - informe'!$D$27)*(C2802&lt;='Resultats - informe'!$E$27),0,(C2802&gt;='Resultats - informe'!$D$28)*(C2802&lt;='Resultats - informe'!$E$28),0,(C2802&gt;='Resultats - informe'!$D$29)*(C2802&lt;='Resultats - informe'!$E$29),0,1,1)</f>
        <v>0</v>
      </c>
      <c r="N2802" s="366">
        <f>+VLOOKUP(D2802,'Resultats - informe'!$Y$18:$AG$42,'Introducció dades consum'!K2802+1,0)</f>
        <v>0</v>
      </c>
      <c r="O2802" s="370" cm="1">
        <f t="array" ref="O2802">+_xlfn.SWITCH(MONTH(C2802),1,1,2,1,3,1,4,2,5,2,6,3,7,3,8,3,9,3,10,2,11,2,12,1,2)</f>
        <v>1</v>
      </c>
      <c r="P2802" s="43"/>
    </row>
    <row r="2803" spans="1:16" ht="18" x14ac:dyDescent="0.35">
      <c r="A2803" s="43"/>
      <c r="C2803" s="393"/>
      <c r="E2803" s="394"/>
      <c r="F2803" s="394">
        <v>3.4169999999999998</v>
      </c>
      <c r="G2803" s="394"/>
      <c r="H2803" s="8" t="s">
        <v>61</v>
      </c>
      <c r="I2803" s="368">
        <f t="shared" si="130"/>
        <v>0</v>
      </c>
      <c r="J2803" s="365">
        <f t="shared" si="129"/>
        <v>0</v>
      </c>
      <c r="K2803" s="369">
        <f t="shared" si="131"/>
        <v>6</v>
      </c>
      <c r="L2803" s="369">
        <f>+IF((C2803&gt;='Resultats - informe'!$E$16)*(C2803&lt;='Resultats - informe'!$G$16),1,0)</f>
        <v>1</v>
      </c>
      <c r="M2803" s="369" cm="1">
        <f t="array" ref="M2803">+_xlfn.IFS((C2803&gt;='Resultats - informe'!$D$26)*(C2803&lt;='Resultats - informe'!$E$26),0,(C2803&gt;='Resultats - informe'!$D$27)*(C2803&lt;='Resultats - informe'!$E$27),0,(C2803&gt;='Resultats - informe'!$D$28)*(C2803&lt;='Resultats - informe'!$E$28),0,(C2803&gt;='Resultats - informe'!$D$29)*(C2803&lt;='Resultats - informe'!$E$29),0,1,1)</f>
        <v>0</v>
      </c>
      <c r="N2803" s="366">
        <f>+VLOOKUP(D2803,'Resultats - informe'!$Y$18:$AG$42,'Introducció dades consum'!K2803+1,0)</f>
        <v>0</v>
      </c>
      <c r="O2803" s="370" cm="1">
        <f t="array" ref="O2803">+_xlfn.SWITCH(MONTH(C2803),1,1,2,1,3,1,4,2,5,2,6,3,7,3,8,3,9,3,10,2,11,2,12,1,2)</f>
        <v>1</v>
      </c>
      <c r="P2803" s="43"/>
    </row>
    <row r="2804" spans="1:16" ht="18" x14ac:dyDescent="0.35">
      <c r="A2804" s="43"/>
      <c r="C2804" s="393"/>
      <c r="E2804" s="394"/>
      <c r="F2804" s="394">
        <v>2.8220000000000001</v>
      </c>
      <c r="G2804" s="394"/>
      <c r="H2804" s="8" t="s">
        <v>61</v>
      </c>
      <c r="I2804" s="368">
        <f t="shared" si="130"/>
        <v>0</v>
      </c>
      <c r="J2804" s="365">
        <f t="shared" si="129"/>
        <v>0</v>
      </c>
      <c r="K2804" s="369">
        <f t="shared" si="131"/>
        <v>6</v>
      </c>
      <c r="L2804" s="369">
        <f>+IF((C2804&gt;='Resultats - informe'!$E$16)*(C2804&lt;='Resultats - informe'!$G$16),1,0)</f>
        <v>1</v>
      </c>
      <c r="M2804" s="369" cm="1">
        <f t="array" ref="M2804">+_xlfn.IFS((C2804&gt;='Resultats - informe'!$D$26)*(C2804&lt;='Resultats - informe'!$E$26),0,(C2804&gt;='Resultats - informe'!$D$27)*(C2804&lt;='Resultats - informe'!$E$27),0,(C2804&gt;='Resultats - informe'!$D$28)*(C2804&lt;='Resultats - informe'!$E$28),0,(C2804&gt;='Resultats - informe'!$D$29)*(C2804&lt;='Resultats - informe'!$E$29),0,1,1)</f>
        <v>0</v>
      </c>
      <c r="N2804" s="366">
        <f>+VLOOKUP(D2804,'Resultats - informe'!$Y$18:$AG$42,'Introducció dades consum'!K2804+1,0)</f>
        <v>0</v>
      </c>
      <c r="O2804" s="370" cm="1">
        <f t="array" ref="O2804">+_xlfn.SWITCH(MONTH(C2804),1,1,2,1,3,1,4,2,5,2,6,3,7,3,8,3,9,3,10,2,11,2,12,1,2)</f>
        <v>1</v>
      </c>
      <c r="P2804" s="43"/>
    </row>
    <row r="2805" spans="1:16" ht="18" x14ac:dyDescent="0.35">
      <c r="A2805" s="43"/>
      <c r="C2805" s="393"/>
      <c r="E2805" s="394"/>
      <c r="F2805" s="394">
        <v>1.909</v>
      </c>
      <c r="G2805" s="394"/>
      <c r="H2805" s="8" t="s">
        <v>61</v>
      </c>
      <c r="I2805" s="368">
        <f t="shared" si="130"/>
        <v>0</v>
      </c>
      <c r="J2805" s="365">
        <f t="shared" si="129"/>
        <v>0</v>
      </c>
      <c r="K2805" s="369">
        <f t="shared" si="131"/>
        <v>6</v>
      </c>
      <c r="L2805" s="369">
        <f>+IF((C2805&gt;='Resultats - informe'!$E$16)*(C2805&lt;='Resultats - informe'!$G$16),1,0)</f>
        <v>1</v>
      </c>
      <c r="M2805" s="369" cm="1">
        <f t="array" ref="M2805">+_xlfn.IFS((C2805&gt;='Resultats - informe'!$D$26)*(C2805&lt;='Resultats - informe'!$E$26),0,(C2805&gt;='Resultats - informe'!$D$27)*(C2805&lt;='Resultats - informe'!$E$27),0,(C2805&gt;='Resultats - informe'!$D$28)*(C2805&lt;='Resultats - informe'!$E$28),0,(C2805&gt;='Resultats - informe'!$D$29)*(C2805&lt;='Resultats - informe'!$E$29),0,1,1)</f>
        <v>0</v>
      </c>
      <c r="N2805" s="366">
        <f>+VLOOKUP(D2805,'Resultats - informe'!$Y$18:$AG$42,'Introducció dades consum'!K2805+1,0)</f>
        <v>0</v>
      </c>
      <c r="O2805" s="370" cm="1">
        <f t="array" ref="O2805">+_xlfn.SWITCH(MONTH(C2805),1,1,2,1,3,1,4,2,5,2,6,3,7,3,8,3,9,3,10,2,11,2,12,1,2)</f>
        <v>1</v>
      </c>
      <c r="P2805" s="43"/>
    </row>
    <row r="2806" spans="1:16" ht="18" x14ac:dyDescent="0.35">
      <c r="A2806" s="43"/>
      <c r="C2806" s="393"/>
      <c r="E2806" s="394"/>
      <c r="F2806" s="394">
        <v>1.0289999999999999</v>
      </c>
      <c r="G2806" s="394"/>
      <c r="H2806" s="8" t="s">
        <v>61</v>
      </c>
      <c r="I2806" s="368">
        <f t="shared" si="130"/>
        <v>0</v>
      </c>
      <c r="J2806" s="365">
        <f t="shared" si="129"/>
        <v>0</v>
      </c>
      <c r="K2806" s="369">
        <f t="shared" si="131"/>
        <v>6</v>
      </c>
      <c r="L2806" s="369">
        <f>+IF((C2806&gt;='Resultats - informe'!$E$16)*(C2806&lt;='Resultats - informe'!$G$16),1,0)</f>
        <v>1</v>
      </c>
      <c r="M2806" s="369" cm="1">
        <f t="array" ref="M2806">+_xlfn.IFS((C2806&gt;='Resultats - informe'!$D$26)*(C2806&lt;='Resultats - informe'!$E$26),0,(C2806&gt;='Resultats - informe'!$D$27)*(C2806&lt;='Resultats - informe'!$E$27),0,(C2806&gt;='Resultats - informe'!$D$28)*(C2806&lt;='Resultats - informe'!$E$28),0,(C2806&gt;='Resultats - informe'!$D$29)*(C2806&lt;='Resultats - informe'!$E$29),0,1,1)</f>
        <v>0</v>
      </c>
      <c r="N2806" s="366">
        <f>+VLOOKUP(D2806,'Resultats - informe'!$Y$18:$AG$42,'Introducció dades consum'!K2806+1,0)</f>
        <v>0</v>
      </c>
      <c r="O2806" s="370" cm="1">
        <f t="array" ref="O2806">+_xlfn.SWITCH(MONTH(C2806),1,1,2,1,3,1,4,2,5,2,6,3,7,3,8,3,9,3,10,2,11,2,12,1,2)</f>
        <v>1</v>
      </c>
      <c r="P2806" s="43"/>
    </row>
    <row r="2807" spans="1:16" ht="18" x14ac:dyDescent="0.35">
      <c r="A2807" s="43"/>
      <c r="C2807" s="393"/>
      <c r="E2807" s="394"/>
      <c r="F2807" s="394">
        <v>0</v>
      </c>
      <c r="G2807" s="394"/>
      <c r="H2807" s="8" t="s">
        <v>235</v>
      </c>
      <c r="I2807" s="368">
        <f t="shared" si="130"/>
        <v>0</v>
      </c>
      <c r="J2807" s="365">
        <f t="shared" si="129"/>
        <v>0</v>
      </c>
      <c r="K2807" s="369">
        <f t="shared" si="131"/>
        <v>6</v>
      </c>
      <c r="L2807" s="369">
        <f>+IF((C2807&gt;='Resultats - informe'!$E$16)*(C2807&lt;='Resultats - informe'!$G$16),1,0)</f>
        <v>1</v>
      </c>
      <c r="M2807" s="369" cm="1">
        <f t="array" ref="M2807">+_xlfn.IFS((C2807&gt;='Resultats - informe'!$D$26)*(C2807&lt;='Resultats - informe'!$E$26),0,(C2807&gt;='Resultats - informe'!$D$27)*(C2807&lt;='Resultats - informe'!$E$27),0,(C2807&gt;='Resultats - informe'!$D$28)*(C2807&lt;='Resultats - informe'!$E$28),0,(C2807&gt;='Resultats - informe'!$D$29)*(C2807&lt;='Resultats - informe'!$E$29),0,1,1)</f>
        <v>0</v>
      </c>
      <c r="N2807" s="366">
        <f>+VLOOKUP(D2807,'Resultats - informe'!$Y$18:$AG$42,'Introducció dades consum'!K2807+1,0)</f>
        <v>0</v>
      </c>
      <c r="O2807" s="370" cm="1">
        <f t="array" ref="O2807">+_xlfn.SWITCH(MONTH(C2807),1,1,2,1,3,1,4,2,5,2,6,3,7,3,8,3,9,3,10,2,11,2,12,1,2)</f>
        <v>1</v>
      </c>
      <c r="P2807" s="43"/>
    </row>
    <row r="2808" spans="1:16" ht="18" x14ac:dyDescent="0.35">
      <c r="A2808" s="43"/>
      <c r="C2808" s="393"/>
      <c r="E2808" s="394"/>
      <c r="F2808" s="394">
        <v>0</v>
      </c>
      <c r="G2808" s="394"/>
      <c r="H2808" s="8" t="s">
        <v>235</v>
      </c>
      <c r="I2808" s="368">
        <f t="shared" si="130"/>
        <v>0</v>
      </c>
      <c r="J2808" s="365">
        <f t="shared" si="129"/>
        <v>0</v>
      </c>
      <c r="K2808" s="369">
        <f t="shared" si="131"/>
        <v>6</v>
      </c>
      <c r="L2808" s="369">
        <f>+IF((C2808&gt;='Resultats - informe'!$E$16)*(C2808&lt;='Resultats - informe'!$G$16),1,0)</f>
        <v>1</v>
      </c>
      <c r="M2808" s="369" cm="1">
        <f t="array" ref="M2808">+_xlfn.IFS((C2808&gt;='Resultats - informe'!$D$26)*(C2808&lt;='Resultats - informe'!$E$26),0,(C2808&gt;='Resultats - informe'!$D$27)*(C2808&lt;='Resultats - informe'!$E$27),0,(C2808&gt;='Resultats - informe'!$D$28)*(C2808&lt;='Resultats - informe'!$E$28),0,(C2808&gt;='Resultats - informe'!$D$29)*(C2808&lt;='Resultats - informe'!$E$29),0,1,1)</f>
        <v>0</v>
      </c>
      <c r="N2808" s="366">
        <f>+VLOOKUP(D2808,'Resultats - informe'!$Y$18:$AG$42,'Introducció dades consum'!K2808+1,0)</f>
        <v>0</v>
      </c>
      <c r="O2808" s="370" cm="1">
        <f t="array" ref="O2808">+_xlfn.SWITCH(MONTH(C2808),1,1,2,1,3,1,4,2,5,2,6,3,7,3,8,3,9,3,10,2,11,2,12,1,2)</f>
        <v>1</v>
      </c>
      <c r="P2808" s="43"/>
    </row>
    <row r="2809" spans="1:16" ht="18" x14ac:dyDescent="0.35">
      <c r="A2809" s="43"/>
      <c r="C2809" s="393"/>
      <c r="E2809" s="394"/>
      <c r="F2809" s="394">
        <v>0</v>
      </c>
      <c r="G2809" s="394"/>
      <c r="H2809" s="8" t="s">
        <v>235</v>
      </c>
      <c r="I2809" s="368">
        <f t="shared" si="130"/>
        <v>0</v>
      </c>
      <c r="J2809" s="365">
        <f t="shared" si="129"/>
        <v>0</v>
      </c>
      <c r="K2809" s="369">
        <f t="shared" si="131"/>
        <v>6</v>
      </c>
      <c r="L2809" s="369">
        <f>+IF((C2809&gt;='Resultats - informe'!$E$16)*(C2809&lt;='Resultats - informe'!$G$16),1,0)</f>
        <v>1</v>
      </c>
      <c r="M2809" s="369" cm="1">
        <f t="array" ref="M2809">+_xlfn.IFS((C2809&gt;='Resultats - informe'!$D$26)*(C2809&lt;='Resultats - informe'!$E$26),0,(C2809&gt;='Resultats - informe'!$D$27)*(C2809&lt;='Resultats - informe'!$E$27),0,(C2809&gt;='Resultats - informe'!$D$28)*(C2809&lt;='Resultats - informe'!$E$28),0,(C2809&gt;='Resultats - informe'!$D$29)*(C2809&lt;='Resultats - informe'!$E$29),0,1,1)</f>
        <v>0</v>
      </c>
      <c r="N2809" s="366">
        <f>+VLOOKUP(D2809,'Resultats - informe'!$Y$18:$AG$42,'Introducció dades consum'!K2809+1,0)</f>
        <v>0</v>
      </c>
      <c r="O2809" s="370" cm="1">
        <f t="array" ref="O2809">+_xlfn.SWITCH(MONTH(C2809),1,1,2,1,3,1,4,2,5,2,6,3,7,3,8,3,9,3,10,2,11,2,12,1,2)</f>
        <v>1</v>
      </c>
      <c r="P2809" s="43"/>
    </row>
    <row r="2810" spans="1:16" ht="18" x14ac:dyDescent="0.35">
      <c r="A2810" s="43"/>
      <c r="C2810" s="393"/>
      <c r="E2810" s="394"/>
      <c r="F2810" s="394">
        <v>0</v>
      </c>
      <c r="G2810" s="394"/>
      <c r="H2810" s="8" t="s">
        <v>235</v>
      </c>
      <c r="I2810" s="368">
        <f t="shared" si="130"/>
        <v>0</v>
      </c>
      <c r="J2810" s="365">
        <f t="shared" si="129"/>
        <v>0</v>
      </c>
      <c r="K2810" s="369">
        <f t="shared" si="131"/>
        <v>6</v>
      </c>
      <c r="L2810" s="369">
        <f>+IF((C2810&gt;='Resultats - informe'!$E$16)*(C2810&lt;='Resultats - informe'!$G$16),1,0)</f>
        <v>1</v>
      </c>
      <c r="M2810" s="369" cm="1">
        <f t="array" ref="M2810">+_xlfn.IFS((C2810&gt;='Resultats - informe'!$D$26)*(C2810&lt;='Resultats - informe'!$E$26),0,(C2810&gt;='Resultats - informe'!$D$27)*(C2810&lt;='Resultats - informe'!$E$27),0,(C2810&gt;='Resultats - informe'!$D$28)*(C2810&lt;='Resultats - informe'!$E$28),0,(C2810&gt;='Resultats - informe'!$D$29)*(C2810&lt;='Resultats - informe'!$E$29),0,1,1)</f>
        <v>0</v>
      </c>
      <c r="N2810" s="366">
        <f>+VLOOKUP(D2810,'Resultats - informe'!$Y$18:$AG$42,'Introducció dades consum'!K2810+1,0)</f>
        <v>0</v>
      </c>
      <c r="O2810" s="370" cm="1">
        <f t="array" ref="O2810">+_xlfn.SWITCH(MONTH(C2810),1,1,2,1,3,1,4,2,5,2,6,3,7,3,8,3,9,3,10,2,11,2,12,1,2)</f>
        <v>1</v>
      </c>
      <c r="P2810" s="43"/>
    </row>
    <row r="2811" spans="1:16" ht="18" x14ac:dyDescent="0.35">
      <c r="A2811" s="43"/>
      <c r="C2811" s="393"/>
      <c r="E2811" s="394"/>
      <c r="F2811" s="394">
        <v>0</v>
      </c>
      <c r="G2811" s="394"/>
      <c r="H2811" s="8" t="s">
        <v>235</v>
      </c>
      <c r="I2811" s="368">
        <f t="shared" si="130"/>
        <v>0</v>
      </c>
      <c r="J2811" s="365">
        <f t="shared" ref="J2811:J2874" si="132">+C2811</f>
        <v>0</v>
      </c>
      <c r="K2811" s="369">
        <f t="shared" si="131"/>
        <v>6</v>
      </c>
      <c r="L2811" s="369">
        <f>+IF((C2811&gt;='Resultats - informe'!$E$16)*(C2811&lt;='Resultats - informe'!$G$16),1,0)</f>
        <v>1</v>
      </c>
      <c r="M2811" s="369" cm="1">
        <f t="array" ref="M2811">+_xlfn.IFS((C2811&gt;='Resultats - informe'!$D$26)*(C2811&lt;='Resultats - informe'!$E$26),0,(C2811&gt;='Resultats - informe'!$D$27)*(C2811&lt;='Resultats - informe'!$E$27),0,(C2811&gt;='Resultats - informe'!$D$28)*(C2811&lt;='Resultats - informe'!$E$28),0,(C2811&gt;='Resultats - informe'!$D$29)*(C2811&lt;='Resultats - informe'!$E$29),0,1,1)</f>
        <v>0</v>
      </c>
      <c r="N2811" s="366">
        <f>+VLOOKUP(D2811,'Resultats - informe'!$Y$18:$AG$42,'Introducció dades consum'!K2811+1,0)</f>
        <v>0</v>
      </c>
      <c r="O2811" s="370" cm="1">
        <f t="array" ref="O2811">+_xlfn.SWITCH(MONTH(C2811),1,1,2,1,3,1,4,2,5,2,6,3,7,3,8,3,9,3,10,2,11,2,12,1,2)</f>
        <v>1</v>
      </c>
      <c r="P2811" s="43"/>
    </row>
    <row r="2812" spans="1:16" ht="18" x14ac:dyDescent="0.35">
      <c r="A2812" s="43"/>
      <c r="C2812" s="393"/>
      <c r="E2812" s="394"/>
      <c r="F2812" s="394">
        <v>0</v>
      </c>
      <c r="G2812" s="394"/>
      <c r="H2812" s="8" t="s">
        <v>235</v>
      </c>
      <c r="I2812" s="368">
        <f t="shared" si="130"/>
        <v>0</v>
      </c>
      <c r="J2812" s="365">
        <f t="shared" si="132"/>
        <v>0</v>
      </c>
      <c r="K2812" s="369">
        <f t="shared" si="131"/>
        <v>6</v>
      </c>
      <c r="L2812" s="369">
        <f>+IF((C2812&gt;='Resultats - informe'!$E$16)*(C2812&lt;='Resultats - informe'!$G$16),1,0)</f>
        <v>1</v>
      </c>
      <c r="M2812" s="369" cm="1">
        <f t="array" ref="M2812">+_xlfn.IFS((C2812&gt;='Resultats - informe'!$D$26)*(C2812&lt;='Resultats - informe'!$E$26),0,(C2812&gt;='Resultats - informe'!$D$27)*(C2812&lt;='Resultats - informe'!$E$27),0,(C2812&gt;='Resultats - informe'!$D$28)*(C2812&lt;='Resultats - informe'!$E$28),0,(C2812&gt;='Resultats - informe'!$D$29)*(C2812&lt;='Resultats - informe'!$E$29),0,1,1)</f>
        <v>0</v>
      </c>
      <c r="N2812" s="366">
        <f>+VLOOKUP(D2812,'Resultats - informe'!$Y$18:$AG$42,'Introducció dades consum'!K2812+1,0)</f>
        <v>0</v>
      </c>
      <c r="O2812" s="370" cm="1">
        <f t="array" ref="O2812">+_xlfn.SWITCH(MONTH(C2812),1,1,2,1,3,1,4,2,5,2,6,3,7,3,8,3,9,3,10,2,11,2,12,1,2)</f>
        <v>1</v>
      </c>
      <c r="P2812" s="43"/>
    </row>
    <row r="2813" spans="1:16" ht="18" x14ac:dyDescent="0.35">
      <c r="A2813" s="43"/>
      <c r="C2813" s="393"/>
      <c r="E2813" s="394"/>
      <c r="F2813" s="394">
        <v>0</v>
      </c>
      <c r="G2813" s="394"/>
      <c r="H2813" s="8" t="s">
        <v>235</v>
      </c>
      <c r="I2813" s="368">
        <f t="shared" si="130"/>
        <v>0</v>
      </c>
      <c r="J2813" s="365">
        <f t="shared" si="132"/>
        <v>0</v>
      </c>
      <c r="K2813" s="369">
        <f t="shared" si="131"/>
        <v>6</v>
      </c>
      <c r="L2813" s="369">
        <f>+IF((C2813&gt;='Resultats - informe'!$E$16)*(C2813&lt;='Resultats - informe'!$G$16),1,0)</f>
        <v>1</v>
      </c>
      <c r="M2813" s="369" cm="1">
        <f t="array" ref="M2813">+_xlfn.IFS((C2813&gt;='Resultats - informe'!$D$26)*(C2813&lt;='Resultats - informe'!$E$26),0,(C2813&gt;='Resultats - informe'!$D$27)*(C2813&lt;='Resultats - informe'!$E$27),0,(C2813&gt;='Resultats - informe'!$D$28)*(C2813&lt;='Resultats - informe'!$E$28),0,(C2813&gt;='Resultats - informe'!$D$29)*(C2813&lt;='Resultats - informe'!$E$29),0,1,1)</f>
        <v>0</v>
      </c>
      <c r="N2813" s="366">
        <f>+VLOOKUP(D2813,'Resultats - informe'!$Y$18:$AG$42,'Introducció dades consum'!K2813+1,0)</f>
        <v>0</v>
      </c>
      <c r="O2813" s="370" cm="1">
        <f t="array" ref="O2813">+_xlfn.SWITCH(MONTH(C2813),1,1,2,1,3,1,4,2,5,2,6,3,7,3,8,3,9,3,10,2,11,2,12,1,2)</f>
        <v>1</v>
      </c>
      <c r="P2813" s="43"/>
    </row>
    <row r="2814" spans="1:16" ht="18" x14ac:dyDescent="0.35">
      <c r="A2814" s="43"/>
      <c r="C2814" s="393"/>
      <c r="E2814" s="394"/>
      <c r="F2814" s="394">
        <v>0</v>
      </c>
      <c r="G2814" s="394"/>
      <c r="H2814" s="8" t="s">
        <v>235</v>
      </c>
      <c r="I2814" s="368">
        <f t="shared" si="130"/>
        <v>0</v>
      </c>
      <c r="J2814" s="365">
        <f t="shared" si="132"/>
        <v>0</v>
      </c>
      <c r="K2814" s="369">
        <f t="shared" si="131"/>
        <v>6</v>
      </c>
      <c r="L2814" s="369">
        <f>+IF((C2814&gt;='Resultats - informe'!$E$16)*(C2814&lt;='Resultats - informe'!$G$16),1,0)</f>
        <v>1</v>
      </c>
      <c r="M2814" s="369" cm="1">
        <f t="array" ref="M2814">+_xlfn.IFS((C2814&gt;='Resultats - informe'!$D$26)*(C2814&lt;='Resultats - informe'!$E$26),0,(C2814&gt;='Resultats - informe'!$D$27)*(C2814&lt;='Resultats - informe'!$E$27),0,(C2814&gt;='Resultats - informe'!$D$28)*(C2814&lt;='Resultats - informe'!$E$28),0,(C2814&gt;='Resultats - informe'!$D$29)*(C2814&lt;='Resultats - informe'!$E$29),0,1,1)</f>
        <v>0</v>
      </c>
      <c r="N2814" s="366">
        <f>+VLOOKUP(D2814,'Resultats - informe'!$Y$18:$AG$42,'Introducció dades consum'!K2814+1,0)</f>
        <v>0</v>
      </c>
      <c r="O2814" s="370" cm="1">
        <f t="array" ref="O2814">+_xlfn.SWITCH(MONTH(C2814),1,1,2,1,3,1,4,2,5,2,6,3,7,3,8,3,9,3,10,2,11,2,12,1,2)</f>
        <v>1</v>
      </c>
      <c r="P2814" s="43"/>
    </row>
    <row r="2815" spans="1:16" ht="18" x14ac:dyDescent="0.35">
      <c r="A2815" s="43"/>
      <c r="C2815" s="393"/>
      <c r="E2815" s="394"/>
      <c r="F2815" s="394">
        <v>0</v>
      </c>
      <c r="G2815" s="394"/>
      <c r="H2815" s="8" t="s">
        <v>235</v>
      </c>
      <c r="I2815" s="368">
        <f t="shared" si="130"/>
        <v>0</v>
      </c>
      <c r="J2815" s="365">
        <f t="shared" si="132"/>
        <v>0</v>
      </c>
      <c r="K2815" s="369">
        <f t="shared" si="131"/>
        <v>6</v>
      </c>
      <c r="L2815" s="369">
        <f>+IF((C2815&gt;='Resultats - informe'!$E$16)*(C2815&lt;='Resultats - informe'!$G$16),1,0)</f>
        <v>1</v>
      </c>
      <c r="M2815" s="369" cm="1">
        <f t="array" ref="M2815">+_xlfn.IFS((C2815&gt;='Resultats - informe'!$D$26)*(C2815&lt;='Resultats - informe'!$E$26),0,(C2815&gt;='Resultats - informe'!$D$27)*(C2815&lt;='Resultats - informe'!$E$27),0,(C2815&gt;='Resultats - informe'!$D$28)*(C2815&lt;='Resultats - informe'!$E$28),0,(C2815&gt;='Resultats - informe'!$D$29)*(C2815&lt;='Resultats - informe'!$E$29),0,1,1)</f>
        <v>0</v>
      </c>
      <c r="N2815" s="366">
        <f>+VLOOKUP(D2815,'Resultats - informe'!$Y$18:$AG$42,'Introducció dades consum'!K2815+1,0)</f>
        <v>0</v>
      </c>
      <c r="O2815" s="370" cm="1">
        <f t="array" ref="O2815">+_xlfn.SWITCH(MONTH(C2815),1,1,2,1,3,1,4,2,5,2,6,3,7,3,8,3,9,3,10,2,11,2,12,1,2)</f>
        <v>1</v>
      </c>
      <c r="P2815" s="43"/>
    </row>
    <row r="2816" spans="1:16" ht="18" x14ac:dyDescent="0.35">
      <c r="A2816" s="43"/>
      <c r="C2816" s="393"/>
      <c r="E2816" s="394"/>
      <c r="F2816" s="394">
        <v>0</v>
      </c>
      <c r="G2816" s="394"/>
      <c r="H2816" s="8" t="s">
        <v>61</v>
      </c>
      <c r="I2816" s="368">
        <f t="shared" si="130"/>
        <v>0</v>
      </c>
      <c r="J2816" s="365">
        <f t="shared" si="132"/>
        <v>0</v>
      </c>
      <c r="K2816" s="369">
        <f t="shared" si="131"/>
        <v>6</v>
      </c>
      <c r="L2816" s="369">
        <f>+IF((C2816&gt;='Resultats - informe'!$E$16)*(C2816&lt;='Resultats - informe'!$G$16),1,0)</f>
        <v>1</v>
      </c>
      <c r="M2816" s="369" cm="1">
        <f t="array" ref="M2816">+_xlfn.IFS((C2816&gt;='Resultats - informe'!$D$26)*(C2816&lt;='Resultats - informe'!$E$26),0,(C2816&gt;='Resultats - informe'!$D$27)*(C2816&lt;='Resultats - informe'!$E$27),0,(C2816&gt;='Resultats - informe'!$D$28)*(C2816&lt;='Resultats - informe'!$E$28),0,(C2816&gt;='Resultats - informe'!$D$29)*(C2816&lt;='Resultats - informe'!$E$29),0,1,1)</f>
        <v>0</v>
      </c>
      <c r="N2816" s="366">
        <f>+VLOOKUP(D2816,'Resultats - informe'!$Y$18:$AG$42,'Introducció dades consum'!K2816+1,0)</f>
        <v>0</v>
      </c>
      <c r="O2816" s="370" cm="1">
        <f t="array" ref="O2816">+_xlfn.SWITCH(MONTH(C2816),1,1,2,1,3,1,4,2,5,2,6,3,7,3,8,3,9,3,10,2,11,2,12,1,2)</f>
        <v>1</v>
      </c>
      <c r="P2816" s="43"/>
    </row>
    <row r="2817" spans="1:16" ht="18" x14ac:dyDescent="0.35">
      <c r="A2817" s="43"/>
      <c r="C2817" s="393"/>
      <c r="E2817" s="394"/>
      <c r="F2817" s="394">
        <v>0</v>
      </c>
      <c r="G2817" s="394"/>
      <c r="H2817" s="8" t="s">
        <v>61</v>
      </c>
      <c r="I2817" s="368">
        <f t="shared" si="130"/>
        <v>0</v>
      </c>
      <c r="J2817" s="365">
        <f t="shared" si="132"/>
        <v>0</v>
      </c>
      <c r="K2817" s="369">
        <f t="shared" si="131"/>
        <v>6</v>
      </c>
      <c r="L2817" s="369">
        <f>+IF((C2817&gt;='Resultats - informe'!$E$16)*(C2817&lt;='Resultats - informe'!$G$16),1,0)</f>
        <v>1</v>
      </c>
      <c r="M2817" s="369" cm="1">
        <f t="array" ref="M2817">+_xlfn.IFS((C2817&gt;='Resultats - informe'!$D$26)*(C2817&lt;='Resultats - informe'!$E$26),0,(C2817&gt;='Resultats - informe'!$D$27)*(C2817&lt;='Resultats - informe'!$E$27),0,(C2817&gt;='Resultats - informe'!$D$28)*(C2817&lt;='Resultats - informe'!$E$28),0,(C2817&gt;='Resultats - informe'!$D$29)*(C2817&lt;='Resultats - informe'!$E$29),0,1,1)</f>
        <v>0</v>
      </c>
      <c r="N2817" s="366">
        <f>+VLOOKUP(D2817,'Resultats - informe'!$Y$18:$AG$42,'Introducció dades consum'!K2817+1,0)</f>
        <v>0</v>
      </c>
      <c r="O2817" s="370" cm="1">
        <f t="array" ref="O2817">+_xlfn.SWITCH(MONTH(C2817),1,1,2,1,3,1,4,2,5,2,6,3,7,3,8,3,9,3,10,2,11,2,12,1,2)</f>
        <v>1</v>
      </c>
      <c r="P2817" s="43"/>
    </row>
    <row r="2818" spans="1:16" ht="18" x14ac:dyDescent="0.35">
      <c r="A2818" s="43"/>
      <c r="C2818" s="393"/>
      <c r="E2818" s="394"/>
      <c r="F2818" s="394">
        <v>0</v>
      </c>
      <c r="G2818" s="394"/>
      <c r="H2818" s="8" t="s">
        <v>61</v>
      </c>
      <c r="I2818" s="368">
        <f t="shared" si="130"/>
        <v>0</v>
      </c>
      <c r="J2818" s="365">
        <f t="shared" si="132"/>
        <v>0</v>
      </c>
      <c r="K2818" s="369">
        <f t="shared" si="131"/>
        <v>6</v>
      </c>
      <c r="L2818" s="369">
        <f>+IF((C2818&gt;='Resultats - informe'!$E$16)*(C2818&lt;='Resultats - informe'!$G$16),1,0)</f>
        <v>1</v>
      </c>
      <c r="M2818" s="369" cm="1">
        <f t="array" ref="M2818">+_xlfn.IFS((C2818&gt;='Resultats - informe'!$D$26)*(C2818&lt;='Resultats - informe'!$E$26),0,(C2818&gt;='Resultats - informe'!$D$27)*(C2818&lt;='Resultats - informe'!$E$27),0,(C2818&gt;='Resultats - informe'!$D$28)*(C2818&lt;='Resultats - informe'!$E$28),0,(C2818&gt;='Resultats - informe'!$D$29)*(C2818&lt;='Resultats - informe'!$E$29),0,1,1)</f>
        <v>0</v>
      </c>
      <c r="N2818" s="366">
        <f>+VLOOKUP(D2818,'Resultats - informe'!$Y$18:$AG$42,'Introducció dades consum'!K2818+1,0)</f>
        <v>0</v>
      </c>
      <c r="O2818" s="370" cm="1">
        <f t="array" ref="O2818">+_xlfn.SWITCH(MONTH(C2818),1,1,2,1,3,1,4,2,5,2,6,3,7,3,8,3,9,3,10,2,11,2,12,1,2)</f>
        <v>1</v>
      </c>
      <c r="P2818" s="43"/>
    </row>
    <row r="2819" spans="1:16" ht="18" x14ac:dyDescent="0.35">
      <c r="A2819" s="43"/>
      <c r="C2819" s="393"/>
      <c r="E2819" s="394"/>
      <c r="F2819" s="394">
        <v>0</v>
      </c>
      <c r="G2819" s="394"/>
      <c r="H2819" s="8" t="s">
        <v>61</v>
      </c>
      <c r="I2819" s="368">
        <f t="shared" si="130"/>
        <v>0</v>
      </c>
      <c r="J2819" s="365">
        <f t="shared" si="132"/>
        <v>0</v>
      </c>
      <c r="K2819" s="369">
        <f t="shared" si="131"/>
        <v>6</v>
      </c>
      <c r="L2819" s="369">
        <f>+IF((C2819&gt;='Resultats - informe'!$E$16)*(C2819&lt;='Resultats - informe'!$G$16),1,0)</f>
        <v>1</v>
      </c>
      <c r="M2819" s="369" cm="1">
        <f t="array" ref="M2819">+_xlfn.IFS((C2819&gt;='Resultats - informe'!$D$26)*(C2819&lt;='Resultats - informe'!$E$26),0,(C2819&gt;='Resultats - informe'!$D$27)*(C2819&lt;='Resultats - informe'!$E$27),0,(C2819&gt;='Resultats - informe'!$D$28)*(C2819&lt;='Resultats - informe'!$E$28),0,(C2819&gt;='Resultats - informe'!$D$29)*(C2819&lt;='Resultats - informe'!$E$29),0,1,1)</f>
        <v>0</v>
      </c>
      <c r="N2819" s="366">
        <f>+VLOOKUP(D2819,'Resultats - informe'!$Y$18:$AG$42,'Introducció dades consum'!K2819+1,0)</f>
        <v>0</v>
      </c>
      <c r="O2819" s="370" cm="1">
        <f t="array" ref="O2819">+_xlfn.SWITCH(MONTH(C2819),1,1,2,1,3,1,4,2,5,2,6,3,7,3,8,3,9,3,10,2,11,2,12,1,2)</f>
        <v>1</v>
      </c>
      <c r="P2819" s="43"/>
    </row>
    <row r="2820" spans="1:16" ht="18" x14ac:dyDescent="0.35">
      <c r="A2820" s="43"/>
      <c r="C2820" s="393"/>
      <c r="E2820" s="394"/>
      <c r="F2820" s="394">
        <v>0</v>
      </c>
      <c r="G2820" s="394"/>
      <c r="H2820" s="8" t="s">
        <v>61</v>
      </c>
      <c r="I2820" s="368">
        <f t="shared" si="130"/>
        <v>0</v>
      </c>
      <c r="J2820" s="365">
        <f t="shared" si="132"/>
        <v>0</v>
      </c>
      <c r="K2820" s="369">
        <f t="shared" si="131"/>
        <v>6</v>
      </c>
      <c r="L2820" s="369">
        <f>+IF((C2820&gt;='Resultats - informe'!$E$16)*(C2820&lt;='Resultats - informe'!$G$16),1,0)</f>
        <v>1</v>
      </c>
      <c r="M2820" s="369" cm="1">
        <f t="array" ref="M2820">+_xlfn.IFS((C2820&gt;='Resultats - informe'!$D$26)*(C2820&lt;='Resultats - informe'!$E$26),0,(C2820&gt;='Resultats - informe'!$D$27)*(C2820&lt;='Resultats - informe'!$E$27),0,(C2820&gt;='Resultats - informe'!$D$28)*(C2820&lt;='Resultats - informe'!$E$28),0,(C2820&gt;='Resultats - informe'!$D$29)*(C2820&lt;='Resultats - informe'!$E$29),0,1,1)</f>
        <v>0</v>
      </c>
      <c r="N2820" s="366">
        <f>+VLOOKUP(D2820,'Resultats - informe'!$Y$18:$AG$42,'Introducció dades consum'!K2820+1,0)</f>
        <v>0</v>
      </c>
      <c r="O2820" s="370" cm="1">
        <f t="array" ref="O2820">+_xlfn.SWITCH(MONTH(C2820),1,1,2,1,3,1,4,2,5,2,6,3,7,3,8,3,9,3,10,2,11,2,12,1,2)</f>
        <v>1</v>
      </c>
      <c r="P2820" s="43"/>
    </row>
    <row r="2821" spans="1:16" ht="18" x14ac:dyDescent="0.35">
      <c r="A2821" s="43"/>
      <c r="C2821" s="393"/>
      <c r="E2821" s="394"/>
      <c r="F2821" s="394">
        <v>0.80100000000000005</v>
      </c>
      <c r="G2821" s="394"/>
      <c r="H2821" s="8" t="s">
        <v>61</v>
      </c>
      <c r="I2821" s="368">
        <f t="shared" si="130"/>
        <v>0</v>
      </c>
      <c r="J2821" s="365">
        <f t="shared" si="132"/>
        <v>0</v>
      </c>
      <c r="K2821" s="369">
        <f t="shared" si="131"/>
        <v>6</v>
      </c>
      <c r="L2821" s="369">
        <f>+IF((C2821&gt;='Resultats - informe'!$E$16)*(C2821&lt;='Resultats - informe'!$G$16),1,0)</f>
        <v>1</v>
      </c>
      <c r="M2821" s="369" cm="1">
        <f t="array" ref="M2821">+_xlfn.IFS((C2821&gt;='Resultats - informe'!$D$26)*(C2821&lt;='Resultats - informe'!$E$26),0,(C2821&gt;='Resultats - informe'!$D$27)*(C2821&lt;='Resultats - informe'!$E$27),0,(C2821&gt;='Resultats - informe'!$D$28)*(C2821&lt;='Resultats - informe'!$E$28),0,(C2821&gt;='Resultats - informe'!$D$29)*(C2821&lt;='Resultats - informe'!$E$29),0,1,1)</f>
        <v>0</v>
      </c>
      <c r="N2821" s="366">
        <f>+VLOOKUP(D2821,'Resultats - informe'!$Y$18:$AG$42,'Introducció dades consum'!K2821+1,0)</f>
        <v>0</v>
      </c>
      <c r="O2821" s="370" cm="1">
        <f t="array" ref="O2821">+_xlfn.SWITCH(MONTH(C2821),1,1,2,1,3,1,4,2,5,2,6,3,7,3,8,3,9,3,10,2,11,2,12,1,2)</f>
        <v>1</v>
      </c>
      <c r="P2821" s="43"/>
    </row>
    <row r="2822" spans="1:16" ht="18" x14ac:dyDescent="0.35">
      <c r="A2822" s="43"/>
      <c r="C2822" s="393"/>
      <c r="E2822" s="394"/>
      <c r="F2822" s="394">
        <v>2.665</v>
      </c>
      <c r="G2822" s="394"/>
      <c r="H2822" s="8" t="s">
        <v>61</v>
      </c>
      <c r="I2822" s="368">
        <f t="shared" ref="I2822:I2885" si="133">+E2822+G2822</f>
        <v>0</v>
      </c>
      <c r="J2822" s="365">
        <f t="shared" si="132"/>
        <v>0</v>
      </c>
      <c r="K2822" s="369">
        <f t="shared" ref="K2822:K2885" si="134">+WEEKDAY(C2822,2)</f>
        <v>6</v>
      </c>
      <c r="L2822" s="369">
        <f>+IF((C2822&gt;='Resultats - informe'!$E$16)*(C2822&lt;='Resultats - informe'!$G$16),1,0)</f>
        <v>1</v>
      </c>
      <c r="M2822" s="369" cm="1">
        <f t="array" ref="M2822">+_xlfn.IFS((C2822&gt;='Resultats - informe'!$D$26)*(C2822&lt;='Resultats - informe'!$E$26),0,(C2822&gt;='Resultats - informe'!$D$27)*(C2822&lt;='Resultats - informe'!$E$27),0,(C2822&gt;='Resultats - informe'!$D$28)*(C2822&lt;='Resultats - informe'!$E$28),0,(C2822&gt;='Resultats - informe'!$D$29)*(C2822&lt;='Resultats - informe'!$E$29),0,1,1)</f>
        <v>0</v>
      </c>
      <c r="N2822" s="366">
        <f>+VLOOKUP(D2822,'Resultats - informe'!$Y$18:$AG$42,'Introducció dades consum'!K2822+1,0)</f>
        <v>0</v>
      </c>
      <c r="O2822" s="370" cm="1">
        <f t="array" ref="O2822">+_xlfn.SWITCH(MONTH(C2822),1,1,2,1,3,1,4,2,5,2,6,3,7,3,8,3,9,3,10,2,11,2,12,1,2)</f>
        <v>1</v>
      </c>
      <c r="P2822" s="43"/>
    </row>
    <row r="2823" spans="1:16" ht="18" x14ac:dyDescent="0.35">
      <c r="A2823" s="43"/>
      <c r="C2823" s="393"/>
      <c r="E2823" s="394"/>
      <c r="F2823" s="394">
        <v>3.5840000000000001</v>
      </c>
      <c r="G2823" s="394"/>
      <c r="H2823" s="8" t="s">
        <v>61</v>
      </c>
      <c r="I2823" s="368">
        <f t="shared" si="133"/>
        <v>0</v>
      </c>
      <c r="J2823" s="365">
        <f t="shared" si="132"/>
        <v>0</v>
      </c>
      <c r="K2823" s="369">
        <f t="shared" si="134"/>
        <v>6</v>
      </c>
      <c r="L2823" s="369">
        <f>+IF((C2823&gt;='Resultats - informe'!$E$16)*(C2823&lt;='Resultats - informe'!$G$16),1,0)</f>
        <v>1</v>
      </c>
      <c r="M2823" s="369" cm="1">
        <f t="array" ref="M2823">+_xlfn.IFS((C2823&gt;='Resultats - informe'!$D$26)*(C2823&lt;='Resultats - informe'!$E$26),0,(C2823&gt;='Resultats - informe'!$D$27)*(C2823&lt;='Resultats - informe'!$E$27),0,(C2823&gt;='Resultats - informe'!$D$28)*(C2823&lt;='Resultats - informe'!$E$28),0,(C2823&gt;='Resultats - informe'!$D$29)*(C2823&lt;='Resultats - informe'!$E$29),0,1,1)</f>
        <v>0</v>
      </c>
      <c r="N2823" s="366">
        <f>+VLOOKUP(D2823,'Resultats - informe'!$Y$18:$AG$42,'Introducció dades consum'!K2823+1,0)</f>
        <v>0</v>
      </c>
      <c r="O2823" s="370" cm="1">
        <f t="array" ref="O2823">+_xlfn.SWITCH(MONTH(C2823),1,1,2,1,3,1,4,2,5,2,6,3,7,3,8,3,9,3,10,2,11,2,12,1,2)</f>
        <v>1</v>
      </c>
      <c r="P2823" s="43"/>
    </row>
    <row r="2824" spans="1:16" ht="18" x14ac:dyDescent="0.35">
      <c r="A2824" s="43"/>
      <c r="C2824" s="393"/>
      <c r="E2824" s="394"/>
      <c r="F2824" s="394">
        <v>4.17</v>
      </c>
      <c r="G2824" s="394"/>
      <c r="H2824" s="8" t="s">
        <v>235</v>
      </c>
      <c r="I2824" s="368">
        <f t="shared" si="133"/>
        <v>0</v>
      </c>
      <c r="J2824" s="365">
        <f t="shared" si="132"/>
        <v>0</v>
      </c>
      <c r="K2824" s="369">
        <f t="shared" si="134"/>
        <v>6</v>
      </c>
      <c r="L2824" s="369">
        <f>+IF((C2824&gt;='Resultats - informe'!$E$16)*(C2824&lt;='Resultats - informe'!$G$16),1,0)</f>
        <v>1</v>
      </c>
      <c r="M2824" s="369" cm="1">
        <f t="array" ref="M2824">+_xlfn.IFS((C2824&gt;='Resultats - informe'!$D$26)*(C2824&lt;='Resultats - informe'!$E$26),0,(C2824&gt;='Resultats - informe'!$D$27)*(C2824&lt;='Resultats - informe'!$E$27),0,(C2824&gt;='Resultats - informe'!$D$28)*(C2824&lt;='Resultats - informe'!$E$28),0,(C2824&gt;='Resultats - informe'!$D$29)*(C2824&lt;='Resultats - informe'!$E$29),0,1,1)</f>
        <v>0</v>
      </c>
      <c r="N2824" s="366">
        <f>+VLOOKUP(D2824,'Resultats - informe'!$Y$18:$AG$42,'Introducció dades consum'!K2824+1,0)</f>
        <v>0</v>
      </c>
      <c r="O2824" s="370" cm="1">
        <f t="array" ref="O2824">+_xlfn.SWITCH(MONTH(C2824),1,1,2,1,3,1,4,2,5,2,6,3,7,3,8,3,9,3,10,2,11,2,12,1,2)</f>
        <v>1</v>
      </c>
      <c r="P2824" s="43"/>
    </row>
    <row r="2825" spans="1:16" ht="18" x14ac:dyDescent="0.35">
      <c r="A2825" s="43"/>
      <c r="C2825" s="393"/>
      <c r="E2825" s="394"/>
      <c r="F2825" s="394">
        <v>4.9080000000000004</v>
      </c>
      <c r="G2825" s="394"/>
      <c r="H2825" s="8" t="s">
        <v>235</v>
      </c>
      <c r="I2825" s="368">
        <f t="shared" si="133"/>
        <v>0</v>
      </c>
      <c r="J2825" s="365">
        <f t="shared" si="132"/>
        <v>0</v>
      </c>
      <c r="K2825" s="369">
        <f t="shared" si="134"/>
        <v>6</v>
      </c>
      <c r="L2825" s="369">
        <f>+IF((C2825&gt;='Resultats - informe'!$E$16)*(C2825&lt;='Resultats - informe'!$G$16),1,0)</f>
        <v>1</v>
      </c>
      <c r="M2825" s="369" cm="1">
        <f t="array" ref="M2825">+_xlfn.IFS((C2825&gt;='Resultats - informe'!$D$26)*(C2825&lt;='Resultats - informe'!$E$26),0,(C2825&gt;='Resultats - informe'!$D$27)*(C2825&lt;='Resultats - informe'!$E$27),0,(C2825&gt;='Resultats - informe'!$D$28)*(C2825&lt;='Resultats - informe'!$E$28),0,(C2825&gt;='Resultats - informe'!$D$29)*(C2825&lt;='Resultats - informe'!$E$29),0,1,1)</f>
        <v>0</v>
      </c>
      <c r="N2825" s="366">
        <f>+VLOOKUP(D2825,'Resultats - informe'!$Y$18:$AG$42,'Introducció dades consum'!K2825+1,0)</f>
        <v>0</v>
      </c>
      <c r="O2825" s="370" cm="1">
        <f t="array" ref="O2825">+_xlfn.SWITCH(MONTH(C2825),1,1,2,1,3,1,4,2,5,2,6,3,7,3,8,3,9,3,10,2,11,2,12,1,2)</f>
        <v>1</v>
      </c>
      <c r="P2825" s="43"/>
    </row>
    <row r="2826" spans="1:16" ht="18" x14ac:dyDescent="0.35">
      <c r="A2826" s="43"/>
      <c r="C2826" s="393"/>
      <c r="E2826" s="394"/>
      <c r="F2826" s="394">
        <v>4.609</v>
      </c>
      <c r="G2826" s="394"/>
      <c r="H2826" s="8" t="s">
        <v>235</v>
      </c>
      <c r="I2826" s="368">
        <f t="shared" si="133"/>
        <v>0</v>
      </c>
      <c r="J2826" s="365">
        <f t="shared" si="132"/>
        <v>0</v>
      </c>
      <c r="K2826" s="369">
        <f t="shared" si="134"/>
        <v>6</v>
      </c>
      <c r="L2826" s="369">
        <f>+IF((C2826&gt;='Resultats - informe'!$E$16)*(C2826&lt;='Resultats - informe'!$G$16),1,0)</f>
        <v>1</v>
      </c>
      <c r="M2826" s="369" cm="1">
        <f t="array" ref="M2826">+_xlfn.IFS((C2826&gt;='Resultats - informe'!$D$26)*(C2826&lt;='Resultats - informe'!$E$26),0,(C2826&gt;='Resultats - informe'!$D$27)*(C2826&lt;='Resultats - informe'!$E$27),0,(C2826&gt;='Resultats - informe'!$D$28)*(C2826&lt;='Resultats - informe'!$E$28),0,(C2826&gt;='Resultats - informe'!$D$29)*(C2826&lt;='Resultats - informe'!$E$29),0,1,1)</f>
        <v>0</v>
      </c>
      <c r="N2826" s="366">
        <f>+VLOOKUP(D2826,'Resultats - informe'!$Y$18:$AG$42,'Introducció dades consum'!K2826+1,0)</f>
        <v>0</v>
      </c>
      <c r="O2826" s="370" cm="1">
        <f t="array" ref="O2826">+_xlfn.SWITCH(MONTH(C2826),1,1,2,1,3,1,4,2,5,2,6,3,7,3,8,3,9,3,10,2,11,2,12,1,2)</f>
        <v>1</v>
      </c>
      <c r="P2826" s="43"/>
    </row>
    <row r="2827" spans="1:16" ht="18" x14ac:dyDescent="0.35">
      <c r="A2827" s="43"/>
      <c r="C2827" s="393"/>
      <c r="E2827" s="394"/>
      <c r="F2827" s="394">
        <v>3.1749999999999998</v>
      </c>
      <c r="G2827" s="394"/>
      <c r="H2827" s="8" t="s">
        <v>235</v>
      </c>
      <c r="I2827" s="368">
        <f t="shared" si="133"/>
        <v>0</v>
      </c>
      <c r="J2827" s="365">
        <f t="shared" si="132"/>
        <v>0</v>
      </c>
      <c r="K2827" s="369">
        <f t="shared" si="134"/>
        <v>6</v>
      </c>
      <c r="L2827" s="369">
        <f>+IF((C2827&gt;='Resultats - informe'!$E$16)*(C2827&lt;='Resultats - informe'!$G$16),1,0)</f>
        <v>1</v>
      </c>
      <c r="M2827" s="369" cm="1">
        <f t="array" ref="M2827">+_xlfn.IFS((C2827&gt;='Resultats - informe'!$D$26)*(C2827&lt;='Resultats - informe'!$E$26),0,(C2827&gt;='Resultats - informe'!$D$27)*(C2827&lt;='Resultats - informe'!$E$27),0,(C2827&gt;='Resultats - informe'!$D$28)*(C2827&lt;='Resultats - informe'!$E$28),0,(C2827&gt;='Resultats - informe'!$D$29)*(C2827&lt;='Resultats - informe'!$E$29),0,1,1)</f>
        <v>0</v>
      </c>
      <c r="N2827" s="366">
        <f>+VLOOKUP(D2827,'Resultats - informe'!$Y$18:$AG$42,'Introducció dades consum'!K2827+1,0)</f>
        <v>0</v>
      </c>
      <c r="O2827" s="370" cm="1">
        <f t="array" ref="O2827">+_xlfn.SWITCH(MONTH(C2827),1,1,2,1,3,1,4,2,5,2,6,3,7,3,8,3,9,3,10,2,11,2,12,1,2)</f>
        <v>1</v>
      </c>
      <c r="P2827" s="43"/>
    </row>
    <row r="2828" spans="1:16" ht="18" x14ac:dyDescent="0.35">
      <c r="A2828" s="43"/>
      <c r="C2828" s="393"/>
      <c r="E2828" s="394"/>
      <c r="F2828" s="394">
        <v>1.8440000000000001</v>
      </c>
      <c r="G2828" s="394"/>
      <c r="H2828" s="8" t="s">
        <v>235</v>
      </c>
      <c r="I2828" s="368">
        <f t="shared" si="133"/>
        <v>0</v>
      </c>
      <c r="J2828" s="365">
        <f t="shared" si="132"/>
        <v>0</v>
      </c>
      <c r="K2828" s="369">
        <f t="shared" si="134"/>
        <v>6</v>
      </c>
      <c r="L2828" s="369">
        <f>+IF((C2828&gt;='Resultats - informe'!$E$16)*(C2828&lt;='Resultats - informe'!$G$16),1,0)</f>
        <v>1</v>
      </c>
      <c r="M2828" s="369" cm="1">
        <f t="array" ref="M2828">+_xlfn.IFS((C2828&gt;='Resultats - informe'!$D$26)*(C2828&lt;='Resultats - informe'!$E$26),0,(C2828&gt;='Resultats - informe'!$D$27)*(C2828&lt;='Resultats - informe'!$E$27),0,(C2828&gt;='Resultats - informe'!$D$28)*(C2828&lt;='Resultats - informe'!$E$28),0,(C2828&gt;='Resultats - informe'!$D$29)*(C2828&lt;='Resultats - informe'!$E$29),0,1,1)</f>
        <v>0</v>
      </c>
      <c r="N2828" s="366">
        <f>+VLOOKUP(D2828,'Resultats - informe'!$Y$18:$AG$42,'Introducció dades consum'!K2828+1,0)</f>
        <v>0</v>
      </c>
      <c r="O2828" s="370" cm="1">
        <f t="array" ref="O2828">+_xlfn.SWITCH(MONTH(C2828),1,1,2,1,3,1,4,2,5,2,6,3,7,3,8,3,9,3,10,2,11,2,12,1,2)</f>
        <v>1</v>
      </c>
      <c r="P2828" s="43"/>
    </row>
    <row r="2829" spans="1:16" ht="18" x14ac:dyDescent="0.35">
      <c r="A2829" s="43"/>
      <c r="C2829" s="393"/>
      <c r="E2829" s="394"/>
      <c r="F2829" s="394">
        <v>0.61499999999999999</v>
      </c>
      <c r="G2829" s="394"/>
      <c r="H2829" s="8" t="s">
        <v>235</v>
      </c>
      <c r="I2829" s="368">
        <f t="shared" si="133"/>
        <v>0</v>
      </c>
      <c r="J2829" s="365">
        <f t="shared" si="132"/>
        <v>0</v>
      </c>
      <c r="K2829" s="369">
        <f t="shared" si="134"/>
        <v>6</v>
      </c>
      <c r="L2829" s="369">
        <f>+IF((C2829&gt;='Resultats - informe'!$E$16)*(C2829&lt;='Resultats - informe'!$G$16),1,0)</f>
        <v>1</v>
      </c>
      <c r="M2829" s="369" cm="1">
        <f t="array" ref="M2829">+_xlfn.IFS((C2829&gt;='Resultats - informe'!$D$26)*(C2829&lt;='Resultats - informe'!$E$26),0,(C2829&gt;='Resultats - informe'!$D$27)*(C2829&lt;='Resultats - informe'!$E$27),0,(C2829&gt;='Resultats - informe'!$D$28)*(C2829&lt;='Resultats - informe'!$E$28),0,(C2829&gt;='Resultats - informe'!$D$29)*(C2829&lt;='Resultats - informe'!$E$29),0,1,1)</f>
        <v>0</v>
      </c>
      <c r="N2829" s="366">
        <f>+VLOOKUP(D2829,'Resultats - informe'!$Y$18:$AG$42,'Introducció dades consum'!K2829+1,0)</f>
        <v>0</v>
      </c>
      <c r="O2829" s="370" cm="1">
        <f t="array" ref="O2829">+_xlfn.SWITCH(MONTH(C2829),1,1,2,1,3,1,4,2,5,2,6,3,7,3,8,3,9,3,10,2,11,2,12,1,2)</f>
        <v>1</v>
      </c>
      <c r="P2829" s="43"/>
    </row>
    <row r="2830" spans="1:16" ht="18" x14ac:dyDescent="0.35">
      <c r="A2830" s="43"/>
      <c r="C2830" s="393"/>
      <c r="E2830" s="394"/>
      <c r="F2830" s="394">
        <v>0</v>
      </c>
      <c r="G2830" s="394"/>
      <c r="H2830" s="8" t="s">
        <v>235</v>
      </c>
      <c r="I2830" s="368">
        <f t="shared" si="133"/>
        <v>0</v>
      </c>
      <c r="J2830" s="365">
        <f t="shared" si="132"/>
        <v>0</v>
      </c>
      <c r="K2830" s="369">
        <f t="shared" si="134"/>
        <v>6</v>
      </c>
      <c r="L2830" s="369">
        <f>+IF((C2830&gt;='Resultats - informe'!$E$16)*(C2830&lt;='Resultats - informe'!$G$16),1,0)</f>
        <v>1</v>
      </c>
      <c r="M2830" s="369" cm="1">
        <f t="array" ref="M2830">+_xlfn.IFS((C2830&gt;='Resultats - informe'!$D$26)*(C2830&lt;='Resultats - informe'!$E$26),0,(C2830&gt;='Resultats - informe'!$D$27)*(C2830&lt;='Resultats - informe'!$E$27),0,(C2830&gt;='Resultats - informe'!$D$28)*(C2830&lt;='Resultats - informe'!$E$28),0,(C2830&gt;='Resultats - informe'!$D$29)*(C2830&lt;='Resultats - informe'!$E$29),0,1,1)</f>
        <v>0</v>
      </c>
      <c r="N2830" s="366">
        <f>+VLOOKUP(D2830,'Resultats - informe'!$Y$18:$AG$42,'Introducció dades consum'!K2830+1,0)</f>
        <v>0</v>
      </c>
      <c r="O2830" s="370" cm="1">
        <f t="array" ref="O2830">+_xlfn.SWITCH(MONTH(C2830),1,1,2,1,3,1,4,2,5,2,6,3,7,3,8,3,9,3,10,2,11,2,12,1,2)</f>
        <v>1</v>
      </c>
      <c r="P2830" s="43"/>
    </row>
    <row r="2831" spans="1:16" ht="18" x14ac:dyDescent="0.35">
      <c r="A2831" s="43"/>
      <c r="C2831" s="393"/>
      <c r="E2831" s="394"/>
      <c r="F2831" s="394">
        <v>0</v>
      </c>
      <c r="G2831" s="394"/>
      <c r="H2831" s="8" t="s">
        <v>235</v>
      </c>
      <c r="I2831" s="368">
        <f t="shared" si="133"/>
        <v>0</v>
      </c>
      <c r="J2831" s="365">
        <f t="shared" si="132"/>
        <v>0</v>
      </c>
      <c r="K2831" s="369">
        <f t="shared" si="134"/>
        <v>6</v>
      </c>
      <c r="L2831" s="369">
        <f>+IF((C2831&gt;='Resultats - informe'!$E$16)*(C2831&lt;='Resultats - informe'!$G$16),1,0)</f>
        <v>1</v>
      </c>
      <c r="M2831" s="369" cm="1">
        <f t="array" ref="M2831">+_xlfn.IFS((C2831&gt;='Resultats - informe'!$D$26)*(C2831&lt;='Resultats - informe'!$E$26),0,(C2831&gt;='Resultats - informe'!$D$27)*(C2831&lt;='Resultats - informe'!$E$27),0,(C2831&gt;='Resultats - informe'!$D$28)*(C2831&lt;='Resultats - informe'!$E$28),0,(C2831&gt;='Resultats - informe'!$D$29)*(C2831&lt;='Resultats - informe'!$E$29),0,1,1)</f>
        <v>0</v>
      </c>
      <c r="N2831" s="366">
        <f>+VLOOKUP(D2831,'Resultats - informe'!$Y$18:$AG$42,'Introducció dades consum'!K2831+1,0)</f>
        <v>0</v>
      </c>
      <c r="O2831" s="370" cm="1">
        <f t="array" ref="O2831">+_xlfn.SWITCH(MONTH(C2831),1,1,2,1,3,1,4,2,5,2,6,3,7,3,8,3,9,3,10,2,11,2,12,1,2)</f>
        <v>1</v>
      </c>
      <c r="P2831" s="43"/>
    </row>
    <row r="2832" spans="1:16" ht="18" x14ac:dyDescent="0.35">
      <c r="A2832" s="43"/>
      <c r="C2832" s="393"/>
      <c r="E2832" s="394"/>
      <c r="F2832" s="394">
        <v>0</v>
      </c>
      <c r="G2832" s="394"/>
      <c r="H2832" s="8" t="s">
        <v>235</v>
      </c>
      <c r="I2832" s="368">
        <f t="shared" si="133"/>
        <v>0</v>
      </c>
      <c r="J2832" s="365">
        <f t="shared" si="132"/>
        <v>0</v>
      </c>
      <c r="K2832" s="369">
        <f t="shared" si="134"/>
        <v>6</v>
      </c>
      <c r="L2832" s="369">
        <f>+IF((C2832&gt;='Resultats - informe'!$E$16)*(C2832&lt;='Resultats - informe'!$G$16),1,0)</f>
        <v>1</v>
      </c>
      <c r="M2832" s="369" cm="1">
        <f t="array" ref="M2832">+_xlfn.IFS((C2832&gt;='Resultats - informe'!$D$26)*(C2832&lt;='Resultats - informe'!$E$26),0,(C2832&gt;='Resultats - informe'!$D$27)*(C2832&lt;='Resultats - informe'!$E$27),0,(C2832&gt;='Resultats - informe'!$D$28)*(C2832&lt;='Resultats - informe'!$E$28),0,(C2832&gt;='Resultats - informe'!$D$29)*(C2832&lt;='Resultats - informe'!$E$29),0,1,1)</f>
        <v>0</v>
      </c>
      <c r="N2832" s="366">
        <f>+VLOOKUP(D2832,'Resultats - informe'!$Y$18:$AG$42,'Introducció dades consum'!K2832+1,0)</f>
        <v>0</v>
      </c>
      <c r="O2832" s="370" cm="1">
        <f t="array" ref="O2832">+_xlfn.SWITCH(MONTH(C2832),1,1,2,1,3,1,4,2,5,2,6,3,7,3,8,3,9,3,10,2,11,2,12,1,2)</f>
        <v>1</v>
      </c>
      <c r="P2832" s="43"/>
    </row>
    <row r="2833" spans="1:16" ht="18" x14ac:dyDescent="0.35">
      <c r="A2833" s="43"/>
      <c r="C2833" s="393"/>
      <c r="E2833" s="394"/>
      <c r="F2833" s="394">
        <v>0</v>
      </c>
      <c r="G2833" s="394"/>
      <c r="H2833" s="8" t="s">
        <v>235</v>
      </c>
      <c r="I2833" s="368">
        <f t="shared" si="133"/>
        <v>0</v>
      </c>
      <c r="J2833" s="365">
        <f t="shared" si="132"/>
        <v>0</v>
      </c>
      <c r="K2833" s="369">
        <f t="shared" si="134"/>
        <v>6</v>
      </c>
      <c r="L2833" s="369">
        <f>+IF((C2833&gt;='Resultats - informe'!$E$16)*(C2833&lt;='Resultats - informe'!$G$16),1,0)</f>
        <v>1</v>
      </c>
      <c r="M2833" s="369" cm="1">
        <f t="array" ref="M2833">+_xlfn.IFS((C2833&gt;='Resultats - informe'!$D$26)*(C2833&lt;='Resultats - informe'!$E$26),0,(C2833&gt;='Resultats - informe'!$D$27)*(C2833&lt;='Resultats - informe'!$E$27),0,(C2833&gt;='Resultats - informe'!$D$28)*(C2833&lt;='Resultats - informe'!$E$28),0,(C2833&gt;='Resultats - informe'!$D$29)*(C2833&lt;='Resultats - informe'!$E$29),0,1,1)</f>
        <v>0</v>
      </c>
      <c r="N2833" s="366">
        <f>+VLOOKUP(D2833,'Resultats - informe'!$Y$18:$AG$42,'Introducció dades consum'!K2833+1,0)</f>
        <v>0</v>
      </c>
      <c r="O2833" s="370" cm="1">
        <f t="array" ref="O2833">+_xlfn.SWITCH(MONTH(C2833),1,1,2,1,3,1,4,2,5,2,6,3,7,3,8,3,9,3,10,2,11,2,12,1,2)</f>
        <v>1</v>
      </c>
      <c r="P2833" s="43"/>
    </row>
    <row r="2834" spans="1:16" ht="18" x14ac:dyDescent="0.35">
      <c r="A2834" s="43"/>
      <c r="C2834" s="393"/>
      <c r="E2834" s="394"/>
      <c r="F2834" s="394">
        <v>0</v>
      </c>
      <c r="G2834" s="394"/>
      <c r="H2834" s="8" t="s">
        <v>235</v>
      </c>
      <c r="I2834" s="368">
        <f t="shared" si="133"/>
        <v>0</v>
      </c>
      <c r="J2834" s="365">
        <f t="shared" si="132"/>
        <v>0</v>
      </c>
      <c r="K2834" s="369">
        <f t="shared" si="134"/>
        <v>6</v>
      </c>
      <c r="L2834" s="369">
        <f>+IF((C2834&gt;='Resultats - informe'!$E$16)*(C2834&lt;='Resultats - informe'!$G$16),1,0)</f>
        <v>1</v>
      </c>
      <c r="M2834" s="369" cm="1">
        <f t="array" ref="M2834">+_xlfn.IFS((C2834&gt;='Resultats - informe'!$D$26)*(C2834&lt;='Resultats - informe'!$E$26),0,(C2834&gt;='Resultats - informe'!$D$27)*(C2834&lt;='Resultats - informe'!$E$27),0,(C2834&gt;='Resultats - informe'!$D$28)*(C2834&lt;='Resultats - informe'!$E$28),0,(C2834&gt;='Resultats - informe'!$D$29)*(C2834&lt;='Resultats - informe'!$E$29),0,1,1)</f>
        <v>0</v>
      </c>
      <c r="N2834" s="366">
        <f>+VLOOKUP(D2834,'Resultats - informe'!$Y$18:$AG$42,'Introducció dades consum'!K2834+1,0)</f>
        <v>0</v>
      </c>
      <c r="O2834" s="370" cm="1">
        <f t="array" ref="O2834">+_xlfn.SWITCH(MONTH(C2834),1,1,2,1,3,1,4,2,5,2,6,3,7,3,8,3,9,3,10,2,11,2,12,1,2)</f>
        <v>1</v>
      </c>
      <c r="P2834" s="43"/>
    </row>
    <row r="2835" spans="1:16" ht="18" x14ac:dyDescent="0.35">
      <c r="A2835" s="43"/>
      <c r="C2835" s="393"/>
      <c r="E2835" s="394"/>
      <c r="F2835" s="394">
        <v>0</v>
      </c>
      <c r="G2835" s="394"/>
      <c r="H2835" s="8" t="s">
        <v>235</v>
      </c>
      <c r="I2835" s="368">
        <f t="shared" si="133"/>
        <v>0</v>
      </c>
      <c r="J2835" s="365">
        <f t="shared" si="132"/>
        <v>0</v>
      </c>
      <c r="K2835" s="369">
        <f t="shared" si="134"/>
        <v>6</v>
      </c>
      <c r="L2835" s="369">
        <f>+IF((C2835&gt;='Resultats - informe'!$E$16)*(C2835&lt;='Resultats - informe'!$G$16),1,0)</f>
        <v>1</v>
      </c>
      <c r="M2835" s="369" cm="1">
        <f t="array" ref="M2835">+_xlfn.IFS((C2835&gt;='Resultats - informe'!$D$26)*(C2835&lt;='Resultats - informe'!$E$26),0,(C2835&gt;='Resultats - informe'!$D$27)*(C2835&lt;='Resultats - informe'!$E$27),0,(C2835&gt;='Resultats - informe'!$D$28)*(C2835&lt;='Resultats - informe'!$E$28),0,(C2835&gt;='Resultats - informe'!$D$29)*(C2835&lt;='Resultats - informe'!$E$29),0,1,1)</f>
        <v>0</v>
      </c>
      <c r="N2835" s="366">
        <f>+VLOOKUP(D2835,'Resultats - informe'!$Y$18:$AG$42,'Introducció dades consum'!K2835+1,0)</f>
        <v>0</v>
      </c>
      <c r="O2835" s="370" cm="1">
        <f t="array" ref="O2835">+_xlfn.SWITCH(MONTH(C2835),1,1,2,1,3,1,4,2,5,2,6,3,7,3,8,3,9,3,10,2,11,2,12,1,2)</f>
        <v>1</v>
      </c>
      <c r="P2835" s="43"/>
    </row>
    <row r="2836" spans="1:16" ht="18" x14ac:dyDescent="0.35">
      <c r="A2836" s="43"/>
      <c r="C2836" s="393"/>
      <c r="E2836" s="394"/>
      <c r="F2836" s="394">
        <v>0</v>
      </c>
      <c r="G2836" s="394"/>
      <c r="H2836" s="8" t="s">
        <v>235</v>
      </c>
      <c r="I2836" s="368">
        <f t="shared" si="133"/>
        <v>0</v>
      </c>
      <c r="J2836" s="365">
        <f t="shared" si="132"/>
        <v>0</v>
      </c>
      <c r="K2836" s="369">
        <f t="shared" si="134"/>
        <v>6</v>
      </c>
      <c r="L2836" s="369">
        <f>+IF((C2836&gt;='Resultats - informe'!$E$16)*(C2836&lt;='Resultats - informe'!$G$16),1,0)</f>
        <v>1</v>
      </c>
      <c r="M2836" s="369" cm="1">
        <f t="array" ref="M2836">+_xlfn.IFS((C2836&gt;='Resultats - informe'!$D$26)*(C2836&lt;='Resultats - informe'!$E$26),0,(C2836&gt;='Resultats - informe'!$D$27)*(C2836&lt;='Resultats - informe'!$E$27),0,(C2836&gt;='Resultats - informe'!$D$28)*(C2836&lt;='Resultats - informe'!$E$28),0,(C2836&gt;='Resultats - informe'!$D$29)*(C2836&lt;='Resultats - informe'!$E$29),0,1,1)</f>
        <v>0</v>
      </c>
      <c r="N2836" s="366">
        <f>+VLOOKUP(D2836,'Resultats - informe'!$Y$18:$AG$42,'Introducció dades consum'!K2836+1,0)</f>
        <v>0</v>
      </c>
      <c r="O2836" s="370" cm="1">
        <f t="array" ref="O2836">+_xlfn.SWITCH(MONTH(C2836),1,1,2,1,3,1,4,2,5,2,6,3,7,3,8,3,9,3,10,2,11,2,12,1,2)</f>
        <v>1</v>
      </c>
      <c r="P2836" s="43"/>
    </row>
    <row r="2837" spans="1:16" ht="18" x14ac:dyDescent="0.35">
      <c r="A2837" s="43"/>
      <c r="C2837" s="393"/>
      <c r="E2837" s="394"/>
      <c r="F2837" s="394">
        <v>0</v>
      </c>
      <c r="G2837" s="394"/>
      <c r="H2837" s="8" t="s">
        <v>235</v>
      </c>
      <c r="I2837" s="368">
        <f t="shared" si="133"/>
        <v>0</v>
      </c>
      <c r="J2837" s="365">
        <f t="shared" si="132"/>
        <v>0</v>
      </c>
      <c r="K2837" s="369">
        <f t="shared" si="134"/>
        <v>6</v>
      </c>
      <c r="L2837" s="369">
        <f>+IF((C2837&gt;='Resultats - informe'!$E$16)*(C2837&lt;='Resultats - informe'!$G$16),1,0)</f>
        <v>1</v>
      </c>
      <c r="M2837" s="369" cm="1">
        <f t="array" ref="M2837">+_xlfn.IFS((C2837&gt;='Resultats - informe'!$D$26)*(C2837&lt;='Resultats - informe'!$E$26),0,(C2837&gt;='Resultats - informe'!$D$27)*(C2837&lt;='Resultats - informe'!$E$27),0,(C2837&gt;='Resultats - informe'!$D$28)*(C2837&lt;='Resultats - informe'!$E$28),0,(C2837&gt;='Resultats - informe'!$D$29)*(C2837&lt;='Resultats - informe'!$E$29),0,1,1)</f>
        <v>0</v>
      </c>
      <c r="N2837" s="366">
        <f>+VLOOKUP(D2837,'Resultats - informe'!$Y$18:$AG$42,'Introducció dades consum'!K2837+1,0)</f>
        <v>0</v>
      </c>
      <c r="O2837" s="370" cm="1">
        <f t="array" ref="O2837">+_xlfn.SWITCH(MONTH(C2837),1,1,2,1,3,1,4,2,5,2,6,3,7,3,8,3,9,3,10,2,11,2,12,1,2)</f>
        <v>1</v>
      </c>
      <c r="P2837" s="43"/>
    </row>
    <row r="2838" spans="1:16" ht="18" x14ac:dyDescent="0.35">
      <c r="A2838" s="43"/>
      <c r="C2838" s="393"/>
      <c r="E2838" s="394"/>
      <c r="F2838" s="394">
        <v>0</v>
      </c>
      <c r="G2838" s="394"/>
      <c r="H2838" s="8" t="s">
        <v>235</v>
      </c>
      <c r="I2838" s="368">
        <f t="shared" si="133"/>
        <v>0</v>
      </c>
      <c r="J2838" s="365">
        <f t="shared" si="132"/>
        <v>0</v>
      </c>
      <c r="K2838" s="369">
        <f t="shared" si="134"/>
        <v>6</v>
      </c>
      <c r="L2838" s="369">
        <f>+IF((C2838&gt;='Resultats - informe'!$E$16)*(C2838&lt;='Resultats - informe'!$G$16),1,0)</f>
        <v>1</v>
      </c>
      <c r="M2838" s="369" cm="1">
        <f t="array" ref="M2838">+_xlfn.IFS((C2838&gt;='Resultats - informe'!$D$26)*(C2838&lt;='Resultats - informe'!$E$26),0,(C2838&gt;='Resultats - informe'!$D$27)*(C2838&lt;='Resultats - informe'!$E$27),0,(C2838&gt;='Resultats - informe'!$D$28)*(C2838&lt;='Resultats - informe'!$E$28),0,(C2838&gt;='Resultats - informe'!$D$29)*(C2838&lt;='Resultats - informe'!$E$29),0,1,1)</f>
        <v>0</v>
      </c>
      <c r="N2838" s="366">
        <f>+VLOOKUP(D2838,'Resultats - informe'!$Y$18:$AG$42,'Introducció dades consum'!K2838+1,0)</f>
        <v>0</v>
      </c>
      <c r="O2838" s="370" cm="1">
        <f t="array" ref="O2838">+_xlfn.SWITCH(MONTH(C2838),1,1,2,1,3,1,4,2,5,2,6,3,7,3,8,3,9,3,10,2,11,2,12,1,2)</f>
        <v>1</v>
      </c>
      <c r="P2838" s="43"/>
    </row>
    <row r="2839" spans="1:16" ht="18" x14ac:dyDescent="0.35">
      <c r="A2839" s="43"/>
      <c r="C2839" s="393"/>
      <c r="E2839" s="394"/>
      <c r="F2839" s="394">
        <v>0</v>
      </c>
      <c r="G2839" s="394"/>
      <c r="H2839" s="8" t="s">
        <v>235</v>
      </c>
      <c r="I2839" s="368">
        <f t="shared" si="133"/>
        <v>0</v>
      </c>
      <c r="J2839" s="365">
        <f t="shared" si="132"/>
        <v>0</v>
      </c>
      <c r="K2839" s="369">
        <f t="shared" si="134"/>
        <v>6</v>
      </c>
      <c r="L2839" s="369">
        <f>+IF((C2839&gt;='Resultats - informe'!$E$16)*(C2839&lt;='Resultats - informe'!$G$16),1,0)</f>
        <v>1</v>
      </c>
      <c r="M2839" s="369" cm="1">
        <f t="array" ref="M2839">+_xlfn.IFS((C2839&gt;='Resultats - informe'!$D$26)*(C2839&lt;='Resultats - informe'!$E$26),0,(C2839&gt;='Resultats - informe'!$D$27)*(C2839&lt;='Resultats - informe'!$E$27),0,(C2839&gt;='Resultats - informe'!$D$28)*(C2839&lt;='Resultats - informe'!$E$28),0,(C2839&gt;='Resultats - informe'!$D$29)*(C2839&lt;='Resultats - informe'!$E$29),0,1,1)</f>
        <v>0</v>
      </c>
      <c r="N2839" s="366">
        <f>+VLOOKUP(D2839,'Resultats - informe'!$Y$18:$AG$42,'Introducció dades consum'!K2839+1,0)</f>
        <v>0</v>
      </c>
      <c r="O2839" s="370" cm="1">
        <f t="array" ref="O2839">+_xlfn.SWITCH(MONTH(C2839),1,1,2,1,3,1,4,2,5,2,6,3,7,3,8,3,9,3,10,2,11,2,12,1,2)</f>
        <v>1</v>
      </c>
      <c r="P2839" s="43"/>
    </row>
    <row r="2840" spans="1:16" ht="18" x14ac:dyDescent="0.35">
      <c r="A2840" s="43"/>
      <c r="C2840" s="393"/>
      <c r="E2840" s="394"/>
      <c r="F2840" s="394">
        <v>0</v>
      </c>
      <c r="G2840" s="394"/>
      <c r="H2840" s="8" t="s">
        <v>235</v>
      </c>
      <c r="I2840" s="368">
        <f t="shared" si="133"/>
        <v>0</v>
      </c>
      <c r="J2840" s="365">
        <f t="shared" si="132"/>
        <v>0</v>
      </c>
      <c r="K2840" s="369">
        <f t="shared" si="134"/>
        <v>6</v>
      </c>
      <c r="L2840" s="369">
        <f>+IF((C2840&gt;='Resultats - informe'!$E$16)*(C2840&lt;='Resultats - informe'!$G$16),1,0)</f>
        <v>1</v>
      </c>
      <c r="M2840" s="369" cm="1">
        <f t="array" ref="M2840">+_xlfn.IFS((C2840&gt;='Resultats - informe'!$D$26)*(C2840&lt;='Resultats - informe'!$E$26),0,(C2840&gt;='Resultats - informe'!$D$27)*(C2840&lt;='Resultats - informe'!$E$27),0,(C2840&gt;='Resultats - informe'!$D$28)*(C2840&lt;='Resultats - informe'!$E$28),0,(C2840&gt;='Resultats - informe'!$D$29)*(C2840&lt;='Resultats - informe'!$E$29),0,1,1)</f>
        <v>0</v>
      </c>
      <c r="N2840" s="366">
        <f>+VLOOKUP(D2840,'Resultats - informe'!$Y$18:$AG$42,'Introducció dades consum'!K2840+1,0)</f>
        <v>0</v>
      </c>
      <c r="O2840" s="370" cm="1">
        <f t="array" ref="O2840">+_xlfn.SWITCH(MONTH(C2840),1,1,2,1,3,1,4,2,5,2,6,3,7,3,8,3,9,3,10,2,11,2,12,1,2)</f>
        <v>1</v>
      </c>
      <c r="P2840" s="43"/>
    </row>
    <row r="2841" spans="1:16" ht="18" x14ac:dyDescent="0.35">
      <c r="A2841" s="43"/>
      <c r="C2841" s="393"/>
      <c r="E2841" s="394"/>
      <c r="F2841" s="394">
        <v>0</v>
      </c>
      <c r="G2841" s="394"/>
      <c r="H2841" s="8" t="s">
        <v>61</v>
      </c>
      <c r="I2841" s="368">
        <f t="shared" si="133"/>
        <v>0</v>
      </c>
      <c r="J2841" s="365">
        <f t="shared" si="132"/>
        <v>0</v>
      </c>
      <c r="K2841" s="369">
        <f t="shared" si="134"/>
        <v>6</v>
      </c>
      <c r="L2841" s="369">
        <f>+IF((C2841&gt;='Resultats - informe'!$E$16)*(C2841&lt;='Resultats - informe'!$G$16),1,0)</f>
        <v>1</v>
      </c>
      <c r="M2841" s="369" cm="1">
        <f t="array" ref="M2841">+_xlfn.IFS((C2841&gt;='Resultats - informe'!$D$26)*(C2841&lt;='Resultats - informe'!$E$26),0,(C2841&gt;='Resultats - informe'!$D$27)*(C2841&lt;='Resultats - informe'!$E$27),0,(C2841&gt;='Resultats - informe'!$D$28)*(C2841&lt;='Resultats - informe'!$E$28),0,(C2841&gt;='Resultats - informe'!$D$29)*(C2841&lt;='Resultats - informe'!$E$29),0,1,1)</f>
        <v>0</v>
      </c>
      <c r="N2841" s="366">
        <f>+VLOOKUP(D2841,'Resultats - informe'!$Y$18:$AG$42,'Introducció dades consum'!K2841+1,0)</f>
        <v>0</v>
      </c>
      <c r="O2841" s="370" cm="1">
        <f t="array" ref="O2841">+_xlfn.SWITCH(MONTH(C2841),1,1,2,1,3,1,4,2,5,2,6,3,7,3,8,3,9,3,10,2,11,2,12,1,2)</f>
        <v>1</v>
      </c>
      <c r="P2841" s="43"/>
    </row>
    <row r="2842" spans="1:16" ht="18" x14ac:dyDescent="0.35">
      <c r="A2842" s="43"/>
      <c r="C2842" s="393"/>
      <c r="E2842" s="394"/>
      <c r="F2842" s="394">
        <v>0</v>
      </c>
      <c r="G2842" s="394"/>
      <c r="H2842" s="8" t="s">
        <v>61</v>
      </c>
      <c r="I2842" s="368">
        <f t="shared" si="133"/>
        <v>0</v>
      </c>
      <c r="J2842" s="365">
        <f t="shared" si="132"/>
        <v>0</v>
      </c>
      <c r="K2842" s="369">
        <f t="shared" si="134"/>
        <v>6</v>
      </c>
      <c r="L2842" s="369">
        <f>+IF((C2842&gt;='Resultats - informe'!$E$16)*(C2842&lt;='Resultats - informe'!$G$16),1,0)</f>
        <v>1</v>
      </c>
      <c r="M2842" s="369" cm="1">
        <f t="array" ref="M2842">+_xlfn.IFS((C2842&gt;='Resultats - informe'!$D$26)*(C2842&lt;='Resultats - informe'!$E$26),0,(C2842&gt;='Resultats - informe'!$D$27)*(C2842&lt;='Resultats - informe'!$E$27),0,(C2842&gt;='Resultats - informe'!$D$28)*(C2842&lt;='Resultats - informe'!$E$28),0,(C2842&gt;='Resultats - informe'!$D$29)*(C2842&lt;='Resultats - informe'!$E$29),0,1,1)</f>
        <v>0</v>
      </c>
      <c r="N2842" s="366">
        <f>+VLOOKUP(D2842,'Resultats - informe'!$Y$18:$AG$42,'Introducció dades consum'!K2842+1,0)</f>
        <v>0</v>
      </c>
      <c r="O2842" s="370" cm="1">
        <f t="array" ref="O2842">+_xlfn.SWITCH(MONTH(C2842),1,1,2,1,3,1,4,2,5,2,6,3,7,3,8,3,9,3,10,2,11,2,12,1,2)</f>
        <v>1</v>
      </c>
      <c r="P2842" s="43"/>
    </row>
    <row r="2843" spans="1:16" ht="18" x14ac:dyDescent="0.35">
      <c r="A2843" s="43"/>
      <c r="C2843" s="393"/>
      <c r="E2843" s="394"/>
      <c r="F2843" s="394">
        <v>0</v>
      </c>
      <c r="G2843" s="394"/>
      <c r="H2843" s="8" t="s">
        <v>61</v>
      </c>
      <c r="I2843" s="368">
        <f t="shared" si="133"/>
        <v>0</v>
      </c>
      <c r="J2843" s="365">
        <f t="shared" si="132"/>
        <v>0</v>
      </c>
      <c r="K2843" s="369">
        <f t="shared" si="134"/>
        <v>6</v>
      </c>
      <c r="L2843" s="369">
        <f>+IF((C2843&gt;='Resultats - informe'!$E$16)*(C2843&lt;='Resultats - informe'!$G$16),1,0)</f>
        <v>1</v>
      </c>
      <c r="M2843" s="369" cm="1">
        <f t="array" ref="M2843">+_xlfn.IFS((C2843&gt;='Resultats - informe'!$D$26)*(C2843&lt;='Resultats - informe'!$E$26),0,(C2843&gt;='Resultats - informe'!$D$27)*(C2843&lt;='Resultats - informe'!$E$27),0,(C2843&gt;='Resultats - informe'!$D$28)*(C2843&lt;='Resultats - informe'!$E$28),0,(C2843&gt;='Resultats - informe'!$D$29)*(C2843&lt;='Resultats - informe'!$E$29),0,1,1)</f>
        <v>0</v>
      </c>
      <c r="N2843" s="366">
        <f>+VLOOKUP(D2843,'Resultats - informe'!$Y$18:$AG$42,'Introducció dades consum'!K2843+1,0)</f>
        <v>0</v>
      </c>
      <c r="O2843" s="370" cm="1">
        <f t="array" ref="O2843">+_xlfn.SWITCH(MONTH(C2843),1,1,2,1,3,1,4,2,5,2,6,3,7,3,8,3,9,3,10,2,11,2,12,1,2)</f>
        <v>1</v>
      </c>
      <c r="P2843" s="43"/>
    </row>
    <row r="2844" spans="1:16" ht="18" x14ac:dyDescent="0.35">
      <c r="A2844" s="43"/>
      <c r="C2844" s="393"/>
      <c r="E2844" s="394"/>
      <c r="F2844" s="394">
        <v>0</v>
      </c>
      <c r="G2844" s="394"/>
      <c r="H2844" s="8" t="s">
        <v>61</v>
      </c>
      <c r="I2844" s="368">
        <f t="shared" si="133"/>
        <v>0</v>
      </c>
      <c r="J2844" s="365">
        <f t="shared" si="132"/>
        <v>0</v>
      </c>
      <c r="K2844" s="369">
        <f t="shared" si="134"/>
        <v>6</v>
      </c>
      <c r="L2844" s="369">
        <f>+IF((C2844&gt;='Resultats - informe'!$E$16)*(C2844&lt;='Resultats - informe'!$G$16),1,0)</f>
        <v>1</v>
      </c>
      <c r="M2844" s="369" cm="1">
        <f t="array" ref="M2844">+_xlfn.IFS((C2844&gt;='Resultats - informe'!$D$26)*(C2844&lt;='Resultats - informe'!$E$26),0,(C2844&gt;='Resultats - informe'!$D$27)*(C2844&lt;='Resultats - informe'!$E$27),0,(C2844&gt;='Resultats - informe'!$D$28)*(C2844&lt;='Resultats - informe'!$E$28),0,(C2844&gt;='Resultats - informe'!$D$29)*(C2844&lt;='Resultats - informe'!$E$29),0,1,1)</f>
        <v>0</v>
      </c>
      <c r="N2844" s="366">
        <f>+VLOOKUP(D2844,'Resultats - informe'!$Y$18:$AG$42,'Introducció dades consum'!K2844+1,0)</f>
        <v>0</v>
      </c>
      <c r="O2844" s="370" cm="1">
        <f t="array" ref="O2844">+_xlfn.SWITCH(MONTH(C2844),1,1,2,1,3,1,4,2,5,2,6,3,7,3,8,3,9,3,10,2,11,2,12,1,2)</f>
        <v>1</v>
      </c>
      <c r="P2844" s="43"/>
    </row>
    <row r="2845" spans="1:16" ht="18" x14ac:dyDescent="0.35">
      <c r="A2845" s="43"/>
      <c r="C2845" s="393"/>
      <c r="E2845" s="394"/>
      <c r="F2845" s="394">
        <v>0.69899999999999995</v>
      </c>
      <c r="G2845" s="394"/>
      <c r="H2845" s="8" t="s">
        <v>61</v>
      </c>
      <c r="I2845" s="368">
        <f t="shared" si="133"/>
        <v>0</v>
      </c>
      <c r="J2845" s="365">
        <f t="shared" si="132"/>
        <v>0</v>
      </c>
      <c r="K2845" s="369">
        <f t="shared" si="134"/>
        <v>6</v>
      </c>
      <c r="L2845" s="369">
        <f>+IF((C2845&gt;='Resultats - informe'!$E$16)*(C2845&lt;='Resultats - informe'!$G$16),1,0)</f>
        <v>1</v>
      </c>
      <c r="M2845" s="369" cm="1">
        <f t="array" ref="M2845">+_xlfn.IFS((C2845&gt;='Resultats - informe'!$D$26)*(C2845&lt;='Resultats - informe'!$E$26),0,(C2845&gt;='Resultats - informe'!$D$27)*(C2845&lt;='Resultats - informe'!$E$27),0,(C2845&gt;='Resultats - informe'!$D$28)*(C2845&lt;='Resultats - informe'!$E$28),0,(C2845&gt;='Resultats - informe'!$D$29)*(C2845&lt;='Resultats - informe'!$E$29),0,1,1)</f>
        <v>0</v>
      </c>
      <c r="N2845" s="366">
        <f>+VLOOKUP(D2845,'Resultats - informe'!$Y$18:$AG$42,'Introducció dades consum'!K2845+1,0)</f>
        <v>0</v>
      </c>
      <c r="O2845" s="370" cm="1">
        <f t="array" ref="O2845">+_xlfn.SWITCH(MONTH(C2845),1,1,2,1,3,1,4,2,5,2,6,3,7,3,8,3,9,3,10,2,11,2,12,1,2)</f>
        <v>1</v>
      </c>
      <c r="P2845" s="43"/>
    </row>
    <row r="2846" spans="1:16" ht="18" x14ac:dyDescent="0.35">
      <c r="A2846" s="43"/>
      <c r="C2846" s="393"/>
      <c r="E2846" s="394"/>
      <c r="F2846" s="394">
        <v>1.992</v>
      </c>
      <c r="G2846" s="394"/>
      <c r="H2846" s="8" t="s">
        <v>61</v>
      </c>
      <c r="I2846" s="368">
        <f t="shared" si="133"/>
        <v>0</v>
      </c>
      <c r="J2846" s="365">
        <f t="shared" si="132"/>
        <v>0</v>
      </c>
      <c r="K2846" s="369">
        <f t="shared" si="134"/>
        <v>6</v>
      </c>
      <c r="L2846" s="369">
        <f>+IF((C2846&gt;='Resultats - informe'!$E$16)*(C2846&lt;='Resultats - informe'!$G$16),1,0)</f>
        <v>1</v>
      </c>
      <c r="M2846" s="369" cm="1">
        <f t="array" ref="M2846">+_xlfn.IFS((C2846&gt;='Resultats - informe'!$D$26)*(C2846&lt;='Resultats - informe'!$E$26),0,(C2846&gt;='Resultats - informe'!$D$27)*(C2846&lt;='Resultats - informe'!$E$27),0,(C2846&gt;='Resultats - informe'!$D$28)*(C2846&lt;='Resultats - informe'!$E$28),0,(C2846&gt;='Resultats - informe'!$D$29)*(C2846&lt;='Resultats - informe'!$E$29),0,1,1)</f>
        <v>0</v>
      </c>
      <c r="N2846" s="366">
        <f>+VLOOKUP(D2846,'Resultats - informe'!$Y$18:$AG$42,'Introducció dades consum'!K2846+1,0)</f>
        <v>0</v>
      </c>
      <c r="O2846" s="370" cm="1">
        <f t="array" ref="O2846">+_xlfn.SWITCH(MONTH(C2846),1,1,2,1,3,1,4,2,5,2,6,3,7,3,8,3,9,3,10,2,11,2,12,1,2)</f>
        <v>1</v>
      </c>
      <c r="P2846" s="43"/>
    </row>
    <row r="2847" spans="1:16" ht="18" x14ac:dyDescent="0.35">
      <c r="A2847" s="43"/>
      <c r="C2847" s="393"/>
      <c r="E2847" s="394"/>
      <c r="F2847" s="394">
        <v>2.899</v>
      </c>
      <c r="G2847" s="394"/>
      <c r="H2847" s="8" t="s">
        <v>61</v>
      </c>
      <c r="I2847" s="368">
        <f t="shared" si="133"/>
        <v>0</v>
      </c>
      <c r="J2847" s="365">
        <f t="shared" si="132"/>
        <v>0</v>
      </c>
      <c r="K2847" s="369">
        <f t="shared" si="134"/>
        <v>6</v>
      </c>
      <c r="L2847" s="369">
        <f>+IF((C2847&gt;='Resultats - informe'!$E$16)*(C2847&lt;='Resultats - informe'!$G$16),1,0)</f>
        <v>1</v>
      </c>
      <c r="M2847" s="369" cm="1">
        <f t="array" ref="M2847">+_xlfn.IFS((C2847&gt;='Resultats - informe'!$D$26)*(C2847&lt;='Resultats - informe'!$E$26),0,(C2847&gt;='Resultats - informe'!$D$27)*(C2847&lt;='Resultats - informe'!$E$27),0,(C2847&gt;='Resultats - informe'!$D$28)*(C2847&lt;='Resultats - informe'!$E$28),0,(C2847&gt;='Resultats - informe'!$D$29)*(C2847&lt;='Resultats - informe'!$E$29),0,1,1)</f>
        <v>0</v>
      </c>
      <c r="N2847" s="366">
        <f>+VLOOKUP(D2847,'Resultats - informe'!$Y$18:$AG$42,'Introducció dades consum'!K2847+1,0)</f>
        <v>0</v>
      </c>
      <c r="O2847" s="370" cm="1">
        <f t="array" ref="O2847">+_xlfn.SWITCH(MONTH(C2847),1,1,2,1,3,1,4,2,5,2,6,3,7,3,8,3,9,3,10,2,11,2,12,1,2)</f>
        <v>1</v>
      </c>
      <c r="P2847" s="43"/>
    </row>
    <row r="2848" spans="1:16" ht="18" x14ac:dyDescent="0.35">
      <c r="A2848" s="43"/>
      <c r="C2848" s="393"/>
      <c r="E2848" s="394"/>
      <c r="F2848" s="394">
        <v>4.7510000000000003</v>
      </c>
      <c r="G2848" s="394"/>
      <c r="H2848" s="8" t="s">
        <v>61</v>
      </c>
      <c r="I2848" s="368">
        <f t="shared" si="133"/>
        <v>0</v>
      </c>
      <c r="J2848" s="365">
        <f t="shared" si="132"/>
        <v>0</v>
      </c>
      <c r="K2848" s="369">
        <f t="shared" si="134"/>
        <v>6</v>
      </c>
      <c r="L2848" s="369">
        <f>+IF((C2848&gt;='Resultats - informe'!$E$16)*(C2848&lt;='Resultats - informe'!$G$16),1,0)</f>
        <v>1</v>
      </c>
      <c r="M2848" s="369" cm="1">
        <f t="array" ref="M2848">+_xlfn.IFS((C2848&gt;='Resultats - informe'!$D$26)*(C2848&lt;='Resultats - informe'!$E$26),0,(C2848&gt;='Resultats - informe'!$D$27)*(C2848&lt;='Resultats - informe'!$E$27),0,(C2848&gt;='Resultats - informe'!$D$28)*(C2848&lt;='Resultats - informe'!$E$28),0,(C2848&gt;='Resultats - informe'!$D$29)*(C2848&lt;='Resultats - informe'!$E$29),0,1,1)</f>
        <v>0</v>
      </c>
      <c r="N2848" s="366">
        <f>+VLOOKUP(D2848,'Resultats - informe'!$Y$18:$AG$42,'Introducció dades consum'!K2848+1,0)</f>
        <v>0</v>
      </c>
      <c r="O2848" s="370" cm="1">
        <f t="array" ref="O2848">+_xlfn.SWITCH(MONTH(C2848),1,1,2,1,3,1,4,2,5,2,6,3,7,3,8,3,9,3,10,2,11,2,12,1,2)</f>
        <v>1</v>
      </c>
      <c r="P2848" s="43"/>
    </row>
    <row r="2849" spans="1:16" ht="18" x14ac:dyDescent="0.35">
      <c r="A2849" s="43"/>
      <c r="C2849" s="393"/>
      <c r="E2849" s="394"/>
      <c r="F2849" s="394">
        <v>2.0489999999999999</v>
      </c>
      <c r="G2849" s="394"/>
      <c r="H2849" s="8" t="s">
        <v>235</v>
      </c>
      <c r="I2849" s="368">
        <f t="shared" si="133"/>
        <v>0</v>
      </c>
      <c r="J2849" s="365">
        <f t="shared" si="132"/>
        <v>0</v>
      </c>
      <c r="K2849" s="369">
        <f t="shared" si="134"/>
        <v>6</v>
      </c>
      <c r="L2849" s="369">
        <f>+IF((C2849&gt;='Resultats - informe'!$E$16)*(C2849&lt;='Resultats - informe'!$G$16),1,0)</f>
        <v>1</v>
      </c>
      <c r="M2849" s="369" cm="1">
        <f t="array" ref="M2849">+_xlfn.IFS((C2849&gt;='Resultats - informe'!$D$26)*(C2849&lt;='Resultats - informe'!$E$26),0,(C2849&gt;='Resultats - informe'!$D$27)*(C2849&lt;='Resultats - informe'!$E$27),0,(C2849&gt;='Resultats - informe'!$D$28)*(C2849&lt;='Resultats - informe'!$E$28),0,(C2849&gt;='Resultats - informe'!$D$29)*(C2849&lt;='Resultats - informe'!$E$29),0,1,1)</f>
        <v>0</v>
      </c>
      <c r="N2849" s="366">
        <f>+VLOOKUP(D2849,'Resultats - informe'!$Y$18:$AG$42,'Introducció dades consum'!K2849+1,0)</f>
        <v>0</v>
      </c>
      <c r="O2849" s="370" cm="1">
        <f t="array" ref="O2849">+_xlfn.SWITCH(MONTH(C2849),1,1,2,1,3,1,4,2,5,2,6,3,7,3,8,3,9,3,10,2,11,2,12,1,2)</f>
        <v>1</v>
      </c>
      <c r="P2849" s="43"/>
    </row>
    <row r="2850" spans="1:16" ht="18" x14ac:dyDescent="0.35">
      <c r="A2850" s="43"/>
      <c r="C2850" s="393"/>
      <c r="E2850" s="394"/>
      <c r="F2850" s="394">
        <v>2.2320000000000002</v>
      </c>
      <c r="G2850" s="394"/>
      <c r="H2850" s="8" t="s">
        <v>235</v>
      </c>
      <c r="I2850" s="368">
        <f t="shared" si="133"/>
        <v>0</v>
      </c>
      <c r="J2850" s="365">
        <f t="shared" si="132"/>
        <v>0</v>
      </c>
      <c r="K2850" s="369">
        <f t="shared" si="134"/>
        <v>6</v>
      </c>
      <c r="L2850" s="369">
        <f>+IF((C2850&gt;='Resultats - informe'!$E$16)*(C2850&lt;='Resultats - informe'!$G$16),1,0)</f>
        <v>1</v>
      </c>
      <c r="M2850" s="369" cm="1">
        <f t="array" ref="M2850">+_xlfn.IFS((C2850&gt;='Resultats - informe'!$D$26)*(C2850&lt;='Resultats - informe'!$E$26),0,(C2850&gt;='Resultats - informe'!$D$27)*(C2850&lt;='Resultats - informe'!$E$27),0,(C2850&gt;='Resultats - informe'!$D$28)*(C2850&lt;='Resultats - informe'!$E$28),0,(C2850&gt;='Resultats - informe'!$D$29)*(C2850&lt;='Resultats - informe'!$E$29),0,1,1)</f>
        <v>0</v>
      </c>
      <c r="N2850" s="366">
        <f>+VLOOKUP(D2850,'Resultats - informe'!$Y$18:$AG$42,'Introducció dades consum'!K2850+1,0)</f>
        <v>0</v>
      </c>
      <c r="O2850" s="370" cm="1">
        <f t="array" ref="O2850">+_xlfn.SWITCH(MONTH(C2850),1,1,2,1,3,1,4,2,5,2,6,3,7,3,8,3,9,3,10,2,11,2,12,1,2)</f>
        <v>1</v>
      </c>
      <c r="P2850" s="43"/>
    </row>
    <row r="2851" spans="1:16" ht="18" x14ac:dyDescent="0.35">
      <c r="A2851" s="43"/>
      <c r="C2851" s="393"/>
      <c r="E2851" s="394"/>
      <c r="F2851" s="394">
        <v>1.89</v>
      </c>
      <c r="G2851" s="394"/>
      <c r="H2851" s="8" t="s">
        <v>235</v>
      </c>
      <c r="I2851" s="368">
        <f t="shared" si="133"/>
        <v>0</v>
      </c>
      <c r="J2851" s="365">
        <f t="shared" si="132"/>
        <v>0</v>
      </c>
      <c r="K2851" s="369">
        <f t="shared" si="134"/>
        <v>6</v>
      </c>
      <c r="L2851" s="369">
        <f>+IF((C2851&gt;='Resultats - informe'!$E$16)*(C2851&lt;='Resultats - informe'!$G$16),1,0)</f>
        <v>1</v>
      </c>
      <c r="M2851" s="369" cm="1">
        <f t="array" ref="M2851">+_xlfn.IFS((C2851&gt;='Resultats - informe'!$D$26)*(C2851&lt;='Resultats - informe'!$E$26),0,(C2851&gt;='Resultats - informe'!$D$27)*(C2851&lt;='Resultats - informe'!$E$27),0,(C2851&gt;='Resultats - informe'!$D$28)*(C2851&lt;='Resultats - informe'!$E$28),0,(C2851&gt;='Resultats - informe'!$D$29)*(C2851&lt;='Resultats - informe'!$E$29),0,1,1)</f>
        <v>0</v>
      </c>
      <c r="N2851" s="366">
        <f>+VLOOKUP(D2851,'Resultats - informe'!$Y$18:$AG$42,'Introducció dades consum'!K2851+1,0)</f>
        <v>0</v>
      </c>
      <c r="O2851" s="370" cm="1">
        <f t="array" ref="O2851">+_xlfn.SWITCH(MONTH(C2851),1,1,2,1,3,1,4,2,5,2,6,3,7,3,8,3,9,3,10,2,11,2,12,1,2)</f>
        <v>1</v>
      </c>
      <c r="P2851" s="43"/>
    </row>
    <row r="2852" spans="1:16" ht="18" x14ac:dyDescent="0.35">
      <c r="A2852" s="43"/>
      <c r="C2852" s="393"/>
      <c r="E2852" s="394"/>
      <c r="F2852" s="394">
        <v>0.67500000000000004</v>
      </c>
      <c r="G2852" s="394"/>
      <c r="H2852" s="8" t="s">
        <v>61</v>
      </c>
      <c r="I2852" s="368">
        <f t="shared" si="133"/>
        <v>0</v>
      </c>
      <c r="J2852" s="365">
        <f t="shared" si="132"/>
        <v>0</v>
      </c>
      <c r="K2852" s="369">
        <f t="shared" si="134"/>
        <v>6</v>
      </c>
      <c r="L2852" s="369">
        <f>+IF((C2852&gt;='Resultats - informe'!$E$16)*(C2852&lt;='Resultats - informe'!$G$16),1,0)</f>
        <v>1</v>
      </c>
      <c r="M2852" s="369" cm="1">
        <f t="array" ref="M2852">+_xlfn.IFS((C2852&gt;='Resultats - informe'!$D$26)*(C2852&lt;='Resultats - informe'!$E$26),0,(C2852&gt;='Resultats - informe'!$D$27)*(C2852&lt;='Resultats - informe'!$E$27),0,(C2852&gt;='Resultats - informe'!$D$28)*(C2852&lt;='Resultats - informe'!$E$28),0,(C2852&gt;='Resultats - informe'!$D$29)*(C2852&lt;='Resultats - informe'!$E$29),0,1,1)</f>
        <v>0</v>
      </c>
      <c r="N2852" s="366">
        <f>+VLOOKUP(D2852,'Resultats - informe'!$Y$18:$AG$42,'Introducció dades consum'!K2852+1,0)</f>
        <v>0</v>
      </c>
      <c r="O2852" s="370" cm="1">
        <f t="array" ref="O2852">+_xlfn.SWITCH(MONTH(C2852),1,1,2,1,3,1,4,2,5,2,6,3,7,3,8,3,9,3,10,2,11,2,12,1,2)</f>
        <v>1</v>
      </c>
      <c r="P2852" s="43"/>
    </row>
    <row r="2853" spans="1:16" ht="18" x14ac:dyDescent="0.35">
      <c r="A2853" s="43"/>
      <c r="C2853" s="393"/>
      <c r="E2853" s="394"/>
      <c r="F2853" s="394">
        <v>1.206</v>
      </c>
      <c r="G2853" s="394"/>
      <c r="H2853" s="8" t="s">
        <v>61</v>
      </c>
      <c r="I2853" s="368">
        <f t="shared" si="133"/>
        <v>0</v>
      </c>
      <c r="J2853" s="365">
        <f t="shared" si="132"/>
        <v>0</v>
      </c>
      <c r="K2853" s="369">
        <f t="shared" si="134"/>
        <v>6</v>
      </c>
      <c r="L2853" s="369">
        <f>+IF((C2853&gt;='Resultats - informe'!$E$16)*(C2853&lt;='Resultats - informe'!$G$16),1,0)</f>
        <v>1</v>
      </c>
      <c r="M2853" s="369" cm="1">
        <f t="array" ref="M2853">+_xlfn.IFS((C2853&gt;='Resultats - informe'!$D$26)*(C2853&lt;='Resultats - informe'!$E$26),0,(C2853&gt;='Resultats - informe'!$D$27)*(C2853&lt;='Resultats - informe'!$E$27),0,(C2853&gt;='Resultats - informe'!$D$28)*(C2853&lt;='Resultats - informe'!$E$28),0,(C2853&gt;='Resultats - informe'!$D$29)*(C2853&lt;='Resultats - informe'!$E$29),0,1,1)</f>
        <v>0</v>
      </c>
      <c r="N2853" s="366">
        <f>+VLOOKUP(D2853,'Resultats - informe'!$Y$18:$AG$42,'Introducció dades consum'!K2853+1,0)</f>
        <v>0</v>
      </c>
      <c r="O2853" s="370" cm="1">
        <f t="array" ref="O2853">+_xlfn.SWITCH(MONTH(C2853),1,1,2,1,3,1,4,2,5,2,6,3,7,3,8,3,9,3,10,2,11,2,12,1,2)</f>
        <v>1</v>
      </c>
      <c r="P2853" s="43"/>
    </row>
    <row r="2854" spans="1:16" ht="18" x14ac:dyDescent="0.35">
      <c r="A2854" s="43"/>
      <c r="C2854" s="393"/>
      <c r="E2854" s="394"/>
      <c r="F2854" s="394">
        <v>0</v>
      </c>
      <c r="G2854" s="394"/>
      <c r="H2854" s="8" t="s">
        <v>61</v>
      </c>
      <c r="I2854" s="368">
        <f t="shared" si="133"/>
        <v>0</v>
      </c>
      <c r="J2854" s="365">
        <f t="shared" si="132"/>
        <v>0</v>
      </c>
      <c r="K2854" s="369">
        <f t="shared" si="134"/>
        <v>6</v>
      </c>
      <c r="L2854" s="369">
        <f>+IF((C2854&gt;='Resultats - informe'!$E$16)*(C2854&lt;='Resultats - informe'!$G$16),1,0)</f>
        <v>1</v>
      </c>
      <c r="M2854" s="369" cm="1">
        <f t="array" ref="M2854">+_xlfn.IFS((C2854&gt;='Resultats - informe'!$D$26)*(C2854&lt;='Resultats - informe'!$E$26),0,(C2854&gt;='Resultats - informe'!$D$27)*(C2854&lt;='Resultats - informe'!$E$27),0,(C2854&gt;='Resultats - informe'!$D$28)*(C2854&lt;='Resultats - informe'!$E$28),0,(C2854&gt;='Resultats - informe'!$D$29)*(C2854&lt;='Resultats - informe'!$E$29),0,1,1)</f>
        <v>0</v>
      </c>
      <c r="N2854" s="366">
        <f>+VLOOKUP(D2854,'Resultats - informe'!$Y$18:$AG$42,'Introducció dades consum'!K2854+1,0)</f>
        <v>0</v>
      </c>
      <c r="O2854" s="370" cm="1">
        <f t="array" ref="O2854">+_xlfn.SWITCH(MONTH(C2854),1,1,2,1,3,1,4,2,5,2,6,3,7,3,8,3,9,3,10,2,11,2,12,1,2)</f>
        <v>1</v>
      </c>
      <c r="P2854" s="43"/>
    </row>
    <row r="2855" spans="1:16" ht="18" x14ac:dyDescent="0.35">
      <c r="A2855" s="43"/>
      <c r="C2855" s="393"/>
      <c r="E2855" s="394"/>
      <c r="F2855" s="394">
        <v>0</v>
      </c>
      <c r="G2855" s="394"/>
      <c r="H2855" s="8" t="s">
        <v>235</v>
      </c>
      <c r="I2855" s="368">
        <f t="shared" si="133"/>
        <v>0</v>
      </c>
      <c r="J2855" s="365">
        <f t="shared" si="132"/>
        <v>0</v>
      </c>
      <c r="K2855" s="369">
        <f t="shared" si="134"/>
        <v>6</v>
      </c>
      <c r="L2855" s="369">
        <f>+IF((C2855&gt;='Resultats - informe'!$E$16)*(C2855&lt;='Resultats - informe'!$G$16),1,0)</f>
        <v>1</v>
      </c>
      <c r="M2855" s="369" cm="1">
        <f t="array" ref="M2855">+_xlfn.IFS((C2855&gt;='Resultats - informe'!$D$26)*(C2855&lt;='Resultats - informe'!$E$26),0,(C2855&gt;='Resultats - informe'!$D$27)*(C2855&lt;='Resultats - informe'!$E$27),0,(C2855&gt;='Resultats - informe'!$D$28)*(C2855&lt;='Resultats - informe'!$E$28),0,(C2855&gt;='Resultats - informe'!$D$29)*(C2855&lt;='Resultats - informe'!$E$29),0,1,1)</f>
        <v>0</v>
      </c>
      <c r="N2855" s="366">
        <f>+VLOOKUP(D2855,'Resultats - informe'!$Y$18:$AG$42,'Introducció dades consum'!K2855+1,0)</f>
        <v>0</v>
      </c>
      <c r="O2855" s="370" cm="1">
        <f t="array" ref="O2855">+_xlfn.SWITCH(MONTH(C2855),1,1,2,1,3,1,4,2,5,2,6,3,7,3,8,3,9,3,10,2,11,2,12,1,2)</f>
        <v>1</v>
      </c>
      <c r="P2855" s="43"/>
    </row>
    <row r="2856" spans="1:16" ht="18" x14ac:dyDescent="0.35">
      <c r="A2856" s="43"/>
      <c r="C2856" s="393"/>
      <c r="E2856" s="394"/>
      <c r="F2856" s="394">
        <v>0</v>
      </c>
      <c r="G2856" s="394"/>
      <c r="H2856" s="8" t="s">
        <v>235</v>
      </c>
      <c r="I2856" s="368">
        <f t="shared" si="133"/>
        <v>0</v>
      </c>
      <c r="J2856" s="365">
        <f t="shared" si="132"/>
        <v>0</v>
      </c>
      <c r="K2856" s="369">
        <f t="shared" si="134"/>
        <v>6</v>
      </c>
      <c r="L2856" s="369">
        <f>+IF((C2856&gt;='Resultats - informe'!$E$16)*(C2856&lt;='Resultats - informe'!$G$16),1,0)</f>
        <v>1</v>
      </c>
      <c r="M2856" s="369" cm="1">
        <f t="array" ref="M2856">+_xlfn.IFS((C2856&gt;='Resultats - informe'!$D$26)*(C2856&lt;='Resultats - informe'!$E$26),0,(C2856&gt;='Resultats - informe'!$D$27)*(C2856&lt;='Resultats - informe'!$E$27),0,(C2856&gt;='Resultats - informe'!$D$28)*(C2856&lt;='Resultats - informe'!$E$28),0,(C2856&gt;='Resultats - informe'!$D$29)*(C2856&lt;='Resultats - informe'!$E$29),0,1,1)</f>
        <v>0</v>
      </c>
      <c r="N2856" s="366">
        <f>+VLOOKUP(D2856,'Resultats - informe'!$Y$18:$AG$42,'Introducció dades consum'!K2856+1,0)</f>
        <v>0</v>
      </c>
      <c r="O2856" s="370" cm="1">
        <f t="array" ref="O2856">+_xlfn.SWITCH(MONTH(C2856),1,1,2,1,3,1,4,2,5,2,6,3,7,3,8,3,9,3,10,2,11,2,12,1,2)</f>
        <v>1</v>
      </c>
      <c r="P2856" s="43"/>
    </row>
    <row r="2857" spans="1:16" ht="18" x14ac:dyDescent="0.35">
      <c r="A2857" s="43"/>
      <c r="C2857" s="393"/>
      <c r="E2857" s="394"/>
      <c r="F2857" s="394">
        <v>0</v>
      </c>
      <c r="G2857" s="394"/>
      <c r="H2857" s="8" t="s">
        <v>61</v>
      </c>
      <c r="I2857" s="368">
        <f t="shared" si="133"/>
        <v>0</v>
      </c>
      <c r="J2857" s="365">
        <f t="shared" si="132"/>
        <v>0</v>
      </c>
      <c r="K2857" s="369">
        <f t="shared" si="134"/>
        <v>6</v>
      </c>
      <c r="L2857" s="369">
        <f>+IF((C2857&gt;='Resultats - informe'!$E$16)*(C2857&lt;='Resultats - informe'!$G$16),1,0)</f>
        <v>1</v>
      </c>
      <c r="M2857" s="369" cm="1">
        <f t="array" ref="M2857">+_xlfn.IFS((C2857&gt;='Resultats - informe'!$D$26)*(C2857&lt;='Resultats - informe'!$E$26),0,(C2857&gt;='Resultats - informe'!$D$27)*(C2857&lt;='Resultats - informe'!$E$27),0,(C2857&gt;='Resultats - informe'!$D$28)*(C2857&lt;='Resultats - informe'!$E$28),0,(C2857&gt;='Resultats - informe'!$D$29)*(C2857&lt;='Resultats - informe'!$E$29),0,1,1)</f>
        <v>0</v>
      </c>
      <c r="N2857" s="366">
        <f>+VLOOKUP(D2857,'Resultats - informe'!$Y$18:$AG$42,'Introducció dades consum'!K2857+1,0)</f>
        <v>0</v>
      </c>
      <c r="O2857" s="370" cm="1">
        <f t="array" ref="O2857">+_xlfn.SWITCH(MONTH(C2857),1,1,2,1,3,1,4,2,5,2,6,3,7,3,8,3,9,3,10,2,11,2,12,1,2)</f>
        <v>1</v>
      </c>
      <c r="P2857" s="43"/>
    </row>
    <row r="2858" spans="1:16" ht="18" x14ac:dyDescent="0.35">
      <c r="A2858" s="43"/>
      <c r="C2858" s="393"/>
      <c r="E2858" s="394"/>
      <c r="F2858" s="394">
        <v>0</v>
      </c>
      <c r="G2858" s="394"/>
      <c r="H2858" s="8" t="s">
        <v>61</v>
      </c>
      <c r="I2858" s="368">
        <f t="shared" si="133"/>
        <v>0</v>
      </c>
      <c r="J2858" s="365">
        <f t="shared" si="132"/>
        <v>0</v>
      </c>
      <c r="K2858" s="369">
        <f t="shared" si="134"/>
        <v>6</v>
      </c>
      <c r="L2858" s="369">
        <f>+IF((C2858&gt;='Resultats - informe'!$E$16)*(C2858&lt;='Resultats - informe'!$G$16),1,0)</f>
        <v>1</v>
      </c>
      <c r="M2858" s="369" cm="1">
        <f t="array" ref="M2858">+_xlfn.IFS((C2858&gt;='Resultats - informe'!$D$26)*(C2858&lt;='Resultats - informe'!$E$26),0,(C2858&gt;='Resultats - informe'!$D$27)*(C2858&lt;='Resultats - informe'!$E$27),0,(C2858&gt;='Resultats - informe'!$D$28)*(C2858&lt;='Resultats - informe'!$E$28),0,(C2858&gt;='Resultats - informe'!$D$29)*(C2858&lt;='Resultats - informe'!$E$29),0,1,1)</f>
        <v>0</v>
      </c>
      <c r="N2858" s="366">
        <f>+VLOOKUP(D2858,'Resultats - informe'!$Y$18:$AG$42,'Introducció dades consum'!K2858+1,0)</f>
        <v>0</v>
      </c>
      <c r="O2858" s="370" cm="1">
        <f t="array" ref="O2858">+_xlfn.SWITCH(MONTH(C2858),1,1,2,1,3,1,4,2,5,2,6,3,7,3,8,3,9,3,10,2,11,2,12,1,2)</f>
        <v>1</v>
      </c>
      <c r="P2858" s="43"/>
    </row>
    <row r="2859" spans="1:16" ht="18" x14ac:dyDescent="0.35">
      <c r="A2859" s="43"/>
      <c r="C2859" s="393"/>
      <c r="E2859" s="394"/>
      <c r="F2859" s="394">
        <v>0</v>
      </c>
      <c r="G2859" s="394"/>
      <c r="H2859" s="8" t="s">
        <v>235</v>
      </c>
      <c r="I2859" s="368">
        <f t="shared" si="133"/>
        <v>0</v>
      </c>
      <c r="J2859" s="365">
        <f t="shared" si="132"/>
        <v>0</v>
      </c>
      <c r="K2859" s="369">
        <f t="shared" si="134"/>
        <v>6</v>
      </c>
      <c r="L2859" s="369">
        <f>+IF((C2859&gt;='Resultats - informe'!$E$16)*(C2859&lt;='Resultats - informe'!$G$16),1,0)</f>
        <v>1</v>
      </c>
      <c r="M2859" s="369" cm="1">
        <f t="array" ref="M2859">+_xlfn.IFS((C2859&gt;='Resultats - informe'!$D$26)*(C2859&lt;='Resultats - informe'!$E$26),0,(C2859&gt;='Resultats - informe'!$D$27)*(C2859&lt;='Resultats - informe'!$E$27),0,(C2859&gt;='Resultats - informe'!$D$28)*(C2859&lt;='Resultats - informe'!$E$28),0,(C2859&gt;='Resultats - informe'!$D$29)*(C2859&lt;='Resultats - informe'!$E$29),0,1,1)</f>
        <v>0</v>
      </c>
      <c r="N2859" s="366">
        <f>+VLOOKUP(D2859,'Resultats - informe'!$Y$18:$AG$42,'Introducció dades consum'!K2859+1,0)</f>
        <v>0</v>
      </c>
      <c r="O2859" s="370" cm="1">
        <f t="array" ref="O2859">+_xlfn.SWITCH(MONTH(C2859),1,1,2,1,3,1,4,2,5,2,6,3,7,3,8,3,9,3,10,2,11,2,12,1,2)</f>
        <v>1</v>
      </c>
      <c r="P2859" s="43"/>
    </row>
    <row r="2860" spans="1:16" ht="18" x14ac:dyDescent="0.35">
      <c r="A2860" s="43"/>
      <c r="C2860" s="393"/>
      <c r="E2860" s="394"/>
      <c r="F2860" s="394">
        <v>0</v>
      </c>
      <c r="G2860" s="394"/>
      <c r="H2860" s="8" t="s">
        <v>235</v>
      </c>
      <c r="I2860" s="368">
        <f t="shared" si="133"/>
        <v>0</v>
      </c>
      <c r="J2860" s="365">
        <f t="shared" si="132"/>
        <v>0</v>
      </c>
      <c r="K2860" s="369">
        <f t="shared" si="134"/>
        <v>6</v>
      </c>
      <c r="L2860" s="369">
        <f>+IF((C2860&gt;='Resultats - informe'!$E$16)*(C2860&lt;='Resultats - informe'!$G$16),1,0)</f>
        <v>1</v>
      </c>
      <c r="M2860" s="369" cm="1">
        <f t="array" ref="M2860">+_xlfn.IFS((C2860&gt;='Resultats - informe'!$D$26)*(C2860&lt;='Resultats - informe'!$E$26),0,(C2860&gt;='Resultats - informe'!$D$27)*(C2860&lt;='Resultats - informe'!$E$27),0,(C2860&gt;='Resultats - informe'!$D$28)*(C2860&lt;='Resultats - informe'!$E$28),0,(C2860&gt;='Resultats - informe'!$D$29)*(C2860&lt;='Resultats - informe'!$E$29),0,1,1)</f>
        <v>0</v>
      </c>
      <c r="N2860" s="366">
        <f>+VLOOKUP(D2860,'Resultats - informe'!$Y$18:$AG$42,'Introducció dades consum'!K2860+1,0)</f>
        <v>0</v>
      </c>
      <c r="O2860" s="370" cm="1">
        <f t="array" ref="O2860">+_xlfn.SWITCH(MONTH(C2860),1,1,2,1,3,1,4,2,5,2,6,3,7,3,8,3,9,3,10,2,11,2,12,1,2)</f>
        <v>1</v>
      </c>
      <c r="P2860" s="43"/>
    </row>
    <row r="2861" spans="1:16" ht="18" x14ac:dyDescent="0.35">
      <c r="A2861" s="43"/>
      <c r="C2861" s="393"/>
      <c r="E2861" s="394"/>
      <c r="F2861" s="394">
        <v>0</v>
      </c>
      <c r="G2861" s="394"/>
      <c r="H2861" s="8" t="s">
        <v>235</v>
      </c>
      <c r="I2861" s="368">
        <f t="shared" si="133"/>
        <v>0</v>
      </c>
      <c r="J2861" s="365">
        <f t="shared" si="132"/>
        <v>0</v>
      </c>
      <c r="K2861" s="369">
        <f t="shared" si="134"/>
        <v>6</v>
      </c>
      <c r="L2861" s="369">
        <f>+IF((C2861&gt;='Resultats - informe'!$E$16)*(C2861&lt;='Resultats - informe'!$G$16),1,0)</f>
        <v>1</v>
      </c>
      <c r="M2861" s="369" cm="1">
        <f t="array" ref="M2861">+_xlfn.IFS((C2861&gt;='Resultats - informe'!$D$26)*(C2861&lt;='Resultats - informe'!$E$26),0,(C2861&gt;='Resultats - informe'!$D$27)*(C2861&lt;='Resultats - informe'!$E$27),0,(C2861&gt;='Resultats - informe'!$D$28)*(C2861&lt;='Resultats - informe'!$E$28),0,(C2861&gt;='Resultats - informe'!$D$29)*(C2861&lt;='Resultats - informe'!$E$29),0,1,1)</f>
        <v>0</v>
      </c>
      <c r="N2861" s="366">
        <f>+VLOOKUP(D2861,'Resultats - informe'!$Y$18:$AG$42,'Introducció dades consum'!K2861+1,0)</f>
        <v>0</v>
      </c>
      <c r="O2861" s="370" cm="1">
        <f t="array" ref="O2861">+_xlfn.SWITCH(MONTH(C2861),1,1,2,1,3,1,4,2,5,2,6,3,7,3,8,3,9,3,10,2,11,2,12,1,2)</f>
        <v>1</v>
      </c>
      <c r="P2861" s="43"/>
    </row>
    <row r="2862" spans="1:16" ht="18" x14ac:dyDescent="0.35">
      <c r="A2862" s="43"/>
      <c r="C2862" s="393"/>
      <c r="E2862" s="394"/>
      <c r="F2862" s="394">
        <v>0</v>
      </c>
      <c r="G2862" s="394"/>
      <c r="H2862" s="8" t="s">
        <v>235</v>
      </c>
      <c r="I2862" s="368">
        <f t="shared" si="133"/>
        <v>0</v>
      </c>
      <c r="J2862" s="365">
        <f t="shared" si="132"/>
        <v>0</v>
      </c>
      <c r="K2862" s="369">
        <f t="shared" si="134"/>
        <v>6</v>
      </c>
      <c r="L2862" s="369">
        <f>+IF((C2862&gt;='Resultats - informe'!$E$16)*(C2862&lt;='Resultats - informe'!$G$16),1,0)</f>
        <v>1</v>
      </c>
      <c r="M2862" s="369" cm="1">
        <f t="array" ref="M2862">+_xlfn.IFS((C2862&gt;='Resultats - informe'!$D$26)*(C2862&lt;='Resultats - informe'!$E$26),0,(C2862&gt;='Resultats - informe'!$D$27)*(C2862&lt;='Resultats - informe'!$E$27),0,(C2862&gt;='Resultats - informe'!$D$28)*(C2862&lt;='Resultats - informe'!$E$28),0,(C2862&gt;='Resultats - informe'!$D$29)*(C2862&lt;='Resultats - informe'!$E$29),0,1,1)</f>
        <v>0</v>
      </c>
      <c r="N2862" s="366">
        <f>+VLOOKUP(D2862,'Resultats - informe'!$Y$18:$AG$42,'Introducció dades consum'!K2862+1,0)</f>
        <v>0</v>
      </c>
      <c r="O2862" s="370" cm="1">
        <f t="array" ref="O2862">+_xlfn.SWITCH(MONTH(C2862),1,1,2,1,3,1,4,2,5,2,6,3,7,3,8,3,9,3,10,2,11,2,12,1,2)</f>
        <v>1</v>
      </c>
      <c r="P2862" s="43"/>
    </row>
    <row r="2863" spans="1:16" ht="18" x14ac:dyDescent="0.35">
      <c r="A2863" s="43"/>
      <c r="C2863" s="393"/>
      <c r="E2863" s="394"/>
      <c r="F2863" s="394">
        <v>0</v>
      </c>
      <c r="G2863" s="394"/>
      <c r="H2863" s="8" t="s">
        <v>235</v>
      </c>
      <c r="I2863" s="368">
        <f t="shared" si="133"/>
        <v>0</v>
      </c>
      <c r="J2863" s="365">
        <f t="shared" si="132"/>
        <v>0</v>
      </c>
      <c r="K2863" s="369">
        <f t="shared" si="134"/>
        <v>6</v>
      </c>
      <c r="L2863" s="369">
        <f>+IF((C2863&gt;='Resultats - informe'!$E$16)*(C2863&lt;='Resultats - informe'!$G$16),1,0)</f>
        <v>1</v>
      </c>
      <c r="M2863" s="369" cm="1">
        <f t="array" ref="M2863">+_xlfn.IFS((C2863&gt;='Resultats - informe'!$D$26)*(C2863&lt;='Resultats - informe'!$E$26),0,(C2863&gt;='Resultats - informe'!$D$27)*(C2863&lt;='Resultats - informe'!$E$27),0,(C2863&gt;='Resultats - informe'!$D$28)*(C2863&lt;='Resultats - informe'!$E$28),0,(C2863&gt;='Resultats - informe'!$D$29)*(C2863&lt;='Resultats - informe'!$E$29),0,1,1)</f>
        <v>0</v>
      </c>
      <c r="N2863" s="366">
        <f>+VLOOKUP(D2863,'Resultats - informe'!$Y$18:$AG$42,'Introducció dades consum'!K2863+1,0)</f>
        <v>0</v>
      </c>
      <c r="O2863" s="370" cm="1">
        <f t="array" ref="O2863">+_xlfn.SWITCH(MONTH(C2863),1,1,2,1,3,1,4,2,5,2,6,3,7,3,8,3,9,3,10,2,11,2,12,1,2)</f>
        <v>1</v>
      </c>
      <c r="P2863" s="43"/>
    </row>
    <row r="2864" spans="1:16" ht="18" x14ac:dyDescent="0.35">
      <c r="A2864" s="43"/>
      <c r="C2864" s="393"/>
      <c r="E2864" s="394"/>
      <c r="F2864" s="394">
        <v>0</v>
      </c>
      <c r="G2864" s="394"/>
      <c r="H2864" s="8" t="s">
        <v>235</v>
      </c>
      <c r="I2864" s="368">
        <f t="shared" si="133"/>
        <v>0</v>
      </c>
      <c r="J2864" s="365">
        <f t="shared" si="132"/>
        <v>0</v>
      </c>
      <c r="K2864" s="369">
        <f t="shared" si="134"/>
        <v>6</v>
      </c>
      <c r="L2864" s="369">
        <f>+IF((C2864&gt;='Resultats - informe'!$E$16)*(C2864&lt;='Resultats - informe'!$G$16),1,0)</f>
        <v>1</v>
      </c>
      <c r="M2864" s="369" cm="1">
        <f t="array" ref="M2864">+_xlfn.IFS((C2864&gt;='Resultats - informe'!$D$26)*(C2864&lt;='Resultats - informe'!$E$26),0,(C2864&gt;='Resultats - informe'!$D$27)*(C2864&lt;='Resultats - informe'!$E$27),0,(C2864&gt;='Resultats - informe'!$D$28)*(C2864&lt;='Resultats - informe'!$E$28),0,(C2864&gt;='Resultats - informe'!$D$29)*(C2864&lt;='Resultats - informe'!$E$29),0,1,1)</f>
        <v>0</v>
      </c>
      <c r="N2864" s="366">
        <f>+VLOOKUP(D2864,'Resultats - informe'!$Y$18:$AG$42,'Introducció dades consum'!K2864+1,0)</f>
        <v>0</v>
      </c>
      <c r="O2864" s="370" cm="1">
        <f t="array" ref="O2864">+_xlfn.SWITCH(MONTH(C2864),1,1,2,1,3,1,4,2,5,2,6,3,7,3,8,3,9,3,10,2,11,2,12,1,2)</f>
        <v>1</v>
      </c>
      <c r="P2864" s="43"/>
    </row>
    <row r="2865" spans="1:16" ht="18" x14ac:dyDescent="0.35">
      <c r="A2865" s="43"/>
      <c r="C2865" s="393"/>
      <c r="E2865" s="394"/>
      <c r="F2865" s="394">
        <v>0</v>
      </c>
      <c r="G2865" s="394"/>
      <c r="H2865" s="8" t="s">
        <v>235</v>
      </c>
      <c r="I2865" s="368">
        <f t="shared" si="133"/>
        <v>0</v>
      </c>
      <c r="J2865" s="365">
        <f t="shared" si="132"/>
        <v>0</v>
      </c>
      <c r="K2865" s="369">
        <f t="shared" si="134"/>
        <v>6</v>
      </c>
      <c r="L2865" s="369">
        <f>+IF((C2865&gt;='Resultats - informe'!$E$16)*(C2865&lt;='Resultats - informe'!$G$16),1,0)</f>
        <v>1</v>
      </c>
      <c r="M2865" s="369" cm="1">
        <f t="array" ref="M2865">+_xlfn.IFS((C2865&gt;='Resultats - informe'!$D$26)*(C2865&lt;='Resultats - informe'!$E$26),0,(C2865&gt;='Resultats - informe'!$D$27)*(C2865&lt;='Resultats - informe'!$E$27),0,(C2865&gt;='Resultats - informe'!$D$28)*(C2865&lt;='Resultats - informe'!$E$28),0,(C2865&gt;='Resultats - informe'!$D$29)*(C2865&lt;='Resultats - informe'!$E$29),0,1,1)</f>
        <v>0</v>
      </c>
      <c r="N2865" s="366">
        <f>+VLOOKUP(D2865,'Resultats - informe'!$Y$18:$AG$42,'Introducció dades consum'!K2865+1,0)</f>
        <v>0</v>
      </c>
      <c r="O2865" s="370" cm="1">
        <f t="array" ref="O2865">+_xlfn.SWITCH(MONTH(C2865),1,1,2,1,3,1,4,2,5,2,6,3,7,3,8,3,9,3,10,2,11,2,12,1,2)</f>
        <v>1</v>
      </c>
      <c r="P2865" s="43"/>
    </row>
    <row r="2866" spans="1:16" ht="18" x14ac:dyDescent="0.35">
      <c r="A2866" s="43"/>
      <c r="C2866" s="393"/>
      <c r="E2866" s="394"/>
      <c r="F2866" s="394">
        <v>0</v>
      </c>
      <c r="G2866" s="394"/>
      <c r="H2866" s="8" t="s">
        <v>61</v>
      </c>
      <c r="I2866" s="368">
        <f t="shared" si="133"/>
        <v>0</v>
      </c>
      <c r="J2866" s="365">
        <f t="shared" si="132"/>
        <v>0</v>
      </c>
      <c r="K2866" s="369">
        <f t="shared" si="134"/>
        <v>6</v>
      </c>
      <c r="L2866" s="369">
        <f>+IF((C2866&gt;='Resultats - informe'!$E$16)*(C2866&lt;='Resultats - informe'!$G$16),1,0)</f>
        <v>1</v>
      </c>
      <c r="M2866" s="369" cm="1">
        <f t="array" ref="M2866">+_xlfn.IFS((C2866&gt;='Resultats - informe'!$D$26)*(C2866&lt;='Resultats - informe'!$E$26),0,(C2866&gt;='Resultats - informe'!$D$27)*(C2866&lt;='Resultats - informe'!$E$27),0,(C2866&gt;='Resultats - informe'!$D$28)*(C2866&lt;='Resultats - informe'!$E$28),0,(C2866&gt;='Resultats - informe'!$D$29)*(C2866&lt;='Resultats - informe'!$E$29),0,1,1)</f>
        <v>0</v>
      </c>
      <c r="N2866" s="366">
        <f>+VLOOKUP(D2866,'Resultats - informe'!$Y$18:$AG$42,'Introducció dades consum'!K2866+1,0)</f>
        <v>0</v>
      </c>
      <c r="O2866" s="370" cm="1">
        <f t="array" ref="O2866">+_xlfn.SWITCH(MONTH(C2866),1,1,2,1,3,1,4,2,5,2,6,3,7,3,8,3,9,3,10,2,11,2,12,1,2)</f>
        <v>1</v>
      </c>
      <c r="P2866" s="43"/>
    </row>
    <row r="2867" spans="1:16" ht="18" x14ac:dyDescent="0.35">
      <c r="A2867" s="43"/>
      <c r="C2867" s="393"/>
      <c r="E2867" s="394"/>
      <c r="F2867" s="394">
        <v>0</v>
      </c>
      <c r="G2867" s="394"/>
      <c r="H2867" s="8" t="s">
        <v>61</v>
      </c>
      <c r="I2867" s="368">
        <f t="shared" si="133"/>
        <v>0</v>
      </c>
      <c r="J2867" s="365">
        <f t="shared" si="132"/>
        <v>0</v>
      </c>
      <c r="K2867" s="369">
        <f t="shared" si="134"/>
        <v>6</v>
      </c>
      <c r="L2867" s="369">
        <f>+IF((C2867&gt;='Resultats - informe'!$E$16)*(C2867&lt;='Resultats - informe'!$G$16),1,0)</f>
        <v>1</v>
      </c>
      <c r="M2867" s="369" cm="1">
        <f t="array" ref="M2867">+_xlfn.IFS((C2867&gt;='Resultats - informe'!$D$26)*(C2867&lt;='Resultats - informe'!$E$26),0,(C2867&gt;='Resultats - informe'!$D$27)*(C2867&lt;='Resultats - informe'!$E$27),0,(C2867&gt;='Resultats - informe'!$D$28)*(C2867&lt;='Resultats - informe'!$E$28),0,(C2867&gt;='Resultats - informe'!$D$29)*(C2867&lt;='Resultats - informe'!$E$29),0,1,1)</f>
        <v>0</v>
      </c>
      <c r="N2867" s="366">
        <f>+VLOOKUP(D2867,'Resultats - informe'!$Y$18:$AG$42,'Introducció dades consum'!K2867+1,0)</f>
        <v>0</v>
      </c>
      <c r="O2867" s="370" cm="1">
        <f t="array" ref="O2867">+_xlfn.SWITCH(MONTH(C2867),1,1,2,1,3,1,4,2,5,2,6,3,7,3,8,3,9,3,10,2,11,2,12,1,2)</f>
        <v>1</v>
      </c>
      <c r="P2867" s="43"/>
    </row>
    <row r="2868" spans="1:16" ht="18" x14ac:dyDescent="0.35">
      <c r="A2868" s="43"/>
      <c r="C2868" s="393"/>
      <c r="E2868" s="394"/>
      <c r="F2868" s="394">
        <v>0</v>
      </c>
      <c r="G2868" s="394"/>
      <c r="H2868" s="8" t="s">
        <v>61</v>
      </c>
      <c r="I2868" s="368">
        <f t="shared" si="133"/>
        <v>0</v>
      </c>
      <c r="J2868" s="365">
        <f t="shared" si="132"/>
        <v>0</v>
      </c>
      <c r="K2868" s="369">
        <f t="shared" si="134"/>
        <v>6</v>
      </c>
      <c r="L2868" s="369">
        <f>+IF((C2868&gt;='Resultats - informe'!$E$16)*(C2868&lt;='Resultats - informe'!$G$16),1,0)</f>
        <v>1</v>
      </c>
      <c r="M2868" s="369" cm="1">
        <f t="array" ref="M2868">+_xlfn.IFS((C2868&gt;='Resultats - informe'!$D$26)*(C2868&lt;='Resultats - informe'!$E$26),0,(C2868&gt;='Resultats - informe'!$D$27)*(C2868&lt;='Resultats - informe'!$E$27),0,(C2868&gt;='Resultats - informe'!$D$28)*(C2868&lt;='Resultats - informe'!$E$28),0,(C2868&gt;='Resultats - informe'!$D$29)*(C2868&lt;='Resultats - informe'!$E$29),0,1,1)</f>
        <v>0</v>
      </c>
      <c r="N2868" s="366">
        <f>+VLOOKUP(D2868,'Resultats - informe'!$Y$18:$AG$42,'Introducció dades consum'!K2868+1,0)</f>
        <v>0</v>
      </c>
      <c r="O2868" s="370" cm="1">
        <f t="array" ref="O2868">+_xlfn.SWITCH(MONTH(C2868),1,1,2,1,3,1,4,2,5,2,6,3,7,3,8,3,9,3,10,2,11,2,12,1,2)</f>
        <v>1</v>
      </c>
      <c r="P2868" s="43"/>
    </row>
    <row r="2869" spans="1:16" ht="18" x14ac:dyDescent="0.35">
      <c r="A2869" s="43"/>
      <c r="C2869" s="393"/>
      <c r="E2869" s="394"/>
      <c r="F2869" s="394">
        <v>0.41199999999999998</v>
      </c>
      <c r="G2869" s="394"/>
      <c r="H2869" s="8" t="s">
        <v>61</v>
      </c>
      <c r="I2869" s="368">
        <f t="shared" si="133"/>
        <v>0</v>
      </c>
      <c r="J2869" s="365">
        <f t="shared" si="132"/>
        <v>0</v>
      </c>
      <c r="K2869" s="369">
        <f t="shared" si="134"/>
        <v>6</v>
      </c>
      <c r="L2869" s="369">
        <f>+IF((C2869&gt;='Resultats - informe'!$E$16)*(C2869&lt;='Resultats - informe'!$G$16),1,0)</f>
        <v>1</v>
      </c>
      <c r="M2869" s="369" cm="1">
        <f t="array" ref="M2869">+_xlfn.IFS((C2869&gt;='Resultats - informe'!$D$26)*(C2869&lt;='Resultats - informe'!$E$26),0,(C2869&gt;='Resultats - informe'!$D$27)*(C2869&lt;='Resultats - informe'!$E$27),0,(C2869&gt;='Resultats - informe'!$D$28)*(C2869&lt;='Resultats - informe'!$E$28),0,(C2869&gt;='Resultats - informe'!$D$29)*(C2869&lt;='Resultats - informe'!$E$29),0,1,1)</f>
        <v>0</v>
      </c>
      <c r="N2869" s="366">
        <f>+VLOOKUP(D2869,'Resultats - informe'!$Y$18:$AG$42,'Introducció dades consum'!K2869+1,0)</f>
        <v>0</v>
      </c>
      <c r="O2869" s="370" cm="1">
        <f t="array" ref="O2869">+_xlfn.SWITCH(MONTH(C2869),1,1,2,1,3,1,4,2,5,2,6,3,7,3,8,3,9,3,10,2,11,2,12,1,2)</f>
        <v>1</v>
      </c>
      <c r="P2869" s="43"/>
    </row>
    <row r="2870" spans="1:16" ht="18" x14ac:dyDescent="0.35">
      <c r="A2870" s="43"/>
      <c r="C2870" s="393"/>
      <c r="E2870" s="394"/>
      <c r="F2870" s="394">
        <v>2.5649999999999999</v>
      </c>
      <c r="G2870" s="394"/>
      <c r="H2870" s="8" t="s">
        <v>61</v>
      </c>
      <c r="I2870" s="368">
        <f t="shared" si="133"/>
        <v>0</v>
      </c>
      <c r="J2870" s="365">
        <f t="shared" si="132"/>
        <v>0</v>
      </c>
      <c r="K2870" s="369">
        <f t="shared" si="134"/>
        <v>6</v>
      </c>
      <c r="L2870" s="369">
        <f>+IF((C2870&gt;='Resultats - informe'!$E$16)*(C2870&lt;='Resultats - informe'!$G$16),1,0)</f>
        <v>1</v>
      </c>
      <c r="M2870" s="369" cm="1">
        <f t="array" ref="M2870">+_xlfn.IFS((C2870&gt;='Resultats - informe'!$D$26)*(C2870&lt;='Resultats - informe'!$E$26),0,(C2870&gt;='Resultats - informe'!$D$27)*(C2870&lt;='Resultats - informe'!$E$27),0,(C2870&gt;='Resultats - informe'!$D$28)*(C2870&lt;='Resultats - informe'!$E$28),0,(C2870&gt;='Resultats - informe'!$D$29)*(C2870&lt;='Resultats - informe'!$E$29),0,1,1)</f>
        <v>0</v>
      </c>
      <c r="N2870" s="366">
        <f>+VLOOKUP(D2870,'Resultats - informe'!$Y$18:$AG$42,'Introducció dades consum'!K2870+1,0)</f>
        <v>0</v>
      </c>
      <c r="O2870" s="370" cm="1">
        <f t="array" ref="O2870">+_xlfn.SWITCH(MONTH(C2870),1,1,2,1,3,1,4,2,5,2,6,3,7,3,8,3,9,3,10,2,11,2,12,1,2)</f>
        <v>1</v>
      </c>
      <c r="P2870" s="43"/>
    </row>
    <row r="2871" spans="1:16" ht="18" x14ac:dyDescent="0.35">
      <c r="A2871" s="43"/>
      <c r="C2871" s="393"/>
      <c r="E2871" s="394"/>
      <c r="F2871" s="394">
        <v>4.5469999999999997</v>
      </c>
      <c r="G2871" s="394"/>
      <c r="H2871" s="8" t="s">
        <v>61</v>
      </c>
      <c r="I2871" s="368">
        <f t="shared" si="133"/>
        <v>0</v>
      </c>
      <c r="J2871" s="365">
        <f t="shared" si="132"/>
        <v>0</v>
      </c>
      <c r="K2871" s="369">
        <f t="shared" si="134"/>
        <v>6</v>
      </c>
      <c r="L2871" s="369">
        <f>+IF((C2871&gt;='Resultats - informe'!$E$16)*(C2871&lt;='Resultats - informe'!$G$16),1,0)</f>
        <v>1</v>
      </c>
      <c r="M2871" s="369" cm="1">
        <f t="array" ref="M2871">+_xlfn.IFS((C2871&gt;='Resultats - informe'!$D$26)*(C2871&lt;='Resultats - informe'!$E$26),0,(C2871&gt;='Resultats - informe'!$D$27)*(C2871&lt;='Resultats - informe'!$E$27),0,(C2871&gt;='Resultats - informe'!$D$28)*(C2871&lt;='Resultats - informe'!$E$28),0,(C2871&gt;='Resultats - informe'!$D$29)*(C2871&lt;='Resultats - informe'!$E$29),0,1,1)</f>
        <v>0</v>
      </c>
      <c r="N2871" s="366">
        <f>+VLOOKUP(D2871,'Resultats - informe'!$Y$18:$AG$42,'Introducció dades consum'!K2871+1,0)</f>
        <v>0</v>
      </c>
      <c r="O2871" s="370" cm="1">
        <f t="array" ref="O2871">+_xlfn.SWITCH(MONTH(C2871),1,1,2,1,3,1,4,2,5,2,6,3,7,3,8,3,9,3,10,2,11,2,12,1,2)</f>
        <v>1</v>
      </c>
      <c r="P2871" s="43"/>
    </row>
    <row r="2872" spans="1:16" ht="18" x14ac:dyDescent="0.35">
      <c r="A2872" s="43"/>
      <c r="C2872" s="393"/>
      <c r="E2872" s="394"/>
      <c r="F2872" s="394">
        <v>5.7720000000000002</v>
      </c>
      <c r="G2872" s="394"/>
      <c r="H2872" s="8" t="s">
        <v>61</v>
      </c>
      <c r="I2872" s="368">
        <f t="shared" si="133"/>
        <v>0</v>
      </c>
      <c r="J2872" s="365">
        <f t="shared" si="132"/>
        <v>0</v>
      </c>
      <c r="K2872" s="369">
        <f t="shared" si="134"/>
        <v>6</v>
      </c>
      <c r="L2872" s="369">
        <f>+IF((C2872&gt;='Resultats - informe'!$E$16)*(C2872&lt;='Resultats - informe'!$G$16),1,0)</f>
        <v>1</v>
      </c>
      <c r="M2872" s="369" cm="1">
        <f t="array" ref="M2872">+_xlfn.IFS((C2872&gt;='Resultats - informe'!$D$26)*(C2872&lt;='Resultats - informe'!$E$26),0,(C2872&gt;='Resultats - informe'!$D$27)*(C2872&lt;='Resultats - informe'!$E$27),0,(C2872&gt;='Resultats - informe'!$D$28)*(C2872&lt;='Resultats - informe'!$E$28),0,(C2872&gt;='Resultats - informe'!$D$29)*(C2872&lt;='Resultats - informe'!$E$29),0,1,1)</f>
        <v>0</v>
      </c>
      <c r="N2872" s="366">
        <f>+VLOOKUP(D2872,'Resultats - informe'!$Y$18:$AG$42,'Introducció dades consum'!K2872+1,0)</f>
        <v>0</v>
      </c>
      <c r="O2872" s="370" cm="1">
        <f t="array" ref="O2872">+_xlfn.SWITCH(MONTH(C2872),1,1,2,1,3,1,4,2,5,2,6,3,7,3,8,3,9,3,10,2,11,2,12,1,2)</f>
        <v>1</v>
      </c>
      <c r="P2872" s="43"/>
    </row>
    <row r="2873" spans="1:16" ht="18" x14ac:dyDescent="0.35">
      <c r="A2873" s="43"/>
      <c r="C2873" s="393"/>
      <c r="E2873" s="394"/>
      <c r="F2873" s="394">
        <v>3.11</v>
      </c>
      <c r="G2873" s="394"/>
      <c r="H2873" s="8" t="s">
        <v>235</v>
      </c>
      <c r="I2873" s="368">
        <f t="shared" si="133"/>
        <v>0</v>
      </c>
      <c r="J2873" s="365">
        <f t="shared" si="132"/>
        <v>0</v>
      </c>
      <c r="K2873" s="369">
        <f t="shared" si="134"/>
        <v>6</v>
      </c>
      <c r="L2873" s="369">
        <f>+IF((C2873&gt;='Resultats - informe'!$E$16)*(C2873&lt;='Resultats - informe'!$G$16),1,0)</f>
        <v>1</v>
      </c>
      <c r="M2873" s="369" cm="1">
        <f t="array" ref="M2873">+_xlfn.IFS((C2873&gt;='Resultats - informe'!$D$26)*(C2873&lt;='Resultats - informe'!$E$26),0,(C2873&gt;='Resultats - informe'!$D$27)*(C2873&lt;='Resultats - informe'!$E$27),0,(C2873&gt;='Resultats - informe'!$D$28)*(C2873&lt;='Resultats - informe'!$E$28),0,(C2873&gt;='Resultats - informe'!$D$29)*(C2873&lt;='Resultats - informe'!$E$29),0,1,1)</f>
        <v>0</v>
      </c>
      <c r="N2873" s="366">
        <f>+VLOOKUP(D2873,'Resultats - informe'!$Y$18:$AG$42,'Introducció dades consum'!K2873+1,0)</f>
        <v>0</v>
      </c>
      <c r="O2873" s="370" cm="1">
        <f t="array" ref="O2873">+_xlfn.SWITCH(MONTH(C2873),1,1,2,1,3,1,4,2,5,2,6,3,7,3,8,3,9,3,10,2,11,2,12,1,2)</f>
        <v>1</v>
      </c>
      <c r="P2873" s="43"/>
    </row>
    <row r="2874" spans="1:16" ht="18" x14ac:dyDescent="0.35">
      <c r="A2874" s="43"/>
      <c r="C2874" s="393"/>
      <c r="E2874" s="394"/>
      <c r="F2874" s="394">
        <v>2.992</v>
      </c>
      <c r="G2874" s="394"/>
      <c r="H2874" s="8" t="s">
        <v>235</v>
      </c>
      <c r="I2874" s="368">
        <f t="shared" si="133"/>
        <v>0</v>
      </c>
      <c r="J2874" s="365">
        <f t="shared" si="132"/>
        <v>0</v>
      </c>
      <c r="K2874" s="369">
        <f t="shared" si="134"/>
        <v>6</v>
      </c>
      <c r="L2874" s="369">
        <f>+IF((C2874&gt;='Resultats - informe'!$E$16)*(C2874&lt;='Resultats - informe'!$G$16),1,0)</f>
        <v>1</v>
      </c>
      <c r="M2874" s="369" cm="1">
        <f t="array" ref="M2874">+_xlfn.IFS((C2874&gt;='Resultats - informe'!$D$26)*(C2874&lt;='Resultats - informe'!$E$26),0,(C2874&gt;='Resultats - informe'!$D$27)*(C2874&lt;='Resultats - informe'!$E$27),0,(C2874&gt;='Resultats - informe'!$D$28)*(C2874&lt;='Resultats - informe'!$E$28),0,(C2874&gt;='Resultats - informe'!$D$29)*(C2874&lt;='Resultats - informe'!$E$29),0,1,1)</f>
        <v>0</v>
      </c>
      <c r="N2874" s="366">
        <f>+VLOOKUP(D2874,'Resultats - informe'!$Y$18:$AG$42,'Introducció dades consum'!K2874+1,0)</f>
        <v>0</v>
      </c>
      <c r="O2874" s="370" cm="1">
        <f t="array" ref="O2874">+_xlfn.SWITCH(MONTH(C2874),1,1,2,1,3,1,4,2,5,2,6,3,7,3,8,3,9,3,10,2,11,2,12,1,2)</f>
        <v>1</v>
      </c>
      <c r="P2874" s="43"/>
    </row>
    <row r="2875" spans="1:16" ht="18" x14ac:dyDescent="0.35">
      <c r="A2875" s="43"/>
      <c r="C2875" s="393"/>
      <c r="E2875" s="394"/>
      <c r="F2875" s="394">
        <v>2.484</v>
      </c>
      <c r="G2875" s="394"/>
      <c r="H2875" s="8" t="s">
        <v>235</v>
      </c>
      <c r="I2875" s="368">
        <f t="shared" si="133"/>
        <v>0</v>
      </c>
      <c r="J2875" s="365">
        <f t="shared" ref="J2875:J2938" si="135">+C2875</f>
        <v>0</v>
      </c>
      <c r="K2875" s="369">
        <f t="shared" si="134"/>
        <v>6</v>
      </c>
      <c r="L2875" s="369">
        <f>+IF((C2875&gt;='Resultats - informe'!$E$16)*(C2875&lt;='Resultats - informe'!$G$16),1,0)</f>
        <v>1</v>
      </c>
      <c r="M2875" s="369" cm="1">
        <f t="array" ref="M2875">+_xlfn.IFS((C2875&gt;='Resultats - informe'!$D$26)*(C2875&lt;='Resultats - informe'!$E$26),0,(C2875&gt;='Resultats - informe'!$D$27)*(C2875&lt;='Resultats - informe'!$E$27),0,(C2875&gt;='Resultats - informe'!$D$28)*(C2875&lt;='Resultats - informe'!$E$28),0,(C2875&gt;='Resultats - informe'!$D$29)*(C2875&lt;='Resultats - informe'!$E$29),0,1,1)</f>
        <v>0</v>
      </c>
      <c r="N2875" s="366">
        <f>+VLOOKUP(D2875,'Resultats - informe'!$Y$18:$AG$42,'Introducció dades consum'!K2875+1,0)</f>
        <v>0</v>
      </c>
      <c r="O2875" s="370" cm="1">
        <f t="array" ref="O2875">+_xlfn.SWITCH(MONTH(C2875),1,1,2,1,3,1,4,2,5,2,6,3,7,3,8,3,9,3,10,2,11,2,12,1,2)</f>
        <v>1</v>
      </c>
      <c r="P2875" s="43"/>
    </row>
    <row r="2876" spans="1:16" ht="18" x14ac:dyDescent="0.35">
      <c r="A2876" s="43"/>
      <c r="C2876" s="393"/>
      <c r="E2876" s="394"/>
      <c r="F2876" s="394">
        <v>4.7270000000000003</v>
      </c>
      <c r="G2876" s="394"/>
      <c r="H2876" s="8" t="s">
        <v>61</v>
      </c>
      <c r="I2876" s="368">
        <f t="shared" si="133"/>
        <v>0</v>
      </c>
      <c r="J2876" s="365">
        <f t="shared" si="135"/>
        <v>0</v>
      </c>
      <c r="K2876" s="369">
        <f t="shared" si="134"/>
        <v>6</v>
      </c>
      <c r="L2876" s="369">
        <f>+IF((C2876&gt;='Resultats - informe'!$E$16)*(C2876&lt;='Resultats - informe'!$G$16),1,0)</f>
        <v>1</v>
      </c>
      <c r="M2876" s="369" cm="1">
        <f t="array" ref="M2876">+_xlfn.IFS((C2876&gt;='Resultats - informe'!$D$26)*(C2876&lt;='Resultats - informe'!$E$26),0,(C2876&gt;='Resultats - informe'!$D$27)*(C2876&lt;='Resultats - informe'!$E$27),0,(C2876&gt;='Resultats - informe'!$D$28)*(C2876&lt;='Resultats - informe'!$E$28),0,(C2876&gt;='Resultats - informe'!$D$29)*(C2876&lt;='Resultats - informe'!$E$29),0,1,1)</f>
        <v>0</v>
      </c>
      <c r="N2876" s="366">
        <f>+VLOOKUP(D2876,'Resultats - informe'!$Y$18:$AG$42,'Introducció dades consum'!K2876+1,0)</f>
        <v>0</v>
      </c>
      <c r="O2876" s="370" cm="1">
        <f t="array" ref="O2876">+_xlfn.SWITCH(MONTH(C2876),1,1,2,1,3,1,4,2,5,2,6,3,7,3,8,3,9,3,10,2,11,2,12,1,2)</f>
        <v>1</v>
      </c>
      <c r="P2876" s="43"/>
    </row>
    <row r="2877" spans="1:16" ht="18" x14ac:dyDescent="0.35">
      <c r="A2877" s="43"/>
      <c r="C2877" s="393"/>
      <c r="E2877" s="394"/>
      <c r="F2877" s="394">
        <v>0</v>
      </c>
      <c r="G2877" s="394"/>
      <c r="H2877" s="8" t="s">
        <v>235</v>
      </c>
      <c r="I2877" s="368">
        <f t="shared" si="133"/>
        <v>0</v>
      </c>
      <c r="J2877" s="365">
        <f t="shared" si="135"/>
        <v>0</v>
      </c>
      <c r="K2877" s="369">
        <f t="shared" si="134"/>
        <v>6</v>
      </c>
      <c r="L2877" s="369">
        <f>+IF((C2877&gt;='Resultats - informe'!$E$16)*(C2877&lt;='Resultats - informe'!$G$16),1,0)</f>
        <v>1</v>
      </c>
      <c r="M2877" s="369" cm="1">
        <f t="array" ref="M2877">+_xlfn.IFS((C2877&gt;='Resultats - informe'!$D$26)*(C2877&lt;='Resultats - informe'!$E$26),0,(C2877&gt;='Resultats - informe'!$D$27)*(C2877&lt;='Resultats - informe'!$E$27),0,(C2877&gt;='Resultats - informe'!$D$28)*(C2877&lt;='Resultats - informe'!$E$28),0,(C2877&gt;='Resultats - informe'!$D$29)*(C2877&lt;='Resultats - informe'!$E$29),0,1,1)</f>
        <v>0</v>
      </c>
      <c r="N2877" s="366">
        <f>+VLOOKUP(D2877,'Resultats - informe'!$Y$18:$AG$42,'Introducció dades consum'!K2877+1,0)</f>
        <v>0</v>
      </c>
      <c r="O2877" s="370" cm="1">
        <f t="array" ref="O2877">+_xlfn.SWITCH(MONTH(C2877),1,1,2,1,3,1,4,2,5,2,6,3,7,3,8,3,9,3,10,2,11,2,12,1,2)</f>
        <v>1</v>
      </c>
      <c r="P2877" s="43"/>
    </row>
    <row r="2878" spans="1:16" ht="18" x14ac:dyDescent="0.35">
      <c r="A2878" s="43"/>
      <c r="C2878" s="393"/>
      <c r="E2878" s="394"/>
      <c r="F2878" s="394">
        <v>0</v>
      </c>
      <c r="G2878" s="394"/>
      <c r="H2878" s="8" t="s">
        <v>235</v>
      </c>
      <c r="I2878" s="368">
        <f t="shared" si="133"/>
        <v>0</v>
      </c>
      <c r="J2878" s="365">
        <f t="shared" si="135"/>
        <v>0</v>
      </c>
      <c r="K2878" s="369">
        <f t="shared" si="134"/>
        <v>6</v>
      </c>
      <c r="L2878" s="369">
        <f>+IF((C2878&gt;='Resultats - informe'!$E$16)*(C2878&lt;='Resultats - informe'!$G$16),1,0)</f>
        <v>1</v>
      </c>
      <c r="M2878" s="369" cm="1">
        <f t="array" ref="M2878">+_xlfn.IFS((C2878&gt;='Resultats - informe'!$D$26)*(C2878&lt;='Resultats - informe'!$E$26),0,(C2878&gt;='Resultats - informe'!$D$27)*(C2878&lt;='Resultats - informe'!$E$27),0,(C2878&gt;='Resultats - informe'!$D$28)*(C2878&lt;='Resultats - informe'!$E$28),0,(C2878&gt;='Resultats - informe'!$D$29)*(C2878&lt;='Resultats - informe'!$E$29),0,1,1)</f>
        <v>0</v>
      </c>
      <c r="N2878" s="366">
        <f>+VLOOKUP(D2878,'Resultats - informe'!$Y$18:$AG$42,'Introducció dades consum'!K2878+1,0)</f>
        <v>0</v>
      </c>
      <c r="O2878" s="370" cm="1">
        <f t="array" ref="O2878">+_xlfn.SWITCH(MONTH(C2878),1,1,2,1,3,1,4,2,5,2,6,3,7,3,8,3,9,3,10,2,11,2,12,1,2)</f>
        <v>1</v>
      </c>
      <c r="P2878" s="43"/>
    </row>
    <row r="2879" spans="1:16" ht="18" x14ac:dyDescent="0.35">
      <c r="A2879" s="43"/>
      <c r="C2879" s="393"/>
      <c r="E2879" s="394"/>
      <c r="F2879" s="394">
        <v>0</v>
      </c>
      <c r="G2879" s="394"/>
      <c r="H2879" s="8" t="s">
        <v>235</v>
      </c>
      <c r="I2879" s="368">
        <f t="shared" si="133"/>
        <v>0</v>
      </c>
      <c r="J2879" s="365">
        <f t="shared" si="135"/>
        <v>0</v>
      </c>
      <c r="K2879" s="369">
        <f t="shared" si="134"/>
        <v>6</v>
      </c>
      <c r="L2879" s="369">
        <f>+IF((C2879&gt;='Resultats - informe'!$E$16)*(C2879&lt;='Resultats - informe'!$G$16),1,0)</f>
        <v>1</v>
      </c>
      <c r="M2879" s="369" cm="1">
        <f t="array" ref="M2879">+_xlfn.IFS((C2879&gt;='Resultats - informe'!$D$26)*(C2879&lt;='Resultats - informe'!$E$26),0,(C2879&gt;='Resultats - informe'!$D$27)*(C2879&lt;='Resultats - informe'!$E$27),0,(C2879&gt;='Resultats - informe'!$D$28)*(C2879&lt;='Resultats - informe'!$E$28),0,(C2879&gt;='Resultats - informe'!$D$29)*(C2879&lt;='Resultats - informe'!$E$29),0,1,1)</f>
        <v>0</v>
      </c>
      <c r="N2879" s="366">
        <f>+VLOOKUP(D2879,'Resultats - informe'!$Y$18:$AG$42,'Introducció dades consum'!K2879+1,0)</f>
        <v>0</v>
      </c>
      <c r="O2879" s="370" cm="1">
        <f t="array" ref="O2879">+_xlfn.SWITCH(MONTH(C2879),1,1,2,1,3,1,4,2,5,2,6,3,7,3,8,3,9,3,10,2,11,2,12,1,2)</f>
        <v>1</v>
      </c>
      <c r="P2879" s="43"/>
    </row>
    <row r="2880" spans="1:16" ht="18" x14ac:dyDescent="0.35">
      <c r="A2880" s="43"/>
      <c r="C2880" s="393"/>
      <c r="E2880" s="394"/>
      <c r="F2880" s="394">
        <v>0</v>
      </c>
      <c r="G2880" s="394"/>
      <c r="H2880" s="8" t="s">
        <v>61</v>
      </c>
      <c r="I2880" s="368">
        <f t="shared" si="133"/>
        <v>0</v>
      </c>
      <c r="J2880" s="365">
        <f t="shared" si="135"/>
        <v>0</v>
      </c>
      <c r="K2880" s="369">
        <f t="shared" si="134"/>
        <v>6</v>
      </c>
      <c r="L2880" s="369">
        <f>+IF((C2880&gt;='Resultats - informe'!$E$16)*(C2880&lt;='Resultats - informe'!$G$16),1,0)</f>
        <v>1</v>
      </c>
      <c r="M2880" s="369" cm="1">
        <f t="array" ref="M2880">+_xlfn.IFS((C2880&gt;='Resultats - informe'!$D$26)*(C2880&lt;='Resultats - informe'!$E$26),0,(C2880&gt;='Resultats - informe'!$D$27)*(C2880&lt;='Resultats - informe'!$E$27),0,(C2880&gt;='Resultats - informe'!$D$28)*(C2880&lt;='Resultats - informe'!$E$28),0,(C2880&gt;='Resultats - informe'!$D$29)*(C2880&lt;='Resultats - informe'!$E$29),0,1,1)</f>
        <v>0</v>
      </c>
      <c r="N2880" s="366">
        <f>+VLOOKUP(D2880,'Resultats - informe'!$Y$18:$AG$42,'Introducció dades consum'!K2880+1,0)</f>
        <v>0</v>
      </c>
      <c r="O2880" s="370" cm="1">
        <f t="array" ref="O2880">+_xlfn.SWITCH(MONTH(C2880),1,1,2,1,3,1,4,2,5,2,6,3,7,3,8,3,9,3,10,2,11,2,12,1,2)</f>
        <v>1</v>
      </c>
      <c r="P2880" s="43"/>
    </row>
    <row r="2881" spans="1:16" ht="18" x14ac:dyDescent="0.35">
      <c r="A2881" s="43"/>
      <c r="C2881" s="393"/>
      <c r="E2881" s="394"/>
      <c r="F2881" s="394">
        <v>0</v>
      </c>
      <c r="G2881" s="394"/>
      <c r="H2881" s="8" t="s">
        <v>235</v>
      </c>
      <c r="I2881" s="368">
        <f t="shared" si="133"/>
        <v>0</v>
      </c>
      <c r="J2881" s="365">
        <f t="shared" si="135"/>
        <v>0</v>
      </c>
      <c r="K2881" s="369">
        <f t="shared" si="134"/>
        <v>6</v>
      </c>
      <c r="L2881" s="369">
        <f>+IF((C2881&gt;='Resultats - informe'!$E$16)*(C2881&lt;='Resultats - informe'!$G$16),1,0)</f>
        <v>1</v>
      </c>
      <c r="M2881" s="369" cm="1">
        <f t="array" ref="M2881">+_xlfn.IFS((C2881&gt;='Resultats - informe'!$D$26)*(C2881&lt;='Resultats - informe'!$E$26),0,(C2881&gt;='Resultats - informe'!$D$27)*(C2881&lt;='Resultats - informe'!$E$27),0,(C2881&gt;='Resultats - informe'!$D$28)*(C2881&lt;='Resultats - informe'!$E$28),0,(C2881&gt;='Resultats - informe'!$D$29)*(C2881&lt;='Resultats - informe'!$E$29),0,1,1)</f>
        <v>0</v>
      </c>
      <c r="N2881" s="366">
        <f>+VLOOKUP(D2881,'Resultats - informe'!$Y$18:$AG$42,'Introducció dades consum'!K2881+1,0)</f>
        <v>0</v>
      </c>
      <c r="O2881" s="370" cm="1">
        <f t="array" ref="O2881">+_xlfn.SWITCH(MONTH(C2881),1,1,2,1,3,1,4,2,5,2,6,3,7,3,8,3,9,3,10,2,11,2,12,1,2)</f>
        <v>1</v>
      </c>
      <c r="P2881" s="43"/>
    </row>
    <row r="2882" spans="1:16" ht="18" x14ac:dyDescent="0.35">
      <c r="A2882" s="43"/>
      <c r="C2882" s="393"/>
      <c r="E2882" s="394"/>
      <c r="F2882" s="394">
        <v>0</v>
      </c>
      <c r="G2882" s="394"/>
      <c r="H2882" s="8" t="s">
        <v>235</v>
      </c>
      <c r="I2882" s="368">
        <f t="shared" si="133"/>
        <v>0</v>
      </c>
      <c r="J2882" s="365">
        <f t="shared" si="135"/>
        <v>0</v>
      </c>
      <c r="K2882" s="369">
        <f t="shared" si="134"/>
        <v>6</v>
      </c>
      <c r="L2882" s="369">
        <f>+IF((C2882&gt;='Resultats - informe'!$E$16)*(C2882&lt;='Resultats - informe'!$G$16),1,0)</f>
        <v>1</v>
      </c>
      <c r="M2882" s="369" cm="1">
        <f t="array" ref="M2882">+_xlfn.IFS((C2882&gt;='Resultats - informe'!$D$26)*(C2882&lt;='Resultats - informe'!$E$26),0,(C2882&gt;='Resultats - informe'!$D$27)*(C2882&lt;='Resultats - informe'!$E$27),0,(C2882&gt;='Resultats - informe'!$D$28)*(C2882&lt;='Resultats - informe'!$E$28),0,(C2882&gt;='Resultats - informe'!$D$29)*(C2882&lt;='Resultats - informe'!$E$29),0,1,1)</f>
        <v>0</v>
      </c>
      <c r="N2882" s="366">
        <f>+VLOOKUP(D2882,'Resultats - informe'!$Y$18:$AG$42,'Introducció dades consum'!K2882+1,0)</f>
        <v>0</v>
      </c>
      <c r="O2882" s="370" cm="1">
        <f t="array" ref="O2882">+_xlfn.SWITCH(MONTH(C2882),1,1,2,1,3,1,4,2,5,2,6,3,7,3,8,3,9,3,10,2,11,2,12,1,2)</f>
        <v>1</v>
      </c>
      <c r="P2882" s="43"/>
    </row>
    <row r="2883" spans="1:16" ht="18" x14ac:dyDescent="0.35">
      <c r="A2883" s="43"/>
      <c r="C2883" s="393"/>
      <c r="E2883" s="394"/>
      <c r="F2883" s="394">
        <v>0</v>
      </c>
      <c r="G2883" s="394"/>
      <c r="H2883" s="8" t="s">
        <v>235</v>
      </c>
      <c r="I2883" s="368">
        <f t="shared" si="133"/>
        <v>0</v>
      </c>
      <c r="J2883" s="365">
        <f t="shared" si="135"/>
        <v>0</v>
      </c>
      <c r="K2883" s="369">
        <f t="shared" si="134"/>
        <v>6</v>
      </c>
      <c r="L2883" s="369">
        <f>+IF((C2883&gt;='Resultats - informe'!$E$16)*(C2883&lt;='Resultats - informe'!$G$16),1,0)</f>
        <v>1</v>
      </c>
      <c r="M2883" s="369" cm="1">
        <f t="array" ref="M2883">+_xlfn.IFS((C2883&gt;='Resultats - informe'!$D$26)*(C2883&lt;='Resultats - informe'!$E$26),0,(C2883&gt;='Resultats - informe'!$D$27)*(C2883&lt;='Resultats - informe'!$E$27),0,(C2883&gt;='Resultats - informe'!$D$28)*(C2883&lt;='Resultats - informe'!$E$28),0,(C2883&gt;='Resultats - informe'!$D$29)*(C2883&lt;='Resultats - informe'!$E$29),0,1,1)</f>
        <v>0</v>
      </c>
      <c r="N2883" s="366">
        <f>+VLOOKUP(D2883,'Resultats - informe'!$Y$18:$AG$42,'Introducció dades consum'!K2883+1,0)</f>
        <v>0</v>
      </c>
      <c r="O2883" s="370" cm="1">
        <f t="array" ref="O2883">+_xlfn.SWITCH(MONTH(C2883),1,1,2,1,3,1,4,2,5,2,6,3,7,3,8,3,9,3,10,2,11,2,12,1,2)</f>
        <v>1</v>
      </c>
      <c r="P2883" s="43"/>
    </row>
    <row r="2884" spans="1:16" ht="18" x14ac:dyDescent="0.35">
      <c r="A2884" s="43"/>
      <c r="C2884" s="393"/>
      <c r="E2884" s="394"/>
      <c r="F2884" s="394">
        <v>0</v>
      </c>
      <c r="G2884" s="394"/>
      <c r="H2884" s="8" t="s">
        <v>235</v>
      </c>
      <c r="I2884" s="368">
        <f t="shared" si="133"/>
        <v>0</v>
      </c>
      <c r="J2884" s="365">
        <f t="shared" si="135"/>
        <v>0</v>
      </c>
      <c r="K2884" s="369">
        <f t="shared" si="134"/>
        <v>6</v>
      </c>
      <c r="L2884" s="369">
        <f>+IF((C2884&gt;='Resultats - informe'!$E$16)*(C2884&lt;='Resultats - informe'!$G$16),1,0)</f>
        <v>1</v>
      </c>
      <c r="M2884" s="369" cm="1">
        <f t="array" ref="M2884">+_xlfn.IFS((C2884&gt;='Resultats - informe'!$D$26)*(C2884&lt;='Resultats - informe'!$E$26),0,(C2884&gt;='Resultats - informe'!$D$27)*(C2884&lt;='Resultats - informe'!$E$27),0,(C2884&gt;='Resultats - informe'!$D$28)*(C2884&lt;='Resultats - informe'!$E$28),0,(C2884&gt;='Resultats - informe'!$D$29)*(C2884&lt;='Resultats - informe'!$E$29),0,1,1)</f>
        <v>0</v>
      </c>
      <c r="N2884" s="366">
        <f>+VLOOKUP(D2884,'Resultats - informe'!$Y$18:$AG$42,'Introducció dades consum'!K2884+1,0)</f>
        <v>0</v>
      </c>
      <c r="O2884" s="370" cm="1">
        <f t="array" ref="O2884">+_xlfn.SWITCH(MONTH(C2884),1,1,2,1,3,1,4,2,5,2,6,3,7,3,8,3,9,3,10,2,11,2,12,1,2)</f>
        <v>1</v>
      </c>
      <c r="P2884" s="43"/>
    </row>
    <row r="2885" spans="1:16" ht="18" x14ac:dyDescent="0.35">
      <c r="A2885" s="43"/>
      <c r="C2885" s="393"/>
      <c r="E2885" s="394"/>
      <c r="F2885" s="394">
        <v>0</v>
      </c>
      <c r="G2885" s="394"/>
      <c r="H2885" s="8" t="s">
        <v>235</v>
      </c>
      <c r="I2885" s="368">
        <f t="shared" si="133"/>
        <v>0</v>
      </c>
      <c r="J2885" s="365">
        <f t="shared" si="135"/>
        <v>0</v>
      </c>
      <c r="K2885" s="369">
        <f t="shared" si="134"/>
        <v>6</v>
      </c>
      <c r="L2885" s="369">
        <f>+IF((C2885&gt;='Resultats - informe'!$E$16)*(C2885&lt;='Resultats - informe'!$G$16),1,0)</f>
        <v>1</v>
      </c>
      <c r="M2885" s="369" cm="1">
        <f t="array" ref="M2885">+_xlfn.IFS((C2885&gt;='Resultats - informe'!$D$26)*(C2885&lt;='Resultats - informe'!$E$26),0,(C2885&gt;='Resultats - informe'!$D$27)*(C2885&lt;='Resultats - informe'!$E$27),0,(C2885&gt;='Resultats - informe'!$D$28)*(C2885&lt;='Resultats - informe'!$E$28),0,(C2885&gt;='Resultats - informe'!$D$29)*(C2885&lt;='Resultats - informe'!$E$29),0,1,1)</f>
        <v>0</v>
      </c>
      <c r="N2885" s="366">
        <f>+VLOOKUP(D2885,'Resultats - informe'!$Y$18:$AG$42,'Introducció dades consum'!K2885+1,0)</f>
        <v>0</v>
      </c>
      <c r="O2885" s="370" cm="1">
        <f t="array" ref="O2885">+_xlfn.SWITCH(MONTH(C2885),1,1,2,1,3,1,4,2,5,2,6,3,7,3,8,3,9,3,10,2,11,2,12,1,2)</f>
        <v>1</v>
      </c>
      <c r="P2885" s="43"/>
    </row>
    <row r="2886" spans="1:16" ht="18" x14ac:dyDescent="0.35">
      <c r="A2886" s="43"/>
      <c r="C2886" s="393"/>
      <c r="E2886" s="394"/>
      <c r="F2886" s="394">
        <v>0</v>
      </c>
      <c r="G2886" s="394"/>
      <c r="H2886" s="8" t="s">
        <v>235</v>
      </c>
      <c r="I2886" s="368">
        <f t="shared" ref="I2886:I2949" si="136">+E2886+G2886</f>
        <v>0</v>
      </c>
      <c r="J2886" s="365">
        <f t="shared" si="135"/>
        <v>0</v>
      </c>
      <c r="K2886" s="369">
        <f t="shared" ref="K2886:K2949" si="137">+WEEKDAY(C2886,2)</f>
        <v>6</v>
      </c>
      <c r="L2886" s="369">
        <f>+IF((C2886&gt;='Resultats - informe'!$E$16)*(C2886&lt;='Resultats - informe'!$G$16),1,0)</f>
        <v>1</v>
      </c>
      <c r="M2886" s="369" cm="1">
        <f t="array" ref="M2886">+_xlfn.IFS((C2886&gt;='Resultats - informe'!$D$26)*(C2886&lt;='Resultats - informe'!$E$26),0,(C2886&gt;='Resultats - informe'!$D$27)*(C2886&lt;='Resultats - informe'!$E$27),0,(C2886&gt;='Resultats - informe'!$D$28)*(C2886&lt;='Resultats - informe'!$E$28),0,(C2886&gt;='Resultats - informe'!$D$29)*(C2886&lt;='Resultats - informe'!$E$29),0,1,1)</f>
        <v>0</v>
      </c>
      <c r="N2886" s="366">
        <f>+VLOOKUP(D2886,'Resultats - informe'!$Y$18:$AG$42,'Introducció dades consum'!K2886+1,0)</f>
        <v>0</v>
      </c>
      <c r="O2886" s="370" cm="1">
        <f t="array" ref="O2886">+_xlfn.SWITCH(MONTH(C2886),1,1,2,1,3,1,4,2,5,2,6,3,7,3,8,3,9,3,10,2,11,2,12,1,2)</f>
        <v>1</v>
      </c>
      <c r="P2886" s="43"/>
    </row>
    <row r="2887" spans="1:16" ht="18" x14ac:dyDescent="0.35">
      <c r="A2887" s="43"/>
      <c r="C2887" s="393"/>
      <c r="E2887" s="394"/>
      <c r="F2887" s="394">
        <v>0</v>
      </c>
      <c r="G2887" s="394"/>
      <c r="H2887" s="8" t="s">
        <v>235</v>
      </c>
      <c r="I2887" s="368">
        <f t="shared" si="136"/>
        <v>0</v>
      </c>
      <c r="J2887" s="365">
        <f t="shared" si="135"/>
        <v>0</v>
      </c>
      <c r="K2887" s="369">
        <f t="shared" si="137"/>
        <v>6</v>
      </c>
      <c r="L2887" s="369">
        <f>+IF((C2887&gt;='Resultats - informe'!$E$16)*(C2887&lt;='Resultats - informe'!$G$16),1,0)</f>
        <v>1</v>
      </c>
      <c r="M2887" s="369" cm="1">
        <f t="array" ref="M2887">+_xlfn.IFS((C2887&gt;='Resultats - informe'!$D$26)*(C2887&lt;='Resultats - informe'!$E$26),0,(C2887&gt;='Resultats - informe'!$D$27)*(C2887&lt;='Resultats - informe'!$E$27),0,(C2887&gt;='Resultats - informe'!$D$28)*(C2887&lt;='Resultats - informe'!$E$28),0,(C2887&gt;='Resultats - informe'!$D$29)*(C2887&lt;='Resultats - informe'!$E$29),0,1,1)</f>
        <v>0</v>
      </c>
      <c r="N2887" s="366">
        <f>+VLOOKUP(D2887,'Resultats - informe'!$Y$18:$AG$42,'Introducció dades consum'!K2887+1,0)</f>
        <v>0</v>
      </c>
      <c r="O2887" s="370" cm="1">
        <f t="array" ref="O2887">+_xlfn.SWITCH(MONTH(C2887),1,1,2,1,3,1,4,2,5,2,6,3,7,3,8,3,9,3,10,2,11,2,12,1,2)</f>
        <v>1</v>
      </c>
      <c r="P2887" s="43"/>
    </row>
    <row r="2888" spans="1:16" ht="18" x14ac:dyDescent="0.35">
      <c r="A2888" s="43"/>
      <c r="C2888" s="393"/>
      <c r="E2888" s="394"/>
      <c r="F2888" s="394">
        <v>0</v>
      </c>
      <c r="G2888" s="394"/>
      <c r="H2888" s="8" t="s">
        <v>61</v>
      </c>
      <c r="I2888" s="368">
        <f t="shared" si="136"/>
        <v>0</v>
      </c>
      <c r="J2888" s="365">
        <f t="shared" si="135"/>
        <v>0</v>
      </c>
      <c r="K2888" s="369">
        <f t="shared" si="137"/>
        <v>6</v>
      </c>
      <c r="L2888" s="369">
        <f>+IF((C2888&gt;='Resultats - informe'!$E$16)*(C2888&lt;='Resultats - informe'!$G$16),1,0)</f>
        <v>1</v>
      </c>
      <c r="M2888" s="369" cm="1">
        <f t="array" ref="M2888">+_xlfn.IFS((C2888&gt;='Resultats - informe'!$D$26)*(C2888&lt;='Resultats - informe'!$E$26),0,(C2888&gt;='Resultats - informe'!$D$27)*(C2888&lt;='Resultats - informe'!$E$27),0,(C2888&gt;='Resultats - informe'!$D$28)*(C2888&lt;='Resultats - informe'!$E$28),0,(C2888&gt;='Resultats - informe'!$D$29)*(C2888&lt;='Resultats - informe'!$E$29),0,1,1)</f>
        <v>0</v>
      </c>
      <c r="N2888" s="366">
        <f>+VLOOKUP(D2888,'Resultats - informe'!$Y$18:$AG$42,'Introducció dades consum'!K2888+1,0)</f>
        <v>0</v>
      </c>
      <c r="O2888" s="370" cm="1">
        <f t="array" ref="O2888">+_xlfn.SWITCH(MONTH(C2888),1,1,2,1,3,1,4,2,5,2,6,3,7,3,8,3,9,3,10,2,11,2,12,1,2)</f>
        <v>1</v>
      </c>
      <c r="P2888" s="43"/>
    </row>
    <row r="2889" spans="1:16" ht="18" x14ac:dyDescent="0.35">
      <c r="A2889" s="43"/>
      <c r="C2889" s="393"/>
      <c r="E2889" s="394"/>
      <c r="F2889" s="394">
        <v>0</v>
      </c>
      <c r="G2889" s="394"/>
      <c r="H2889" s="8" t="s">
        <v>61</v>
      </c>
      <c r="I2889" s="368">
        <f t="shared" si="136"/>
        <v>0</v>
      </c>
      <c r="J2889" s="365">
        <f t="shared" si="135"/>
        <v>0</v>
      </c>
      <c r="K2889" s="369">
        <f t="shared" si="137"/>
        <v>6</v>
      </c>
      <c r="L2889" s="369">
        <f>+IF((C2889&gt;='Resultats - informe'!$E$16)*(C2889&lt;='Resultats - informe'!$G$16),1,0)</f>
        <v>1</v>
      </c>
      <c r="M2889" s="369" cm="1">
        <f t="array" ref="M2889">+_xlfn.IFS((C2889&gt;='Resultats - informe'!$D$26)*(C2889&lt;='Resultats - informe'!$E$26),0,(C2889&gt;='Resultats - informe'!$D$27)*(C2889&lt;='Resultats - informe'!$E$27),0,(C2889&gt;='Resultats - informe'!$D$28)*(C2889&lt;='Resultats - informe'!$E$28),0,(C2889&gt;='Resultats - informe'!$D$29)*(C2889&lt;='Resultats - informe'!$E$29),0,1,1)</f>
        <v>0</v>
      </c>
      <c r="N2889" s="366">
        <f>+VLOOKUP(D2889,'Resultats - informe'!$Y$18:$AG$42,'Introducció dades consum'!K2889+1,0)</f>
        <v>0</v>
      </c>
      <c r="O2889" s="370" cm="1">
        <f t="array" ref="O2889">+_xlfn.SWITCH(MONTH(C2889),1,1,2,1,3,1,4,2,5,2,6,3,7,3,8,3,9,3,10,2,11,2,12,1,2)</f>
        <v>1</v>
      </c>
      <c r="P2889" s="43"/>
    </row>
    <row r="2890" spans="1:16" ht="18" x14ac:dyDescent="0.35">
      <c r="A2890" s="43"/>
      <c r="C2890" s="393"/>
      <c r="E2890" s="394"/>
      <c r="F2890" s="394">
        <v>0.72099999999999997</v>
      </c>
      <c r="G2890" s="394"/>
      <c r="H2890" s="8" t="s">
        <v>235</v>
      </c>
      <c r="I2890" s="368">
        <f t="shared" si="136"/>
        <v>0</v>
      </c>
      <c r="J2890" s="365">
        <f t="shared" si="135"/>
        <v>0</v>
      </c>
      <c r="K2890" s="369">
        <f t="shared" si="137"/>
        <v>6</v>
      </c>
      <c r="L2890" s="369">
        <f>+IF((C2890&gt;='Resultats - informe'!$E$16)*(C2890&lt;='Resultats - informe'!$G$16),1,0)</f>
        <v>1</v>
      </c>
      <c r="M2890" s="369" cm="1">
        <f t="array" ref="M2890">+_xlfn.IFS((C2890&gt;='Resultats - informe'!$D$26)*(C2890&lt;='Resultats - informe'!$E$26),0,(C2890&gt;='Resultats - informe'!$D$27)*(C2890&lt;='Resultats - informe'!$E$27),0,(C2890&gt;='Resultats - informe'!$D$28)*(C2890&lt;='Resultats - informe'!$E$28),0,(C2890&gt;='Resultats - informe'!$D$29)*(C2890&lt;='Resultats - informe'!$E$29),0,1,1)</f>
        <v>0</v>
      </c>
      <c r="N2890" s="366">
        <f>+VLOOKUP(D2890,'Resultats - informe'!$Y$18:$AG$42,'Introducció dades consum'!K2890+1,0)</f>
        <v>0</v>
      </c>
      <c r="O2890" s="370" cm="1">
        <f t="array" ref="O2890">+_xlfn.SWITCH(MONTH(C2890),1,1,2,1,3,1,4,2,5,2,6,3,7,3,8,3,9,3,10,2,11,2,12,1,2)</f>
        <v>1</v>
      </c>
      <c r="P2890" s="43"/>
    </row>
    <row r="2891" spans="1:16" ht="18" x14ac:dyDescent="0.35">
      <c r="A2891" s="43"/>
      <c r="C2891" s="393"/>
      <c r="E2891" s="394"/>
      <c r="F2891" s="394">
        <v>1.5329999999999999</v>
      </c>
      <c r="G2891" s="394"/>
      <c r="H2891" s="8" t="s">
        <v>235</v>
      </c>
      <c r="I2891" s="368">
        <f t="shared" si="136"/>
        <v>0</v>
      </c>
      <c r="J2891" s="365">
        <f t="shared" si="135"/>
        <v>0</v>
      </c>
      <c r="K2891" s="369">
        <f t="shared" si="137"/>
        <v>6</v>
      </c>
      <c r="L2891" s="369">
        <f>+IF((C2891&gt;='Resultats - informe'!$E$16)*(C2891&lt;='Resultats - informe'!$G$16),1,0)</f>
        <v>1</v>
      </c>
      <c r="M2891" s="369" cm="1">
        <f t="array" ref="M2891">+_xlfn.IFS((C2891&gt;='Resultats - informe'!$D$26)*(C2891&lt;='Resultats - informe'!$E$26),0,(C2891&gt;='Resultats - informe'!$D$27)*(C2891&lt;='Resultats - informe'!$E$27),0,(C2891&gt;='Resultats - informe'!$D$28)*(C2891&lt;='Resultats - informe'!$E$28),0,(C2891&gt;='Resultats - informe'!$D$29)*(C2891&lt;='Resultats - informe'!$E$29),0,1,1)</f>
        <v>0</v>
      </c>
      <c r="N2891" s="366">
        <f>+VLOOKUP(D2891,'Resultats - informe'!$Y$18:$AG$42,'Introducció dades consum'!K2891+1,0)</f>
        <v>0</v>
      </c>
      <c r="O2891" s="370" cm="1">
        <f t="array" ref="O2891">+_xlfn.SWITCH(MONTH(C2891),1,1,2,1,3,1,4,2,5,2,6,3,7,3,8,3,9,3,10,2,11,2,12,1,2)</f>
        <v>1</v>
      </c>
      <c r="P2891" s="43"/>
    </row>
    <row r="2892" spans="1:16" ht="18" x14ac:dyDescent="0.35">
      <c r="A2892" s="43"/>
      <c r="C2892" s="393"/>
      <c r="E2892" s="394"/>
      <c r="F2892" s="394">
        <v>2.3889999999999998</v>
      </c>
      <c r="G2892" s="394"/>
      <c r="H2892" s="8" t="s">
        <v>235</v>
      </c>
      <c r="I2892" s="368">
        <f t="shared" si="136"/>
        <v>0</v>
      </c>
      <c r="J2892" s="365">
        <f t="shared" si="135"/>
        <v>0</v>
      </c>
      <c r="K2892" s="369">
        <f t="shared" si="137"/>
        <v>6</v>
      </c>
      <c r="L2892" s="369">
        <f>+IF((C2892&gt;='Resultats - informe'!$E$16)*(C2892&lt;='Resultats - informe'!$G$16),1,0)</f>
        <v>1</v>
      </c>
      <c r="M2892" s="369" cm="1">
        <f t="array" ref="M2892">+_xlfn.IFS((C2892&gt;='Resultats - informe'!$D$26)*(C2892&lt;='Resultats - informe'!$E$26),0,(C2892&gt;='Resultats - informe'!$D$27)*(C2892&lt;='Resultats - informe'!$E$27),0,(C2892&gt;='Resultats - informe'!$D$28)*(C2892&lt;='Resultats - informe'!$E$28),0,(C2892&gt;='Resultats - informe'!$D$29)*(C2892&lt;='Resultats - informe'!$E$29),0,1,1)</f>
        <v>0</v>
      </c>
      <c r="N2892" s="366">
        <f>+VLOOKUP(D2892,'Resultats - informe'!$Y$18:$AG$42,'Introducció dades consum'!K2892+1,0)</f>
        <v>0</v>
      </c>
      <c r="O2892" s="370" cm="1">
        <f t="array" ref="O2892">+_xlfn.SWITCH(MONTH(C2892),1,1,2,1,3,1,4,2,5,2,6,3,7,3,8,3,9,3,10,2,11,2,12,1,2)</f>
        <v>1</v>
      </c>
      <c r="P2892" s="43"/>
    </row>
    <row r="2893" spans="1:16" ht="18" x14ac:dyDescent="0.35">
      <c r="A2893" s="43"/>
      <c r="C2893" s="393"/>
      <c r="E2893" s="394"/>
      <c r="F2893" s="394">
        <v>1.73</v>
      </c>
      <c r="G2893" s="394"/>
      <c r="H2893" s="8" t="s">
        <v>61</v>
      </c>
      <c r="I2893" s="368">
        <f t="shared" si="136"/>
        <v>0</v>
      </c>
      <c r="J2893" s="365">
        <f t="shared" si="135"/>
        <v>0</v>
      </c>
      <c r="K2893" s="369">
        <f t="shared" si="137"/>
        <v>6</v>
      </c>
      <c r="L2893" s="369">
        <f>+IF((C2893&gt;='Resultats - informe'!$E$16)*(C2893&lt;='Resultats - informe'!$G$16),1,0)</f>
        <v>1</v>
      </c>
      <c r="M2893" s="369" cm="1">
        <f t="array" ref="M2893">+_xlfn.IFS((C2893&gt;='Resultats - informe'!$D$26)*(C2893&lt;='Resultats - informe'!$E$26),0,(C2893&gt;='Resultats - informe'!$D$27)*(C2893&lt;='Resultats - informe'!$E$27),0,(C2893&gt;='Resultats - informe'!$D$28)*(C2893&lt;='Resultats - informe'!$E$28),0,(C2893&gt;='Resultats - informe'!$D$29)*(C2893&lt;='Resultats - informe'!$E$29),0,1,1)</f>
        <v>0</v>
      </c>
      <c r="N2893" s="366">
        <f>+VLOOKUP(D2893,'Resultats - informe'!$Y$18:$AG$42,'Introducció dades consum'!K2893+1,0)</f>
        <v>0</v>
      </c>
      <c r="O2893" s="370" cm="1">
        <f t="array" ref="O2893">+_xlfn.SWITCH(MONTH(C2893),1,1,2,1,3,1,4,2,5,2,6,3,7,3,8,3,9,3,10,2,11,2,12,1,2)</f>
        <v>1</v>
      </c>
      <c r="P2893" s="43"/>
    </row>
    <row r="2894" spans="1:16" ht="18" x14ac:dyDescent="0.35">
      <c r="A2894" s="43"/>
      <c r="C2894" s="393"/>
      <c r="E2894" s="394"/>
      <c r="F2894" s="394">
        <v>1.9510000000000001</v>
      </c>
      <c r="G2894" s="394"/>
      <c r="H2894" s="8" t="s">
        <v>61</v>
      </c>
      <c r="I2894" s="368">
        <f t="shared" si="136"/>
        <v>0</v>
      </c>
      <c r="J2894" s="365">
        <f t="shared" si="135"/>
        <v>0</v>
      </c>
      <c r="K2894" s="369">
        <f t="shared" si="137"/>
        <v>6</v>
      </c>
      <c r="L2894" s="369">
        <f>+IF((C2894&gt;='Resultats - informe'!$E$16)*(C2894&lt;='Resultats - informe'!$G$16),1,0)</f>
        <v>1</v>
      </c>
      <c r="M2894" s="369" cm="1">
        <f t="array" ref="M2894">+_xlfn.IFS((C2894&gt;='Resultats - informe'!$D$26)*(C2894&lt;='Resultats - informe'!$E$26),0,(C2894&gt;='Resultats - informe'!$D$27)*(C2894&lt;='Resultats - informe'!$E$27),0,(C2894&gt;='Resultats - informe'!$D$28)*(C2894&lt;='Resultats - informe'!$E$28),0,(C2894&gt;='Resultats - informe'!$D$29)*(C2894&lt;='Resultats - informe'!$E$29),0,1,1)</f>
        <v>0</v>
      </c>
      <c r="N2894" s="366">
        <f>+VLOOKUP(D2894,'Resultats - informe'!$Y$18:$AG$42,'Introducció dades consum'!K2894+1,0)</f>
        <v>0</v>
      </c>
      <c r="O2894" s="370" cm="1">
        <f t="array" ref="O2894">+_xlfn.SWITCH(MONTH(C2894),1,1,2,1,3,1,4,2,5,2,6,3,7,3,8,3,9,3,10,2,11,2,12,1,2)</f>
        <v>1</v>
      </c>
      <c r="P2894" s="43"/>
    </row>
    <row r="2895" spans="1:16" ht="18" x14ac:dyDescent="0.35">
      <c r="A2895" s="43"/>
      <c r="C2895" s="393"/>
      <c r="E2895" s="394"/>
      <c r="F2895" s="394">
        <v>2.5750000000000002</v>
      </c>
      <c r="G2895" s="394"/>
      <c r="H2895" s="8" t="s">
        <v>61</v>
      </c>
      <c r="I2895" s="368">
        <f t="shared" si="136"/>
        <v>0</v>
      </c>
      <c r="J2895" s="365">
        <f t="shared" si="135"/>
        <v>0</v>
      </c>
      <c r="K2895" s="369">
        <f t="shared" si="137"/>
        <v>6</v>
      </c>
      <c r="L2895" s="369">
        <f>+IF((C2895&gt;='Resultats - informe'!$E$16)*(C2895&lt;='Resultats - informe'!$G$16),1,0)</f>
        <v>1</v>
      </c>
      <c r="M2895" s="369" cm="1">
        <f t="array" ref="M2895">+_xlfn.IFS((C2895&gt;='Resultats - informe'!$D$26)*(C2895&lt;='Resultats - informe'!$E$26),0,(C2895&gt;='Resultats - informe'!$D$27)*(C2895&lt;='Resultats - informe'!$E$27),0,(C2895&gt;='Resultats - informe'!$D$28)*(C2895&lt;='Resultats - informe'!$E$28),0,(C2895&gt;='Resultats - informe'!$D$29)*(C2895&lt;='Resultats - informe'!$E$29),0,1,1)</f>
        <v>0</v>
      </c>
      <c r="N2895" s="366">
        <f>+VLOOKUP(D2895,'Resultats - informe'!$Y$18:$AG$42,'Introducció dades consum'!K2895+1,0)</f>
        <v>0</v>
      </c>
      <c r="O2895" s="370" cm="1">
        <f t="array" ref="O2895">+_xlfn.SWITCH(MONTH(C2895),1,1,2,1,3,1,4,2,5,2,6,3,7,3,8,3,9,3,10,2,11,2,12,1,2)</f>
        <v>1</v>
      </c>
      <c r="P2895" s="43"/>
    </row>
    <row r="2896" spans="1:16" ht="18" x14ac:dyDescent="0.35">
      <c r="A2896" s="43"/>
      <c r="C2896" s="393"/>
      <c r="E2896" s="394"/>
      <c r="F2896" s="394">
        <v>4.8609999999999998</v>
      </c>
      <c r="G2896" s="394"/>
      <c r="H2896" s="8" t="s">
        <v>61</v>
      </c>
      <c r="I2896" s="368">
        <f t="shared" si="136"/>
        <v>0</v>
      </c>
      <c r="J2896" s="365">
        <f t="shared" si="135"/>
        <v>0</v>
      </c>
      <c r="K2896" s="369">
        <f t="shared" si="137"/>
        <v>6</v>
      </c>
      <c r="L2896" s="369">
        <f>+IF((C2896&gt;='Resultats - informe'!$E$16)*(C2896&lt;='Resultats - informe'!$G$16),1,0)</f>
        <v>1</v>
      </c>
      <c r="M2896" s="369" cm="1">
        <f t="array" ref="M2896">+_xlfn.IFS((C2896&gt;='Resultats - informe'!$D$26)*(C2896&lt;='Resultats - informe'!$E$26),0,(C2896&gt;='Resultats - informe'!$D$27)*(C2896&lt;='Resultats - informe'!$E$27),0,(C2896&gt;='Resultats - informe'!$D$28)*(C2896&lt;='Resultats - informe'!$E$28),0,(C2896&gt;='Resultats - informe'!$D$29)*(C2896&lt;='Resultats - informe'!$E$29),0,1,1)</f>
        <v>0</v>
      </c>
      <c r="N2896" s="366">
        <f>+VLOOKUP(D2896,'Resultats - informe'!$Y$18:$AG$42,'Introducció dades consum'!K2896+1,0)</f>
        <v>0</v>
      </c>
      <c r="O2896" s="370" cm="1">
        <f t="array" ref="O2896">+_xlfn.SWITCH(MONTH(C2896),1,1,2,1,3,1,4,2,5,2,6,3,7,3,8,3,9,3,10,2,11,2,12,1,2)</f>
        <v>1</v>
      </c>
      <c r="P2896" s="43"/>
    </row>
    <row r="2897" spans="1:16" ht="18" x14ac:dyDescent="0.35">
      <c r="A2897" s="43"/>
      <c r="C2897" s="393"/>
      <c r="E2897" s="394"/>
      <c r="F2897" s="394">
        <v>3.0619999999999998</v>
      </c>
      <c r="G2897" s="394"/>
      <c r="H2897" s="8" t="s">
        <v>235</v>
      </c>
      <c r="I2897" s="368">
        <f t="shared" si="136"/>
        <v>0</v>
      </c>
      <c r="J2897" s="365">
        <f t="shared" si="135"/>
        <v>0</v>
      </c>
      <c r="K2897" s="369">
        <f t="shared" si="137"/>
        <v>6</v>
      </c>
      <c r="L2897" s="369">
        <f>+IF((C2897&gt;='Resultats - informe'!$E$16)*(C2897&lt;='Resultats - informe'!$G$16),1,0)</f>
        <v>1</v>
      </c>
      <c r="M2897" s="369" cm="1">
        <f t="array" ref="M2897">+_xlfn.IFS((C2897&gt;='Resultats - informe'!$D$26)*(C2897&lt;='Resultats - informe'!$E$26),0,(C2897&gt;='Resultats - informe'!$D$27)*(C2897&lt;='Resultats - informe'!$E$27),0,(C2897&gt;='Resultats - informe'!$D$28)*(C2897&lt;='Resultats - informe'!$E$28),0,(C2897&gt;='Resultats - informe'!$D$29)*(C2897&lt;='Resultats - informe'!$E$29),0,1,1)</f>
        <v>0</v>
      </c>
      <c r="N2897" s="366">
        <f>+VLOOKUP(D2897,'Resultats - informe'!$Y$18:$AG$42,'Introducció dades consum'!K2897+1,0)</f>
        <v>0</v>
      </c>
      <c r="O2897" s="370" cm="1">
        <f t="array" ref="O2897">+_xlfn.SWITCH(MONTH(C2897),1,1,2,1,3,1,4,2,5,2,6,3,7,3,8,3,9,3,10,2,11,2,12,1,2)</f>
        <v>1</v>
      </c>
      <c r="P2897" s="43"/>
    </row>
    <row r="2898" spans="1:16" ht="18" x14ac:dyDescent="0.35">
      <c r="A2898" s="43"/>
      <c r="C2898" s="393"/>
      <c r="E2898" s="394"/>
      <c r="F2898" s="394">
        <v>2.44</v>
      </c>
      <c r="G2898" s="394"/>
      <c r="H2898" s="8" t="s">
        <v>235</v>
      </c>
      <c r="I2898" s="368">
        <f t="shared" si="136"/>
        <v>0</v>
      </c>
      <c r="J2898" s="365">
        <f t="shared" si="135"/>
        <v>0</v>
      </c>
      <c r="K2898" s="369">
        <f t="shared" si="137"/>
        <v>6</v>
      </c>
      <c r="L2898" s="369">
        <f>+IF((C2898&gt;='Resultats - informe'!$E$16)*(C2898&lt;='Resultats - informe'!$G$16),1,0)</f>
        <v>1</v>
      </c>
      <c r="M2898" s="369" cm="1">
        <f t="array" ref="M2898">+_xlfn.IFS((C2898&gt;='Resultats - informe'!$D$26)*(C2898&lt;='Resultats - informe'!$E$26),0,(C2898&gt;='Resultats - informe'!$D$27)*(C2898&lt;='Resultats - informe'!$E$27),0,(C2898&gt;='Resultats - informe'!$D$28)*(C2898&lt;='Resultats - informe'!$E$28),0,(C2898&gt;='Resultats - informe'!$D$29)*(C2898&lt;='Resultats - informe'!$E$29),0,1,1)</f>
        <v>0</v>
      </c>
      <c r="N2898" s="366">
        <f>+VLOOKUP(D2898,'Resultats - informe'!$Y$18:$AG$42,'Introducció dades consum'!K2898+1,0)</f>
        <v>0</v>
      </c>
      <c r="O2898" s="370" cm="1">
        <f t="array" ref="O2898">+_xlfn.SWITCH(MONTH(C2898),1,1,2,1,3,1,4,2,5,2,6,3,7,3,8,3,9,3,10,2,11,2,12,1,2)</f>
        <v>1</v>
      </c>
      <c r="P2898" s="43"/>
    </row>
    <row r="2899" spans="1:16" ht="18" x14ac:dyDescent="0.35">
      <c r="A2899" s="43"/>
      <c r="C2899" s="393"/>
      <c r="E2899" s="394"/>
      <c r="F2899" s="394">
        <v>1.5760000000000001</v>
      </c>
      <c r="G2899" s="394"/>
      <c r="H2899" s="8" t="s">
        <v>235</v>
      </c>
      <c r="I2899" s="368">
        <f t="shared" si="136"/>
        <v>0</v>
      </c>
      <c r="J2899" s="365">
        <f t="shared" si="135"/>
        <v>0</v>
      </c>
      <c r="K2899" s="369">
        <f t="shared" si="137"/>
        <v>6</v>
      </c>
      <c r="L2899" s="369">
        <f>+IF((C2899&gt;='Resultats - informe'!$E$16)*(C2899&lt;='Resultats - informe'!$G$16),1,0)</f>
        <v>1</v>
      </c>
      <c r="M2899" s="369" cm="1">
        <f t="array" ref="M2899">+_xlfn.IFS((C2899&gt;='Resultats - informe'!$D$26)*(C2899&lt;='Resultats - informe'!$E$26),0,(C2899&gt;='Resultats - informe'!$D$27)*(C2899&lt;='Resultats - informe'!$E$27),0,(C2899&gt;='Resultats - informe'!$D$28)*(C2899&lt;='Resultats - informe'!$E$28),0,(C2899&gt;='Resultats - informe'!$D$29)*(C2899&lt;='Resultats - informe'!$E$29),0,1,1)</f>
        <v>0</v>
      </c>
      <c r="N2899" s="366">
        <f>+VLOOKUP(D2899,'Resultats - informe'!$Y$18:$AG$42,'Introducció dades consum'!K2899+1,0)</f>
        <v>0</v>
      </c>
      <c r="O2899" s="370" cm="1">
        <f t="array" ref="O2899">+_xlfn.SWITCH(MONTH(C2899),1,1,2,1,3,1,4,2,5,2,6,3,7,3,8,3,9,3,10,2,11,2,12,1,2)</f>
        <v>1</v>
      </c>
      <c r="P2899" s="43"/>
    </row>
    <row r="2900" spans="1:16" ht="18" x14ac:dyDescent="0.35">
      <c r="A2900" s="43"/>
      <c r="C2900" s="393"/>
      <c r="E2900" s="394"/>
      <c r="F2900" s="394">
        <v>4.226</v>
      </c>
      <c r="G2900" s="394"/>
      <c r="H2900" s="8" t="s">
        <v>61</v>
      </c>
      <c r="I2900" s="368">
        <f t="shared" si="136"/>
        <v>0</v>
      </c>
      <c r="J2900" s="365">
        <f t="shared" si="135"/>
        <v>0</v>
      </c>
      <c r="K2900" s="369">
        <f t="shared" si="137"/>
        <v>6</v>
      </c>
      <c r="L2900" s="369">
        <f>+IF((C2900&gt;='Resultats - informe'!$E$16)*(C2900&lt;='Resultats - informe'!$G$16),1,0)</f>
        <v>1</v>
      </c>
      <c r="M2900" s="369" cm="1">
        <f t="array" ref="M2900">+_xlfn.IFS((C2900&gt;='Resultats - informe'!$D$26)*(C2900&lt;='Resultats - informe'!$E$26),0,(C2900&gt;='Resultats - informe'!$D$27)*(C2900&lt;='Resultats - informe'!$E$27),0,(C2900&gt;='Resultats - informe'!$D$28)*(C2900&lt;='Resultats - informe'!$E$28),0,(C2900&gt;='Resultats - informe'!$D$29)*(C2900&lt;='Resultats - informe'!$E$29),0,1,1)</f>
        <v>0</v>
      </c>
      <c r="N2900" s="366">
        <f>+VLOOKUP(D2900,'Resultats - informe'!$Y$18:$AG$42,'Introducció dades consum'!K2900+1,0)</f>
        <v>0</v>
      </c>
      <c r="O2900" s="370" cm="1">
        <f t="array" ref="O2900">+_xlfn.SWITCH(MONTH(C2900),1,1,2,1,3,1,4,2,5,2,6,3,7,3,8,3,9,3,10,2,11,2,12,1,2)</f>
        <v>1</v>
      </c>
      <c r="P2900" s="43"/>
    </row>
    <row r="2901" spans="1:16" ht="18" x14ac:dyDescent="0.35">
      <c r="A2901" s="43"/>
      <c r="C2901" s="393"/>
      <c r="E2901" s="394"/>
      <c r="F2901" s="394">
        <v>0</v>
      </c>
      <c r="G2901" s="394"/>
      <c r="H2901" s="8" t="s">
        <v>235</v>
      </c>
      <c r="I2901" s="368">
        <f t="shared" si="136"/>
        <v>0</v>
      </c>
      <c r="J2901" s="365">
        <f t="shared" si="135"/>
        <v>0</v>
      </c>
      <c r="K2901" s="369">
        <f t="shared" si="137"/>
        <v>6</v>
      </c>
      <c r="L2901" s="369">
        <f>+IF((C2901&gt;='Resultats - informe'!$E$16)*(C2901&lt;='Resultats - informe'!$G$16),1,0)</f>
        <v>1</v>
      </c>
      <c r="M2901" s="369" cm="1">
        <f t="array" ref="M2901">+_xlfn.IFS((C2901&gt;='Resultats - informe'!$D$26)*(C2901&lt;='Resultats - informe'!$E$26),0,(C2901&gt;='Resultats - informe'!$D$27)*(C2901&lt;='Resultats - informe'!$E$27),0,(C2901&gt;='Resultats - informe'!$D$28)*(C2901&lt;='Resultats - informe'!$E$28),0,(C2901&gt;='Resultats - informe'!$D$29)*(C2901&lt;='Resultats - informe'!$E$29),0,1,1)</f>
        <v>0</v>
      </c>
      <c r="N2901" s="366">
        <f>+VLOOKUP(D2901,'Resultats - informe'!$Y$18:$AG$42,'Introducció dades consum'!K2901+1,0)</f>
        <v>0</v>
      </c>
      <c r="O2901" s="370" cm="1">
        <f t="array" ref="O2901">+_xlfn.SWITCH(MONTH(C2901),1,1,2,1,3,1,4,2,5,2,6,3,7,3,8,3,9,3,10,2,11,2,12,1,2)</f>
        <v>1</v>
      </c>
      <c r="P2901" s="43"/>
    </row>
    <row r="2902" spans="1:16" ht="18" x14ac:dyDescent="0.35">
      <c r="A2902" s="43"/>
      <c r="C2902" s="393"/>
      <c r="E2902" s="394"/>
      <c r="F2902" s="394">
        <v>0</v>
      </c>
      <c r="G2902" s="394"/>
      <c r="H2902" s="8" t="s">
        <v>235</v>
      </c>
      <c r="I2902" s="368">
        <f t="shared" si="136"/>
        <v>0</v>
      </c>
      <c r="J2902" s="365">
        <f t="shared" si="135"/>
        <v>0</v>
      </c>
      <c r="K2902" s="369">
        <f t="shared" si="137"/>
        <v>6</v>
      </c>
      <c r="L2902" s="369">
        <f>+IF((C2902&gt;='Resultats - informe'!$E$16)*(C2902&lt;='Resultats - informe'!$G$16),1,0)</f>
        <v>1</v>
      </c>
      <c r="M2902" s="369" cm="1">
        <f t="array" ref="M2902">+_xlfn.IFS((C2902&gt;='Resultats - informe'!$D$26)*(C2902&lt;='Resultats - informe'!$E$26),0,(C2902&gt;='Resultats - informe'!$D$27)*(C2902&lt;='Resultats - informe'!$E$27),0,(C2902&gt;='Resultats - informe'!$D$28)*(C2902&lt;='Resultats - informe'!$E$28),0,(C2902&gt;='Resultats - informe'!$D$29)*(C2902&lt;='Resultats - informe'!$E$29),0,1,1)</f>
        <v>0</v>
      </c>
      <c r="N2902" s="366">
        <f>+VLOOKUP(D2902,'Resultats - informe'!$Y$18:$AG$42,'Introducció dades consum'!K2902+1,0)</f>
        <v>0</v>
      </c>
      <c r="O2902" s="370" cm="1">
        <f t="array" ref="O2902">+_xlfn.SWITCH(MONTH(C2902),1,1,2,1,3,1,4,2,5,2,6,3,7,3,8,3,9,3,10,2,11,2,12,1,2)</f>
        <v>1</v>
      </c>
      <c r="P2902" s="43"/>
    </row>
    <row r="2903" spans="1:16" ht="18" x14ac:dyDescent="0.35">
      <c r="A2903" s="43"/>
      <c r="C2903" s="393"/>
      <c r="E2903" s="394"/>
      <c r="F2903" s="394">
        <v>0.221</v>
      </c>
      <c r="G2903" s="394"/>
      <c r="H2903" s="8" t="s">
        <v>61</v>
      </c>
      <c r="I2903" s="368">
        <f t="shared" si="136"/>
        <v>0</v>
      </c>
      <c r="J2903" s="365">
        <f t="shared" si="135"/>
        <v>0</v>
      </c>
      <c r="K2903" s="369">
        <f t="shared" si="137"/>
        <v>6</v>
      </c>
      <c r="L2903" s="369">
        <f>+IF((C2903&gt;='Resultats - informe'!$E$16)*(C2903&lt;='Resultats - informe'!$G$16),1,0)</f>
        <v>1</v>
      </c>
      <c r="M2903" s="369" cm="1">
        <f t="array" ref="M2903">+_xlfn.IFS((C2903&gt;='Resultats - informe'!$D$26)*(C2903&lt;='Resultats - informe'!$E$26),0,(C2903&gt;='Resultats - informe'!$D$27)*(C2903&lt;='Resultats - informe'!$E$27),0,(C2903&gt;='Resultats - informe'!$D$28)*(C2903&lt;='Resultats - informe'!$E$28),0,(C2903&gt;='Resultats - informe'!$D$29)*(C2903&lt;='Resultats - informe'!$E$29),0,1,1)</f>
        <v>0</v>
      </c>
      <c r="N2903" s="366">
        <f>+VLOOKUP(D2903,'Resultats - informe'!$Y$18:$AG$42,'Introducció dades consum'!K2903+1,0)</f>
        <v>0</v>
      </c>
      <c r="O2903" s="370" cm="1">
        <f t="array" ref="O2903">+_xlfn.SWITCH(MONTH(C2903),1,1,2,1,3,1,4,2,5,2,6,3,7,3,8,3,9,3,10,2,11,2,12,1,2)</f>
        <v>1</v>
      </c>
      <c r="P2903" s="43"/>
    </row>
    <row r="2904" spans="1:16" ht="18" x14ac:dyDescent="0.35">
      <c r="A2904" s="43"/>
      <c r="C2904" s="393"/>
      <c r="E2904" s="394"/>
      <c r="F2904" s="394">
        <v>0</v>
      </c>
      <c r="G2904" s="394"/>
      <c r="H2904" s="8" t="s">
        <v>61</v>
      </c>
      <c r="I2904" s="368">
        <f t="shared" si="136"/>
        <v>0</v>
      </c>
      <c r="J2904" s="365">
        <f t="shared" si="135"/>
        <v>0</v>
      </c>
      <c r="K2904" s="369">
        <f t="shared" si="137"/>
        <v>6</v>
      </c>
      <c r="L2904" s="369">
        <f>+IF((C2904&gt;='Resultats - informe'!$E$16)*(C2904&lt;='Resultats - informe'!$G$16),1,0)</f>
        <v>1</v>
      </c>
      <c r="M2904" s="369" cm="1">
        <f t="array" ref="M2904">+_xlfn.IFS((C2904&gt;='Resultats - informe'!$D$26)*(C2904&lt;='Resultats - informe'!$E$26),0,(C2904&gt;='Resultats - informe'!$D$27)*(C2904&lt;='Resultats - informe'!$E$27),0,(C2904&gt;='Resultats - informe'!$D$28)*(C2904&lt;='Resultats - informe'!$E$28),0,(C2904&gt;='Resultats - informe'!$D$29)*(C2904&lt;='Resultats - informe'!$E$29),0,1,1)</f>
        <v>0</v>
      </c>
      <c r="N2904" s="366">
        <f>+VLOOKUP(D2904,'Resultats - informe'!$Y$18:$AG$42,'Introducció dades consum'!K2904+1,0)</f>
        <v>0</v>
      </c>
      <c r="O2904" s="370" cm="1">
        <f t="array" ref="O2904">+_xlfn.SWITCH(MONTH(C2904),1,1,2,1,3,1,4,2,5,2,6,3,7,3,8,3,9,3,10,2,11,2,12,1,2)</f>
        <v>1</v>
      </c>
      <c r="P2904" s="43"/>
    </row>
    <row r="2905" spans="1:16" ht="18" x14ac:dyDescent="0.35">
      <c r="A2905" s="43"/>
      <c r="C2905" s="393"/>
      <c r="E2905" s="394"/>
      <c r="F2905" s="394">
        <v>0</v>
      </c>
      <c r="G2905" s="394"/>
      <c r="H2905" s="8" t="s">
        <v>61</v>
      </c>
      <c r="I2905" s="368">
        <f t="shared" si="136"/>
        <v>0</v>
      </c>
      <c r="J2905" s="365">
        <f t="shared" si="135"/>
        <v>0</v>
      </c>
      <c r="K2905" s="369">
        <f t="shared" si="137"/>
        <v>6</v>
      </c>
      <c r="L2905" s="369">
        <f>+IF((C2905&gt;='Resultats - informe'!$E$16)*(C2905&lt;='Resultats - informe'!$G$16),1,0)</f>
        <v>1</v>
      </c>
      <c r="M2905" s="369" cm="1">
        <f t="array" ref="M2905">+_xlfn.IFS((C2905&gt;='Resultats - informe'!$D$26)*(C2905&lt;='Resultats - informe'!$E$26),0,(C2905&gt;='Resultats - informe'!$D$27)*(C2905&lt;='Resultats - informe'!$E$27),0,(C2905&gt;='Resultats - informe'!$D$28)*(C2905&lt;='Resultats - informe'!$E$28),0,(C2905&gt;='Resultats - informe'!$D$29)*(C2905&lt;='Resultats - informe'!$E$29),0,1,1)</f>
        <v>0</v>
      </c>
      <c r="N2905" s="366">
        <f>+VLOOKUP(D2905,'Resultats - informe'!$Y$18:$AG$42,'Introducció dades consum'!K2905+1,0)</f>
        <v>0</v>
      </c>
      <c r="O2905" s="370" cm="1">
        <f t="array" ref="O2905">+_xlfn.SWITCH(MONTH(C2905),1,1,2,1,3,1,4,2,5,2,6,3,7,3,8,3,9,3,10,2,11,2,12,1,2)</f>
        <v>1</v>
      </c>
      <c r="P2905" s="43"/>
    </row>
    <row r="2906" spans="1:16" ht="18" x14ac:dyDescent="0.35">
      <c r="A2906" s="43"/>
      <c r="C2906" s="393"/>
      <c r="E2906" s="394"/>
      <c r="F2906" s="394">
        <v>0</v>
      </c>
      <c r="G2906" s="394"/>
      <c r="H2906" s="8" t="s">
        <v>235</v>
      </c>
      <c r="I2906" s="368">
        <f t="shared" si="136"/>
        <v>0</v>
      </c>
      <c r="J2906" s="365">
        <f t="shared" si="135"/>
        <v>0</v>
      </c>
      <c r="K2906" s="369">
        <f t="shared" si="137"/>
        <v>6</v>
      </c>
      <c r="L2906" s="369">
        <f>+IF((C2906&gt;='Resultats - informe'!$E$16)*(C2906&lt;='Resultats - informe'!$G$16),1,0)</f>
        <v>1</v>
      </c>
      <c r="M2906" s="369" cm="1">
        <f t="array" ref="M2906">+_xlfn.IFS((C2906&gt;='Resultats - informe'!$D$26)*(C2906&lt;='Resultats - informe'!$E$26),0,(C2906&gt;='Resultats - informe'!$D$27)*(C2906&lt;='Resultats - informe'!$E$27),0,(C2906&gt;='Resultats - informe'!$D$28)*(C2906&lt;='Resultats - informe'!$E$28),0,(C2906&gt;='Resultats - informe'!$D$29)*(C2906&lt;='Resultats - informe'!$E$29),0,1,1)</f>
        <v>0</v>
      </c>
      <c r="N2906" s="366">
        <f>+VLOOKUP(D2906,'Resultats - informe'!$Y$18:$AG$42,'Introducció dades consum'!K2906+1,0)</f>
        <v>0</v>
      </c>
      <c r="O2906" s="370" cm="1">
        <f t="array" ref="O2906">+_xlfn.SWITCH(MONTH(C2906),1,1,2,1,3,1,4,2,5,2,6,3,7,3,8,3,9,3,10,2,11,2,12,1,2)</f>
        <v>1</v>
      </c>
      <c r="P2906" s="43"/>
    </row>
    <row r="2907" spans="1:16" ht="18" x14ac:dyDescent="0.35">
      <c r="A2907" s="43"/>
      <c r="C2907" s="393"/>
      <c r="E2907" s="394"/>
      <c r="F2907" s="394">
        <v>0</v>
      </c>
      <c r="G2907" s="394"/>
      <c r="H2907" s="8" t="s">
        <v>235</v>
      </c>
      <c r="I2907" s="368">
        <f t="shared" si="136"/>
        <v>0</v>
      </c>
      <c r="J2907" s="365">
        <f t="shared" si="135"/>
        <v>0</v>
      </c>
      <c r="K2907" s="369">
        <f t="shared" si="137"/>
        <v>6</v>
      </c>
      <c r="L2907" s="369">
        <f>+IF((C2907&gt;='Resultats - informe'!$E$16)*(C2907&lt;='Resultats - informe'!$G$16),1,0)</f>
        <v>1</v>
      </c>
      <c r="M2907" s="369" cm="1">
        <f t="array" ref="M2907">+_xlfn.IFS((C2907&gt;='Resultats - informe'!$D$26)*(C2907&lt;='Resultats - informe'!$E$26),0,(C2907&gt;='Resultats - informe'!$D$27)*(C2907&lt;='Resultats - informe'!$E$27),0,(C2907&gt;='Resultats - informe'!$D$28)*(C2907&lt;='Resultats - informe'!$E$28),0,(C2907&gt;='Resultats - informe'!$D$29)*(C2907&lt;='Resultats - informe'!$E$29),0,1,1)</f>
        <v>0</v>
      </c>
      <c r="N2907" s="366">
        <f>+VLOOKUP(D2907,'Resultats - informe'!$Y$18:$AG$42,'Introducció dades consum'!K2907+1,0)</f>
        <v>0</v>
      </c>
      <c r="O2907" s="370" cm="1">
        <f t="array" ref="O2907">+_xlfn.SWITCH(MONTH(C2907),1,1,2,1,3,1,4,2,5,2,6,3,7,3,8,3,9,3,10,2,11,2,12,1,2)</f>
        <v>1</v>
      </c>
      <c r="P2907" s="43"/>
    </row>
    <row r="2908" spans="1:16" ht="18" x14ac:dyDescent="0.35">
      <c r="A2908" s="43"/>
      <c r="C2908" s="393"/>
      <c r="E2908" s="394"/>
      <c r="F2908" s="394">
        <v>0</v>
      </c>
      <c r="G2908" s="394"/>
      <c r="H2908" s="8" t="s">
        <v>235</v>
      </c>
      <c r="I2908" s="368">
        <f t="shared" si="136"/>
        <v>0</v>
      </c>
      <c r="J2908" s="365">
        <f t="shared" si="135"/>
        <v>0</v>
      </c>
      <c r="K2908" s="369">
        <f t="shared" si="137"/>
        <v>6</v>
      </c>
      <c r="L2908" s="369">
        <f>+IF((C2908&gt;='Resultats - informe'!$E$16)*(C2908&lt;='Resultats - informe'!$G$16),1,0)</f>
        <v>1</v>
      </c>
      <c r="M2908" s="369" cm="1">
        <f t="array" ref="M2908">+_xlfn.IFS((C2908&gt;='Resultats - informe'!$D$26)*(C2908&lt;='Resultats - informe'!$E$26),0,(C2908&gt;='Resultats - informe'!$D$27)*(C2908&lt;='Resultats - informe'!$E$27),0,(C2908&gt;='Resultats - informe'!$D$28)*(C2908&lt;='Resultats - informe'!$E$28),0,(C2908&gt;='Resultats - informe'!$D$29)*(C2908&lt;='Resultats - informe'!$E$29),0,1,1)</f>
        <v>0</v>
      </c>
      <c r="N2908" s="366">
        <f>+VLOOKUP(D2908,'Resultats - informe'!$Y$18:$AG$42,'Introducció dades consum'!K2908+1,0)</f>
        <v>0</v>
      </c>
      <c r="O2908" s="370" cm="1">
        <f t="array" ref="O2908">+_xlfn.SWITCH(MONTH(C2908),1,1,2,1,3,1,4,2,5,2,6,3,7,3,8,3,9,3,10,2,11,2,12,1,2)</f>
        <v>1</v>
      </c>
      <c r="P2908" s="43"/>
    </row>
    <row r="2909" spans="1:16" ht="18" x14ac:dyDescent="0.35">
      <c r="A2909" s="43"/>
      <c r="C2909" s="393"/>
      <c r="E2909" s="394"/>
      <c r="F2909" s="394">
        <v>0</v>
      </c>
      <c r="G2909" s="394"/>
      <c r="H2909" s="8" t="s">
        <v>235</v>
      </c>
      <c r="I2909" s="368">
        <f t="shared" si="136"/>
        <v>0</v>
      </c>
      <c r="J2909" s="365">
        <f t="shared" si="135"/>
        <v>0</v>
      </c>
      <c r="K2909" s="369">
        <f t="shared" si="137"/>
        <v>6</v>
      </c>
      <c r="L2909" s="369">
        <f>+IF((C2909&gt;='Resultats - informe'!$E$16)*(C2909&lt;='Resultats - informe'!$G$16),1,0)</f>
        <v>1</v>
      </c>
      <c r="M2909" s="369" cm="1">
        <f t="array" ref="M2909">+_xlfn.IFS((C2909&gt;='Resultats - informe'!$D$26)*(C2909&lt;='Resultats - informe'!$E$26),0,(C2909&gt;='Resultats - informe'!$D$27)*(C2909&lt;='Resultats - informe'!$E$27),0,(C2909&gt;='Resultats - informe'!$D$28)*(C2909&lt;='Resultats - informe'!$E$28),0,(C2909&gt;='Resultats - informe'!$D$29)*(C2909&lt;='Resultats - informe'!$E$29),0,1,1)</f>
        <v>0</v>
      </c>
      <c r="N2909" s="366">
        <f>+VLOOKUP(D2909,'Resultats - informe'!$Y$18:$AG$42,'Introducció dades consum'!K2909+1,0)</f>
        <v>0</v>
      </c>
      <c r="O2909" s="370" cm="1">
        <f t="array" ref="O2909">+_xlfn.SWITCH(MONTH(C2909),1,1,2,1,3,1,4,2,5,2,6,3,7,3,8,3,9,3,10,2,11,2,12,1,2)</f>
        <v>1</v>
      </c>
      <c r="P2909" s="43"/>
    </row>
    <row r="2910" spans="1:16" ht="18" x14ac:dyDescent="0.35">
      <c r="A2910" s="43"/>
      <c r="C2910" s="393"/>
      <c r="E2910" s="394"/>
      <c r="F2910" s="394">
        <v>0</v>
      </c>
      <c r="G2910" s="394"/>
      <c r="H2910" s="8" t="s">
        <v>235</v>
      </c>
      <c r="I2910" s="368">
        <f t="shared" si="136"/>
        <v>0</v>
      </c>
      <c r="J2910" s="365">
        <f t="shared" si="135"/>
        <v>0</v>
      </c>
      <c r="K2910" s="369">
        <f t="shared" si="137"/>
        <v>6</v>
      </c>
      <c r="L2910" s="369">
        <f>+IF((C2910&gt;='Resultats - informe'!$E$16)*(C2910&lt;='Resultats - informe'!$G$16),1,0)</f>
        <v>1</v>
      </c>
      <c r="M2910" s="369" cm="1">
        <f t="array" ref="M2910">+_xlfn.IFS((C2910&gt;='Resultats - informe'!$D$26)*(C2910&lt;='Resultats - informe'!$E$26),0,(C2910&gt;='Resultats - informe'!$D$27)*(C2910&lt;='Resultats - informe'!$E$27),0,(C2910&gt;='Resultats - informe'!$D$28)*(C2910&lt;='Resultats - informe'!$E$28),0,(C2910&gt;='Resultats - informe'!$D$29)*(C2910&lt;='Resultats - informe'!$E$29),0,1,1)</f>
        <v>0</v>
      </c>
      <c r="N2910" s="366">
        <f>+VLOOKUP(D2910,'Resultats - informe'!$Y$18:$AG$42,'Introducció dades consum'!K2910+1,0)</f>
        <v>0</v>
      </c>
      <c r="O2910" s="370" cm="1">
        <f t="array" ref="O2910">+_xlfn.SWITCH(MONTH(C2910),1,1,2,1,3,1,4,2,5,2,6,3,7,3,8,3,9,3,10,2,11,2,12,1,2)</f>
        <v>1</v>
      </c>
      <c r="P2910" s="43"/>
    </row>
    <row r="2911" spans="1:16" ht="18" x14ac:dyDescent="0.35">
      <c r="A2911" s="43"/>
      <c r="C2911" s="393"/>
      <c r="E2911" s="394"/>
      <c r="F2911" s="394">
        <v>0</v>
      </c>
      <c r="G2911" s="394"/>
      <c r="H2911" s="8" t="s">
        <v>61</v>
      </c>
      <c r="I2911" s="368">
        <f t="shared" si="136"/>
        <v>0</v>
      </c>
      <c r="J2911" s="365">
        <f t="shared" si="135"/>
        <v>0</v>
      </c>
      <c r="K2911" s="369">
        <f t="shared" si="137"/>
        <v>6</v>
      </c>
      <c r="L2911" s="369">
        <f>+IF((C2911&gt;='Resultats - informe'!$E$16)*(C2911&lt;='Resultats - informe'!$G$16),1,0)</f>
        <v>1</v>
      </c>
      <c r="M2911" s="369" cm="1">
        <f t="array" ref="M2911">+_xlfn.IFS((C2911&gt;='Resultats - informe'!$D$26)*(C2911&lt;='Resultats - informe'!$E$26),0,(C2911&gt;='Resultats - informe'!$D$27)*(C2911&lt;='Resultats - informe'!$E$27),0,(C2911&gt;='Resultats - informe'!$D$28)*(C2911&lt;='Resultats - informe'!$E$28),0,(C2911&gt;='Resultats - informe'!$D$29)*(C2911&lt;='Resultats - informe'!$E$29),0,1,1)</f>
        <v>0</v>
      </c>
      <c r="N2911" s="366">
        <f>+VLOOKUP(D2911,'Resultats - informe'!$Y$18:$AG$42,'Introducció dades consum'!K2911+1,0)</f>
        <v>0</v>
      </c>
      <c r="O2911" s="370" cm="1">
        <f t="array" ref="O2911">+_xlfn.SWITCH(MONTH(C2911),1,1,2,1,3,1,4,2,5,2,6,3,7,3,8,3,9,3,10,2,11,2,12,1,2)</f>
        <v>1</v>
      </c>
      <c r="P2911" s="43"/>
    </row>
    <row r="2912" spans="1:16" ht="18" x14ac:dyDescent="0.35">
      <c r="A2912" s="43"/>
      <c r="C2912" s="393"/>
      <c r="E2912" s="394"/>
      <c r="F2912" s="394">
        <v>0</v>
      </c>
      <c r="G2912" s="394"/>
      <c r="H2912" s="8" t="s">
        <v>61</v>
      </c>
      <c r="I2912" s="368">
        <f t="shared" si="136"/>
        <v>0</v>
      </c>
      <c r="J2912" s="365">
        <f t="shared" si="135"/>
        <v>0</v>
      </c>
      <c r="K2912" s="369">
        <f t="shared" si="137"/>
        <v>6</v>
      </c>
      <c r="L2912" s="369">
        <f>+IF((C2912&gt;='Resultats - informe'!$E$16)*(C2912&lt;='Resultats - informe'!$G$16),1,0)</f>
        <v>1</v>
      </c>
      <c r="M2912" s="369" cm="1">
        <f t="array" ref="M2912">+_xlfn.IFS((C2912&gt;='Resultats - informe'!$D$26)*(C2912&lt;='Resultats - informe'!$E$26),0,(C2912&gt;='Resultats - informe'!$D$27)*(C2912&lt;='Resultats - informe'!$E$27),0,(C2912&gt;='Resultats - informe'!$D$28)*(C2912&lt;='Resultats - informe'!$E$28),0,(C2912&gt;='Resultats - informe'!$D$29)*(C2912&lt;='Resultats - informe'!$E$29),0,1,1)</f>
        <v>0</v>
      </c>
      <c r="N2912" s="366">
        <f>+VLOOKUP(D2912,'Resultats - informe'!$Y$18:$AG$42,'Introducció dades consum'!K2912+1,0)</f>
        <v>0</v>
      </c>
      <c r="O2912" s="370" cm="1">
        <f t="array" ref="O2912">+_xlfn.SWITCH(MONTH(C2912),1,1,2,1,3,1,4,2,5,2,6,3,7,3,8,3,9,3,10,2,11,2,12,1,2)</f>
        <v>1</v>
      </c>
      <c r="P2912" s="43"/>
    </row>
    <row r="2913" spans="1:16" ht="18" x14ac:dyDescent="0.35">
      <c r="A2913" s="43"/>
      <c r="C2913" s="393"/>
      <c r="E2913" s="394"/>
      <c r="F2913" s="394">
        <v>0</v>
      </c>
      <c r="G2913" s="394"/>
      <c r="H2913" s="8" t="s">
        <v>61</v>
      </c>
      <c r="I2913" s="368">
        <f t="shared" si="136"/>
        <v>0</v>
      </c>
      <c r="J2913" s="365">
        <f t="shared" si="135"/>
        <v>0</v>
      </c>
      <c r="K2913" s="369">
        <f t="shared" si="137"/>
        <v>6</v>
      </c>
      <c r="L2913" s="369">
        <f>+IF((C2913&gt;='Resultats - informe'!$E$16)*(C2913&lt;='Resultats - informe'!$G$16),1,0)</f>
        <v>1</v>
      </c>
      <c r="M2913" s="369" cm="1">
        <f t="array" ref="M2913">+_xlfn.IFS((C2913&gt;='Resultats - informe'!$D$26)*(C2913&lt;='Resultats - informe'!$E$26),0,(C2913&gt;='Resultats - informe'!$D$27)*(C2913&lt;='Resultats - informe'!$E$27),0,(C2913&gt;='Resultats - informe'!$D$28)*(C2913&lt;='Resultats - informe'!$E$28),0,(C2913&gt;='Resultats - informe'!$D$29)*(C2913&lt;='Resultats - informe'!$E$29),0,1,1)</f>
        <v>0</v>
      </c>
      <c r="N2913" s="366">
        <f>+VLOOKUP(D2913,'Resultats - informe'!$Y$18:$AG$42,'Introducció dades consum'!K2913+1,0)</f>
        <v>0</v>
      </c>
      <c r="O2913" s="370" cm="1">
        <f t="array" ref="O2913">+_xlfn.SWITCH(MONTH(C2913),1,1,2,1,3,1,4,2,5,2,6,3,7,3,8,3,9,3,10,2,11,2,12,1,2)</f>
        <v>1</v>
      </c>
      <c r="P2913" s="43"/>
    </row>
    <row r="2914" spans="1:16" ht="18" x14ac:dyDescent="0.35">
      <c r="A2914" s="43"/>
      <c r="C2914" s="393"/>
      <c r="E2914" s="394"/>
      <c r="F2914" s="394">
        <v>0</v>
      </c>
      <c r="G2914" s="394"/>
      <c r="H2914" s="8" t="s">
        <v>61</v>
      </c>
      <c r="I2914" s="368">
        <f t="shared" si="136"/>
        <v>0</v>
      </c>
      <c r="J2914" s="365">
        <f t="shared" si="135"/>
        <v>0</v>
      </c>
      <c r="K2914" s="369">
        <f t="shared" si="137"/>
        <v>6</v>
      </c>
      <c r="L2914" s="369">
        <f>+IF((C2914&gt;='Resultats - informe'!$E$16)*(C2914&lt;='Resultats - informe'!$G$16),1,0)</f>
        <v>1</v>
      </c>
      <c r="M2914" s="369" cm="1">
        <f t="array" ref="M2914">+_xlfn.IFS((C2914&gt;='Resultats - informe'!$D$26)*(C2914&lt;='Resultats - informe'!$E$26),0,(C2914&gt;='Resultats - informe'!$D$27)*(C2914&lt;='Resultats - informe'!$E$27),0,(C2914&gt;='Resultats - informe'!$D$28)*(C2914&lt;='Resultats - informe'!$E$28),0,(C2914&gt;='Resultats - informe'!$D$29)*(C2914&lt;='Resultats - informe'!$E$29),0,1,1)</f>
        <v>0</v>
      </c>
      <c r="N2914" s="366">
        <f>+VLOOKUP(D2914,'Resultats - informe'!$Y$18:$AG$42,'Introducció dades consum'!K2914+1,0)</f>
        <v>0</v>
      </c>
      <c r="O2914" s="370" cm="1">
        <f t="array" ref="O2914">+_xlfn.SWITCH(MONTH(C2914),1,1,2,1,3,1,4,2,5,2,6,3,7,3,8,3,9,3,10,2,11,2,12,1,2)</f>
        <v>1</v>
      </c>
      <c r="P2914" s="43"/>
    </row>
    <row r="2915" spans="1:16" ht="18" x14ac:dyDescent="0.35">
      <c r="A2915" s="43"/>
      <c r="C2915" s="393"/>
      <c r="E2915" s="394"/>
      <c r="F2915" s="394">
        <v>0</v>
      </c>
      <c r="G2915" s="394"/>
      <c r="H2915" s="8" t="s">
        <v>61</v>
      </c>
      <c r="I2915" s="368">
        <f t="shared" si="136"/>
        <v>0</v>
      </c>
      <c r="J2915" s="365">
        <f t="shared" si="135"/>
        <v>0</v>
      </c>
      <c r="K2915" s="369">
        <f t="shared" si="137"/>
        <v>6</v>
      </c>
      <c r="L2915" s="369">
        <f>+IF((C2915&gt;='Resultats - informe'!$E$16)*(C2915&lt;='Resultats - informe'!$G$16),1,0)</f>
        <v>1</v>
      </c>
      <c r="M2915" s="369" cm="1">
        <f t="array" ref="M2915">+_xlfn.IFS((C2915&gt;='Resultats - informe'!$D$26)*(C2915&lt;='Resultats - informe'!$E$26),0,(C2915&gt;='Resultats - informe'!$D$27)*(C2915&lt;='Resultats - informe'!$E$27),0,(C2915&gt;='Resultats - informe'!$D$28)*(C2915&lt;='Resultats - informe'!$E$28),0,(C2915&gt;='Resultats - informe'!$D$29)*(C2915&lt;='Resultats - informe'!$E$29),0,1,1)</f>
        <v>0</v>
      </c>
      <c r="N2915" s="366">
        <f>+VLOOKUP(D2915,'Resultats - informe'!$Y$18:$AG$42,'Introducció dades consum'!K2915+1,0)</f>
        <v>0</v>
      </c>
      <c r="O2915" s="370" cm="1">
        <f t="array" ref="O2915">+_xlfn.SWITCH(MONTH(C2915),1,1,2,1,3,1,4,2,5,2,6,3,7,3,8,3,9,3,10,2,11,2,12,1,2)</f>
        <v>1</v>
      </c>
      <c r="P2915" s="43"/>
    </row>
    <row r="2916" spans="1:16" ht="18" x14ac:dyDescent="0.35">
      <c r="A2916" s="43"/>
      <c r="C2916" s="393"/>
      <c r="E2916" s="394"/>
      <c r="F2916" s="394">
        <v>0</v>
      </c>
      <c r="G2916" s="394"/>
      <c r="H2916" s="8" t="s">
        <v>61</v>
      </c>
      <c r="I2916" s="368">
        <f t="shared" si="136"/>
        <v>0</v>
      </c>
      <c r="J2916" s="365">
        <f t="shared" si="135"/>
        <v>0</v>
      </c>
      <c r="K2916" s="369">
        <f t="shared" si="137"/>
        <v>6</v>
      </c>
      <c r="L2916" s="369">
        <f>+IF((C2916&gt;='Resultats - informe'!$E$16)*(C2916&lt;='Resultats - informe'!$G$16),1,0)</f>
        <v>1</v>
      </c>
      <c r="M2916" s="369" cm="1">
        <f t="array" ref="M2916">+_xlfn.IFS((C2916&gt;='Resultats - informe'!$D$26)*(C2916&lt;='Resultats - informe'!$E$26),0,(C2916&gt;='Resultats - informe'!$D$27)*(C2916&lt;='Resultats - informe'!$E$27),0,(C2916&gt;='Resultats - informe'!$D$28)*(C2916&lt;='Resultats - informe'!$E$28),0,(C2916&gt;='Resultats - informe'!$D$29)*(C2916&lt;='Resultats - informe'!$E$29),0,1,1)</f>
        <v>0</v>
      </c>
      <c r="N2916" s="366">
        <f>+VLOOKUP(D2916,'Resultats - informe'!$Y$18:$AG$42,'Introducció dades consum'!K2916+1,0)</f>
        <v>0</v>
      </c>
      <c r="O2916" s="370" cm="1">
        <f t="array" ref="O2916">+_xlfn.SWITCH(MONTH(C2916),1,1,2,1,3,1,4,2,5,2,6,3,7,3,8,3,9,3,10,2,11,2,12,1,2)</f>
        <v>1</v>
      </c>
      <c r="P2916" s="43"/>
    </row>
    <row r="2917" spans="1:16" ht="18" x14ac:dyDescent="0.35">
      <c r="A2917" s="43"/>
      <c r="C2917" s="393"/>
      <c r="E2917" s="394"/>
      <c r="F2917" s="394">
        <v>0.623</v>
      </c>
      <c r="G2917" s="394"/>
      <c r="H2917" s="8" t="s">
        <v>61</v>
      </c>
      <c r="I2917" s="368">
        <f t="shared" si="136"/>
        <v>0</v>
      </c>
      <c r="J2917" s="365">
        <f t="shared" si="135"/>
        <v>0</v>
      </c>
      <c r="K2917" s="369">
        <f t="shared" si="137"/>
        <v>6</v>
      </c>
      <c r="L2917" s="369">
        <f>+IF((C2917&gt;='Resultats - informe'!$E$16)*(C2917&lt;='Resultats - informe'!$G$16),1,0)</f>
        <v>1</v>
      </c>
      <c r="M2917" s="369" cm="1">
        <f t="array" ref="M2917">+_xlfn.IFS((C2917&gt;='Resultats - informe'!$D$26)*(C2917&lt;='Resultats - informe'!$E$26),0,(C2917&gt;='Resultats - informe'!$D$27)*(C2917&lt;='Resultats - informe'!$E$27),0,(C2917&gt;='Resultats - informe'!$D$28)*(C2917&lt;='Resultats - informe'!$E$28),0,(C2917&gt;='Resultats - informe'!$D$29)*(C2917&lt;='Resultats - informe'!$E$29),0,1,1)</f>
        <v>0</v>
      </c>
      <c r="N2917" s="366">
        <f>+VLOOKUP(D2917,'Resultats - informe'!$Y$18:$AG$42,'Introducció dades consum'!K2917+1,0)</f>
        <v>0</v>
      </c>
      <c r="O2917" s="370" cm="1">
        <f t="array" ref="O2917">+_xlfn.SWITCH(MONTH(C2917),1,1,2,1,3,1,4,2,5,2,6,3,7,3,8,3,9,3,10,2,11,2,12,1,2)</f>
        <v>1</v>
      </c>
      <c r="P2917" s="43"/>
    </row>
    <row r="2918" spans="1:16" ht="18" x14ac:dyDescent="0.35">
      <c r="A2918" s="43"/>
      <c r="C2918" s="393"/>
      <c r="E2918" s="394"/>
      <c r="F2918" s="394">
        <v>0</v>
      </c>
      <c r="G2918" s="394"/>
      <c r="H2918" s="8" t="s">
        <v>61</v>
      </c>
      <c r="I2918" s="368">
        <f t="shared" si="136"/>
        <v>0</v>
      </c>
      <c r="J2918" s="365">
        <f t="shared" si="135"/>
        <v>0</v>
      </c>
      <c r="K2918" s="369">
        <f t="shared" si="137"/>
        <v>6</v>
      </c>
      <c r="L2918" s="369">
        <f>+IF((C2918&gt;='Resultats - informe'!$E$16)*(C2918&lt;='Resultats - informe'!$G$16),1,0)</f>
        <v>1</v>
      </c>
      <c r="M2918" s="369" cm="1">
        <f t="array" ref="M2918">+_xlfn.IFS((C2918&gt;='Resultats - informe'!$D$26)*(C2918&lt;='Resultats - informe'!$E$26),0,(C2918&gt;='Resultats - informe'!$D$27)*(C2918&lt;='Resultats - informe'!$E$27),0,(C2918&gt;='Resultats - informe'!$D$28)*(C2918&lt;='Resultats - informe'!$E$28),0,(C2918&gt;='Resultats - informe'!$D$29)*(C2918&lt;='Resultats - informe'!$E$29),0,1,1)</f>
        <v>0</v>
      </c>
      <c r="N2918" s="366">
        <f>+VLOOKUP(D2918,'Resultats - informe'!$Y$18:$AG$42,'Introducció dades consum'!K2918+1,0)</f>
        <v>0</v>
      </c>
      <c r="O2918" s="370" cm="1">
        <f t="array" ref="O2918">+_xlfn.SWITCH(MONTH(C2918),1,1,2,1,3,1,4,2,5,2,6,3,7,3,8,3,9,3,10,2,11,2,12,1,2)</f>
        <v>1</v>
      </c>
      <c r="P2918" s="43"/>
    </row>
    <row r="2919" spans="1:16" ht="18" x14ac:dyDescent="0.35">
      <c r="A2919" s="43"/>
      <c r="C2919" s="393"/>
      <c r="E2919" s="394"/>
      <c r="F2919" s="394">
        <v>0</v>
      </c>
      <c r="G2919" s="394"/>
      <c r="H2919" s="8" t="s">
        <v>61</v>
      </c>
      <c r="I2919" s="368">
        <f t="shared" si="136"/>
        <v>0</v>
      </c>
      <c r="J2919" s="365">
        <f t="shared" si="135"/>
        <v>0</v>
      </c>
      <c r="K2919" s="369">
        <f t="shared" si="137"/>
        <v>6</v>
      </c>
      <c r="L2919" s="369">
        <f>+IF((C2919&gt;='Resultats - informe'!$E$16)*(C2919&lt;='Resultats - informe'!$G$16),1,0)</f>
        <v>1</v>
      </c>
      <c r="M2919" s="369" cm="1">
        <f t="array" ref="M2919">+_xlfn.IFS((C2919&gt;='Resultats - informe'!$D$26)*(C2919&lt;='Resultats - informe'!$E$26),0,(C2919&gt;='Resultats - informe'!$D$27)*(C2919&lt;='Resultats - informe'!$E$27),0,(C2919&gt;='Resultats - informe'!$D$28)*(C2919&lt;='Resultats - informe'!$E$28),0,(C2919&gt;='Resultats - informe'!$D$29)*(C2919&lt;='Resultats - informe'!$E$29),0,1,1)</f>
        <v>0</v>
      </c>
      <c r="N2919" s="366">
        <f>+VLOOKUP(D2919,'Resultats - informe'!$Y$18:$AG$42,'Introducció dades consum'!K2919+1,0)</f>
        <v>0</v>
      </c>
      <c r="O2919" s="370" cm="1">
        <f t="array" ref="O2919">+_xlfn.SWITCH(MONTH(C2919),1,1,2,1,3,1,4,2,5,2,6,3,7,3,8,3,9,3,10,2,11,2,12,1,2)</f>
        <v>1</v>
      </c>
      <c r="P2919" s="43"/>
    </row>
    <row r="2920" spans="1:16" ht="18" x14ac:dyDescent="0.35">
      <c r="A2920" s="43"/>
      <c r="C2920" s="393"/>
      <c r="E2920" s="394"/>
      <c r="F2920" s="394">
        <v>3.2629999999999999</v>
      </c>
      <c r="G2920" s="394"/>
      <c r="H2920" s="8" t="s">
        <v>235</v>
      </c>
      <c r="I2920" s="368">
        <f t="shared" si="136"/>
        <v>0</v>
      </c>
      <c r="J2920" s="365">
        <f t="shared" si="135"/>
        <v>0</v>
      </c>
      <c r="K2920" s="369">
        <f t="shared" si="137"/>
        <v>6</v>
      </c>
      <c r="L2920" s="369">
        <f>+IF((C2920&gt;='Resultats - informe'!$E$16)*(C2920&lt;='Resultats - informe'!$G$16),1,0)</f>
        <v>1</v>
      </c>
      <c r="M2920" s="369" cm="1">
        <f t="array" ref="M2920">+_xlfn.IFS((C2920&gt;='Resultats - informe'!$D$26)*(C2920&lt;='Resultats - informe'!$E$26),0,(C2920&gt;='Resultats - informe'!$D$27)*(C2920&lt;='Resultats - informe'!$E$27),0,(C2920&gt;='Resultats - informe'!$D$28)*(C2920&lt;='Resultats - informe'!$E$28),0,(C2920&gt;='Resultats - informe'!$D$29)*(C2920&lt;='Resultats - informe'!$E$29),0,1,1)</f>
        <v>0</v>
      </c>
      <c r="N2920" s="366">
        <f>+VLOOKUP(D2920,'Resultats - informe'!$Y$18:$AG$42,'Introducció dades consum'!K2920+1,0)</f>
        <v>0</v>
      </c>
      <c r="O2920" s="370" cm="1">
        <f t="array" ref="O2920">+_xlfn.SWITCH(MONTH(C2920),1,1,2,1,3,1,4,2,5,2,6,3,7,3,8,3,9,3,10,2,11,2,12,1,2)</f>
        <v>1</v>
      </c>
      <c r="P2920" s="43"/>
    </row>
    <row r="2921" spans="1:16" ht="18" x14ac:dyDescent="0.35">
      <c r="A2921" s="43"/>
      <c r="C2921" s="393"/>
      <c r="E2921" s="394"/>
      <c r="F2921" s="394">
        <v>2.72</v>
      </c>
      <c r="G2921" s="394"/>
      <c r="H2921" s="8" t="s">
        <v>235</v>
      </c>
      <c r="I2921" s="368">
        <f t="shared" si="136"/>
        <v>0</v>
      </c>
      <c r="J2921" s="365">
        <f t="shared" si="135"/>
        <v>0</v>
      </c>
      <c r="K2921" s="369">
        <f t="shared" si="137"/>
        <v>6</v>
      </c>
      <c r="L2921" s="369">
        <f>+IF((C2921&gt;='Resultats - informe'!$E$16)*(C2921&lt;='Resultats - informe'!$G$16),1,0)</f>
        <v>1</v>
      </c>
      <c r="M2921" s="369" cm="1">
        <f t="array" ref="M2921">+_xlfn.IFS((C2921&gt;='Resultats - informe'!$D$26)*(C2921&lt;='Resultats - informe'!$E$26),0,(C2921&gt;='Resultats - informe'!$D$27)*(C2921&lt;='Resultats - informe'!$E$27),0,(C2921&gt;='Resultats - informe'!$D$28)*(C2921&lt;='Resultats - informe'!$E$28),0,(C2921&gt;='Resultats - informe'!$D$29)*(C2921&lt;='Resultats - informe'!$E$29),0,1,1)</f>
        <v>0</v>
      </c>
      <c r="N2921" s="366">
        <f>+VLOOKUP(D2921,'Resultats - informe'!$Y$18:$AG$42,'Introducció dades consum'!K2921+1,0)</f>
        <v>0</v>
      </c>
      <c r="O2921" s="370" cm="1">
        <f t="array" ref="O2921">+_xlfn.SWITCH(MONTH(C2921),1,1,2,1,3,1,4,2,5,2,6,3,7,3,8,3,9,3,10,2,11,2,12,1,2)</f>
        <v>1</v>
      </c>
      <c r="P2921" s="43"/>
    </row>
    <row r="2922" spans="1:16" ht="18" x14ac:dyDescent="0.35">
      <c r="A2922" s="43"/>
      <c r="C2922" s="393"/>
      <c r="E2922" s="394"/>
      <c r="F2922" s="394">
        <v>1.3260000000000001</v>
      </c>
      <c r="G2922" s="394"/>
      <c r="H2922" s="8" t="s">
        <v>235</v>
      </c>
      <c r="I2922" s="368">
        <f t="shared" si="136"/>
        <v>0</v>
      </c>
      <c r="J2922" s="365">
        <f t="shared" si="135"/>
        <v>0</v>
      </c>
      <c r="K2922" s="369">
        <f t="shared" si="137"/>
        <v>6</v>
      </c>
      <c r="L2922" s="369">
        <f>+IF((C2922&gt;='Resultats - informe'!$E$16)*(C2922&lt;='Resultats - informe'!$G$16),1,0)</f>
        <v>1</v>
      </c>
      <c r="M2922" s="369" cm="1">
        <f t="array" ref="M2922">+_xlfn.IFS((C2922&gt;='Resultats - informe'!$D$26)*(C2922&lt;='Resultats - informe'!$E$26),0,(C2922&gt;='Resultats - informe'!$D$27)*(C2922&lt;='Resultats - informe'!$E$27),0,(C2922&gt;='Resultats - informe'!$D$28)*(C2922&lt;='Resultats - informe'!$E$28),0,(C2922&gt;='Resultats - informe'!$D$29)*(C2922&lt;='Resultats - informe'!$E$29),0,1,1)</f>
        <v>0</v>
      </c>
      <c r="N2922" s="366">
        <f>+VLOOKUP(D2922,'Resultats - informe'!$Y$18:$AG$42,'Introducció dades consum'!K2922+1,0)</f>
        <v>0</v>
      </c>
      <c r="O2922" s="370" cm="1">
        <f t="array" ref="O2922">+_xlfn.SWITCH(MONTH(C2922),1,1,2,1,3,1,4,2,5,2,6,3,7,3,8,3,9,3,10,2,11,2,12,1,2)</f>
        <v>1</v>
      </c>
      <c r="P2922" s="43"/>
    </row>
    <row r="2923" spans="1:16" ht="18" x14ac:dyDescent="0.35">
      <c r="A2923" s="43"/>
      <c r="C2923" s="393"/>
      <c r="E2923" s="394"/>
      <c r="F2923" s="394">
        <v>2.3050000000000002</v>
      </c>
      <c r="G2923" s="394"/>
      <c r="H2923" s="8" t="s">
        <v>235</v>
      </c>
      <c r="I2923" s="368">
        <f t="shared" si="136"/>
        <v>0</v>
      </c>
      <c r="J2923" s="365">
        <f t="shared" si="135"/>
        <v>0</v>
      </c>
      <c r="K2923" s="369">
        <f t="shared" si="137"/>
        <v>6</v>
      </c>
      <c r="L2923" s="369">
        <f>+IF((C2923&gt;='Resultats - informe'!$E$16)*(C2923&lt;='Resultats - informe'!$G$16),1,0)</f>
        <v>1</v>
      </c>
      <c r="M2923" s="369" cm="1">
        <f t="array" ref="M2923">+_xlfn.IFS((C2923&gt;='Resultats - informe'!$D$26)*(C2923&lt;='Resultats - informe'!$E$26),0,(C2923&gt;='Resultats - informe'!$D$27)*(C2923&lt;='Resultats - informe'!$E$27),0,(C2923&gt;='Resultats - informe'!$D$28)*(C2923&lt;='Resultats - informe'!$E$28),0,(C2923&gt;='Resultats - informe'!$D$29)*(C2923&lt;='Resultats - informe'!$E$29),0,1,1)</f>
        <v>0</v>
      </c>
      <c r="N2923" s="366">
        <f>+VLOOKUP(D2923,'Resultats - informe'!$Y$18:$AG$42,'Introducció dades consum'!K2923+1,0)</f>
        <v>0</v>
      </c>
      <c r="O2923" s="370" cm="1">
        <f t="array" ref="O2923">+_xlfn.SWITCH(MONTH(C2923),1,1,2,1,3,1,4,2,5,2,6,3,7,3,8,3,9,3,10,2,11,2,12,1,2)</f>
        <v>1</v>
      </c>
      <c r="P2923" s="43"/>
    </row>
    <row r="2924" spans="1:16" ht="18" x14ac:dyDescent="0.35">
      <c r="A2924" s="43"/>
      <c r="C2924" s="393"/>
      <c r="E2924" s="394"/>
      <c r="F2924" s="394">
        <v>0.78400000000000003</v>
      </c>
      <c r="G2924" s="394"/>
      <c r="H2924" s="8" t="s">
        <v>61</v>
      </c>
      <c r="I2924" s="368">
        <f t="shared" si="136"/>
        <v>0</v>
      </c>
      <c r="J2924" s="365">
        <f t="shared" si="135"/>
        <v>0</v>
      </c>
      <c r="K2924" s="369">
        <f t="shared" si="137"/>
        <v>6</v>
      </c>
      <c r="L2924" s="369">
        <f>+IF((C2924&gt;='Resultats - informe'!$E$16)*(C2924&lt;='Resultats - informe'!$G$16),1,0)</f>
        <v>1</v>
      </c>
      <c r="M2924" s="369" cm="1">
        <f t="array" ref="M2924">+_xlfn.IFS((C2924&gt;='Resultats - informe'!$D$26)*(C2924&lt;='Resultats - informe'!$E$26),0,(C2924&gt;='Resultats - informe'!$D$27)*(C2924&lt;='Resultats - informe'!$E$27),0,(C2924&gt;='Resultats - informe'!$D$28)*(C2924&lt;='Resultats - informe'!$E$28),0,(C2924&gt;='Resultats - informe'!$D$29)*(C2924&lt;='Resultats - informe'!$E$29),0,1,1)</f>
        <v>0</v>
      </c>
      <c r="N2924" s="366">
        <f>+VLOOKUP(D2924,'Resultats - informe'!$Y$18:$AG$42,'Introducció dades consum'!K2924+1,0)</f>
        <v>0</v>
      </c>
      <c r="O2924" s="370" cm="1">
        <f t="array" ref="O2924">+_xlfn.SWITCH(MONTH(C2924),1,1,2,1,3,1,4,2,5,2,6,3,7,3,8,3,9,3,10,2,11,2,12,1,2)</f>
        <v>1</v>
      </c>
      <c r="P2924" s="43"/>
    </row>
    <row r="2925" spans="1:16" ht="18" x14ac:dyDescent="0.35">
      <c r="A2925" s="43"/>
      <c r="C2925" s="393"/>
      <c r="E2925" s="394"/>
      <c r="F2925" s="394">
        <v>0.372</v>
      </c>
      <c r="G2925" s="394"/>
      <c r="H2925" s="8" t="s">
        <v>61</v>
      </c>
      <c r="I2925" s="368">
        <f t="shared" si="136"/>
        <v>0</v>
      </c>
      <c r="J2925" s="365">
        <f t="shared" si="135"/>
        <v>0</v>
      </c>
      <c r="K2925" s="369">
        <f t="shared" si="137"/>
        <v>6</v>
      </c>
      <c r="L2925" s="369">
        <f>+IF((C2925&gt;='Resultats - informe'!$E$16)*(C2925&lt;='Resultats - informe'!$G$16),1,0)</f>
        <v>1</v>
      </c>
      <c r="M2925" s="369" cm="1">
        <f t="array" ref="M2925">+_xlfn.IFS((C2925&gt;='Resultats - informe'!$D$26)*(C2925&lt;='Resultats - informe'!$E$26),0,(C2925&gt;='Resultats - informe'!$D$27)*(C2925&lt;='Resultats - informe'!$E$27),0,(C2925&gt;='Resultats - informe'!$D$28)*(C2925&lt;='Resultats - informe'!$E$28),0,(C2925&gt;='Resultats - informe'!$D$29)*(C2925&lt;='Resultats - informe'!$E$29),0,1,1)</f>
        <v>0</v>
      </c>
      <c r="N2925" s="366">
        <f>+VLOOKUP(D2925,'Resultats - informe'!$Y$18:$AG$42,'Introducció dades consum'!K2925+1,0)</f>
        <v>0</v>
      </c>
      <c r="O2925" s="370" cm="1">
        <f t="array" ref="O2925">+_xlfn.SWITCH(MONTH(C2925),1,1,2,1,3,1,4,2,5,2,6,3,7,3,8,3,9,3,10,2,11,2,12,1,2)</f>
        <v>1</v>
      </c>
      <c r="P2925" s="43"/>
    </row>
    <row r="2926" spans="1:16" ht="18" x14ac:dyDescent="0.35">
      <c r="A2926" s="43"/>
      <c r="C2926" s="393"/>
      <c r="E2926" s="394"/>
      <c r="F2926" s="394">
        <v>0</v>
      </c>
      <c r="G2926" s="394"/>
      <c r="H2926" s="8" t="s">
        <v>61</v>
      </c>
      <c r="I2926" s="368">
        <f t="shared" si="136"/>
        <v>0</v>
      </c>
      <c r="J2926" s="365">
        <f t="shared" si="135"/>
        <v>0</v>
      </c>
      <c r="K2926" s="369">
        <f t="shared" si="137"/>
        <v>6</v>
      </c>
      <c r="L2926" s="369">
        <f>+IF((C2926&gt;='Resultats - informe'!$E$16)*(C2926&lt;='Resultats - informe'!$G$16),1,0)</f>
        <v>1</v>
      </c>
      <c r="M2926" s="369" cm="1">
        <f t="array" ref="M2926">+_xlfn.IFS((C2926&gt;='Resultats - informe'!$D$26)*(C2926&lt;='Resultats - informe'!$E$26),0,(C2926&gt;='Resultats - informe'!$D$27)*(C2926&lt;='Resultats - informe'!$E$27),0,(C2926&gt;='Resultats - informe'!$D$28)*(C2926&lt;='Resultats - informe'!$E$28),0,(C2926&gt;='Resultats - informe'!$D$29)*(C2926&lt;='Resultats - informe'!$E$29),0,1,1)</f>
        <v>0</v>
      </c>
      <c r="N2926" s="366">
        <f>+VLOOKUP(D2926,'Resultats - informe'!$Y$18:$AG$42,'Introducció dades consum'!K2926+1,0)</f>
        <v>0</v>
      </c>
      <c r="O2926" s="370" cm="1">
        <f t="array" ref="O2926">+_xlfn.SWITCH(MONTH(C2926),1,1,2,1,3,1,4,2,5,2,6,3,7,3,8,3,9,3,10,2,11,2,12,1,2)</f>
        <v>1</v>
      </c>
      <c r="P2926" s="43"/>
    </row>
    <row r="2927" spans="1:16" ht="18" x14ac:dyDescent="0.35">
      <c r="A2927" s="43"/>
      <c r="C2927" s="393"/>
      <c r="E2927" s="394"/>
      <c r="F2927" s="394">
        <v>0</v>
      </c>
      <c r="G2927" s="394"/>
      <c r="H2927" s="8" t="s">
        <v>235</v>
      </c>
      <c r="I2927" s="368">
        <f t="shared" si="136"/>
        <v>0</v>
      </c>
      <c r="J2927" s="365">
        <f t="shared" si="135"/>
        <v>0</v>
      </c>
      <c r="K2927" s="369">
        <f t="shared" si="137"/>
        <v>6</v>
      </c>
      <c r="L2927" s="369">
        <f>+IF((C2927&gt;='Resultats - informe'!$E$16)*(C2927&lt;='Resultats - informe'!$G$16),1,0)</f>
        <v>1</v>
      </c>
      <c r="M2927" s="369" cm="1">
        <f t="array" ref="M2927">+_xlfn.IFS((C2927&gt;='Resultats - informe'!$D$26)*(C2927&lt;='Resultats - informe'!$E$26),0,(C2927&gt;='Resultats - informe'!$D$27)*(C2927&lt;='Resultats - informe'!$E$27),0,(C2927&gt;='Resultats - informe'!$D$28)*(C2927&lt;='Resultats - informe'!$E$28),0,(C2927&gt;='Resultats - informe'!$D$29)*(C2927&lt;='Resultats - informe'!$E$29),0,1,1)</f>
        <v>0</v>
      </c>
      <c r="N2927" s="366">
        <f>+VLOOKUP(D2927,'Resultats - informe'!$Y$18:$AG$42,'Introducció dades consum'!K2927+1,0)</f>
        <v>0</v>
      </c>
      <c r="O2927" s="370" cm="1">
        <f t="array" ref="O2927">+_xlfn.SWITCH(MONTH(C2927),1,1,2,1,3,1,4,2,5,2,6,3,7,3,8,3,9,3,10,2,11,2,12,1,2)</f>
        <v>1</v>
      </c>
      <c r="P2927" s="43"/>
    </row>
    <row r="2928" spans="1:16" ht="18" x14ac:dyDescent="0.35">
      <c r="A2928" s="43"/>
      <c r="C2928" s="393"/>
      <c r="E2928" s="394"/>
      <c r="F2928" s="394">
        <v>0</v>
      </c>
      <c r="G2928" s="394"/>
      <c r="H2928" s="8" t="s">
        <v>235</v>
      </c>
      <c r="I2928" s="368">
        <f t="shared" si="136"/>
        <v>0</v>
      </c>
      <c r="J2928" s="365">
        <f t="shared" si="135"/>
        <v>0</v>
      </c>
      <c r="K2928" s="369">
        <f t="shared" si="137"/>
        <v>6</v>
      </c>
      <c r="L2928" s="369">
        <f>+IF((C2928&gt;='Resultats - informe'!$E$16)*(C2928&lt;='Resultats - informe'!$G$16),1,0)</f>
        <v>1</v>
      </c>
      <c r="M2928" s="369" cm="1">
        <f t="array" ref="M2928">+_xlfn.IFS((C2928&gt;='Resultats - informe'!$D$26)*(C2928&lt;='Resultats - informe'!$E$26),0,(C2928&gt;='Resultats - informe'!$D$27)*(C2928&lt;='Resultats - informe'!$E$27),0,(C2928&gt;='Resultats - informe'!$D$28)*(C2928&lt;='Resultats - informe'!$E$28),0,(C2928&gt;='Resultats - informe'!$D$29)*(C2928&lt;='Resultats - informe'!$E$29),0,1,1)</f>
        <v>0</v>
      </c>
      <c r="N2928" s="366">
        <f>+VLOOKUP(D2928,'Resultats - informe'!$Y$18:$AG$42,'Introducció dades consum'!K2928+1,0)</f>
        <v>0</v>
      </c>
      <c r="O2928" s="370" cm="1">
        <f t="array" ref="O2928">+_xlfn.SWITCH(MONTH(C2928),1,1,2,1,3,1,4,2,5,2,6,3,7,3,8,3,9,3,10,2,11,2,12,1,2)</f>
        <v>1</v>
      </c>
      <c r="P2928" s="43"/>
    </row>
    <row r="2929" spans="1:16" ht="18" x14ac:dyDescent="0.35">
      <c r="A2929" s="43"/>
      <c r="C2929" s="393"/>
      <c r="E2929" s="394"/>
      <c r="F2929" s="394">
        <v>0</v>
      </c>
      <c r="G2929" s="394"/>
      <c r="H2929" s="8" t="s">
        <v>235</v>
      </c>
      <c r="I2929" s="368">
        <f t="shared" si="136"/>
        <v>0</v>
      </c>
      <c r="J2929" s="365">
        <f t="shared" si="135"/>
        <v>0</v>
      </c>
      <c r="K2929" s="369">
        <f t="shared" si="137"/>
        <v>6</v>
      </c>
      <c r="L2929" s="369">
        <f>+IF((C2929&gt;='Resultats - informe'!$E$16)*(C2929&lt;='Resultats - informe'!$G$16),1,0)</f>
        <v>1</v>
      </c>
      <c r="M2929" s="369" cm="1">
        <f t="array" ref="M2929">+_xlfn.IFS((C2929&gt;='Resultats - informe'!$D$26)*(C2929&lt;='Resultats - informe'!$E$26),0,(C2929&gt;='Resultats - informe'!$D$27)*(C2929&lt;='Resultats - informe'!$E$27),0,(C2929&gt;='Resultats - informe'!$D$28)*(C2929&lt;='Resultats - informe'!$E$28),0,(C2929&gt;='Resultats - informe'!$D$29)*(C2929&lt;='Resultats - informe'!$E$29),0,1,1)</f>
        <v>0</v>
      </c>
      <c r="N2929" s="366">
        <f>+VLOOKUP(D2929,'Resultats - informe'!$Y$18:$AG$42,'Introducció dades consum'!K2929+1,0)</f>
        <v>0</v>
      </c>
      <c r="O2929" s="370" cm="1">
        <f t="array" ref="O2929">+_xlfn.SWITCH(MONTH(C2929),1,1,2,1,3,1,4,2,5,2,6,3,7,3,8,3,9,3,10,2,11,2,12,1,2)</f>
        <v>1</v>
      </c>
      <c r="P2929" s="43"/>
    </row>
    <row r="2930" spans="1:16" ht="18" x14ac:dyDescent="0.35">
      <c r="A2930" s="43"/>
      <c r="C2930" s="393"/>
      <c r="E2930" s="394"/>
      <c r="F2930" s="394">
        <v>0</v>
      </c>
      <c r="G2930" s="394"/>
      <c r="H2930" s="8" t="s">
        <v>61</v>
      </c>
      <c r="I2930" s="368">
        <f t="shared" si="136"/>
        <v>0</v>
      </c>
      <c r="J2930" s="365">
        <f t="shared" si="135"/>
        <v>0</v>
      </c>
      <c r="K2930" s="369">
        <f t="shared" si="137"/>
        <v>6</v>
      </c>
      <c r="L2930" s="369">
        <f>+IF((C2930&gt;='Resultats - informe'!$E$16)*(C2930&lt;='Resultats - informe'!$G$16),1,0)</f>
        <v>1</v>
      </c>
      <c r="M2930" s="369" cm="1">
        <f t="array" ref="M2930">+_xlfn.IFS((C2930&gt;='Resultats - informe'!$D$26)*(C2930&lt;='Resultats - informe'!$E$26),0,(C2930&gt;='Resultats - informe'!$D$27)*(C2930&lt;='Resultats - informe'!$E$27),0,(C2930&gt;='Resultats - informe'!$D$28)*(C2930&lt;='Resultats - informe'!$E$28),0,(C2930&gt;='Resultats - informe'!$D$29)*(C2930&lt;='Resultats - informe'!$E$29),0,1,1)</f>
        <v>0</v>
      </c>
      <c r="N2930" s="366">
        <f>+VLOOKUP(D2930,'Resultats - informe'!$Y$18:$AG$42,'Introducció dades consum'!K2930+1,0)</f>
        <v>0</v>
      </c>
      <c r="O2930" s="370" cm="1">
        <f t="array" ref="O2930">+_xlfn.SWITCH(MONTH(C2930),1,1,2,1,3,1,4,2,5,2,6,3,7,3,8,3,9,3,10,2,11,2,12,1,2)</f>
        <v>1</v>
      </c>
      <c r="P2930" s="43"/>
    </row>
    <row r="2931" spans="1:16" ht="18" x14ac:dyDescent="0.35">
      <c r="A2931" s="43"/>
      <c r="C2931" s="393"/>
      <c r="E2931" s="394"/>
      <c r="F2931" s="394">
        <v>0</v>
      </c>
      <c r="G2931" s="394"/>
      <c r="H2931" s="8" t="s">
        <v>61</v>
      </c>
      <c r="I2931" s="368">
        <f t="shared" si="136"/>
        <v>0</v>
      </c>
      <c r="J2931" s="365">
        <f t="shared" si="135"/>
        <v>0</v>
      </c>
      <c r="K2931" s="369">
        <f t="shared" si="137"/>
        <v>6</v>
      </c>
      <c r="L2931" s="369">
        <f>+IF((C2931&gt;='Resultats - informe'!$E$16)*(C2931&lt;='Resultats - informe'!$G$16),1,0)</f>
        <v>1</v>
      </c>
      <c r="M2931" s="369" cm="1">
        <f t="array" ref="M2931">+_xlfn.IFS((C2931&gt;='Resultats - informe'!$D$26)*(C2931&lt;='Resultats - informe'!$E$26),0,(C2931&gt;='Resultats - informe'!$D$27)*(C2931&lt;='Resultats - informe'!$E$27),0,(C2931&gt;='Resultats - informe'!$D$28)*(C2931&lt;='Resultats - informe'!$E$28),0,(C2931&gt;='Resultats - informe'!$D$29)*(C2931&lt;='Resultats - informe'!$E$29),0,1,1)</f>
        <v>0</v>
      </c>
      <c r="N2931" s="366">
        <f>+VLOOKUP(D2931,'Resultats - informe'!$Y$18:$AG$42,'Introducció dades consum'!K2931+1,0)</f>
        <v>0</v>
      </c>
      <c r="O2931" s="370" cm="1">
        <f t="array" ref="O2931">+_xlfn.SWITCH(MONTH(C2931),1,1,2,1,3,1,4,2,5,2,6,3,7,3,8,3,9,3,10,2,11,2,12,1,2)</f>
        <v>1</v>
      </c>
      <c r="P2931" s="43"/>
    </row>
    <row r="2932" spans="1:16" ht="18" x14ac:dyDescent="0.35">
      <c r="A2932" s="43"/>
      <c r="C2932" s="393"/>
      <c r="E2932" s="394"/>
      <c r="F2932" s="394">
        <v>0</v>
      </c>
      <c r="G2932" s="394"/>
      <c r="H2932" s="8" t="s">
        <v>235</v>
      </c>
      <c r="I2932" s="368">
        <f t="shared" si="136"/>
        <v>0</v>
      </c>
      <c r="J2932" s="365">
        <f t="shared" si="135"/>
        <v>0</v>
      </c>
      <c r="K2932" s="369">
        <f t="shared" si="137"/>
        <v>6</v>
      </c>
      <c r="L2932" s="369">
        <f>+IF((C2932&gt;='Resultats - informe'!$E$16)*(C2932&lt;='Resultats - informe'!$G$16),1,0)</f>
        <v>1</v>
      </c>
      <c r="M2932" s="369" cm="1">
        <f t="array" ref="M2932">+_xlfn.IFS((C2932&gt;='Resultats - informe'!$D$26)*(C2932&lt;='Resultats - informe'!$E$26),0,(C2932&gt;='Resultats - informe'!$D$27)*(C2932&lt;='Resultats - informe'!$E$27),0,(C2932&gt;='Resultats - informe'!$D$28)*(C2932&lt;='Resultats - informe'!$E$28),0,(C2932&gt;='Resultats - informe'!$D$29)*(C2932&lt;='Resultats - informe'!$E$29),0,1,1)</f>
        <v>0</v>
      </c>
      <c r="N2932" s="366">
        <f>+VLOOKUP(D2932,'Resultats - informe'!$Y$18:$AG$42,'Introducció dades consum'!K2932+1,0)</f>
        <v>0</v>
      </c>
      <c r="O2932" s="370" cm="1">
        <f t="array" ref="O2932">+_xlfn.SWITCH(MONTH(C2932),1,1,2,1,3,1,4,2,5,2,6,3,7,3,8,3,9,3,10,2,11,2,12,1,2)</f>
        <v>1</v>
      </c>
      <c r="P2932" s="43"/>
    </row>
    <row r="2933" spans="1:16" ht="18" x14ac:dyDescent="0.35">
      <c r="A2933" s="43"/>
      <c r="C2933" s="393"/>
      <c r="E2933" s="394"/>
      <c r="F2933" s="394">
        <v>0</v>
      </c>
      <c r="G2933" s="394"/>
      <c r="H2933" s="8" t="s">
        <v>235</v>
      </c>
      <c r="I2933" s="368">
        <f t="shared" si="136"/>
        <v>0</v>
      </c>
      <c r="J2933" s="365">
        <f t="shared" si="135"/>
        <v>0</v>
      </c>
      <c r="K2933" s="369">
        <f t="shared" si="137"/>
        <v>6</v>
      </c>
      <c r="L2933" s="369">
        <f>+IF((C2933&gt;='Resultats - informe'!$E$16)*(C2933&lt;='Resultats - informe'!$G$16),1,0)</f>
        <v>1</v>
      </c>
      <c r="M2933" s="369" cm="1">
        <f t="array" ref="M2933">+_xlfn.IFS((C2933&gt;='Resultats - informe'!$D$26)*(C2933&lt;='Resultats - informe'!$E$26),0,(C2933&gt;='Resultats - informe'!$D$27)*(C2933&lt;='Resultats - informe'!$E$27),0,(C2933&gt;='Resultats - informe'!$D$28)*(C2933&lt;='Resultats - informe'!$E$28),0,(C2933&gt;='Resultats - informe'!$D$29)*(C2933&lt;='Resultats - informe'!$E$29),0,1,1)</f>
        <v>0</v>
      </c>
      <c r="N2933" s="366">
        <f>+VLOOKUP(D2933,'Resultats - informe'!$Y$18:$AG$42,'Introducció dades consum'!K2933+1,0)</f>
        <v>0</v>
      </c>
      <c r="O2933" s="370" cm="1">
        <f t="array" ref="O2933">+_xlfn.SWITCH(MONTH(C2933),1,1,2,1,3,1,4,2,5,2,6,3,7,3,8,3,9,3,10,2,11,2,12,1,2)</f>
        <v>1</v>
      </c>
      <c r="P2933" s="43"/>
    </row>
    <row r="2934" spans="1:16" ht="18" x14ac:dyDescent="0.35">
      <c r="A2934" s="43"/>
      <c r="C2934" s="393"/>
      <c r="E2934" s="394"/>
      <c r="F2934" s="394">
        <v>0</v>
      </c>
      <c r="G2934" s="394"/>
      <c r="H2934" s="8" t="s">
        <v>235</v>
      </c>
      <c r="I2934" s="368">
        <f t="shared" si="136"/>
        <v>0</v>
      </c>
      <c r="J2934" s="365">
        <f t="shared" si="135"/>
        <v>0</v>
      </c>
      <c r="K2934" s="369">
        <f t="shared" si="137"/>
        <v>6</v>
      </c>
      <c r="L2934" s="369">
        <f>+IF((C2934&gt;='Resultats - informe'!$E$16)*(C2934&lt;='Resultats - informe'!$G$16),1,0)</f>
        <v>1</v>
      </c>
      <c r="M2934" s="369" cm="1">
        <f t="array" ref="M2934">+_xlfn.IFS((C2934&gt;='Resultats - informe'!$D$26)*(C2934&lt;='Resultats - informe'!$E$26),0,(C2934&gt;='Resultats - informe'!$D$27)*(C2934&lt;='Resultats - informe'!$E$27),0,(C2934&gt;='Resultats - informe'!$D$28)*(C2934&lt;='Resultats - informe'!$E$28),0,(C2934&gt;='Resultats - informe'!$D$29)*(C2934&lt;='Resultats - informe'!$E$29),0,1,1)</f>
        <v>0</v>
      </c>
      <c r="N2934" s="366">
        <f>+VLOOKUP(D2934,'Resultats - informe'!$Y$18:$AG$42,'Introducció dades consum'!K2934+1,0)</f>
        <v>0</v>
      </c>
      <c r="O2934" s="370" cm="1">
        <f t="array" ref="O2934">+_xlfn.SWITCH(MONTH(C2934),1,1,2,1,3,1,4,2,5,2,6,3,7,3,8,3,9,3,10,2,11,2,12,1,2)</f>
        <v>1</v>
      </c>
      <c r="P2934" s="43"/>
    </row>
    <row r="2935" spans="1:16" ht="18" x14ac:dyDescent="0.35">
      <c r="A2935" s="43"/>
      <c r="C2935" s="393"/>
      <c r="E2935" s="394"/>
      <c r="F2935" s="394">
        <v>0</v>
      </c>
      <c r="G2935" s="394"/>
      <c r="H2935" s="8" t="s">
        <v>235</v>
      </c>
      <c r="I2935" s="368">
        <f t="shared" si="136"/>
        <v>0</v>
      </c>
      <c r="J2935" s="365">
        <f t="shared" si="135"/>
        <v>0</v>
      </c>
      <c r="K2935" s="369">
        <f t="shared" si="137"/>
        <v>6</v>
      </c>
      <c r="L2935" s="369">
        <f>+IF((C2935&gt;='Resultats - informe'!$E$16)*(C2935&lt;='Resultats - informe'!$G$16),1,0)</f>
        <v>1</v>
      </c>
      <c r="M2935" s="369" cm="1">
        <f t="array" ref="M2935">+_xlfn.IFS((C2935&gt;='Resultats - informe'!$D$26)*(C2935&lt;='Resultats - informe'!$E$26),0,(C2935&gt;='Resultats - informe'!$D$27)*(C2935&lt;='Resultats - informe'!$E$27),0,(C2935&gt;='Resultats - informe'!$D$28)*(C2935&lt;='Resultats - informe'!$E$28),0,(C2935&gt;='Resultats - informe'!$D$29)*(C2935&lt;='Resultats - informe'!$E$29),0,1,1)</f>
        <v>0</v>
      </c>
      <c r="N2935" s="366">
        <f>+VLOOKUP(D2935,'Resultats - informe'!$Y$18:$AG$42,'Introducció dades consum'!K2935+1,0)</f>
        <v>0</v>
      </c>
      <c r="O2935" s="370" cm="1">
        <f t="array" ref="O2935">+_xlfn.SWITCH(MONTH(C2935),1,1,2,1,3,1,4,2,5,2,6,3,7,3,8,3,9,3,10,2,11,2,12,1,2)</f>
        <v>1</v>
      </c>
      <c r="P2935" s="43"/>
    </row>
    <row r="2936" spans="1:16" ht="18" x14ac:dyDescent="0.35">
      <c r="A2936" s="43"/>
      <c r="C2936" s="393"/>
      <c r="E2936" s="394"/>
      <c r="F2936" s="394">
        <v>0</v>
      </c>
      <c r="G2936" s="394"/>
      <c r="H2936" s="8" t="s">
        <v>235</v>
      </c>
      <c r="I2936" s="368">
        <f t="shared" si="136"/>
        <v>0</v>
      </c>
      <c r="J2936" s="365">
        <f t="shared" si="135"/>
        <v>0</v>
      </c>
      <c r="K2936" s="369">
        <f t="shared" si="137"/>
        <v>6</v>
      </c>
      <c r="L2936" s="369">
        <f>+IF((C2936&gt;='Resultats - informe'!$E$16)*(C2936&lt;='Resultats - informe'!$G$16),1,0)</f>
        <v>1</v>
      </c>
      <c r="M2936" s="369" cm="1">
        <f t="array" ref="M2936">+_xlfn.IFS((C2936&gt;='Resultats - informe'!$D$26)*(C2936&lt;='Resultats - informe'!$E$26),0,(C2936&gt;='Resultats - informe'!$D$27)*(C2936&lt;='Resultats - informe'!$E$27),0,(C2936&gt;='Resultats - informe'!$D$28)*(C2936&lt;='Resultats - informe'!$E$28),0,(C2936&gt;='Resultats - informe'!$D$29)*(C2936&lt;='Resultats - informe'!$E$29),0,1,1)</f>
        <v>0</v>
      </c>
      <c r="N2936" s="366">
        <f>+VLOOKUP(D2936,'Resultats - informe'!$Y$18:$AG$42,'Introducció dades consum'!K2936+1,0)</f>
        <v>0</v>
      </c>
      <c r="O2936" s="370" cm="1">
        <f t="array" ref="O2936">+_xlfn.SWITCH(MONTH(C2936),1,1,2,1,3,1,4,2,5,2,6,3,7,3,8,3,9,3,10,2,11,2,12,1,2)</f>
        <v>1</v>
      </c>
      <c r="P2936" s="43"/>
    </row>
    <row r="2937" spans="1:16" ht="18" x14ac:dyDescent="0.35">
      <c r="A2937" s="43"/>
      <c r="C2937" s="393"/>
      <c r="E2937" s="394"/>
      <c r="F2937" s="394">
        <v>0.245</v>
      </c>
      <c r="G2937" s="394"/>
      <c r="H2937" s="8" t="s">
        <v>235</v>
      </c>
      <c r="I2937" s="368">
        <f t="shared" si="136"/>
        <v>0</v>
      </c>
      <c r="J2937" s="365">
        <f t="shared" si="135"/>
        <v>0</v>
      </c>
      <c r="K2937" s="369">
        <f t="shared" si="137"/>
        <v>6</v>
      </c>
      <c r="L2937" s="369">
        <f>+IF((C2937&gt;='Resultats - informe'!$E$16)*(C2937&lt;='Resultats - informe'!$G$16),1,0)</f>
        <v>1</v>
      </c>
      <c r="M2937" s="369" cm="1">
        <f t="array" ref="M2937">+_xlfn.IFS((C2937&gt;='Resultats - informe'!$D$26)*(C2937&lt;='Resultats - informe'!$E$26),0,(C2937&gt;='Resultats - informe'!$D$27)*(C2937&lt;='Resultats - informe'!$E$27),0,(C2937&gt;='Resultats - informe'!$D$28)*(C2937&lt;='Resultats - informe'!$E$28),0,(C2937&gt;='Resultats - informe'!$D$29)*(C2937&lt;='Resultats - informe'!$E$29),0,1,1)</f>
        <v>0</v>
      </c>
      <c r="N2937" s="366">
        <f>+VLOOKUP(D2937,'Resultats - informe'!$Y$18:$AG$42,'Introducció dades consum'!K2937+1,0)</f>
        <v>0</v>
      </c>
      <c r="O2937" s="370" cm="1">
        <f t="array" ref="O2937">+_xlfn.SWITCH(MONTH(C2937),1,1,2,1,3,1,4,2,5,2,6,3,7,3,8,3,9,3,10,2,11,2,12,1,2)</f>
        <v>1</v>
      </c>
      <c r="P2937" s="43"/>
    </row>
    <row r="2938" spans="1:16" ht="18" x14ac:dyDescent="0.35">
      <c r="A2938" s="43"/>
      <c r="C2938" s="393"/>
      <c r="E2938" s="394"/>
      <c r="F2938" s="394">
        <v>1.044</v>
      </c>
      <c r="G2938" s="394"/>
      <c r="H2938" s="8" t="s">
        <v>235</v>
      </c>
      <c r="I2938" s="368">
        <f t="shared" si="136"/>
        <v>0</v>
      </c>
      <c r="J2938" s="365">
        <f t="shared" si="135"/>
        <v>0</v>
      </c>
      <c r="K2938" s="369">
        <f t="shared" si="137"/>
        <v>6</v>
      </c>
      <c r="L2938" s="369">
        <f>+IF((C2938&gt;='Resultats - informe'!$E$16)*(C2938&lt;='Resultats - informe'!$G$16),1,0)</f>
        <v>1</v>
      </c>
      <c r="M2938" s="369" cm="1">
        <f t="array" ref="M2938">+_xlfn.IFS((C2938&gt;='Resultats - informe'!$D$26)*(C2938&lt;='Resultats - informe'!$E$26),0,(C2938&gt;='Resultats - informe'!$D$27)*(C2938&lt;='Resultats - informe'!$E$27),0,(C2938&gt;='Resultats - informe'!$D$28)*(C2938&lt;='Resultats - informe'!$E$28),0,(C2938&gt;='Resultats - informe'!$D$29)*(C2938&lt;='Resultats - informe'!$E$29),0,1,1)</f>
        <v>0</v>
      </c>
      <c r="N2938" s="366">
        <f>+VLOOKUP(D2938,'Resultats - informe'!$Y$18:$AG$42,'Introducció dades consum'!K2938+1,0)</f>
        <v>0</v>
      </c>
      <c r="O2938" s="370" cm="1">
        <f t="array" ref="O2938">+_xlfn.SWITCH(MONTH(C2938),1,1,2,1,3,1,4,2,5,2,6,3,7,3,8,3,9,3,10,2,11,2,12,1,2)</f>
        <v>1</v>
      </c>
      <c r="P2938" s="43"/>
    </row>
    <row r="2939" spans="1:16" ht="18" x14ac:dyDescent="0.35">
      <c r="A2939" s="43"/>
      <c r="C2939" s="393"/>
      <c r="E2939" s="394"/>
      <c r="F2939" s="394">
        <v>0</v>
      </c>
      <c r="G2939" s="394"/>
      <c r="H2939" s="8" t="s">
        <v>61</v>
      </c>
      <c r="I2939" s="368">
        <f t="shared" si="136"/>
        <v>0</v>
      </c>
      <c r="J2939" s="365">
        <f t="shared" ref="J2939:J3002" si="138">+C2939</f>
        <v>0</v>
      </c>
      <c r="K2939" s="369">
        <f t="shared" si="137"/>
        <v>6</v>
      </c>
      <c r="L2939" s="369">
        <f>+IF((C2939&gt;='Resultats - informe'!$E$16)*(C2939&lt;='Resultats - informe'!$G$16),1,0)</f>
        <v>1</v>
      </c>
      <c r="M2939" s="369" cm="1">
        <f t="array" ref="M2939">+_xlfn.IFS((C2939&gt;='Resultats - informe'!$D$26)*(C2939&lt;='Resultats - informe'!$E$26),0,(C2939&gt;='Resultats - informe'!$D$27)*(C2939&lt;='Resultats - informe'!$E$27),0,(C2939&gt;='Resultats - informe'!$D$28)*(C2939&lt;='Resultats - informe'!$E$28),0,(C2939&gt;='Resultats - informe'!$D$29)*(C2939&lt;='Resultats - informe'!$E$29),0,1,1)</f>
        <v>0</v>
      </c>
      <c r="N2939" s="366">
        <f>+VLOOKUP(D2939,'Resultats - informe'!$Y$18:$AG$42,'Introducció dades consum'!K2939+1,0)</f>
        <v>0</v>
      </c>
      <c r="O2939" s="370" cm="1">
        <f t="array" ref="O2939">+_xlfn.SWITCH(MONTH(C2939),1,1,2,1,3,1,4,2,5,2,6,3,7,3,8,3,9,3,10,2,11,2,12,1,2)</f>
        <v>1</v>
      </c>
      <c r="P2939" s="43"/>
    </row>
    <row r="2940" spans="1:16" ht="18" x14ac:dyDescent="0.35">
      <c r="A2940" s="43"/>
      <c r="C2940" s="393"/>
      <c r="E2940" s="394"/>
      <c r="F2940" s="394">
        <v>0.60199999999999998</v>
      </c>
      <c r="G2940" s="394"/>
      <c r="H2940" s="8" t="s">
        <v>61</v>
      </c>
      <c r="I2940" s="368">
        <f t="shared" si="136"/>
        <v>0</v>
      </c>
      <c r="J2940" s="365">
        <f t="shared" si="138"/>
        <v>0</v>
      </c>
      <c r="K2940" s="369">
        <f t="shared" si="137"/>
        <v>6</v>
      </c>
      <c r="L2940" s="369">
        <f>+IF((C2940&gt;='Resultats - informe'!$E$16)*(C2940&lt;='Resultats - informe'!$G$16),1,0)</f>
        <v>1</v>
      </c>
      <c r="M2940" s="369" cm="1">
        <f t="array" ref="M2940">+_xlfn.IFS((C2940&gt;='Resultats - informe'!$D$26)*(C2940&lt;='Resultats - informe'!$E$26),0,(C2940&gt;='Resultats - informe'!$D$27)*(C2940&lt;='Resultats - informe'!$E$27),0,(C2940&gt;='Resultats - informe'!$D$28)*(C2940&lt;='Resultats - informe'!$E$28),0,(C2940&gt;='Resultats - informe'!$D$29)*(C2940&lt;='Resultats - informe'!$E$29),0,1,1)</f>
        <v>0</v>
      </c>
      <c r="N2940" s="366">
        <f>+VLOOKUP(D2940,'Resultats - informe'!$Y$18:$AG$42,'Introducció dades consum'!K2940+1,0)</f>
        <v>0</v>
      </c>
      <c r="O2940" s="370" cm="1">
        <f t="array" ref="O2940">+_xlfn.SWITCH(MONTH(C2940),1,1,2,1,3,1,4,2,5,2,6,3,7,3,8,3,9,3,10,2,11,2,12,1,2)</f>
        <v>1</v>
      </c>
      <c r="P2940" s="43"/>
    </row>
    <row r="2941" spans="1:16" ht="18" x14ac:dyDescent="0.35">
      <c r="A2941" s="43"/>
      <c r="C2941" s="393"/>
      <c r="E2941" s="394"/>
      <c r="F2941" s="394">
        <v>2.4169999999999998</v>
      </c>
      <c r="G2941" s="394"/>
      <c r="H2941" s="8" t="s">
        <v>61</v>
      </c>
      <c r="I2941" s="368">
        <f t="shared" si="136"/>
        <v>0</v>
      </c>
      <c r="J2941" s="365">
        <f t="shared" si="138"/>
        <v>0</v>
      </c>
      <c r="K2941" s="369">
        <f t="shared" si="137"/>
        <v>6</v>
      </c>
      <c r="L2941" s="369">
        <f>+IF((C2941&gt;='Resultats - informe'!$E$16)*(C2941&lt;='Resultats - informe'!$G$16),1,0)</f>
        <v>1</v>
      </c>
      <c r="M2941" s="369" cm="1">
        <f t="array" ref="M2941">+_xlfn.IFS((C2941&gt;='Resultats - informe'!$D$26)*(C2941&lt;='Resultats - informe'!$E$26),0,(C2941&gt;='Resultats - informe'!$D$27)*(C2941&lt;='Resultats - informe'!$E$27),0,(C2941&gt;='Resultats - informe'!$D$28)*(C2941&lt;='Resultats - informe'!$E$28),0,(C2941&gt;='Resultats - informe'!$D$29)*(C2941&lt;='Resultats - informe'!$E$29),0,1,1)</f>
        <v>0</v>
      </c>
      <c r="N2941" s="366">
        <f>+VLOOKUP(D2941,'Resultats - informe'!$Y$18:$AG$42,'Introducció dades consum'!K2941+1,0)</f>
        <v>0</v>
      </c>
      <c r="O2941" s="370" cm="1">
        <f t="array" ref="O2941">+_xlfn.SWITCH(MONTH(C2941),1,1,2,1,3,1,4,2,5,2,6,3,7,3,8,3,9,3,10,2,11,2,12,1,2)</f>
        <v>1</v>
      </c>
      <c r="P2941" s="43"/>
    </row>
    <row r="2942" spans="1:16" ht="18" x14ac:dyDescent="0.35">
      <c r="A2942" s="43"/>
      <c r="C2942" s="393"/>
      <c r="E2942" s="394"/>
      <c r="F2942" s="394">
        <v>3.5329999999999999</v>
      </c>
      <c r="G2942" s="394"/>
      <c r="H2942" s="8" t="s">
        <v>61</v>
      </c>
      <c r="I2942" s="368">
        <f t="shared" si="136"/>
        <v>0</v>
      </c>
      <c r="J2942" s="365">
        <f t="shared" si="138"/>
        <v>0</v>
      </c>
      <c r="K2942" s="369">
        <f t="shared" si="137"/>
        <v>6</v>
      </c>
      <c r="L2942" s="369">
        <f>+IF((C2942&gt;='Resultats - informe'!$E$16)*(C2942&lt;='Resultats - informe'!$G$16),1,0)</f>
        <v>1</v>
      </c>
      <c r="M2942" s="369" cm="1">
        <f t="array" ref="M2942">+_xlfn.IFS((C2942&gt;='Resultats - informe'!$D$26)*(C2942&lt;='Resultats - informe'!$E$26),0,(C2942&gt;='Resultats - informe'!$D$27)*(C2942&lt;='Resultats - informe'!$E$27),0,(C2942&gt;='Resultats - informe'!$D$28)*(C2942&lt;='Resultats - informe'!$E$28),0,(C2942&gt;='Resultats - informe'!$D$29)*(C2942&lt;='Resultats - informe'!$E$29),0,1,1)</f>
        <v>0</v>
      </c>
      <c r="N2942" s="366">
        <f>+VLOOKUP(D2942,'Resultats - informe'!$Y$18:$AG$42,'Introducció dades consum'!K2942+1,0)</f>
        <v>0</v>
      </c>
      <c r="O2942" s="370" cm="1">
        <f t="array" ref="O2942">+_xlfn.SWITCH(MONTH(C2942),1,1,2,1,3,1,4,2,5,2,6,3,7,3,8,3,9,3,10,2,11,2,12,1,2)</f>
        <v>1</v>
      </c>
      <c r="P2942" s="43"/>
    </row>
    <row r="2943" spans="1:16" ht="18" x14ac:dyDescent="0.35">
      <c r="A2943" s="43"/>
      <c r="C2943" s="393"/>
      <c r="E2943" s="394"/>
      <c r="F2943" s="394">
        <v>4.6210000000000004</v>
      </c>
      <c r="G2943" s="394"/>
      <c r="H2943" s="8" t="s">
        <v>61</v>
      </c>
      <c r="I2943" s="368">
        <f t="shared" si="136"/>
        <v>0</v>
      </c>
      <c r="J2943" s="365">
        <f t="shared" si="138"/>
        <v>0</v>
      </c>
      <c r="K2943" s="369">
        <f t="shared" si="137"/>
        <v>6</v>
      </c>
      <c r="L2943" s="369">
        <f>+IF((C2943&gt;='Resultats - informe'!$E$16)*(C2943&lt;='Resultats - informe'!$G$16),1,0)</f>
        <v>1</v>
      </c>
      <c r="M2943" s="369" cm="1">
        <f t="array" ref="M2943">+_xlfn.IFS((C2943&gt;='Resultats - informe'!$D$26)*(C2943&lt;='Resultats - informe'!$E$26),0,(C2943&gt;='Resultats - informe'!$D$27)*(C2943&lt;='Resultats - informe'!$E$27),0,(C2943&gt;='Resultats - informe'!$D$28)*(C2943&lt;='Resultats - informe'!$E$28),0,(C2943&gt;='Resultats - informe'!$D$29)*(C2943&lt;='Resultats - informe'!$E$29),0,1,1)</f>
        <v>0</v>
      </c>
      <c r="N2943" s="366">
        <f>+VLOOKUP(D2943,'Resultats - informe'!$Y$18:$AG$42,'Introducció dades consum'!K2943+1,0)</f>
        <v>0</v>
      </c>
      <c r="O2943" s="370" cm="1">
        <f t="array" ref="O2943">+_xlfn.SWITCH(MONTH(C2943),1,1,2,1,3,1,4,2,5,2,6,3,7,3,8,3,9,3,10,2,11,2,12,1,2)</f>
        <v>1</v>
      </c>
      <c r="P2943" s="43"/>
    </row>
    <row r="2944" spans="1:16" ht="18" x14ac:dyDescent="0.35">
      <c r="A2944" s="43"/>
      <c r="C2944" s="393"/>
      <c r="E2944" s="394"/>
      <c r="F2944" s="394">
        <v>5.5339999999999998</v>
      </c>
      <c r="G2944" s="394"/>
      <c r="H2944" s="8" t="s">
        <v>61</v>
      </c>
      <c r="I2944" s="368">
        <f t="shared" si="136"/>
        <v>0</v>
      </c>
      <c r="J2944" s="365">
        <f t="shared" si="138"/>
        <v>0</v>
      </c>
      <c r="K2944" s="369">
        <f t="shared" si="137"/>
        <v>6</v>
      </c>
      <c r="L2944" s="369">
        <f>+IF((C2944&gt;='Resultats - informe'!$E$16)*(C2944&lt;='Resultats - informe'!$G$16),1,0)</f>
        <v>1</v>
      </c>
      <c r="M2944" s="369" cm="1">
        <f t="array" ref="M2944">+_xlfn.IFS((C2944&gt;='Resultats - informe'!$D$26)*(C2944&lt;='Resultats - informe'!$E$26),0,(C2944&gt;='Resultats - informe'!$D$27)*(C2944&lt;='Resultats - informe'!$E$27),0,(C2944&gt;='Resultats - informe'!$D$28)*(C2944&lt;='Resultats - informe'!$E$28),0,(C2944&gt;='Resultats - informe'!$D$29)*(C2944&lt;='Resultats - informe'!$E$29),0,1,1)</f>
        <v>0</v>
      </c>
      <c r="N2944" s="366">
        <f>+VLOOKUP(D2944,'Resultats - informe'!$Y$18:$AG$42,'Introducció dades consum'!K2944+1,0)</f>
        <v>0</v>
      </c>
      <c r="O2944" s="370" cm="1">
        <f t="array" ref="O2944">+_xlfn.SWITCH(MONTH(C2944),1,1,2,1,3,1,4,2,5,2,6,3,7,3,8,3,9,3,10,2,11,2,12,1,2)</f>
        <v>1</v>
      </c>
      <c r="P2944" s="43"/>
    </row>
    <row r="2945" spans="1:16" ht="18" x14ac:dyDescent="0.35">
      <c r="A2945" s="43"/>
      <c r="C2945" s="393"/>
      <c r="E2945" s="394"/>
      <c r="F2945" s="394">
        <v>4.3490000000000002</v>
      </c>
      <c r="G2945" s="394"/>
      <c r="H2945" s="8" t="s">
        <v>61</v>
      </c>
      <c r="I2945" s="368">
        <f t="shared" si="136"/>
        <v>0</v>
      </c>
      <c r="J2945" s="365">
        <f t="shared" si="138"/>
        <v>0</v>
      </c>
      <c r="K2945" s="369">
        <f t="shared" si="137"/>
        <v>6</v>
      </c>
      <c r="L2945" s="369">
        <f>+IF((C2945&gt;='Resultats - informe'!$E$16)*(C2945&lt;='Resultats - informe'!$G$16),1,0)</f>
        <v>1</v>
      </c>
      <c r="M2945" s="369" cm="1">
        <f t="array" ref="M2945">+_xlfn.IFS((C2945&gt;='Resultats - informe'!$D$26)*(C2945&lt;='Resultats - informe'!$E$26),0,(C2945&gt;='Resultats - informe'!$D$27)*(C2945&lt;='Resultats - informe'!$E$27),0,(C2945&gt;='Resultats - informe'!$D$28)*(C2945&lt;='Resultats - informe'!$E$28),0,(C2945&gt;='Resultats - informe'!$D$29)*(C2945&lt;='Resultats - informe'!$E$29),0,1,1)</f>
        <v>0</v>
      </c>
      <c r="N2945" s="366">
        <f>+VLOOKUP(D2945,'Resultats - informe'!$Y$18:$AG$42,'Introducció dades consum'!K2945+1,0)</f>
        <v>0</v>
      </c>
      <c r="O2945" s="370" cm="1">
        <f t="array" ref="O2945">+_xlfn.SWITCH(MONTH(C2945),1,1,2,1,3,1,4,2,5,2,6,3,7,3,8,3,9,3,10,2,11,2,12,1,2)</f>
        <v>1</v>
      </c>
      <c r="P2945" s="43"/>
    </row>
    <row r="2946" spans="1:16" ht="18" x14ac:dyDescent="0.35">
      <c r="A2946" s="43"/>
      <c r="C2946" s="393"/>
      <c r="E2946" s="394"/>
      <c r="F2946" s="394">
        <v>6.1790000000000003</v>
      </c>
      <c r="G2946" s="394"/>
      <c r="H2946" s="8" t="s">
        <v>61</v>
      </c>
      <c r="I2946" s="368">
        <f t="shared" si="136"/>
        <v>0</v>
      </c>
      <c r="J2946" s="365">
        <f t="shared" si="138"/>
        <v>0</v>
      </c>
      <c r="K2946" s="369">
        <f t="shared" si="137"/>
        <v>6</v>
      </c>
      <c r="L2946" s="369">
        <f>+IF((C2946&gt;='Resultats - informe'!$E$16)*(C2946&lt;='Resultats - informe'!$G$16),1,0)</f>
        <v>1</v>
      </c>
      <c r="M2946" s="369" cm="1">
        <f t="array" ref="M2946">+_xlfn.IFS((C2946&gt;='Resultats - informe'!$D$26)*(C2946&lt;='Resultats - informe'!$E$26),0,(C2946&gt;='Resultats - informe'!$D$27)*(C2946&lt;='Resultats - informe'!$E$27),0,(C2946&gt;='Resultats - informe'!$D$28)*(C2946&lt;='Resultats - informe'!$E$28),0,(C2946&gt;='Resultats - informe'!$D$29)*(C2946&lt;='Resultats - informe'!$E$29),0,1,1)</f>
        <v>0</v>
      </c>
      <c r="N2946" s="366">
        <f>+VLOOKUP(D2946,'Resultats - informe'!$Y$18:$AG$42,'Introducció dades consum'!K2946+1,0)</f>
        <v>0</v>
      </c>
      <c r="O2946" s="370" cm="1">
        <f t="array" ref="O2946">+_xlfn.SWITCH(MONTH(C2946),1,1,2,1,3,1,4,2,5,2,6,3,7,3,8,3,9,3,10,2,11,2,12,1,2)</f>
        <v>1</v>
      </c>
      <c r="P2946" s="43"/>
    </row>
    <row r="2947" spans="1:16" ht="18" x14ac:dyDescent="0.35">
      <c r="A2947" s="43"/>
      <c r="C2947" s="393"/>
      <c r="E2947" s="394"/>
      <c r="F2947" s="394">
        <v>1.579</v>
      </c>
      <c r="G2947" s="394"/>
      <c r="H2947" s="8" t="s">
        <v>235</v>
      </c>
      <c r="I2947" s="368">
        <f t="shared" si="136"/>
        <v>0</v>
      </c>
      <c r="J2947" s="365">
        <f t="shared" si="138"/>
        <v>0</v>
      </c>
      <c r="K2947" s="369">
        <f t="shared" si="137"/>
        <v>6</v>
      </c>
      <c r="L2947" s="369">
        <f>+IF((C2947&gt;='Resultats - informe'!$E$16)*(C2947&lt;='Resultats - informe'!$G$16),1,0)</f>
        <v>1</v>
      </c>
      <c r="M2947" s="369" cm="1">
        <f t="array" ref="M2947">+_xlfn.IFS((C2947&gt;='Resultats - informe'!$D$26)*(C2947&lt;='Resultats - informe'!$E$26),0,(C2947&gt;='Resultats - informe'!$D$27)*(C2947&lt;='Resultats - informe'!$E$27),0,(C2947&gt;='Resultats - informe'!$D$28)*(C2947&lt;='Resultats - informe'!$E$28),0,(C2947&gt;='Resultats - informe'!$D$29)*(C2947&lt;='Resultats - informe'!$E$29),0,1,1)</f>
        <v>0</v>
      </c>
      <c r="N2947" s="366">
        <f>+VLOOKUP(D2947,'Resultats - informe'!$Y$18:$AG$42,'Introducció dades consum'!K2947+1,0)</f>
        <v>0</v>
      </c>
      <c r="O2947" s="370" cm="1">
        <f t="array" ref="O2947">+_xlfn.SWITCH(MONTH(C2947),1,1,2,1,3,1,4,2,5,2,6,3,7,3,8,3,9,3,10,2,11,2,12,1,2)</f>
        <v>1</v>
      </c>
      <c r="P2947" s="43"/>
    </row>
    <row r="2948" spans="1:16" ht="18" x14ac:dyDescent="0.35">
      <c r="A2948" s="43"/>
      <c r="C2948" s="393"/>
      <c r="E2948" s="394"/>
      <c r="F2948" s="394">
        <v>0.73399999999999999</v>
      </c>
      <c r="G2948" s="394"/>
      <c r="H2948" s="8" t="s">
        <v>235</v>
      </c>
      <c r="I2948" s="368">
        <f t="shared" si="136"/>
        <v>0</v>
      </c>
      <c r="J2948" s="365">
        <f t="shared" si="138"/>
        <v>0</v>
      </c>
      <c r="K2948" s="369">
        <f t="shared" si="137"/>
        <v>6</v>
      </c>
      <c r="L2948" s="369">
        <f>+IF((C2948&gt;='Resultats - informe'!$E$16)*(C2948&lt;='Resultats - informe'!$G$16),1,0)</f>
        <v>1</v>
      </c>
      <c r="M2948" s="369" cm="1">
        <f t="array" ref="M2948">+_xlfn.IFS((C2948&gt;='Resultats - informe'!$D$26)*(C2948&lt;='Resultats - informe'!$E$26),0,(C2948&gt;='Resultats - informe'!$D$27)*(C2948&lt;='Resultats - informe'!$E$27),0,(C2948&gt;='Resultats - informe'!$D$28)*(C2948&lt;='Resultats - informe'!$E$28),0,(C2948&gt;='Resultats - informe'!$D$29)*(C2948&lt;='Resultats - informe'!$E$29),0,1,1)</f>
        <v>0</v>
      </c>
      <c r="N2948" s="366">
        <f>+VLOOKUP(D2948,'Resultats - informe'!$Y$18:$AG$42,'Introducció dades consum'!K2948+1,0)</f>
        <v>0</v>
      </c>
      <c r="O2948" s="370" cm="1">
        <f t="array" ref="O2948">+_xlfn.SWITCH(MONTH(C2948),1,1,2,1,3,1,4,2,5,2,6,3,7,3,8,3,9,3,10,2,11,2,12,1,2)</f>
        <v>1</v>
      </c>
      <c r="P2948" s="43"/>
    </row>
    <row r="2949" spans="1:16" ht="18" x14ac:dyDescent="0.35">
      <c r="A2949" s="43"/>
      <c r="C2949" s="393"/>
      <c r="E2949" s="394"/>
      <c r="F2949" s="394">
        <v>0</v>
      </c>
      <c r="G2949" s="394"/>
      <c r="H2949" s="8" t="s">
        <v>235</v>
      </c>
      <c r="I2949" s="368">
        <f t="shared" si="136"/>
        <v>0</v>
      </c>
      <c r="J2949" s="365">
        <f t="shared" si="138"/>
        <v>0</v>
      </c>
      <c r="K2949" s="369">
        <f t="shared" si="137"/>
        <v>6</v>
      </c>
      <c r="L2949" s="369">
        <f>+IF((C2949&gt;='Resultats - informe'!$E$16)*(C2949&lt;='Resultats - informe'!$G$16),1,0)</f>
        <v>1</v>
      </c>
      <c r="M2949" s="369" cm="1">
        <f t="array" ref="M2949">+_xlfn.IFS((C2949&gt;='Resultats - informe'!$D$26)*(C2949&lt;='Resultats - informe'!$E$26),0,(C2949&gt;='Resultats - informe'!$D$27)*(C2949&lt;='Resultats - informe'!$E$27),0,(C2949&gt;='Resultats - informe'!$D$28)*(C2949&lt;='Resultats - informe'!$E$28),0,(C2949&gt;='Resultats - informe'!$D$29)*(C2949&lt;='Resultats - informe'!$E$29),0,1,1)</f>
        <v>0</v>
      </c>
      <c r="N2949" s="366">
        <f>+VLOOKUP(D2949,'Resultats - informe'!$Y$18:$AG$42,'Introducció dades consum'!K2949+1,0)</f>
        <v>0</v>
      </c>
      <c r="O2949" s="370" cm="1">
        <f t="array" ref="O2949">+_xlfn.SWITCH(MONTH(C2949),1,1,2,1,3,1,4,2,5,2,6,3,7,3,8,3,9,3,10,2,11,2,12,1,2)</f>
        <v>1</v>
      </c>
      <c r="P2949" s="43"/>
    </row>
    <row r="2950" spans="1:16" ht="18" x14ac:dyDescent="0.35">
      <c r="A2950" s="43"/>
      <c r="C2950" s="393"/>
      <c r="E2950" s="394"/>
      <c r="F2950" s="394">
        <v>0</v>
      </c>
      <c r="G2950" s="394"/>
      <c r="H2950" s="8" t="s">
        <v>235</v>
      </c>
      <c r="I2950" s="368">
        <f t="shared" ref="I2950:I3013" si="139">+E2950+G2950</f>
        <v>0</v>
      </c>
      <c r="J2950" s="365">
        <f t="shared" si="138"/>
        <v>0</v>
      </c>
      <c r="K2950" s="369">
        <f t="shared" ref="K2950:K3013" si="140">+WEEKDAY(C2950,2)</f>
        <v>6</v>
      </c>
      <c r="L2950" s="369">
        <f>+IF((C2950&gt;='Resultats - informe'!$E$16)*(C2950&lt;='Resultats - informe'!$G$16),1,0)</f>
        <v>1</v>
      </c>
      <c r="M2950" s="369" cm="1">
        <f t="array" ref="M2950">+_xlfn.IFS((C2950&gt;='Resultats - informe'!$D$26)*(C2950&lt;='Resultats - informe'!$E$26),0,(C2950&gt;='Resultats - informe'!$D$27)*(C2950&lt;='Resultats - informe'!$E$27),0,(C2950&gt;='Resultats - informe'!$D$28)*(C2950&lt;='Resultats - informe'!$E$28),0,(C2950&gt;='Resultats - informe'!$D$29)*(C2950&lt;='Resultats - informe'!$E$29),0,1,1)</f>
        <v>0</v>
      </c>
      <c r="N2950" s="366">
        <f>+VLOOKUP(D2950,'Resultats - informe'!$Y$18:$AG$42,'Introducció dades consum'!K2950+1,0)</f>
        <v>0</v>
      </c>
      <c r="O2950" s="370" cm="1">
        <f t="array" ref="O2950">+_xlfn.SWITCH(MONTH(C2950),1,1,2,1,3,1,4,2,5,2,6,3,7,3,8,3,9,3,10,2,11,2,12,1,2)</f>
        <v>1</v>
      </c>
      <c r="P2950" s="43"/>
    </row>
    <row r="2951" spans="1:16" ht="18" x14ac:dyDescent="0.35">
      <c r="A2951" s="43"/>
      <c r="C2951" s="393"/>
      <c r="E2951" s="394"/>
      <c r="F2951" s="394">
        <v>0</v>
      </c>
      <c r="G2951" s="394"/>
      <c r="H2951" s="8" t="s">
        <v>235</v>
      </c>
      <c r="I2951" s="368">
        <f t="shared" si="139"/>
        <v>0</v>
      </c>
      <c r="J2951" s="365">
        <f t="shared" si="138"/>
        <v>0</v>
      </c>
      <c r="K2951" s="369">
        <f t="shared" si="140"/>
        <v>6</v>
      </c>
      <c r="L2951" s="369">
        <f>+IF((C2951&gt;='Resultats - informe'!$E$16)*(C2951&lt;='Resultats - informe'!$G$16),1,0)</f>
        <v>1</v>
      </c>
      <c r="M2951" s="369" cm="1">
        <f t="array" ref="M2951">+_xlfn.IFS((C2951&gt;='Resultats - informe'!$D$26)*(C2951&lt;='Resultats - informe'!$E$26),0,(C2951&gt;='Resultats - informe'!$D$27)*(C2951&lt;='Resultats - informe'!$E$27),0,(C2951&gt;='Resultats - informe'!$D$28)*(C2951&lt;='Resultats - informe'!$E$28),0,(C2951&gt;='Resultats - informe'!$D$29)*(C2951&lt;='Resultats - informe'!$E$29),0,1,1)</f>
        <v>0</v>
      </c>
      <c r="N2951" s="366">
        <f>+VLOOKUP(D2951,'Resultats - informe'!$Y$18:$AG$42,'Introducció dades consum'!K2951+1,0)</f>
        <v>0</v>
      </c>
      <c r="O2951" s="370" cm="1">
        <f t="array" ref="O2951">+_xlfn.SWITCH(MONTH(C2951),1,1,2,1,3,1,4,2,5,2,6,3,7,3,8,3,9,3,10,2,11,2,12,1,2)</f>
        <v>1</v>
      </c>
      <c r="P2951" s="43"/>
    </row>
    <row r="2952" spans="1:16" ht="18" x14ac:dyDescent="0.35">
      <c r="A2952" s="43"/>
      <c r="C2952" s="393"/>
      <c r="E2952" s="394"/>
      <c r="F2952" s="394">
        <v>0</v>
      </c>
      <c r="G2952" s="394"/>
      <c r="H2952" s="8" t="s">
        <v>235</v>
      </c>
      <c r="I2952" s="368">
        <f t="shared" si="139"/>
        <v>0</v>
      </c>
      <c r="J2952" s="365">
        <f t="shared" si="138"/>
        <v>0</v>
      </c>
      <c r="K2952" s="369">
        <f t="shared" si="140"/>
        <v>6</v>
      </c>
      <c r="L2952" s="369">
        <f>+IF((C2952&gt;='Resultats - informe'!$E$16)*(C2952&lt;='Resultats - informe'!$G$16),1,0)</f>
        <v>1</v>
      </c>
      <c r="M2952" s="369" cm="1">
        <f t="array" ref="M2952">+_xlfn.IFS((C2952&gt;='Resultats - informe'!$D$26)*(C2952&lt;='Resultats - informe'!$E$26),0,(C2952&gt;='Resultats - informe'!$D$27)*(C2952&lt;='Resultats - informe'!$E$27),0,(C2952&gt;='Resultats - informe'!$D$28)*(C2952&lt;='Resultats - informe'!$E$28),0,(C2952&gt;='Resultats - informe'!$D$29)*(C2952&lt;='Resultats - informe'!$E$29),0,1,1)</f>
        <v>0</v>
      </c>
      <c r="N2952" s="366">
        <f>+VLOOKUP(D2952,'Resultats - informe'!$Y$18:$AG$42,'Introducció dades consum'!K2952+1,0)</f>
        <v>0</v>
      </c>
      <c r="O2952" s="370" cm="1">
        <f t="array" ref="O2952">+_xlfn.SWITCH(MONTH(C2952),1,1,2,1,3,1,4,2,5,2,6,3,7,3,8,3,9,3,10,2,11,2,12,1,2)</f>
        <v>1</v>
      </c>
      <c r="P2952" s="43"/>
    </row>
    <row r="2953" spans="1:16" ht="18" x14ac:dyDescent="0.35">
      <c r="A2953" s="43"/>
      <c r="C2953" s="393"/>
      <c r="E2953" s="394"/>
      <c r="F2953" s="394">
        <v>0</v>
      </c>
      <c r="G2953" s="394"/>
      <c r="H2953" s="8" t="s">
        <v>235</v>
      </c>
      <c r="I2953" s="368">
        <f t="shared" si="139"/>
        <v>0</v>
      </c>
      <c r="J2953" s="365">
        <f t="shared" si="138"/>
        <v>0</v>
      </c>
      <c r="K2953" s="369">
        <f t="shared" si="140"/>
        <v>6</v>
      </c>
      <c r="L2953" s="369">
        <f>+IF((C2953&gt;='Resultats - informe'!$E$16)*(C2953&lt;='Resultats - informe'!$G$16),1,0)</f>
        <v>1</v>
      </c>
      <c r="M2953" s="369" cm="1">
        <f t="array" ref="M2953">+_xlfn.IFS((C2953&gt;='Resultats - informe'!$D$26)*(C2953&lt;='Resultats - informe'!$E$26),0,(C2953&gt;='Resultats - informe'!$D$27)*(C2953&lt;='Resultats - informe'!$E$27),0,(C2953&gt;='Resultats - informe'!$D$28)*(C2953&lt;='Resultats - informe'!$E$28),0,(C2953&gt;='Resultats - informe'!$D$29)*(C2953&lt;='Resultats - informe'!$E$29),0,1,1)</f>
        <v>0</v>
      </c>
      <c r="N2953" s="366">
        <f>+VLOOKUP(D2953,'Resultats - informe'!$Y$18:$AG$42,'Introducció dades consum'!K2953+1,0)</f>
        <v>0</v>
      </c>
      <c r="O2953" s="370" cm="1">
        <f t="array" ref="O2953">+_xlfn.SWITCH(MONTH(C2953),1,1,2,1,3,1,4,2,5,2,6,3,7,3,8,3,9,3,10,2,11,2,12,1,2)</f>
        <v>1</v>
      </c>
      <c r="P2953" s="43"/>
    </row>
    <row r="2954" spans="1:16" ht="18" x14ac:dyDescent="0.35">
      <c r="A2954" s="43"/>
      <c r="C2954" s="393"/>
      <c r="E2954" s="394"/>
      <c r="F2954" s="394">
        <v>0</v>
      </c>
      <c r="G2954" s="394"/>
      <c r="H2954" s="8" t="s">
        <v>61</v>
      </c>
      <c r="I2954" s="368">
        <f t="shared" si="139"/>
        <v>0</v>
      </c>
      <c r="J2954" s="365">
        <f t="shared" si="138"/>
        <v>0</v>
      </c>
      <c r="K2954" s="369">
        <f t="shared" si="140"/>
        <v>6</v>
      </c>
      <c r="L2954" s="369">
        <f>+IF((C2954&gt;='Resultats - informe'!$E$16)*(C2954&lt;='Resultats - informe'!$G$16),1,0)</f>
        <v>1</v>
      </c>
      <c r="M2954" s="369" cm="1">
        <f t="array" ref="M2954">+_xlfn.IFS((C2954&gt;='Resultats - informe'!$D$26)*(C2954&lt;='Resultats - informe'!$E$26),0,(C2954&gt;='Resultats - informe'!$D$27)*(C2954&lt;='Resultats - informe'!$E$27),0,(C2954&gt;='Resultats - informe'!$D$28)*(C2954&lt;='Resultats - informe'!$E$28),0,(C2954&gt;='Resultats - informe'!$D$29)*(C2954&lt;='Resultats - informe'!$E$29),0,1,1)</f>
        <v>0</v>
      </c>
      <c r="N2954" s="366">
        <f>+VLOOKUP(D2954,'Resultats - informe'!$Y$18:$AG$42,'Introducció dades consum'!K2954+1,0)</f>
        <v>0</v>
      </c>
      <c r="O2954" s="370" cm="1">
        <f t="array" ref="O2954">+_xlfn.SWITCH(MONTH(C2954),1,1,2,1,3,1,4,2,5,2,6,3,7,3,8,3,9,3,10,2,11,2,12,1,2)</f>
        <v>1</v>
      </c>
      <c r="P2954" s="43"/>
    </row>
    <row r="2955" spans="1:16" ht="18" x14ac:dyDescent="0.35">
      <c r="A2955" s="43"/>
      <c r="C2955" s="393"/>
      <c r="E2955" s="394"/>
      <c r="F2955" s="394">
        <v>0</v>
      </c>
      <c r="G2955" s="394"/>
      <c r="H2955" s="8" t="s">
        <v>61</v>
      </c>
      <c r="I2955" s="368">
        <f t="shared" si="139"/>
        <v>0</v>
      </c>
      <c r="J2955" s="365">
        <f t="shared" si="138"/>
        <v>0</v>
      </c>
      <c r="K2955" s="369">
        <f t="shared" si="140"/>
        <v>6</v>
      </c>
      <c r="L2955" s="369">
        <f>+IF((C2955&gt;='Resultats - informe'!$E$16)*(C2955&lt;='Resultats - informe'!$G$16),1,0)</f>
        <v>1</v>
      </c>
      <c r="M2955" s="369" cm="1">
        <f t="array" ref="M2955">+_xlfn.IFS((C2955&gt;='Resultats - informe'!$D$26)*(C2955&lt;='Resultats - informe'!$E$26),0,(C2955&gt;='Resultats - informe'!$D$27)*(C2955&lt;='Resultats - informe'!$E$27),0,(C2955&gt;='Resultats - informe'!$D$28)*(C2955&lt;='Resultats - informe'!$E$28),0,(C2955&gt;='Resultats - informe'!$D$29)*(C2955&lt;='Resultats - informe'!$E$29),0,1,1)</f>
        <v>0</v>
      </c>
      <c r="N2955" s="366">
        <f>+VLOOKUP(D2955,'Resultats - informe'!$Y$18:$AG$42,'Introducció dades consum'!K2955+1,0)</f>
        <v>0</v>
      </c>
      <c r="O2955" s="370" cm="1">
        <f t="array" ref="O2955">+_xlfn.SWITCH(MONTH(C2955),1,1,2,1,3,1,4,2,5,2,6,3,7,3,8,3,9,3,10,2,11,2,12,1,2)</f>
        <v>1</v>
      </c>
      <c r="P2955" s="43"/>
    </row>
    <row r="2956" spans="1:16" ht="18" x14ac:dyDescent="0.35">
      <c r="A2956" s="43"/>
      <c r="C2956" s="393"/>
      <c r="E2956" s="394"/>
      <c r="F2956" s="394">
        <v>0</v>
      </c>
      <c r="G2956" s="394"/>
      <c r="H2956" s="8" t="s">
        <v>235</v>
      </c>
      <c r="I2956" s="368">
        <f t="shared" si="139"/>
        <v>0</v>
      </c>
      <c r="J2956" s="365">
        <f t="shared" si="138"/>
        <v>0</v>
      </c>
      <c r="K2956" s="369">
        <f t="shared" si="140"/>
        <v>6</v>
      </c>
      <c r="L2956" s="369">
        <f>+IF((C2956&gt;='Resultats - informe'!$E$16)*(C2956&lt;='Resultats - informe'!$G$16),1,0)</f>
        <v>1</v>
      </c>
      <c r="M2956" s="369" cm="1">
        <f t="array" ref="M2956">+_xlfn.IFS((C2956&gt;='Resultats - informe'!$D$26)*(C2956&lt;='Resultats - informe'!$E$26),0,(C2956&gt;='Resultats - informe'!$D$27)*(C2956&lt;='Resultats - informe'!$E$27),0,(C2956&gt;='Resultats - informe'!$D$28)*(C2956&lt;='Resultats - informe'!$E$28),0,(C2956&gt;='Resultats - informe'!$D$29)*(C2956&lt;='Resultats - informe'!$E$29),0,1,1)</f>
        <v>0</v>
      </c>
      <c r="N2956" s="366">
        <f>+VLOOKUP(D2956,'Resultats - informe'!$Y$18:$AG$42,'Introducció dades consum'!K2956+1,0)</f>
        <v>0</v>
      </c>
      <c r="O2956" s="370" cm="1">
        <f t="array" ref="O2956">+_xlfn.SWITCH(MONTH(C2956),1,1,2,1,3,1,4,2,5,2,6,3,7,3,8,3,9,3,10,2,11,2,12,1,2)</f>
        <v>1</v>
      </c>
      <c r="P2956" s="43"/>
    </row>
    <row r="2957" spans="1:16" ht="18" x14ac:dyDescent="0.35">
      <c r="A2957" s="43"/>
      <c r="C2957" s="393"/>
      <c r="E2957" s="394"/>
      <c r="F2957" s="394">
        <v>0</v>
      </c>
      <c r="G2957" s="394"/>
      <c r="H2957" s="8" t="s">
        <v>235</v>
      </c>
      <c r="I2957" s="368">
        <f t="shared" si="139"/>
        <v>0</v>
      </c>
      <c r="J2957" s="365">
        <f t="shared" si="138"/>
        <v>0</v>
      </c>
      <c r="K2957" s="369">
        <f t="shared" si="140"/>
        <v>6</v>
      </c>
      <c r="L2957" s="369">
        <f>+IF((C2957&gt;='Resultats - informe'!$E$16)*(C2957&lt;='Resultats - informe'!$G$16),1,0)</f>
        <v>1</v>
      </c>
      <c r="M2957" s="369" cm="1">
        <f t="array" ref="M2957">+_xlfn.IFS((C2957&gt;='Resultats - informe'!$D$26)*(C2957&lt;='Resultats - informe'!$E$26),0,(C2957&gt;='Resultats - informe'!$D$27)*(C2957&lt;='Resultats - informe'!$E$27),0,(C2957&gt;='Resultats - informe'!$D$28)*(C2957&lt;='Resultats - informe'!$E$28),0,(C2957&gt;='Resultats - informe'!$D$29)*(C2957&lt;='Resultats - informe'!$E$29),0,1,1)</f>
        <v>0</v>
      </c>
      <c r="N2957" s="366">
        <f>+VLOOKUP(D2957,'Resultats - informe'!$Y$18:$AG$42,'Introducció dades consum'!K2957+1,0)</f>
        <v>0</v>
      </c>
      <c r="O2957" s="370" cm="1">
        <f t="array" ref="O2957">+_xlfn.SWITCH(MONTH(C2957),1,1,2,1,3,1,4,2,5,2,6,3,7,3,8,3,9,3,10,2,11,2,12,1,2)</f>
        <v>1</v>
      </c>
      <c r="P2957" s="43"/>
    </row>
    <row r="2958" spans="1:16" ht="18" x14ac:dyDescent="0.35">
      <c r="A2958" s="43"/>
      <c r="C2958" s="393"/>
      <c r="E2958" s="394"/>
      <c r="F2958" s="394">
        <v>0</v>
      </c>
      <c r="G2958" s="394"/>
      <c r="H2958" s="8" t="s">
        <v>235</v>
      </c>
      <c r="I2958" s="368">
        <f t="shared" si="139"/>
        <v>0</v>
      </c>
      <c r="J2958" s="365">
        <f t="shared" si="138"/>
        <v>0</v>
      </c>
      <c r="K2958" s="369">
        <f t="shared" si="140"/>
        <v>6</v>
      </c>
      <c r="L2958" s="369">
        <f>+IF((C2958&gt;='Resultats - informe'!$E$16)*(C2958&lt;='Resultats - informe'!$G$16),1,0)</f>
        <v>1</v>
      </c>
      <c r="M2958" s="369" cm="1">
        <f t="array" ref="M2958">+_xlfn.IFS((C2958&gt;='Resultats - informe'!$D$26)*(C2958&lt;='Resultats - informe'!$E$26),0,(C2958&gt;='Resultats - informe'!$D$27)*(C2958&lt;='Resultats - informe'!$E$27),0,(C2958&gt;='Resultats - informe'!$D$28)*(C2958&lt;='Resultats - informe'!$E$28),0,(C2958&gt;='Resultats - informe'!$D$29)*(C2958&lt;='Resultats - informe'!$E$29),0,1,1)</f>
        <v>0</v>
      </c>
      <c r="N2958" s="366">
        <f>+VLOOKUP(D2958,'Resultats - informe'!$Y$18:$AG$42,'Introducció dades consum'!K2958+1,0)</f>
        <v>0</v>
      </c>
      <c r="O2958" s="370" cm="1">
        <f t="array" ref="O2958">+_xlfn.SWITCH(MONTH(C2958),1,1,2,1,3,1,4,2,5,2,6,3,7,3,8,3,9,3,10,2,11,2,12,1,2)</f>
        <v>1</v>
      </c>
      <c r="P2958" s="43"/>
    </row>
    <row r="2959" spans="1:16" ht="18" x14ac:dyDescent="0.35">
      <c r="A2959" s="43"/>
      <c r="C2959" s="393"/>
      <c r="E2959" s="394"/>
      <c r="F2959" s="394">
        <v>0</v>
      </c>
      <c r="G2959" s="394"/>
      <c r="H2959" s="8" t="s">
        <v>235</v>
      </c>
      <c r="I2959" s="368">
        <f t="shared" si="139"/>
        <v>0</v>
      </c>
      <c r="J2959" s="365">
        <f t="shared" si="138"/>
        <v>0</v>
      </c>
      <c r="K2959" s="369">
        <f t="shared" si="140"/>
        <v>6</v>
      </c>
      <c r="L2959" s="369">
        <f>+IF((C2959&gt;='Resultats - informe'!$E$16)*(C2959&lt;='Resultats - informe'!$G$16),1,0)</f>
        <v>1</v>
      </c>
      <c r="M2959" s="369" cm="1">
        <f t="array" ref="M2959">+_xlfn.IFS((C2959&gt;='Resultats - informe'!$D$26)*(C2959&lt;='Resultats - informe'!$E$26),0,(C2959&gt;='Resultats - informe'!$D$27)*(C2959&lt;='Resultats - informe'!$E$27),0,(C2959&gt;='Resultats - informe'!$D$28)*(C2959&lt;='Resultats - informe'!$E$28),0,(C2959&gt;='Resultats - informe'!$D$29)*(C2959&lt;='Resultats - informe'!$E$29),0,1,1)</f>
        <v>0</v>
      </c>
      <c r="N2959" s="366">
        <f>+VLOOKUP(D2959,'Resultats - informe'!$Y$18:$AG$42,'Introducció dades consum'!K2959+1,0)</f>
        <v>0</v>
      </c>
      <c r="O2959" s="370" cm="1">
        <f t="array" ref="O2959">+_xlfn.SWITCH(MONTH(C2959),1,1,2,1,3,1,4,2,5,2,6,3,7,3,8,3,9,3,10,2,11,2,12,1,2)</f>
        <v>1</v>
      </c>
      <c r="P2959" s="43"/>
    </row>
    <row r="2960" spans="1:16" ht="18" x14ac:dyDescent="0.35">
      <c r="A2960" s="43"/>
      <c r="C2960" s="393"/>
      <c r="E2960" s="394"/>
      <c r="F2960" s="394">
        <v>0</v>
      </c>
      <c r="G2960" s="394"/>
      <c r="H2960" s="8" t="s">
        <v>235</v>
      </c>
      <c r="I2960" s="368">
        <f t="shared" si="139"/>
        <v>0</v>
      </c>
      <c r="J2960" s="365">
        <f t="shared" si="138"/>
        <v>0</v>
      </c>
      <c r="K2960" s="369">
        <f t="shared" si="140"/>
        <v>6</v>
      </c>
      <c r="L2960" s="369">
        <f>+IF((C2960&gt;='Resultats - informe'!$E$16)*(C2960&lt;='Resultats - informe'!$G$16),1,0)</f>
        <v>1</v>
      </c>
      <c r="M2960" s="369" cm="1">
        <f t="array" ref="M2960">+_xlfn.IFS((C2960&gt;='Resultats - informe'!$D$26)*(C2960&lt;='Resultats - informe'!$E$26),0,(C2960&gt;='Resultats - informe'!$D$27)*(C2960&lt;='Resultats - informe'!$E$27),0,(C2960&gt;='Resultats - informe'!$D$28)*(C2960&lt;='Resultats - informe'!$E$28),0,(C2960&gt;='Resultats - informe'!$D$29)*(C2960&lt;='Resultats - informe'!$E$29),0,1,1)</f>
        <v>0</v>
      </c>
      <c r="N2960" s="366">
        <f>+VLOOKUP(D2960,'Resultats - informe'!$Y$18:$AG$42,'Introducció dades consum'!K2960+1,0)</f>
        <v>0</v>
      </c>
      <c r="O2960" s="370" cm="1">
        <f t="array" ref="O2960">+_xlfn.SWITCH(MONTH(C2960),1,1,2,1,3,1,4,2,5,2,6,3,7,3,8,3,9,3,10,2,11,2,12,1,2)</f>
        <v>1</v>
      </c>
      <c r="P2960" s="43"/>
    </row>
    <row r="2961" spans="1:16" ht="18" x14ac:dyDescent="0.35">
      <c r="A2961" s="43"/>
      <c r="C2961" s="393"/>
      <c r="E2961" s="394"/>
      <c r="F2961" s="394">
        <v>0</v>
      </c>
      <c r="G2961" s="394"/>
      <c r="H2961" s="8" t="s">
        <v>235</v>
      </c>
      <c r="I2961" s="368">
        <f t="shared" si="139"/>
        <v>0</v>
      </c>
      <c r="J2961" s="365">
        <f t="shared" si="138"/>
        <v>0</v>
      </c>
      <c r="K2961" s="369">
        <f t="shared" si="140"/>
        <v>6</v>
      </c>
      <c r="L2961" s="369">
        <f>+IF((C2961&gt;='Resultats - informe'!$E$16)*(C2961&lt;='Resultats - informe'!$G$16),1,0)</f>
        <v>1</v>
      </c>
      <c r="M2961" s="369" cm="1">
        <f t="array" ref="M2961">+_xlfn.IFS((C2961&gt;='Resultats - informe'!$D$26)*(C2961&lt;='Resultats - informe'!$E$26),0,(C2961&gt;='Resultats - informe'!$D$27)*(C2961&lt;='Resultats - informe'!$E$27),0,(C2961&gt;='Resultats - informe'!$D$28)*(C2961&lt;='Resultats - informe'!$E$28),0,(C2961&gt;='Resultats - informe'!$D$29)*(C2961&lt;='Resultats - informe'!$E$29),0,1,1)</f>
        <v>0</v>
      </c>
      <c r="N2961" s="366">
        <f>+VLOOKUP(D2961,'Resultats - informe'!$Y$18:$AG$42,'Introducció dades consum'!K2961+1,0)</f>
        <v>0</v>
      </c>
      <c r="O2961" s="370" cm="1">
        <f t="array" ref="O2961">+_xlfn.SWITCH(MONTH(C2961),1,1,2,1,3,1,4,2,5,2,6,3,7,3,8,3,9,3,10,2,11,2,12,1,2)</f>
        <v>1</v>
      </c>
      <c r="P2961" s="43"/>
    </row>
    <row r="2962" spans="1:16" ht="18" x14ac:dyDescent="0.35">
      <c r="A2962" s="43"/>
      <c r="C2962" s="393"/>
      <c r="E2962" s="394"/>
      <c r="F2962" s="394">
        <v>0.76</v>
      </c>
      <c r="G2962" s="394"/>
      <c r="H2962" s="8" t="s">
        <v>235</v>
      </c>
      <c r="I2962" s="368">
        <f t="shared" si="139"/>
        <v>0</v>
      </c>
      <c r="J2962" s="365">
        <f t="shared" si="138"/>
        <v>0</v>
      </c>
      <c r="K2962" s="369">
        <f t="shared" si="140"/>
        <v>6</v>
      </c>
      <c r="L2962" s="369">
        <f>+IF((C2962&gt;='Resultats - informe'!$E$16)*(C2962&lt;='Resultats - informe'!$G$16),1,0)</f>
        <v>1</v>
      </c>
      <c r="M2962" s="369" cm="1">
        <f t="array" ref="M2962">+_xlfn.IFS((C2962&gt;='Resultats - informe'!$D$26)*(C2962&lt;='Resultats - informe'!$E$26),0,(C2962&gt;='Resultats - informe'!$D$27)*(C2962&lt;='Resultats - informe'!$E$27),0,(C2962&gt;='Resultats - informe'!$D$28)*(C2962&lt;='Resultats - informe'!$E$28),0,(C2962&gt;='Resultats - informe'!$D$29)*(C2962&lt;='Resultats - informe'!$E$29),0,1,1)</f>
        <v>0</v>
      </c>
      <c r="N2962" s="366">
        <f>+VLOOKUP(D2962,'Resultats - informe'!$Y$18:$AG$42,'Introducció dades consum'!K2962+1,0)</f>
        <v>0</v>
      </c>
      <c r="O2962" s="370" cm="1">
        <f t="array" ref="O2962">+_xlfn.SWITCH(MONTH(C2962),1,1,2,1,3,1,4,2,5,2,6,3,7,3,8,3,9,3,10,2,11,2,12,1,2)</f>
        <v>1</v>
      </c>
      <c r="P2962" s="43"/>
    </row>
    <row r="2963" spans="1:16" ht="18" x14ac:dyDescent="0.35">
      <c r="A2963" s="43"/>
      <c r="C2963" s="393"/>
      <c r="E2963" s="394"/>
      <c r="F2963" s="394">
        <v>1.5820000000000001</v>
      </c>
      <c r="G2963" s="394"/>
      <c r="H2963" s="8" t="s">
        <v>235</v>
      </c>
      <c r="I2963" s="368">
        <f t="shared" si="139"/>
        <v>0</v>
      </c>
      <c r="J2963" s="365">
        <f t="shared" si="138"/>
        <v>0</v>
      </c>
      <c r="K2963" s="369">
        <f t="shared" si="140"/>
        <v>6</v>
      </c>
      <c r="L2963" s="369">
        <f>+IF((C2963&gt;='Resultats - informe'!$E$16)*(C2963&lt;='Resultats - informe'!$G$16),1,0)</f>
        <v>1</v>
      </c>
      <c r="M2963" s="369" cm="1">
        <f t="array" ref="M2963">+_xlfn.IFS((C2963&gt;='Resultats - informe'!$D$26)*(C2963&lt;='Resultats - informe'!$E$26),0,(C2963&gt;='Resultats - informe'!$D$27)*(C2963&lt;='Resultats - informe'!$E$27),0,(C2963&gt;='Resultats - informe'!$D$28)*(C2963&lt;='Resultats - informe'!$E$28),0,(C2963&gt;='Resultats - informe'!$D$29)*(C2963&lt;='Resultats - informe'!$E$29),0,1,1)</f>
        <v>0</v>
      </c>
      <c r="N2963" s="366">
        <f>+VLOOKUP(D2963,'Resultats - informe'!$Y$18:$AG$42,'Introducció dades consum'!K2963+1,0)</f>
        <v>0</v>
      </c>
      <c r="O2963" s="370" cm="1">
        <f t="array" ref="O2963">+_xlfn.SWITCH(MONTH(C2963),1,1,2,1,3,1,4,2,5,2,6,3,7,3,8,3,9,3,10,2,11,2,12,1,2)</f>
        <v>1</v>
      </c>
      <c r="P2963" s="43"/>
    </row>
    <row r="2964" spans="1:16" ht="18" x14ac:dyDescent="0.35">
      <c r="A2964" s="43"/>
      <c r="C2964" s="393"/>
      <c r="E2964" s="394"/>
      <c r="F2964" s="394">
        <v>0</v>
      </c>
      <c r="G2964" s="394"/>
      <c r="H2964" s="8" t="s">
        <v>61</v>
      </c>
      <c r="I2964" s="368">
        <f t="shared" si="139"/>
        <v>0</v>
      </c>
      <c r="J2964" s="365">
        <f t="shared" si="138"/>
        <v>0</v>
      </c>
      <c r="K2964" s="369">
        <f t="shared" si="140"/>
        <v>6</v>
      </c>
      <c r="L2964" s="369">
        <f>+IF((C2964&gt;='Resultats - informe'!$E$16)*(C2964&lt;='Resultats - informe'!$G$16),1,0)</f>
        <v>1</v>
      </c>
      <c r="M2964" s="369" cm="1">
        <f t="array" ref="M2964">+_xlfn.IFS((C2964&gt;='Resultats - informe'!$D$26)*(C2964&lt;='Resultats - informe'!$E$26),0,(C2964&gt;='Resultats - informe'!$D$27)*(C2964&lt;='Resultats - informe'!$E$27),0,(C2964&gt;='Resultats - informe'!$D$28)*(C2964&lt;='Resultats - informe'!$E$28),0,(C2964&gt;='Resultats - informe'!$D$29)*(C2964&lt;='Resultats - informe'!$E$29),0,1,1)</f>
        <v>0</v>
      </c>
      <c r="N2964" s="366">
        <f>+VLOOKUP(D2964,'Resultats - informe'!$Y$18:$AG$42,'Introducció dades consum'!K2964+1,0)</f>
        <v>0</v>
      </c>
      <c r="O2964" s="370" cm="1">
        <f t="array" ref="O2964">+_xlfn.SWITCH(MONTH(C2964),1,1,2,1,3,1,4,2,5,2,6,3,7,3,8,3,9,3,10,2,11,2,12,1,2)</f>
        <v>1</v>
      </c>
      <c r="P2964" s="43"/>
    </row>
    <row r="2965" spans="1:16" ht="18" x14ac:dyDescent="0.35">
      <c r="A2965" s="43"/>
      <c r="C2965" s="393"/>
      <c r="E2965" s="394"/>
      <c r="F2965" s="394">
        <v>3.1070000000000002</v>
      </c>
      <c r="G2965" s="394"/>
      <c r="H2965" s="8" t="s">
        <v>235</v>
      </c>
      <c r="I2965" s="368">
        <f t="shared" si="139"/>
        <v>0</v>
      </c>
      <c r="J2965" s="365">
        <f t="shared" si="138"/>
        <v>0</v>
      </c>
      <c r="K2965" s="369">
        <f t="shared" si="140"/>
        <v>6</v>
      </c>
      <c r="L2965" s="369">
        <f>+IF((C2965&gt;='Resultats - informe'!$E$16)*(C2965&lt;='Resultats - informe'!$G$16),1,0)</f>
        <v>1</v>
      </c>
      <c r="M2965" s="369" cm="1">
        <f t="array" ref="M2965">+_xlfn.IFS((C2965&gt;='Resultats - informe'!$D$26)*(C2965&lt;='Resultats - informe'!$E$26),0,(C2965&gt;='Resultats - informe'!$D$27)*(C2965&lt;='Resultats - informe'!$E$27),0,(C2965&gt;='Resultats - informe'!$D$28)*(C2965&lt;='Resultats - informe'!$E$28),0,(C2965&gt;='Resultats - informe'!$D$29)*(C2965&lt;='Resultats - informe'!$E$29),0,1,1)</f>
        <v>0</v>
      </c>
      <c r="N2965" s="366">
        <f>+VLOOKUP(D2965,'Resultats - informe'!$Y$18:$AG$42,'Introducció dades consum'!K2965+1,0)</f>
        <v>0</v>
      </c>
      <c r="O2965" s="370" cm="1">
        <f t="array" ref="O2965">+_xlfn.SWITCH(MONTH(C2965),1,1,2,1,3,1,4,2,5,2,6,3,7,3,8,3,9,3,10,2,11,2,12,1,2)</f>
        <v>1</v>
      </c>
      <c r="P2965" s="43"/>
    </row>
    <row r="2966" spans="1:16" ht="18" x14ac:dyDescent="0.35">
      <c r="A2966" s="43"/>
      <c r="C2966" s="393"/>
      <c r="E2966" s="394"/>
      <c r="F2966" s="394">
        <v>3.5659999999999998</v>
      </c>
      <c r="G2966" s="394"/>
      <c r="H2966" s="8" t="s">
        <v>235</v>
      </c>
      <c r="I2966" s="368">
        <f t="shared" si="139"/>
        <v>0</v>
      </c>
      <c r="J2966" s="365">
        <f t="shared" si="138"/>
        <v>0</v>
      </c>
      <c r="K2966" s="369">
        <f t="shared" si="140"/>
        <v>6</v>
      </c>
      <c r="L2966" s="369">
        <f>+IF((C2966&gt;='Resultats - informe'!$E$16)*(C2966&lt;='Resultats - informe'!$G$16),1,0)</f>
        <v>1</v>
      </c>
      <c r="M2966" s="369" cm="1">
        <f t="array" ref="M2966">+_xlfn.IFS((C2966&gt;='Resultats - informe'!$D$26)*(C2966&lt;='Resultats - informe'!$E$26),0,(C2966&gt;='Resultats - informe'!$D$27)*(C2966&lt;='Resultats - informe'!$E$27),0,(C2966&gt;='Resultats - informe'!$D$28)*(C2966&lt;='Resultats - informe'!$E$28),0,(C2966&gt;='Resultats - informe'!$D$29)*(C2966&lt;='Resultats - informe'!$E$29),0,1,1)</f>
        <v>0</v>
      </c>
      <c r="N2966" s="366">
        <f>+VLOOKUP(D2966,'Resultats - informe'!$Y$18:$AG$42,'Introducció dades consum'!K2966+1,0)</f>
        <v>0</v>
      </c>
      <c r="O2966" s="370" cm="1">
        <f t="array" ref="O2966">+_xlfn.SWITCH(MONTH(C2966),1,1,2,1,3,1,4,2,5,2,6,3,7,3,8,3,9,3,10,2,11,2,12,1,2)</f>
        <v>1</v>
      </c>
      <c r="P2966" s="43"/>
    </row>
    <row r="2967" spans="1:16" ht="18" x14ac:dyDescent="0.35">
      <c r="A2967" s="43"/>
      <c r="C2967" s="393"/>
      <c r="E2967" s="394"/>
      <c r="F2967" s="394">
        <v>5.1609999999999996</v>
      </c>
      <c r="G2967" s="394"/>
      <c r="H2967" s="8" t="s">
        <v>61</v>
      </c>
      <c r="I2967" s="368">
        <f t="shared" si="139"/>
        <v>0</v>
      </c>
      <c r="J2967" s="365">
        <f t="shared" si="138"/>
        <v>0</v>
      </c>
      <c r="K2967" s="369">
        <f t="shared" si="140"/>
        <v>6</v>
      </c>
      <c r="L2967" s="369">
        <f>+IF((C2967&gt;='Resultats - informe'!$E$16)*(C2967&lt;='Resultats - informe'!$G$16),1,0)</f>
        <v>1</v>
      </c>
      <c r="M2967" s="369" cm="1">
        <f t="array" ref="M2967">+_xlfn.IFS((C2967&gt;='Resultats - informe'!$D$26)*(C2967&lt;='Resultats - informe'!$E$26),0,(C2967&gt;='Resultats - informe'!$D$27)*(C2967&lt;='Resultats - informe'!$E$27),0,(C2967&gt;='Resultats - informe'!$D$28)*(C2967&lt;='Resultats - informe'!$E$28),0,(C2967&gt;='Resultats - informe'!$D$29)*(C2967&lt;='Resultats - informe'!$E$29),0,1,1)</f>
        <v>0</v>
      </c>
      <c r="N2967" s="366">
        <f>+VLOOKUP(D2967,'Resultats - informe'!$Y$18:$AG$42,'Introducció dades consum'!K2967+1,0)</f>
        <v>0</v>
      </c>
      <c r="O2967" s="370" cm="1">
        <f t="array" ref="O2967">+_xlfn.SWITCH(MONTH(C2967),1,1,2,1,3,1,4,2,5,2,6,3,7,3,8,3,9,3,10,2,11,2,12,1,2)</f>
        <v>1</v>
      </c>
      <c r="P2967" s="43"/>
    </row>
    <row r="2968" spans="1:16" ht="18" x14ac:dyDescent="0.35">
      <c r="A2968" s="43"/>
      <c r="C2968" s="393"/>
      <c r="E2968" s="394"/>
      <c r="F2968" s="394">
        <v>1.5109999999999999</v>
      </c>
      <c r="G2968" s="394"/>
      <c r="H2968" s="8" t="s">
        <v>61</v>
      </c>
      <c r="I2968" s="368">
        <f t="shared" si="139"/>
        <v>0</v>
      </c>
      <c r="J2968" s="365">
        <f t="shared" si="138"/>
        <v>0</v>
      </c>
      <c r="K2968" s="369">
        <f t="shared" si="140"/>
        <v>6</v>
      </c>
      <c r="L2968" s="369">
        <f>+IF((C2968&gt;='Resultats - informe'!$E$16)*(C2968&lt;='Resultats - informe'!$G$16),1,0)</f>
        <v>1</v>
      </c>
      <c r="M2968" s="369" cm="1">
        <f t="array" ref="M2968">+_xlfn.IFS((C2968&gt;='Resultats - informe'!$D$26)*(C2968&lt;='Resultats - informe'!$E$26),0,(C2968&gt;='Resultats - informe'!$D$27)*(C2968&lt;='Resultats - informe'!$E$27),0,(C2968&gt;='Resultats - informe'!$D$28)*(C2968&lt;='Resultats - informe'!$E$28),0,(C2968&gt;='Resultats - informe'!$D$29)*(C2968&lt;='Resultats - informe'!$E$29),0,1,1)</f>
        <v>0</v>
      </c>
      <c r="N2968" s="366">
        <f>+VLOOKUP(D2968,'Resultats - informe'!$Y$18:$AG$42,'Introducció dades consum'!K2968+1,0)</f>
        <v>0</v>
      </c>
      <c r="O2968" s="370" cm="1">
        <f t="array" ref="O2968">+_xlfn.SWITCH(MONTH(C2968),1,1,2,1,3,1,4,2,5,2,6,3,7,3,8,3,9,3,10,2,11,2,12,1,2)</f>
        <v>1</v>
      </c>
      <c r="P2968" s="43"/>
    </row>
    <row r="2969" spans="1:16" ht="18" x14ac:dyDescent="0.35">
      <c r="A2969" s="43"/>
      <c r="C2969" s="393"/>
      <c r="E2969" s="394"/>
      <c r="F2969" s="394">
        <v>1.946</v>
      </c>
      <c r="G2969" s="394"/>
      <c r="H2969" s="8" t="s">
        <v>61</v>
      </c>
      <c r="I2969" s="368">
        <f t="shared" si="139"/>
        <v>0</v>
      </c>
      <c r="J2969" s="365">
        <f t="shared" si="138"/>
        <v>0</v>
      </c>
      <c r="K2969" s="369">
        <f t="shared" si="140"/>
        <v>6</v>
      </c>
      <c r="L2969" s="369">
        <f>+IF((C2969&gt;='Resultats - informe'!$E$16)*(C2969&lt;='Resultats - informe'!$G$16),1,0)</f>
        <v>1</v>
      </c>
      <c r="M2969" s="369" cm="1">
        <f t="array" ref="M2969">+_xlfn.IFS((C2969&gt;='Resultats - informe'!$D$26)*(C2969&lt;='Resultats - informe'!$E$26),0,(C2969&gt;='Resultats - informe'!$D$27)*(C2969&lt;='Resultats - informe'!$E$27),0,(C2969&gt;='Resultats - informe'!$D$28)*(C2969&lt;='Resultats - informe'!$E$28),0,(C2969&gt;='Resultats - informe'!$D$29)*(C2969&lt;='Resultats - informe'!$E$29),0,1,1)</f>
        <v>0</v>
      </c>
      <c r="N2969" s="366">
        <f>+VLOOKUP(D2969,'Resultats - informe'!$Y$18:$AG$42,'Introducció dades consum'!K2969+1,0)</f>
        <v>0</v>
      </c>
      <c r="O2969" s="370" cm="1">
        <f t="array" ref="O2969">+_xlfn.SWITCH(MONTH(C2969),1,1,2,1,3,1,4,2,5,2,6,3,7,3,8,3,9,3,10,2,11,2,12,1,2)</f>
        <v>1</v>
      </c>
      <c r="P2969" s="43"/>
    </row>
    <row r="2970" spans="1:16" ht="18" x14ac:dyDescent="0.35">
      <c r="A2970" s="43"/>
      <c r="C2970" s="393"/>
      <c r="E2970" s="394"/>
      <c r="F2970" s="394">
        <v>6.8410000000000002</v>
      </c>
      <c r="G2970" s="394"/>
      <c r="H2970" s="8" t="s">
        <v>61</v>
      </c>
      <c r="I2970" s="368">
        <f t="shared" si="139"/>
        <v>0</v>
      </c>
      <c r="J2970" s="365">
        <f t="shared" si="138"/>
        <v>0</v>
      </c>
      <c r="K2970" s="369">
        <f t="shared" si="140"/>
        <v>6</v>
      </c>
      <c r="L2970" s="369">
        <f>+IF((C2970&gt;='Resultats - informe'!$E$16)*(C2970&lt;='Resultats - informe'!$G$16),1,0)</f>
        <v>1</v>
      </c>
      <c r="M2970" s="369" cm="1">
        <f t="array" ref="M2970">+_xlfn.IFS((C2970&gt;='Resultats - informe'!$D$26)*(C2970&lt;='Resultats - informe'!$E$26),0,(C2970&gt;='Resultats - informe'!$D$27)*(C2970&lt;='Resultats - informe'!$E$27),0,(C2970&gt;='Resultats - informe'!$D$28)*(C2970&lt;='Resultats - informe'!$E$28),0,(C2970&gt;='Resultats - informe'!$D$29)*(C2970&lt;='Resultats - informe'!$E$29),0,1,1)</f>
        <v>0</v>
      </c>
      <c r="N2970" s="366">
        <f>+VLOOKUP(D2970,'Resultats - informe'!$Y$18:$AG$42,'Introducció dades consum'!K2970+1,0)</f>
        <v>0</v>
      </c>
      <c r="O2970" s="370" cm="1">
        <f t="array" ref="O2970">+_xlfn.SWITCH(MONTH(C2970),1,1,2,1,3,1,4,2,5,2,6,3,7,3,8,3,9,3,10,2,11,2,12,1,2)</f>
        <v>1</v>
      </c>
      <c r="P2970" s="43"/>
    </row>
    <row r="2971" spans="1:16" ht="18" x14ac:dyDescent="0.35">
      <c r="A2971" s="43"/>
      <c r="C2971" s="393"/>
      <c r="E2971" s="394"/>
      <c r="F2971" s="394">
        <v>1.577</v>
      </c>
      <c r="G2971" s="394"/>
      <c r="H2971" s="8" t="s">
        <v>235</v>
      </c>
      <c r="I2971" s="368">
        <f t="shared" si="139"/>
        <v>0</v>
      </c>
      <c r="J2971" s="365">
        <f t="shared" si="138"/>
        <v>0</v>
      </c>
      <c r="K2971" s="369">
        <f t="shared" si="140"/>
        <v>6</v>
      </c>
      <c r="L2971" s="369">
        <f>+IF((C2971&gt;='Resultats - informe'!$E$16)*(C2971&lt;='Resultats - informe'!$G$16),1,0)</f>
        <v>1</v>
      </c>
      <c r="M2971" s="369" cm="1">
        <f t="array" ref="M2971">+_xlfn.IFS((C2971&gt;='Resultats - informe'!$D$26)*(C2971&lt;='Resultats - informe'!$E$26),0,(C2971&gt;='Resultats - informe'!$D$27)*(C2971&lt;='Resultats - informe'!$E$27),0,(C2971&gt;='Resultats - informe'!$D$28)*(C2971&lt;='Resultats - informe'!$E$28),0,(C2971&gt;='Resultats - informe'!$D$29)*(C2971&lt;='Resultats - informe'!$E$29),0,1,1)</f>
        <v>0</v>
      </c>
      <c r="N2971" s="366">
        <f>+VLOOKUP(D2971,'Resultats - informe'!$Y$18:$AG$42,'Introducció dades consum'!K2971+1,0)</f>
        <v>0</v>
      </c>
      <c r="O2971" s="370" cm="1">
        <f t="array" ref="O2971">+_xlfn.SWITCH(MONTH(C2971),1,1,2,1,3,1,4,2,5,2,6,3,7,3,8,3,9,3,10,2,11,2,12,1,2)</f>
        <v>1</v>
      </c>
      <c r="P2971" s="43"/>
    </row>
    <row r="2972" spans="1:16" ht="18" x14ac:dyDescent="0.35">
      <c r="A2972" s="43"/>
      <c r="C2972" s="393"/>
      <c r="E2972" s="394"/>
      <c r="F2972" s="394">
        <v>0.75800000000000001</v>
      </c>
      <c r="G2972" s="394"/>
      <c r="H2972" s="8" t="s">
        <v>235</v>
      </c>
      <c r="I2972" s="368">
        <f t="shared" si="139"/>
        <v>0</v>
      </c>
      <c r="J2972" s="365">
        <f t="shared" si="138"/>
        <v>0</v>
      </c>
      <c r="K2972" s="369">
        <f t="shared" si="140"/>
        <v>6</v>
      </c>
      <c r="L2972" s="369">
        <f>+IF((C2972&gt;='Resultats - informe'!$E$16)*(C2972&lt;='Resultats - informe'!$G$16),1,0)</f>
        <v>1</v>
      </c>
      <c r="M2972" s="369" cm="1">
        <f t="array" ref="M2972">+_xlfn.IFS((C2972&gt;='Resultats - informe'!$D$26)*(C2972&lt;='Resultats - informe'!$E$26),0,(C2972&gt;='Resultats - informe'!$D$27)*(C2972&lt;='Resultats - informe'!$E$27),0,(C2972&gt;='Resultats - informe'!$D$28)*(C2972&lt;='Resultats - informe'!$E$28),0,(C2972&gt;='Resultats - informe'!$D$29)*(C2972&lt;='Resultats - informe'!$E$29),0,1,1)</f>
        <v>0</v>
      </c>
      <c r="N2972" s="366">
        <f>+VLOOKUP(D2972,'Resultats - informe'!$Y$18:$AG$42,'Introducció dades consum'!K2972+1,0)</f>
        <v>0</v>
      </c>
      <c r="O2972" s="370" cm="1">
        <f t="array" ref="O2972">+_xlfn.SWITCH(MONTH(C2972),1,1,2,1,3,1,4,2,5,2,6,3,7,3,8,3,9,3,10,2,11,2,12,1,2)</f>
        <v>1</v>
      </c>
      <c r="P2972" s="43"/>
    </row>
    <row r="2973" spans="1:16" ht="18" x14ac:dyDescent="0.35">
      <c r="A2973" s="43"/>
      <c r="C2973" s="393"/>
      <c r="E2973" s="394"/>
      <c r="F2973" s="394">
        <v>1.0920000000000001</v>
      </c>
      <c r="G2973" s="394"/>
      <c r="H2973" s="8" t="s">
        <v>61</v>
      </c>
      <c r="I2973" s="368">
        <f t="shared" si="139"/>
        <v>0</v>
      </c>
      <c r="J2973" s="365">
        <f t="shared" si="138"/>
        <v>0</v>
      </c>
      <c r="K2973" s="369">
        <f t="shared" si="140"/>
        <v>6</v>
      </c>
      <c r="L2973" s="369">
        <f>+IF((C2973&gt;='Resultats - informe'!$E$16)*(C2973&lt;='Resultats - informe'!$G$16),1,0)</f>
        <v>1</v>
      </c>
      <c r="M2973" s="369" cm="1">
        <f t="array" ref="M2973">+_xlfn.IFS((C2973&gt;='Resultats - informe'!$D$26)*(C2973&lt;='Resultats - informe'!$E$26),0,(C2973&gt;='Resultats - informe'!$D$27)*(C2973&lt;='Resultats - informe'!$E$27),0,(C2973&gt;='Resultats - informe'!$D$28)*(C2973&lt;='Resultats - informe'!$E$28),0,(C2973&gt;='Resultats - informe'!$D$29)*(C2973&lt;='Resultats - informe'!$E$29),0,1,1)</f>
        <v>0</v>
      </c>
      <c r="N2973" s="366">
        <f>+VLOOKUP(D2973,'Resultats - informe'!$Y$18:$AG$42,'Introducció dades consum'!K2973+1,0)</f>
        <v>0</v>
      </c>
      <c r="O2973" s="370" cm="1">
        <f t="array" ref="O2973">+_xlfn.SWITCH(MONTH(C2973),1,1,2,1,3,1,4,2,5,2,6,3,7,3,8,3,9,3,10,2,11,2,12,1,2)</f>
        <v>1</v>
      </c>
      <c r="P2973" s="43"/>
    </row>
    <row r="2974" spans="1:16" ht="18" x14ac:dyDescent="0.35">
      <c r="A2974" s="43"/>
      <c r="C2974" s="393"/>
      <c r="E2974" s="394"/>
      <c r="F2974" s="394">
        <v>8.5999999999999993E-2</v>
      </c>
      <c r="G2974" s="394"/>
      <c r="H2974" s="8" t="s">
        <v>61</v>
      </c>
      <c r="I2974" s="368">
        <f t="shared" si="139"/>
        <v>0</v>
      </c>
      <c r="J2974" s="365">
        <f t="shared" si="138"/>
        <v>0</v>
      </c>
      <c r="K2974" s="369">
        <f t="shared" si="140"/>
        <v>6</v>
      </c>
      <c r="L2974" s="369">
        <f>+IF((C2974&gt;='Resultats - informe'!$E$16)*(C2974&lt;='Resultats - informe'!$G$16),1,0)</f>
        <v>1</v>
      </c>
      <c r="M2974" s="369" cm="1">
        <f t="array" ref="M2974">+_xlfn.IFS((C2974&gt;='Resultats - informe'!$D$26)*(C2974&lt;='Resultats - informe'!$E$26),0,(C2974&gt;='Resultats - informe'!$D$27)*(C2974&lt;='Resultats - informe'!$E$27),0,(C2974&gt;='Resultats - informe'!$D$28)*(C2974&lt;='Resultats - informe'!$E$28),0,(C2974&gt;='Resultats - informe'!$D$29)*(C2974&lt;='Resultats - informe'!$E$29),0,1,1)</f>
        <v>0</v>
      </c>
      <c r="N2974" s="366">
        <f>+VLOOKUP(D2974,'Resultats - informe'!$Y$18:$AG$42,'Introducció dades consum'!K2974+1,0)</f>
        <v>0</v>
      </c>
      <c r="O2974" s="370" cm="1">
        <f t="array" ref="O2974">+_xlfn.SWITCH(MONTH(C2974),1,1,2,1,3,1,4,2,5,2,6,3,7,3,8,3,9,3,10,2,11,2,12,1,2)</f>
        <v>1</v>
      </c>
      <c r="P2974" s="43"/>
    </row>
    <row r="2975" spans="1:16" ht="18" x14ac:dyDescent="0.35">
      <c r="A2975" s="43"/>
      <c r="C2975" s="393"/>
      <c r="E2975" s="394"/>
      <c r="F2975" s="394">
        <v>0</v>
      </c>
      <c r="G2975" s="394"/>
      <c r="H2975" s="8" t="s">
        <v>235</v>
      </c>
      <c r="I2975" s="368">
        <f t="shared" si="139"/>
        <v>0</v>
      </c>
      <c r="J2975" s="365">
        <f t="shared" si="138"/>
        <v>0</v>
      </c>
      <c r="K2975" s="369">
        <f t="shared" si="140"/>
        <v>6</v>
      </c>
      <c r="L2975" s="369">
        <f>+IF((C2975&gt;='Resultats - informe'!$E$16)*(C2975&lt;='Resultats - informe'!$G$16),1,0)</f>
        <v>1</v>
      </c>
      <c r="M2975" s="369" cm="1">
        <f t="array" ref="M2975">+_xlfn.IFS((C2975&gt;='Resultats - informe'!$D$26)*(C2975&lt;='Resultats - informe'!$E$26),0,(C2975&gt;='Resultats - informe'!$D$27)*(C2975&lt;='Resultats - informe'!$E$27),0,(C2975&gt;='Resultats - informe'!$D$28)*(C2975&lt;='Resultats - informe'!$E$28),0,(C2975&gt;='Resultats - informe'!$D$29)*(C2975&lt;='Resultats - informe'!$E$29),0,1,1)</f>
        <v>0</v>
      </c>
      <c r="N2975" s="366">
        <f>+VLOOKUP(D2975,'Resultats - informe'!$Y$18:$AG$42,'Introducció dades consum'!K2975+1,0)</f>
        <v>0</v>
      </c>
      <c r="O2975" s="370" cm="1">
        <f t="array" ref="O2975">+_xlfn.SWITCH(MONTH(C2975),1,1,2,1,3,1,4,2,5,2,6,3,7,3,8,3,9,3,10,2,11,2,12,1,2)</f>
        <v>1</v>
      </c>
      <c r="P2975" s="43"/>
    </row>
    <row r="2976" spans="1:16" ht="18" x14ac:dyDescent="0.35">
      <c r="A2976" s="43"/>
      <c r="C2976" s="393"/>
      <c r="E2976" s="394"/>
      <c r="F2976" s="394">
        <v>0</v>
      </c>
      <c r="G2976" s="394"/>
      <c r="H2976" s="8" t="s">
        <v>235</v>
      </c>
      <c r="I2976" s="368">
        <f t="shared" si="139"/>
        <v>0</v>
      </c>
      <c r="J2976" s="365">
        <f t="shared" si="138"/>
        <v>0</v>
      </c>
      <c r="K2976" s="369">
        <f t="shared" si="140"/>
        <v>6</v>
      </c>
      <c r="L2976" s="369">
        <f>+IF((C2976&gt;='Resultats - informe'!$E$16)*(C2976&lt;='Resultats - informe'!$G$16),1,0)</f>
        <v>1</v>
      </c>
      <c r="M2976" s="369" cm="1">
        <f t="array" ref="M2976">+_xlfn.IFS((C2976&gt;='Resultats - informe'!$D$26)*(C2976&lt;='Resultats - informe'!$E$26),0,(C2976&gt;='Resultats - informe'!$D$27)*(C2976&lt;='Resultats - informe'!$E$27),0,(C2976&gt;='Resultats - informe'!$D$28)*(C2976&lt;='Resultats - informe'!$E$28),0,(C2976&gt;='Resultats - informe'!$D$29)*(C2976&lt;='Resultats - informe'!$E$29),0,1,1)</f>
        <v>0</v>
      </c>
      <c r="N2976" s="366">
        <f>+VLOOKUP(D2976,'Resultats - informe'!$Y$18:$AG$42,'Introducció dades consum'!K2976+1,0)</f>
        <v>0</v>
      </c>
      <c r="O2976" s="370" cm="1">
        <f t="array" ref="O2976">+_xlfn.SWITCH(MONTH(C2976),1,1,2,1,3,1,4,2,5,2,6,3,7,3,8,3,9,3,10,2,11,2,12,1,2)</f>
        <v>1</v>
      </c>
      <c r="P2976" s="43"/>
    </row>
    <row r="2977" spans="1:16" ht="18" x14ac:dyDescent="0.35">
      <c r="A2977" s="43"/>
      <c r="C2977" s="393"/>
      <c r="E2977" s="394"/>
      <c r="F2977" s="394">
        <v>0</v>
      </c>
      <c r="G2977" s="394"/>
      <c r="H2977" s="8" t="s">
        <v>235</v>
      </c>
      <c r="I2977" s="368">
        <f t="shared" si="139"/>
        <v>0</v>
      </c>
      <c r="J2977" s="365">
        <f t="shared" si="138"/>
        <v>0</v>
      </c>
      <c r="K2977" s="369">
        <f t="shared" si="140"/>
        <v>6</v>
      </c>
      <c r="L2977" s="369">
        <f>+IF((C2977&gt;='Resultats - informe'!$E$16)*(C2977&lt;='Resultats - informe'!$G$16),1,0)</f>
        <v>1</v>
      </c>
      <c r="M2977" s="369" cm="1">
        <f t="array" ref="M2977">+_xlfn.IFS((C2977&gt;='Resultats - informe'!$D$26)*(C2977&lt;='Resultats - informe'!$E$26),0,(C2977&gt;='Resultats - informe'!$D$27)*(C2977&lt;='Resultats - informe'!$E$27),0,(C2977&gt;='Resultats - informe'!$D$28)*(C2977&lt;='Resultats - informe'!$E$28),0,(C2977&gt;='Resultats - informe'!$D$29)*(C2977&lt;='Resultats - informe'!$E$29),0,1,1)</f>
        <v>0</v>
      </c>
      <c r="N2977" s="366">
        <f>+VLOOKUP(D2977,'Resultats - informe'!$Y$18:$AG$42,'Introducció dades consum'!K2977+1,0)</f>
        <v>0</v>
      </c>
      <c r="O2977" s="370" cm="1">
        <f t="array" ref="O2977">+_xlfn.SWITCH(MONTH(C2977),1,1,2,1,3,1,4,2,5,2,6,3,7,3,8,3,9,3,10,2,11,2,12,1,2)</f>
        <v>1</v>
      </c>
      <c r="P2977" s="43"/>
    </row>
    <row r="2978" spans="1:16" ht="18" x14ac:dyDescent="0.35">
      <c r="A2978" s="43"/>
      <c r="C2978" s="393"/>
      <c r="E2978" s="394"/>
      <c r="F2978" s="394">
        <v>0</v>
      </c>
      <c r="G2978" s="394"/>
      <c r="H2978" s="8" t="s">
        <v>235</v>
      </c>
      <c r="I2978" s="368">
        <f t="shared" si="139"/>
        <v>0</v>
      </c>
      <c r="J2978" s="365">
        <f t="shared" si="138"/>
        <v>0</v>
      </c>
      <c r="K2978" s="369">
        <f t="shared" si="140"/>
        <v>6</v>
      </c>
      <c r="L2978" s="369">
        <f>+IF((C2978&gt;='Resultats - informe'!$E$16)*(C2978&lt;='Resultats - informe'!$G$16),1,0)</f>
        <v>1</v>
      </c>
      <c r="M2978" s="369" cm="1">
        <f t="array" ref="M2978">+_xlfn.IFS((C2978&gt;='Resultats - informe'!$D$26)*(C2978&lt;='Resultats - informe'!$E$26),0,(C2978&gt;='Resultats - informe'!$D$27)*(C2978&lt;='Resultats - informe'!$E$27),0,(C2978&gt;='Resultats - informe'!$D$28)*(C2978&lt;='Resultats - informe'!$E$28),0,(C2978&gt;='Resultats - informe'!$D$29)*(C2978&lt;='Resultats - informe'!$E$29),0,1,1)</f>
        <v>0</v>
      </c>
      <c r="N2978" s="366">
        <f>+VLOOKUP(D2978,'Resultats - informe'!$Y$18:$AG$42,'Introducció dades consum'!K2978+1,0)</f>
        <v>0</v>
      </c>
      <c r="O2978" s="370" cm="1">
        <f t="array" ref="O2978">+_xlfn.SWITCH(MONTH(C2978),1,1,2,1,3,1,4,2,5,2,6,3,7,3,8,3,9,3,10,2,11,2,12,1,2)</f>
        <v>1</v>
      </c>
      <c r="P2978" s="43"/>
    </row>
    <row r="2979" spans="1:16" ht="18" x14ac:dyDescent="0.35">
      <c r="A2979" s="43"/>
      <c r="C2979" s="393"/>
      <c r="E2979" s="394"/>
      <c r="F2979" s="394">
        <v>0</v>
      </c>
      <c r="G2979" s="394"/>
      <c r="H2979" s="8" t="s">
        <v>235</v>
      </c>
      <c r="I2979" s="368">
        <f t="shared" si="139"/>
        <v>0</v>
      </c>
      <c r="J2979" s="365">
        <f t="shared" si="138"/>
        <v>0</v>
      </c>
      <c r="K2979" s="369">
        <f t="shared" si="140"/>
        <v>6</v>
      </c>
      <c r="L2979" s="369">
        <f>+IF((C2979&gt;='Resultats - informe'!$E$16)*(C2979&lt;='Resultats - informe'!$G$16),1,0)</f>
        <v>1</v>
      </c>
      <c r="M2979" s="369" cm="1">
        <f t="array" ref="M2979">+_xlfn.IFS((C2979&gt;='Resultats - informe'!$D$26)*(C2979&lt;='Resultats - informe'!$E$26),0,(C2979&gt;='Resultats - informe'!$D$27)*(C2979&lt;='Resultats - informe'!$E$27),0,(C2979&gt;='Resultats - informe'!$D$28)*(C2979&lt;='Resultats - informe'!$E$28),0,(C2979&gt;='Resultats - informe'!$D$29)*(C2979&lt;='Resultats - informe'!$E$29),0,1,1)</f>
        <v>0</v>
      </c>
      <c r="N2979" s="366">
        <f>+VLOOKUP(D2979,'Resultats - informe'!$Y$18:$AG$42,'Introducció dades consum'!K2979+1,0)</f>
        <v>0</v>
      </c>
      <c r="O2979" s="370" cm="1">
        <f t="array" ref="O2979">+_xlfn.SWITCH(MONTH(C2979),1,1,2,1,3,1,4,2,5,2,6,3,7,3,8,3,9,3,10,2,11,2,12,1,2)</f>
        <v>1</v>
      </c>
      <c r="P2979" s="43"/>
    </row>
    <row r="2980" spans="1:16" ht="18" x14ac:dyDescent="0.35">
      <c r="A2980" s="43"/>
      <c r="C2980" s="393"/>
      <c r="E2980" s="394"/>
      <c r="F2980" s="394">
        <v>0</v>
      </c>
      <c r="G2980" s="394"/>
      <c r="H2980" s="8" t="s">
        <v>235</v>
      </c>
      <c r="I2980" s="368">
        <f t="shared" si="139"/>
        <v>0</v>
      </c>
      <c r="J2980" s="365">
        <f t="shared" si="138"/>
        <v>0</v>
      </c>
      <c r="K2980" s="369">
        <f t="shared" si="140"/>
        <v>6</v>
      </c>
      <c r="L2980" s="369">
        <f>+IF((C2980&gt;='Resultats - informe'!$E$16)*(C2980&lt;='Resultats - informe'!$G$16),1,0)</f>
        <v>1</v>
      </c>
      <c r="M2980" s="369" cm="1">
        <f t="array" ref="M2980">+_xlfn.IFS((C2980&gt;='Resultats - informe'!$D$26)*(C2980&lt;='Resultats - informe'!$E$26),0,(C2980&gt;='Resultats - informe'!$D$27)*(C2980&lt;='Resultats - informe'!$E$27),0,(C2980&gt;='Resultats - informe'!$D$28)*(C2980&lt;='Resultats - informe'!$E$28),0,(C2980&gt;='Resultats - informe'!$D$29)*(C2980&lt;='Resultats - informe'!$E$29),0,1,1)</f>
        <v>0</v>
      </c>
      <c r="N2980" s="366">
        <f>+VLOOKUP(D2980,'Resultats - informe'!$Y$18:$AG$42,'Introducció dades consum'!K2980+1,0)</f>
        <v>0</v>
      </c>
      <c r="O2980" s="370" cm="1">
        <f t="array" ref="O2980">+_xlfn.SWITCH(MONTH(C2980),1,1,2,1,3,1,4,2,5,2,6,3,7,3,8,3,9,3,10,2,11,2,12,1,2)</f>
        <v>1</v>
      </c>
      <c r="P2980" s="43"/>
    </row>
    <row r="2981" spans="1:16" ht="18" x14ac:dyDescent="0.35">
      <c r="A2981" s="43"/>
      <c r="C2981" s="393"/>
      <c r="E2981" s="394"/>
      <c r="F2981" s="394">
        <v>0</v>
      </c>
      <c r="G2981" s="394"/>
      <c r="H2981" s="8" t="s">
        <v>61</v>
      </c>
      <c r="I2981" s="368">
        <f t="shared" si="139"/>
        <v>0</v>
      </c>
      <c r="J2981" s="365">
        <f t="shared" si="138"/>
        <v>0</v>
      </c>
      <c r="K2981" s="369">
        <f t="shared" si="140"/>
        <v>6</v>
      </c>
      <c r="L2981" s="369">
        <f>+IF((C2981&gt;='Resultats - informe'!$E$16)*(C2981&lt;='Resultats - informe'!$G$16),1,0)</f>
        <v>1</v>
      </c>
      <c r="M2981" s="369" cm="1">
        <f t="array" ref="M2981">+_xlfn.IFS((C2981&gt;='Resultats - informe'!$D$26)*(C2981&lt;='Resultats - informe'!$E$26),0,(C2981&gt;='Resultats - informe'!$D$27)*(C2981&lt;='Resultats - informe'!$E$27),0,(C2981&gt;='Resultats - informe'!$D$28)*(C2981&lt;='Resultats - informe'!$E$28),0,(C2981&gt;='Resultats - informe'!$D$29)*(C2981&lt;='Resultats - informe'!$E$29),0,1,1)</f>
        <v>0</v>
      </c>
      <c r="N2981" s="366">
        <f>+VLOOKUP(D2981,'Resultats - informe'!$Y$18:$AG$42,'Introducció dades consum'!K2981+1,0)</f>
        <v>0</v>
      </c>
      <c r="O2981" s="370" cm="1">
        <f t="array" ref="O2981">+_xlfn.SWITCH(MONTH(C2981),1,1,2,1,3,1,4,2,5,2,6,3,7,3,8,3,9,3,10,2,11,2,12,1,2)</f>
        <v>1</v>
      </c>
      <c r="P2981" s="43"/>
    </row>
    <row r="2982" spans="1:16" ht="18" x14ac:dyDescent="0.35">
      <c r="A2982" s="43"/>
      <c r="C2982" s="393"/>
      <c r="E2982" s="394"/>
      <c r="F2982" s="394">
        <v>0</v>
      </c>
      <c r="G2982" s="394"/>
      <c r="H2982" s="8" t="s">
        <v>61</v>
      </c>
      <c r="I2982" s="368">
        <f t="shared" si="139"/>
        <v>0</v>
      </c>
      <c r="J2982" s="365">
        <f t="shared" si="138"/>
        <v>0</v>
      </c>
      <c r="K2982" s="369">
        <f t="shared" si="140"/>
        <v>6</v>
      </c>
      <c r="L2982" s="369">
        <f>+IF((C2982&gt;='Resultats - informe'!$E$16)*(C2982&lt;='Resultats - informe'!$G$16),1,0)</f>
        <v>1</v>
      </c>
      <c r="M2982" s="369" cm="1">
        <f t="array" ref="M2982">+_xlfn.IFS((C2982&gt;='Resultats - informe'!$D$26)*(C2982&lt;='Resultats - informe'!$E$26),0,(C2982&gt;='Resultats - informe'!$D$27)*(C2982&lt;='Resultats - informe'!$E$27),0,(C2982&gt;='Resultats - informe'!$D$28)*(C2982&lt;='Resultats - informe'!$E$28),0,(C2982&gt;='Resultats - informe'!$D$29)*(C2982&lt;='Resultats - informe'!$E$29),0,1,1)</f>
        <v>0</v>
      </c>
      <c r="N2982" s="366">
        <f>+VLOOKUP(D2982,'Resultats - informe'!$Y$18:$AG$42,'Introducció dades consum'!K2982+1,0)</f>
        <v>0</v>
      </c>
      <c r="O2982" s="370" cm="1">
        <f t="array" ref="O2982">+_xlfn.SWITCH(MONTH(C2982),1,1,2,1,3,1,4,2,5,2,6,3,7,3,8,3,9,3,10,2,11,2,12,1,2)</f>
        <v>1</v>
      </c>
      <c r="P2982" s="43"/>
    </row>
    <row r="2983" spans="1:16" ht="18" x14ac:dyDescent="0.35">
      <c r="A2983" s="43"/>
      <c r="C2983" s="393"/>
      <c r="E2983" s="394"/>
      <c r="F2983" s="394">
        <v>0</v>
      </c>
      <c r="G2983" s="394"/>
      <c r="H2983" s="8" t="s">
        <v>61</v>
      </c>
      <c r="I2983" s="368">
        <f t="shared" si="139"/>
        <v>0</v>
      </c>
      <c r="J2983" s="365">
        <f t="shared" si="138"/>
        <v>0</v>
      </c>
      <c r="K2983" s="369">
        <f t="shared" si="140"/>
        <v>6</v>
      </c>
      <c r="L2983" s="369">
        <f>+IF((C2983&gt;='Resultats - informe'!$E$16)*(C2983&lt;='Resultats - informe'!$G$16),1,0)</f>
        <v>1</v>
      </c>
      <c r="M2983" s="369" cm="1">
        <f t="array" ref="M2983">+_xlfn.IFS((C2983&gt;='Resultats - informe'!$D$26)*(C2983&lt;='Resultats - informe'!$E$26),0,(C2983&gt;='Resultats - informe'!$D$27)*(C2983&lt;='Resultats - informe'!$E$27),0,(C2983&gt;='Resultats - informe'!$D$28)*(C2983&lt;='Resultats - informe'!$E$28),0,(C2983&gt;='Resultats - informe'!$D$29)*(C2983&lt;='Resultats - informe'!$E$29),0,1,1)</f>
        <v>0</v>
      </c>
      <c r="N2983" s="366">
        <f>+VLOOKUP(D2983,'Resultats - informe'!$Y$18:$AG$42,'Introducció dades consum'!K2983+1,0)</f>
        <v>0</v>
      </c>
      <c r="O2983" s="370" cm="1">
        <f t="array" ref="O2983">+_xlfn.SWITCH(MONTH(C2983),1,1,2,1,3,1,4,2,5,2,6,3,7,3,8,3,9,3,10,2,11,2,12,1,2)</f>
        <v>1</v>
      </c>
      <c r="P2983" s="43"/>
    </row>
    <row r="2984" spans="1:16" ht="18" x14ac:dyDescent="0.35">
      <c r="A2984" s="43"/>
      <c r="C2984" s="393"/>
      <c r="E2984" s="394"/>
      <c r="F2984" s="394">
        <v>0</v>
      </c>
      <c r="G2984" s="394"/>
      <c r="H2984" s="8" t="s">
        <v>61</v>
      </c>
      <c r="I2984" s="368">
        <f t="shared" si="139"/>
        <v>0</v>
      </c>
      <c r="J2984" s="365">
        <f t="shared" si="138"/>
        <v>0</v>
      </c>
      <c r="K2984" s="369">
        <f t="shared" si="140"/>
        <v>6</v>
      </c>
      <c r="L2984" s="369">
        <f>+IF((C2984&gt;='Resultats - informe'!$E$16)*(C2984&lt;='Resultats - informe'!$G$16),1,0)</f>
        <v>1</v>
      </c>
      <c r="M2984" s="369" cm="1">
        <f t="array" ref="M2984">+_xlfn.IFS((C2984&gt;='Resultats - informe'!$D$26)*(C2984&lt;='Resultats - informe'!$E$26),0,(C2984&gt;='Resultats - informe'!$D$27)*(C2984&lt;='Resultats - informe'!$E$27),0,(C2984&gt;='Resultats - informe'!$D$28)*(C2984&lt;='Resultats - informe'!$E$28),0,(C2984&gt;='Resultats - informe'!$D$29)*(C2984&lt;='Resultats - informe'!$E$29),0,1,1)</f>
        <v>0</v>
      </c>
      <c r="N2984" s="366">
        <f>+VLOOKUP(D2984,'Resultats - informe'!$Y$18:$AG$42,'Introducció dades consum'!K2984+1,0)</f>
        <v>0</v>
      </c>
      <c r="O2984" s="370" cm="1">
        <f t="array" ref="O2984">+_xlfn.SWITCH(MONTH(C2984),1,1,2,1,3,1,4,2,5,2,6,3,7,3,8,3,9,3,10,2,11,2,12,1,2)</f>
        <v>1</v>
      </c>
      <c r="P2984" s="43"/>
    </row>
    <row r="2985" spans="1:16" ht="18" x14ac:dyDescent="0.35">
      <c r="A2985" s="43"/>
      <c r="C2985" s="393"/>
      <c r="E2985" s="394"/>
      <c r="F2985" s="394">
        <v>0</v>
      </c>
      <c r="G2985" s="394"/>
      <c r="H2985" s="8" t="s">
        <v>61</v>
      </c>
      <c r="I2985" s="368">
        <f t="shared" si="139"/>
        <v>0</v>
      </c>
      <c r="J2985" s="365">
        <f t="shared" si="138"/>
        <v>0</v>
      </c>
      <c r="K2985" s="369">
        <f t="shared" si="140"/>
        <v>6</v>
      </c>
      <c r="L2985" s="369">
        <f>+IF((C2985&gt;='Resultats - informe'!$E$16)*(C2985&lt;='Resultats - informe'!$G$16),1,0)</f>
        <v>1</v>
      </c>
      <c r="M2985" s="369" cm="1">
        <f t="array" ref="M2985">+_xlfn.IFS((C2985&gt;='Resultats - informe'!$D$26)*(C2985&lt;='Resultats - informe'!$E$26),0,(C2985&gt;='Resultats - informe'!$D$27)*(C2985&lt;='Resultats - informe'!$E$27),0,(C2985&gt;='Resultats - informe'!$D$28)*(C2985&lt;='Resultats - informe'!$E$28),0,(C2985&gt;='Resultats - informe'!$D$29)*(C2985&lt;='Resultats - informe'!$E$29),0,1,1)</f>
        <v>0</v>
      </c>
      <c r="N2985" s="366">
        <f>+VLOOKUP(D2985,'Resultats - informe'!$Y$18:$AG$42,'Introducció dades consum'!K2985+1,0)</f>
        <v>0</v>
      </c>
      <c r="O2985" s="370" cm="1">
        <f t="array" ref="O2985">+_xlfn.SWITCH(MONTH(C2985),1,1,2,1,3,1,4,2,5,2,6,3,7,3,8,3,9,3,10,2,11,2,12,1,2)</f>
        <v>1</v>
      </c>
      <c r="P2985" s="43"/>
    </row>
    <row r="2986" spans="1:16" ht="18" x14ac:dyDescent="0.35">
      <c r="A2986" s="43"/>
      <c r="C2986" s="393"/>
      <c r="E2986" s="394"/>
      <c r="F2986" s="394">
        <v>1.004</v>
      </c>
      <c r="G2986" s="394"/>
      <c r="H2986" s="8" t="s">
        <v>235</v>
      </c>
      <c r="I2986" s="368">
        <f t="shared" si="139"/>
        <v>0</v>
      </c>
      <c r="J2986" s="365">
        <f t="shared" si="138"/>
        <v>0</v>
      </c>
      <c r="K2986" s="369">
        <f t="shared" si="140"/>
        <v>6</v>
      </c>
      <c r="L2986" s="369">
        <f>+IF((C2986&gt;='Resultats - informe'!$E$16)*(C2986&lt;='Resultats - informe'!$G$16),1,0)</f>
        <v>1</v>
      </c>
      <c r="M2986" s="369" cm="1">
        <f t="array" ref="M2986">+_xlfn.IFS((C2986&gt;='Resultats - informe'!$D$26)*(C2986&lt;='Resultats - informe'!$E$26),0,(C2986&gt;='Resultats - informe'!$D$27)*(C2986&lt;='Resultats - informe'!$E$27),0,(C2986&gt;='Resultats - informe'!$D$28)*(C2986&lt;='Resultats - informe'!$E$28),0,(C2986&gt;='Resultats - informe'!$D$29)*(C2986&lt;='Resultats - informe'!$E$29),0,1,1)</f>
        <v>0</v>
      </c>
      <c r="N2986" s="366">
        <f>+VLOOKUP(D2986,'Resultats - informe'!$Y$18:$AG$42,'Introducció dades consum'!K2986+1,0)</f>
        <v>0</v>
      </c>
      <c r="O2986" s="370" cm="1">
        <f t="array" ref="O2986">+_xlfn.SWITCH(MONTH(C2986),1,1,2,1,3,1,4,2,5,2,6,3,7,3,8,3,9,3,10,2,11,2,12,1,2)</f>
        <v>1</v>
      </c>
      <c r="P2986" s="43"/>
    </row>
    <row r="2987" spans="1:16" ht="18" x14ac:dyDescent="0.35">
      <c r="A2987" s="43"/>
      <c r="C2987" s="393"/>
      <c r="E2987" s="394"/>
      <c r="F2987" s="394">
        <v>1.786</v>
      </c>
      <c r="G2987" s="394"/>
      <c r="H2987" s="8" t="s">
        <v>235</v>
      </c>
      <c r="I2987" s="368">
        <f t="shared" si="139"/>
        <v>0</v>
      </c>
      <c r="J2987" s="365">
        <f t="shared" si="138"/>
        <v>0</v>
      </c>
      <c r="K2987" s="369">
        <f t="shared" si="140"/>
        <v>6</v>
      </c>
      <c r="L2987" s="369">
        <f>+IF((C2987&gt;='Resultats - informe'!$E$16)*(C2987&lt;='Resultats - informe'!$G$16),1,0)</f>
        <v>1</v>
      </c>
      <c r="M2987" s="369" cm="1">
        <f t="array" ref="M2987">+_xlfn.IFS((C2987&gt;='Resultats - informe'!$D$26)*(C2987&lt;='Resultats - informe'!$E$26),0,(C2987&gt;='Resultats - informe'!$D$27)*(C2987&lt;='Resultats - informe'!$E$27),0,(C2987&gt;='Resultats - informe'!$D$28)*(C2987&lt;='Resultats - informe'!$E$28),0,(C2987&gt;='Resultats - informe'!$D$29)*(C2987&lt;='Resultats - informe'!$E$29),0,1,1)</f>
        <v>0</v>
      </c>
      <c r="N2987" s="366">
        <f>+VLOOKUP(D2987,'Resultats - informe'!$Y$18:$AG$42,'Introducció dades consum'!K2987+1,0)</f>
        <v>0</v>
      </c>
      <c r="O2987" s="370" cm="1">
        <f t="array" ref="O2987">+_xlfn.SWITCH(MONTH(C2987),1,1,2,1,3,1,4,2,5,2,6,3,7,3,8,3,9,3,10,2,11,2,12,1,2)</f>
        <v>1</v>
      </c>
      <c r="P2987" s="43"/>
    </row>
    <row r="2988" spans="1:16" ht="18" x14ac:dyDescent="0.35">
      <c r="A2988" s="43"/>
      <c r="C2988" s="393"/>
      <c r="E2988" s="394"/>
      <c r="F2988" s="394">
        <v>0</v>
      </c>
      <c r="G2988" s="394"/>
      <c r="H2988" s="8" t="s">
        <v>61</v>
      </c>
      <c r="I2988" s="368">
        <f t="shared" si="139"/>
        <v>0</v>
      </c>
      <c r="J2988" s="365">
        <f t="shared" si="138"/>
        <v>0</v>
      </c>
      <c r="K2988" s="369">
        <f t="shared" si="140"/>
        <v>6</v>
      </c>
      <c r="L2988" s="369">
        <f>+IF((C2988&gt;='Resultats - informe'!$E$16)*(C2988&lt;='Resultats - informe'!$G$16),1,0)</f>
        <v>1</v>
      </c>
      <c r="M2988" s="369" cm="1">
        <f t="array" ref="M2988">+_xlfn.IFS((C2988&gt;='Resultats - informe'!$D$26)*(C2988&lt;='Resultats - informe'!$E$26),0,(C2988&gt;='Resultats - informe'!$D$27)*(C2988&lt;='Resultats - informe'!$E$27),0,(C2988&gt;='Resultats - informe'!$D$28)*(C2988&lt;='Resultats - informe'!$E$28),0,(C2988&gt;='Resultats - informe'!$D$29)*(C2988&lt;='Resultats - informe'!$E$29),0,1,1)</f>
        <v>0</v>
      </c>
      <c r="N2988" s="366">
        <f>+VLOOKUP(D2988,'Resultats - informe'!$Y$18:$AG$42,'Introducció dades consum'!K2988+1,0)</f>
        <v>0</v>
      </c>
      <c r="O2988" s="370" cm="1">
        <f t="array" ref="O2988">+_xlfn.SWITCH(MONTH(C2988),1,1,2,1,3,1,4,2,5,2,6,3,7,3,8,3,9,3,10,2,11,2,12,1,2)</f>
        <v>1</v>
      </c>
      <c r="P2988" s="43"/>
    </row>
    <row r="2989" spans="1:16" ht="18" x14ac:dyDescent="0.35">
      <c r="A2989" s="43"/>
      <c r="C2989" s="393"/>
      <c r="E2989" s="394"/>
      <c r="F2989" s="394">
        <v>3.0019999999999998</v>
      </c>
      <c r="G2989" s="394"/>
      <c r="H2989" s="8" t="s">
        <v>235</v>
      </c>
      <c r="I2989" s="368">
        <f t="shared" si="139"/>
        <v>0</v>
      </c>
      <c r="J2989" s="365">
        <f t="shared" si="138"/>
        <v>0</v>
      </c>
      <c r="K2989" s="369">
        <f t="shared" si="140"/>
        <v>6</v>
      </c>
      <c r="L2989" s="369">
        <f>+IF((C2989&gt;='Resultats - informe'!$E$16)*(C2989&lt;='Resultats - informe'!$G$16),1,0)</f>
        <v>1</v>
      </c>
      <c r="M2989" s="369" cm="1">
        <f t="array" ref="M2989">+_xlfn.IFS((C2989&gt;='Resultats - informe'!$D$26)*(C2989&lt;='Resultats - informe'!$E$26),0,(C2989&gt;='Resultats - informe'!$D$27)*(C2989&lt;='Resultats - informe'!$E$27),0,(C2989&gt;='Resultats - informe'!$D$28)*(C2989&lt;='Resultats - informe'!$E$28),0,(C2989&gt;='Resultats - informe'!$D$29)*(C2989&lt;='Resultats - informe'!$E$29),0,1,1)</f>
        <v>0</v>
      </c>
      <c r="N2989" s="366">
        <f>+VLOOKUP(D2989,'Resultats - informe'!$Y$18:$AG$42,'Introducció dades consum'!K2989+1,0)</f>
        <v>0</v>
      </c>
      <c r="O2989" s="370" cm="1">
        <f t="array" ref="O2989">+_xlfn.SWITCH(MONTH(C2989),1,1,2,1,3,1,4,2,5,2,6,3,7,3,8,3,9,3,10,2,11,2,12,1,2)</f>
        <v>1</v>
      </c>
      <c r="P2989" s="43"/>
    </row>
    <row r="2990" spans="1:16" ht="18" x14ac:dyDescent="0.35">
      <c r="A2990" s="43"/>
      <c r="C2990" s="393"/>
      <c r="E2990" s="394"/>
      <c r="F2990" s="394">
        <v>3.371</v>
      </c>
      <c r="G2990" s="394"/>
      <c r="H2990" s="8" t="s">
        <v>235</v>
      </c>
      <c r="I2990" s="368">
        <f t="shared" si="139"/>
        <v>0</v>
      </c>
      <c r="J2990" s="365">
        <f t="shared" si="138"/>
        <v>0</v>
      </c>
      <c r="K2990" s="369">
        <f t="shared" si="140"/>
        <v>6</v>
      </c>
      <c r="L2990" s="369">
        <f>+IF((C2990&gt;='Resultats - informe'!$E$16)*(C2990&lt;='Resultats - informe'!$G$16),1,0)</f>
        <v>1</v>
      </c>
      <c r="M2990" s="369" cm="1">
        <f t="array" ref="M2990">+_xlfn.IFS((C2990&gt;='Resultats - informe'!$D$26)*(C2990&lt;='Resultats - informe'!$E$26),0,(C2990&gt;='Resultats - informe'!$D$27)*(C2990&lt;='Resultats - informe'!$E$27),0,(C2990&gt;='Resultats - informe'!$D$28)*(C2990&lt;='Resultats - informe'!$E$28),0,(C2990&gt;='Resultats - informe'!$D$29)*(C2990&lt;='Resultats - informe'!$E$29),0,1,1)</f>
        <v>0</v>
      </c>
      <c r="N2990" s="366">
        <f>+VLOOKUP(D2990,'Resultats - informe'!$Y$18:$AG$42,'Introducció dades consum'!K2990+1,0)</f>
        <v>0</v>
      </c>
      <c r="O2990" s="370" cm="1">
        <f t="array" ref="O2990">+_xlfn.SWITCH(MONTH(C2990),1,1,2,1,3,1,4,2,5,2,6,3,7,3,8,3,9,3,10,2,11,2,12,1,2)</f>
        <v>1</v>
      </c>
      <c r="P2990" s="43"/>
    </row>
    <row r="2991" spans="1:16" ht="18" x14ac:dyDescent="0.35">
      <c r="A2991" s="43"/>
      <c r="C2991" s="393"/>
      <c r="E2991" s="394"/>
      <c r="F2991" s="394">
        <v>3.722</v>
      </c>
      <c r="G2991" s="394"/>
      <c r="H2991" s="8" t="s">
        <v>235</v>
      </c>
      <c r="I2991" s="368">
        <f t="shared" si="139"/>
        <v>0</v>
      </c>
      <c r="J2991" s="365">
        <f t="shared" si="138"/>
        <v>0</v>
      </c>
      <c r="K2991" s="369">
        <f t="shared" si="140"/>
        <v>6</v>
      </c>
      <c r="L2991" s="369">
        <f>+IF((C2991&gt;='Resultats - informe'!$E$16)*(C2991&lt;='Resultats - informe'!$G$16),1,0)</f>
        <v>1</v>
      </c>
      <c r="M2991" s="369" cm="1">
        <f t="array" ref="M2991">+_xlfn.IFS((C2991&gt;='Resultats - informe'!$D$26)*(C2991&lt;='Resultats - informe'!$E$26),0,(C2991&gt;='Resultats - informe'!$D$27)*(C2991&lt;='Resultats - informe'!$E$27),0,(C2991&gt;='Resultats - informe'!$D$28)*(C2991&lt;='Resultats - informe'!$E$28),0,(C2991&gt;='Resultats - informe'!$D$29)*(C2991&lt;='Resultats - informe'!$E$29),0,1,1)</f>
        <v>0</v>
      </c>
      <c r="N2991" s="366">
        <f>+VLOOKUP(D2991,'Resultats - informe'!$Y$18:$AG$42,'Introducció dades consum'!K2991+1,0)</f>
        <v>0</v>
      </c>
      <c r="O2991" s="370" cm="1">
        <f t="array" ref="O2991">+_xlfn.SWITCH(MONTH(C2991),1,1,2,1,3,1,4,2,5,2,6,3,7,3,8,3,9,3,10,2,11,2,12,1,2)</f>
        <v>1</v>
      </c>
      <c r="P2991" s="43"/>
    </row>
    <row r="2992" spans="1:16" ht="18" x14ac:dyDescent="0.35">
      <c r="A2992" s="43"/>
      <c r="C2992" s="393"/>
      <c r="E2992" s="394"/>
      <c r="F2992" s="394">
        <v>3.4359999999999999</v>
      </c>
      <c r="G2992" s="394"/>
      <c r="H2992" s="8" t="s">
        <v>235</v>
      </c>
      <c r="I2992" s="368">
        <f t="shared" si="139"/>
        <v>0</v>
      </c>
      <c r="J2992" s="365">
        <f t="shared" si="138"/>
        <v>0</v>
      </c>
      <c r="K2992" s="369">
        <f t="shared" si="140"/>
        <v>6</v>
      </c>
      <c r="L2992" s="369">
        <f>+IF((C2992&gt;='Resultats - informe'!$E$16)*(C2992&lt;='Resultats - informe'!$G$16),1,0)</f>
        <v>1</v>
      </c>
      <c r="M2992" s="369" cm="1">
        <f t="array" ref="M2992">+_xlfn.IFS((C2992&gt;='Resultats - informe'!$D$26)*(C2992&lt;='Resultats - informe'!$E$26),0,(C2992&gt;='Resultats - informe'!$D$27)*(C2992&lt;='Resultats - informe'!$E$27),0,(C2992&gt;='Resultats - informe'!$D$28)*(C2992&lt;='Resultats - informe'!$E$28),0,(C2992&gt;='Resultats - informe'!$D$29)*(C2992&lt;='Resultats - informe'!$E$29),0,1,1)</f>
        <v>0</v>
      </c>
      <c r="N2992" s="366">
        <f>+VLOOKUP(D2992,'Resultats - informe'!$Y$18:$AG$42,'Introducció dades consum'!K2992+1,0)</f>
        <v>0</v>
      </c>
      <c r="O2992" s="370" cm="1">
        <f t="array" ref="O2992">+_xlfn.SWITCH(MONTH(C2992),1,1,2,1,3,1,4,2,5,2,6,3,7,3,8,3,9,3,10,2,11,2,12,1,2)</f>
        <v>1</v>
      </c>
      <c r="P2992" s="43"/>
    </row>
    <row r="2993" spans="1:16" ht="18" x14ac:dyDescent="0.35">
      <c r="A2993" s="43"/>
      <c r="C2993" s="393"/>
      <c r="E2993" s="394"/>
      <c r="F2993" s="394">
        <v>2.7679999999999998</v>
      </c>
      <c r="G2993" s="394"/>
      <c r="H2993" s="8" t="s">
        <v>235</v>
      </c>
      <c r="I2993" s="368">
        <f t="shared" si="139"/>
        <v>0</v>
      </c>
      <c r="J2993" s="365">
        <f t="shared" si="138"/>
        <v>0</v>
      </c>
      <c r="K2993" s="369">
        <f t="shared" si="140"/>
        <v>6</v>
      </c>
      <c r="L2993" s="369">
        <f>+IF((C2993&gt;='Resultats - informe'!$E$16)*(C2993&lt;='Resultats - informe'!$G$16),1,0)</f>
        <v>1</v>
      </c>
      <c r="M2993" s="369" cm="1">
        <f t="array" ref="M2993">+_xlfn.IFS((C2993&gt;='Resultats - informe'!$D$26)*(C2993&lt;='Resultats - informe'!$E$26),0,(C2993&gt;='Resultats - informe'!$D$27)*(C2993&lt;='Resultats - informe'!$E$27),0,(C2993&gt;='Resultats - informe'!$D$28)*(C2993&lt;='Resultats - informe'!$E$28),0,(C2993&gt;='Resultats - informe'!$D$29)*(C2993&lt;='Resultats - informe'!$E$29),0,1,1)</f>
        <v>0</v>
      </c>
      <c r="N2993" s="366">
        <f>+VLOOKUP(D2993,'Resultats - informe'!$Y$18:$AG$42,'Introducció dades consum'!K2993+1,0)</f>
        <v>0</v>
      </c>
      <c r="O2993" s="370" cm="1">
        <f t="array" ref="O2993">+_xlfn.SWITCH(MONTH(C2993),1,1,2,1,3,1,4,2,5,2,6,3,7,3,8,3,9,3,10,2,11,2,12,1,2)</f>
        <v>1</v>
      </c>
      <c r="P2993" s="43"/>
    </row>
    <row r="2994" spans="1:16" ht="18" x14ac:dyDescent="0.35">
      <c r="A2994" s="43"/>
      <c r="C2994" s="393"/>
      <c r="E2994" s="394"/>
      <c r="F2994" s="394">
        <v>1.117</v>
      </c>
      <c r="G2994" s="394"/>
      <c r="H2994" s="8" t="s">
        <v>235</v>
      </c>
      <c r="I2994" s="368">
        <f t="shared" si="139"/>
        <v>0</v>
      </c>
      <c r="J2994" s="365">
        <f t="shared" si="138"/>
        <v>0</v>
      </c>
      <c r="K2994" s="369">
        <f t="shared" si="140"/>
        <v>6</v>
      </c>
      <c r="L2994" s="369">
        <f>+IF((C2994&gt;='Resultats - informe'!$E$16)*(C2994&lt;='Resultats - informe'!$G$16),1,0)</f>
        <v>1</v>
      </c>
      <c r="M2994" s="369" cm="1">
        <f t="array" ref="M2994">+_xlfn.IFS((C2994&gt;='Resultats - informe'!$D$26)*(C2994&lt;='Resultats - informe'!$E$26),0,(C2994&gt;='Resultats - informe'!$D$27)*(C2994&lt;='Resultats - informe'!$E$27),0,(C2994&gt;='Resultats - informe'!$D$28)*(C2994&lt;='Resultats - informe'!$E$28),0,(C2994&gt;='Resultats - informe'!$D$29)*(C2994&lt;='Resultats - informe'!$E$29),0,1,1)</f>
        <v>0</v>
      </c>
      <c r="N2994" s="366">
        <f>+VLOOKUP(D2994,'Resultats - informe'!$Y$18:$AG$42,'Introducció dades consum'!K2994+1,0)</f>
        <v>0</v>
      </c>
      <c r="O2994" s="370" cm="1">
        <f t="array" ref="O2994">+_xlfn.SWITCH(MONTH(C2994),1,1,2,1,3,1,4,2,5,2,6,3,7,3,8,3,9,3,10,2,11,2,12,1,2)</f>
        <v>1</v>
      </c>
      <c r="P2994" s="43"/>
    </row>
    <row r="2995" spans="1:16" ht="18" x14ac:dyDescent="0.35">
      <c r="A2995" s="43"/>
      <c r="C2995" s="393"/>
      <c r="E2995" s="394"/>
      <c r="F2995" s="394">
        <v>0</v>
      </c>
      <c r="G2995" s="394"/>
      <c r="H2995" s="8" t="s">
        <v>61</v>
      </c>
      <c r="I2995" s="368">
        <f t="shared" si="139"/>
        <v>0</v>
      </c>
      <c r="J2995" s="365">
        <f t="shared" si="138"/>
        <v>0</v>
      </c>
      <c r="K2995" s="369">
        <f t="shared" si="140"/>
        <v>6</v>
      </c>
      <c r="L2995" s="369">
        <f>+IF((C2995&gt;='Resultats - informe'!$E$16)*(C2995&lt;='Resultats - informe'!$G$16),1,0)</f>
        <v>1</v>
      </c>
      <c r="M2995" s="369" cm="1">
        <f t="array" ref="M2995">+_xlfn.IFS((C2995&gt;='Resultats - informe'!$D$26)*(C2995&lt;='Resultats - informe'!$E$26),0,(C2995&gt;='Resultats - informe'!$D$27)*(C2995&lt;='Resultats - informe'!$E$27),0,(C2995&gt;='Resultats - informe'!$D$28)*(C2995&lt;='Resultats - informe'!$E$28),0,(C2995&gt;='Resultats - informe'!$D$29)*(C2995&lt;='Resultats - informe'!$E$29),0,1,1)</f>
        <v>0</v>
      </c>
      <c r="N2995" s="366">
        <f>+VLOOKUP(D2995,'Resultats - informe'!$Y$18:$AG$42,'Introducció dades consum'!K2995+1,0)</f>
        <v>0</v>
      </c>
      <c r="O2995" s="370" cm="1">
        <f t="array" ref="O2995">+_xlfn.SWITCH(MONTH(C2995),1,1,2,1,3,1,4,2,5,2,6,3,7,3,8,3,9,3,10,2,11,2,12,1,2)</f>
        <v>1</v>
      </c>
      <c r="P2995" s="43"/>
    </row>
    <row r="2996" spans="1:16" ht="18" x14ac:dyDescent="0.35">
      <c r="A2996" s="43"/>
      <c r="C2996" s="393"/>
      <c r="E2996" s="394"/>
      <c r="F2996" s="394">
        <v>0</v>
      </c>
      <c r="G2996" s="394"/>
      <c r="H2996" s="8" t="s">
        <v>61</v>
      </c>
      <c r="I2996" s="368">
        <f t="shared" si="139"/>
        <v>0</v>
      </c>
      <c r="J2996" s="365">
        <f t="shared" si="138"/>
        <v>0</v>
      </c>
      <c r="K2996" s="369">
        <f t="shared" si="140"/>
        <v>6</v>
      </c>
      <c r="L2996" s="369">
        <f>+IF((C2996&gt;='Resultats - informe'!$E$16)*(C2996&lt;='Resultats - informe'!$G$16),1,0)</f>
        <v>1</v>
      </c>
      <c r="M2996" s="369" cm="1">
        <f t="array" ref="M2996">+_xlfn.IFS((C2996&gt;='Resultats - informe'!$D$26)*(C2996&lt;='Resultats - informe'!$E$26),0,(C2996&gt;='Resultats - informe'!$D$27)*(C2996&lt;='Resultats - informe'!$E$27),0,(C2996&gt;='Resultats - informe'!$D$28)*(C2996&lt;='Resultats - informe'!$E$28),0,(C2996&gt;='Resultats - informe'!$D$29)*(C2996&lt;='Resultats - informe'!$E$29),0,1,1)</f>
        <v>0</v>
      </c>
      <c r="N2996" s="366">
        <f>+VLOOKUP(D2996,'Resultats - informe'!$Y$18:$AG$42,'Introducció dades consum'!K2996+1,0)</f>
        <v>0</v>
      </c>
      <c r="O2996" s="370" cm="1">
        <f t="array" ref="O2996">+_xlfn.SWITCH(MONTH(C2996),1,1,2,1,3,1,4,2,5,2,6,3,7,3,8,3,9,3,10,2,11,2,12,1,2)</f>
        <v>1</v>
      </c>
      <c r="P2996" s="43"/>
    </row>
    <row r="2997" spans="1:16" ht="18" x14ac:dyDescent="0.35">
      <c r="A2997" s="43"/>
      <c r="C2997" s="393"/>
      <c r="E2997" s="394"/>
      <c r="F2997" s="394">
        <v>0</v>
      </c>
      <c r="G2997" s="394"/>
      <c r="H2997" s="8" t="s">
        <v>61</v>
      </c>
      <c r="I2997" s="368">
        <f t="shared" si="139"/>
        <v>0</v>
      </c>
      <c r="J2997" s="365">
        <f t="shared" si="138"/>
        <v>0</v>
      </c>
      <c r="K2997" s="369">
        <f t="shared" si="140"/>
        <v>6</v>
      </c>
      <c r="L2997" s="369">
        <f>+IF((C2997&gt;='Resultats - informe'!$E$16)*(C2997&lt;='Resultats - informe'!$G$16),1,0)</f>
        <v>1</v>
      </c>
      <c r="M2997" s="369" cm="1">
        <f t="array" ref="M2997">+_xlfn.IFS((C2997&gt;='Resultats - informe'!$D$26)*(C2997&lt;='Resultats - informe'!$E$26),0,(C2997&gt;='Resultats - informe'!$D$27)*(C2997&lt;='Resultats - informe'!$E$27),0,(C2997&gt;='Resultats - informe'!$D$28)*(C2997&lt;='Resultats - informe'!$E$28),0,(C2997&gt;='Resultats - informe'!$D$29)*(C2997&lt;='Resultats - informe'!$E$29),0,1,1)</f>
        <v>0</v>
      </c>
      <c r="N2997" s="366">
        <f>+VLOOKUP(D2997,'Resultats - informe'!$Y$18:$AG$42,'Introducció dades consum'!K2997+1,0)</f>
        <v>0</v>
      </c>
      <c r="O2997" s="370" cm="1">
        <f t="array" ref="O2997">+_xlfn.SWITCH(MONTH(C2997),1,1,2,1,3,1,4,2,5,2,6,3,7,3,8,3,9,3,10,2,11,2,12,1,2)</f>
        <v>1</v>
      </c>
      <c r="P2997" s="43"/>
    </row>
    <row r="2998" spans="1:16" ht="18" x14ac:dyDescent="0.35">
      <c r="A2998" s="43"/>
      <c r="C2998" s="393"/>
      <c r="E2998" s="394"/>
      <c r="F2998" s="394">
        <v>0</v>
      </c>
      <c r="G2998" s="394"/>
      <c r="H2998" s="8" t="s">
        <v>61</v>
      </c>
      <c r="I2998" s="368">
        <f t="shared" si="139"/>
        <v>0</v>
      </c>
      <c r="J2998" s="365">
        <f t="shared" si="138"/>
        <v>0</v>
      </c>
      <c r="K2998" s="369">
        <f t="shared" si="140"/>
        <v>6</v>
      </c>
      <c r="L2998" s="369">
        <f>+IF((C2998&gt;='Resultats - informe'!$E$16)*(C2998&lt;='Resultats - informe'!$G$16),1,0)</f>
        <v>1</v>
      </c>
      <c r="M2998" s="369" cm="1">
        <f t="array" ref="M2998">+_xlfn.IFS((C2998&gt;='Resultats - informe'!$D$26)*(C2998&lt;='Resultats - informe'!$E$26),0,(C2998&gt;='Resultats - informe'!$D$27)*(C2998&lt;='Resultats - informe'!$E$27),0,(C2998&gt;='Resultats - informe'!$D$28)*(C2998&lt;='Resultats - informe'!$E$28),0,(C2998&gt;='Resultats - informe'!$D$29)*(C2998&lt;='Resultats - informe'!$E$29),0,1,1)</f>
        <v>0</v>
      </c>
      <c r="N2998" s="366">
        <f>+VLOOKUP(D2998,'Resultats - informe'!$Y$18:$AG$42,'Introducció dades consum'!K2998+1,0)</f>
        <v>0</v>
      </c>
      <c r="O2998" s="370" cm="1">
        <f t="array" ref="O2998">+_xlfn.SWITCH(MONTH(C2998),1,1,2,1,3,1,4,2,5,2,6,3,7,3,8,3,9,3,10,2,11,2,12,1,2)</f>
        <v>1</v>
      </c>
      <c r="P2998" s="43"/>
    </row>
    <row r="2999" spans="1:16" ht="18" x14ac:dyDescent="0.35">
      <c r="A2999" s="43"/>
      <c r="C2999" s="393"/>
      <c r="E2999" s="394"/>
      <c r="F2999" s="394">
        <v>0</v>
      </c>
      <c r="G2999" s="394"/>
      <c r="H2999" s="8" t="s">
        <v>61</v>
      </c>
      <c r="I2999" s="368">
        <f t="shared" si="139"/>
        <v>0</v>
      </c>
      <c r="J2999" s="365">
        <f t="shared" si="138"/>
        <v>0</v>
      </c>
      <c r="K2999" s="369">
        <f t="shared" si="140"/>
        <v>6</v>
      </c>
      <c r="L2999" s="369">
        <f>+IF((C2999&gt;='Resultats - informe'!$E$16)*(C2999&lt;='Resultats - informe'!$G$16),1,0)</f>
        <v>1</v>
      </c>
      <c r="M2999" s="369" cm="1">
        <f t="array" ref="M2999">+_xlfn.IFS((C2999&gt;='Resultats - informe'!$D$26)*(C2999&lt;='Resultats - informe'!$E$26),0,(C2999&gt;='Resultats - informe'!$D$27)*(C2999&lt;='Resultats - informe'!$E$27),0,(C2999&gt;='Resultats - informe'!$D$28)*(C2999&lt;='Resultats - informe'!$E$28),0,(C2999&gt;='Resultats - informe'!$D$29)*(C2999&lt;='Resultats - informe'!$E$29),0,1,1)</f>
        <v>0</v>
      </c>
      <c r="N2999" s="366">
        <f>+VLOOKUP(D2999,'Resultats - informe'!$Y$18:$AG$42,'Introducció dades consum'!K2999+1,0)</f>
        <v>0</v>
      </c>
      <c r="O2999" s="370" cm="1">
        <f t="array" ref="O2999">+_xlfn.SWITCH(MONTH(C2999),1,1,2,1,3,1,4,2,5,2,6,3,7,3,8,3,9,3,10,2,11,2,12,1,2)</f>
        <v>1</v>
      </c>
      <c r="P2999" s="43"/>
    </row>
    <row r="3000" spans="1:16" ht="18" x14ac:dyDescent="0.35">
      <c r="A3000" s="43"/>
      <c r="C3000" s="393"/>
      <c r="E3000" s="394"/>
      <c r="F3000" s="394">
        <v>0</v>
      </c>
      <c r="G3000" s="394"/>
      <c r="H3000" s="8" t="s">
        <v>61</v>
      </c>
      <c r="I3000" s="368">
        <f t="shared" si="139"/>
        <v>0</v>
      </c>
      <c r="J3000" s="365">
        <f t="shared" si="138"/>
        <v>0</v>
      </c>
      <c r="K3000" s="369">
        <f t="shared" si="140"/>
        <v>6</v>
      </c>
      <c r="L3000" s="369">
        <f>+IF((C3000&gt;='Resultats - informe'!$E$16)*(C3000&lt;='Resultats - informe'!$G$16),1,0)</f>
        <v>1</v>
      </c>
      <c r="M3000" s="369" cm="1">
        <f t="array" ref="M3000">+_xlfn.IFS((C3000&gt;='Resultats - informe'!$D$26)*(C3000&lt;='Resultats - informe'!$E$26),0,(C3000&gt;='Resultats - informe'!$D$27)*(C3000&lt;='Resultats - informe'!$E$27),0,(C3000&gt;='Resultats - informe'!$D$28)*(C3000&lt;='Resultats - informe'!$E$28),0,(C3000&gt;='Resultats - informe'!$D$29)*(C3000&lt;='Resultats - informe'!$E$29),0,1,1)</f>
        <v>0</v>
      </c>
      <c r="N3000" s="366">
        <f>+VLOOKUP(D3000,'Resultats - informe'!$Y$18:$AG$42,'Introducció dades consum'!K3000+1,0)</f>
        <v>0</v>
      </c>
      <c r="O3000" s="370" cm="1">
        <f t="array" ref="O3000">+_xlfn.SWITCH(MONTH(C3000),1,1,2,1,3,1,4,2,5,2,6,3,7,3,8,3,9,3,10,2,11,2,12,1,2)</f>
        <v>1</v>
      </c>
      <c r="P3000" s="43"/>
    </row>
    <row r="3001" spans="1:16" ht="18" x14ac:dyDescent="0.35">
      <c r="A3001" s="43"/>
      <c r="C3001" s="393"/>
      <c r="E3001" s="394"/>
      <c r="F3001" s="394">
        <v>0</v>
      </c>
      <c r="G3001" s="394"/>
      <c r="H3001" s="8" t="s">
        <v>235</v>
      </c>
      <c r="I3001" s="368">
        <f t="shared" si="139"/>
        <v>0</v>
      </c>
      <c r="J3001" s="365">
        <f t="shared" si="138"/>
        <v>0</v>
      </c>
      <c r="K3001" s="369">
        <f t="shared" si="140"/>
        <v>6</v>
      </c>
      <c r="L3001" s="369">
        <f>+IF((C3001&gt;='Resultats - informe'!$E$16)*(C3001&lt;='Resultats - informe'!$G$16),1,0)</f>
        <v>1</v>
      </c>
      <c r="M3001" s="369" cm="1">
        <f t="array" ref="M3001">+_xlfn.IFS((C3001&gt;='Resultats - informe'!$D$26)*(C3001&lt;='Resultats - informe'!$E$26),0,(C3001&gt;='Resultats - informe'!$D$27)*(C3001&lt;='Resultats - informe'!$E$27),0,(C3001&gt;='Resultats - informe'!$D$28)*(C3001&lt;='Resultats - informe'!$E$28),0,(C3001&gt;='Resultats - informe'!$D$29)*(C3001&lt;='Resultats - informe'!$E$29),0,1,1)</f>
        <v>0</v>
      </c>
      <c r="N3001" s="366">
        <f>+VLOOKUP(D3001,'Resultats - informe'!$Y$18:$AG$42,'Introducció dades consum'!K3001+1,0)</f>
        <v>0</v>
      </c>
      <c r="O3001" s="370" cm="1">
        <f t="array" ref="O3001">+_xlfn.SWITCH(MONTH(C3001),1,1,2,1,3,1,4,2,5,2,6,3,7,3,8,3,9,3,10,2,11,2,12,1,2)</f>
        <v>1</v>
      </c>
      <c r="P3001" s="43"/>
    </row>
    <row r="3002" spans="1:16" ht="18" x14ac:dyDescent="0.35">
      <c r="A3002" s="43"/>
      <c r="C3002" s="393"/>
      <c r="E3002" s="394"/>
      <c r="F3002" s="394">
        <v>0</v>
      </c>
      <c r="G3002" s="394"/>
      <c r="H3002" s="8" t="s">
        <v>235</v>
      </c>
      <c r="I3002" s="368">
        <f t="shared" si="139"/>
        <v>0</v>
      </c>
      <c r="J3002" s="365">
        <f t="shared" si="138"/>
        <v>0</v>
      </c>
      <c r="K3002" s="369">
        <f t="shared" si="140"/>
        <v>6</v>
      </c>
      <c r="L3002" s="369">
        <f>+IF((C3002&gt;='Resultats - informe'!$E$16)*(C3002&lt;='Resultats - informe'!$G$16),1,0)</f>
        <v>1</v>
      </c>
      <c r="M3002" s="369" cm="1">
        <f t="array" ref="M3002">+_xlfn.IFS((C3002&gt;='Resultats - informe'!$D$26)*(C3002&lt;='Resultats - informe'!$E$26),0,(C3002&gt;='Resultats - informe'!$D$27)*(C3002&lt;='Resultats - informe'!$E$27),0,(C3002&gt;='Resultats - informe'!$D$28)*(C3002&lt;='Resultats - informe'!$E$28),0,(C3002&gt;='Resultats - informe'!$D$29)*(C3002&lt;='Resultats - informe'!$E$29),0,1,1)</f>
        <v>0</v>
      </c>
      <c r="N3002" s="366">
        <f>+VLOOKUP(D3002,'Resultats - informe'!$Y$18:$AG$42,'Introducció dades consum'!K3002+1,0)</f>
        <v>0</v>
      </c>
      <c r="O3002" s="370" cm="1">
        <f t="array" ref="O3002">+_xlfn.SWITCH(MONTH(C3002),1,1,2,1,3,1,4,2,5,2,6,3,7,3,8,3,9,3,10,2,11,2,12,1,2)</f>
        <v>1</v>
      </c>
      <c r="P3002" s="43"/>
    </row>
    <row r="3003" spans="1:16" ht="18" x14ac:dyDescent="0.35">
      <c r="A3003" s="43"/>
      <c r="C3003" s="393"/>
      <c r="E3003" s="394"/>
      <c r="F3003" s="394">
        <v>0</v>
      </c>
      <c r="G3003" s="394"/>
      <c r="H3003" s="8" t="s">
        <v>61</v>
      </c>
      <c r="I3003" s="368">
        <f t="shared" si="139"/>
        <v>0</v>
      </c>
      <c r="J3003" s="365">
        <f t="shared" ref="J3003:J3066" si="141">+C3003</f>
        <v>0</v>
      </c>
      <c r="K3003" s="369">
        <f t="shared" si="140"/>
        <v>6</v>
      </c>
      <c r="L3003" s="369">
        <f>+IF((C3003&gt;='Resultats - informe'!$E$16)*(C3003&lt;='Resultats - informe'!$G$16),1,0)</f>
        <v>1</v>
      </c>
      <c r="M3003" s="369" cm="1">
        <f t="array" ref="M3003">+_xlfn.IFS((C3003&gt;='Resultats - informe'!$D$26)*(C3003&lt;='Resultats - informe'!$E$26),0,(C3003&gt;='Resultats - informe'!$D$27)*(C3003&lt;='Resultats - informe'!$E$27),0,(C3003&gt;='Resultats - informe'!$D$28)*(C3003&lt;='Resultats - informe'!$E$28),0,(C3003&gt;='Resultats - informe'!$D$29)*(C3003&lt;='Resultats - informe'!$E$29),0,1,1)</f>
        <v>0</v>
      </c>
      <c r="N3003" s="366">
        <f>+VLOOKUP(D3003,'Resultats - informe'!$Y$18:$AG$42,'Introducció dades consum'!K3003+1,0)</f>
        <v>0</v>
      </c>
      <c r="O3003" s="370" cm="1">
        <f t="array" ref="O3003">+_xlfn.SWITCH(MONTH(C3003),1,1,2,1,3,1,4,2,5,2,6,3,7,3,8,3,9,3,10,2,11,2,12,1,2)</f>
        <v>1</v>
      </c>
      <c r="P3003" s="43"/>
    </row>
    <row r="3004" spans="1:16" ht="18" x14ac:dyDescent="0.35">
      <c r="A3004" s="43"/>
      <c r="C3004" s="393"/>
      <c r="E3004" s="394"/>
      <c r="F3004" s="394">
        <v>0</v>
      </c>
      <c r="G3004" s="394"/>
      <c r="H3004" s="8" t="s">
        <v>235</v>
      </c>
      <c r="I3004" s="368">
        <f t="shared" si="139"/>
        <v>0</v>
      </c>
      <c r="J3004" s="365">
        <f t="shared" si="141"/>
        <v>0</v>
      </c>
      <c r="K3004" s="369">
        <f t="shared" si="140"/>
        <v>6</v>
      </c>
      <c r="L3004" s="369">
        <f>+IF((C3004&gt;='Resultats - informe'!$E$16)*(C3004&lt;='Resultats - informe'!$G$16),1,0)</f>
        <v>1</v>
      </c>
      <c r="M3004" s="369" cm="1">
        <f t="array" ref="M3004">+_xlfn.IFS((C3004&gt;='Resultats - informe'!$D$26)*(C3004&lt;='Resultats - informe'!$E$26),0,(C3004&gt;='Resultats - informe'!$D$27)*(C3004&lt;='Resultats - informe'!$E$27),0,(C3004&gt;='Resultats - informe'!$D$28)*(C3004&lt;='Resultats - informe'!$E$28),0,(C3004&gt;='Resultats - informe'!$D$29)*(C3004&lt;='Resultats - informe'!$E$29),0,1,1)</f>
        <v>0</v>
      </c>
      <c r="N3004" s="366">
        <f>+VLOOKUP(D3004,'Resultats - informe'!$Y$18:$AG$42,'Introducció dades consum'!K3004+1,0)</f>
        <v>0</v>
      </c>
      <c r="O3004" s="370" cm="1">
        <f t="array" ref="O3004">+_xlfn.SWITCH(MONTH(C3004),1,1,2,1,3,1,4,2,5,2,6,3,7,3,8,3,9,3,10,2,11,2,12,1,2)</f>
        <v>1</v>
      </c>
      <c r="P3004" s="43"/>
    </row>
    <row r="3005" spans="1:16" ht="18" x14ac:dyDescent="0.35">
      <c r="A3005" s="43"/>
      <c r="C3005" s="393"/>
      <c r="E3005" s="394"/>
      <c r="F3005" s="394">
        <v>0</v>
      </c>
      <c r="G3005" s="394"/>
      <c r="H3005" s="8" t="s">
        <v>235</v>
      </c>
      <c r="I3005" s="368">
        <f t="shared" si="139"/>
        <v>0</v>
      </c>
      <c r="J3005" s="365">
        <f t="shared" si="141"/>
        <v>0</v>
      </c>
      <c r="K3005" s="369">
        <f t="shared" si="140"/>
        <v>6</v>
      </c>
      <c r="L3005" s="369">
        <f>+IF((C3005&gt;='Resultats - informe'!$E$16)*(C3005&lt;='Resultats - informe'!$G$16),1,0)</f>
        <v>1</v>
      </c>
      <c r="M3005" s="369" cm="1">
        <f t="array" ref="M3005">+_xlfn.IFS((C3005&gt;='Resultats - informe'!$D$26)*(C3005&lt;='Resultats - informe'!$E$26),0,(C3005&gt;='Resultats - informe'!$D$27)*(C3005&lt;='Resultats - informe'!$E$27),0,(C3005&gt;='Resultats - informe'!$D$28)*(C3005&lt;='Resultats - informe'!$E$28),0,(C3005&gt;='Resultats - informe'!$D$29)*(C3005&lt;='Resultats - informe'!$E$29),0,1,1)</f>
        <v>0</v>
      </c>
      <c r="N3005" s="366">
        <f>+VLOOKUP(D3005,'Resultats - informe'!$Y$18:$AG$42,'Introducció dades consum'!K3005+1,0)</f>
        <v>0</v>
      </c>
      <c r="O3005" s="370" cm="1">
        <f t="array" ref="O3005">+_xlfn.SWITCH(MONTH(C3005),1,1,2,1,3,1,4,2,5,2,6,3,7,3,8,3,9,3,10,2,11,2,12,1,2)</f>
        <v>1</v>
      </c>
      <c r="P3005" s="43"/>
    </row>
    <row r="3006" spans="1:16" ht="18" x14ac:dyDescent="0.35">
      <c r="A3006" s="43"/>
      <c r="C3006" s="393"/>
      <c r="E3006" s="394"/>
      <c r="F3006" s="394">
        <v>0</v>
      </c>
      <c r="G3006" s="394"/>
      <c r="H3006" s="8" t="s">
        <v>235</v>
      </c>
      <c r="I3006" s="368">
        <f t="shared" si="139"/>
        <v>0</v>
      </c>
      <c r="J3006" s="365">
        <f t="shared" si="141"/>
        <v>0</v>
      </c>
      <c r="K3006" s="369">
        <f t="shared" si="140"/>
        <v>6</v>
      </c>
      <c r="L3006" s="369">
        <f>+IF((C3006&gt;='Resultats - informe'!$E$16)*(C3006&lt;='Resultats - informe'!$G$16),1,0)</f>
        <v>1</v>
      </c>
      <c r="M3006" s="369" cm="1">
        <f t="array" ref="M3006">+_xlfn.IFS((C3006&gt;='Resultats - informe'!$D$26)*(C3006&lt;='Resultats - informe'!$E$26),0,(C3006&gt;='Resultats - informe'!$D$27)*(C3006&lt;='Resultats - informe'!$E$27),0,(C3006&gt;='Resultats - informe'!$D$28)*(C3006&lt;='Resultats - informe'!$E$28),0,(C3006&gt;='Resultats - informe'!$D$29)*(C3006&lt;='Resultats - informe'!$E$29),0,1,1)</f>
        <v>0</v>
      </c>
      <c r="N3006" s="366">
        <f>+VLOOKUP(D3006,'Resultats - informe'!$Y$18:$AG$42,'Introducció dades consum'!K3006+1,0)</f>
        <v>0</v>
      </c>
      <c r="O3006" s="370" cm="1">
        <f t="array" ref="O3006">+_xlfn.SWITCH(MONTH(C3006),1,1,2,1,3,1,4,2,5,2,6,3,7,3,8,3,9,3,10,2,11,2,12,1,2)</f>
        <v>1</v>
      </c>
      <c r="P3006" s="43"/>
    </row>
    <row r="3007" spans="1:16" ht="18" x14ac:dyDescent="0.35">
      <c r="A3007" s="43"/>
      <c r="C3007" s="393"/>
      <c r="E3007" s="394"/>
      <c r="F3007" s="394">
        <v>0</v>
      </c>
      <c r="G3007" s="394"/>
      <c r="H3007" s="8" t="s">
        <v>235</v>
      </c>
      <c r="I3007" s="368">
        <f t="shared" si="139"/>
        <v>0</v>
      </c>
      <c r="J3007" s="365">
        <f t="shared" si="141"/>
        <v>0</v>
      </c>
      <c r="K3007" s="369">
        <f t="shared" si="140"/>
        <v>6</v>
      </c>
      <c r="L3007" s="369">
        <f>+IF((C3007&gt;='Resultats - informe'!$E$16)*(C3007&lt;='Resultats - informe'!$G$16),1,0)</f>
        <v>1</v>
      </c>
      <c r="M3007" s="369" cm="1">
        <f t="array" ref="M3007">+_xlfn.IFS((C3007&gt;='Resultats - informe'!$D$26)*(C3007&lt;='Resultats - informe'!$E$26),0,(C3007&gt;='Resultats - informe'!$D$27)*(C3007&lt;='Resultats - informe'!$E$27),0,(C3007&gt;='Resultats - informe'!$D$28)*(C3007&lt;='Resultats - informe'!$E$28),0,(C3007&gt;='Resultats - informe'!$D$29)*(C3007&lt;='Resultats - informe'!$E$29),0,1,1)</f>
        <v>0</v>
      </c>
      <c r="N3007" s="366">
        <f>+VLOOKUP(D3007,'Resultats - informe'!$Y$18:$AG$42,'Introducció dades consum'!K3007+1,0)</f>
        <v>0</v>
      </c>
      <c r="O3007" s="370" cm="1">
        <f t="array" ref="O3007">+_xlfn.SWITCH(MONTH(C3007),1,1,2,1,3,1,4,2,5,2,6,3,7,3,8,3,9,3,10,2,11,2,12,1,2)</f>
        <v>1</v>
      </c>
      <c r="P3007" s="43"/>
    </row>
    <row r="3008" spans="1:16" ht="18" x14ac:dyDescent="0.35">
      <c r="A3008" s="43"/>
      <c r="C3008" s="393"/>
      <c r="E3008" s="394"/>
      <c r="F3008" s="394">
        <v>0</v>
      </c>
      <c r="G3008" s="394"/>
      <c r="H3008" s="8" t="s">
        <v>235</v>
      </c>
      <c r="I3008" s="368">
        <f t="shared" si="139"/>
        <v>0</v>
      </c>
      <c r="J3008" s="365">
        <f t="shared" si="141"/>
        <v>0</v>
      </c>
      <c r="K3008" s="369">
        <f t="shared" si="140"/>
        <v>6</v>
      </c>
      <c r="L3008" s="369">
        <f>+IF((C3008&gt;='Resultats - informe'!$E$16)*(C3008&lt;='Resultats - informe'!$G$16),1,0)</f>
        <v>1</v>
      </c>
      <c r="M3008" s="369" cm="1">
        <f t="array" ref="M3008">+_xlfn.IFS((C3008&gt;='Resultats - informe'!$D$26)*(C3008&lt;='Resultats - informe'!$E$26),0,(C3008&gt;='Resultats - informe'!$D$27)*(C3008&lt;='Resultats - informe'!$E$27),0,(C3008&gt;='Resultats - informe'!$D$28)*(C3008&lt;='Resultats - informe'!$E$28),0,(C3008&gt;='Resultats - informe'!$D$29)*(C3008&lt;='Resultats - informe'!$E$29),0,1,1)</f>
        <v>0</v>
      </c>
      <c r="N3008" s="366">
        <f>+VLOOKUP(D3008,'Resultats - informe'!$Y$18:$AG$42,'Introducció dades consum'!K3008+1,0)</f>
        <v>0</v>
      </c>
      <c r="O3008" s="370" cm="1">
        <f t="array" ref="O3008">+_xlfn.SWITCH(MONTH(C3008),1,1,2,1,3,1,4,2,5,2,6,3,7,3,8,3,9,3,10,2,11,2,12,1,2)</f>
        <v>1</v>
      </c>
      <c r="P3008" s="43"/>
    </row>
    <row r="3009" spans="1:16" ht="18" x14ac:dyDescent="0.35">
      <c r="A3009" s="43"/>
      <c r="C3009" s="393"/>
      <c r="E3009" s="394"/>
      <c r="F3009" s="394">
        <v>0.22900000000000001</v>
      </c>
      <c r="G3009" s="394"/>
      <c r="H3009" s="8" t="s">
        <v>235</v>
      </c>
      <c r="I3009" s="368">
        <f t="shared" si="139"/>
        <v>0</v>
      </c>
      <c r="J3009" s="365">
        <f t="shared" si="141"/>
        <v>0</v>
      </c>
      <c r="K3009" s="369">
        <f t="shared" si="140"/>
        <v>6</v>
      </c>
      <c r="L3009" s="369">
        <f>+IF((C3009&gt;='Resultats - informe'!$E$16)*(C3009&lt;='Resultats - informe'!$G$16),1,0)</f>
        <v>1</v>
      </c>
      <c r="M3009" s="369" cm="1">
        <f t="array" ref="M3009">+_xlfn.IFS((C3009&gt;='Resultats - informe'!$D$26)*(C3009&lt;='Resultats - informe'!$E$26),0,(C3009&gt;='Resultats - informe'!$D$27)*(C3009&lt;='Resultats - informe'!$E$27),0,(C3009&gt;='Resultats - informe'!$D$28)*(C3009&lt;='Resultats - informe'!$E$28),0,(C3009&gt;='Resultats - informe'!$D$29)*(C3009&lt;='Resultats - informe'!$E$29),0,1,1)</f>
        <v>0</v>
      </c>
      <c r="N3009" s="366">
        <f>+VLOOKUP(D3009,'Resultats - informe'!$Y$18:$AG$42,'Introducció dades consum'!K3009+1,0)</f>
        <v>0</v>
      </c>
      <c r="O3009" s="370" cm="1">
        <f t="array" ref="O3009">+_xlfn.SWITCH(MONTH(C3009),1,1,2,1,3,1,4,2,5,2,6,3,7,3,8,3,9,3,10,2,11,2,12,1,2)</f>
        <v>1</v>
      </c>
      <c r="P3009" s="43"/>
    </row>
    <row r="3010" spans="1:16" ht="18" x14ac:dyDescent="0.35">
      <c r="A3010" s="43"/>
      <c r="C3010" s="393"/>
      <c r="E3010" s="394"/>
      <c r="F3010" s="394">
        <v>0.99199999999999999</v>
      </c>
      <c r="G3010" s="394"/>
      <c r="H3010" s="8" t="s">
        <v>235</v>
      </c>
      <c r="I3010" s="368">
        <f t="shared" si="139"/>
        <v>0</v>
      </c>
      <c r="J3010" s="365">
        <f t="shared" si="141"/>
        <v>0</v>
      </c>
      <c r="K3010" s="369">
        <f t="shared" si="140"/>
        <v>6</v>
      </c>
      <c r="L3010" s="369">
        <f>+IF((C3010&gt;='Resultats - informe'!$E$16)*(C3010&lt;='Resultats - informe'!$G$16),1,0)</f>
        <v>1</v>
      </c>
      <c r="M3010" s="369" cm="1">
        <f t="array" ref="M3010">+_xlfn.IFS((C3010&gt;='Resultats - informe'!$D$26)*(C3010&lt;='Resultats - informe'!$E$26),0,(C3010&gt;='Resultats - informe'!$D$27)*(C3010&lt;='Resultats - informe'!$E$27),0,(C3010&gt;='Resultats - informe'!$D$28)*(C3010&lt;='Resultats - informe'!$E$28),0,(C3010&gt;='Resultats - informe'!$D$29)*(C3010&lt;='Resultats - informe'!$E$29),0,1,1)</f>
        <v>0</v>
      </c>
      <c r="N3010" s="366">
        <f>+VLOOKUP(D3010,'Resultats - informe'!$Y$18:$AG$42,'Introducció dades consum'!K3010+1,0)</f>
        <v>0</v>
      </c>
      <c r="O3010" s="370" cm="1">
        <f t="array" ref="O3010">+_xlfn.SWITCH(MONTH(C3010),1,1,2,1,3,1,4,2,5,2,6,3,7,3,8,3,9,3,10,2,11,2,12,1,2)</f>
        <v>1</v>
      </c>
      <c r="P3010" s="43"/>
    </row>
    <row r="3011" spans="1:16" ht="18" x14ac:dyDescent="0.35">
      <c r="A3011" s="43"/>
      <c r="C3011" s="393"/>
      <c r="E3011" s="394"/>
      <c r="F3011" s="394">
        <v>1.784</v>
      </c>
      <c r="G3011" s="394"/>
      <c r="H3011" s="8" t="s">
        <v>235</v>
      </c>
      <c r="I3011" s="368">
        <f t="shared" si="139"/>
        <v>0</v>
      </c>
      <c r="J3011" s="365">
        <f t="shared" si="141"/>
        <v>0</v>
      </c>
      <c r="K3011" s="369">
        <f t="shared" si="140"/>
        <v>6</v>
      </c>
      <c r="L3011" s="369">
        <f>+IF((C3011&gt;='Resultats - informe'!$E$16)*(C3011&lt;='Resultats - informe'!$G$16),1,0)</f>
        <v>1</v>
      </c>
      <c r="M3011" s="369" cm="1">
        <f t="array" ref="M3011">+_xlfn.IFS((C3011&gt;='Resultats - informe'!$D$26)*(C3011&lt;='Resultats - informe'!$E$26),0,(C3011&gt;='Resultats - informe'!$D$27)*(C3011&lt;='Resultats - informe'!$E$27),0,(C3011&gt;='Resultats - informe'!$D$28)*(C3011&lt;='Resultats - informe'!$E$28),0,(C3011&gt;='Resultats - informe'!$D$29)*(C3011&lt;='Resultats - informe'!$E$29),0,1,1)</f>
        <v>0</v>
      </c>
      <c r="N3011" s="366">
        <f>+VLOOKUP(D3011,'Resultats - informe'!$Y$18:$AG$42,'Introducció dades consum'!K3011+1,0)</f>
        <v>0</v>
      </c>
      <c r="O3011" s="370" cm="1">
        <f t="array" ref="O3011">+_xlfn.SWITCH(MONTH(C3011),1,1,2,1,3,1,4,2,5,2,6,3,7,3,8,3,9,3,10,2,11,2,12,1,2)</f>
        <v>1</v>
      </c>
      <c r="P3011" s="43"/>
    </row>
    <row r="3012" spans="1:16" ht="18" x14ac:dyDescent="0.35">
      <c r="A3012" s="43"/>
      <c r="C3012" s="393"/>
      <c r="E3012" s="394"/>
      <c r="F3012" s="394">
        <v>0.7</v>
      </c>
      <c r="G3012" s="394"/>
      <c r="H3012" s="8" t="s">
        <v>235</v>
      </c>
      <c r="I3012" s="368">
        <f t="shared" si="139"/>
        <v>0</v>
      </c>
      <c r="J3012" s="365">
        <f t="shared" si="141"/>
        <v>0</v>
      </c>
      <c r="K3012" s="369">
        <f t="shared" si="140"/>
        <v>6</v>
      </c>
      <c r="L3012" s="369">
        <f>+IF((C3012&gt;='Resultats - informe'!$E$16)*(C3012&lt;='Resultats - informe'!$G$16),1,0)</f>
        <v>1</v>
      </c>
      <c r="M3012" s="369" cm="1">
        <f t="array" ref="M3012">+_xlfn.IFS((C3012&gt;='Resultats - informe'!$D$26)*(C3012&lt;='Resultats - informe'!$E$26),0,(C3012&gt;='Resultats - informe'!$D$27)*(C3012&lt;='Resultats - informe'!$E$27),0,(C3012&gt;='Resultats - informe'!$D$28)*(C3012&lt;='Resultats - informe'!$E$28),0,(C3012&gt;='Resultats - informe'!$D$29)*(C3012&lt;='Resultats - informe'!$E$29),0,1,1)</f>
        <v>0</v>
      </c>
      <c r="N3012" s="366">
        <f>+VLOOKUP(D3012,'Resultats - informe'!$Y$18:$AG$42,'Introducció dades consum'!K3012+1,0)</f>
        <v>0</v>
      </c>
      <c r="O3012" s="370" cm="1">
        <f t="array" ref="O3012">+_xlfn.SWITCH(MONTH(C3012),1,1,2,1,3,1,4,2,5,2,6,3,7,3,8,3,9,3,10,2,11,2,12,1,2)</f>
        <v>1</v>
      </c>
      <c r="P3012" s="43"/>
    </row>
    <row r="3013" spans="1:16" ht="18" x14ac:dyDescent="0.35">
      <c r="A3013" s="43"/>
      <c r="C3013" s="393"/>
      <c r="E3013" s="394"/>
      <c r="F3013" s="394">
        <v>1.9350000000000001</v>
      </c>
      <c r="G3013" s="394"/>
      <c r="H3013" s="8" t="s">
        <v>235</v>
      </c>
      <c r="I3013" s="368">
        <f t="shared" si="139"/>
        <v>0</v>
      </c>
      <c r="J3013" s="365">
        <f t="shared" si="141"/>
        <v>0</v>
      </c>
      <c r="K3013" s="369">
        <f t="shared" si="140"/>
        <v>6</v>
      </c>
      <c r="L3013" s="369">
        <f>+IF((C3013&gt;='Resultats - informe'!$E$16)*(C3013&lt;='Resultats - informe'!$G$16),1,0)</f>
        <v>1</v>
      </c>
      <c r="M3013" s="369" cm="1">
        <f t="array" ref="M3013">+_xlfn.IFS((C3013&gt;='Resultats - informe'!$D$26)*(C3013&lt;='Resultats - informe'!$E$26),0,(C3013&gt;='Resultats - informe'!$D$27)*(C3013&lt;='Resultats - informe'!$E$27),0,(C3013&gt;='Resultats - informe'!$D$28)*(C3013&lt;='Resultats - informe'!$E$28),0,(C3013&gt;='Resultats - informe'!$D$29)*(C3013&lt;='Resultats - informe'!$E$29),0,1,1)</f>
        <v>0</v>
      </c>
      <c r="N3013" s="366">
        <f>+VLOOKUP(D3013,'Resultats - informe'!$Y$18:$AG$42,'Introducció dades consum'!K3013+1,0)</f>
        <v>0</v>
      </c>
      <c r="O3013" s="370" cm="1">
        <f t="array" ref="O3013">+_xlfn.SWITCH(MONTH(C3013),1,1,2,1,3,1,4,2,5,2,6,3,7,3,8,3,9,3,10,2,11,2,12,1,2)</f>
        <v>1</v>
      </c>
      <c r="P3013" s="43"/>
    </row>
    <row r="3014" spans="1:16" ht="18" x14ac:dyDescent="0.35">
      <c r="A3014" s="43"/>
      <c r="C3014" s="393"/>
      <c r="E3014" s="394"/>
      <c r="F3014" s="394">
        <v>2.6219999999999999</v>
      </c>
      <c r="G3014" s="394"/>
      <c r="H3014" s="8" t="s">
        <v>235</v>
      </c>
      <c r="I3014" s="368">
        <f t="shared" ref="I3014:I3077" si="142">+E3014+G3014</f>
        <v>0</v>
      </c>
      <c r="J3014" s="365">
        <f t="shared" si="141"/>
        <v>0</v>
      </c>
      <c r="K3014" s="369">
        <f t="shared" ref="K3014:K3077" si="143">+WEEKDAY(C3014,2)</f>
        <v>6</v>
      </c>
      <c r="L3014" s="369">
        <f>+IF((C3014&gt;='Resultats - informe'!$E$16)*(C3014&lt;='Resultats - informe'!$G$16),1,0)</f>
        <v>1</v>
      </c>
      <c r="M3014" s="369" cm="1">
        <f t="array" ref="M3014">+_xlfn.IFS((C3014&gt;='Resultats - informe'!$D$26)*(C3014&lt;='Resultats - informe'!$E$26),0,(C3014&gt;='Resultats - informe'!$D$27)*(C3014&lt;='Resultats - informe'!$E$27),0,(C3014&gt;='Resultats - informe'!$D$28)*(C3014&lt;='Resultats - informe'!$E$28),0,(C3014&gt;='Resultats - informe'!$D$29)*(C3014&lt;='Resultats - informe'!$E$29),0,1,1)</f>
        <v>0</v>
      </c>
      <c r="N3014" s="366">
        <f>+VLOOKUP(D3014,'Resultats - informe'!$Y$18:$AG$42,'Introducció dades consum'!K3014+1,0)</f>
        <v>0</v>
      </c>
      <c r="O3014" s="370" cm="1">
        <f t="array" ref="O3014">+_xlfn.SWITCH(MONTH(C3014),1,1,2,1,3,1,4,2,5,2,6,3,7,3,8,3,9,3,10,2,11,2,12,1,2)</f>
        <v>1</v>
      </c>
      <c r="P3014" s="43"/>
    </row>
    <row r="3015" spans="1:16" ht="18" x14ac:dyDescent="0.35">
      <c r="A3015" s="43"/>
      <c r="C3015" s="393"/>
      <c r="E3015" s="394"/>
      <c r="F3015" s="394">
        <v>3.4049999999999998</v>
      </c>
      <c r="G3015" s="394"/>
      <c r="H3015" s="8" t="s">
        <v>235</v>
      </c>
      <c r="I3015" s="368">
        <f t="shared" si="142"/>
        <v>0</v>
      </c>
      <c r="J3015" s="365">
        <f t="shared" si="141"/>
        <v>0</v>
      </c>
      <c r="K3015" s="369">
        <f t="shared" si="143"/>
        <v>6</v>
      </c>
      <c r="L3015" s="369">
        <f>+IF((C3015&gt;='Resultats - informe'!$E$16)*(C3015&lt;='Resultats - informe'!$G$16),1,0)</f>
        <v>1</v>
      </c>
      <c r="M3015" s="369" cm="1">
        <f t="array" ref="M3015">+_xlfn.IFS((C3015&gt;='Resultats - informe'!$D$26)*(C3015&lt;='Resultats - informe'!$E$26),0,(C3015&gt;='Resultats - informe'!$D$27)*(C3015&lt;='Resultats - informe'!$E$27),0,(C3015&gt;='Resultats - informe'!$D$28)*(C3015&lt;='Resultats - informe'!$E$28),0,(C3015&gt;='Resultats - informe'!$D$29)*(C3015&lt;='Resultats - informe'!$E$29),0,1,1)</f>
        <v>0</v>
      </c>
      <c r="N3015" s="366">
        <f>+VLOOKUP(D3015,'Resultats - informe'!$Y$18:$AG$42,'Introducció dades consum'!K3015+1,0)</f>
        <v>0</v>
      </c>
      <c r="O3015" s="370" cm="1">
        <f t="array" ref="O3015">+_xlfn.SWITCH(MONTH(C3015),1,1,2,1,3,1,4,2,5,2,6,3,7,3,8,3,9,3,10,2,11,2,12,1,2)</f>
        <v>1</v>
      </c>
      <c r="P3015" s="43"/>
    </row>
    <row r="3016" spans="1:16" ht="18" x14ac:dyDescent="0.35">
      <c r="A3016" s="43"/>
      <c r="C3016" s="393"/>
      <c r="E3016" s="394"/>
      <c r="F3016" s="394">
        <v>3.016</v>
      </c>
      <c r="G3016" s="394"/>
      <c r="H3016" s="8" t="s">
        <v>235</v>
      </c>
      <c r="I3016" s="368">
        <f t="shared" si="142"/>
        <v>0</v>
      </c>
      <c r="J3016" s="365">
        <f t="shared" si="141"/>
        <v>0</v>
      </c>
      <c r="K3016" s="369">
        <f t="shared" si="143"/>
        <v>6</v>
      </c>
      <c r="L3016" s="369">
        <f>+IF((C3016&gt;='Resultats - informe'!$E$16)*(C3016&lt;='Resultats - informe'!$G$16),1,0)</f>
        <v>1</v>
      </c>
      <c r="M3016" s="369" cm="1">
        <f t="array" ref="M3016">+_xlfn.IFS((C3016&gt;='Resultats - informe'!$D$26)*(C3016&lt;='Resultats - informe'!$E$26),0,(C3016&gt;='Resultats - informe'!$D$27)*(C3016&lt;='Resultats - informe'!$E$27),0,(C3016&gt;='Resultats - informe'!$D$28)*(C3016&lt;='Resultats - informe'!$E$28),0,(C3016&gt;='Resultats - informe'!$D$29)*(C3016&lt;='Resultats - informe'!$E$29),0,1,1)</f>
        <v>0</v>
      </c>
      <c r="N3016" s="366">
        <f>+VLOOKUP(D3016,'Resultats - informe'!$Y$18:$AG$42,'Introducció dades consum'!K3016+1,0)</f>
        <v>0</v>
      </c>
      <c r="O3016" s="370" cm="1">
        <f t="array" ref="O3016">+_xlfn.SWITCH(MONTH(C3016),1,1,2,1,3,1,4,2,5,2,6,3,7,3,8,3,9,3,10,2,11,2,12,1,2)</f>
        <v>1</v>
      </c>
      <c r="P3016" s="43"/>
    </row>
    <row r="3017" spans="1:16" ht="18" x14ac:dyDescent="0.35">
      <c r="A3017" s="43"/>
      <c r="C3017" s="393"/>
      <c r="E3017" s="394"/>
      <c r="F3017" s="394">
        <v>2.597</v>
      </c>
      <c r="G3017" s="394"/>
      <c r="H3017" s="8" t="s">
        <v>235</v>
      </c>
      <c r="I3017" s="368">
        <f t="shared" si="142"/>
        <v>0</v>
      </c>
      <c r="J3017" s="365">
        <f t="shared" si="141"/>
        <v>0</v>
      </c>
      <c r="K3017" s="369">
        <f t="shared" si="143"/>
        <v>6</v>
      </c>
      <c r="L3017" s="369">
        <f>+IF((C3017&gt;='Resultats - informe'!$E$16)*(C3017&lt;='Resultats - informe'!$G$16),1,0)</f>
        <v>1</v>
      </c>
      <c r="M3017" s="369" cm="1">
        <f t="array" ref="M3017">+_xlfn.IFS((C3017&gt;='Resultats - informe'!$D$26)*(C3017&lt;='Resultats - informe'!$E$26),0,(C3017&gt;='Resultats - informe'!$D$27)*(C3017&lt;='Resultats - informe'!$E$27),0,(C3017&gt;='Resultats - informe'!$D$28)*(C3017&lt;='Resultats - informe'!$E$28),0,(C3017&gt;='Resultats - informe'!$D$29)*(C3017&lt;='Resultats - informe'!$E$29),0,1,1)</f>
        <v>0</v>
      </c>
      <c r="N3017" s="366">
        <f>+VLOOKUP(D3017,'Resultats - informe'!$Y$18:$AG$42,'Introducció dades consum'!K3017+1,0)</f>
        <v>0</v>
      </c>
      <c r="O3017" s="370" cm="1">
        <f t="array" ref="O3017">+_xlfn.SWITCH(MONTH(C3017),1,1,2,1,3,1,4,2,5,2,6,3,7,3,8,3,9,3,10,2,11,2,12,1,2)</f>
        <v>1</v>
      </c>
      <c r="P3017" s="43"/>
    </row>
    <row r="3018" spans="1:16" ht="18" x14ac:dyDescent="0.35">
      <c r="A3018" s="43"/>
      <c r="C3018" s="393"/>
      <c r="E3018" s="394"/>
      <c r="F3018" s="394">
        <v>1.9550000000000001</v>
      </c>
      <c r="G3018" s="394"/>
      <c r="H3018" s="8" t="s">
        <v>235</v>
      </c>
      <c r="I3018" s="368">
        <f t="shared" si="142"/>
        <v>0</v>
      </c>
      <c r="J3018" s="365">
        <f t="shared" si="141"/>
        <v>0</v>
      </c>
      <c r="K3018" s="369">
        <f t="shared" si="143"/>
        <v>6</v>
      </c>
      <c r="L3018" s="369">
        <f>+IF((C3018&gt;='Resultats - informe'!$E$16)*(C3018&lt;='Resultats - informe'!$G$16),1,0)</f>
        <v>1</v>
      </c>
      <c r="M3018" s="369" cm="1">
        <f t="array" ref="M3018">+_xlfn.IFS((C3018&gt;='Resultats - informe'!$D$26)*(C3018&lt;='Resultats - informe'!$E$26),0,(C3018&gt;='Resultats - informe'!$D$27)*(C3018&lt;='Resultats - informe'!$E$27),0,(C3018&gt;='Resultats - informe'!$D$28)*(C3018&lt;='Resultats - informe'!$E$28),0,(C3018&gt;='Resultats - informe'!$D$29)*(C3018&lt;='Resultats - informe'!$E$29),0,1,1)</f>
        <v>0</v>
      </c>
      <c r="N3018" s="366">
        <f>+VLOOKUP(D3018,'Resultats - informe'!$Y$18:$AG$42,'Introducció dades consum'!K3018+1,0)</f>
        <v>0</v>
      </c>
      <c r="O3018" s="370" cm="1">
        <f t="array" ref="O3018">+_xlfn.SWITCH(MONTH(C3018),1,1,2,1,3,1,4,2,5,2,6,3,7,3,8,3,9,3,10,2,11,2,12,1,2)</f>
        <v>1</v>
      </c>
      <c r="P3018" s="43"/>
    </row>
    <row r="3019" spans="1:16" ht="18" x14ac:dyDescent="0.35">
      <c r="A3019" s="43"/>
      <c r="C3019" s="393"/>
      <c r="E3019" s="394"/>
      <c r="F3019" s="394">
        <v>1.7829999999999999</v>
      </c>
      <c r="G3019" s="394"/>
      <c r="H3019" s="8" t="s">
        <v>235</v>
      </c>
      <c r="I3019" s="368">
        <f t="shared" si="142"/>
        <v>0</v>
      </c>
      <c r="J3019" s="365">
        <f t="shared" si="141"/>
        <v>0</v>
      </c>
      <c r="K3019" s="369">
        <f t="shared" si="143"/>
        <v>6</v>
      </c>
      <c r="L3019" s="369">
        <f>+IF((C3019&gt;='Resultats - informe'!$E$16)*(C3019&lt;='Resultats - informe'!$G$16),1,0)</f>
        <v>1</v>
      </c>
      <c r="M3019" s="369" cm="1">
        <f t="array" ref="M3019">+_xlfn.IFS((C3019&gt;='Resultats - informe'!$D$26)*(C3019&lt;='Resultats - informe'!$E$26),0,(C3019&gt;='Resultats - informe'!$D$27)*(C3019&lt;='Resultats - informe'!$E$27),0,(C3019&gt;='Resultats - informe'!$D$28)*(C3019&lt;='Resultats - informe'!$E$28),0,(C3019&gt;='Resultats - informe'!$D$29)*(C3019&lt;='Resultats - informe'!$E$29),0,1,1)</f>
        <v>0</v>
      </c>
      <c r="N3019" s="366">
        <f>+VLOOKUP(D3019,'Resultats - informe'!$Y$18:$AG$42,'Introducció dades consum'!K3019+1,0)</f>
        <v>0</v>
      </c>
      <c r="O3019" s="370" cm="1">
        <f t="array" ref="O3019">+_xlfn.SWITCH(MONTH(C3019),1,1,2,1,3,1,4,2,5,2,6,3,7,3,8,3,9,3,10,2,11,2,12,1,2)</f>
        <v>1</v>
      </c>
      <c r="P3019" s="43"/>
    </row>
    <row r="3020" spans="1:16" ht="18" x14ac:dyDescent="0.35">
      <c r="A3020" s="43"/>
      <c r="C3020" s="393"/>
      <c r="E3020" s="394"/>
      <c r="F3020" s="394">
        <v>0.32500000000000001</v>
      </c>
      <c r="G3020" s="394"/>
      <c r="H3020" s="8" t="s">
        <v>235</v>
      </c>
      <c r="I3020" s="368">
        <f t="shared" si="142"/>
        <v>0</v>
      </c>
      <c r="J3020" s="365">
        <f t="shared" si="141"/>
        <v>0</v>
      </c>
      <c r="K3020" s="369">
        <f t="shared" si="143"/>
        <v>6</v>
      </c>
      <c r="L3020" s="369">
        <f>+IF((C3020&gt;='Resultats - informe'!$E$16)*(C3020&lt;='Resultats - informe'!$G$16),1,0)</f>
        <v>1</v>
      </c>
      <c r="M3020" s="369" cm="1">
        <f t="array" ref="M3020">+_xlfn.IFS((C3020&gt;='Resultats - informe'!$D$26)*(C3020&lt;='Resultats - informe'!$E$26),0,(C3020&gt;='Resultats - informe'!$D$27)*(C3020&lt;='Resultats - informe'!$E$27),0,(C3020&gt;='Resultats - informe'!$D$28)*(C3020&lt;='Resultats - informe'!$E$28),0,(C3020&gt;='Resultats - informe'!$D$29)*(C3020&lt;='Resultats - informe'!$E$29),0,1,1)</f>
        <v>0</v>
      </c>
      <c r="N3020" s="366">
        <f>+VLOOKUP(D3020,'Resultats - informe'!$Y$18:$AG$42,'Introducció dades consum'!K3020+1,0)</f>
        <v>0</v>
      </c>
      <c r="O3020" s="370" cm="1">
        <f t="array" ref="O3020">+_xlfn.SWITCH(MONTH(C3020),1,1,2,1,3,1,4,2,5,2,6,3,7,3,8,3,9,3,10,2,11,2,12,1,2)</f>
        <v>1</v>
      </c>
      <c r="P3020" s="43"/>
    </row>
    <row r="3021" spans="1:16" ht="18" x14ac:dyDescent="0.35">
      <c r="A3021" s="43"/>
      <c r="C3021" s="393"/>
      <c r="E3021" s="394"/>
      <c r="F3021" s="394">
        <v>0</v>
      </c>
      <c r="G3021" s="394"/>
      <c r="H3021" s="8" t="s">
        <v>235</v>
      </c>
      <c r="I3021" s="368">
        <f t="shared" si="142"/>
        <v>0</v>
      </c>
      <c r="J3021" s="365">
        <f t="shared" si="141"/>
        <v>0</v>
      </c>
      <c r="K3021" s="369">
        <f t="shared" si="143"/>
        <v>6</v>
      </c>
      <c r="L3021" s="369">
        <f>+IF((C3021&gt;='Resultats - informe'!$E$16)*(C3021&lt;='Resultats - informe'!$G$16),1,0)</f>
        <v>1</v>
      </c>
      <c r="M3021" s="369" cm="1">
        <f t="array" ref="M3021">+_xlfn.IFS((C3021&gt;='Resultats - informe'!$D$26)*(C3021&lt;='Resultats - informe'!$E$26),0,(C3021&gt;='Resultats - informe'!$D$27)*(C3021&lt;='Resultats - informe'!$E$27),0,(C3021&gt;='Resultats - informe'!$D$28)*(C3021&lt;='Resultats - informe'!$E$28),0,(C3021&gt;='Resultats - informe'!$D$29)*(C3021&lt;='Resultats - informe'!$E$29),0,1,1)</f>
        <v>0</v>
      </c>
      <c r="N3021" s="366">
        <f>+VLOOKUP(D3021,'Resultats - informe'!$Y$18:$AG$42,'Introducció dades consum'!K3021+1,0)</f>
        <v>0</v>
      </c>
      <c r="O3021" s="370" cm="1">
        <f t="array" ref="O3021">+_xlfn.SWITCH(MONTH(C3021),1,1,2,1,3,1,4,2,5,2,6,3,7,3,8,3,9,3,10,2,11,2,12,1,2)</f>
        <v>1</v>
      </c>
      <c r="P3021" s="43"/>
    </row>
    <row r="3022" spans="1:16" ht="18" x14ac:dyDescent="0.35">
      <c r="A3022" s="43"/>
      <c r="C3022" s="393"/>
      <c r="E3022" s="394"/>
      <c r="F3022" s="394">
        <v>0</v>
      </c>
      <c r="G3022" s="394"/>
      <c r="H3022" s="8" t="s">
        <v>235</v>
      </c>
      <c r="I3022" s="368">
        <f t="shared" si="142"/>
        <v>0</v>
      </c>
      <c r="J3022" s="365">
        <f t="shared" si="141"/>
        <v>0</v>
      </c>
      <c r="K3022" s="369">
        <f t="shared" si="143"/>
        <v>6</v>
      </c>
      <c r="L3022" s="369">
        <f>+IF((C3022&gt;='Resultats - informe'!$E$16)*(C3022&lt;='Resultats - informe'!$G$16),1,0)</f>
        <v>1</v>
      </c>
      <c r="M3022" s="369" cm="1">
        <f t="array" ref="M3022">+_xlfn.IFS((C3022&gt;='Resultats - informe'!$D$26)*(C3022&lt;='Resultats - informe'!$E$26),0,(C3022&gt;='Resultats - informe'!$D$27)*(C3022&lt;='Resultats - informe'!$E$27),0,(C3022&gt;='Resultats - informe'!$D$28)*(C3022&lt;='Resultats - informe'!$E$28),0,(C3022&gt;='Resultats - informe'!$D$29)*(C3022&lt;='Resultats - informe'!$E$29),0,1,1)</f>
        <v>0</v>
      </c>
      <c r="N3022" s="366">
        <f>+VLOOKUP(D3022,'Resultats - informe'!$Y$18:$AG$42,'Introducció dades consum'!K3022+1,0)</f>
        <v>0</v>
      </c>
      <c r="O3022" s="370" cm="1">
        <f t="array" ref="O3022">+_xlfn.SWITCH(MONTH(C3022),1,1,2,1,3,1,4,2,5,2,6,3,7,3,8,3,9,3,10,2,11,2,12,1,2)</f>
        <v>1</v>
      </c>
      <c r="P3022" s="43"/>
    </row>
    <row r="3023" spans="1:16" ht="18" x14ac:dyDescent="0.35">
      <c r="A3023" s="43"/>
      <c r="C3023" s="393"/>
      <c r="E3023" s="394"/>
      <c r="F3023" s="394">
        <v>0</v>
      </c>
      <c r="G3023" s="394"/>
      <c r="H3023" s="8" t="s">
        <v>235</v>
      </c>
      <c r="I3023" s="368">
        <f t="shared" si="142"/>
        <v>0</v>
      </c>
      <c r="J3023" s="365">
        <f t="shared" si="141"/>
        <v>0</v>
      </c>
      <c r="K3023" s="369">
        <f t="shared" si="143"/>
        <v>6</v>
      </c>
      <c r="L3023" s="369">
        <f>+IF((C3023&gt;='Resultats - informe'!$E$16)*(C3023&lt;='Resultats - informe'!$G$16),1,0)</f>
        <v>1</v>
      </c>
      <c r="M3023" s="369" cm="1">
        <f t="array" ref="M3023">+_xlfn.IFS((C3023&gt;='Resultats - informe'!$D$26)*(C3023&lt;='Resultats - informe'!$E$26),0,(C3023&gt;='Resultats - informe'!$D$27)*(C3023&lt;='Resultats - informe'!$E$27),0,(C3023&gt;='Resultats - informe'!$D$28)*(C3023&lt;='Resultats - informe'!$E$28),0,(C3023&gt;='Resultats - informe'!$D$29)*(C3023&lt;='Resultats - informe'!$E$29),0,1,1)</f>
        <v>0</v>
      </c>
      <c r="N3023" s="366">
        <f>+VLOOKUP(D3023,'Resultats - informe'!$Y$18:$AG$42,'Introducció dades consum'!K3023+1,0)</f>
        <v>0</v>
      </c>
      <c r="O3023" s="370" cm="1">
        <f t="array" ref="O3023">+_xlfn.SWITCH(MONTH(C3023),1,1,2,1,3,1,4,2,5,2,6,3,7,3,8,3,9,3,10,2,11,2,12,1,2)</f>
        <v>1</v>
      </c>
      <c r="P3023" s="43"/>
    </row>
    <row r="3024" spans="1:16" ht="18" x14ac:dyDescent="0.35">
      <c r="A3024" s="43"/>
      <c r="C3024" s="393"/>
      <c r="E3024" s="394"/>
      <c r="F3024" s="394">
        <v>0</v>
      </c>
      <c r="G3024" s="394"/>
      <c r="H3024" s="8" t="s">
        <v>235</v>
      </c>
      <c r="I3024" s="368">
        <f t="shared" si="142"/>
        <v>0</v>
      </c>
      <c r="J3024" s="365">
        <f t="shared" si="141"/>
        <v>0</v>
      </c>
      <c r="K3024" s="369">
        <f t="shared" si="143"/>
        <v>6</v>
      </c>
      <c r="L3024" s="369">
        <f>+IF((C3024&gt;='Resultats - informe'!$E$16)*(C3024&lt;='Resultats - informe'!$G$16),1,0)</f>
        <v>1</v>
      </c>
      <c r="M3024" s="369" cm="1">
        <f t="array" ref="M3024">+_xlfn.IFS((C3024&gt;='Resultats - informe'!$D$26)*(C3024&lt;='Resultats - informe'!$E$26),0,(C3024&gt;='Resultats - informe'!$D$27)*(C3024&lt;='Resultats - informe'!$E$27),0,(C3024&gt;='Resultats - informe'!$D$28)*(C3024&lt;='Resultats - informe'!$E$28),0,(C3024&gt;='Resultats - informe'!$D$29)*(C3024&lt;='Resultats - informe'!$E$29),0,1,1)</f>
        <v>0</v>
      </c>
      <c r="N3024" s="366">
        <f>+VLOOKUP(D3024,'Resultats - informe'!$Y$18:$AG$42,'Introducció dades consum'!K3024+1,0)</f>
        <v>0</v>
      </c>
      <c r="O3024" s="370" cm="1">
        <f t="array" ref="O3024">+_xlfn.SWITCH(MONTH(C3024),1,1,2,1,3,1,4,2,5,2,6,3,7,3,8,3,9,3,10,2,11,2,12,1,2)</f>
        <v>1</v>
      </c>
      <c r="P3024" s="43"/>
    </row>
    <row r="3025" spans="1:16" ht="18" x14ac:dyDescent="0.35">
      <c r="A3025" s="43"/>
      <c r="C3025" s="393"/>
      <c r="E3025" s="394"/>
      <c r="F3025" s="394">
        <v>0</v>
      </c>
      <c r="G3025" s="394"/>
      <c r="H3025" s="8" t="s">
        <v>235</v>
      </c>
      <c r="I3025" s="368">
        <f t="shared" si="142"/>
        <v>0</v>
      </c>
      <c r="J3025" s="365">
        <f t="shared" si="141"/>
        <v>0</v>
      </c>
      <c r="K3025" s="369">
        <f t="shared" si="143"/>
        <v>6</v>
      </c>
      <c r="L3025" s="369">
        <f>+IF((C3025&gt;='Resultats - informe'!$E$16)*(C3025&lt;='Resultats - informe'!$G$16),1,0)</f>
        <v>1</v>
      </c>
      <c r="M3025" s="369" cm="1">
        <f t="array" ref="M3025">+_xlfn.IFS((C3025&gt;='Resultats - informe'!$D$26)*(C3025&lt;='Resultats - informe'!$E$26),0,(C3025&gt;='Resultats - informe'!$D$27)*(C3025&lt;='Resultats - informe'!$E$27),0,(C3025&gt;='Resultats - informe'!$D$28)*(C3025&lt;='Resultats - informe'!$E$28),0,(C3025&gt;='Resultats - informe'!$D$29)*(C3025&lt;='Resultats - informe'!$E$29),0,1,1)</f>
        <v>0</v>
      </c>
      <c r="N3025" s="366">
        <f>+VLOOKUP(D3025,'Resultats - informe'!$Y$18:$AG$42,'Introducció dades consum'!K3025+1,0)</f>
        <v>0</v>
      </c>
      <c r="O3025" s="370" cm="1">
        <f t="array" ref="O3025">+_xlfn.SWITCH(MONTH(C3025),1,1,2,1,3,1,4,2,5,2,6,3,7,3,8,3,9,3,10,2,11,2,12,1,2)</f>
        <v>1</v>
      </c>
      <c r="P3025" s="43"/>
    </row>
    <row r="3026" spans="1:16" ht="18" x14ac:dyDescent="0.35">
      <c r="A3026" s="43"/>
      <c r="C3026" s="393"/>
      <c r="E3026" s="394"/>
      <c r="F3026" s="394">
        <v>0</v>
      </c>
      <c r="G3026" s="394"/>
      <c r="H3026" s="8" t="s">
        <v>235</v>
      </c>
      <c r="I3026" s="368">
        <f t="shared" si="142"/>
        <v>0</v>
      </c>
      <c r="J3026" s="365">
        <f t="shared" si="141"/>
        <v>0</v>
      </c>
      <c r="K3026" s="369">
        <f t="shared" si="143"/>
        <v>6</v>
      </c>
      <c r="L3026" s="369">
        <f>+IF((C3026&gt;='Resultats - informe'!$E$16)*(C3026&lt;='Resultats - informe'!$G$16),1,0)</f>
        <v>1</v>
      </c>
      <c r="M3026" s="369" cm="1">
        <f t="array" ref="M3026">+_xlfn.IFS((C3026&gt;='Resultats - informe'!$D$26)*(C3026&lt;='Resultats - informe'!$E$26),0,(C3026&gt;='Resultats - informe'!$D$27)*(C3026&lt;='Resultats - informe'!$E$27),0,(C3026&gt;='Resultats - informe'!$D$28)*(C3026&lt;='Resultats - informe'!$E$28),0,(C3026&gt;='Resultats - informe'!$D$29)*(C3026&lt;='Resultats - informe'!$E$29),0,1,1)</f>
        <v>0</v>
      </c>
      <c r="N3026" s="366">
        <f>+VLOOKUP(D3026,'Resultats - informe'!$Y$18:$AG$42,'Introducció dades consum'!K3026+1,0)</f>
        <v>0</v>
      </c>
      <c r="O3026" s="370" cm="1">
        <f t="array" ref="O3026">+_xlfn.SWITCH(MONTH(C3026),1,1,2,1,3,1,4,2,5,2,6,3,7,3,8,3,9,3,10,2,11,2,12,1,2)</f>
        <v>1</v>
      </c>
      <c r="P3026" s="43"/>
    </row>
    <row r="3027" spans="1:16" ht="18" x14ac:dyDescent="0.35">
      <c r="A3027" s="43"/>
      <c r="C3027" s="393"/>
      <c r="E3027" s="394"/>
      <c r="F3027" s="394">
        <v>0</v>
      </c>
      <c r="G3027" s="394"/>
      <c r="H3027" s="8" t="s">
        <v>235</v>
      </c>
      <c r="I3027" s="368">
        <f t="shared" si="142"/>
        <v>0</v>
      </c>
      <c r="J3027" s="365">
        <f t="shared" si="141"/>
        <v>0</v>
      </c>
      <c r="K3027" s="369">
        <f t="shared" si="143"/>
        <v>6</v>
      </c>
      <c r="L3027" s="369">
        <f>+IF((C3027&gt;='Resultats - informe'!$E$16)*(C3027&lt;='Resultats - informe'!$G$16),1,0)</f>
        <v>1</v>
      </c>
      <c r="M3027" s="369" cm="1">
        <f t="array" ref="M3027">+_xlfn.IFS((C3027&gt;='Resultats - informe'!$D$26)*(C3027&lt;='Resultats - informe'!$E$26),0,(C3027&gt;='Resultats - informe'!$D$27)*(C3027&lt;='Resultats - informe'!$E$27),0,(C3027&gt;='Resultats - informe'!$D$28)*(C3027&lt;='Resultats - informe'!$E$28),0,(C3027&gt;='Resultats - informe'!$D$29)*(C3027&lt;='Resultats - informe'!$E$29),0,1,1)</f>
        <v>0</v>
      </c>
      <c r="N3027" s="366">
        <f>+VLOOKUP(D3027,'Resultats - informe'!$Y$18:$AG$42,'Introducció dades consum'!K3027+1,0)</f>
        <v>0</v>
      </c>
      <c r="O3027" s="370" cm="1">
        <f t="array" ref="O3027">+_xlfn.SWITCH(MONTH(C3027),1,1,2,1,3,1,4,2,5,2,6,3,7,3,8,3,9,3,10,2,11,2,12,1,2)</f>
        <v>1</v>
      </c>
      <c r="P3027" s="43"/>
    </row>
    <row r="3028" spans="1:16" ht="18" x14ac:dyDescent="0.35">
      <c r="A3028" s="43"/>
      <c r="C3028" s="393"/>
      <c r="E3028" s="394"/>
      <c r="F3028" s="394">
        <v>0</v>
      </c>
      <c r="G3028" s="394"/>
      <c r="H3028" s="8" t="s">
        <v>235</v>
      </c>
      <c r="I3028" s="368">
        <f t="shared" si="142"/>
        <v>0</v>
      </c>
      <c r="J3028" s="365">
        <f t="shared" si="141"/>
        <v>0</v>
      </c>
      <c r="K3028" s="369">
        <f t="shared" si="143"/>
        <v>6</v>
      </c>
      <c r="L3028" s="369">
        <f>+IF((C3028&gt;='Resultats - informe'!$E$16)*(C3028&lt;='Resultats - informe'!$G$16),1,0)</f>
        <v>1</v>
      </c>
      <c r="M3028" s="369" cm="1">
        <f t="array" ref="M3028">+_xlfn.IFS((C3028&gt;='Resultats - informe'!$D$26)*(C3028&lt;='Resultats - informe'!$E$26),0,(C3028&gt;='Resultats - informe'!$D$27)*(C3028&lt;='Resultats - informe'!$E$27),0,(C3028&gt;='Resultats - informe'!$D$28)*(C3028&lt;='Resultats - informe'!$E$28),0,(C3028&gt;='Resultats - informe'!$D$29)*(C3028&lt;='Resultats - informe'!$E$29),0,1,1)</f>
        <v>0</v>
      </c>
      <c r="N3028" s="366">
        <f>+VLOOKUP(D3028,'Resultats - informe'!$Y$18:$AG$42,'Introducció dades consum'!K3028+1,0)</f>
        <v>0</v>
      </c>
      <c r="O3028" s="370" cm="1">
        <f t="array" ref="O3028">+_xlfn.SWITCH(MONTH(C3028),1,1,2,1,3,1,4,2,5,2,6,3,7,3,8,3,9,3,10,2,11,2,12,1,2)</f>
        <v>1</v>
      </c>
      <c r="P3028" s="43"/>
    </row>
    <row r="3029" spans="1:16" ht="18" x14ac:dyDescent="0.35">
      <c r="A3029" s="43"/>
      <c r="C3029" s="393"/>
      <c r="E3029" s="394"/>
      <c r="F3029" s="394">
        <v>0</v>
      </c>
      <c r="G3029" s="394"/>
      <c r="H3029" s="8" t="s">
        <v>235</v>
      </c>
      <c r="I3029" s="368">
        <f t="shared" si="142"/>
        <v>0</v>
      </c>
      <c r="J3029" s="365">
        <f t="shared" si="141"/>
        <v>0</v>
      </c>
      <c r="K3029" s="369">
        <f t="shared" si="143"/>
        <v>6</v>
      </c>
      <c r="L3029" s="369">
        <f>+IF((C3029&gt;='Resultats - informe'!$E$16)*(C3029&lt;='Resultats - informe'!$G$16),1,0)</f>
        <v>1</v>
      </c>
      <c r="M3029" s="369" cm="1">
        <f t="array" ref="M3029">+_xlfn.IFS((C3029&gt;='Resultats - informe'!$D$26)*(C3029&lt;='Resultats - informe'!$E$26),0,(C3029&gt;='Resultats - informe'!$D$27)*(C3029&lt;='Resultats - informe'!$E$27),0,(C3029&gt;='Resultats - informe'!$D$28)*(C3029&lt;='Resultats - informe'!$E$28),0,(C3029&gt;='Resultats - informe'!$D$29)*(C3029&lt;='Resultats - informe'!$E$29),0,1,1)</f>
        <v>0</v>
      </c>
      <c r="N3029" s="366">
        <f>+VLOOKUP(D3029,'Resultats - informe'!$Y$18:$AG$42,'Introducció dades consum'!K3029+1,0)</f>
        <v>0</v>
      </c>
      <c r="O3029" s="370" cm="1">
        <f t="array" ref="O3029">+_xlfn.SWITCH(MONTH(C3029),1,1,2,1,3,1,4,2,5,2,6,3,7,3,8,3,9,3,10,2,11,2,12,1,2)</f>
        <v>1</v>
      </c>
      <c r="P3029" s="43"/>
    </row>
    <row r="3030" spans="1:16" ht="18" x14ac:dyDescent="0.35">
      <c r="A3030" s="43"/>
      <c r="C3030" s="393"/>
      <c r="E3030" s="394"/>
      <c r="F3030" s="394">
        <v>0</v>
      </c>
      <c r="G3030" s="394"/>
      <c r="H3030" s="8" t="s">
        <v>235</v>
      </c>
      <c r="I3030" s="368">
        <f t="shared" si="142"/>
        <v>0</v>
      </c>
      <c r="J3030" s="365">
        <f t="shared" si="141"/>
        <v>0</v>
      </c>
      <c r="K3030" s="369">
        <f t="shared" si="143"/>
        <v>6</v>
      </c>
      <c r="L3030" s="369">
        <f>+IF((C3030&gt;='Resultats - informe'!$E$16)*(C3030&lt;='Resultats - informe'!$G$16),1,0)</f>
        <v>1</v>
      </c>
      <c r="M3030" s="369" cm="1">
        <f t="array" ref="M3030">+_xlfn.IFS((C3030&gt;='Resultats - informe'!$D$26)*(C3030&lt;='Resultats - informe'!$E$26),0,(C3030&gt;='Resultats - informe'!$D$27)*(C3030&lt;='Resultats - informe'!$E$27),0,(C3030&gt;='Resultats - informe'!$D$28)*(C3030&lt;='Resultats - informe'!$E$28),0,(C3030&gt;='Resultats - informe'!$D$29)*(C3030&lt;='Resultats - informe'!$E$29),0,1,1)</f>
        <v>0</v>
      </c>
      <c r="N3030" s="366">
        <f>+VLOOKUP(D3030,'Resultats - informe'!$Y$18:$AG$42,'Introducció dades consum'!K3030+1,0)</f>
        <v>0</v>
      </c>
      <c r="O3030" s="370" cm="1">
        <f t="array" ref="O3030">+_xlfn.SWITCH(MONTH(C3030),1,1,2,1,3,1,4,2,5,2,6,3,7,3,8,3,9,3,10,2,11,2,12,1,2)</f>
        <v>1</v>
      </c>
      <c r="P3030" s="43"/>
    </row>
    <row r="3031" spans="1:16" ht="18" x14ac:dyDescent="0.35">
      <c r="A3031" s="43"/>
      <c r="C3031" s="393"/>
      <c r="E3031" s="394"/>
      <c r="F3031" s="394">
        <v>0</v>
      </c>
      <c r="G3031" s="394"/>
      <c r="H3031" s="8" t="s">
        <v>235</v>
      </c>
      <c r="I3031" s="368">
        <f t="shared" si="142"/>
        <v>0</v>
      </c>
      <c r="J3031" s="365">
        <f t="shared" si="141"/>
        <v>0</v>
      </c>
      <c r="K3031" s="369">
        <f t="shared" si="143"/>
        <v>6</v>
      </c>
      <c r="L3031" s="369">
        <f>+IF((C3031&gt;='Resultats - informe'!$E$16)*(C3031&lt;='Resultats - informe'!$G$16),1,0)</f>
        <v>1</v>
      </c>
      <c r="M3031" s="369" cm="1">
        <f t="array" ref="M3031">+_xlfn.IFS((C3031&gt;='Resultats - informe'!$D$26)*(C3031&lt;='Resultats - informe'!$E$26),0,(C3031&gt;='Resultats - informe'!$D$27)*(C3031&lt;='Resultats - informe'!$E$27),0,(C3031&gt;='Resultats - informe'!$D$28)*(C3031&lt;='Resultats - informe'!$E$28),0,(C3031&gt;='Resultats - informe'!$D$29)*(C3031&lt;='Resultats - informe'!$E$29),0,1,1)</f>
        <v>0</v>
      </c>
      <c r="N3031" s="366">
        <f>+VLOOKUP(D3031,'Resultats - informe'!$Y$18:$AG$42,'Introducció dades consum'!K3031+1,0)</f>
        <v>0</v>
      </c>
      <c r="O3031" s="370" cm="1">
        <f t="array" ref="O3031">+_xlfn.SWITCH(MONTH(C3031),1,1,2,1,3,1,4,2,5,2,6,3,7,3,8,3,9,3,10,2,11,2,12,1,2)</f>
        <v>1</v>
      </c>
      <c r="P3031" s="43"/>
    </row>
    <row r="3032" spans="1:16" ht="18" x14ac:dyDescent="0.35">
      <c r="A3032" s="43"/>
      <c r="C3032" s="393"/>
      <c r="E3032" s="394"/>
      <c r="F3032" s="394">
        <v>0</v>
      </c>
      <c r="G3032" s="394"/>
      <c r="H3032" s="8" t="s">
        <v>235</v>
      </c>
      <c r="I3032" s="368">
        <f t="shared" si="142"/>
        <v>0</v>
      </c>
      <c r="J3032" s="365">
        <f t="shared" si="141"/>
        <v>0</v>
      </c>
      <c r="K3032" s="369">
        <f t="shared" si="143"/>
        <v>6</v>
      </c>
      <c r="L3032" s="369">
        <f>+IF((C3032&gt;='Resultats - informe'!$E$16)*(C3032&lt;='Resultats - informe'!$G$16),1,0)</f>
        <v>1</v>
      </c>
      <c r="M3032" s="369" cm="1">
        <f t="array" ref="M3032">+_xlfn.IFS((C3032&gt;='Resultats - informe'!$D$26)*(C3032&lt;='Resultats - informe'!$E$26),0,(C3032&gt;='Resultats - informe'!$D$27)*(C3032&lt;='Resultats - informe'!$E$27),0,(C3032&gt;='Resultats - informe'!$D$28)*(C3032&lt;='Resultats - informe'!$E$28),0,(C3032&gt;='Resultats - informe'!$D$29)*(C3032&lt;='Resultats - informe'!$E$29),0,1,1)</f>
        <v>0</v>
      </c>
      <c r="N3032" s="366">
        <f>+VLOOKUP(D3032,'Resultats - informe'!$Y$18:$AG$42,'Introducció dades consum'!K3032+1,0)</f>
        <v>0</v>
      </c>
      <c r="O3032" s="370" cm="1">
        <f t="array" ref="O3032">+_xlfn.SWITCH(MONTH(C3032),1,1,2,1,3,1,4,2,5,2,6,3,7,3,8,3,9,3,10,2,11,2,12,1,2)</f>
        <v>1</v>
      </c>
      <c r="P3032" s="43"/>
    </row>
    <row r="3033" spans="1:16" ht="18" x14ac:dyDescent="0.35">
      <c r="A3033" s="43"/>
      <c r="C3033" s="393"/>
      <c r="E3033" s="394"/>
      <c r="F3033" s="394">
        <v>0.186</v>
      </c>
      <c r="G3033" s="394"/>
      <c r="H3033" s="8" t="s">
        <v>235</v>
      </c>
      <c r="I3033" s="368">
        <f t="shared" si="142"/>
        <v>0</v>
      </c>
      <c r="J3033" s="365">
        <f t="shared" si="141"/>
        <v>0</v>
      </c>
      <c r="K3033" s="369">
        <f t="shared" si="143"/>
        <v>6</v>
      </c>
      <c r="L3033" s="369">
        <f>+IF((C3033&gt;='Resultats - informe'!$E$16)*(C3033&lt;='Resultats - informe'!$G$16),1,0)</f>
        <v>1</v>
      </c>
      <c r="M3033" s="369" cm="1">
        <f t="array" ref="M3033">+_xlfn.IFS((C3033&gt;='Resultats - informe'!$D$26)*(C3033&lt;='Resultats - informe'!$E$26),0,(C3033&gt;='Resultats - informe'!$D$27)*(C3033&lt;='Resultats - informe'!$E$27),0,(C3033&gt;='Resultats - informe'!$D$28)*(C3033&lt;='Resultats - informe'!$E$28),0,(C3033&gt;='Resultats - informe'!$D$29)*(C3033&lt;='Resultats - informe'!$E$29),0,1,1)</f>
        <v>0</v>
      </c>
      <c r="N3033" s="366">
        <f>+VLOOKUP(D3033,'Resultats - informe'!$Y$18:$AG$42,'Introducció dades consum'!K3033+1,0)</f>
        <v>0</v>
      </c>
      <c r="O3033" s="370" cm="1">
        <f t="array" ref="O3033">+_xlfn.SWITCH(MONTH(C3033),1,1,2,1,3,1,4,2,5,2,6,3,7,3,8,3,9,3,10,2,11,2,12,1,2)</f>
        <v>1</v>
      </c>
      <c r="P3033" s="43"/>
    </row>
    <row r="3034" spans="1:16" ht="18" x14ac:dyDescent="0.35">
      <c r="A3034" s="43"/>
      <c r="C3034" s="393"/>
      <c r="E3034" s="394"/>
      <c r="F3034" s="394">
        <v>0.94099999999999995</v>
      </c>
      <c r="G3034" s="394"/>
      <c r="H3034" s="8" t="s">
        <v>235</v>
      </c>
      <c r="I3034" s="368">
        <f t="shared" si="142"/>
        <v>0</v>
      </c>
      <c r="J3034" s="365">
        <f t="shared" si="141"/>
        <v>0</v>
      </c>
      <c r="K3034" s="369">
        <f t="shared" si="143"/>
        <v>6</v>
      </c>
      <c r="L3034" s="369">
        <f>+IF((C3034&gt;='Resultats - informe'!$E$16)*(C3034&lt;='Resultats - informe'!$G$16),1,0)</f>
        <v>1</v>
      </c>
      <c r="M3034" s="369" cm="1">
        <f t="array" ref="M3034">+_xlfn.IFS((C3034&gt;='Resultats - informe'!$D$26)*(C3034&lt;='Resultats - informe'!$E$26),0,(C3034&gt;='Resultats - informe'!$D$27)*(C3034&lt;='Resultats - informe'!$E$27),0,(C3034&gt;='Resultats - informe'!$D$28)*(C3034&lt;='Resultats - informe'!$E$28),0,(C3034&gt;='Resultats - informe'!$D$29)*(C3034&lt;='Resultats - informe'!$E$29),0,1,1)</f>
        <v>0</v>
      </c>
      <c r="N3034" s="366">
        <f>+VLOOKUP(D3034,'Resultats - informe'!$Y$18:$AG$42,'Introducció dades consum'!K3034+1,0)</f>
        <v>0</v>
      </c>
      <c r="O3034" s="370" cm="1">
        <f t="array" ref="O3034">+_xlfn.SWITCH(MONTH(C3034),1,1,2,1,3,1,4,2,5,2,6,3,7,3,8,3,9,3,10,2,11,2,12,1,2)</f>
        <v>1</v>
      </c>
      <c r="P3034" s="43"/>
    </row>
    <row r="3035" spans="1:16" ht="18" x14ac:dyDescent="0.35">
      <c r="A3035" s="43"/>
      <c r="C3035" s="393"/>
      <c r="E3035" s="394"/>
      <c r="F3035" s="394">
        <v>1.744</v>
      </c>
      <c r="G3035" s="394"/>
      <c r="H3035" s="8" t="s">
        <v>235</v>
      </c>
      <c r="I3035" s="368">
        <f t="shared" si="142"/>
        <v>0</v>
      </c>
      <c r="J3035" s="365">
        <f t="shared" si="141"/>
        <v>0</v>
      </c>
      <c r="K3035" s="369">
        <f t="shared" si="143"/>
        <v>6</v>
      </c>
      <c r="L3035" s="369">
        <f>+IF((C3035&gt;='Resultats - informe'!$E$16)*(C3035&lt;='Resultats - informe'!$G$16),1,0)</f>
        <v>1</v>
      </c>
      <c r="M3035" s="369" cm="1">
        <f t="array" ref="M3035">+_xlfn.IFS((C3035&gt;='Resultats - informe'!$D$26)*(C3035&lt;='Resultats - informe'!$E$26),0,(C3035&gt;='Resultats - informe'!$D$27)*(C3035&lt;='Resultats - informe'!$E$27),0,(C3035&gt;='Resultats - informe'!$D$28)*(C3035&lt;='Resultats - informe'!$E$28),0,(C3035&gt;='Resultats - informe'!$D$29)*(C3035&lt;='Resultats - informe'!$E$29),0,1,1)</f>
        <v>0</v>
      </c>
      <c r="N3035" s="366">
        <f>+VLOOKUP(D3035,'Resultats - informe'!$Y$18:$AG$42,'Introducció dades consum'!K3035+1,0)</f>
        <v>0</v>
      </c>
      <c r="O3035" s="370" cm="1">
        <f t="array" ref="O3035">+_xlfn.SWITCH(MONTH(C3035),1,1,2,1,3,1,4,2,5,2,6,3,7,3,8,3,9,3,10,2,11,2,12,1,2)</f>
        <v>1</v>
      </c>
      <c r="P3035" s="43"/>
    </row>
    <row r="3036" spans="1:16" ht="18" x14ac:dyDescent="0.35">
      <c r="A3036" s="43"/>
      <c r="C3036" s="393"/>
      <c r="E3036" s="394"/>
      <c r="F3036" s="394">
        <v>0</v>
      </c>
      <c r="G3036" s="394"/>
      <c r="H3036" s="8" t="s">
        <v>61</v>
      </c>
      <c r="I3036" s="368">
        <f t="shared" si="142"/>
        <v>0</v>
      </c>
      <c r="J3036" s="365">
        <f t="shared" si="141"/>
        <v>0</v>
      </c>
      <c r="K3036" s="369">
        <f t="shared" si="143"/>
        <v>6</v>
      </c>
      <c r="L3036" s="369">
        <f>+IF((C3036&gt;='Resultats - informe'!$E$16)*(C3036&lt;='Resultats - informe'!$G$16),1,0)</f>
        <v>1</v>
      </c>
      <c r="M3036" s="369" cm="1">
        <f t="array" ref="M3036">+_xlfn.IFS((C3036&gt;='Resultats - informe'!$D$26)*(C3036&lt;='Resultats - informe'!$E$26),0,(C3036&gt;='Resultats - informe'!$D$27)*(C3036&lt;='Resultats - informe'!$E$27),0,(C3036&gt;='Resultats - informe'!$D$28)*(C3036&lt;='Resultats - informe'!$E$28),0,(C3036&gt;='Resultats - informe'!$D$29)*(C3036&lt;='Resultats - informe'!$E$29),0,1,1)</f>
        <v>0</v>
      </c>
      <c r="N3036" s="366">
        <f>+VLOOKUP(D3036,'Resultats - informe'!$Y$18:$AG$42,'Introducció dades consum'!K3036+1,0)</f>
        <v>0</v>
      </c>
      <c r="O3036" s="370" cm="1">
        <f t="array" ref="O3036">+_xlfn.SWITCH(MONTH(C3036),1,1,2,1,3,1,4,2,5,2,6,3,7,3,8,3,9,3,10,2,11,2,12,1,2)</f>
        <v>1</v>
      </c>
      <c r="P3036" s="43"/>
    </row>
    <row r="3037" spans="1:16" ht="18" x14ac:dyDescent="0.35">
      <c r="A3037" s="43"/>
      <c r="C3037" s="393"/>
      <c r="E3037" s="394"/>
      <c r="F3037" s="394">
        <v>0.74299999999999999</v>
      </c>
      <c r="G3037" s="394"/>
      <c r="H3037" s="8" t="s">
        <v>61</v>
      </c>
      <c r="I3037" s="368">
        <f t="shared" si="142"/>
        <v>0</v>
      </c>
      <c r="J3037" s="365">
        <f t="shared" si="141"/>
        <v>0</v>
      </c>
      <c r="K3037" s="369">
        <f t="shared" si="143"/>
        <v>6</v>
      </c>
      <c r="L3037" s="369">
        <f>+IF((C3037&gt;='Resultats - informe'!$E$16)*(C3037&lt;='Resultats - informe'!$G$16),1,0)</f>
        <v>1</v>
      </c>
      <c r="M3037" s="369" cm="1">
        <f t="array" ref="M3037">+_xlfn.IFS((C3037&gt;='Resultats - informe'!$D$26)*(C3037&lt;='Resultats - informe'!$E$26),0,(C3037&gt;='Resultats - informe'!$D$27)*(C3037&lt;='Resultats - informe'!$E$27),0,(C3037&gt;='Resultats - informe'!$D$28)*(C3037&lt;='Resultats - informe'!$E$28),0,(C3037&gt;='Resultats - informe'!$D$29)*(C3037&lt;='Resultats - informe'!$E$29),0,1,1)</f>
        <v>0</v>
      </c>
      <c r="N3037" s="366">
        <f>+VLOOKUP(D3037,'Resultats - informe'!$Y$18:$AG$42,'Introducció dades consum'!K3037+1,0)</f>
        <v>0</v>
      </c>
      <c r="O3037" s="370" cm="1">
        <f t="array" ref="O3037">+_xlfn.SWITCH(MONTH(C3037),1,1,2,1,3,1,4,2,5,2,6,3,7,3,8,3,9,3,10,2,11,2,12,1,2)</f>
        <v>1</v>
      </c>
      <c r="P3037" s="43"/>
    </row>
    <row r="3038" spans="1:16" ht="18" x14ac:dyDescent="0.35">
      <c r="A3038" s="43"/>
      <c r="C3038" s="393"/>
      <c r="E3038" s="394"/>
      <c r="F3038" s="394">
        <v>3.1459999999999999</v>
      </c>
      <c r="G3038" s="394"/>
      <c r="H3038" s="8" t="s">
        <v>235</v>
      </c>
      <c r="I3038" s="368">
        <f t="shared" si="142"/>
        <v>0</v>
      </c>
      <c r="J3038" s="365">
        <f t="shared" si="141"/>
        <v>0</v>
      </c>
      <c r="K3038" s="369">
        <f t="shared" si="143"/>
        <v>6</v>
      </c>
      <c r="L3038" s="369">
        <f>+IF((C3038&gt;='Resultats - informe'!$E$16)*(C3038&lt;='Resultats - informe'!$G$16),1,0)</f>
        <v>1</v>
      </c>
      <c r="M3038" s="369" cm="1">
        <f t="array" ref="M3038">+_xlfn.IFS((C3038&gt;='Resultats - informe'!$D$26)*(C3038&lt;='Resultats - informe'!$E$26),0,(C3038&gt;='Resultats - informe'!$D$27)*(C3038&lt;='Resultats - informe'!$E$27),0,(C3038&gt;='Resultats - informe'!$D$28)*(C3038&lt;='Resultats - informe'!$E$28),0,(C3038&gt;='Resultats - informe'!$D$29)*(C3038&lt;='Resultats - informe'!$E$29),0,1,1)</f>
        <v>0</v>
      </c>
      <c r="N3038" s="366">
        <f>+VLOOKUP(D3038,'Resultats - informe'!$Y$18:$AG$42,'Introducció dades consum'!K3038+1,0)</f>
        <v>0</v>
      </c>
      <c r="O3038" s="370" cm="1">
        <f t="array" ref="O3038">+_xlfn.SWITCH(MONTH(C3038),1,1,2,1,3,1,4,2,5,2,6,3,7,3,8,3,9,3,10,2,11,2,12,1,2)</f>
        <v>1</v>
      </c>
      <c r="P3038" s="43"/>
    </row>
    <row r="3039" spans="1:16" ht="18" x14ac:dyDescent="0.35">
      <c r="A3039" s="43"/>
      <c r="C3039" s="393"/>
      <c r="E3039" s="394"/>
      <c r="F3039" s="394">
        <v>3.347</v>
      </c>
      <c r="G3039" s="394"/>
      <c r="H3039" s="8" t="s">
        <v>235</v>
      </c>
      <c r="I3039" s="368">
        <f t="shared" si="142"/>
        <v>0</v>
      </c>
      <c r="J3039" s="365">
        <f t="shared" si="141"/>
        <v>0</v>
      </c>
      <c r="K3039" s="369">
        <f t="shared" si="143"/>
        <v>6</v>
      </c>
      <c r="L3039" s="369">
        <f>+IF((C3039&gt;='Resultats - informe'!$E$16)*(C3039&lt;='Resultats - informe'!$G$16),1,0)</f>
        <v>1</v>
      </c>
      <c r="M3039" s="369" cm="1">
        <f t="array" ref="M3039">+_xlfn.IFS((C3039&gt;='Resultats - informe'!$D$26)*(C3039&lt;='Resultats - informe'!$E$26),0,(C3039&gt;='Resultats - informe'!$D$27)*(C3039&lt;='Resultats - informe'!$E$27),0,(C3039&gt;='Resultats - informe'!$D$28)*(C3039&lt;='Resultats - informe'!$E$28),0,(C3039&gt;='Resultats - informe'!$D$29)*(C3039&lt;='Resultats - informe'!$E$29),0,1,1)</f>
        <v>0</v>
      </c>
      <c r="N3039" s="366">
        <f>+VLOOKUP(D3039,'Resultats - informe'!$Y$18:$AG$42,'Introducció dades consum'!K3039+1,0)</f>
        <v>0</v>
      </c>
      <c r="O3039" s="370" cm="1">
        <f t="array" ref="O3039">+_xlfn.SWITCH(MONTH(C3039),1,1,2,1,3,1,4,2,5,2,6,3,7,3,8,3,9,3,10,2,11,2,12,1,2)</f>
        <v>1</v>
      </c>
      <c r="P3039" s="43"/>
    </row>
    <row r="3040" spans="1:16" ht="18" x14ac:dyDescent="0.35">
      <c r="A3040" s="43"/>
      <c r="C3040" s="393"/>
      <c r="E3040" s="394"/>
      <c r="F3040" s="394">
        <v>2.827</v>
      </c>
      <c r="G3040" s="394"/>
      <c r="H3040" s="8" t="s">
        <v>61</v>
      </c>
      <c r="I3040" s="368">
        <f t="shared" si="142"/>
        <v>0</v>
      </c>
      <c r="J3040" s="365">
        <f t="shared" si="141"/>
        <v>0</v>
      </c>
      <c r="K3040" s="369">
        <f t="shared" si="143"/>
        <v>6</v>
      </c>
      <c r="L3040" s="369">
        <f>+IF((C3040&gt;='Resultats - informe'!$E$16)*(C3040&lt;='Resultats - informe'!$G$16),1,0)</f>
        <v>1</v>
      </c>
      <c r="M3040" s="369" cm="1">
        <f t="array" ref="M3040">+_xlfn.IFS((C3040&gt;='Resultats - informe'!$D$26)*(C3040&lt;='Resultats - informe'!$E$26),0,(C3040&gt;='Resultats - informe'!$D$27)*(C3040&lt;='Resultats - informe'!$E$27),0,(C3040&gt;='Resultats - informe'!$D$28)*(C3040&lt;='Resultats - informe'!$E$28),0,(C3040&gt;='Resultats - informe'!$D$29)*(C3040&lt;='Resultats - informe'!$E$29),0,1,1)</f>
        <v>0</v>
      </c>
      <c r="N3040" s="366">
        <f>+VLOOKUP(D3040,'Resultats - informe'!$Y$18:$AG$42,'Introducció dades consum'!K3040+1,0)</f>
        <v>0</v>
      </c>
      <c r="O3040" s="370" cm="1">
        <f t="array" ref="O3040">+_xlfn.SWITCH(MONTH(C3040),1,1,2,1,3,1,4,2,5,2,6,3,7,3,8,3,9,3,10,2,11,2,12,1,2)</f>
        <v>1</v>
      </c>
      <c r="P3040" s="43"/>
    </row>
    <row r="3041" spans="1:16" ht="18" x14ac:dyDescent="0.35">
      <c r="A3041" s="43"/>
      <c r="C3041" s="393"/>
      <c r="E3041" s="394"/>
      <c r="F3041" s="394">
        <v>2.012</v>
      </c>
      <c r="G3041" s="394"/>
      <c r="H3041" s="8" t="s">
        <v>61</v>
      </c>
      <c r="I3041" s="368">
        <f t="shared" si="142"/>
        <v>0</v>
      </c>
      <c r="J3041" s="365">
        <f t="shared" si="141"/>
        <v>0</v>
      </c>
      <c r="K3041" s="369">
        <f t="shared" si="143"/>
        <v>6</v>
      </c>
      <c r="L3041" s="369">
        <f>+IF((C3041&gt;='Resultats - informe'!$E$16)*(C3041&lt;='Resultats - informe'!$G$16),1,0)</f>
        <v>1</v>
      </c>
      <c r="M3041" s="369" cm="1">
        <f t="array" ref="M3041">+_xlfn.IFS((C3041&gt;='Resultats - informe'!$D$26)*(C3041&lt;='Resultats - informe'!$E$26),0,(C3041&gt;='Resultats - informe'!$D$27)*(C3041&lt;='Resultats - informe'!$E$27),0,(C3041&gt;='Resultats - informe'!$D$28)*(C3041&lt;='Resultats - informe'!$E$28),0,(C3041&gt;='Resultats - informe'!$D$29)*(C3041&lt;='Resultats - informe'!$E$29),0,1,1)</f>
        <v>0</v>
      </c>
      <c r="N3041" s="366">
        <f>+VLOOKUP(D3041,'Resultats - informe'!$Y$18:$AG$42,'Introducció dades consum'!K3041+1,0)</f>
        <v>0</v>
      </c>
      <c r="O3041" s="370" cm="1">
        <f t="array" ref="O3041">+_xlfn.SWITCH(MONTH(C3041),1,1,2,1,3,1,4,2,5,2,6,3,7,3,8,3,9,3,10,2,11,2,12,1,2)</f>
        <v>1</v>
      </c>
      <c r="P3041" s="43"/>
    </row>
    <row r="3042" spans="1:16" ht="18" x14ac:dyDescent="0.35">
      <c r="A3042" s="43"/>
      <c r="C3042" s="393"/>
      <c r="E3042" s="394"/>
      <c r="F3042" s="394">
        <v>1.6839999999999999</v>
      </c>
      <c r="G3042" s="394"/>
      <c r="H3042" s="8" t="s">
        <v>235</v>
      </c>
      <c r="I3042" s="368">
        <f t="shared" si="142"/>
        <v>0</v>
      </c>
      <c r="J3042" s="365">
        <f t="shared" si="141"/>
        <v>0</v>
      </c>
      <c r="K3042" s="369">
        <f t="shared" si="143"/>
        <v>6</v>
      </c>
      <c r="L3042" s="369">
        <f>+IF((C3042&gt;='Resultats - informe'!$E$16)*(C3042&lt;='Resultats - informe'!$G$16),1,0)</f>
        <v>1</v>
      </c>
      <c r="M3042" s="369" cm="1">
        <f t="array" ref="M3042">+_xlfn.IFS((C3042&gt;='Resultats - informe'!$D$26)*(C3042&lt;='Resultats - informe'!$E$26),0,(C3042&gt;='Resultats - informe'!$D$27)*(C3042&lt;='Resultats - informe'!$E$27),0,(C3042&gt;='Resultats - informe'!$D$28)*(C3042&lt;='Resultats - informe'!$E$28),0,(C3042&gt;='Resultats - informe'!$D$29)*(C3042&lt;='Resultats - informe'!$E$29),0,1,1)</f>
        <v>0</v>
      </c>
      <c r="N3042" s="366">
        <f>+VLOOKUP(D3042,'Resultats - informe'!$Y$18:$AG$42,'Introducció dades consum'!K3042+1,0)</f>
        <v>0</v>
      </c>
      <c r="O3042" s="370" cm="1">
        <f t="array" ref="O3042">+_xlfn.SWITCH(MONTH(C3042),1,1,2,1,3,1,4,2,5,2,6,3,7,3,8,3,9,3,10,2,11,2,12,1,2)</f>
        <v>1</v>
      </c>
      <c r="P3042" s="43"/>
    </row>
    <row r="3043" spans="1:16" ht="18" x14ac:dyDescent="0.35">
      <c r="A3043" s="43"/>
      <c r="C3043" s="393"/>
      <c r="E3043" s="394"/>
      <c r="F3043" s="394">
        <v>2.0699999999999998</v>
      </c>
      <c r="G3043" s="394"/>
      <c r="H3043" s="8" t="s">
        <v>235</v>
      </c>
      <c r="I3043" s="368">
        <f t="shared" si="142"/>
        <v>0</v>
      </c>
      <c r="J3043" s="365">
        <f t="shared" si="141"/>
        <v>0</v>
      </c>
      <c r="K3043" s="369">
        <f t="shared" si="143"/>
        <v>6</v>
      </c>
      <c r="L3043" s="369">
        <f>+IF((C3043&gt;='Resultats - informe'!$E$16)*(C3043&lt;='Resultats - informe'!$G$16),1,0)</f>
        <v>1</v>
      </c>
      <c r="M3043" s="369" cm="1">
        <f t="array" ref="M3043">+_xlfn.IFS((C3043&gt;='Resultats - informe'!$D$26)*(C3043&lt;='Resultats - informe'!$E$26),0,(C3043&gt;='Resultats - informe'!$D$27)*(C3043&lt;='Resultats - informe'!$E$27),0,(C3043&gt;='Resultats - informe'!$D$28)*(C3043&lt;='Resultats - informe'!$E$28),0,(C3043&gt;='Resultats - informe'!$D$29)*(C3043&lt;='Resultats - informe'!$E$29),0,1,1)</f>
        <v>0</v>
      </c>
      <c r="N3043" s="366">
        <f>+VLOOKUP(D3043,'Resultats - informe'!$Y$18:$AG$42,'Introducció dades consum'!K3043+1,0)</f>
        <v>0</v>
      </c>
      <c r="O3043" s="370" cm="1">
        <f t="array" ref="O3043">+_xlfn.SWITCH(MONTH(C3043),1,1,2,1,3,1,4,2,5,2,6,3,7,3,8,3,9,3,10,2,11,2,12,1,2)</f>
        <v>1</v>
      </c>
      <c r="P3043" s="43"/>
    </row>
    <row r="3044" spans="1:16" ht="18" x14ac:dyDescent="0.35">
      <c r="A3044" s="43"/>
      <c r="C3044" s="393"/>
      <c r="E3044" s="394"/>
      <c r="F3044" s="394">
        <v>0.93100000000000005</v>
      </c>
      <c r="G3044" s="394"/>
      <c r="H3044" s="8" t="s">
        <v>61</v>
      </c>
      <c r="I3044" s="368">
        <f t="shared" si="142"/>
        <v>0</v>
      </c>
      <c r="J3044" s="365">
        <f t="shared" si="141"/>
        <v>0</v>
      </c>
      <c r="K3044" s="369">
        <f t="shared" si="143"/>
        <v>6</v>
      </c>
      <c r="L3044" s="369">
        <f>+IF((C3044&gt;='Resultats - informe'!$E$16)*(C3044&lt;='Resultats - informe'!$G$16),1,0)</f>
        <v>1</v>
      </c>
      <c r="M3044" s="369" cm="1">
        <f t="array" ref="M3044">+_xlfn.IFS((C3044&gt;='Resultats - informe'!$D$26)*(C3044&lt;='Resultats - informe'!$E$26),0,(C3044&gt;='Resultats - informe'!$D$27)*(C3044&lt;='Resultats - informe'!$E$27),0,(C3044&gt;='Resultats - informe'!$D$28)*(C3044&lt;='Resultats - informe'!$E$28),0,(C3044&gt;='Resultats - informe'!$D$29)*(C3044&lt;='Resultats - informe'!$E$29),0,1,1)</f>
        <v>0</v>
      </c>
      <c r="N3044" s="366">
        <f>+VLOOKUP(D3044,'Resultats - informe'!$Y$18:$AG$42,'Introducció dades consum'!K3044+1,0)</f>
        <v>0</v>
      </c>
      <c r="O3044" s="370" cm="1">
        <f t="array" ref="O3044">+_xlfn.SWITCH(MONTH(C3044),1,1,2,1,3,1,4,2,5,2,6,3,7,3,8,3,9,3,10,2,11,2,12,1,2)</f>
        <v>1</v>
      </c>
      <c r="P3044" s="43"/>
    </row>
    <row r="3045" spans="1:16" ht="18" x14ac:dyDescent="0.35">
      <c r="A3045" s="43"/>
      <c r="C3045" s="393"/>
      <c r="E3045" s="394"/>
      <c r="F3045" s="394">
        <v>0.23699999999999999</v>
      </c>
      <c r="G3045" s="394"/>
      <c r="H3045" s="8" t="s">
        <v>235</v>
      </c>
      <c r="I3045" s="368">
        <f t="shared" si="142"/>
        <v>0</v>
      </c>
      <c r="J3045" s="365">
        <f t="shared" si="141"/>
        <v>0</v>
      </c>
      <c r="K3045" s="369">
        <f t="shared" si="143"/>
        <v>6</v>
      </c>
      <c r="L3045" s="369">
        <f>+IF((C3045&gt;='Resultats - informe'!$E$16)*(C3045&lt;='Resultats - informe'!$G$16),1,0)</f>
        <v>1</v>
      </c>
      <c r="M3045" s="369" cm="1">
        <f t="array" ref="M3045">+_xlfn.IFS((C3045&gt;='Resultats - informe'!$D$26)*(C3045&lt;='Resultats - informe'!$E$26),0,(C3045&gt;='Resultats - informe'!$D$27)*(C3045&lt;='Resultats - informe'!$E$27),0,(C3045&gt;='Resultats - informe'!$D$28)*(C3045&lt;='Resultats - informe'!$E$28),0,(C3045&gt;='Resultats - informe'!$D$29)*(C3045&lt;='Resultats - informe'!$E$29),0,1,1)</f>
        <v>0</v>
      </c>
      <c r="N3045" s="366">
        <f>+VLOOKUP(D3045,'Resultats - informe'!$Y$18:$AG$42,'Introducció dades consum'!K3045+1,0)</f>
        <v>0</v>
      </c>
      <c r="O3045" s="370" cm="1">
        <f t="array" ref="O3045">+_xlfn.SWITCH(MONTH(C3045),1,1,2,1,3,1,4,2,5,2,6,3,7,3,8,3,9,3,10,2,11,2,12,1,2)</f>
        <v>1</v>
      </c>
      <c r="P3045" s="43"/>
    </row>
    <row r="3046" spans="1:16" ht="18" x14ac:dyDescent="0.35">
      <c r="A3046" s="43"/>
      <c r="C3046" s="393"/>
      <c r="E3046" s="394"/>
      <c r="F3046" s="394">
        <v>0</v>
      </c>
      <c r="G3046" s="394"/>
      <c r="H3046" s="8" t="s">
        <v>235</v>
      </c>
      <c r="I3046" s="368">
        <f t="shared" si="142"/>
        <v>0</v>
      </c>
      <c r="J3046" s="365">
        <f t="shared" si="141"/>
        <v>0</v>
      </c>
      <c r="K3046" s="369">
        <f t="shared" si="143"/>
        <v>6</v>
      </c>
      <c r="L3046" s="369">
        <f>+IF((C3046&gt;='Resultats - informe'!$E$16)*(C3046&lt;='Resultats - informe'!$G$16),1,0)</f>
        <v>1</v>
      </c>
      <c r="M3046" s="369" cm="1">
        <f t="array" ref="M3046">+_xlfn.IFS((C3046&gt;='Resultats - informe'!$D$26)*(C3046&lt;='Resultats - informe'!$E$26),0,(C3046&gt;='Resultats - informe'!$D$27)*(C3046&lt;='Resultats - informe'!$E$27),0,(C3046&gt;='Resultats - informe'!$D$28)*(C3046&lt;='Resultats - informe'!$E$28),0,(C3046&gt;='Resultats - informe'!$D$29)*(C3046&lt;='Resultats - informe'!$E$29),0,1,1)</f>
        <v>0</v>
      </c>
      <c r="N3046" s="366">
        <f>+VLOOKUP(D3046,'Resultats - informe'!$Y$18:$AG$42,'Introducció dades consum'!K3046+1,0)</f>
        <v>0</v>
      </c>
      <c r="O3046" s="370" cm="1">
        <f t="array" ref="O3046">+_xlfn.SWITCH(MONTH(C3046),1,1,2,1,3,1,4,2,5,2,6,3,7,3,8,3,9,3,10,2,11,2,12,1,2)</f>
        <v>1</v>
      </c>
      <c r="P3046" s="43"/>
    </row>
    <row r="3047" spans="1:16" ht="18" x14ac:dyDescent="0.35">
      <c r="A3047" s="43"/>
      <c r="C3047" s="393"/>
      <c r="E3047" s="394"/>
      <c r="F3047" s="394">
        <v>0</v>
      </c>
      <c r="G3047" s="394"/>
      <c r="H3047" s="8" t="s">
        <v>235</v>
      </c>
      <c r="I3047" s="368">
        <f t="shared" si="142"/>
        <v>0</v>
      </c>
      <c r="J3047" s="365">
        <f t="shared" si="141"/>
        <v>0</v>
      </c>
      <c r="K3047" s="369">
        <f t="shared" si="143"/>
        <v>6</v>
      </c>
      <c r="L3047" s="369">
        <f>+IF((C3047&gt;='Resultats - informe'!$E$16)*(C3047&lt;='Resultats - informe'!$G$16),1,0)</f>
        <v>1</v>
      </c>
      <c r="M3047" s="369" cm="1">
        <f t="array" ref="M3047">+_xlfn.IFS((C3047&gt;='Resultats - informe'!$D$26)*(C3047&lt;='Resultats - informe'!$E$26),0,(C3047&gt;='Resultats - informe'!$D$27)*(C3047&lt;='Resultats - informe'!$E$27),0,(C3047&gt;='Resultats - informe'!$D$28)*(C3047&lt;='Resultats - informe'!$E$28),0,(C3047&gt;='Resultats - informe'!$D$29)*(C3047&lt;='Resultats - informe'!$E$29),0,1,1)</f>
        <v>0</v>
      </c>
      <c r="N3047" s="366">
        <f>+VLOOKUP(D3047,'Resultats - informe'!$Y$18:$AG$42,'Introducció dades consum'!K3047+1,0)</f>
        <v>0</v>
      </c>
      <c r="O3047" s="370" cm="1">
        <f t="array" ref="O3047">+_xlfn.SWITCH(MONTH(C3047),1,1,2,1,3,1,4,2,5,2,6,3,7,3,8,3,9,3,10,2,11,2,12,1,2)</f>
        <v>1</v>
      </c>
      <c r="P3047" s="43"/>
    </row>
    <row r="3048" spans="1:16" ht="18" x14ac:dyDescent="0.35">
      <c r="A3048" s="43"/>
      <c r="C3048" s="393"/>
      <c r="E3048" s="394"/>
      <c r="F3048" s="394">
        <v>0</v>
      </c>
      <c r="G3048" s="394"/>
      <c r="H3048" s="8" t="s">
        <v>235</v>
      </c>
      <c r="I3048" s="368">
        <f t="shared" si="142"/>
        <v>0</v>
      </c>
      <c r="J3048" s="365">
        <f t="shared" si="141"/>
        <v>0</v>
      </c>
      <c r="K3048" s="369">
        <f t="shared" si="143"/>
        <v>6</v>
      </c>
      <c r="L3048" s="369">
        <f>+IF((C3048&gt;='Resultats - informe'!$E$16)*(C3048&lt;='Resultats - informe'!$G$16),1,0)</f>
        <v>1</v>
      </c>
      <c r="M3048" s="369" cm="1">
        <f t="array" ref="M3048">+_xlfn.IFS((C3048&gt;='Resultats - informe'!$D$26)*(C3048&lt;='Resultats - informe'!$E$26),0,(C3048&gt;='Resultats - informe'!$D$27)*(C3048&lt;='Resultats - informe'!$E$27),0,(C3048&gt;='Resultats - informe'!$D$28)*(C3048&lt;='Resultats - informe'!$E$28),0,(C3048&gt;='Resultats - informe'!$D$29)*(C3048&lt;='Resultats - informe'!$E$29),0,1,1)</f>
        <v>0</v>
      </c>
      <c r="N3048" s="366">
        <f>+VLOOKUP(D3048,'Resultats - informe'!$Y$18:$AG$42,'Introducció dades consum'!K3048+1,0)</f>
        <v>0</v>
      </c>
      <c r="O3048" s="370" cm="1">
        <f t="array" ref="O3048">+_xlfn.SWITCH(MONTH(C3048),1,1,2,1,3,1,4,2,5,2,6,3,7,3,8,3,9,3,10,2,11,2,12,1,2)</f>
        <v>1</v>
      </c>
      <c r="P3048" s="43"/>
    </row>
    <row r="3049" spans="1:16" ht="18" x14ac:dyDescent="0.35">
      <c r="A3049" s="43"/>
      <c r="C3049" s="393"/>
      <c r="E3049" s="394"/>
      <c r="F3049" s="394">
        <v>0</v>
      </c>
      <c r="G3049" s="394"/>
      <c r="H3049" s="8" t="s">
        <v>235</v>
      </c>
      <c r="I3049" s="368">
        <f t="shared" si="142"/>
        <v>0</v>
      </c>
      <c r="J3049" s="365">
        <f t="shared" si="141"/>
        <v>0</v>
      </c>
      <c r="K3049" s="369">
        <f t="shared" si="143"/>
        <v>6</v>
      </c>
      <c r="L3049" s="369">
        <f>+IF((C3049&gt;='Resultats - informe'!$E$16)*(C3049&lt;='Resultats - informe'!$G$16),1,0)</f>
        <v>1</v>
      </c>
      <c r="M3049" s="369" cm="1">
        <f t="array" ref="M3049">+_xlfn.IFS((C3049&gt;='Resultats - informe'!$D$26)*(C3049&lt;='Resultats - informe'!$E$26),0,(C3049&gt;='Resultats - informe'!$D$27)*(C3049&lt;='Resultats - informe'!$E$27),0,(C3049&gt;='Resultats - informe'!$D$28)*(C3049&lt;='Resultats - informe'!$E$28),0,(C3049&gt;='Resultats - informe'!$D$29)*(C3049&lt;='Resultats - informe'!$E$29),0,1,1)</f>
        <v>0</v>
      </c>
      <c r="N3049" s="366">
        <f>+VLOOKUP(D3049,'Resultats - informe'!$Y$18:$AG$42,'Introducció dades consum'!K3049+1,0)</f>
        <v>0</v>
      </c>
      <c r="O3049" s="370" cm="1">
        <f t="array" ref="O3049">+_xlfn.SWITCH(MONTH(C3049),1,1,2,1,3,1,4,2,5,2,6,3,7,3,8,3,9,3,10,2,11,2,12,1,2)</f>
        <v>1</v>
      </c>
      <c r="P3049" s="43"/>
    </row>
    <row r="3050" spans="1:16" ht="18" x14ac:dyDescent="0.35">
      <c r="A3050" s="43"/>
      <c r="C3050" s="393"/>
      <c r="E3050" s="394"/>
      <c r="F3050" s="394">
        <v>0</v>
      </c>
      <c r="G3050" s="394"/>
      <c r="H3050" s="8" t="s">
        <v>235</v>
      </c>
      <c r="I3050" s="368">
        <f t="shared" si="142"/>
        <v>0</v>
      </c>
      <c r="J3050" s="365">
        <f t="shared" si="141"/>
        <v>0</v>
      </c>
      <c r="K3050" s="369">
        <f t="shared" si="143"/>
        <v>6</v>
      </c>
      <c r="L3050" s="369">
        <f>+IF((C3050&gt;='Resultats - informe'!$E$16)*(C3050&lt;='Resultats - informe'!$G$16),1,0)</f>
        <v>1</v>
      </c>
      <c r="M3050" s="369" cm="1">
        <f t="array" ref="M3050">+_xlfn.IFS((C3050&gt;='Resultats - informe'!$D$26)*(C3050&lt;='Resultats - informe'!$E$26),0,(C3050&gt;='Resultats - informe'!$D$27)*(C3050&lt;='Resultats - informe'!$E$27),0,(C3050&gt;='Resultats - informe'!$D$28)*(C3050&lt;='Resultats - informe'!$E$28),0,(C3050&gt;='Resultats - informe'!$D$29)*(C3050&lt;='Resultats - informe'!$E$29),0,1,1)</f>
        <v>0</v>
      </c>
      <c r="N3050" s="366">
        <f>+VLOOKUP(D3050,'Resultats - informe'!$Y$18:$AG$42,'Introducció dades consum'!K3050+1,0)</f>
        <v>0</v>
      </c>
      <c r="O3050" s="370" cm="1">
        <f t="array" ref="O3050">+_xlfn.SWITCH(MONTH(C3050),1,1,2,1,3,1,4,2,5,2,6,3,7,3,8,3,9,3,10,2,11,2,12,1,2)</f>
        <v>1</v>
      </c>
      <c r="P3050" s="43"/>
    </row>
    <row r="3051" spans="1:16" ht="18" x14ac:dyDescent="0.35">
      <c r="A3051" s="43"/>
      <c r="C3051" s="393"/>
      <c r="E3051" s="394"/>
      <c r="F3051" s="394">
        <v>0</v>
      </c>
      <c r="G3051" s="394"/>
      <c r="H3051" s="8" t="s">
        <v>61</v>
      </c>
      <c r="I3051" s="368">
        <f t="shared" si="142"/>
        <v>0</v>
      </c>
      <c r="J3051" s="365">
        <f t="shared" si="141"/>
        <v>0</v>
      </c>
      <c r="K3051" s="369">
        <f t="shared" si="143"/>
        <v>6</v>
      </c>
      <c r="L3051" s="369">
        <f>+IF((C3051&gt;='Resultats - informe'!$E$16)*(C3051&lt;='Resultats - informe'!$G$16),1,0)</f>
        <v>1</v>
      </c>
      <c r="M3051" s="369" cm="1">
        <f t="array" ref="M3051">+_xlfn.IFS((C3051&gt;='Resultats - informe'!$D$26)*(C3051&lt;='Resultats - informe'!$E$26),0,(C3051&gt;='Resultats - informe'!$D$27)*(C3051&lt;='Resultats - informe'!$E$27),0,(C3051&gt;='Resultats - informe'!$D$28)*(C3051&lt;='Resultats - informe'!$E$28),0,(C3051&gt;='Resultats - informe'!$D$29)*(C3051&lt;='Resultats - informe'!$E$29),0,1,1)</f>
        <v>0</v>
      </c>
      <c r="N3051" s="366">
        <f>+VLOOKUP(D3051,'Resultats - informe'!$Y$18:$AG$42,'Introducció dades consum'!K3051+1,0)</f>
        <v>0</v>
      </c>
      <c r="O3051" s="370" cm="1">
        <f t="array" ref="O3051">+_xlfn.SWITCH(MONTH(C3051),1,1,2,1,3,1,4,2,5,2,6,3,7,3,8,3,9,3,10,2,11,2,12,1,2)</f>
        <v>1</v>
      </c>
      <c r="P3051" s="43"/>
    </row>
    <row r="3052" spans="1:16" ht="18" x14ac:dyDescent="0.35">
      <c r="A3052" s="43"/>
      <c r="C3052" s="393"/>
      <c r="E3052" s="394"/>
      <c r="F3052" s="394">
        <v>0</v>
      </c>
      <c r="G3052" s="394"/>
      <c r="H3052" s="8" t="s">
        <v>61</v>
      </c>
      <c r="I3052" s="368">
        <f t="shared" si="142"/>
        <v>0</v>
      </c>
      <c r="J3052" s="365">
        <f t="shared" si="141"/>
        <v>0</v>
      </c>
      <c r="K3052" s="369">
        <f t="shared" si="143"/>
        <v>6</v>
      </c>
      <c r="L3052" s="369">
        <f>+IF((C3052&gt;='Resultats - informe'!$E$16)*(C3052&lt;='Resultats - informe'!$G$16),1,0)</f>
        <v>1</v>
      </c>
      <c r="M3052" s="369" cm="1">
        <f t="array" ref="M3052">+_xlfn.IFS((C3052&gt;='Resultats - informe'!$D$26)*(C3052&lt;='Resultats - informe'!$E$26),0,(C3052&gt;='Resultats - informe'!$D$27)*(C3052&lt;='Resultats - informe'!$E$27),0,(C3052&gt;='Resultats - informe'!$D$28)*(C3052&lt;='Resultats - informe'!$E$28),0,(C3052&gt;='Resultats - informe'!$D$29)*(C3052&lt;='Resultats - informe'!$E$29),0,1,1)</f>
        <v>0</v>
      </c>
      <c r="N3052" s="366">
        <f>+VLOOKUP(D3052,'Resultats - informe'!$Y$18:$AG$42,'Introducció dades consum'!K3052+1,0)</f>
        <v>0</v>
      </c>
      <c r="O3052" s="370" cm="1">
        <f t="array" ref="O3052">+_xlfn.SWITCH(MONTH(C3052),1,1,2,1,3,1,4,2,5,2,6,3,7,3,8,3,9,3,10,2,11,2,12,1,2)</f>
        <v>1</v>
      </c>
      <c r="P3052" s="43"/>
    </row>
    <row r="3053" spans="1:16" ht="18" x14ac:dyDescent="0.35">
      <c r="A3053" s="43"/>
      <c r="C3053" s="393"/>
      <c r="E3053" s="394"/>
      <c r="F3053" s="394">
        <v>0</v>
      </c>
      <c r="G3053" s="394"/>
      <c r="H3053" s="8" t="s">
        <v>61</v>
      </c>
      <c r="I3053" s="368">
        <f t="shared" si="142"/>
        <v>0</v>
      </c>
      <c r="J3053" s="365">
        <f t="shared" si="141"/>
        <v>0</v>
      </c>
      <c r="K3053" s="369">
        <f t="shared" si="143"/>
        <v>6</v>
      </c>
      <c r="L3053" s="369">
        <f>+IF((C3053&gt;='Resultats - informe'!$E$16)*(C3053&lt;='Resultats - informe'!$G$16),1,0)</f>
        <v>1</v>
      </c>
      <c r="M3053" s="369" cm="1">
        <f t="array" ref="M3053">+_xlfn.IFS((C3053&gt;='Resultats - informe'!$D$26)*(C3053&lt;='Resultats - informe'!$E$26),0,(C3053&gt;='Resultats - informe'!$D$27)*(C3053&lt;='Resultats - informe'!$E$27),0,(C3053&gt;='Resultats - informe'!$D$28)*(C3053&lt;='Resultats - informe'!$E$28),0,(C3053&gt;='Resultats - informe'!$D$29)*(C3053&lt;='Resultats - informe'!$E$29),0,1,1)</f>
        <v>0</v>
      </c>
      <c r="N3053" s="366">
        <f>+VLOOKUP(D3053,'Resultats - informe'!$Y$18:$AG$42,'Introducció dades consum'!K3053+1,0)</f>
        <v>0</v>
      </c>
      <c r="O3053" s="370" cm="1">
        <f t="array" ref="O3053">+_xlfn.SWITCH(MONTH(C3053),1,1,2,1,3,1,4,2,5,2,6,3,7,3,8,3,9,3,10,2,11,2,12,1,2)</f>
        <v>1</v>
      </c>
      <c r="P3053" s="43"/>
    </row>
    <row r="3054" spans="1:16" ht="18" x14ac:dyDescent="0.35">
      <c r="A3054" s="43"/>
      <c r="C3054" s="393"/>
      <c r="E3054" s="394"/>
      <c r="F3054" s="394">
        <v>0</v>
      </c>
      <c r="G3054" s="394"/>
      <c r="H3054" s="8" t="s">
        <v>61</v>
      </c>
      <c r="I3054" s="368">
        <f t="shared" si="142"/>
        <v>0</v>
      </c>
      <c r="J3054" s="365">
        <f t="shared" si="141"/>
        <v>0</v>
      </c>
      <c r="K3054" s="369">
        <f t="shared" si="143"/>
        <v>6</v>
      </c>
      <c r="L3054" s="369">
        <f>+IF((C3054&gt;='Resultats - informe'!$E$16)*(C3054&lt;='Resultats - informe'!$G$16),1,0)</f>
        <v>1</v>
      </c>
      <c r="M3054" s="369" cm="1">
        <f t="array" ref="M3054">+_xlfn.IFS((C3054&gt;='Resultats - informe'!$D$26)*(C3054&lt;='Resultats - informe'!$E$26),0,(C3054&gt;='Resultats - informe'!$D$27)*(C3054&lt;='Resultats - informe'!$E$27),0,(C3054&gt;='Resultats - informe'!$D$28)*(C3054&lt;='Resultats - informe'!$E$28),0,(C3054&gt;='Resultats - informe'!$D$29)*(C3054&lt;='Resultats - informe'!$E$29),0,1,1)</f>
        <v>0</v>
      </c>
      <c r="N3054" s="366">
        <f>+VLOOKUP(D3054,'Resultats - informe'!$Y$18:$AG$42,'Introducció dades consum'!K3054+1,0)</f>
        <v>0</v>
      </c>
      <c r="O3054" s="370" cm="1">
        <f t="array" ref="O3054">+_xlfn.SWITCH(MONTH(C3054),1,1,2,1,3,1,4,2,5,2,6,3,7,3,8,3,9,3,10,2,11,2,12,1,2)</f>
        <v>1</v>
      </c>
      <c r="P3054" s="43"/>
    </row>
    <row r="3055" spans="1:16" ht="18" x14ac:dyDescent="0.35">
      <c r="A3055" s="43"/>
      <c r="C3055" s="393"/>
      <c r="E3055" s="394"/>
      <c r="F3055" s="394">
        <v>0</v>
      </c>
      <c r="G3055" s="394"/>
      <c r="H3055" s="8" t="s">
        <v>61</v>
      </c>
      <c r="I3055" s="368">
        <f t="shared" si="142"/>
        <v>0</v>
      </c>
      <c r="J3055" s="365">
        <f t="shared" si="141"/>
        <v>0</v>
      </c>
      <c r="K3055" s="369">
        <f t="shared" si="143"/>
        <v>6</v>
      </c>
      <c r="L3055" s="369">
        <f>+IF((C3055&gt;='Resultats - informe'!$E$16)*(C3055&lt;='Resultats - informe'!$G$16),1,0)</f>
        <v>1</v>
      </c>
      <c r="M3055" s="369" cm="1">
        <f t="array" ref="M3055">+_xlfn.IFS((C3055&gt;='Resultats - informe'!$D$26)*(C3055&lt;='Resultats - informe'!$E$26),0,(C3055&gt;='Resultats - informe'!$D$27)*(C3055&lt;='Resultats - informe'!$E$27),0,(C3055&gt;='Resultats - informe'!$D$28)*(C3055&lt;='Resultats - informe'!$E$28),0,(C3055&gt;='Resultats - informe'!$D$29)*(C3055&lt;='Resultats - informe'!$E$29),0,1,1)</f>
        <v>0</v>
      </c>
      <c r="N3055" s="366">
        <f>+VLOOKUP(D3055,'Resultats - informe'!$Y$18:$AG$42,'Introducció dades consum'!K3055+1,0)</f>
        <v>0</v>
      </c>
      <c r="O3055" s="370" cm="1">
        <f t="array" ref="O3055">+_xlfn.SWITCH(MONTH(C3055),1,1,2,1,3,1,4,2,5,2,6,3,7,3,8,3,9,3,10,2,11,2,12,1,2)</f>
        <v>1</v>
      </c>
      <c r="P3055" s="43"/>
    </row>
    <row r="3056" spans="1:16" ht="18" x14ac:dyDescent="0.35">
      <c r="A3056" s="43"/>
      <c r="C3056" s="393"/>
      <c r="E3056" s="394"/>
      <c r="F3056" s="394">
        <v>0</v>
      </c>
      <c r="G3056" s="394"/>
      <c r="H3056" s="8" t="s">
        <v>61</v>
      </c>
      <c r="I3056" s="368">
        <f t="shared" si="142"/>
        <v>0</v>
      </c>
      <c r="J3056" s="365">
        <f t="shared" si="141"/>
        <v>0</v>
      </c>
      <c r="K3056" s="369">
        <f t="shared" si="143"/>
        <v>6</v>
      </c>
      <c r="L3056" s="369">
        <f>+IF((C3056&gt;='Resultats - informe'!$E$16)*(C3056&lt;='Resultats - informe'!$G$16),1,0)</f>
        <v>1</v>
      </c>
      <c r="M3056" s="369" cm="1">
        <f t="array" ref="M3056">+_xlfn.IFS((C3056&gt;='Resultats - informe'!$D$26)*(C3056&lt;='Resultats - informe'!$E$26),0,(C3056&gt;='Resultats - informe'!$D$27)*(C3056&lt;='Resultats - informe'!$E$27),0,(C3056&gt;='Resultats - informe'!$D$28)*(C3056&lt;='Resultats - informe'!$E$28),0,(C3056&gt;='Resultats - informe'!$D$29)*(C3056&lt;='Resultats - informe'!$E$29),0,1,1)</f>
        <v>0</v>
      </c>
      <c r="N3056" s="366">
        <f>+VLOOKUP(D3056,'Resultats - informe'!$Y$18:$AG$42,'Introducció dades consum'!K3056+1,0)</f>
        <v>0</v>
      </c>
      <c r="O3056" s="370" cm="1">
        <f t="array" ref="O3056">+_xlfn.SWITCH(MONTH(C3056),1,1,2,1,3,1,4,2,5,2,6,3,7,3,8,3,9,3,10,2,11,2,12,1,2)</f>
        <v>1</v>
      </c>
      <c r="P3056" s="43"/>
    </row>
    <row r="3057" spans="1:16" ht="18" x14ac:dyDescent="0.35">
      <c r="A3057" s="43"/>
      <c r="C3057" s="393"/>
      <c r="E3057" s="394"/>
      <c r="F3057" s="394">
        <v>0</v>
      </c>
      <c r="G3057" s="394"/>
      <c r="H3057" s="8" t="s">
        <v>61</v>
      </c>
      <c r="I3057" s="368">
        <f t="shared" si="142"/>
        <v>0</v>
      </c>
      <c r="J3057" s="365">
        <f t="shared" si="141"/>
        <v>0</v>
      </c>
      <c r="K3057" s="369">
        <f t="shared" si="143"/>
        <v>6</v>
      </c>
      <c r="L3057" s="369">
        <f>+IF((C3057&gt;='Resultats - informe'!$E$16)*(C3057&lt;='Resultats - informe'!$G$16),1,0)</f>
        <v>1</v>
      </c>
      <c r="M3057" s="369" cm="1">
        <f t="array" ref="M3057">+_xlfn.IFS((C3057&gt;='Resultats - informe'!$D$26)*(C3057&lt;='Resultats - informe'!$E$26),0,(C3057&gt;='Resultats - informe'!$D$27)*(C3057&lt;='Resultats - informe'!$E$27),0,(C3057&gt;='Resultats - informe'!$D$28)*(C3057&lt;='Resultats - informe'!$E$28),0,(C3057&gt;='Resultats - informe'!$D$29)*(C3057&lt;='Resultats - informe'!$E$29),0,1,1)</f>
        <v>0</v>
      </c>
      <c r="N3057" s="366">
        <f>+VLOOKUP(D3057,'Resultats - informe'!$Y$18:$AG$42,'Introducció dades consum'!K3057+1,0)</f>
        <v>0</v>
      </c>
      <c r="O3057" s="370" cm="1">
        <f t="array" ref="O3057">+_xlfn.SWITCH(MONTH(C3057),1,1,2,1,3,1,4,2,5,2,6,3,7,3,8,3,9,3,10,2,11,2,12,1,2)</f>
        <v>1</v>
      </c>
      <c r="P3057" s="43"/>
    </row>
    <row r="3058" spans="1:16" ht="18" x14ac:dyDescent="0.35">
      <c r="A3058" s="43"/>
      <c r="C3058" s="393"/>
      <c r="E3058" s="394"/>
      <c r="F3058" s="394">
        <v>0</v>
      </c>
      <c r="G3058" s="394"/>
      <c r="H3058" s="8" t="s">
        <v>61</v>
      </c>
      <c r="I3058" s="368">
        <f t="shared" si="142"/>
        <v>0</v>
      </c>
      <c r="J3058" s="365">
        <f t="shared" si="141"/>
        <v>0</v>
      </c>
      <c r="K3058" s="369">
        <f t="shared" si="143"/>
        <v>6</v>
      </c>
      <c r="L3058" s="369">
        <f>+IF((C3058&gt;='Resultats - informe'!$E$16)*(C3058&lt;='Resultats - informe'!$G$16),1,0)</f>
        <v>1</v>
      </c>
      <c r="M3058" s="369" cm="1">
        <f t="array" ref="M3058">+_xlfn.IFS((C3058&gt;='Resultats - informe'!$D$26)*(C3058&lt;='Resultats - informe'!$E$26),0,(C3058&gt;='Resultats - informe'!$D$27)*(C3058&lt;='Resultats - informe'!$E$27),0,(C3058&gt;='Resultats - informe'!$D$28)*(C3058&lt;='Resultats - informe'!$E$28),0,(C3058&gt;='Resultats - informe'!$D$29)*(C3058&lt;='Resultats - informe'!$E$29),0,1,1)</f>
        <v>0</v>
      </c>
      <c r="N3058" s="366">
        <f>+VLOOKUP(D3058,'Resultats - informe'!$Y$18:$AG$42,'Introducció dades consum'!K3058+1,0)</f>
        <v>0</v>
      </c>
      <c r="O3058" s="370" cm="1">
        <f t="array" ref="O3058">+_xlfn.SWITCH(MONTH(C3058),1,1,2,1,3,1,4,2,5,2,6,3,7,3,8,3,9,3,10,2,11,2,12,1,2)</f>
        <v>1</v>
      </c>
      <c r="P3058" s="43"/>
    </row>
    <row r="3059" spans="1:16" ht="18" x14ac:dyDescent="0.35">
      <c r="A3059" s="43"/>
      <c r="C3059" s="393"/>
      <c r="E3059" s="394"/>
      <c r="F3059" s="394">
        <v>0</v>
      </c>
      <c r="G3059" s="394"/>
      <c r="H3059" s="8" t="s">
        <v>61</v>
      </c>
      <c r="I3059" s="368">
        <f t="shared" si="142"/>
        <v>0</v>
      </c>
      <c r="J3059" s="365">
        <f t="shared" si="141"/>
        <v>0</v>
      </c>
      <c r="K3059" s="369">
        <f t="shared" si="143"/>
        <v>6</v>
      </c>
      <c r="L3059" s="369">
        <f>+IF((C3059&gt;='Resultats - informe'!$E$16)*(C3059&lt;='Resultats - informe'!$G$16),1,0)</f>
        <v>1</v>
      </c>
      <c r="M3059" s="369" cm="1">
        <f t="array" ref="M3059">+_xlfn.IFS((C3059&gt;='Resultats - informe'!$D$26)*(C3059&lt;='Resultats - informe'!$E$26),0,(C3059&gt;='Resultats - informe'!$D$27)*(C3059&lt;='Resultats - informe'!$E$27),0,(C3059&gt;='Resultats - informe'!$D$28)*(C3059&lt;='Resultats - informe'!$E$28),0,(C3059&gt;='Resultats - informe'!$D$29)*(C3059&lt;='Resultats - informe'!$E$29),0,1,1)</f>
        <v>0</v>
      </c>
      <c r="N3059" s="366">
        <f>+VLOOKUP(D3059,'Resultats - informe'!$Y$18:$AG$42,'Introducció dades consum'!K3059+1,0)</f>
        <v>0</v>
      </c>
      <c r="O3059" s="370" cm="1">
        <f t="array" ref="O3059">+_xlfn.SWITCH(MONTH(C3059),1,1,2,1,3,1,4,2,5,2,6,3,7,3,8,3,9,3,10,2,11,2,12,1,2)</f>
        <v>1</v>
      </c>
      <c r="P3059" s="43"/>
    </row>
    <row r="3060" spans="1:16" ht="18" x14ac:dyDescent="0.35">
      <c r="A3060" s="43"/>
      <c r="C3060" s="393"/>
      <c r="E3060" s="394"/>
      <c r="F3060" s="394">
        <v>0</v>
      </c>
      <c r="G3060" s="394"/>
      <c r="H3060" s="8" t="s">
        <v>61</v>
      </c>
      <c r="I3060" s="368">
        <f t="shared" si="142"/>
        <v>0</v>
      </c>
      <c r="J3060" s="365">
        <f t="shared" si="141"/>
        <v>0</v>
      </c>
      <c r="K3060" s="369">
        <f t="shared" si="143"/>
        <v>6</v>
      </c>
      <c r="L3060" s="369">
        <f>+IF((C3060&gt;='Resultats - informe'!$E$16)*(C3060&lt;='Resultats - informe'!$G$16),1,0)</f>
        <v>1</v>
      </c>
      <c r="M3060" s="369" cm="1">
        <f t="array" ref="M3060">+_xlfn.IFS((C3060&gt;='Resultats - informe'!$D$26)*(C3060&lt;='Resultats - informe'!$E$26),0,(C3060&gt;='Resultats - informe'!$D$27)*(C3060&lt;='Resultats - informe'!$E$27),0,(C3060&gt;='Resultats - informe'!$D$28)*(C3060&lt;='Resultats - informe'!$E$28),0,(C3060&gt;='Resultats - informe'!$D$29)*(C3060&lt;='Resultats - informe'!$E$29),0,1,1)</f>
        <v>0</v>
      </c>
      <c r="N3060" s="366">
        <f>+VLOOKUP(D3060,'Resultats - informe'!$Y$18:$AG$42,'Introducció dades consum'!K3060+1,0)</f>
        <v>0</v>
      </c>
      <c r="O3060" s="370" cm="1">
        <f t="array" ref="O3060">+_xlfn.SWITCH(MONTH(C3060),1,1,2,1,3,1,4,2,5,2,6,3,7,3,8,3,9,3,10,2,11,2,12,1,2)</f>
        <v>1</v>
      </c>
      <c r="P3060" s="43"/>
    </row>
    <row r="3061" spans="1:16" ht="18" x14ac:dyDescent="0.35">
      <c r="A3061" s="43"/>
      <c r="C3061" s="393"/>
      <c r="E3061" s="394"/>
      <c r="F3061" s="394">
        <v>0.502</v>
      </c>
      <c r="G3061" s="394"/>
      <c r="H3061" s="8" t="s">
        <v>61</v>
      </c>
      <c r="I3061" s="368">
        <f t="shared" si="142"/>
        <v>0</v>
      </c>
      <c r="J3061" s="365">
        <f t="shared" si="141"/>
        <v>0</v>
      </c>
      <c r="K3061" s="369">
        <f t="shared" si="143"/>
        <v>6</v>
      </c>
      <c r="L3061" s="369">
        <f>+IF((C3061&gt;='Resultats - informe'!$E$16)*(C3061&lt;='Resultats - informe'!$G$16),1,0)</f>
        <v>1</v>
      </c>
      <c r="M3061" s="369" cm="1">
        <f t="array" ref="M3061">+_xlfn.IFS((C3061&gt;='Resultats - informe'!$D$26)*(C3061&lt;='Resultats - informe'!$E$26),0,(C3061&gt;='Resultats - informe'!$D$27)*(C3061&lt;='Resultats - informe'!$E$27),0,(C3061&gt;='Resultats - informe'!$D$28)*(C3061&lt;='Resultats - informe'!$E$28),0,(C3061&gt;='Resultats - informe'!$D$29)*(C3061&lt;='Resultats - informe'!$E$29),0,1,1)</f>
        <v>0</v>
      </c>
      <c r="N3061" s="366">
        <f>+VLOOKUP(D3061,'Resultats - informe'!$Y$18:$AG$42,'Introducció dades consum'!K3061+1,0)</f>
        <v>0</v>
      </c>
      <c r="O3061" s="370" cm="1">
        <f t="array" ref="O3061">+_xlfn.SWITCH(MONTH(C3061),1,1,2,1,3,1,4,2,5,2,6,3,7,3,8,3,9,3,10,2,11,2,12,1,2)</f>
        <v>1</v>
      </c>
      <c r="P3061" s="43"/>
    </row>
    <row r="3062" spans="1:16" ht="18" x14ac:dyDescent="0.35">
      <c r="A3062" s="43"/>
      <c r="C3062" s="393"/>
      <c r="E3062" s="394"/>
      <c r="F3062" s="394">
        <v>3.3740000000000001</v>
      </c>
      <c r="G3062" s="394"/>
      <c r="H3062" s="8" t="s">
        <v>235</v>
      </c>
      <c r="I3062" s="368">
        <f t="shared" si="142"/>
        <v>0</v>
      </c>
      <c r="J3062" s="365">
        <f t="shared" si="141"/>
        <v>0</v>
      </c>
      <c r="K3062" s="369">
        <f t="shared" si="143"/>
        <v>6</v>
      </c>
      <c r="L3062" s="369">
        <f>+IF((C3062&gt;='Resultats - informe'!$E$16)*(C3062&lt;='Resultats - informe'!$G$16),1,0)</f>
        <v>1</v>
      </c>
      <c r="M3062" s="369" cm="1">
        <f t="array" ref="M3062">+_xlfn.IFS((C3062&gt;='Resultats - informe'!$D$26)*(C3062&lt;='Resultats - informe'!$E$26),0,(C3062&gt;='Resultats - informe'!$D$27)*(C3062&lt;='Resultats - informe'!$E$27),0,(C3062&gt;='Resultats - informe'!$D$28)*(C3062&lt;='Resultats - informe'!$E$28),0,(C3062&gt;='Resultats - informe'!$D$29)*(C3062&lt;='Resultats - informe'!$E$29),0,1,1)</f>
        <v>0</v>
      </c>
      <c r="N3062" s="366">
        <f>+VLOOKUP(D3062,'Resultats - informe'!$Y$18:$AG$42,'Introducció dades consum'!K3062+1,0)</f>
        <v>0</v>
      </c>
      <c r="O3062" s="370" cm="1">
        <f t="array" ref="O3062">+_xlfn.SWITCH(MONTH(C3062),1,1,2,1,3,1,4,2,5,2,6,3,7,3,8,3,9,3,10,2,11,2,12,1,2)</f>
        <v>1</v>
      </c>
      <c r="P3062" s="43"/>
    </row>
    <row r="3063" spans="1:16" ht="18" x14ac:dyDescent="0.35">
      <c r="A3063" s="43"/>
      <c r="C3063" s="393"/>
      <c r="E3063" s="394"/>
      <c r="F3063" s="394">
        <v>3.734</v>
      </c>
      <c r="G3063" s="394"/>
      <c r="H3063" s="8" t="s">
        <v>235</v>
      </c>
      <c r="I3063" s="368">
        <f t="shared" si="142"/>
        <v>0</v>
      </c>
      <c r="J3063" s="365">
        <f t="shared" si="141"/>
        <v>0</v>
      </c>
      <c r="K3063" s="369">
        <f t="shared" si="143"/>
        <v>6</v>
      </c>
      <c r="L3063" s="369">
        <f>+IF((C3063&gt;='Resultats - informe'!$E$16)*(C3063&lt;='Resultats - informe'!$G$16),1,0)</f>
        <v>1</v>
      </c>
      <c r="M3063" s="369" cm="1">
        <f t="array" ref="M3063">+_xlfn.IFS((C3063&gt;='Resultats - informe'!$D$26)*(C3063&lt;='Resultats - informe'!$E$26),0,(C3063&gt;='Resultats - informe'!$D$27)*(C3063&lt;='Resultats - informe'!$E$27),0,(C3063&gt;='Resultats - informe'!$D$28)*(C3063&lt;='Resultats - informe'!$E$28),0,(C3063&gt;='Resultats - informe'!$D$29)*(C3063&lt;='Resultats - informe'!$E$29),0,1,1)</f>
        <v>0</v>
      </c>
      <c r="N3063" s="366">
        <f>+VLOOKUP(D3063,'Resultats - informe'!$Y$18:$AG$42,'Introducció dades consum'!K3063+1,0)</f>
        <v>0</v>
      </c>
      <c r="O3063" s="370" cm="1">
        <f t="array" ref="O3063">+_xlfn.SWITCH(MONTH(C3063),1,1,2,1,3,1,4,2,5,2,6,3,7,3,8,3,9,3,10,2,11,2,12,1,2)</f>
        <v>1</v>
      </c>
      <c r="P3063" s="43"/>
    </row>
    <row r="3064" spans="1:16" ht="18" x14ac:dyDescent="0.35">
      <c r="A3064" s="43"/>
      <c r="C3064" s="393"/>
      <c r="E3064" s="394"/>
      <c r="F3064" s="394">
        <v>3.4209999999999998</v>
      </c>
      <c r="G3064" s="394"/>
      <c r="H3064" s="8" t="s">
        <v>235</v>
      </c>
      <c r="I3064" s="368">
        <f t="shared" si="142"/>
        <v>0</v>
      </c>
      <c r="J3064" s="365">
        <f t="shared" si="141"/>
        <v>0</v>
      </c>
      <c r="K3064" s="369">
        <f t="shared" si="143"/>
        <v>6</v>
      </c>
      <c r="L3064" s="369">
        <f>+IF((C3064&gt;='Resultats - informe'!$E$16)*(C3064&lt;='Resultats - informe'!$G$16),1,0)</f>
        <v>1</v>
      </c>
      <c r="M3064" s="369" cm="1">
        <f t="array" ref="M3064">+_xlfn.IFS((C3064&gt;='Resultats - informe'!$D$26)*(C3064&lt;='Resultats - informe'!$E$26),0,(C3064&gt;='Resultats - informe'!$D$27)*(C3064&lt;='Resultats - informe'!$E$27),0,(C3064&gt;='Resultats - informe'!$D$28)*(C3064&lt;='Resultats - informe'!$E$28),0,(C3064&gt;='Resultats - informe'!$D$29)*(C3064&lt;='Resultats - informe'!$E$29),0,1,1)</f>
        <v>0</v>
      </c>
      <c r="N3064" s="366">
        <f>+VLOOKUP(D3064,'Resultats - informe'!$Y$18:$AG$42,'Introducció dades consum'!K3064+1,0)</f>
        <v>0</v>
      </c>
      <c r="O3064" s="370" cm="1">
        <f t="array" ref="O3064">+_xlfn.SWITCH(MONTH(C3064),1,1,2,1,3,1,4,2,5,2,6,3,7,3,8,3,9,3,10,2,11,2,12,1,2)</f>
        <v>1</v>
      </c>
      <c r="P3064" s="43"/>
    </row>
    <row r="3065" spans="1:16" ht="18" x14ac:dyDescent="0.35">
      <c r="A3065" s="43"/>
      <c r="C3065" s="393"/>
      <c r="E3065" s="394"/>
      <c r="F3065" s="394">
        <v>2.7719999999999998</v>
      </c>
      <c r="G3065" s="394"/>
      <c r="H3065" s="8" t="s">
        <v>235</v>
      </c>
      <c r="I3065" s="368">
        <f t="shared" si="142"/>
        <v>0</v>
      </c>
      <c r="J3065" s="365">
        <f t="shared" si="141"/>
        <v>0</v>
      </c>
      <c r="K3065" s="369">
        <f t="shared" si="143"/>
        <v>6</v>
      </c>
      <c r="L3065" s="369">
        <f>+IF((C3065&gt;='Resultats - informe'!$E$16)*(C3065&lt;='Resultats - informe'!$G$16),1,0)</f>
        <v>1</v>
      </c>
      <c r="M3065" s="369" cm="1">
        <f t="array" ref="M3065">+_xlfn.IFS((C3065&gt;='Resultats - informe'!$D$26)*(C3065&lt;='Resultats - informe'!$E$26),0,(C3065&gt;='Resultats - informe'!$D$27)*(C3065&lt;='Resultats - informe'!$E$27),0,(C3065&gt;='Resultats - informe'!$D$28)*(C3065&lt;='Resultats - informe'!$E$28),0,(C3065&gt;='Resultats - informe'!$D$29)*(C3065&lt;='Resultats - informe'!$E$29),0,1,1)</f>
        <v>0</v>
      </c>
      <c r="N3065" s="366">
        <f>+VLOOKUP(D3065,'Resultats - informe'!$Y$18:$AG$42,'Introducció dades consum'!K3065+1,0)</f>
        <v>0</v>
      </c>
      <c r="O3065" s="370" cm="1">
        <f t="array" ref="O3065">+_xlfn.SWITCH(MONTH(C3065),1,1,2,1,3,1,4,2,5,2,6,3,7,3,8,3,9,3,10,2,11,2,12,1,2)</f>
        <v>1</v>
      </c>
      <c r="P3065" s="43"/>
    </row>
    <row r="3066" spans="1:16" ht="18" x14ac:dyDescent="0.35">
      <c r="A3066" s="43"/>
      <c r="C3066" s="393"/>
      <c r="E3066" s="394"/>
      <c r="F3066" s="394">
        <v>2.0099999999999998</v>
      </c>
      <c r="G3066" s="394"/>
      <c r="H3066" s="8" t="s">
        <v>235</v>
      </c>
      <c r="I3066" s="368">
        <f t="shared" si="142"/>
        <v>0</v>
      </c>
      <c r="J3066" s="365">
        <f t="shared" si="141"/>
        <v>0</v>
      </c>
      <c r="K3066" s="369">
        <f t="shared" si="143"/>
        <v>6</v>
      </c>
      <c r="L3066" s="369">
        <f>+IF((C3066&gt;='Resultats - informe'!$E$16)*(C3066&lt;='Resultats - informe'!$G$16),1,0)</f>
        <v>1</v>
      </c>
      <c r="M3066" s="369" cm="1">
        <f t="array" ref="M3066">+_xlfn.IFS((C3066&gt;='Resultats - informe'!$D$26)*(C3066&lt;='Resultats - informe'!$E$26),0,(C3066&gt;='Resultats - informe'!$D$27)*(C3066&lt;='Resultats - informe'!$E$27),0,(C3066&gt;='Resultats - informe'!$D$28)*(C3066&lt;='Resultats - informe'!$E$28),0,(C3066&gt;='Resultats - informe'!$D$29)*(C3066&lt;='Resultats - informe'!$E$29),0,1,1)</f>
        <v>0</v>
      </c>
      <c r="N3066" s="366">
        <f>+VLOOKUP(D3066,'Resultats - informe'!$Y$18:$AG$42,'Introducció dades consum'!K3066+1,0)</f>
        <v>0</v>
      </c>
      <c r="O3066" s="370" cm="1">
        <f t="array" ref="O3066">+_xlfn.SWITCH(MONTH(C3066),1,1,2,1,3,1,4,2,5,2,6,3,7,3,8,3,9,3,10,2,11,2,12,1,2)</f>
        <v>1</v>
      </c>
      <c r="P3066" s="43"/>
    </row>
    <row r="3067" spans="1:16" ht="18" x14ac:dyDescent="0.35">
      <c r="A3067" s="43"/>
      <c r="C3067" s="393"/>
      <c r="E3067" s="394"/>
      <c r="F3067" s="394">
        <v>2.2789999999999999</v>
      </c>
      <c r="G3067" s="394"/>
      <c r="H3067" s="8" t="s">
        <v>235</v>
      </c>
      <c r="I3067" s="368">
        <f t="shared" si="142"/>
        <v>0</v>
      </c>
      <c r="J3067" s="365">
        <f t="shared" ref="J3067:J3130" si="144">+C3067</f>
        <v>0</v>
      </c>
      <c r="K3067" s="369">
        <f t="shared" si="143"/>
        <v>6</v>
      </c>
      <c r="L3067" s="369">
        <f>+IF((C3067&gt;='Resultats - informe'!$E$16)*(C3067&lt;='Resultats - informe'!$G$16),1,0)</f>
        <v>1</v>
      </c>
      <c r="M3067" s="369" cm="1">
        <f t="array" ref="M3067">+_xlfn.IFS((C3067&gt;='Resultats - informe'!$D$26)*(C3067&lt;='Resultats - informe'!$E$26),0,(C3067&gt;='Resultats - informe'!$D$27)*(C3067&lt;='Resultats - informe'!$E$27),0,(C3067&gt;='Resultats - informe'!$D$28)*(C3067&lt;='Resultats - informe'!$E$28),0,(C3067&gt;='Resultats - informe'!$D$29)*(C3067&lt;='Resultats - informe'!$E$29),0,1,1)</f>
        <v>0</v>
      </c>
      <c r="N3067" s="366">
        <f>+VLOOKUP(D3067,'Resultats - informe'!$Y$18:$AG$42,'Introducció dades consum'!K3067+1,0)</f>
        <v>0</v>
      </c>
      <c r="O3067" s="370" cm="1">
        <f t="array" ref="O3067">+_xlfn.SWITCH(MONTH(C3067),1,1,2,1,3,1,4,2,5,2,6,3,7,3,8,3,9,3,10,2,11,2,12,1,2)</f>
        <v>1</v>
      </c>
      <c r="P3067" s="43"/>
    </row>
    <row r="3068" spans="1:16" ht="18" x14ac:dyDescent="0.35">
      <c r="A3068" s="43"/>
      <c r="C3068" s="393"/>
      <c r="E3068" s="394"/>
      <c r="F3068" s="394">
        <v>0.49299999999999999</v>
      </c>
      <c r="G3068" s="394"/>
      <c r="H3068" s="8" t="s">
        <v>61</v>
      </c>
      <c r="I3068" s="368">
        <f t="shared" si="142"/>
        <v>0</v>
      </c>
      <c r="J3068" s="365">
        <f t="shared" si="144"/>
        <v>0</v>
      </c>
      <c r="K3068" s="369">
        <f t="shared" si="143"/>
        <v>6</v>
      </c>
      <c r="L3068" s="369">
        <f>+IF((C3068&gt;='Resultats - informe'!$E$16)*(C3068&lt;='Resultats - informe'!$G$16),1,0)</f>
        <v>1</v>
      </c>
      <c r="M3068" s="369" cm="1">
        <f t="array" ref="M3068">+_xlfn.IFS((C3068&gt;='Resultats - informe'!$D$26)*(C3068&lt;='Resultats - informe'!$E$26),0,(C3068&gt;='Resultats - informe'!$D$27)*(C3068&lt;='Resultats - informe'!$E$27),0,(C3068&gt;='Resultats - informe'!$D$28)*(C3068&lt;='Resultats - informe'!$E$28),0,(C3068&gt;='Resultats - informe'!$D$29)*(C3068&lt;='Resultats - informe'!$E$29),0,1,1)</f>
        <v>0</v>
      </c>
      <c r="N3068" s="366">
        <f>+VLOOKUP(D3068,'Resultats - informe'!$Y$18:$AG$42,'Introducció dades consum'!K3068+1,0)</f>
        <v>0</v>
      </c>
      <c r="O3068" s="370" cm="1">
        <f t="array" ref="O3068">+_xlfn.SWITCH(MONTH(C3068),1,1,2,1,3,1,4,2,5,2,6,3,7,3,8,3,9,3,10,2,11,2,12,1,2)</f>
        <v>1</v>
      </c>
      <c r="P3068" s="43"/>
    </row>
    <row r="3069" spans="1:16" ht="18" x14ac:dyDescent="0.35">
      <c r="A3069" s="43"/>
      <c r="C3069" s="393"/>
      <c r="E3069" s="394"/>
      <c r="F3069" s="394">
        <v>0.65600000000000003</v>
      </c>
      <c r="G3069" s="394"/>
      <c r="H3069" s="8" t="s">
        <v>61</v>
      </c>
      <c r="I3069" s="368">
        <f t="shared" si="142"/>
        <v>0</v>
      </c>
      <c r="J3069" s="365">
        <f t="shared" si="144"/>
        <v>0</v>
      </c>
      <c r="K3069" s="369">
        <f t="shared" si="143"/>
        <v>6</v>
      </c>
      <c r="L3069" s="369">
        <f>+IF((C3069&gt;='Resultats - informe'!$E$16)*(C3069&lt;='Resultats - informe'!$G$16),1,0)</f>
        <v>1</v>
      </c>
      <c r="M3069" s="369" cm="1">
        <f t="array" ref="M3069">+_xlfn.IFS((C3069&gt;='Resultats - informe'!$D$26)*(C3069&lt;='Resultats - informe'!$E$26),0,(C3069&gt;='Resultats - informe'!$D$27)*(C3069&lt;='Resultats - informe'!$E$27),0,(C3069&gt;='Resultats - informe'!$D$28)*(C3069&lt;='Resultats - informe'!$E$28),0,(C3069&gt;='Resultats - informe'!$D$29)*(C3069&lt;='Resultats - informe'!$E$29),0,1,1)</f>
        <v>0</v>
      </c>
      <c r="N3069" s="366">
        <f>+VLOOKUP(D3069,'Resultats - informe'!$Y$18:$AG$42,'Introducció dades consum'!K3069+1,0)</f>
        <v>0</v>
      </c>
      <c r="O3069" s="370" cm="1">
        <f t="array" ref="O3069">+_xlfn.SWITCH(MONTH(C3069),1,1,2,1,3,1,4,2,5,2,6,3,7,3,8,3,9,3,10,2,11,2,12,1,2)</f>
        <v>1</v>
      </c>
      <c r="P3069" s="43"/>
    </row>
    <row r="3070" spans="1:16" ht="18" x14ac:dyDescent="0.35">
      <c r="A3070" s="43"/>
      <c r="C3070" s="393"/>
      <c r="E3070" s="394"/>
      <c r="F3070" s="394">
        <v>0</v>
      </c>
      <c r="G3070" s="394"/>
      <c r="H3070" s="8" t="s">
        <v>235</v>
      </c>
      <c r="I3070" s="368">
        <f t="shared" si="142"/>
        <v>0</v>
      </c>
      <c r="J3070" s="365">
        <f t="shared" si="144"/>
        <v>0</v>
      </c>
      <c r="K3070" s="369">
        <f t="shared" si="143"/>
        <v>6</v>
      </c>
      <c r="L3070" s="369">
        <f>+IF((C3070&gt;='Resultats - informe'!$E$16)*(C3070&lt;='Resultats - informe'!$G$16),1,0)</f>
        <v>1</v>
      </c>
      <c r="M3070" s="369" cm="1">
        <f t="array" ref="M3070">+_xlfn.IFS((C3070&gt;='Resultats - informe'!$D$26)*(C3070&lt;='Resultats - informe'!$E$26),0,(C3070&gt;='Resultats - informe'!$D$27)*(C3070&lt;='Resultats - informe'!$E$27),0,(C3070&gt;='Resultats - informe'!$D$28)*(C3070&lt;='Resultats - informe'!$E$28),0,(C3070&gt;='Resultats - informe'!$D$29)*(C3070&lt;='Resultats - informe'!$E$29),0,1,1)</f>
        <v>0</v>
      </c>
      <c r="N3070" s="366">
        <f>+VLOOKUP(D3070,'Resultats - informe'!$Y$18:$AG$42,'Introducció dades consum'!K3070+1,0)</f>
        <v>0</v>
      </c>
      <c r="O3070" s="370" cm="1">
        <f t="array" ref="O3070">+_xlfn.SWITCH(MONTH(C3070),1,1,2,1,3,1,4,2,5,2,6,3,7,3,8,3,9,3,10,2,11,2,12,1,2)</f>
        <v>1</v>
      </c>
      <c r="P3070" s="43"/>
    </row>
    <row r="3071" spans="1:16" ht="18" x14ac:dyDescent="0.35">
      <c r="A3071" s="43"/>
      <c r="C3071" s="393"/>
      <c r="E3071" s="394"/>
      <c r="F3071" s="394">
        <v>0</v>
      </c>
      <c r="G3071" s="394"/>
      <c r="H3071" s="8" t="s">
        <v>235</v>
      </c>
      <c r="I3071" s="368">
        <f t="shared" si="142"/>
        <v>0</v>
      </c>
      <c r="J3071" s="365">
        <f t="shared" si="144"/>
        <v>0</v>
      </c>
      <c r="K3071" s="369">
        <f t="shared" si="143"/>
        <v>6</v>
      </c>
      <c r="L3071" s="369">
        <f>+IF((C3071&gt;='Resultats - informe'!$E$16)*(C3071&lt;='Resultats - informe'!$G$16),1,0)</f>
        <v>1</v>
      </c>
      <c r="M3071" s="369" cm="1">
        <f t="array" ref="M3071">+_xlfn.IFS((C3071&gt;='Resultats - informe'!$D$26)*(C3071&lt;='Resultats - informe'!$E$26),0,(C3071&gt;='Resultats - informe'!$D$27)*(C3071&lt;='Resultats - informe'!$E$27),0,(C3071&gt;='Resultats - informe'!$D$28)*(C3071&lt;='Resultats - informe'!$E$28),0,(C3071&gt;='Resultats - informe'!$D$29)*(C3071&lt;='Resultats - informe'!$E$29),0,1,1)</f>
        <v>0</v>
      </c>
      <c r="N3071" s="366">
        <f>+VLOOKUP(D3071,'Resultats - informe'!$Y$18:$AG$42,'Introducció dades consum'!K3071+1,0)</f>
        <v>0</v>
      </c>
      <c r="O3071" s="370" cm="1">
        <f t="array" ref="O3071">+_xlfn.SWITCH(MONTH(C3071),1,1,2,1,3,1,4,2,5,2,6,3,7,3,8,3,9,3,10,2,11,2,12,1,2)</f>
        <v>1</v>
      </c>
      <c r="P3071" s="43"/>
    </row>
    <row r="3072" spans="1:16" ht="18" x14ac:dyDescent="0.35">
      <c r="A3072" s="43"/>
      <c r="C3072" s="393"/>
      <c r="E3072" s="394"/>
      <c r="F3072" s="394">
        <v>0</v>
      </c>
      <c r="G3072" s="394"/>
      <c r="H3072" s="8" t="s">
        <v>235</v>
      </c>
      <c r="I3072" s="368">
        <f t="shared" si="142"/>
        <v>0</v>
      </c>
      <c r="J3072" s="365">
        <f t="shared" si="144"/>
        <v>0</v>
      </c>
      <c r="K3072" s="369">
        <f t="shared" si="143"/>
        <v>6</v>
      </c>
      <c r="L3072" s="369">
        <f>+IF((C3072&gt;='Resultats - informe'!$E$16)*(C3072&lt;='Resultats - informe'!$G$16),1,0)</f>
        <v>1</v>
      </c>
      <c r="M3072" s="369" cm="1">
        <f t="array" ref="M3072">+_xlfn.IFS((C3072&gt;='Resultats - informe'!$D$26)*(C3072&lt;='Resultats - informe'!$E$26),0,(C3072&gt;='Resultats - informe'!$D$27)*(C3072&lt;='Resultats - informe'!$E$27),0,(C3072&gt;='Resultats - informe'!$D$28)*(C3072&lt;='Resultats - informe'!$E$28),0,(C3072&gt;='Resultats - informe'!$D$29)*(C3072&lt;='Resultats - informe'!$E$29),0,1,1)</f>
        <v>0</v>
      </c>
      <c r="N3072" s="366">
        <f>+VLOOKUP(D3072,'Resultats - informe'!$Y$18:$AG$42,'Introducció dades consum'!K3072+1,0)</f>
        <v>0</v>
      </c>
      <c r="O3072" s="370" cm="1">
        <f t="array" ref="O3072">+_xlfn.SWITCH(MONTH(C3072),1,1,2,1,3,1,4,2,5,2,6,3,7,3,8,3,9,3,10,2,11,2,12,1,2)</f>
        <v>1</v>
      </c>
      <c r="P3072" s="43"/>
    </row>
    <row r="3073" spans="1:16" ht="18" x14ac:dyDescent="0.35">
      <c r="A3073" s="43"/>
      <c r="C3073" s="393"/>
      <c r="E3073" s="394"/>
      <c r="F3073" s="394">
        <v>0</v>
      </c>
      <c r="G3073" s="394"/>
      <c r="H3073" s="8" t="s">
        <v>235</v>
      </c>
      <c r="I3073" s="368">
        <f t="shared" si="142"/>
        <v>0</v>
      </c>
      <c r="J3073" s="365">
        <f t="shared" si="144"/>
        <v>0</v>
      </c>
      <c r="K3073" s="369">
        <f t="shared" si="143"/>
        <v>6</v>
      </c>
      <c r="L3073" s="369">
        <f>+IF((C3073&gt;='Resultats - informe'!$E$16)*(C3073&lt;='Resultats - informe'!$G$16),1,0)</f>
        <v>1</v>
      </c>
      <c r="M3073" s="369" cm="1">
        <f t="array" ref="M3073">+_xlfn.IFS((C3073&gt;='Resultats - informe'!$D$26)*(C3073&lt;='Resultats - informe'!$E$26),0,(C3073&gt;='Resultats - informe'!$D$27)*(C3073&lt;='Resultats - informe'!$E$27),0,(C3073&gt;='Resultats - informe'!$D$28)*(C3073&lt;='Resultats - informe'!$E$28),0,(C3073&gt;='Resultats - informe'!$D$29)*(C3073&lt;='Resultats - informe'!$E$29),0,1,1)</f>
        <v>0</v>
      </c>
      <c r="N3073" s="366">
        <f>+VLOOKUP(D3073,'Resultats - informe'!$Y$18:$AG$42,'Introducció dades consum'!K3073+1,0)</f>
        <v>0</v>
      </c>
      <c r="O3073" s="370" cm="1">
        <f t="array" ref="O3073">+_xlfn.SWITCH(MONTH(C3073),1,1,2,1,3,1,4,2,5,2,6,3,7,3,8,3,9,3,10,2,11,2,12,1,2)</f>
        <v>1</v>
      </c>
      <c r="P3073" s="43"/>
    </row>
    <row r="3074" spans="1:16" ht="18" x14ac:dyDescent="0.35">
      <c r="A3074" s="43"/>
      <c r="C3074" s="393"/>
      <c r="E3074" s="394"/>
      <c r="F3074" s="394">
        <v>0</v>
      </c>
      <c r="G3074" s="394"/>
      <c r="H3074" s="8" t="s">
        <v>235</v>
      </c>
      <c r="I3074" s="368">
        <f t="shared" si="142"/>
        <v>0</v>
      </c>
      <c r="J3074" s="365">
        <f t="shared" si="144"/>
        <v>0</v>
      </c>
      <c r="K3074" s="369">
        <f t="shared" si="143"/>
        <v>6</v>
      </c>
      <c r="L3074" s="369">
        <f>+IF((C3074&gt;='Resultats - informe'!$E$16)*(C3074&lt;='Resultats - informe'!$G$16),1,0)</f>
        <v>1</v>
      </c>
      <c r="M3074" s="369" cm="1">
        <f t="array" ref="M3074">+_xlfn.IFS((C3074&gt;='Resultats - informe'!$D$26)*(C3074&lt;='Resultats - informe'!$E$26),0,(C3074&gt;='Resultats - informe'!$D$27)*(C3074&lt;='Resultats - informe'!$E$27),0,(C3074&gt;='Resultats - informe'!$D$28)*(C3074&lt;='Resultats - informe'!$E$28),0,(C3074&gt;='Resultats - informe'!$D$29)*(C3074&lt;='Resultats - informe'!$E$29),0,1,1)</f>
        <v>0</v>
      </c>
      <c r="N3074" s="366">
        <f>+VLOOKUP(D3074,'Resultats - informe'!$Y$18:$AG$42,'Introducció dades consum'!K3074+1,0)</f>
        <v>0</v>
      </c>
      <c r="O3074" s="370" cm="1">
        <f t="array" ref="O3074">+_xlfn.SWITCH(MONTH(C3074),1,1,2,1,3,1,4,2,5,2,6,3,7,3,8,3,9,3,10,2,11,2,12,1,2)</f>
        <v>1</v>
      </c>
      <c r="P3074" s="43"/>
    </row>
    <row r="3075" spans="1:16" ht="18" x14ac:dyDescent="0.35">
      <c r="A3075" s="43"/>
      <c r="C3075" s="393"/>
      <c r="E3075" s="394"/>
      <c r="F3075" s="394">
        <v>0</v>
      </c>
      <c r="G3075" s="394"/>
      <c r="H3075" s="8" t="s">
        <v>235</v>
      </c>
      <c r="I3075" s="368">
        <f t="shared" si="142"/>
        <v>0</v>
      </c>
      <c r="J3075" s="365">
        <f t="shared" si="144"/>
        <v>0</v>
      </c>
      <c r="K3075" s="369">
        <f t="shared" si="143"/>
        <v>6</v>
      </c>
      <c r="L3075" s="369">
        <f>+IF((C3075&gt;='Resultats - informe'!$E$16)*(C3075&lt;='Resultats - informe'!$G$16),1,0)</f>
        <v>1</v>
      </c>
      <c r="M3075" s="369" cm="1">
        <f t="array" ref="M3075">+_xlfn.IFS((C3075&gt;='Resultats - informe'!$D$26)*(C3075&lt;='Resultats - informe'!$E$26),0,(C3075&gt;='Resultats - informe'!$D$27)*(C3075&lt;='Resultats - informe'!$E$27),0,(C3075&gt;='Resultats - informe'!$D$28)*(C3075&lt;='Resultats - informe'!$E$28),0,(C3075&gt;='Resultats - informe'!$D$29)*(C3075&lt;='Resultats - informe'!$E$29),0,1,1)</f>
        <v>0</v>
      </c>
      <c r="N3075" s="366">
        <f>+VLOOKUP(D3075,'Resultats - informe'!$Y$18:$AG$42,'Introducció dades consum'!K3075+1,0)</f>
        <v>0</v>
      </c>
      <c r="O3075" s="370" cm="1">
        <f t="array" ref="O3075">+_xlfn.SWITCH(MONTH(C3075),1,1,2,1,3,1,4,2,5,2,6,3,7,3,8,3,9,3,10,2,11,2,12,1,2)</f>
        <v>1</v>
      </c>
      <c r="P3075" s="43"/>
    </row>
    <row r="3076" spans="1:16" ht="18" x14ac:dyDescent="0.35">
      <c r="A3076" s="43"/>
      <c r="C3076" s="393"/>
      <c r="E3076" s="394"/>
      <c r="F3076" s="394">
        <v>0</v>
      </c>
      <c r="G3076" s="394"/>
      <c r="H3076" s="8" t="s">
        <v>235</v>
      </c>
      <c r="I3076" s="368">
        <f t="shared" si="142"/>
        <v>0</v>
      </c>
      <c r="J3076" s="365">
        <f t="shared" si="144"/>
        <v>0</v>
      </c>
      <c r="K3076" s="369">
        <f t="shared" si="143"/>
        <v>6</v>
      </c>
      <c r="L3076" s="369">
        <f>+IF((C3076&gt;='Resultats - informe'!$E$16)*(C3076&lt;='Resultats - informe'!$G$16),1,0)</f>
        <v>1</v>
      </c>
      <c r="M3076" s="369" cm="1">
        <f t="array" ref="M3076">+_xlfn.IFS((C3076&gt;='Resultats - informe'!$D$26)*(C3076&lt;='Resultats - informe'!$E$26),0,(C3076&gt;='Resultats - informe'!$D$27)*(C3076&lt;='Resultats - informe'!$E$27),0,(C3076&gt;='Resultats - informe'!$D$28)*(C3076&lt;='Resultats - informe'!$E$28),0,(C3076&gt;='Resultats - informe'!$D$29)*(C3076&lt;='Resultats - informe'!$E$29),0,1,1)</f>
        <v>0</v>
      </c>
      <c r="N3076" s="366">
        <f>+VLOOKUP(D3076,'Resultats - informe'!$Y$18:$AG$42,'Introducció dades consum'!K3076+1,0)</f>
        <v>0</v>
      </c>
      <c r="O3076" s="370" cm="1">
        <f t="array" ref="O3076">+_xlfn.SWITCH(MONTH(C3076),1,1,2,1,3,1,4,2,5,2,6,3,7,3,8,3,9,3,10,2,11,2,12,1,2)</f>
        <v>1</v>
      </c>
      <c r="P3076" s="43"/>
    </row>
    <row r="3077" spans="1:16" ht="18" x14ac:dyDescent="0.35">
      <c r="A3077" s="43"/>
      <c r="C3077" s="393"/>
      <c r="E3077" s="394"/>
      <c r="F3077" s="394">
        <v>0</v>
      </c>
      <c r="G3077" s="394"/>
      <c r="H3077" s="8" t="s">
        <v>61</v>
      </c>
      <c r="I3077" s="368">
        <f t="shared" si="142"/>
        <v>0</v>
      </c>
      <c r="J3077" s="365">
        <f t="shared" si="144"/>
        <v>0</v>
      </c>
      <c r="K3077" s="369">
        <f t="shared" si="143"/>
        <v>6</v>
      </c>
      <c r="L3077" s="369">
        <f>+IF((C3077&gt;='Resultats - informe'!$E$16)*(C3077&lt;='Resultats - informe'!$G$16),1,0)</f>
        <v>1</v>
      </c>
      <c r="M3077" s="369" cm="1">
        <f t="array" ref="M3077">+_xlfn.IFS((C3077&gt;='Resultats - informe'!$D$26)*(C3077&lt;='Resultats - informe'!$E$26),0,(C3077&gt;='Resultats - informe'!$D$27)*(C3077&lt;='Resultats - informe'!$E$27),0,(C3077&gt;='Resultats - informe'!$D$28)*(C3077&lt;='Resultats - informe'!$E$28),0,(C3077&gt;='Resultats - informe'!$D$29)*(C3077&lt;='Resultats - informe'!$E$29),0,1,1)</f>
        <v>0</v>
      </c>
      <c r="N3077" s="366">
        <f>+VLOOKUP(D3077,'Resultats - informe'!$Y$18:$AG$42,'Introducció dades consum'!K3077+1,0)</f>
        <v>0</v>
      </c>
      <c r="O3077" s="370" cm="1">
        <f t="array" ref="O3077">+_xlfn.SWITCH(MONTH(C3077),1,1,2,1,3,1,4,2,5,2,6,3,7,3,8,3,9,3,10,2,11,2,12,1,2)</f>
        <v>1</v>
      </c>
      <c r="P3077" s="43"/>
    </row>
    <row r="3078" spans="1:16" ht="18" x14ac:dyDescent="0.35">
      <c r="A3078" s="43"/>
      <c r="C3078" s="393"/>
      <c r="E3078" s="394"/>
      <c r="F3078" s="394">
        <v>0</v>
      </c>
      <c r="G3078" s="394"/>
      <c r="H3078" s="8" t="s">
        <v>235</v>
      </c>
      <c r="I3078" s="368">
        <f t="shared" ref="I3078:I3141" si="145">+E3078+G3078</f>
        <v>0</v>
      </c>
      <c r="J3078" s="365">
        <f t="shared" si="144"/>
        <v>0</v>
      </c>
      <c r="K3078" s="369">
        <f t="shared" ref="K3078:K3141" si="146">+WEEKDAY(C3078,2)</f>
        <v>6</v>
      </c>
      <c r="L3078" s="369">
        <f>+IF((C3078&gt;='Resultats - informe'!$E$16)*(C3078&lt;='Resultats - informe'!$G$16),1,0)</f>
        <v>1</v>
      </c>
      <c r="M3078" s="369" cm="1">
        <f t="array" ref="M3078">+_xlfn.IFS((C3078&gt;='Resultats - informe'!$D$26)*(C3078&lt;='Resultats - informe'!$E$26),0,(C3078&gt;='Resultats - informe'!$D$27)*(C3078&lt;='Resultats - informe'!$E$27),0,(C3078&gt;='Resultats - informe'!$D$28)*(C3078&lt;='Resultats - informe'!$E$28),0,(C3078&gt;='Resultats - informe'!$D$29)*(C3078&lt;='Resultats - informe'!$E$29),0,1,1)</f>
        <v>0</v>
      </c>
      <c r="N3078" s="366">
        <f>+VLOOKUP(D3078,'Resultats - informe'!$Y$18:$AG$42,'Introducció dades consum'!K3078+1,0)</f>
        <v>0</v>
      </c>
      <c r="O3078" s="370" cm="1">
        <f t="array" ref="O3078">+_xlfn.SWITCH(MONTH(C3078),1,1,2,1,3,1,4,2,5,2,6,3,7,3,8,3,9,3,10,2,11,2,12,1,2)</f>
        <v>1</v>
      </c>
      <c r="P3078" s="43"/>
    </row>
    <row r="3079" spans="1:16" ht="18" x14ac:dyDescent="0.35">
      <c r="A3079" s="43"/>
      <c r="C3079" s="393"/>
      <c r="E3079" s="394"/>
      <c r="F3079" s="394">
        <v>0</v>
      </c>
      <c r="G3079" s="394"/>
      <c r="H3079" s="8" t="s">
        <v>235</v>
      </c>
      <c r="I3079" s="368">
        <f t="shared" si="145"/>
        <v>0</v>
      </c>
      <c r="J3079" s="365">
        <f t="shared" si="144"/>
        <v>0</v>
      </c>
      <c r="K3079" s="369">
        <f t="shared" si="146"/>
        <v>6</v>
      </c>
      <c r="L3079" s="369">
        <f>+IF((C3079&gt;='Resultats - informe'!$E$16)*(C3079&lt;='Resultats - informe'!$G$16),1,0)</f>
        <v>1</v>
      </c>
      <c r="M3079" s="369" cm="1">
        <f t="array" ref="M3079">+_xlfn.IFS((C3079&gt;='Resultats - informe'!$D$26)*(C3079&lt;='Resultats - informe'!$E$26),0,(C3079&gt;='Resultats - informe'!$D$27)*(C3079&lt;='Resultats - informe'!$E$27),0,(C3079&gt;='Resultats - informe'!$D$28)*(C3079&lt;='Resultats - informe'!$E$28),0,(C3079&gt;='Resultats - informe'!$D$29)*(C3079&lt;='Resultats - informe'!$E$29),0,1,1)</f>
        <v>0</v>
      </c>
      <c r="N3079" s="366">
        <f>+VLOOKUP(D3079,'Resultats - informe'!$Y$18:$AG$42,'Introducció dades consum'!K3079+1,0)</f>
        <v>0</v>
      </c>
      <c r="O3079" s="370" cm="1">
        <f t="array" ref="O3079">+_xlfn.SWITCH(MONTH(C3079),1,1,2,1,3,1,4,2,5,2,6,3,7,3,8,3,9,3,10,2,11,2,12,1,2)</f>
        <v>1</v>
      </c>
      <c r="P3079" s="43"/>
    </row>
    <row r="3080" spans="1:16" ht="18" x14ac:dyDescent="0.35">
      <c r="A3080" s="43"/>
      <c r="C3080" s="393"/>
      <c r="E3080" s="394"/>
      <c r="F3080" s="394">
        <v>0</v>
      </c>
      <c r="G3080" s="394"/>
      <c r="H3080" s="8" t="s">
        <v>235</v>
      </c>
      <c r="I3080" s="368">
        <f t="shared" si="145"/>
        <v>0</v>
      </c>
      <c r="J3080" s="365">
        <f t="shared" si="144"/>
        <v>0</v>
      </c>
      <c r="K3080" s="369">
        <f t="shared" si="146"/>
        <v>6</v>
      </c>
      <c r="L3080" s="369">
        <f>+IF((C3080&gt;='Resultats - informe'!$E$16)*(C3080&lt;='Resultats - informe'!$G$16),1,0)</f>
        <v>1</v>
      </c>
      <c r="M3080" s="369" cm="1">
        <f t="array" ref="M3080">+_xlfn.IFS((C3080&gt;='Resultats - informe'!$D$26)*(C3080&lt;='Resultats - informe'!$E$26),0,(C3080&gt;='Resultats - informe'!$D$27)*(C3080&lt;='Resultats - informe'!$E$27),0,(C3080&gt;='Resultats - informe'!$D$28)*(C3080&lt;='Resultats - informe'!$E$28),0,(C3080&gt;='Resultats - informe'!$D$29)*(C3080&lt;='Resultats - informe'!$E$29),0,1,1)</f>
        <v>0</v>
      </c>
      <c r="N3080" s="366">
        <f>+VLOOKUP(D3080,'Resultats - informe'!$Y$18:$AG$42,'Introducció dades consum'!K3080+1,0)</f>
        <v>0</v>
      </c>
      <c r="O3080" s="370" cm="1">
        <f t="array" ref="O3080">+_xlfn.SWITCH(MONTH(C3080),1,1,2,1,3,1,4,2,5,2,6,3,7,3,8,3,9,3,10,2,11,2,12,1,2)</f>
        <v>1</v>
      </c>
      <c r="P3080" s="43"/>
    </row>
    <row r="3081" spans="1:16" ht="18" x14ac:dyDescent="0.35">
      <c r="A3081" s="43"/>
      <c r="C3081" s="393"/>
      <c r="E3081" s="394"/>
      <c r="F3081" s="394">
        <v>0</v>
      </c>
      <c r="G3081" s="394"/>
      <c r="H3081" s="8" t="s">
        <v>61</v>
      </c>
      <c r="I3081" s="368">
        <f t="shared" si="145"/>
        <v>0</v>
      </c>
      <c r="J3081" s="365">
        <f t="shared" si="144"/>
        <v>0</v>
      </c>
      <c r="K3081" s="369">
        <f t="shared" si="146"/>
        <v>6</v>
      </c>
      <c r="L3081" s="369">
        <f>+IF((C3081&gt;='Resultats - informe'!$E$16)*(C3081&lt;='Resultats - informe'!$G$16),1,0)</f>
        <v>1</v>
      </c>
      <c r="M3081" s="369" cm="1">
        <f t="array" ref="M3081">+_xlfn.IFS((C3081&gt;='Resultats - informe'!$D$26)*(C3081&lt;='Resultats - informe'!$E$26),0,(C3081&gt;='Resultats - informe'!$D$27)*(C3081&lt;='Resultats - informe'!$E$27),0,(C3081&gt;='Resultats - informe'!$D$28)*(C3081&lt;='Resultats - informe'!$E$28),0,(C3081&gt;='Resultats - informe'!$D$29)*(C3081&lt;='Resultats - informe'!$E$29),0,1,1)</f>
        <v>0</v>
      </c>
      <c r="N3081" s="366">
        <f>+VLOOKUP(D3081,'Resultats - informe'!$Y$18:$AG$42,'Introducció dades consum'!K3081+1,0)</f>
        <v>0</v>
      </c>
      <c r="O3081" s="370" cm="1">
        <f t="array" ref="O3081">+_xlfn.SWITCH(MONTH(C3081),1,1,2,1,3,1,4,2,5,2,6,3,7,3,8,3,9,3,10,2,11,2,12,1,2)</f>
        <v>1</v>
      </c>
      <c r="P3081" s="43"/>
    </row>
    <row r="3082" spans="1:16" ht="18" x14ac:dyDescent="0.35">
      <c r="A3082" s="43"/>
      <c r="C3082" s="393"/>
      <c r="E3082" s="394"/>
      <c r="F3082" s="394">
        <v>0</v>
      </c>
      <c r="G3082" s="394"/>
      <c r="H3082" s="8" t="s">
        <v>61</v>
      </c>
      <c r="I3082" s="368">
        <f t="shared" si="145"/>
        <v>0</v>
      </c>
      <c r="J3082" s="365">
        <f t="shared" si="144"/>
        <v>0</v>
      </c>
      <c r="K3082" s="369">
        <f t="shared" si="146"/>
        <v>6</v>
      </c>
      <c r="L3082" s="369">
        <f>+IF((C3082&gt;='Resultats - informe'!$E$16)*(C3082&lt;='Resultats - informe'!$G$16),1,0)</f>
        <v>1</v>
      </c>
      <c r="M3082" s="369" cm="1">
        <f t="array" ref="M3082">+_xlfn.IFS((C3082&gt;='Resultats - informe'!$D$26)*(C3082&lt;='Resultats - informe'!$E$26),0,(C3082&gt;='Resultats - informe'!$D$27)*(C3082&lt;='Resultats - informe'!$E$27),0,(C3082&gt;='Resultats - informe'!$D$28)*(C3082&lt;='Resultats - informe'!$E$28),0,(C3082&gt;='Resultats - informe'!$D$29)*(C3082&lt;='Resultats - informe'!$E$29),0,1,1)</f>
        <v>0</v>
      </c>
      <c r="N3082" s="366">
        <f>+VLOOKUP(D3082,'Resultats - informe'!$Y$18:$AG$42,'Introducció dades consum'!K3082+1,0)</f>
        <v>0</v>
      </c>
      <c r="O3082" s="370" cm="1">
        <f t="array" ref="O3082">+_xlfn.SWITCH(MONTH(C3082),1,1,2,1,3,1,4,2,5,2,6,3,7,3,8,3,9,3,10,2,11,2,12,1,2)</f>
        <v>1</v>
      </c>
      <c r="P3082" s="43"/>
    </row>
    <row r="3083" spans="1:16" ht="18" x14ac:dyDescent="0.35">
      <c r="A3083" s="43"/>
      <c r="C3083" s="393"/>
      <c r="E3083" s="394"/>
      <c r="F3083" s="394">
        <v>0</v>
      </c>
      <c r="G3083" s="394"/>
      <c r="H3083" s="8" t="s">
        <v>61</v>
      </c>
      <c r="I3083" s="368">
        <f t="shared" si="145"/>
        <v>0</v>
      </c>
      <c r="J3083" s="365">
        <f t="shared" si="144"/>
        <v>0</v>
      </c>
      <c r="K3083" s="369">
        <f t="shared" si="146"/>
        <v>6</v>
      </c>
      <c r="L3083" s="369">
        <f>+IF((C3083&gt;='Resultats - informe'!$E$16)*(C3083&lt;='Resultats - informe'!$G$16),1,0)</f>
        <v>1</v>
      </c>
      <c r="M3083" s="369" cm="1">
        <f t="array" ref="M3083">+_xlfn.IFS((C3083&gt;='Resultats - informe'!$D$26)*(C3083&lt;='Resultats - informe'!$E$26),0,(C3083&gt;='Resultats - informe'!$D$27)*(C3083&lt;='Resultats - informe'!$E$27),0,(C3083&gt;='Resultats - informe'!$D$28)*(C3083&lt;='Resultats - informe'!$E$28),0,(C3083&gt;='Resultats - informe'!$D$29)*(C3083&lt;='Resultats - informe'!$E$29),0,1,1)</f>
        <v>0</v>
      </c>
      <c r="N3083" s="366">
        <f>+VLOOKUP(D3083,'Resultats - informe'!$Y$18:$AG$42,'Introducció dades consum'!K3083+1,0)</f>
        <v>0</v>
      </c>
      <c r="O3083" s="370" cm="1">
        <f t="array" ref="O3083">+_xlfn.SWITCH(MONTH(C3083),1,1,2,1,3,1,4,2,5,2,6,3,7,3,8,3,9,3,10,2,11,2,12,1,2)</f>
        <v>1</v>
      </c>
      <c r="P3083" s="43"/>
    </row>
    <row r="3084" spans="1:16" ht="18" x14ac:dyDescent="0.35">
      <c r="A3084" s="43"/>
      <c r="C3084" s="393"/>
      <c r="E3084" s="394"/>
      <c r="F3084" s="394">
        <v>0</v>
      </c>
      <c r="G3084" s="394"/>
      <c r="H3084" s="8" t="s">
        <v>61</v>
      </c>
      <c r="I3084" s="368">
        <f t="shared" si="145"/>
        <v>0</v>
      </c>
      <c r="J3084" s="365">
        <f t="shared" si="144"/>
        <v>0</v>
      </c>
      <c r="K3084" s="369">
        <f t="shared" si="146"/>
        <v>6</v>
      </c>
      <c r="L3084" s="369">
        <f>+IF((C3084&gt;='Resultats - informe'!$E$16)*(C3084&lt;='Resultats - informe'!$G$16),1,0)</f>
        <v>1</v>
      </c>
      <c r="M3084" s="369" cm="1">
        <f t="array" ref="M3084">+_xlfn.IFS((C3084&gt;='Resultats - informe'!$D$26)*(C3084&lt;='Resultats - informe'!$E$26),0,(C3084&gt;='Resultats - informe'!$D$27)*(C3084&lt;='Resultats - informe'!$E$27),0,(C3084&gt;='Resultats - informe'!$D$28)*(C3084&lt;='Resultats - informe'!$E$28),0,(C3084&gt;='Resultats - informe'!$D$29)*(C3084&lt;='Resultats - informe'!$E$29),0,1,1)</f>
        <v>0</v>
      </c>
      <c r="N3084" s="366">
        <f>+VLOOKUP(D3084,'Resultats - informe'!$Y$18:$AG$42,'Introducció dades consum'!K3084+1,0)</f>
        <v>0</v>
      </c>
      <c r="O3084" s="370" cm="1">
        <f t="array" ref="O3084">+_xlfn.SWITCH(MONTH(C3084),1,1,2,1,3,1,4,2,5,2,6,3,7,3,8,3,9,3,10,2,11,2,12,1,2)</f>
        <v>1</v>
      </c>
      <c r="P3084" s="43"/>
    </row>
    <row r="3085" spans="1:16" ht="18" x14ac:dyDescent="0.35">
      <c r="A3085" s="43"/>
      <c r="C3085" s="393"/>
      <c r="E3085" s="394"/>
      <c r="F3085" s="394">
        <v>0</v>
      </c>
      <c r="G3085" s="394"/>
      <c r="H3085" s="8" t="s">
        <v>61</v>
      </c>
      <c r="I3085" s="368">
        <f t="shared" si="145"/>
        <v>0</v>
      </c>
      <c r="J3085" s="365">
        <f t="shared" si="144"/>
        <v>0</v>
      </c>
      <c r="K3085" s="369">
        <f t="shared" si="146"/>
        <v>6</v>
      </c>
      <c r="L3085" s="369">
        <f>+IF((C3085&gt;='Resultats - informe'!$E$16)*(C3085&lt;='Resultats - informe'!$G$16),1,0)</f>
        <v>1</v>
      </c>
      <c r="M3085" s="369" cm="1">
        <f t="array" ref="M3085">+_xlfn.IFS((C3085&gt;='Resultats - informe'!$D$26)*(C3085&lt;='Resultats - informe'!$E$26),0,(C3085&gt;='Resultats - informe'!$D$27)*(C3085&lt;='Resultats - informe'!$E$27),0,(C3085&gt;='Resultats - informe'!$D$28)*(C3085&lt;='Resultats - informe'!$E$28),0,(C3085&gt;='Resultats - informe'!$D$29)*(C3085&lt;='Resultats - informe'!$E$29),0,1,1)</f>
        <v>0</v>
      </c>
      <c r="N3085" s="366">
        <f>+VLOOKUP(D3085,'Resultats - informe'!$Y$18:$AG$42,'Introducció dades consum'!K3085+1,0)</f>
        <v>0</v>
      </c>
      <c r="O3085" s="370" cm="1">
        <f t="array" ref="O3085">+_xlfn.SWITCH(MONTH(C3085),1,1,2,1,3,1,4,2,5,2,6,3,7,3,8,3,9,3,10,2,11,2,12,1,2)</f>
        <v>1</v>
      </c>
      <c r="P3085" s="43"/>
    </row>
    <row r="3086" spans="1:16" ht="18" x14ac:dyDescent="0.35">
      <c r="A3086" s="43"/>
      <c r="C3086" s="393"/>
      <c r="E3086" s="394"/>
      <c r="F3086" s="394">
        <v>0</v>
      </c>
      <c r="G3086" s="394"/>
      <c r="H3086" s="8" t="s">
        <v>61</v>
      </c>
      <c r="I3086" s="368">
        <f t="shared" si="145"/>
        <v>0</v>
      </c>
      <c r="J3086" s="365">
        <f t="shared" si="144"/>
        <v>0</v>
      </c>
      <c r="K3086" s="369">
        <f t="shared" si="146"/>
        <v>6</v>
      </c>
      <c r="L3086" s="369">
        <f>+IF((C3086&gt;='Resultats - informe'!$E$16)*(C3086&lt;='Resultats - informe'!$G$16),1,0)</f>
        <v>1</v>
      </c>
      <c r="M3086" s="369" cm="1">
        <f t="array" ref="M3086">+_xlfn.IFS((C3086&gt;='Resultats - informe'!$D$26)*(C3086&lt;='Resultats - informe'!$E$26),0,(C3086&gt;='Resultats - informe'!$D$27)*(C3086&lt;='Resultats - informe'!$E$27),0,(C3086&gt;='Resultats - informe'!$D$28)*(C3086&lt;='Resultats - informe'!$E$28),0,(C3086&gt;='Resultats - informe'!$D$29)*(C3086&lt;='Resultats - informe'!$E$29),0,1,1)</f>
        <v>0</v>
      </c>
      <c r="N3086" s="366">
        <f>+VLOOKUP(D3086,'Resultats - informe'!$Y$18:$AG$42,'Introducció dades consum'!K3086+1,0)</f>
        <v>0</v>
      </c>
      <c r="O3086" s="370" cm="1">
        <f t="array" ref="O3086">+_xlfn.SWITCH(MONTH(C3086),1,1,2,1,3,1,4,2,5,2,6,3,7,3,8,3,9,3,10,2,11,2,12,1,2)</f>
        <v>1</v>
      </c>
      <c r="P3086" s="43"/>
    </row>
    <row r="3087" spans="1:16" ht="18" x14ac:dyDescent="0.35">
      <c r="A3087" s="43"/>
      <c r="C3087" s="393"/>
      <c r="E3087" s="394"/>
      <c r="F3087" s="394">
        <v>1.984</v>
      </c>
      <c r="G3087" s="394"/>
      <c r="H3087" s="8" t="s">
        <v>61</v>
      </c>
      <c r="I3087" s="368">
        <f t="shared" si="145"/>
        <v>0</v>
      </c>
      <c r="J3087" s="365">
        <f t="shared" si="144"/>
        <v>0</v>
      </c>
      <c r="K3087" s="369">
        <f t="shared" si="146"/>
        <v>6</v>
      </c>
      <c r="L3087" s="369">
        <f>+IF((C3087&gt;='Resultats - informe'!$E$16)*(C3087&lt;='Resultats - informe'!$G$16),1,0)</f>
        <v>1</v>
      </c>
      <c r="M3087" s="369" cm="1">
        <f t="array" ref="M3087">+_xlfn.IFS((C3087&gt;='Resultats - informe'!$D$26)*(C3087&lt;='Resultats - informe'!$E$26),0,(C3087&gt;='Resultats - informe'!$D$27)*(C3087&lt;='Resultats - informe'!$E$27),0,(C3087&gt;='Resultats - informe'!$D$28)*(C3087&lt;='Resultats - informe'!$E$28),0,(C3087&gt;='Resultats - informe'!$D$29)*(C3087&lt;='Resultats - informe'!$E$29),0,1,1)</f>
        <v>0</v>
      </c>
      <c r="N3087" s="366">
        <f>+VLOOKUP(D3087,'Resultats - informe'!$Y$18:$AG$42,'Introducció dades consum'!K3087+1,0)</f>
        <v>0</v>
      </c>
      <c r="O3087" s="370" cm="1">
        <f t="array" ref="O3087">+_xlfn.SWITCH(MONTH(C3087),1,1,2,1,3,1,4,2,5,2,6,3,7,3,8,3,9,3,10,2,11,2,12,1,2)</f>
        <v>1</v>
      </c>
      <c r="P3087" s="43"/>
    </row>
    <row r="3088" spans="1:16" ht="18" x14ac:dyDescent="0.35">
      <c r="A3088" s="43"/>
      <c r="C3088" s="393"/>
      <c r="E3088" s="394"/>
      <c r="F3088" s="394">
        <v>4.3819999999999997</v>
      </c>
      <c r="G3088" s="394"/>
      <c r="H3088" s="8" t="s">
        <v>61</v>
      </c>
      <c r="I3088" s="368">
        <f t="shared" si="145"/>
        <v>0</v>
      </c>
      <c r="J3088" s="365">
        <f t="shared" si="144"/>
        <v>0</v>
      </c>
      <c r="K3088" s="369">
        <f t="shared" si="146"/>
        <v>6</v>
      </c>
      <c r="L3088" s="369">
        <f>+IF((C3088&gt;='Resultats - informe'!$E$16)*(C3088&lt;='Resultats - informe'!$G$16),1,0)</f>
        <v>1</v>
      </c>
      <c r="M3088" s="369" cm="1">
        <f t="array" ref="M3088">+_xlfn.IFS((C3088&gt;='Resultats - informe'!$D$26)*(C3088&lt;='Resultats - informe'!$E$26),0,(C3088&gt;='Resultats - informe'!$D$27)*(C3088&lt;='Resultats - informe'!$E$27),0,(C3088&gt;='Resultats - informe'!$D$28)*(C3088&lt;='Resultats - informe'!$E$28),0,(C3088&gt;='Resultats - informe'!$D$29)*(C3088&lt;='Resultats - informe'!$E$29),0,1,1)</f>
        <v>0</v>
      </c>
      <c r="N3088" s="366">
        <f>+VLOOKUP(D3088,'Resultats - informe'!$Y$18:$AG$42,'Introducció dades consum'!K3088+1,0)</f>
        <v>0</v>
      </c>
      <c r="O3088" s="370" cm="1">
        <f t="array" ref="O3088">+_xlfn.SWITCH(MONTH(C3088),1,1,2,1,3,1,4,2,5,2,6,3,7,3,8,3,9,3,10,2,11,2,12,1,2)</f>
        <v>1</v>
      </c>
      <c r="P3088" s="43"/>
    </row>
    <row r="3089" spans="1:16" ht="18" x14ac:dyDescent="0.35">
      <c r="A3089" s="43"/>
      <c r="C3089" s="393"/>
      <c r="E3089" s="394"/>
      <c r="F3089" s="394">
        <v>1.6679999999999999</v>
      </c>
      <c r="G3089" s="394"/>
      <c r="H3089" s="8" t="s">
        <v>61</v>
      </c>
      <c r="I3089" s="368">
        <f t="shared" si="145"/>
        <v>0</v>
      </c>
      <c r="J3089" s="365">
        <f t="shared" si="144"/>
        <v>0</v>
      </c>
      <c r="K3089" s="369">
        <f t="shared" si="146"/>
        <v>6</v>
      </c>
      <c r="L3089" s="369">
        <f>+IF((C3089&gt;='Resultats - informe'!$E$16)*(C3089&lt;='Resultats - informe'!$G$16),1,0)</f>
        <v>1</v>
      </c>
      <c r="M3089" s="369" cm="1">
        <f t="array" ref="M3089">+_xlfn.IFS((C3089&gt;='Resultats - informe'!$D$26)*(C3089&lt;='Resultats - informe'!$E$26),0,(C3089&gt;='Resultats - informe'!$D$27)*(C3089&lt;='Resultats - informe'!$E$27),0,(C3089&gt;='Resultats - informe'!$D$28)*(C3089&lt;='Resultats - informe'!$E$28),0,(C3089&gt;='Resultats - informe'!$D$29)*(C3089&lt;='Resultats - informe'!$E$29),0,1,1)</f>
        <v>0</v>
      </c>
      <c r="N3089" s="366">
        <f>+VLOOKUP(D3089,'Resultats - informe'!$Y$18:$AG$42,'Introducció dades consum'!K3089+1,0)</f>
        <v>0</v>
      </c>
      <c r="O3089" s="370" cm="1">
        <f t="array" ref="O3089">+_xlfn.SWITCH(MONTH(C3089),1,1,2,1,3,1,4,2,5,2,6,3,7,3,8,3,9,3,10,2,11,2,12,1,2)</f>
        <v>1</v>
      </c>
      <c r="P3089" s="43"/>
    </row>
    <row r="3090" spans="1:16" ht="18" x14ac:dyDescent="0.35">
      <c r="A3090" s="43"/>
      <c r="C3090" s="393"/>
      <c r="E3090" s="394"/>
      <c r="F3090" s="394">
        <v>1.4770000000000001</v>
      </c>
      <c r="G3090" s="394"/>
      <c r="H3090" s="8" t="s">
        <v>235</v>
      </c>
      <c r="I3090" s="368">
        <f t="shared" si="145"/>
        <v>0</v>
      </c>
      <c r="J3090" s="365">
        <f t="shared" si="144"/>
        <v>0</v>
      </c>
      <c r="K3090" s="369">
        <f t="shared" si="146"/>
        <v>6</v>
      </c>
      <c r="L3090" s="369">
        <f>+IF((C3090&gt;='Resultats - informe'!$E$16)*(C3090&lt;='Resultats - informe'!$G$16),1,0)</f>
        <v>1</v>
      </c>
      <c r="M3090" s="369" cm="1">
        <f t="array" ref="M3090">+_xlfn.IFS((C3090&gt;='Resultats - informe'!$D$26)*(C3090&lt;='Resultats - informe'!$E$26),0,(C3090&gt;='Resultats - informe'!$D$27)*(C3090&lt;='Resultats - informe'!$E$27),0,(C3090&gt;='Resultats - informe'!$D$28)*(C3090&lt;='Resultats - informe'!$E$28),0,(C3090&gt;='Resultats - informe'!$D$29)*(C3090&lt;='Resultats - informe'!$E$29),0,1,1)</f>
        <v>0</v>
      </c>
      <c r="N3090" s="366">
        <f>+VLOOKUP(D3090,'Resultats - informe'!$Y$18:$AG$42,'Introducció dades consum'!K3090+1,0)</f>
        <v>0</v>
      </c>
      <c r="O3090" s="370" cm="1">
        <f t="array" ref="O3090">+_xlfn.SWITCH(MONTH(C3090),1,1,2,1,3,1,4,2,5,2,6,3,7,3,8,3,9,3,10,2,11,2,12,1,2)</f>
        <v>1</v>
      </c>
      <c r="P3090" s="43"/>
    </row>
    <row r="3091" spans="1:16" ht="18" x14ac:dyDescent="0.35">
      <c r="A3091" s="43"/>
      <c r="C3091" s="393"/>
      <c r="E3091" s="394"/>
      <c r="F3091" s="394">
        <v>2.2949999999999999</v>
      </c>
      <c r="G3091" s="394"/>
      <c r="H3091" s="8" t="s">
        <v>235</v>
      </c>
      <c r="I3091" s="368">
        <f t="shared" si="145"/>
        <v>0</v>
      </c>
      <c r="J3091" s="365">
        <f t="shared" si="144"/>
        <v>0</v>
      </c>
      <c r="K3091" s="369">
        <f t="shared" si="146"/>
        <v>6</v>
      </c>
      <c r="L3091" s="369">
        <f>+IF((C3091&gt;='Resultats - informe'!$E$16)*(C3091&lt;='Resultats - informe'!$G$16),1,0)</f>
        <v>1</v>
      </c>
      <c r="M3091" s="369" cm="1">
        <f t="array" ref="M3091">+_xlfn.IFS((C3091&gt;='Resultats - informe'!$D$26)*(C3091&lt;='Resultats - informe'!$E$26),0,(C3091&gt;='Resultats - informe'!$D$27)*(C3091&lt;='Resultats - informe'!$E$27),0,(C3091&gt;='Resultats - informe'!$D$28)*(C3091&lt;='Resultats - informe'!$E$28),0,(C3091&gt;='Resultats - informe'!$D$29)*(C3091&lt;='Resultats - informe'!$E$29),0,1,1)</f>
        <v>0</v>
      </c>
      <c r="N3091" s="366">
        <f>+VLOOKUP(D3091,'Resultats - informe'!$Y$18:$AG$42,'Introducció dades consum'!K3091+1,0)</f>
        <v>0</v>
      </c>
      <c r="O3091" s="370" cm="1">
        <f t="array" ref="O3091">+_xlfn.SWITCH(MONTH(C3091),1,1,2,1,3,1,4,2,5,2,6,3,7,3,8,3,9,3,10,2,11,2,12,1,2)</f>
        <v>1</v>
      </c>
      <c r="P3091" s="43"/>
    </row>
    <row r="3092" spans="1:16" ht="18" x14ac:dyDescent="0.35">
      <c r="A3092" s="43"/>
      <c r="C3092" s="393"/>
      <c r="E3092" s="394"/>
      <c r="F3092" s="394">
        <v>1.1919999999999999</v>
      </c>
      <c r="G3092" s="394"/>
      <c r="H3092" s="8" t="s">
        <v>235</v>
      </c>
      <c r="I3092" s="368">
        <f t="shared" si="145"/>
        <v>0</v>
      </c>
      <c r="J3092" s="365">
        <f t="shared" si="144"/>
        <v>0</v>
      </c>
      <c r="K3092" s="369">
        <f t="shared" si="146"/>
        <v>6</v>
      </c>
      <c r="L3092" s="369">
        <f>+IF((C3092&gt;='Resultats - informe'!$E$16)*(C3092&lt;='Resultats - informe'!$G$16),1,0)</f>
        <v>1</v>
      </c>
      <c r="M3092" s="369" cm="1">
        <f t="array" ref="M3092">+_xlfn.IFS((C3092&gt;='Resultats - informe'!$D$26)*(C3092&lt;='Resultats - informe'!$E$26),0,(C3092&gt;='Resultats - informe'!$D$27)*(C3092&lt;='Resultats - informe'!$E$27),0,(C3092&gt;='Resultats - informe'!$D$28)*(C3092&lt;='Resultats - informe'!$E$28),0,(C3092&gt;='Resultats - informe'!$D$29)*(C3092&lt;='Resultats - informe'!$E$29),0,1,1)</f>
        <v>0</v>
      </c>
      <c r="N3092" s="366">
        <f>+VLOOKUP(D3092,'Resultats - informe'!$Y$18:$AG$42,'Introducció dades consum'!K3092+1,0)</f>
        <v>0</v>
      </c>
      <c r="O3092" s="370" cm="1">
        <f t="array" ref="O3092">+_xlfn.SWITCH(MONTH(C3092),1,1,2,1,3,1,4,2,5,2,6,3,7,3,8,3,9,3,10,2,11,2,12,1,2)</f>
        <v>1</v>
      </c>
      <c r="P3092" s="43"/>
    </row>
    <row r="3093" spans="1:16" ht="18" x14ac:dyDescent="0.35">
      <c r="A3093" s="43"/>
      <c r="C3093" s="393"/>
      <c r="E3093" s="394"/>
      <c r="F3093" s="394">
        <v>0.42899999999999999</v>
      </c>
      <c r="G3093" s="394"/>
      <c r="H3093" s="8" t="s">
        <v>235</v>
      </c>
      <c r="I3093" s="368">
        <f t="shared" si="145"/>
        <v>0</v>
      </c>
      <c r="J3093" s="365">
        <f t="shared" si="144"/>
        <v>0</v>
      </c>
      <c r="K3093" s="369">
        <f t="shared" si="146"/>
        <v>6</v>
      </c>
      <c r="L3093" s="369">
        <f>+IF((C3093&gt;='Resultats - informe'!$E$16)*(C3093&lt;='Resultats - informe'!$G$16),1,0)</f>
        <v>1</v>
      </c>
      <c r="M3093" s="369" cm="1">
        <f t="array" ref="M3093">+_xlfn.IFS((C3093&gt;='Resultats - informe'!$D$26)*(C3093&lt;='Resultats - informe'!$E$26),0,(C3093&gt;='Resultats - informe'!$D$27)*(C3093&lt;='Resultats - informe'!$E$27),0,(C3093&gt;='Resultats - informe'!$D$28)*(C3093&lt;='Resultats - informe'!$E$28),0,(C3093&gt;='Resultats - informe'!$D$29)*(C3093&lt;='Resultats - informe'!$E$29),0,1,1)</f>
        <v>0</v>
      </c>
      <c r="N3093" s="366">
        <f>+VLOOKUP(D3093,'Resultats - informe'!$Y$18:$AG$42,'Introducció dades consum'!K3093+1,0)</f>
        <v>0</v>
      </c>
      <c r="O3093" s="370" cm="1">
        <f t="array" ref="O3093">+_xlfn.SWITCH(MONTH(C3093),1,1,2,1,3,1,4,2,5,2,6,3,7,3,8,3,9,3,10,2,11,2,12,1,2)</f>
        <v>1</v>
      </c>
      <c r="P3093" s="43"/>
    </row>
    <row r="3094" spans="1:16" ht="18" x14ac:dyDescent="0.35">
      <c r="A3094" s="43"/>
      <c r="C3094" s="393"/>
      <c r="E3094" s="394"/>
      <c r="F3094" s="394">
        <v>0</v>
      </c>
      <c r="G3094" s="394"/>
      <c r="H3094" s="8" t="s">
        <v>235</v>
      </c>
      <c r="I3094" s="368">
        <f t="shared" si="145"/>
        <v>0</v>
      </c>
      <c r="J3094" s="365">
        <f t="shared" si="144"/>
        <v>0</v>
      </c>
      <c r="K3094" s="369">
        <f t="shared" si="146"/>
        <v>6</v>
      </c>
      <c r="L3094" s="369">
        <f>+IF((C3094&gt;='Resultats - informe'!$E$16)*(C3094&lt;='Resultats - informe'!$G$16),1,0)</f>
        <v>1</v>
      </c>
      <c r="M3094" s="369" cm="1">
        <f t="array" ref="M3094">+_xlfn.IFS((C3094&gt;='Resultats - informe'!$D$26)*(C3094&lt;='Resultats - informe'!$E$26),0,(C3094&gt;='Resultats - informe'!$D$27)*(C3094&lt;='Resultats - informe'!$E$27),0,(C3094&gt;='Resultats - informe'!$D$28)*(C3094&lt;='Resultats - informe'!$E$28),0,(C3094&gt;='Resultats - informe'!$D$29)*(C3094&lt;='Resultats - informe'!$E$29),0,1,1)</f>
        <v>0</v>
      </c>
      <c r="N3094" s="366">
        <f>+VLOOKUP(D3094,'Resultats - informe'!$Y$18:$AG$42,'Introducció dades consum'!K3094+1,0)</f>
        <v>0</v>
      </c>
      <c r="O3094" s="370" cm="1">
        <f t="array" ref="O3094">+_xlfn.SWITCH(MONTH(C3094),1,1,2,1,3,1,4,2,5,2,6,3,7,3,8,3,9,3,10,2,11,2,12,1,2)</f>
        <v>1</v>
      </c>
      <c r="P3094" s="43"/>
    </row>
    <row r="3095" spans="1:16" ht="18" x14ac:dyDescent="0.35">
      <c r="A3095" s="43"/>
      <c r="C3095" s="393"/>
      <c r="E3095" s="394"/>
      <c r="F3095" s="394">
        <v>0</v>
      </c>
      <c r="G3095" s="394"/>
      <c r="H3095" s="8" t="s">
        <v>235</v>
      </c>
      <c r="I3095" s="368">
        <f t="shared" si="145"/>
        <v>0</v>
      </c>
      <c r="J3095" s="365">
        <f t="shared" si="144"/>
        <v>0</v>
      </c>
      <c r="K3095" s="369">
        <f t="shared" si="146"/>
        <v>6</v>
      </c>
      <c r="L3095" s="369">
        <f>+IF((C3095&gt;='Resultats - informe'!$E$16)*(C3095&lt;='Resultats - informe'!$G$16),1,0)</f>
        <v>1</v>
      </c>
      <c r="M3095" s="369" cm="1">
        <f t="array" ref="M3095">+_xlfn.IFS((C3095&gt;='Resultats - informe'!$D$26)*(C3095&lt;='Resultats - informe'!$E$26),0,(C3095&gt;='Resultats - informe'!$D$27)*(C3095&lt;='Resultats - informe'!$E$27),0,(C3095&gt;='Resultats - informe'!$D$28)*(C3095&lt;='Resultats - informe'!$E$28),0,(C3095&gt;='Resultats - informe'!$D$29)*(C3095&lt;='Resultats - informe'!$E$29),0,1,1)</f>
        <v>0</v>
      </c>
      <c r="N3095" s="366">
        <f>+VLOOKUP(D3095,'Resultats - informe'!$Y$18:$AG$42,'Introducció dades consum'!K3095+1,0)</f>
        <v>0</v>
      </c>
      <c r="O3095" s="370" cm="1">
        <f t="array" ref="O3095">+_xlfn.SWITCH(MONTH(C3095),1,1,2,1,3,1,4,2,5,2,6,3,7,3,8,3,9,3,10,2,11,2,12,1,2)</f>
        <v>1</v>
      </c>
      <c r="P3095" s="43"/>
    </row>
    <row r="3096" spans="1:16" ht="18" x14ac:dyDescent="0.35">
      <c r="A3096" s="43"/>
      <c r="C3096" s="393"/>
      <c r="E3096" s="394"/>
      <c r="F3096" s="394">
        <v>0</v>
      </c>
      <c r="G3096" s="394"/>
      <c r="H3096" s="8" t="s">
        <v>61</v>
      </c>
      <c r="I3096" s="368">
        <f t="shared" si="145"/>
        <v>0</v>
      </c>
      <c r="J3096" s="365">
        <f t="shared" si="144"/>
        <v>0</v>
      </c>
      <c r="K3096" s="369">
        <f t="shared" si="146"/>
        <v>6</v>
      </c>
      <c r="L3096" s="369">
        <f>+IF((C3096&gt;='Resultats - informe'!$E$16)*(C3096&lt;='Resultats - informe'!$G$16),1,0)</f>
        <v>1</v>
      </c>
      <c r="M3096" s="369" cm="1">
        <f t="array" ref="M3096">+_xlfn.IFS((C3096&gt;='Resultats - informe'!$D$26)*(C3096&lt;='Resultats - informe'!$E$26),0,(C3096&gt;='Resultats - informe'!$D$27)*(C3096&lt;='Resultats - informe'!$E$27),0,(C3096&gt;='Resultats - informe'!$D$28)*(C3096&lt;='Resultats - informe'!$E$28),0,(C3096&gt;='Resultats - informe'!$D$29)*(C3096&lt;='Resultats - informe'!$E$29),0,1,1)</f>
        <v>0</v>
      </c>
      <c r="N3096" s="366">
        <f>+VLOOKUP(D3096,'Resultats - informe'!$Y$18:$AG$42,'Introducció dades consum'!K3096+1,0)</f>
        <v>0</v>
      </c>
      <c r="O3096" s="370" cm="1">
        <f t="array" ref="O3096">+_xlfn.SWITCH(MONTH(C3096),1,1,2,1,3,1,4,2,5,2,6,3,7,3,8,3,9,3,10,2,11,2,12,1,2)</f>
        <v>1</v>
      </c>
      <c r="P3096" s="43"/>
    </row>
    <row r="3097" spans="1:16" ht="18" x14ac:dyDescent="0.35">
      <c r="A3097" s="43"/>
      <c r="C3097" s="393"/>
      <c r="E3097" s="394"/>
      <c r="F3097" s="394">
        <v>0</v>
      </c>
      <c r="G3097" s="394"/>
      <c r="H3097" s="8" t="s">
        <v>235</v>
      </c>
      <c r="I3097" s="368">
        <f t="shared" si="145"/>
        <v>0</v>
      </c>
      <c r="J3097" s="365">
        <f t="shared" si="144"/>
        <v>0</v>
      </c>
      <c r="K3097" s="369">
        <f t="shared" si="146"/>
        <v>6</v>
      </c>
      <c r="L3097" s="369">
        <f>+IF((C3097&gt;='Resultats - informe'!$E$16)*(C3097&lt;='Resultats - informe'!$G$16),1,0)</f>
        <v>1</v>
      </c>
      <c r="M3097" s="369" cm="1">
        <f t="array" ref="M3097">+_xlfn.IFS((C3097&gt;='Resultats - informe'!$D$26)*(C3097&lt;='Resultats - informe'!$E$26),0,(C3097&gt;='Resultats - informe'!$D$27)*(C3097&lt;='Resultats - informe'!$E$27),0,(C3097&gt;='Resultats - informe'!$D$28)*(C3097&lt;='Resultats - informe'!$E$28),0,(C3097&gt;='Resultats - informe'!$D$29)*(C3097&lt;='Resultats - informe'!$E$29),0,1,1)</f>
        <v>0</v>
      </c>
      <c r="N3097" s="366">
        <f>+VLOOKUP(D3097,'Resultats - informe'!$Y$18:$AG$42,'Introducció dades consum'!K3097+1,0)</f>
        <v>0</v>
      </c>
      <c r="O3097" s="370" cm="1">
        <f t="array" ref="O3097">+_xlfn.SWITCH(MONTH(C3097),1,1,2,1,3,1,4,2,5,2,6,3,7,3,8,3,9,3,10,2,11,2,12,1,2)</f>
        <v>1</v>
      </c>
      <c r="P3097" s="43"/>
    </row>
    <row r="3098" spans="1:16" ht="18" x14ac:dyDescent="0.35">
      <c r="A3098" s="43"/>
      <c r="C3098" s="393"/>
      <c r="E3098" s="394"/>
      <c r="F3098" s="394">
        <v>0</v>
      </c>
      <c r="G3098" s="394"/>
      <c r="H3098" s="8" t="s">
        <v>235</v>
      </c>
      <c r="I3098" s="368">
        <f t="shared" si="145"/>
        <v>0</v>
      </c>
      <c r="J3098" s="365">
        <f t="shared" si="144"/>
        <v>0</v>
      </c>
      <c r="K3098" s="369">
        <f t="shared" si="146"/>
        <v>6</v>
      </c>
      <c r="L3098" s="369">
        <f>+IF((C3098&gt;='Resultats - informe'!$E$16)*(C3098&lt;='Resultats - informe'!$G$16),1,0)</f>
        <v>1</v>
      </c>
      <c r="M3098" s="369" cm="1">
        <f t="array" ref="M3098">+_xlfn.IFS((C3098&gt;='Resultats - informe'!$D$26)*(C3098&lt;='Resultats - informe'!$E$26),0,(C3098&gt;='Resultats - informe'!$D$27)*(C3098&lt;='Resultats - informe'!$E$27),0,(C3098&gt;='Resultats - informe'!$D$28)*(C3098&lt;='Resultats - informe'!$E$28),0,(C3098&gt;='Resultats - informe'!$D$29)*(C3098&lt;='Resultats - informe'!$E$29),0,1,1)</f>
        <v>0</v>
      </c>
      <c r="N3098" s="366">
        <f>+VLOOKUP(D3098,'Resultats - informe'!$Y$18:$AG$42,'Introducció dades consum'!K3098+1,0)</f>
        <v>0</v>
      </c>
      <c r="O3098" s="370" cm="1">
        <f t="array" ref="O3098">+_xlfn.SWITCH(MONTH(C3098),1,1,2,1,3,1,4,2,5,2,6,3,7,3,8,3,9,3,10,2,11,2,12,1,2)</f>
        <v>1</v>
      </c>
      <c r="P3098" s="43"/>
    </row>
    <row r="3099" spans="1:16" ht="18" x14ac:dyDescent="0.35">
      <c r="A3099" s="43"/>
      <c r="C3099" s="393"/>
      <c r="E3099" s="394"/>
      <c r="F3099" s="394">
        <v>0</v>
      </c>
      <c r="G3099" s="394"/>
      <c r="H3099" s="8" t="s">
        <v>235</v>
      </c>
      <c r="I3099" s="368">
        <f t="shared" si="145"/>
        <v>0</v>
      </c>
      <c r="J3099" s="365">
        <f t="shared" si="144"/>
        <v>0</v>
      </c>
      <c r="K3099" s="369">
        <f t="shared" si="146"/>
        <v>6</v>
      </c>
      <c r="L3099" s="369">
        <f>+IF((C3099&gt;='Resultats - informe'!$E$16)*(C3099&lt;='Resultats - informe'!$G$16),1,0)</f>
        <v>1</v>
      </c>
      <c r="M3099" s="369" cm="1">
        <f t="array" ref="M3099">+_xlfn.IFS((C3099&gt;='Resultats - informe'!$D$26)*(C3099&lt;='Resultats - informe'!$E$26),0,(C3099&gt;='Resultats - informe'!$D$27)*(C3099&lt;='Resultats - informe'!$E$27),0,(C3099&gt;='Resultats - informe'!$D$28)*(C3099&lt;='Resultats - informe'!$E$28),0,(C3099&gt;='Resultats - informe'!$D$29)*(C3099&lt;='Resultats - informe'!$E$29),0,1,1)</f>
        <v>0</v>
      </c>
      <c r="N3099" s="366">
        <f>+VLOOKUP(D3099,'Resultats - informe'!$Y$18:$AG$42,'Introducció dades consum'!K3099+1,0)</f>
        <v>0</v>
      </c>
      <c r="O3099" s="370" cm="1">
        <f t="array" ref="O3099">+_xlfn.SWITCH(MONTH(C3099),1,1,2,1,3,1,4,2,5,2,6,3,7,3,8,3,9,3,10,2,11,2,12,1,2)</f>
        <v>1</v>
      </c>
      <c r="P3099" s="43"/>
    </row>
    <row r="3100" spans="1:16" ht="18" x14ac:dyDescent="0.35">
      <c r="A3100" s="43"/>
      <c r="C3100" s="393"/>
      <c r="E3100" s="394"/>
      <c r="F3100" s="394">
        <v>0</v>
      </c>
      <c r="G3100" s="394"/>
      <c r="H3100" s="8" t="s">
        <v>235</v>
      </c>
      <c r="I3100" s="368">
        <f t="shared" si="145"/>
        <v>0</v>
      </c>
      <c r="J3100" s="365">
        <f t="shared" si="144"/>
        <v>0</v>
      </c>
      <c r="K3100" s="369">
        <f t="shared" si="146"/>
        <v>6</v>
      </c>
      <c r="L3100" s="369">
        <f>+IF((C3100&gt;='Resultats - informe'!$E$16)*(C3100&lt;='Resultats - informe'!$G$16),1,0)</f>
        <v>1</v>
      </c>
      <c r="M3100" s="369" cm="1">
        <f t="array" ref="M3100">+_xlfn.IFS((C3100&gt;='Resultats - informe'!$D$26)*(C3100&lt;='Resultats - informe'!$E$26),0,(C3100&gt;='Resultats - informe'!$D$27)*(C3100&lt;='Resultats - informe'!$E$27),0,(C3100&gt;='Resultats - informe'!$D$28)*(C3100&lt;='Resultats - informe'!$E$28),0,(C3100&gt;='Resultats - informe'!$D$29)*(C3100&lt;='Resultats - informe'!$E$29),0,1,1)</f>
        <v>0</v>
      </c>
      <c r="N3100" s="366">
        <f>+VLOOKUP(D3100,'Resultats - informe'!$Y$18:$AG$42,'Introducció dades consum'!K3100+1,0)</f>
        <v>0</v>
      </c>
      <c r="O3100" s="370" cm="1">
        <f t="array" ref="O3100">+_xlfn.SWITCH(MONTH(C3100),1,1,2,1,3,1,4,2,5,2,6,3,7,3,8,3,9,3,10,2,11,2,12,1,2)</f>
        <v>1</v>
      </c>
      <c r="P3100" s="43"/>
    </row>
    <row r="3101" spans="1:16" ht="18" x14ac:dyDescent="0.35">
      <c r="A3101" s="43"/>
      <c r="C3101" s="393"/>
      <c r="E3101" s="394"/>
      <c r="F3101" s="394">
        <v>0</v>
      </c>
      <c r="G3101" s="394"/>
      <c r="H3101" s="8" t="s">
        <v>61</v>
      </c>
      <c r="I3101" s="368">
        <f t="shared" si="145"/>
        <v>0</v>
      </c>
      <c r="J3101" s="365">
        <f t="shared" si="144"/>
        <v>0</v>
      </c>
      <c r="K3101" s="369">
        <f t="shared" si="146"/>
        <v>6</v>
      </c>
      <c r="L3101" s="369">
        <f>+IF((C3101&gt;='Resultats - informe'!$E$16)*(C3101&lt;='Resultats - informe'!$G$16),1,0)</f>
        <v>1</v>
      </c>
      <c r="M3101" s="369" cm="1">
        <f t="array" ref="M3101">+_xlfn.IFS((C3101&gt;='Resultats - informe'!$D$26)*(C3101&lt;='Resultats - informe'!$E$26),0,(C3101&gt;='Resultats - informe'!$D$27)*(C3101&lt;='Resultats - informe'!$E$27),0,(C3101&gt;='Resultats - informe'!$D$28)*(C3101&lt;='Resultats - informe'!$E$28),0,(C3101&gt;='Resultats - informe'!$D$29)*(C3101&lt;='Resultats - informe'!$E$29),0,1,1)</f>
        <v>0</v>
      </c>
      <c r="N3101" s="366">
        <f>+VLOOKUP(D3101,'Resultats - informe'!$Y$18:$AG$42,'Introducció dades consum'!K3101+1,0)</f>
        <v>0</v>
      </c>
      <c r="O3101" s="370" cm="1">
        <f t="array" ref="O3101">+_xlfn.SWITCH(MONTH(C3101),1,1,2,1,3,1,4,2,5,2,6,3,7,3,8,3,9,3,10,2,11,2,12,1,2)</f>
        <v>1</v>
      </c>
      <c r="P3101" s="43"/>
    </row>
    <row r="3102" spans="1:16" ht="18" x14ac:dyDescent="0.35">
      <c r="A3102" s="43"/>
      <c r="C3102" s="393"/>
      <c r="E3102" s="394"/>
      <c r="F3102" s="394">
        <v>0</v>
      </c>
      <c r="G3102" s="394"/>
      <c r="H3102" s="8" t="s">
        <v>61</v>
      </c>
      <c r="I3102" s="368">
        <f t="shared" si="145"/>
        <v>0</v>
      </c>
      <c r="J3102" s="365">
        <f t="shared" si="144"/>
        <v>0</v>
      </c>
      <c r="K3102" s="369">
        <f t="shared" si="146"/>
        <v>6</v>
      </c>
      <c r="L3102" s="369">
        <f>+IF((C3102&gt;='Resultats - informe'!$E$16)*(C3102&lt;='Resultats - informe'!$G$16),1,0)</f>
        <v>1</v>
      </c>
      <c r="M3102" s="369" cm="1">
        <f t="array" ref="M3102">+_xlfn.IFS((C3102&gt;='Resultats - informe'!$D$26)*(C3102&lt;='Resultats - informe'!$E$26),0,(C3102&gt;='Resultats - informe'!$D$27)*(C3102&lt;='Resultats - informe'!$E$27),0,(C3102&gt;='Resultats - informe'!$D$28)*(C3102&lt;='Resultats - informe'!$E$28),0,(C3102&gt;='Resultats - informe'!$D$29)*(C3102&lt;='Resultats - informe'!$E$29),0,1,1)</f>
        <v>0</v>
      </c>
      <c r="N3102" s="366">
        <f>+VLOOKUP(D3102,'Resultats - informe'!$Y$18:$AG$42,'Introducció dades consum'!K3102+1,0)</f>
        <v>0</v>
      </c>
      <c r="O3102" s="370" cm="1">
        <f t="array" ref="O3102">+_xlfn.SWITCH(MONTH(C3102),1,1,2,1,3,1,4,2,5,2,6,3,7,3,8,3,9,3,10,2,11,2,12,1,2)</f>
        <v>1</v>
      </c>
      <c r="P3102" s="43"/>
    </row>
    <row r="3103" spans="1:16" ht="18" x14ac:dyDescent="0.35">
      <c r="A3103" s="43"/>
      <c r="C3103" s="393"/>
      <c r="E3103" s="394"/>
      <c r="F3103" s="394">
        <v>0</v>
      </c>
      <c r="G3103" s="394"/>
      <c r="H3103" s="8" t="s">
        <v>61</v>
      </c>
      <c r="I3103" s="368">
        <f t="shared" si="145"/>
        <v>0</v>
      </c>
      <c r="J3103" s="365">
        <f t="shared" si="144"/>
        <v>0</v>
      </c>
      <c r="K3103" s="369">
        <f t="shared" si="146"/>
        <v>6</v>
      </c>
      <c r="L3103" s="369">
        <f>+IF((C3103&gt;='Resultats - informe'!$E$16)*(C3103&lt;='Resultats - informe'!$G$16),1,0)</f>
        <v>1</v>
      </c>
      <c r="M3103" s="369" cm="1">
        <f t="array" ref="M3103">+_xlfn.IFS((C3103&gt;='Resultats - informe'!$D$26)*(C3103&lt;='Resultats - informe'!$E$26),0,(C3103&gt;='Resultats - informe'!$D$27)*(C3103&lt;='Resultats - informe'!$E$27),0,(C3103&gt;='Resultats - informe'!$D$28)*(C3103&lt;='Resultats - informe'!$E$28),0,(C3103&gt;='Resultats - informe'!$D$29)*(C3103&lt;='Resultats - informe'!$E$29),0,1,1)</f>
        <v>0</v>
      </c>
      <c r="N3103" s="366">
        <f>+VLOOKUP(D3103,'Resultats - informe'!$Y$18:$AG$42,'Introducció dades consum'!K3103+1,0)</f>
        <v>0</v>
      </c>
      <c r="O3103" s="370" cm="1">
        <f t="array" ref="O3103">+_xlfn.SWITCH(MONTH(C3103),1,1,2,1,3,1,4,2,5,2,6,3,7,3,8,3,9,3,10,2,11,2,12,1,2)</f>
        <v>1</v>
      </c>
      <c r="P3103" s="43"/>
    </row>
    <row r="3104" spans="1:16" ht="18" x14ac:dyDescent="0.35">
      <c r="A3104" s="43"/>
      <c r="C3104" s="393"/>
      <c r="E3104" s="394"/>
      <c r="F3104" s="394">
        <v>0</v>
      </c>
      <c r="G3104" s="394"/>
      <c r="H3104" s="8" t="s">
        <v>235</v>
      </c>
      <c r="I3104" s="368">
        <f t="shared" si="145"/>
        <v>0</v>
      </c>
      <c r="J3104" s="365">
        <f t="shared" si="144"/>
        <v>0</v>
      </c>
      <c r="K3104" s="369">
        <f t="shared" si="146"/>
        <v>6</v>
      </c>
      <c r="L3104" s="369">
        <f>+IF((C3104&gt;='Resultats - informe'!$E$16)*(C3104&lt;='Resultats - informe'!$G$16),1,0)</f>
        <v>1</v>
      </c>
      <c r="M3104" s="369" cm="1">
        <f t="array" ref="M3104">+_xlfn.IFS((C3104&gt;='Resultats - informe'!$D$26)*(C3104&lt;='Resultats - informe'!$E$26),0,(C3104&gt;='Resultats - informe'!$D$27)*(C3104&lt;='Resultats - informe'!$E$27),0,(C3104&gt;='Resultats - informe'!$D$28)*(C3104&lt;='Resultats - informe'!$E$28),0,(C3104&gt;='Resultats - informe'!$D$29)*(C3104&lt;='Resultats - informe'!$E$29),0,1,1)</f>
        <v>0</v>
      </c>
      <c r="N3104" s="366">
        <f>+VLOOKUP(D3104,'Resultats - informe'!$Y$18:$AG$42,'Introducció dades consum'!K3104+1,0)</f>
        <v>0</v>
      </c>
      <c r="O3104" s="370" cm="1">
        <f t="array" ref="O3104">+_xlfn.SWITCH(MONTH(C3104),1,1,2,1,3,1,4,2,5,2,6,3,7,3,8,3,9,3,10,2,11,2,12,1,2)</f>
        <v>1</v>
      </c>
      <c r="P3104" s="43"/>
    </row>
    <row r="3105" spans="1:16" ht="18" x14ac:dyDescent="0.35">
      <c r="A3105" s="43"/>
      <c r="C3105" s="393"/>
      <c r="E3105" s="394"/>
      <c r="F3105" s="394">
        <v>0.28299999999999997</v>
      </c>
      <c r="G3105" s="394"/>
      <c r="H3105" s="8" t="s">
        <v>235</v>
      </c>
      <c r="I3105" s="368">
        <f t="shared" si="145"/>
        <v>0</v>
      </c>
      <c r="J3105" s="365">
        <f t="shared" si="144"/>
        <v>0</v>
      </c>
      <c r="K3105" s="369">
        <f t="shared" si="146"/>
        <v>6</v>
      </c>
      <c r="L3105" s="369">
        <f>+IF((C3105&gt;='Resultats - informe'!$E$16)*(C3105&lt;='Resultats - informe'!$G$16),1,0)</f>
        <v>1</v>
      </c>
      <c r="M3105" s="369" cm="1">
        <f t="array" ref="M3105">+_xlfn.IFS((C3105&gt;='Resultats - informe'!$D$26)*(C3105&lt;='Resultats - informe'!$E$26),0,(C3105&gt;='Resultats - informe'!$D$27)*(C3105&lt;='Resultats - informe'!$E$27),0,(C3105&gt;='Resultats - informe'!$D$28)*(C3105&lt;='Resultats - informe'!$E$28),0,(C3105&gt;='Resultats - informe'!$D$29)*(C3105&lt;='Resultats - informe'!$E$29),0,1,1)</f>
        <v>0</v>
      </c>
      <c r="N3105" s="366">
        <f>+VLOOKUP(D3105,'Resultats - informe'!$Y$18:$AG$42,'Introducció dades consum'!K3105+1,0)</f>
        <v>0</v>
      </c>
      <c r="O3105" s="370" cm="1">
        <f t="array" ref="O3105">+_xlfn.SWITCH(MONTH(C3105),1,1,2,1,3,1,4,2,5,2,6,3,7,3,8,3,9,3,10,2,11,2,12,1,2)</f>
        <v>1</v>
      </c>
      <c r="P3105" s="43"/>
    </row>
    <row r="3106" spans="1:16" ht="18" x14ac:dyDescent="0.35">
      <c r="A3106" s="43"/>
      <c r="C3106" s="393"/>
      <c r="E3106" s="394"/>
      <c r="F3106" s="394">
        <v>1.042</v>
      </c>
      <c r="G3106" s="394"/>
      <c r="H3106" s="8" t="s">
        <v>235</v>
      </c>
      <c r="I3106" s="368">
        <f t="shared" si="145"/>
        <v>0</v>
      </c>
      <c r="J3106" s="365">
        <f t="shared" si="144"/>
        <v>0</v>
      </c>
      <c r="K3106" s="369">
        <f t="shared" si="146"/>
        <v>6</v>
      </c>
      <c r="L3106" s="369">
        <f>+IF((C3106&gt;='Resultats - informe'!$E$16)*(C3106&lt;='Resultats - informe'!$G$16),1,0)</f>
        <v>1</v>
      </c>
      <c r="M3106" s="369" cm="1">
        <f t="array" ref="M3106">+_xlfn.IFS((C3106&gt;='Resultats - informe'!$D$26)*(C3106&lt;='Resultats - informe'!$E$26),0,(C3106&gt;='Resultats - informe'!$D$27)*(C3106&lt;='Resultats - informe'!$E$27),0,(C3106&gt;='Resultats - informe'!$D$28)*(C3106&lt;='Resultats - informe'!$E$28),0,(C3106&gt;='Resultats - informe'!$D$29)*(C3106&lt;='Resultats - informe'!$E$29),0,1,1)</f>
        <v>0</v>
      </c>
      <c r="N3106" s="366">
        <f>+VLOOKUP(D3106,'Resultats - informe'!$Y$18:$AG$42,'Introducció dades consum'!K3106+1,0)</f>
        <v>0</v>
      </c>
      <c r="O3106" s="370" cm="1">
        <f t="array" ref="O3106">+_xlfn.SWITCH(MONTH(C3106),1,1,2,1,3,1,4,2,5,2,6,3,7,3,8,3,9,3,10,2,11,2,12,1,2)</f>
        <v>1</v>
      </c>
      <c r="P3106" s="43"/>
    </row>
    <row r="3107" spans="1:16" ht="18" x14ac:dyDescent="0.35">
      <c r="A3107" s="43"/>
      <c r="C3107" s="393"/>
      <c r="E3107" s="394"/>
      <c r="F3107" s="394">
        <v>0</v>
      </c>
      <c r="G3107" s="394"/>
      <c r="H3107" s="8" t="s">
        <v>61</v>
      </c>
      <c r="I3107" s="368">
        <f t="shared" si="145"/>
        <v>0</v>
      </c>
      <c r="J3107" s="365">
        <f t="shared" si="144"/>
        <v>0</v>
      </c>
      <c r="K3107" s="369">
        <f t="shared" si="146"/>
        <v>6</v>
      </c>
      <c r="L3107" s="369">
        <f>+IF((C3107&gt;='Resultats - informe'!$E$16)*(C3107&lt;='Resultats - informe'!$G$16),1,0)</f>
        <v>1</v>
      </c>
      <c r="M3107" s="369" cm="1">
        <f t="array" ref="M3107">+_xlfn.IFS((C3107&gt;='Resultats - informe'!$D$26)*(C3107&lt;='Resultats - informe'!$E$26),0,(C3107&gt;='Resultats - informe'!$D$27)*(C3107&lt;='Resultats - informe'!$E$27),0,(C3107&gt;='Resultats - informe'!$D$28)*(C3107&lt;='Resultats - informe'!$E$28),0,(C3107&gt;='Resultats - informe'!$D$29)*(C3107&lt;='Resultats - informe'!$E$29),0,1,1)</f>
        <v>0</v>
      </c>
      <c r="N3107" s="366">
        <f>+VLOOKUP(D3107,'Resultats - informe'!$Y$18:$AG$42,'Introducció dades consum'!K3107+1,0)</f>
        <v>0</v>
      </c>
      <c r="O3107" s="370" cm="1">
        <f t="array" ref="O3107">+_xlfn.SWITCH(MONTH(C3107),1,1,2,1,3,1,4,2,5,2,6,3,7,3,8,3,9,3,10,2,11,2,12,1,2)</f>
        <v>1</v>
      </c>
      <c r="P3107" s="43"/>
    </row>
    <row r="3108" spans="1:16" ht="18" x14ac:dyDescent="0.35">
      <c r="A3108" s="43"/>
      <c r="C3108" s="393"/>
      <c r="E3108" s="394"/>
      <c r="F3108" s="394">
        <v>0.23599999999999999</v>
      </c>
      <c r="G3108" s="394"/>
      <c r="H3108" s="8" t="s">
        <v>61</v>
      </c>
      <c r="I3108" s="368">
        <f t="shared" si="145"/>
        <v>0</v>
      </c>
      <c r="J3108" s="365">
        <f t="shared" si="144"/>
        <v>0</v>
      </c>
      <c r="K3108" s="369">
        <f t="shared" si="146"/>
        <v>6</v>
      </c>
      <c r="L3108" s="369">
        <f>+IF((C3108&gt;='Resultats - informe'!$E$16)*(C3108&lt;='Resultats - informe'!$G$16),1,0)</f>
        <v>1</v>
      </c>
      <c r="M3108" s="369" cm="1">
        <f t="array" ref="M3108">+_xlfn.IFS((C3108&gt;='Resultats - informe'!$D$26)*(C3108&lt;='Resultats - informe'!$E$26),0,(C3108&gt;='Resultats - informe'!$D$27)*(C3108&lt;='Resultats - informe'!$E$27),0,(C3108&gt;='Resultats - informe'!$D$28)*(C3108&lt;='Resultats - informe'!$E$28),0,(C3108&gt;='Resultats - informe'!$D$29)*(C3108&lt;='Resultats - informe'!$E$29),0,1,1)</f>
        <v>0</v>
      </c>
      <c r="N3108" s="366">
        <f>+VLOOKUP(D3108,'Resultats - informe'!$Y$18:$AG$42,'Introducció dades consum'!K3108+1,0)</f>
        <v>0</v>
      </c>
      <c r="O3108" s="370" cm="1">
        <f t="array" ref="O3108">+_xlfn.SWITCH(MONTH(C3108),1,1,2,1,3,1,4,2,5,2,6,3,7,3,8,3,9,3,10,2,11,2,12,1,2)</f>
        <v>1</v>
      </c>
      <c r="P3108" s="43"/>
    </row>
    <row r="3109" spans="1:16" ht="18" x14ac:dyDescent="0.35">
      <c r="A3109" s="43"/>
      <c r="C3109" s="393"/>
      <c r="E3109" s="394"/>
      <c r="F3109" s="394">
        <v>0.184</v>
      </c>
      <c r="G3109" s="394"/>
      <c r="H3109" s="8" t="s">
        <v>61</v>
      </c>
      <c r="I3109" s="368">
        <f t="shared" si="145"/>
        <v>0</v>
      </c>
      <c r="J3109" s="365">
        <f t="shared" si="144"/>
        <v>0</v>
      </c>
      <c r="K3109" s="369">
        <f t="shared" si="146"/>
        <v>6</v>
      </c>
      <c r="L3109" s="369">
        <f>+IF((C3109&gt;='Resultats - informe'!$E$16)*(C3109&lt;='Resultats - informe'!$G$16),1,0)</f>
        <v>1</v>
      </c>
      <c r="M3109" s="369" cm="1">
        <f t="array" ref="M3109">+_xlfn.IFS((C3109&gt;='Resultats - informe'!$D$26)*(C3109&lt;='Resultats - informe'!$E$26),0,(C3109&gt;='Resultats - informe'!$D$27)*(C3109&lt;='Resultats - informe'!$E$27),0,(C3109&gt;='Resultats - informe'!$D$28)*(C3109&lt;='Resultats - informe'!$E$28),0,(C3109&gt;='Resultats - informe'!$D$29)*(C3109&lt;='Resultats - informe'!$E$29),0,1,1)</f>
        <v>0</v>
      </c>
      <c r="N3109" s="366">
        <f>+VLOOKUP(D3109,'Resultats - informe'!$Y$18:$AG$42,'Introducció dades consum'!K3109+1,0)</f>
        <v>0</v>
      </c>
      <c r="O3109" s="370" cm="1">
        <f t="array" ref="O3109">+_xlfn.SWITCH(MONTH(C3109),1,1,2,1,3,1,4,2,5,2,6,3,7,3,8,3,9,3,10,2,11,2,12,1,2)</f>
        <v>1</v>
      </c>
      <c r="P3109" s="43"/>
    </row>
    <row r="3110" spans="1:16" ht="18" x14ac:dyDescent="0.35">
      <c r="A3110" s="43"/>
      <c r="C3110" s="393"/>
      <c r="E3110" s="394"/>
      <c r="F3110" s="394">
        <v>3.4510000000000001</v>
      </c>
      <c r="G3110" s="394"/>
      <c r="H3110" s="8" t="s">
        <v>235</v>
      </c>
      <c r="I3110" s="368">
        <f t="shared" si="145"/>
        <v>0</v>
      </c>
      <c r="J3110" s="365">
        <f t="shared" si="144"/>
        <v>0</v>
      </c>
      <c r="K3110" s="369">
        <f t="shared" si="146"/>
        <v>6</v>
      </c>
      <c r="L3110" s="369">
        <f>+IF((C3110&gt;='Resultats - informe'!$E$16)*(C3110&lt;='Resultats - informe'!$G$16),1,0)</f>
        <v>1</v>
      </c>
      <c r="M3110" s="369" cm="1">
        <f t="array" ref="M3110">+_xlfn.IFS((C3110&gt;='Resultats - informe'!$D$26)*(C3110&lt;='Resultats - informe'!$E$26),0,(C3110&gt;='Resultats - informe'!$D$27)*(C3110&lt;='Resultats - informe'!$E$27),0,(C3110&gt;='Resultats - informe'!$D$28)*(C3110&lt;='Resultats - informe'!$E$28),0,(C3110&gt;='Resultats - informe'!$D$29)*(C3110&lt;='Resultats - informe'!$E$29),0,1,1)</f>
        <v>0</v>
      </c>
      <c r="N3110" s="366">
        <f>+VLOOKUP(D3110,'Resultats - informe'!$Y$18:$AG$42,'Introducció dades consum'!K3110+1,0)</f>
        <v>0</v>
      </c>
      <c r="O3110" s="370" cm="1">
        <f t="array" ref="O3110">+_xlfn.SWITCH(MONTH(C3110),1,1,2,1,3,1,4,2,5,2,6,3,7,3,8,3,9,3,10,2,11,2,12,1,2)</f>
        <v>1</v>
      </c>
      <c r="P3110" s="43"/>
    </row>
    <row r="3111" spans="1:16" ht="18" x14ac:dyDescent="0.35">
      <c r="A3111" s="43"/>
      <c r="C3111" s="393"/>
      <c r="E3111" s="394"/>
      <c r="F3111" s="394">
        <v>3.5350000000000001</v>
      </c>
      <c r="G3111" s="394"/>
      <c r="H3111" s="8" t="s">
        <v>235</v>
      </c>
      <c r="I3111" s="368">
        <f t="shared" si="145"/>
        <v>0</v>
      </c>
      <c r="J3111" s="365">
        <f t="shared" si="144"/>
        <v>0</v>
      </c>
      <c r="K3111" s="369">
        <f t="shared" si="146"/>
        <v>6</v>
      </c>
      <c r="L3111" s="369">
        <f>+IF((C3111&gt;='Resultats - informe'!$E$16)*(C3111&lt;='Resultats - informe'!$G$16),1,0)</f>
        <v>1</v>
      </c>
      <c r="M3111" s="369" cm="1">
        <f t="array" ref="M3111">+_xlfn.IFS((C3111&gt;='Resultats - informe'!$D$26)*(C3111&lt;='Resultats - informe'!$E$26),0,(C3111&gt;='Resultats - informe'!$D$27)*(C3111&lt;='Resultats - informe'!$E$27),0,(C3111&gt;='Resultats - informe'!$D$28)*(C3111&lt;='Resultats - informe'!$E$28),0,(C3111&gt;='Resultats - informe'!$D$29)*(C3111&lt;='Resultats - informe'!$E$29),0,1,1)</f>
        <v>0</v>
      </c>
      <c r="N3111" s="366">
        <f>+VLOOKUP(D3111,'Resultats - informe'!$Y$18:$AG$42,'Introducció dades consum'!K3111+1,0)</f>
        <v>0</v>
      </c>
      <c r="O3111" s="370" cm="1">
        <f t="array" ref="O3111">+_xlfn.SWITCH(MONTH(C3111),1,1,2,1,3,1,4,2,5,2,6,3,7,3,8,3,9,3,10,2,11,2,12,1,2)</f>
        <v>1</v>
      </c>
      <c r="P3111" s="43"/>
    </row>
    <row r="3112" spans="1:16" ht="18" x14ac:dyDescent="0.35">
      <c r="A3112" s="43"/>
      <c r="C3112" s="393"/>
      <c r="E3112" s="394"/>
      <c r="F3112" s="394">
        <v>2.3969999999999998</v>
      </c>
      <c r="G3112" s="394"/>
      <c r="H3112" s="8" t="s">
        <v>61</v>
      </c>
      <c r="I3112" s="368">
        <f t="shared" si="145"/>
        <v>0</v>
      </c>
      <c r="J3112" s="365">
        <f t="shared" si="144"/>
        <v>0</v>
      </c>
      <c r="K3112" s="369">
        <f t="shared" si="146"/>
        <v>6</v>
      </c>
      <c r="L3112" s="369">
        <f>+IF((C3112&gt;='Resultats - informe'!$E$16)*(C3112&lt;='Resultats - informe'!$G$16),1,0)</f>
        <v>1</v>
      </c>
      <c r="M3112" s="369" cm="1">
        <f t="array" ref="M3112">+_xlfn.IFS((C3112&gt;='Resultats - informe'!$D$26)*(C3112&lt;='Resultats - informe'!$E$26),0,(C3112&gt;='Resultats - informe'!$D$27)*(C3112&lt;='Resultats - informe'!$E$27),0,(C3112&gt;='Resultats - informe'!$D$28)*(C3112&lt;='Resultats - informe'!$E$28),0,(C3112&gt;='Resultats - informe'!$D$29)*(C3112&lt;='Resultats - informe'!$E$29),0,1,1)</f>
        <v>0</v>
      </c>
      <c r="N3112" s="366">
        <f>+VLOOKUP(D3112,'Resultats - informe'!$Y$18:$AG$42,'Introducció dades consum'!K3112+1,0)</f>
        <v>0</v>
      </c>
      <c r="O3112" s="370" cm="1">
        <f t="array" ref="O3112">+_xlfn.SWITCH(MONTH(C3112),1,1,2,1,3,1,4,2,5,2,6,3,7,3,8,3,9,3,10,2,11,2,12,1,2)</f>
        <v>1</v>
      </c>
      <c r="P3112" s="43"/>
    </row>
    <row r="3113" spans="1:16" ht="18" x14ac:dyDescent="0.35">
      <c r="A3113" s="43"/>
      <c r="C3113" s="393"/>
      <c r="E3113" s="394"/>
      <c r="F3113" s="394">
        <v>3.9329999999999998</v>
      </c>
      <c r="G3113" s="394"/>
      <c r="H3113" s="8" t="s">
        <v>61</v>
      </c>
      <c r="I3113" s="368">
        <f t="shared" si="145"/>
        <v>0</v>
      </c>
      <c r="J3113" s="365">
        <f t="shared" si="144"/>
        <v>0</v>
      </c>
      <c r="K3113" s="369">
        <f t="shared" si="146"/>
        <v>6</v>
      </c>
      <c r="L3113" s="369">
        <f>+IF((C3113&gt;='Resultats - informe'!$E$16)*(C3113&lt;='Resultats - informe'!$G$16),1,0)</f>
        <v>1</v>
      </c>
      <c r="M3113" s="369" cm="1">
        <f t="array" ref="M3113">+_xlfn.IFS((C3113&gt;='Resultats - informe'!$D$26)*(C3113&lt;='Resultats - informe'!$E$26),0,(C3113&gt;='Resultats - informe'!$D$27)*(C3113&lt;='Resultats - informe'!$E$27),0,(C3113&gt;='Resultats - informe'!$D$28)*(C3113&lt;='Resultats - informe'!$E$28),0,(C3113&gt;='Resultats - informe'!$D$29)*(C3113&lt;='Resultats - informe'!$E$29),0,1,1)</f>
        <v>0</v>
      </c>
      <c r="N3113" s="366">
        <f>+VLOOKUP(D3113,'Resultats - informe'!$Y$18:$AG$42,'Introducció dades consum'!K3113+1,0)</f>
        <v>0</v>
      </c>
      <c r="O3113" s="370" cm="1">
        <f t="array" ref="O3113">+_xlfn.SWITCH(MONTH(C3113),1,1,2,1,3,1,4,2,5,2,6,3,7,3,8,3,9,3,10,2,11,2,12,1,2)</f>
        <v>1</v>
      </c>
      <c r="P3113" s="43"/>
    </row>
    <row r="3114" spans="1:16" ht="18" x14ac:dyDescent="0.35">
      <c r="A3114" s="43"/>
      <c r="C3114" s="393"/>
      <c r="E3114" s="394"/>
      <c r="F3114" s="394">
        <v>2.7589999999999999</v>
      </c>
      <c r="G3114" s="394"/>
      <c r="H3114" s="8" t="s">
        <v>235</v>
      </c>
      <c r="I3114" s="368">
        <f t="shared" si="145"/>
        <v>0</v>
      </c>
      <c r="J3114" s="365">
        <f t="shared" si="144"/>
        <v>0</v>
      </c>
      <c r="K3114" s="369">
        <f t="shared" si="146"/>
        <v>6</v>
      </c>
      <c r="L3114" s="369">
        <f>+IF((C3114&gt;='Resultats - informe'!$E$16)*(C3114&lt;='Resultats - informe'!$G$16),1,0)</f>
        <v>1</v>
      </c>
      <c r="M3114" s="369" cm="1">
        <f t="array" ref="M3114">+_xlfn.IFS((C3114&gt;='Resultats - informe'!$D$26)*(C3114&lt;='Resultats - informe'!$E$26),0,(C3114&gt;='Resultats - informe'!$D$27)*(C3114&lt;='Resultats - informe'!$E$27),0,(C3114&gt;='Resultats - informe'!$D$28)*(C3114&lt;='Resultats - informe'!$E$28),0,(C3114&gt;='Resultats - informe'!$D$29)*(C3114&lt;='Resultats - informe'!$E$29),0,1,1)</f>
        <v>0</v>
      </c>
      <c r="N3114" s="366">
        <f>+VLOOKUP(D3114,'Resultats - informe'!$Y$18:$AG$42,'Introducció dades consum'!K3114+1,0)</f>
        <v>0</v>
      </c>
      <c r="O3114" s="370" cm="1">
        <f t="array" ref="O3114">+_xlfn.SWITCH(MONTH(C3114),1,1,2,1,3,1,4,2,5,2,6,3,7,3,8,3,9,3,10,2,11,2,12,1,2)</f>
        <v>1</v>
      </c>
      <c r="P3114" s="43"/>
    </row>
    <row r="3115" spans="1:16" ht="18" x14ac:dyDescent="0.35">
      <c r="A3115" s="43"/>
      <c r="C3115" s="393"/>
      <c r="E3115" s="394"/>
      <c r="F3115" s="394">
        <v>1.899</v>
      </c>
      <c r="G3115" s="394"/>
      <c r="H3115" s="8" t="s">
        <v>235</v>
      </c>
      <c r="I3115" s="368">
        <f t="shared" si="145"/>
        <v>0</v>
      </c>
      <c r="J3115" s="365">
        <f t="shared" si="144"/>
        <v>0</v>
      </c>
      <c r="K3115" s="369">
        <f t="shared" si="146"/>
        <v>6</v>
      </c>
      <c r="L3115" s="369">
        <f>+IF((C3115&gt;='Resultats - informe'!$E$16)*(C3115&lt;='Resultats - informe'!$G$16),1,0)</f>
        <v>1</v>
      </c>
      <c r="M3115" s="369" cm="1">
        <f t="array" ref="M3115">+_xlfn.IFS((C3115&gt;='Resultats - informe'!$D$26)*(C3115&lt;='Resultats - informe'!$E$26),0,(C3115&gt;='Resultats - informe'!$D$27)*(C3115&lt;='Resultats - informe'!$E$27),0,(C3115&gt;='Resultats - informe'!$D$28)*(C3115&lt;='Resultats - informe'!$E$28),0,(C3115&gt;='Resultats - informe'!$D$29)*(C3115&lt;='Resultats - informe'!$E$29),0,1,1)</f>
        <v>0</v>
      </c>
      <c r="N3115" s="366">
        <f>+VLOOKUP(D3115,'Resultats - informe'!$Y$18:$AG$42,'Introducció dades consum'!K3115+1,0)</f>
        <v>0</v>
      </c>
      <c r="O3115" s="370" cm="1">
        <f t="array" ref="O3115">+_xlfn.SWITCH(MONTH(C3115),1,1,2,1,3,1,4,2,5,2,6,3,7,3,8,3,9,3,10,2,11,2,12,1,2)</f>
        <v>1</v>
      </c>
      <c r="P3115" s="43"/>
    </row>
    <row r="3116" spans="1:16" ht="18" x14ac:dyDescent="0.35">
      <c r="A3116" s="43"/>
      <c r="C3116" s="393"/>
      <c r="E3116" s="394"/>
      <c r="F3116" s="394">
        <v>1.3620000000000001</v>
      </c>
      <c r="G3116" s="394"/>
      <c r="H3116" s="8" t="s">
        <v>61</v>
      </c>
      <c r="I3116" s="368">
        <f t="shared" si="145"/>
        <v>0</v>
      </c>
      <c r="J3116" s="365">
        <f t="shared" si="144"/>
        <v>0</v>
      </c>
      <c r="K3116" s="369">
        <f t="shared" si="146"/>
        <v>6</v>
      </c>
      <c r="L3116" s="369">
        <f>+IF((C3116&gt;='Resultats - informe'!$E$16)*(C3116&lt;='Resultats - informe'!$G$16),1,0)</f>
        <v>1</v>
      </c>
      <c r="M3116" s="369" cm="1">
        <f t="array" ref="M3116">+_xlfn.IFS((C3116&gt;='Resultats - informe'!$D$26)*(C3116&lt;='Resultats - informe'!$E$26),0,(C3116&gt;='Resultats - informe'!$D$27)*(C3116&lt;='Resultats - informe'!$E$27),0,(C3116&gt;='Resultats - informe'!$D$28)*(C3116&lt;='Resultats - informe'!$E$28),0,(C3116&gt;='Resultats - informe'!$D$29)*(C3116&lt;='Resultats - informe'!$E$29),0,1,1)</f>
        <v>0</v>
      </c>
      <c r="N3116" s="366">
        <f>+VLOOKUP(D3116,'Resultats - informe'!$Y$18:$AG$42,'Introducció dades consum'!K3116+1,0)</f>
        <v>0</v>
      </c>
      <c r="O3116" s="370" cm="1">
        <f t="array" ref="O3116">+_xlfn.SWITCH(MONTH(C3116),1,1,2,1,3,1,4,2,5,2,6,3,7,3,8,3,9,3,10,2,11,2,12,1,2)</f>
        <v>1</v>
      </c>
      <c r="P3116" s="43"/>
    </row>
    <row r="3117" spans="1:16" ht="18" x14ac:dyDescent="0.35">
      <c r="A3117" s="43"/>
      <c r="C3117" s="393"/>
      <c r="E3117" s="394"/>
      <c r="F3117" s="394">
        <v>1.677</v>
      </c>
      <c r="G3117" s="394"/>
      <c r="H3117" s="8" t="s">
        <v>61</v>
      </c>
      <c r="I3117" s="368">
        <f t="shared" si="145"/>
        <v>0</v>
      </c>
      <c r="J3117" s="365">
        <f t="shared" si="144"/>
        <v>0</v>
      </c>
      <c r="K3117" s="369">
        <f t="shared" si="146"/>
        <v>6</v>
      </c>
      <c r="L3117" s="369">
        <f>+IF((C3117&gt;='Resultats - informe'!$E$16)*(C3117&lt;='Resultats - informe'!$G$16),1,0)</f>
        <v>1</v>
      </c>
      <c r="M3117" s="369" cm="1">
        <f t="array" ref="M3117">+_xlfn.IFS((C3117&gt;='Resultats - informe'!$D$26)*(C3117&lt;='Resultats - informe'!$E$26),0,(C3117&gt;='Resultats - informe'!$D$27)*(C3117&lt;='Resultats - informe'!$E$27),0,(C3117&gt;='Resultats - informe'!$D$28)*(C3117&lt;='Resultats - informe'!$E$28),0,(C3117&gt;='Resultats - informe'!$D$29)*(C3117&lt;='Resultats - informe'!$E$29),0,1,1)</f>
        <v>0</v>
      </c>
      <c r="N3117" s="366">
        <f>+VLOOKUP(D3117,'Resultats - informe'!$Y$18:$AG$42,'Introducció dades consum'!K3117+1,0)</f>
        <v>0</v>
      </c>
      <c r="O3117" s="370" cm="1">
        <f t="array" ref="O3117">+_xlfn.SWITCH(MONTH(C3117),1,1,2,1,3,1,4,2,5,2,6,3,7,3,8,3,9,3,10,2,11,2,12,1,2)</f>
        <v>1</v>
      </c>
      <c r="P3117" s="43"/>
    </row>
    <row r="3118" spans="1:16" ht="18" x14ac:dyDescent="0.35">
      <c r="A3118" s="43"/>
      <c r="C3118" s="393"/>
      <c r="E3118" s="394"/>
      <c r="F3118" s="394">
        <v>1.177</v>
      </c>
      <c r="G3118" s="394"/>
      <c r="H3118" s="8" t="s">
        <v>61</v>
      </c>
      <c r="I3118" s="368">
        <f t="shared" si="145"/>
        <v>0</v>
      </c>
      <c r="J3118" s="365">
        <f t="shared" si="144"/>
        <v>0</v>
      </c>
      <c r="K3118" s="369">
        <f t="shared" si="146"/>
        <v>6</v>
      </c>
      <c r="L3118" s="369">
        <f>+IF((C3118&gt;='Resultats - informe'!$E$16)*(C3118&lt;='Resultats - informe'!$G$16),1,0)</f>
        <v>1</v>
      </c>
      <c r="M3118" s="369" cm="1">
        <f t="array" ref="M3118">+_xlfn.IFS((C3118&gt;='Resultats - informe'!$D$26)*(C3118&lt;='Resultats - informe'!$E$26),0,(C3118&gt;='Resultats - informe'!$D$27)*(C3118&lt;='Resultats - informe'!$E$27),0,(C3118&gt;='Resultats - informe'!$D$28)*(C3118&lt;='Resultats - informe'!$E$28),0,(C3118&gt;='Resultats - informe'!$D$29)*(C3118&lt;='Resultats - informe'!$E$29),0,1,1)</f>
        <v>0</v>
      </c>
      <c r="N3118" s="366">
        <f>+VLOOKUP(D3118,'Resultats - informe'!$Y$18:$AG$42,'Introducció dades consum'!K3118+1,0)</f>
        <v>0</v>
      </c>
      <c r="O3118" s="370" cm="1">
        <f t="array" ref="O3118">+_xlfn.SWITCH(MONTH(C3118),1,1,2,1,3,1,4,2,5,2,6,3,7,3,8,3,9,3,10,2,11,2,12,1,2)</f>
        <v>1</v>
      </c>
      <c r="P3118" s="43"/>
    </row>
    <row r="3119" spans="1:16" ht="18" x14ac:dyDescent="0.35">
      <c r="A3119" s="43"/>
      <c r="C3119" s="393"/>
      <c r="E3119" s="394"/>
      <c r="F3119" s="394">
        <v>0</v>
      </c>
      <c r="G3119" s="394"/>
      <c r="H3119" s="8" t="s">
        <v>235</v>
      </c>
      <c r="I3119" s="368">
        <f t="shared" si="145"/>
        <v>0</v>
      </c>
      <c r="J3119" s="365">
        <f t="shared" si="144"/>
        <v>0</v>
      </c>
      <c r="K3119" s="369">
        <f t="shared" si="146"/>
        <v>6</v>
      </c>
      <c r="L3119" s="369">
        <f>+IF((C3119&gt;='Resultats - informe'!$E$16)*(C3119&lt;='Resultats - informe'!$G$16),1,0)</f>
        <v>1</v>
      </c>
      <c r="M3119" s="369" cm="1">
        <f t="array" ref="M3119">+_xlfn.IFS((C3119&gt;='Resultats - informe'!$D$26)*(C3119&lt;='Resultats - informe'!$E$26),0,(C3119&gt;='Resultats - informe'!$D$27)*(C3119&lt;='Resultats - informe'!$E$27),0,(C3119&gt;='Resultats - informe'!$D$28)*(C3119&lt;='Resultats - informe'!$E$28),0,(C3119&gt;='Resultats - informe'!$D$29)*(C3119&lt;='Resultats - informe'!$E$29),0,1,1)</f>
        <v>0</v>
      </c>
      <c r="N3119" s="366">
        <f>+VLOOKUP(D3119,'Resultats - informe'!$Y$18:$AG$42,'Introducció dades consum'!K3119+1,0)</f>
        <v>0</v>
      </c>
      <c r="O3119" s="370" cm="1">
        <f t="array" ref="O3119">+_xlfn.SWITCH(MONTH(C3119),1,1,2,1,3,1,4,2,5,2,6,3,7,3,8,3,9,3,10,2,11,2,12,1,2)</f>
        <v>1</v>
      </c>
      <c r="P3119" s="43"/>
    </row>
    <row r="3120" spans="1:16" ht="18" x14ac:dyDescent="0.35">
      <c r="A3120" s="43"/>
      <c r="C3120" s="393"/>
      <c r="E3120" s="394"/>
      <c r="F3120" s="394">
        <v>0</v>
      </c>
      <c r="G3120" s="394"/>
      <c r="H3120" s="8" t="s">
        <v>235</v>
      </c>
      <c r="I3120" s="368">
        <f t="shared" si="145"/>
        <v>0</v>
      </c>
      <c r="J3120" s="365">
        <f t="shared" si="144"/>
        <v>0</v>
      </c>
      <c r="K3120" s="369">
        <f t="shared" si="146"/>
        <v>6</v>
      </c>
      <c r="L3120" s="369">
        <f>+IF((C3120&gt;='Resultats - informe'!$E$16)*(C3120&lt;='Resultats - informe'!$G$16),1,0)</f>
        <v>1</v>
      </c>
      <c r="M3120" s="369" cm="1">
        <f t="array" ref="M3120">+_xlfn.IFS((C3120&gt;='Resultats - informe'!$D$26)*(C3120&lt;='Resultats - informe'!$E$26),0,(C3120&gt;='Resultats - informe'!$D$27)*(C3120&lt;='Resultats - informe'!$E$27),0,(C3120&gt;='Resultats - informe'!$D$28)*(C3120&lt;='Resultats - informe'!$E$28),0,(C3120&gt;='Resultats - informe'!$D$29)*(C3120&lt;='Resultats - informe'!$E$29),0,1,1)</f>
        <v>0</v>
      </c>
      <c r="N3120" s="366">
        <f>+VLOOKUP(D3120,'Resultats - informe'!$Y$18:$AG$42,'Introducció dades consum'!K3120+1,0)</f>
        <v>0</v>
      </c>
      <c r="O3120" s="370" cm="1">
        <f t="array" ref="O3120">+_xlfn.SWITCH(MONTH(C3120),1,1,2,1,3,1,4,2,5,2,6,3,7,3,8,3,9,3,10,2,11,2,12,1,2)</f>
        <v>1</v>
      </c>
      <c r="P3120" s="43"/>
    </row>
    <row r="3121" spans="1:16" ht="18" x14ac:dyDescent="0.35">
      <c r="A3121" s="43"/>
      <c r="C3121" s="393"/>
      <c r="E3121" s="394"/>
      <c r="F3121" s="394">
        <v>0</v>
      </c>
      <c r="G3121" s="394"/>
      <c r="H3121" s="8" t="s">
        <v>235</v>
      </c>
      <c r="I3121" s="368">
        <f t="shared" si="145"/>
        <v>0</v>
      </c>
      <c r="J3121" s="365">
        <f t="shared" si="144"/>
        <v>0</v>
      </c>
      <c r="K3121" s="369">
        <f t="shared" si="146"/>
        <v>6</v>
      </c>
      <c r="L3121" s="369">
        <f>+IF((C3121&gt;='Resultats - informe'!$E$16)*(C3121&lt;='Resultats - informe'!$G$16),1,0)</f>
        <v>1</v>
      </c>
      <c r="M3121" s="369" cm="1">
        <f t="array" ref="M3121">+_xlfn.IFS((C3121&gt;='Resultats - informe'!$D$26)*(C3121&lt;='Resultats - informe'!$E$26),0,(C3121&gt;='Resultats - informe'!$D$27)*(C3121&lt;='Resultats - informe'!$E$27),0,(C3121&gt;='Resultats - informe'!$D$28)*(C3121&lt;='Resultats - informe'!$E$28),0,(C3121&gt;='Resultats - informe'!$D$29)*(C3121&lt;='Resultats - informe'!$E$29),0,1,1)</f>
        <v>0</v>
      </c>
      <c r="N3121" s="366">
        <f>+VLOOKUP(D3121,'Resultats - informe'!$Y$18:$AG$42,'Introducció dades consum'!K3121+1,0)</f>
        <v>0</v>
      </c>
      <c r="O3121" s="370" cm="1">
        <f t="array" ref="O3121">+_xlfn.SWITCH(MONTH(C3121),1,1,2,1,3,1,4,2,5,2,6,3,7,3,8,3,9,3,10,2,11,2,12,1,2)</f>
        <v>1</v>
      </c>
      <c r="P3121" s="43"/>
    </row>
    <row r="3122" spans="1:16" ht="18" x14ac:dyDescent="0.35">
      <c r="A3122" s="43"/>
      <c r="C3122" s="393"/>
      <c r="E3122" s="394"/>
      <c r="F3122" s="394">
        <v>0</v>
      </c>
      <c r="G3122" s="394"/>
      <c r="H3122" s="8" t="s">
        <v>235</v>
      </c>
      <c r="I3122" s="368">
        <f t="shared" si="145"/>
        <v>0</v>
      </c>
      <c r="J3122" s="365">
        <f t="shared" si="144"/>
        <v>0</v>
      </c>
      <c r="K3122" s="369">
        <f t="shared" si="146"/>
        <v>6</v>
      </c>
      <c r="L3122" s="369">
        <f>+IF((C3122&gt;='Resultats - informe'!$E$16)*(C3122&lt;='Resultats - informe'!$G$16),1,0)</f>
        <v>1</v>
      </c>
      <c r="M3122" s="369" cm="1">
        <f t="array" ref="M3122">+_xlfn.IFS((C3122&gt;='Resultats - informe'!$D$26)*(C3122&lt;='Resultats - informe'!$E$26),0,(C3122&gt;='Resultats - informe'!$D$27)*(C3122&lt;='Resultats - informe'!$E$27),0,(C3122&gt;='Resultats - informe'!$D$28)*(C3122&lt;='Resultats - informe'!$E$28),0,(C3122&gt;='Resultats - informe'!$D$29)*(C3122&lt;='Resultats - informe'!$E$29),0,1,1)</f>
        <v>0</v>
      </c>
      <c r="N3122" s="366">
        <f>+VLOOKUP(D3122,'Resultats - informe'!$Y$18:$AG$42,'Introducció dades consum'!K3122+1,0)</f>
        <v>0</v>
      </c>
      <c r="O3122" s="370" cm="1">
        <f t="array" ref="O3122">+_xlfn.SWITCH(MONTH(C3122),1,1,2,1,3,1,4,2,5,2,6,3,7,3,8,3,9,3,10,2,11,2,12,1,2)</f>
        <v>1</v>
      </c>
      <c r="P3122" s="43"/>
    </row>
    <row r="3123" spans="1:16" ht="18" x14ac:dyDescent="0.35">
      <c r="A3123" s="43"/>
      <c r="C3123" s="393"/>
      <c r="E3123" s="394"/>
      <c r="F3123" s="394">
        <v>0</v>
      </c>
      <c r="G3123" s="394"/>
      <c r="H3123" s="8" t="s">
        <v>235</v>
      </c>
      <c r="I3123" s="368">
        <f t="shared" si="145"/>
        <v>0</v>
      </c>
      <c r="J3123" s="365">
        <f t="shared" si="144"/>
        <v>0</v>
      </c>
      <c r="K3123" s="369">
        <f t="shared" si="146"/>
        <v>6</v>
      </c>
      <c r="L3123" s="369">
        <f>+IF((C3123&gt;='Resultats - informe'!$E$16)*(C3123&lt;='Resultats - informe'!$G$16),1,0)</f>
        <v>1</v>
      </c>
      <c r="M3123" s="369" cm="1">
        <f t="array" ref="M3123">+_xlfn.IFS((C3123&gt;='Resultats - informe'!$D$26)*(C3123&lt;='Resultats - informe'!$E$26),0,(C3123&gt;='Resultats - informe'!$D$27)*(C3123&lt;='Resultats - informe'!$E$27),0,(C3123&gt;='Resultats - informe'!$D$28)*(C3123&lt;='Resultats - informe'!$E$28),0,(C3123&gt;='Resultats - informe'!$D$29)*(C3123&lt;='Resultats - informe'!$E$29),0,1,1)</f>
        <v>0</v>
      </c>
      <c r="N3123" s="366">
        <f>+VLOOKUP(D3123,'Resultats - informe'!$Y$18:$AG$42,'Introducció dades consum'!K3123+1,0)</f>
        <v>0</v>
      </c>
      <c r="O3123" s="370" cm="1">
        <f t="array" ref="O3123">+_xlfn.SWITCH(MONTH(C3123),1,1,2,1,3,1,4,2,5,2,6,3,7,3,8,3,9,3,10,2,11,2,12,1,2)</f>
        <v>1</v>
      </c>
      <c r="P3123" s="43"/>
    </row>
    <row r="3124" spans="1:16" ht="18" x14ac:dyDescent="0.35">
      <c r="A3124" s="43"/>
      <c r="C3124" s="393"/>
      <c r="E3124" s="394"/>
      <c r="F3124" s="394">
        <v>0</v>
      </c>
      <c r="G3124" s="394"/>
      <c r="H3124" s="8" t="s">
        <v>61</v>
      </c>
      <c r="I3124" s="368">
        <f t="shared" si="145"/>
        <v>0</v>
      </c>
      <c r="J3124" s="365">
        <f t="shared" si="144"/>
        <v>0</v>
      </c>
      <c r="K3124" s="369">
        <f t="shared" si="146"/>
        <v>6</v>
      </c>
      <c r="L3124" s="369">
        <f>+IF((C3124&gt;='Resultats - informe'!$E$16)*(C3124&lt;='Resultats - informe'!$G$16),1,0)</f>
        <v>1</v>
      </c>
      <c r="M3124" s="369" cm="1">
        <f t="array" ref="M3124">+_xlfn.IFS((C3124&gt;='Resultats - informe'!$D$26)*(C3124&lt;='Resultats - informe'!$E$26),0,(C3124&gt;='Resultats - informe'!$D$27)*(C3124&lt;='Resultats - informe'!$E$27),0,(C3124&gt;='Resultats - informe'!$D$28)*(C3124&lt;='Resultats - informe'!$E$28),0,(C3124&gt;='Resultats - informe'!$D$29)*(C3124&lt;='Resultats - informe'!$E$29),0,1,1)</f>
        <v>0</v>
      </c>
      <c r="N3124" s="366">
        <f>+VLOOKUP(D3124,'Resultats - informe'!$Y$18:$AG$42,'Introducció dades consum'!K3124+1,0)</f>
        <v>0</v>
      </c>
      <c r="O3124" s="370" cm="1">
        <f t="array" ref="O3124">+_xlfn.SWITCH(MONTH(C3124),1,1,2,1,3,1,4,2,5,2,6,3,7,3,8,3,9,3,10,2,11,2,12,1,2)</f>
        <v>1</v>
      </c>
      <c r="P3124" s="43"/>
    </row>
    <row r="3125" spans="1:16" ht="18" x14ac:dyDescent="0.35">
      <c r="A3125" s="43"/>
      <c r="C3125" s="393"/>
      <c r="E3125" s="394"/>
      <c r="F3125" s="394">
        <v>0</v>
      </c>
      <c r="G3125" s="394"/>
      <c r="H3125" s="8" t="s">
        <v>235</v>
      </c>
      <c r="I3125" s="368">
        <f t="shared" si="145"/>
        <v>0</v>
      </c>
      <c r="J3125" s="365">
        <f t="shared" si="144"/>
        <v>0</v>
      </c>
      <c r="K3125" s="369">
        <f t="shared" si="146"/>
        <v>6</v>
      </c>
      <c r="L3125" s="369">
        <f>+IF((C3125&gt;='Resultats - informe'!$E$16)*(C3125&lt;='Resultats - informe'!$G$16),1,0)</f>
        <v>1</v>
      </c>
      <c r="M3125" s="369" cm="1">
        <f t="array" ref="M3125">+_xlfn.IFS((C3125&gt;='Resultats - informe'!$D$26)*(C3125&lt;='Resultats - informe'!$E$26),0,(C3125&gt;='Resultats - informe'!$D$27)*(C3125&lt;='Resultats - informe'!$E$27),0,(C3125&gt;='Resultats - informe'!$D$28)*(C3125&lt;='Resultats - informe'!$E$28),0,(C3125&gt;='Resultats - informe'!$D$29)*(C3125&lt;='Resultats - informe'!$E$29),0,1,1)</f>
        <v>0</v>
      </c>
      <c r="N3125" s="366">
        <f>+VLOOKUP(D3125,'Resultats - informe'!$Y$18:$AG$42,'Introducció dades consum'!K3125+1,0)</f>
        <v>0</v>
      </c>
      <c r="O3125" s="370" cm="1">
        <f t="array" ref="O3125">+_xlfn.SWITCH(MONTH(C3125),1,1,2,1,3,1,4,2,5,2,6,3,7,3,8,3,9,3,10,2,11,2,12,1,2)</f>
        <v>1</v>
      </c>
      <c r="P3125" s="43"/>
    </row>
    <row r="3126" spans="1:16" ht="18" x14ac:dyDescent="0.35">
      <c r="A3126" s="43"/>
      <c r="C3126" s="393"/>
      <c r="E3126" s="394"/>
      <c r="F3126" s="394">
        <v>0</v>
      </c>
      <c r="G3126" s="394"/>
      <c r="H3126" s="8" t="s">
        <v>235</v>
      </c>
      <c r="I3126" s="368">
        <f t="shared" si="145"/>
        <v>0</v>
      </c>
      <c r="J3126" s="365">
        <f t="shared" si="144"/>
        <v>0</v>
      </c>
      <c r="K3126" s="369">
        <f t="shared" si="146"/>
        <v>6</v>
      </c>
      <c r="L3126" s="369">
        <f>+IF((C3126&gt;='Resultats - informe'!$E$16)*(C3126&lt;='Resultats - informe'!$G$16),1,0)</f>
        <v>1</v>
      </c>
      <c r="M3126" s="369" cm="1">
        <f t="array" ref="M3126">+_xlfn.IFS((C3126&gt;='Resultats - informe'!$D$26)*(C3126&lt;='Resultats - informe'!$E$26),0,(C3126&gt;='Resultats - informe'!$D$27)*(C3126&lt;='Resultats - informe'!$E$27),0,(C3126&gt;='Resultats - informe'!$D$28)*(C3126&lt;='Resultats - informe'!$E$28),0,(C3126&gt;='Resultats - informe'!$D$29)*(C3126&lt;='Resultats - informe'!$E$29),0,1,1)</f>
        <v>0</v>
      </c>
      <c r="N3126" s="366">
        <f>+VLOOKUP(D3126,'Resultats - informe'!$Y$18:$AG$42,'Introducció dades consum'!K3126+1,0)</f>
        <v>0</v>
      </c>
      <c r="O3126" s="370" cm="1">
        <f t="array" ref="O3126">+_xlfn.SWITCH(MONTH(C3126),1,1,2,1,3,1,4,2,5,2,6,3,7,3,8,3,9,3,10,2,11,2,12,1,2)</f>
        <v>1</v>
      </c>
      <c r="P3126" s="43"/>
    </row>
    <row r="3127" spans="1:16" ht="18" x14ac:dyDescent="0.35">
      <c r="A3127" s="43"/>
      <c r="C3127" s="393"/>
      <c r="E3127" s="394"/>
      <c r="F3127" s="394">
        <v>0</v>
      </c>
      <c r="G3127" s="394"/>
      <c r="H3127" s="8" t="s">
        <v>61</v>
      </c>
      <c r="I3127" s="368">
        <f t="shared" si="145"/>
        <v>0</v>
      </c>
      <c r="J3127" s="365">
        <f t="shared" si="144"/>
        <v>0</v>
      </c>
      <c r="K3127" s="369">
        <f t="shared" si="146"/>
        <v>6</v>
      </c>
      <c r="L3127" s="369">
        <f>+IF((C3127&gt;='Resultats - informe'!$E$16)*(C3127&lt;='Resultats - informe'!$G$16),1,0)</f>
        <v>1</v>
      </c>
      <c r="M3127" s="369" cm="1">
        <f t="array" ref="M3127">+_xlfn.IFS((C3127&gt;='Resultats - informe'!$D$26)*(C3127&lt;='Resultats - informe'!$E$26),0,(C3127&gt;='Resultats - informe'!$D$27)*(C3127&lt;='Resultats - informe'!$E$27),0,(C3127&gt;='Resultats - informe'!$D$28)*(C3127&lt;='Resultats - informe'!$E$28),0,(C3127&gt;='Resultats - informe'!$D$29)*(C3127&lt;='Resultats - informe'!$E$29),0,1,1)</f>
        <v>0</v>
      </c>
      <c r="N3127" s="366">
        <f>+VLOOKUP(D3127,'Resultats - informe'!$Y$18:$AG$42,'Introducció dades consum'!K3127+1,0)</f>
        <v>0</v>
      </c>
      <c r="O3127" s="370" cm="1">
        <f t="array" ref="O3127">+_xlfn.SWITCH(MONTH(C3127),1,1,2,1,3,1,4,2,5,2,6,3,7,3,8,3,9,3,10,2,11,2,12,1,2)</f>
        <v>1</v>
      </c>
      <c r="P3127" s="43"/>
    </row>
    <row r="3128" spans="1:16" ht="18" x14ac:dyDescent="0.35">
      <c r="A3128" s="43"/>
      <c r="C3128" s="393"/>
      <c r="E3128" s="394"/>
      <c r="F3128" s="394">
        <v>0</v>
      </c>
      <c r="G3128" s="394"/>
      <c r="H3128" s="8" t="s">
        <v>235</v>
      </c>
      <c r="I3128" s="368">
        <f t="shared" si="145"/>
        <v>0</v>
      </c>
      <c r="J3128" s="365">
        <f t="shared" si="144"/>
        <v>0</v>
      </c>
      <c r="K3128" s="369">
        <f t="shared" si="146"/>
        <v>6</v>
      </c>
      <c r="L3128" s="369">
        <f>+IF((C3128&gt;='Resultats - informe'!$E$16)*(C3128&lt;='Resultats - informe'!$G$16),1,0)</f>
        <v>1</v>
      </c>
      <c r="M3128" s="369" cm="1">
        <f t="array" ref="M3128">+_xlfn.IFS((C3128&gt;='Resultats - informe'!$D$26)*(C3128&lt;='Resultats - informe'!$E$26),0,(C3128&gt;='Resultats - informe'!$D$27)*(C3128&lt;='Resultats - informe'!$E$27),0,(C3128&gt;='Resultats - informe'!$D$28)*(C3128&lt;='Resultats - informe'!$E$28),0,(C3128&gt;='Resultats - informe'!$D$29)*(C3128&lt;='Resultats - informe'!$E$29),0,1,1)</f>
        <v>0</v>
      </c>
      <c r="N3128" s="366">
        <f>+VLOOKUP(D3128,'Resultats - informe'!$Y$18:$AG$42,'Introducció dades consum'!K3128+1,0)</f>
        <v>0</v>
      </c>
      <c r="O3128" s="370" cm="1">
        <f t="array" ref="O3128">+_xlfn.SWITCH(MONTH(C3128),1,1,2,1,3,1,4,2,5,2,6,3,7,3,8,3,9,3,10,2,11,2,12,1,2)</f>
        <v>1</v>
      </c>
      <c r="P3128" s="43"/>
    </row>
    <row r="3129" spans="1:16" ht="18" x14ac:dyDescent="0.35">
      <c r="A3129" s="43"/>
      <c r="C3129" s="393"/>
      <c r="E3129" s="394"/>
      <c r="F3129" s="394">
        <v>0.26500000000000001</v>
      </c>
      <c r="G3129" s="394"/>
      <c r="H3129" s="8" t="s">
        <v>235</v>
      </c>
      <c r="I3129" s="368">
        <f t="shared" si="145"/>
        <v>0</v>
      </c>
      <c r="J3129" s="365">
        <f t="shared" si="144"/>
        <v>0</v>
      </c>
      <c r="K3129" s="369">
        <f t="shared" si="146"/>
        <v>6</v>
      </c>
      <c r="L3129" s="369">
        <f>+IF((C3129&gt;='Resultats - informe'!$E$16)*(C3129&lt;='Resultats - informe'!$G$16),1,0)</f>
        <v>1</v>
      </c>
      <c r="M3129" s="369" cm="1">
        <f t="array" ref="M3129">+_xlfn.IFS((C3129&gt;='Resultats - informe'!$D$26)*(C3129&lt;='Resultats - informe'!$E$26),0,(C3129&gt;='Resultats - informe'!$D$27)*(C3129&lt;='Resultats - informe'!$E$27),0,(C3129&gt;='Resultats - informe'!$D$28)*(C3129&lt;='Resultats - informe'!$E$28),0,(C3129&gt;='Resultats - informe'!$D$29)*(C3129&lt;='Resultats - informe'!$E$29),0,1,1)</f>
        <v>0</v>
      </c>
      <c r="N3129" s="366">
        <f>+VLOOKUP(D3129,'Resultats - informe'!$Y$18:$AG$42,'Introducció dades consum'!K3129+1,0)</f>
        <v>0</v>
      </c>
      <c r="O3129" s="370" cm="1">
        <f t="array" ref="O3129">+_xlfn.SWITCH(MONTH(C3129),1,1,2,1,3,1,4,2,5,2,6,3,7,3,8,3,9,3,10,2,11,2,12,1,2)</f>
        <v>1</v>
      </c>
      <c r="P3129" s="43"/>
    </row>
    <row r="3130" spans="1:16" ht="18" x14ac:dyDescent="0.35">
      <c r="A3130" s="43"/>
      <c r="C3130" s="393"/>
      <c r="E3130" s="394"/>
      <c r="F3130" s="394">
        <v>0</v>
      </c>
      <c r="G3130" s="394"/>
      <c r="H3130" s="8" t="s">
        <v>61</v>
      </c>
      <c r="I3130" s="368">
        <f t="shared" si="145"/>
        <v>0</v>
      </c>
      <c r="J3130" s="365">
        <f t="shared" si="144"/>
        <v>0</v>
      </c>
      <c r="K3130" s="369">
        <f t="shared" si="146"/>
        <v>6</v>
      </c>
      <c r="L3130" s="369">
        <f>+IF((C3130&gt;='Resultats - informe'!$E$16)*(C3130&lt;='Resultats - informe'!$G$16),1,0)</f>
        <v>1</v>
      </c>
      <c r="M3130" s="369" cm="1">
        <f t="array" ref="M3130">+_xlfn.IFS((C3130&gt;='Resultats - informe'!$D$26)*(C3130&lt;='Resultats - informe'!$E$26),0,(C3130&gt;='Resultats - informe'!$D$27)*(C3130&lt;='Resultats - informe'!$E$27),0,(C3130&gt;='Resultats - informe'!$D$28)*(C3130&lt;='Resultats - informe'!$E$28),0,(C3130&gt;='Resultats - informe'!$D$29)*(C3130&lt;='Resultats - informe'!$E$29),0,1,1)</f>
        <v>0</v>
      </c>
      <c r="N3130" s="366">
        <f>+VLOOKUP(D3130,'Resultats - informe'!$Y$18:$AG$42,'Introducció dades consum'!K3130+1,0)</f>
        <v>0</v>
      </c>
      <c r="O3130" s="370" cm="1">
        <f t="array" ref="O3130">+_xlfn.SWITCH(MONTH(C3130),1,1,2,1,3,1,4,2,5,2,6,3,7,3,8,3,9,3,10,2,11,2,12,1,2)</f>
        <v>1</v>
      </c>
      <c r="P3130" s="43"/>
    </row>
    <row r="3131" spans="1:16" ht="18" x14ac:dyDescent="0.35">
      <c r="A3131" s="43"/>
      <c r="C3131" s="393"/>
      <c r="E3131" s="394"/>
      <c r="F3131" s="394">
        <v>0</v>
      </c>
      <c r="G3131" s="394"/>
      <c r="H3131" s="8" t="s">
        <v>61</v>
      </c>
      <c r="I3131" s="368">
        <f t="shared" si="145"/>
        <v>0</v>
      </c>
      <c r="J3131" s="365">
        <f t="shared" ref="J3131:J3194" si="147">+C3131</f>
        <v>0</v>
      </c>
      <c r="K3131" s="369">
        <f t="shared" si="146"/>
        <v>6</v>
      </c>
      <c r="L3131" s="369">
        <f>+IF((C3131&gt;='Resultats - informe'!$E$16)*(C3131&lt;='Resultats - informe'!$G$16),1,0)</f>
        <v>1</v>
      </c>
      <c r="M3131" s="369" cm="1">
        <f t="array" ref="M3131">+_xlfn.IFS((C3131&gt;='Resultats - informe'!$D$26)*(C3131&lt;='Resultats - informe'!$E$26),0,(C3131&gt;='Resultats - informe'!$D$27)*(C3131&lt;='Resultats - informe'!$E$27),0,(C3131&gt;='Resultats - informe'!$D$28)*(C3131&lt;='Resultats - informe'!$E$28),0,(C3131&gt;='Resultats - informe'!$D$29)*(C3131&lt;='Resultats - informe'!$E$29),0,1,1)</f>
        <v>0</v>
      </c>
      <c r="N3131" s="366">
        <f>+VLOOKUP(D3131,'Resultats - informe'!$Y$18:$AG$42,'Introducció dades consum'!K3131+1,0)</f>
        <v>0</v>
      </c>
      <c r="O3131" s="370" cm="1">
        <f t="array" ref="O3131">+_xlfn.SWITCH(MONTH(C3131),1,1,2,1,3,1,4,2,5,2,6,3,7,3,8,3,9,3,10,2,11,2,12,1,2)</f>
        <v>1</v>
      </c>
      <c r="P3131" s="43"/>
    </row>
    <row r="3132" spans="1:16" ht="18" x14ac:dyDescent="0.35">
      <c r="A3132" s="43"/>
      <c r="C3132" s="393"/>
      <c r="E3132" s="394"/>
      <c r="F3132" s="394">
        <v>0.60699999999999998</v>
      </c>
      <c r="G3132" s="394"/>
      <c r="H3132" s="8" t="s">
        <v>61</v>
      </c>
      <c r="I3132" s="368">
        <f t="shared" si="145"/>
        <v>0</v>
      </c>
      <c r="J3132" s="365">
        <f t="shared" si="147"/>
        <v>0</v>
      </c>
      <c r="K3132" s="369">
        <f t="shared" si="146"/>
        <v>6</v>
      </c>
      <c r="L3132" s="369">
        <f>+IF((C3132&gt;='Resultats - informe'!$E$16)*(C3132&lt;='Resultats - informe'!$G$16),1,0)</f>
        <v>1</v>
      </c>
      <c r="M3132" s="369" cm="1">
        <f t="array" ref="M3132">+_xlfn.IFS((C3132&gt;='Resultats - informe'!$D$26)*(C3132&lt;='Resultats - informe'!$E$26),0,(C3132&gt;='Resultats - informe'!$D$27)*(C3132&lt;='Resultats - informe'!$E$27),0,(C3132&gt;='Resultats - informe'!$D$28)*(C3132&lt;='Resultats - informe'!$E$28),0,(C3132&gt;='Resultats - informe'!$D$29)*(C3132&lt;='Resultats - informe'!$E$29),0,1,1)</f>
        <v>0</v>
      </c>
      <c r="N3132" s="366">
        <f>+VLOOKUP(D3132,'Resultats - informe'!$Y$18:$AG$42,'Introducció dades consum'!K3132+1,0)</f>
        <v>0</v>
      </c>
      <c r="O3132" s="370" cm="1">
        <f t="array" ref="O3132">+_xlfn.SWITCH(MONTH(C3132),1,1,2,1,3,1,4,2,5,2,6,3,7,3,8,3,9,3,10,2,11,2,12,1,2)</f>
        <v>1</v>
      </c>
      <c r="P3132" s="43"/>
    </row>
    <row r="3133" spans="1:16" ht="18" x14ac:dyDescent="0.35">
      <c r="A3133" s="43"/>
      <c r="C3133" s="393"/>
      <c r="E3133" s="394"/>
      <c r="F3133" s="394">
        <v>2.8340000000000001</v>
      </c>
      <c r="G3133" s="394"/>
      <c r="H3133" s="8" t="s">
        <v>61</v>
      </c>
      <c r="I3133" s="368">
        <f t="shared" si="145"/>
        <v>0</v>
      </c>
      <c r="J3133" s="365">
        <f t="shared" si="147"/>
        <v>0</v>
      </c>
      <c r="K3133" s="369">
        <f t="shared" si="146"/>
        <v>6</v>
      </c>
      <c r="L3133" s="369">
        <f>+IF((C3133&gt;='Resultats - informe'!$E$16)*(C3133&lt;='Resultats - informe'!$G$16),1,0)</f>
        <v>1</v>
      </c>
      <c r="M3133" s="369" cm="1">
        <f t="array" ref="M3133">+_xlfn.IFS((C3133&gt;='Resultats - informe'!$D$26)*(C3133&lt;='Resultats - informe'!$E$26),0,(C3133&gt;='Resultats - informe'!$D$27)*(C3133&lt;='Resultats - informe'!$E$27),0,(C3133&gt;='Resultats - informe'!$D$28)*(C3133&lt;='Resultats - informe'!$E$28),0,(C3133&gt;='Resultats - informe'!$D$29)*(C3133&lt;='Resultats - informe'!$E$29),0,1,1)</f>
        <v>0</v>
      </c>
      <c r="N3133" s="366">
        <f>+VLOOKUP(D3133,'Resultats - informe'!$Y$18:$AG$42,'Introducció dades consum'!K3133+1,0)</f>
        <v>0</v>
      </c>
      <c r="O3133" s="370" cm="1">
        <f t="array" ref="O3133">+_xlfn.SWITCH(MONTH(C3133),1,1,2,1,3,1,4,2,5,2,6,3,7,3,8,3,9,3,10,2,11,2,12,1,2)</f>
        <v>1</v>
      </c>
      <c r="P3133" s="43"/>
    </row>
    <row r="3134" spans="1:16" ht="18" x14ac:dyDescent="0.35">
      <c r="A3134" s="43"/>
      <c r="C3134" s="393"/>
      <c r="E3134" s="394"/>
      <c r="F3134" s="394">
        <v>4.9109999999999996</v>
      </c>
      <c r="G3134" s="394"/>
      <c r="H3134" s="8" t="s">
        <v>61</v>
      </c>
      <c r="I3134" s="368">
        <f t="shared" si="145"/>
        <v>0</v>
      </c>
      <c r="J3134" s="365">
        <f t="shared" si="147"/>
        <v>0</v>
      </c>
      <c r="K3134" s="369">
        <f t="shared" si="146"/>
        <v>6</v>
      </c>
      <c r="L3134" s="369">
        <f>+IF((C3134&gt;='Resultats - informe'!$E$16)*(C3134&lt;='Resultats - informe'!$G$16),1,0)</f>
        <v>1</v>
      </c>
      <c r="M3134" s="369" cm="1">
        <f t="array" ref="M3134">+_xlfn.IFS((C3134&gt;='Resultats - informe'!$D$26)*(C3134&lt;='Resultats - informe'!$E$26),0,(C3134&gt;='Resultats - informe'!$D$27)*(C3134&lt;='Resultats - informe'!$E$27),0,(C3134&gt;='Resultats - informe'!$D$28)*(C3134&lt;='Resultats - informe'!$E$28),0,(C3134&gt;='Resultats - informe'!$D$29)*(C3134&lt;='Resultats - informe'!$E$29),0,1,1)</f>
        <v>0</v>
      </c>
      <c r="N3134" s="366">
        <f>+VLOOKUP(D3134,'Resultats - informe'!$Y$18:$AG$42,'Introducció dades consum'!K3134+1,0)</f>
        <v>0</v>
      </c>
      <c r="O3134" s="370" cm="1">
        <f t="array" ref="O3134">+_xlfn.SWITCH(MONTH(C3134),1,1,2,1,3,1,4,2,5,2,6,3,7,3,8,3,9,3,10,2,11,2,12,1,2)</f>
        <v>1</v>
      </c>
      <c r="P3134" s="43"/>
    </row>
    <row r="3135" spans="1:16" ht="18" x14ac:dyDescent="0.35">
      <c r="A3135" s="43"/>
      <c r="C3135" s="393"/>
      <c r="E3135" s="394"/>
      <c r="F3135" s="394">
        <v>4.0220000000000002</v>
      </c>
      <c r="G3135" s="394"/>
      <c r="H3135" s="8" t="s">
        <v>235</v>
      </c>
      <c r="I3135" s="368">
        <f t="shared" si="145"/>
        <v>0</v>
      </c>
      <c r="J3135" s="365">
        <f t="shared" si="147"/>
        <v>0</v>
      </c>
      <c r="K3135" s="369">
        <f t="shared" si="146"/>
        <v>6</v>
      </c>
      <c r="L3135" s="369">
        <f>+IF((C3135&gt;='Resultats - informe'!$E$16)*(C3135&lt;='Resultats - informe'!$G$16),1,0)</f>
        <v>1</v>
      </c>
      <c r="M3135" s="369" cm="1">
        <f t="array" ref="M3135">+_xlfn.IFS((C3135&gt;='Resultats - informe'!$D$26)*(C3135&lt;='Resultats - informe'!$E$26),0,(C3135&gt;='Resultats - informe'!$D$27)*(C3135&lt;='Resultats - informe'!$E$27),0,(C3135&gt;='Resultats - informe'!$D$28)*(C3135&lt;='Resultats - informe'!$E$28),0,(C3135&gt;='Resultats - informe'!$D$29)*(C3135&lt;='Resultats - informe'!$E$29),0,1,1)</f>
        <v>0</v>
      </c>
      <c r="N3135" s="366">
        <f>+VLOOKUP(D3135,'Resultats - informe'!$Y$18:$AG$42,'Introducció dades consum'!K3135+1,0)</f>
        <v>0</v>
      </c>
      <c r="O3135" s="370" cm="1">
        <f t="array" ref="O3135">+_xlfn.SWITCH(MONTH(C3135),1,1,2,1,3,1,4,2,5,2,6,3,7,3,8,3,9,3,10,2,11,2,12,1,2)</f>
        <v>1</v>
      </c>
      <c r="P3135" s="43"/>
    </row>
    <row r="3136" spans="1:16" ht="18" x14ac:dyDescent="0.35">
      <c r="A3136" s="43"/>
      <c r="C3136" s="393"/>
      <c r="E3136" s="394"/>
      <c r="F3136" s="394">
        <v>3.899</v>
      </c>
      <c r="G3136" s="394"/>
      <c r="H3136" s="8" t="s">
        <v>235</v>
      </c>
      <c r="I3136" s="368">
        <f t="shared" si="145"/>
        <v>0</v>
      </c>
      <c r="J3136" s="365">
        <f t="shared" si="147"/>
        <v>0</v>
      </c>
      <c r="K3136" s="369">
        <f t="shared" si="146"/>
        <v>6</v>
      </c>
      <c r="L3136" s="369">
        <f>+IF((C3136&gt;='Resultats - informe'!$E$16)*(C3136&lt;='Resultats - informe'!$G$16),1,0)</f>
        <v>1</v>
      </c>
      <c r="M3136" s="369" cm="1">
        <f t="array" ref="M3136">+_xlfn.IFS((C3136&gt;='Resultats - informe'!$D$26)*(C3136&lt;='Resultats - informe'!$E$26),0,(C3136&gt;='Resultats - informe'!$D$27)*(C3136&lt;='Resultats - informe'!$E$27),0,(C3136&gt;='Resultats - informe'!$D$28)*(C3136&lt;='Resultats - informe'!$E$28),0,(C3136&gt;='Resultats - informe'!$D$29)*(C3136&lt;='Resultats - informe'!$E$29),0,1,1)</f>
        <v>0</v>
      </c>
      <c r="N3136" s="366">
        <f>+VLOOKUP(D3136,'Resultats - informe'!$Y$18:$AG$42,'Introducció dades consum'!K3136+1,0)</f>
        <v>0</v>
      </c>
      <c r="O3136" s="370" cm="1">
        <f t="array" ref="O3136">+_xlfn.SWITCH(MONTH(C3136),1,1,2,1,3,1,4,2,5,2,6,3,7,3,8,3,9,3,10,2,11,2,12,1,2)</f>
        <v>1</v>
      </c>
      <c r="P3136" s="43"/>
    </row>
    <row r="3137" spans="1:16" ht="18" x14ac:dyDescent="0.35">
      <c r="A3137" s="43"/>
      <c r="C3137" s="393"/>
      <c r="E3137" s="394"/>
      <c r="F3137" s="394">
        <v>3.4049999999999998</v>
      </c>
      <c r="G3137" s="394"/>
      <c r="H3137" s="8" t="s">
        <v>235</v>
      </c>
      <c r="I3137" s="368">
        <f t="shared" si="145"/>
        <v>0</v>
      </c>
      <c r="J3137" s="365">
        <f t="shared" si="147"/>
        <v>0</v>
      </c>
      <c r="K3137" s="369">
        <f t="shared" si="146"/>
        <v>6</v>
      </c>
      <c r="L3137" s="369">
        <f>+IF((C3137&gt;='Resultats - informe'!$E$16)*(C3137&lt;='Resultats - informe'!$G$16),1,0)</f>
        <v>1</v>
      </c>
      <c r="M3137" s="369" cm="1">
        <f t="array" ref="M3137">+_xlfn.IFS((C3137&gt;='Resultats - informe'!$D$26)*(C3137&lt;='Resultats - informe'!$E$26),0,(C3137&gt;='Resultats - informe'!$D$27)*(C3137&lt;='Resultats - informe'!$E$27),0,(C3137&gt;='Resultats - informe'!$D$28)*(C3137&lt;='Resultats - informe'!$E$28),0,(C3137&gt;='Resultats - informe'!$D$29)*(C3137&lt;='Resultats - informe'!$E$29),0,1,1)</f>
        <v>0</v>
      </c>
      <c r="N3137" s="366">
        <f>+VLOOKUP(D3137,'Resultats - informe'!$Y$18:$AG$42,'Introducció dades consum'!K3137+1,0)</f>
        <v>0</v>
      </c>
      <c r="O3137" s="370" cm="1">
        <f t="array" ref="O3137">+_xlfn.SWITCH(MONTH(C3137),1,1,2,1,3,1,4,2,5,2,6,3,7,3,8,3,9,3,10,2,11,2,12,1,2)</f>
        <v>1</v>
      </c>
      <c r="P3137" s="43"/>
    </row>
    <row r="3138" spans="1:16" ht="18" x14ac:dyDescent="0.35">
      <c r="A3138" s="43"/>
      <c r="C3138" s="393"/>
      <c r="E3138" s="394"/>
      <c r="F3138" s="394">
        <v>4.5650000000000004</v>
      </c>
      <c r="G3138" s="394"/>
      <c r="H3138" s="8" t="s">
        <v>61</v>
      </c>
      <c r="I3138" s="368">
        <f t="shared" si="145"/>
        <v>0</v>
      </c>
      <c r="J3138" s="365">
        <f t="shared" si="147"/>
        <v>0</v>
      </c>
      <c r="K3138" s="369">
        <f t="shared" si="146"/>
        <v>6</v>
      </c>
      <c r="L3138" s="369">
        <f>+IF((C3138&gt;='Resultats - informe'!$E$16)*(C3138&lt;='Resultats - informe'!$G$16),1,0)</f>
        <v>1</v>
      </c>
      <c r="M3138" s="369" cm="1">
        <f t="array" ref="M3138">+_xlfn.IFS((C3138&gt;='Resultats - informe'!$D$26)*(C3138&lt;='Resultats - informe'!$E$26),0,(C3138&gt;='Resultats - informe'!$D$27)*(C3138&lt;='Resultats - informe'!$E$27),0,(C3138&gt;='Resultats - informe'!$D$28)*(C3138&lt;='Resultats - informe'!$E$28),0,(C3138&gt;='Resultats - informe'!$D$29)*(C3138&lt;='Resultats - informe'!$E$29),0,1,1)</f>
        <v>0</v>
      </c>
      <c r="N3138" s="366">
        <f>+VLOOKUP(D3138,'Resultats - informe'!$Y$18:$AG$42,'Introducció dades consum'!K3138+1,0)</f>
        <v>0</v>
      </c>
      <c r="O3138" s="370" cm="1">
        <f t="array" ref="O3138">+_xlfn.SWITCH(MONTH(C3138),1,1,2,1,3,1,4,2,5,2,6,3,7,3,8,3,9,3,10,2,11,2,12,1,2)</f>
        <v>1</v>
      </c>
      <c r="P3138" s="43"/>
    </row>
    <row r="3139" spans="1:16" ht="18" x14ac:dyDescent="0.35">
      <c r="A3139" s="43"/>
      <c r="C3139" s="393"/>
      <c r="E3139" s="394"/>
      <c r="F3139" s="394">
        <v>2.7360000000000002</v>
      </c>
      <c r="G3139" s="394"/>
      <c r="H3139" s="8" t="s">
        <v>61</v>
      </c>
      <c r="I3139" s="368">
        <f t="shared" si="145"/>
        <v>0</v>
      </c>
      <c r="J3139" s="365">
        <f t="shared" si="147"/>
        <v>0</v>
      </c>
      <c r="K3139" s="369">
        <f t="shared" si="146"/>
        <v>6</v>
      </c>
      <c r="L3139" s="369">
        <f>+IF((C3139&gt;='Resultats - informe'!$E$16)*(C3139&lt;='Resultats - informe'!$G$16),1,0)</f>
        <v>1</v>
      </c>
      <c r="M3139" s="369" cm="1">
        <f t="array" ref="M3139">+_xlfn.IFS((C3139&gt;='Resultats - informe'!$D$26)*(C3139&lt;='Resultats - informe'!$E$26),0,(C3139&gt;='Resultats - informe'!$D$27)*(C3139&lt;='Resultats - informe'!$E$27),0,(C3139&gt;='Resultats - informe'!$D$28)*(C3139&lt;='Resultats - informe'!$E$28),0,(C3139&gt;='Resultats - informe'!$D$29)*(C3139&lt;='Resultats - informe'!$E$29),0,1,1)</f>
        <v>0</v>
      </c>
      <c r="N3139" s="366">
        <f>+VLOOKUP(D3139,'Resultats - informe'!$Y$18:$AG$42,'Introducció dades consum'!K3139+1,0)</f>
        <v>0</v>
      </c>
      <c r="O3139" s="370" cm="1">
        <f t="array" ref="O3139">+_xlfn.SWITCH(MONTH(C3139),1,1,2,1,3,1,4,2,5,2,6,3,7,3,8,3,9,3,10,2,11,2,12,1,2)</f>
        <v>1</v>
      </c>
      <c r="P3139" s="43"/>
    </row>
    <row r="3140" spans="1:16" ht="18" x14ac:dyDescent="0.35">
      <c r="A3140" s="43"/>
      <c r="C3140" s="393"/>
      <c r="E3140" s="394"/>
      <c r="F3140" s="394">
        <v>1.5880000000000001</v>
      </c>
      <c r="G3140" s="394"/>
      <c r="H3140" s="8" t="s">
        <v>61</v>
      </c>
      <c r="I3140" s="368">
        <f t="shared" si="145"/>
        <v>0</v>
      </c>
      <c r="J3140" s="365">
        <f t="shared" si="147"/>
        <v>0</v>
      </c>
      <c r="K3140" s="369">
        <f t="shared" si="146"/>
        <v>6</v>
      </c>
      <c r="L3140" s="369">
        <f>+IF((C3140&gt;='Resultats - informe'!$E$16)*(C3140&lt;='Resultats - informe'!$G$16),1,0)</f>
        <v>1</v>
      </c>
      <c r="M3140" s="369" cm="1">
        <f t="array" ref="M3140">+_xlfn.IFS((C3140&gt;='Resultats - informe'!$D$26)*(C3140&lt;='Resultats - informe'!$E$26),0,(C3140&gt;='Resultats - informe'!$D$27)*(C3140&lt;='Resultats - informe'!$E$27),0,(C3140&gt;='Resultats - informe'!$D$28)*(C3140&lt;='Resultats - informe'!$E$28),0,(C3140&gt;='Resultats - informe'!$D$29)*(C3140&lt;='Resultats - informe'!$E$29),0,1,1)</f>
        <v>0</v>
      </c>
      <c r="N3140" s="366">
        <f>+VLOOKUP(D3140,'Resultats - informe'!$Y$18:$AG$42,'Introducció dades consum'!K3140+1,0)</f>
        <v>0</v>
      </c>
      <c r="O3140" s="370" cm="1">
        <f t="array" ref="O3140">+_xlfn.SWITCH(MONTH(C3140),1,1,2,1,3,1,4,2,5,2,6,3,7,3,8,3,9,3,10,2,11,2,12,1,2)</f>
        <v>1</v>
      </c>
      <c r="P3140" s="43"/>
    </row>
    <row r="3141" spans="1:16" ht="18" x14ac:dyDescent="0.35">
      <c r="A3141" s="43"/>
      <c r="C3141" s="393"/>
      <c r="E3141" s="394"/>
      <c r="F3141" s="394">
        <v>0.29799999999999999</v>
      </c>
      <c r="G3141" s="394"/>
      <c r="H3141" s="8" t="s">
        <v>235</v>
      </c>
      <c r="I3141" s="368">
        <f t="shared" si="145"/>
        <v>0</v>
      </c>
      <c r="J3141" s="365">
        <f t="shared" si="147"/>
        <v>0</v>
      </c>
      <c r="K3141" s="369">
        <f t="shared" si="146"/>
        <v>6</v>
      </c>
      <c r="L3141" s="369">
        <f>+IF((C3141&gt;='Resultats - informe'!$E$16)*(C3141&lt;='Resultats - informe'!$G$16),1,0)</f>
        <v>1</v>
      </c>
      <c r="M3141" s="369" cm="1">
        <f t="array" ref="M3141">+_xlfn.IFS((C3141&gt;='Resultats - informe'!$D$26)*(C3141&lt;='Resultats - informe'!$E$26),0,(C3141&gt;='Resultats - informe'!$D$27)*(C3141&lt;='Resultats - informe'!$E$27),0,(C3141&gt;='Resultats - informe'!$D$28)*(C3141&lt;='Resultats - informe'!$E$28),0,(C3141&gt;='Resultats - informe'!$D$29)*(C3141&lt;='Resultats - informe'!$E$29),0,1,1)</f>
        <v>0</v>
      </c>
      <c r="N3141" s="366">
        <f>+VLOOKUP(D3141,'Resultats - informe'!$Y$18:$AG$42,'Introducció dades consum'!K3141+1,0)</f>
        <v>0</v>
      </c>
      <c r="O3141" s="370" cm="1">
        <f t="array" ref="O3141">+_xlfn.SWITCH(MONTH(C3141),1,1,2,1,3,1,4,2,5,2,6,3,7,3,8,3,9,3,10,2,11,2,12,1,2)</f>
        <v>1</v>
      </c>
      <c r="P3141" s="43"/>
    </row>
    <row r="3142" spans="1:16" ht="18" x14ac:dyDescent="0.35">
      <c r="A3142" s="43"/>
      <c r="C3142" s="393"/>
      <c r="E3142" s="394"/>
      <c r="F3142" s="394">
        <v>0</v>
      </c>
      <c r="G3142" s="394"/>
      <c r="H3142" s="8" t="s">
        <v>235</v>
      </c>
      <c r="I3142" s="368">
        <f t="shared" ref="I3142:I3205" si="148">+E3142+G3142</f>
        <v>0</v>
      </c>
      <c r="J3142" s="365">
        <f t="shared" si="147"/>
        <v>0</v>
      </c>
      <c r="K3142" s="369">
        <f t="shared" ref="K3142:K3205" si="149">+WEEKDAY(C3142,2)</f>
        <v>6</v>
      </c>
      <c r="L3142" s="369">
        <f>+IF((C3142&gt;='Resultats - informe'!$E$16)*(C3142&lt;='Resultats - informe'!$G$16),1,0)</f>
        <v>1</v>
      </c>
      <c r="M3142" s="369" cm="1">
        <f t="array" ref="M3142">+_xlfn.IFS((C3142&gt;='Resultats - informe'!$D$26)*(C3142&lt;='Resultats - informe'!$E$26),0,(C3142&gt;='Resultats - informe'!$D$27)*(C3142&lt;='Resultats - informe'!$E$27),0,(C3142&gt;='Resultats - informe'!$D$28)*(C3142&lt;='Resultats - informe'!$E$28),0,(C3142&gt;='Resultats - informe'!$D$29)*(C3142&lt;='Resultats - informe'!$E$29),0,1,1)</f>
        <v>0</v>
      </c>
      <c r="N3142" s="366">
        <f>+VLOOKUP(D3142,'Resultats - informe'!$Y$18:$AG$42,'Introducció dades consum'!K3142+1,0)</f>
        <v>0</v>
      </c>
      <c r="O3142" s="370" cm="1">
        <f t="array" ref="O3142">+_xlfn.SWITCH(MONTH(C3142),1,1,2,1,3,1,4,2,5,2,6,3,7,3,8,3,9,3,10,2,11,2,12,1,2)</f>
        <v>1</v>
      </c>
      <c r="P3142" s="43"/>
    </row>
    <row r="3143" spans="1:16" ht="18" x14ac:dyDescent="0.35">
      <c r="A3143" s="43"/>
      <c r="C3143" s="393"/>
      <c r="E3143" s="394"/>
      <c r="F3143" s="394">
        <v>0</v>
      </c>
      <c r="G3143" s="394"/>
      <c r="H3143" s="8" t="s">
        <v>235</v>
      </c>
      <c r="I3143" s="368">
        <f t="shared" si="148"/>
        <v>0</v>
      </c>
      <c r="J3143" s="365">
        <f t="shared" si="147"/>
        <v>0</v>
      </c>
      <c r="K3143" s="369">
        <f t="shared" si="149"/>
        <v>6</v>
      </c>
      <c r="L3143" s="369">
        <f>+IF((C3143&gt;='Resultats - informe'!$E$16)*(C3143&lt;='Resultats - informe'!$G$16),1,0)</f>
        <v>1</v>
      </c>
      <c r="M3143" s="369" cm="1">
        <f t="array" ref="M3143">+_xlfn.IFS((C3143&gt;='Resultats - informe'!$D$26)*(C3143&lt;='Resultats - informe'!$E$26),0,(C3143&gt;='Resultats - informe'!$D$27)*(C3143&lt;='Resultats - informe'!$E$27),0,(C3143&gt;='Resultats - informe'!$D$28)*(C3143&lt;='Resultats - informe'!$E$28),0,(C3143&gt;='Resultats - informe'!$D$29)*(C3143&lt;='Resultats - informe'!$E$29),0,1,1)</f>
        <v>0</v>
      </c>
      <c r="N3143" s="366">
        <f>+VLOOKUP(D3143,'Resultats - informe'!$Y$18:$AG$42,'Introducció dades consum'!K3143+1,0)</f>
        <v>0</v>
      </c>
      <c r="O3143" s="370" cm="1">
        <f t="array" ref="O3143">+_xlfn.SWITCH(MONTH(C3143),1,1,2,1,3,1,4,2,5,2,6,3,7,3,8,3,9,3,10,2,11,2,12,1,2)</f>
        <v>1</v>
      </c>
      <c r="P3143" s="43"/>
    </row>
    <row r="3144" spans="1:16" ht="18" x14ac:dyDescent="0.35">
      <c r="A3144" s="43"/>
      <c r="C3144" s="393"/>
      <c r="E3144" s="394"/>
      <c r="F3144" s="394">
        <v>0</v>
      </c>
      <c r="G3144" s="394"/>
      <c r="H3144" s="8" t="s">
        <v>235</v>
      </c>
      <c r="I3144" s="368">
        <f t="shared" si="148"/>
        <v>0</v>
      </c>
      <c r="J3144" s="365">
        <f t="shared" si="147"/>
        <v>0</v>
      </c>
      <c r="K3144" s="369">
        <f t="shared" si="149"/>
        <v>6</v>
      </c>
      <c r="L3144" s="369">
        <f>+IF((C3144&gt;='Resultats - informe'!$E$16)*(C3144&lt;='Resultats - informe'!$G$16),1,0)</f>
        <v>1</v>
      </c>
      <c r="M3144" s="369" cm="1">
        <f t="array" ref="M3144">+_xlfn.IFS((C3144&gt;='Resultats - informe'!$D$26)*(C3144&lt;='Resultats - informe'!$E$26),0,(C3144&gt;='Resultats - informe'!$D$27)*(C3144&lt;='Resultats - informe'!$E$27),0,(C3144&gt;='Resultats - informe'!$D$28)*(C3144&lt;='Resultats - informe'!$E$28),0,(C3144&gt;='Resultats - informe'!$D$29)*(C3144&lt;='Resultats - informe'!$E$29),0,1,1)</f>
        <v>0</v>
      </c>
      <c r="N3144" s="366">
        <f>+VLOOKUP(D3144,'Resultats - informe'!$Y$18:$AG$42,'Introducció dades consum'!K3144+1,0)</f>
        <v>0</v>
      </c>
      <c r="O3144" s="370" cm="1">
        <f t="array" ref="O3144">+_xlfn.SWITCH(MONTH(C3144),1,1,2,1,3,1,4,2,5,2,6,3,7,3,8,3,9,3,10,2,11,2,12,1,2)</f>
        <v>1</v>
      </c>
      <c r="P3144" s="43"/>
    </row>
    <row r="3145" spans="1:16" ht="18" x14ac:dyDescent="0.35">
      <c r="A3145" s="43"/>
      <c r="C3145" s="393"/>
      <c r="E3145" s="394"/>
      <c r="F3145" s="394">
        <v>0</v>
      </c>
      <c r="G3145" s="394"/>
      <c r="H3145" s="8" t="s">
        <v>235</v>
      </c>
      <c r="I3145" s="368">
        <f t="shared" si="148"/>
        <v>0</v>
      </c>
      <c r="J3145" s="365">
        <f t="shared" si="147"/>
        <v>0</v>
      </c>
      <c r="K3145" s="369">
        <f t="shared" si="149"/>
        <v>6</v>
      </c>
      <c r="L3145" s="369">
        <f>+IF((C3145&gt;='Resultats - informe'!$E$16)*(C3145&lt;='Resultats - informe'!$G$16),1,0)</f>
        <v>1</v>
      </c>
      <c r="M3145" s="369" cm="1">
        <f t="array" ref="M3145">+_xlfn.IFS((C3145&gt;='Resultats - informe'!$D$26)*(C3145&lt;='Resultats - informe'!$E$26),0,(C3145&gt;='Resultats - informe'!$D$27)*(C3145&lt;='Resultats - informe'!$E$27),0,(C3145&gt;='Resultats - informe'!$D$28)*(C3145&lt;='Resultats - informe'!$E$28),0,(C3145&gt;='Resultats - informe'!$D$29)*(C3145&lt;='Resultats - informe'!$E$29),0,1,1)</f>
        <v>0</v>
      </c>
      <c r="N3145" s="366">
        <f>+VLOOKUP(D3145,'Resultats - informe'!$Y$18:$AG$42,'Introducció dades consum'!K3145+1,0)</f>
        <v>0</v>
      </c>
      <c r="O3145" s="370" cm="1">
        <f t="array" ref="O3145">+_xlfn.SWITCH(MONTH(C3145),1,1,2,1,3,1,4,2,5,2,6,3,7,3,8,3,9,3,10,2,11,2,12,1,2)</f>
        <v>1</v>
      </c>
      <c r="P3145" s="43"/>
    </row>
    <row r="3146" spans="1:16" ht="18" x14ac:dyDescent="0.35">
      <c r="A3146" s="43"/>
      <c r="C3146" s="393"/>
      <c r="E3146" s="394"/>
      <c r="F3146" s="394">
        <v>0</v>
      </c>
      <c r="G3146" s="394"/>
      <c r="H3146" s="8" t="s">
        <v>235</v>
      </c>
      <c r="I3146" s="368">
        <f t="shared" si="148"/>
        <v>0</v>
      </c>
      <c r="J3146" s="365">
        <f t="shared" si="147"/>
        <v>0</v>
      </c>
      <c r="K3146" s="369">
        <f t="shared" si="149"/>
        <v>6</v>
      </c>
      <c r="L3146" s="369">
        <f>+IF((C3146&gt;='Resultats - informe'!$E$16)*(C3146&lt;='Resultats - informe'!$G$16),1,0)</f>
        <v>1</v>
      </c>
      <c r="M3146" s="369" cm="1">
        <f t="array" ref="M3146">+_xlfn.IFS((C3146&gt;='Resultats - informe'!$D$26)*(C3146&lt;='Resultats - informe'!$E$26),0,(C3146&gt;='Resultats - informe'!$D$27)*(C3146&lt;='Resultats - informe'!$E$27),0,(C3146&gt;='Resultats - informe'!$D$28)*(C3146&lt;='Resultats - informe'!$E$28),0,(C3146&gt;='Resultats - informe'!$D$29)*(C3146&lt;='Resultats - informe'!$E$29),0,1,1)</f>
        <v>0</v>
      </c>
      <c r="N3146" s="366">
        <f>+VLOOKUP(D3146,'Resultats - informe'!$Y$18:$AG$42,'Introducció dades consum'!K3146+1,0)</f>
        <v>0</v>
      </c>
      <c r="O3146" s="370" cm="1">
        <f t="array" ref="O3146">+_xlfn.SWITCH(MONTH(C3146),1,1,2,1,3,1,4,2,5,2,6,3,7,3,8,3,9,3,10,2,11,2,12,1,2)</f>
        <v>1</v>
      </c>
      <c r="P3146" s="43"/>
    </row>
    <row r="3147" spans="1:16" ht="18" x14ac:dyDescent="0.35">
      <c r="A3147" s="43"/>
      <c r="C3147" s="393"/>
      <c r="E3147" s="394"/>
      <c r="F3147" s="394">
        <v>0</v>
      </c>
      <c r="G3147" s="394"/>
      <c r="H3147" s="8" t="s">
        <v>235</v>
      </c>
      <c r="I3147" s="368">
        <f t="shared" si="148"/>
        <v>0</v>
      </c>
      <c r="J3147" s="365">
        <f t="shared" si="147"/>
        <v>0</v>
      </c>
      <c r="K3147" s="369">
        <f t="shared" si="149"/>
        <v>6</v>
      </c>
      <c r="L3147" s="369">
        <f>+IF((C3147&gt;='Resultats - informe'!$E$16)*(C3147&lt;='Resultats - informe'!$G$16),1,0)</f>
        <v>1</v>
      </c>
      <c r="M3147" s="369" cm="1">
        <f t="array" ref="M3147">+_xlfn.IFS((C3147&gt;='Resultats - informe'!$D$26)*(C3147&lt;='Resultats - informe'!$E$26),0,(C3147&gt;='Resultats - informe'!$D$27)*(C3147&lt;='Resultats - informe'!$E$27),0,(C3147&gt;='Resultats - informe'!$D$28)*(C3147&lt;='Resultats - informe'!$E$28),0,(C3147&gt;='Resultats - informe'!$D$29)*(C3147&lt;='Resultats - informe'!$E$29),0,1,1)</f>
        <v>0</v>
      </c>
      <c r="N3147" s="366">
        <f>+VLOOKUP(D3147,'Resultats - informe'!$Y$18:$AG$42,'Introducció dades consum'!K3147+1,0)</f>
        <v>0</v>
      </c>
      <c r="O3147" s="370" cm="1">
        <f t="array" ref="O3147">+_xlfn.SWITCH(MONTH(C3147),1,1,2,1,3,1,4,2,5,2,6,3,7,3,8,3,9,3,10,2,11,2,12,1,2)</f>
        <v>1</v>
      </c>
      <c r="P3147" s="43"/>
    </row>
    <row r="3148" spans="1:16" ht="18" x14ac:dyDescent="0.35">
      <c r="A3148" s="43"/>
      <c r="C3148" s="393"/>
      <c r="E3148" s="394"/>
      <c r="F3148" s="394">
        <v>0</v>
      </c>
      <c r="G3148" s="394"/>
      <c r="H3148" s="8" t="s">
        <v>235</v>
      </c>
      <c r="I3148" s="368">
        <f t="shared" si="148"/>
        <v>0</v>
      </c>
      <c r="J3148" s="365">
        <f t="shared" si="147"/>
        <v>0</v>
      </c>
      <c r="K3148" s="369">
        <f t="shared" si="149"/>
        <v>6</v>
      </c>
      <c r="L3148" s="369">
        <f>+IF((C3148&gt;='Resultats - informe'!$E$16)*(C3148&lt;='Resultats - informe'!$G$16),1,0)</f>
        <v>1</v>
      </c>
      <c r="M3148" s="369" cm="1">
        <f t="array" ref="M3148">+_xlfn.IFS((C3148&gt;='Resultats - informe'!$D$26)*(C3148&lt;='Resultats - informe'!$E$26),0,(C3148&gt;='Resultats - informe'!$D$27)*(C3148&lt;='Resultats - informe'!$E$27),0,(C3148&gt;='Resultats - informe'!$D$28)*(C3148&lt;='Resultats - informe'!$E$28),0,(C3148&gt;='Resultats - informe'!$D$29)*(C3148&lt;='Resultats - informe'!$E$29),0,1,1)</f>
        <v>0</v>
      </c>
      <c r="N3148" s="366">
        <f>+VLOOKUP(D3148,'Resultats - informe'!$Y$18:$AG$42,'Introducció dades consum'!K3148+1,0)</f>
        <v>0</v>
      </c>
      <c r="O3148" s="370" cm="1">
        <f t="array" ref="O3148">+_xlfn.SWITCH(MONTH(C3148),1,1,2,1,3,1,4,2,5,2,6,3,7,3,8,3,9,3,10,2,11,2,12,1,2)</f>
        <v>1</v>
      </c>
      <c r="P3148" s="43"/>
    </row>
    <row r="3149" spans="1:16" ht="18" x14ac:dyDescent="0.35">
      <c r="A3149" s="43"/>
      <c r="C3149" s="393"/>
      <c r="E3149" s="394"/>
      <c r="F3149" s="394">
        <v>0</v>
      </c>
      <c r="G3149" s="394"/>
      <c r="H3149" s="8" t="s">
        <v>235</v>
      </c>
      <c r="I3149" s="368">
        <f t="shared" si="148"/>
        <v>0</v>
      </c>
      <c r="J3149" s="365">
        <f t="shared" si="147"/>
        <v>0</v>
      </c>
      <c r="K3149" s="369">
        <f t="shared" si="149"/>
        <v>6</v>
      </c>
      <c r="L3149" s="369">
        <f>+IF((C3149&gt;='Resultats - informe'!$E$16)*(C3149&lt;='Resultats - informe'!$G$16),1,0)</f>
        <v>1</v>
      </c>
      <c r="M3149" s="369" cm="1">
        <f t="array" ref="M3149">+_xlfn.IFS((C3149&gt;='Resultats - informe'!$D$26)*(C3149&lt;='Resultats - informe'!$E$26),0,(C3149&gt;='Resultats - informe'!$D$27)*(C3149&lt;='Resultats - informe'!$E$27),0,(C3149&gt;='Resultats - informe'!$D$28)*(C3149&lt;='Resultats - informe'!$E$28),0,(C3149&gt;='Resultats - informe'!$D$29)*(C3149&lt;='Resultats - informe'!$E$29),0,1,1)</f>
        <v>0</v>
      </c>
      <c r="N3149" s="366">
        <f>+VLOOKUP(D3149,'Resultats - informe'!$Y$18:$AG$42,'Introducció dades consum'!K3149+1,0)</f>
        <v>0</v>
      </c>
      <c r="O3149" s="370" cm="1">
        <f t="array" ref="O3149">+_xlfn.SWITCH(MONTH(C3149),1,1,2,1,3,1,4,2,5,2,6,3,7,3,8,3,9,3,10,2,11,2,12,1,2)</f>
        <v>1</v>
      </c>
      <c r="P3149" s="43"/>
    </row>
    <row r="3150" spans="1:16" ht="18" x14ac:dyDescent="0.35">
      <c r="A3150" s="43"/>
      <c r="C3150" s="393"/>
      <c r="E3150" s="394"/>
      <c r="F3150" s="394">
        <v>0</v>
      </c>
      <c r="G3150" s="394"/>
      <c r="H3150" s="8" t="s">
        <v>235</v>
      </c>
      <c r="I3150" s="368">
        <f t="shared" si="148"/>
        <v>0</v>
      </c>
      <c r="J3150" s="365">
        <f t="shared" si="147"/>
        <v>0</v>
      </c>
      <c r="K3150" s="369">
        <f t="shared" si="149"/>
        <v>6</v>
      </c>
      <c r="L3150" s="369">
        <f>+IF((C3150&gt;='Resultats - informe'!$E$16)*(C3150&lt;='Resultats - informe'!$G$16),1,0)</f>
        <v>1</v>
      </c>
      <c r="M3150" s="369" cm="1">
        <f t="array" ref="M3150">+_xlfn.IFS((C3150&gt;='Resultats - informe'!$D$26)*(C3150&lt;='Resultats - informe'!$E$26),0,(C3150&gt;='Resultats - informe'!$D$27)*(C3150&lt;='Resultats - informe'!$E$27),0,(C3150&gt;='Resultats - informe'!$D$28)*(C3150&lt;='Resultats - informe'!$E$28),0,(C3150&gt;='Resultats - informe'!$D$29)*(C3150&lt;='Resultats - informe'!$E$29),0,1,1)</f>
        <v>0</v>
      </c>
      <c r="N3150" s="366">
        <f>+VLOOKUP(D3150,'Resultats - informe'!$Y$18:$AG$42,'Introducció dades consum'!K3150+1,0)</f>
        <v>0</v>
      </c>
      <c r="O3150" s="370" cm="1">
        <f t="array" ref="O3150">+_xlfn.SWITCH(MONTH(C3150),1,1,2,1,3,1,4,2,5,2,6,3,7,3,8,3,9,3,10,2,11,2,12,1,2)</f>
        <v>1</v>
      </c>
      <c r="P3150" s="43"/>
    </row>
    <row r="3151" spans="1:16" ht="18" x14ac:dyDescent="0.35">
      <c r="A3151" s="43"/>
      <c r="C3151" s="393"/>
      <c r="E3151" s="394"/>
      <c r="F3151" s="394">
        <v>0</v>
      </c>
      <c r="G3151" s="394"/>
      <c r="H3151" s="8" t="s">
        <v>235</v>
      </c>
      <c r="I3151" s="368">
        <f t="shared" si="148"/>
        <v>0</v>
      </c>
      <c r="J3151" s="365">
        <f t="shared" si="147"/>
        <v>0</v>
      </c>
      <c r="K3151" s="369">
        <f t="shared" si="149"/>
        <v>6</v>
      </c>
      <c r="L3151" s="369">
        <f>+IF((C3151&gt;='Resultats - informe'!$E$16)*(C3151&lt;='Resultats - informe'!$G$16),1,0)</f>
        <v>1</v>
      </c>
      <c r="M3151" s="369" cm="1">
        <f t="array" ref="M3151">+_xlfn.IFS((C3151&gt;='Resultats - informe'!$D$26)*(C3151&lt;='Resultats - informe'!$E$26),0,(C3151&gt;='Resultats - informe'!$D$27)*(C3151&lt;='Resultats - informe'!$E$27),0,(C3151&gt;='Resultats - informe'!$D$28)*(C3151&lt;='Resultats - informe'!$E$28),0,(C3151&gt;='Resultats - informe'!$D$29)*(C3151&lt;='Resultats - informe'!$E$29),0,1,1)</f>
        <v>0</v>
      </c>
      <c r="N3151" s="366">
        <f>+VLOOKUP(D3151,'Resultats - informe'!$Y$18:$AG$42,'Introducció dades consum'!K3151+1,0)</f>
        <v>0</v>
      </c>
      <c r="O3151" s="370" cm="1">
        <f t="array" ref="O3151">+_xlfn.SWITCH(MONTH(C3151),1,1,2,1,3,1,4,2,5,2,6,3,7,3,8,3,9,3,10,2,11,2,12,1,2)</f>
        <v>1</v>
      </c>
      <c r="P3151" s="43"/>
    </row>
    <row r="3152" spans="1:16" ht="18" x14ac:dyDescent="0.35">
      <c r="A3152" s="43"/>
      <c r="C3152" s="393"/>
      <c r="E3152" s="394"/>
      <c r="F3152" s="394">
        <v>0</v>
      </c>
      <c r="G3152" s="394"/>
      <c r="H3152" s="8" t="s">
        <v>61</v>
      </c>
      <c r="I3152" s="368">
        <f t="shared" si="148"/>
        <v>0</v>
      </c>
      <c r="J3152" s="365">
        <f t="shared" si="147"/>
        <v>0</v>
      </c>
      <c r="K3152" s="369">
        <f t="shared" si="149"/>
        <v>6</v>
      </c>
      <c r="L3152" s="369">
        <f>+IF((C3152&gt;='Resultats - informe'!$E$16)*(C3152&lt;='Resultats - informe'!$G$16),1,0)</f>
        <v>1</v>
      </c>
      <c r="M3152" s="369" cm="1">
        <f t="array" ref="M3152">+_xlfn.IFS((C3152&gt;='Resultats - informe'!$D$26)*(C3152&lt;='Resultats - informe'!$E$26),0,(C3152&gt;='Resultats - informe'!$D$27)*(C3152&lt;='Resultats - informe'!$E$27),0,(C3152&gt;='Resultats - informe'!$D$28)*(C3152&lt;='Resultats - informe'!$E$28),0,(C3152&gt;='Resultats - informe'!$D$29)*(C3152&lt;='Resultats - informe'!$E$29),0,1,1)</f>
        <v>0</v>
      </c>
      <c r="N3152" s="366">
        <f>+VLOOKUP(D3152,'Resultats - informe'!$Y$18:$AG$42,'Introducció dades consum'!K3152+1,0)</f>
        <v>0</v>
      </c>
      <c r="O3152" s="370" cm="1">
        <f t="array" ref="O3152">+_xlfn.SWITCH(MONTH(C3152),1,1,2,1,3,1,4,2,5,2,6,3,7,3,8,3,9,3,10,2,11,2,12,1,2)</f>
        <v>1</v>
      </c>
      <c r="P3152" s="43"/>
    </row>
    <row r="3153" spans="1:16" ht="18" x14ac:dyDescent="0.35">
      <c r="A3153" s="43"/>
      <c r="C3153" s="393"/>
      <c r="E3153" s="394"/>
      <c r="F3153" s="394">
        <v>0</v>
      </c>
      <c r="G3153" s="394"/>
      <c r="H3153" s="8" t="s">
        <v>61</v>
      </c>
      <c r="I3153" s="368">
        <f t="shared" si="148"/>
        <v>0</v>
      </c>
      <c r="J3153" s="365">
        <f t="shared" si="147"/>
        <v>0</v>
      </c>
      <c r="K3153" s="369">
        <f t="shared" si="149"/>
        <v>6</v>
      </c>
      <c r="L3153" s="369">
        <f>+IF((C3153&gt;='Resultats - informe'!$E$16)*(C3153&lt;='Resultats - informe'!$G$16),1,0)</f>
        <v>1</v>
      </c>
      <c r="M3153" s="369" cm="1">
        <f t="array" ref="M3153">+_xlfn.IFS((C3153&gt;='Resultats - informe'!$D$26)*(C3153&lt;='Resultats - informe'!$E$26),0,(C3153&gt;='Resultats - informe'!$D$27)*(C3153&lt;='Resultats - informe'!$E$27),0,(C3153&gt;='Resultats - informe'!$D$28)*(C3153&lt;='Resultats - informe'!$E$28),0,(C3153&gt;='Resultats - informe'!$D$29)*(C3153&lt;='Resultats - informe'!$E$29),0,1,1)</f>
        <v>0</v>
      </c>
      <c r="N3153" s="366">
        <f>+VLOOKUP(D3153,'Resultats - informe'!$Y$18:$AG$42,'Introducció dades consum'!K3153+1,0)</f>
        <v>0</v>
      </c>
      <c r="O3153" s="370" cm="1">
        <f t="array" ref="O3153">+_xlfn.SWITCH(MONTH(C3153),1,1,2,1,3,1,4,2,5,2,6,3,7,3,8,3,9,3,10,2,11,2,12,1,2)</f>
        <v>1</v>
      </c>
      <c r="P3153" s="43"/>
    </row>
    <row r="3154" spans="1:16" ht="18" x14ac:dyDescent="0.35">
      <c r="A3154" s="43"/>
      <c r="C3154" s="393"/>
      <c r="E3154" s="394"/>
      <c r="F3154" s="394">
        <v>0</v>
      </c>
      <c r="G3154" s="394"/>
      <c r="H3154" s="8" t="s">
        <v>61</v>
      </c>
      <c r="I3154" s="368">
        <f t="shared" si="148"/>
        <v>0</v>
      </c>
      <c r="J3154" s="365">
        <f t="shared" si="147"/>
        <v>0</v>
      </c>
      <c r="K3154" s="369">
        <f t="shared" si="149"/>
        <v>6</v>
      </c>
      <c r="L3154" s="369">
        <f>+IF((C3154&gt;='Resultats - informe'!$E$16)*(C3154&lt;='Resultats - informe'!$G$16),1,0)</f>
        <v>1</v>
      </c>
      <c r="M3154" s="369" cm="1">
        <f t="array" ref="M3154">+_xlfn.IFS((C3154&gt;='Resultats - informe'!$D$26)*(C3154&lt;='Resultats - informe'!$E$26),0,(C3154&gt;='Resultats - informe'!$D$27)*(C3154&lt;='Resultats - informe'!$E$27),0,(C3154&gt;='Resultats - informe'!$D$28)*(C3154&lt;='Resultats - informe'!$E$28),0,(C3154&gt;='Resultats - informe'!$D$29)*(C3154&lt;='Resultats - informe'!$E$29),0,1,1)</f>
        <v>0</v>
      </c>
      <c r="N3154" s="366">
        <f>+VLOOKUP(D3154,'Resultats - informe'!$Y$18:$AG$42,'Introducció dades consum'!K3154+1,0)</f>
        <v>0</v>
      </c>
      <c r="O3154" s="370" cm="1">
        <f t="array" ref="O3154">+_xlfn.SWITCH(MONTH(C3154),1,1,2,1,3,1,4,2,5,2,6,3,7,3,8,3,9,3,10,2,11,2,12,1,2)</f>
        <v>1</v>
      </c>
      <c r="P3154" s="43"/>
    </row>
    <row r="3155" spans="1:16" ht="18" x14ac:dyDescent="0.35">
      <c r="A3155" s="43"/>
      <c r="C3155" s="393"/>
      <c r="E3155" s="394"/>
      <c r="F3155" s="394">
        <v>0</v>
      </c>
      <c r="G3155" s="394"/>
      <c r="H3155" s="8" t="s">
        <v>61</v>
      </c>
      <c r="I3155" s="368">
        <f t="shared" si="148"/>
        <v>0</v>
      </c>
      <c r="J3155" s="365">
        <f t="shared" si="147"/>
        <v>0</v>
      </c>
      <c r="K3155" s="369">
        <f t="shared" si="149"/>
        <v>6</v>
      </c>
      <c r="L3155" s="369">
        <f>+IF((C3155&gt;='Resultats - informe'!$E$16)*(C3155&lt;='Resultats - informe'!$G$16),1,0)</f>
        <v>1</v>
      </c>
      <c r="M3155" s="369" cm="1">
        <f t="array" ref="M3155">+_xlfn.IFS((C3155&gt;='Resultats - informe'!$D$26)*(C3155&lt;='Resultats - informe'!$E$26),0,(C3155&gt;='Resultats - informe'!$D$27)*(C3155&lt;='Resultats - informe'!$E$27),0,(C3155&gt;='Resultats - informe'!$D$28)*(C3155&lt;='Resultats - informe'!$E$28),0,(C3155&gt;='Resultats - informe'!$D$29)*(C3155&lt;='Resultats - informe'!$E$29),0,1,1)</f>
        <v>0</v>
      </c>
      <c r="N3155" s="366">
        <f>+VLOOKUP(D3155,'Resultats - informe'!$Y$18:$AG$42,'Introducció dades consum'!K3155+1,0)</f>
        <v>0</v>
      </c>
      <c r="O3155" s="370" cm="1">
        <f t="array" ref="O3155">+_xlfn.SWITCH(MONTH(C3155),1,1,2,1,3,1,4,2,5,2,6,3,7,3,8,3,9,3,10,2,11,2,12,1,2)</f>
        <v>1</v>
      </c>
      <c r="P3155" s="43"/>
    </row>
    <row r="3156" spans="1:16" ht="18" x14ac:dyDescent="0.35">
      <c r="A3156" s="43"/>
      <c r="C3156" s="393"/>
      <c r="E3156" s="394"/>
      <c r="F3156" s="394">
        <v>0</v>
      </c>
      <c r="G3156" s="394"/>
      <c r="H3156" s="8" t="s">
        <v>61</v>
      </c>
      <c r="I3156" s="368">
        <f t="shared" si="148"/>
        <v>0</v>
      </c>
      <c r="J3156" s="365">
        <f t="shared" si="147"/>
        <v>0</v>
      </c>
      <c r="K3156" s="369">
        <f t="shared" si="149"/>
        <v>6</v>
      </c>
      <c r="L3156" s="369">
        <f>+IF((C3156&gt;='Resultats - informe'!$E$16)*(C3156&lt;='Resultats - informe'!$G$16),1,0)</f>
        <v>1</v>
      </c>
      <c r="M3156" s="369" cm="1">
        <f t="array" ref="M3156">+_xlfn.IFS((C3156&gt;='Resultats - informe'!$D$26)*(C3156&lt;='Resultats - informe'!$E$26),0,(C3156&gt;='Resultats - informe'!$D$27)*(C3156&lt;='Resultats - informe'!$E$27),0,(C3156&gt;='Resultats - informe'!$D$28)*(C3156&lt;='Resultats - informe'!$E$28),0,(C3156&gt;='Resultats - informe'!$D$29)*(C3156&lt;='Resultats - informe'!$E$29),0,1,1)</f>
        <v>0</v>
      </c>
      <c r="N3156" s="366">
        <f>+VLOOKUP(D3156,'Resultats - informe'!$Y$18:$AG$42,'Introducció dades consum'!K3156+1,0)</f>
        <v>0</v>
      </c>
      <c r="O3156" s="370" cm="1">
        <f t="array" ref="O3156">+_xlfn.SWITCH(MONTH(C3156),1,1,2,1,3,1,4,2,5,2,6,3,7,3,8,3,9,3,10,2,11,2,12,1,2)</f>
        <v>1</v>
      </c>
      <c r="P3156" s="43"/>
    </row>
    <row r="3157" spans="1:16" ht="18" x14ac:dyDescent="0.35">
      <c r="A3157" s="43"/>
      <c r="C3157" s="393"/>
      <c r="E3157" s="394"/>
      <c r="F3157" s="394">
        <v>0.90200000000000002</v>
      </c>
      <c r="G3157" s="394"/>
      <c r="H3157" s="8" t="s">
        <v>61</v>
      </c>
      <c r="I3157" s="368">
        <f t="shared" si="148"/>
        <v>0</v>
      </c>
      <c r="J3157" s="365">
        <f t="shared" si="147"/>
        <v>0</v>
      </c>
      <c r="K3157" s="369">
        <f t="shared" si="149"/>
        <v>6</v>
      </c>
      <c r="L3157" s="369">
        <f>+IF((C3157&gt;='Resultats - informe'!$E$16)*(C3157&lt;='Resultats - informe'!$G$16),1,0)</f>
        <v>1</v>
      </c>
      <c r="M3157" s="369" cm="1">
        <f t="array" ref="M3157">+_xlfn.IFS((C3157&gt;='Resultats - informe'!$D$26)*(C3157&lt;='Resultats - informe'!$E$26),0,(C3157&gt;='Resultats - informe'!$D$27)*(C3157&lt;='Resultats - informe'!$E$27),0,(C3157&gt;='Resultats - informe'!$D$28)*(C3157&lt;='Resultats - informe'!$E$28),0,(C3157&gt;='Resultats - informe'!$D$29)*(C3157&lt;='Resultats - informe'!$E$29),0,1,1)</f>
        <v>0</v>
      </c>
      <c r="N3157" s="366">
        <f>+VLOOKUP(D3157,'Resultats - informe'!$Y$18:$AG$42,'Introducció dades consum'!K3157+1,0)</f>
        <v>0</v>
      </c>
      <c r="O3157" s="370" cm="1">
        <f t="array" ref="O3157">+_xlfn.SWITCH(MONTH(C3157),1,1,2,1,3,1,4,2,5,2,6,3,7,3,8,3,9,3,10,2,11,2,12,1,2)</f>
        <v>1</v>
      </c>
      <c r="P3157" s="43"/>
    </row>
    <row r="3158" spans="1:16" ht="18" x14ac:dyDescent="0.35">
      <c r="A3158" s="43"/>
      <c r="C3158" s="393"/>
      <c r="E3158" s="394"/>
      <c r="F3158" s="394">
        <v>2.6930000000000001</v>
      </c>
      <c r="G3158" s="394"/>
      <c r="H3158" s="8" t="s">
        <v>61</v>
      </c>
      <c r="I3158" s="368">
        <f t="shared" si="148"/>
        <v>0</v>
      </c>
      <c r="J3158" s="365">
        <f t="shared" si="147"/>
        <v>0</v>
      </c>
      <c r="K3158" s="369">
        <f t="shared" si="149"/>
        <v>6</v>
      </c>
      <c r="L3158" s="369">
        <f>+IF((C3158&gt;='Resultats - informe'!$E$16)*(C3158&lt;='Resultats - informe'!$G$16),1,0)</f>
        <v>1</v>
      </c>
      <c r="M3158" s="369" cm="1">
        <f t="array" ref="M3158">+_xlfn.IFS((C3158&gt;='Resultats - informe'!$D$26)*(C3158&lt;='Resultats - informe'!$E$26),0,(C3158&gt;='Resultats - informe'!$D$27)*(C3158&lt;='Resultats - informe'!$E$27),0,(C3158&gt;='Resultats - informe'!$D$28)*(C3158&lt;='Resultats - informe'!$E$28),0,(C3158&gt;='Resultats - informe'!$D$29)*(C3158&lt;='Resultats - informe'!$E$29),0,1,1)</f>
        <v>0</v>
      </c>
      <c r="N3158" s="366">
        <f>+VLOOKUP(D3158,'Resultats - informe'!$Y$18:$AG$42,'Introducció dades consum'!K3158+1,0)</f>
        <v>0</v>
      </c>
      <c r="O3158" s="370" cm="1">
        <f t="array" ref="O3158">+_xlfn.SWITCH(MONTH(C3158),1,1,2,1,3,1,4,2,5,2,6,3,7,3,8,3,9,3,10,2,11,2,12,1,2)</f>
        <v>1</v>
      </c>
      <c r="P3158" s="43"/>
    </row>
    <row r="3159" spans="1:16" ht="18" x14ac:dyDescent="0.35">
      <c r="A3159" s="43"/>
      <c r="C3159" s="393"/>
      <c r="E3159" s="394"/>
      <c r="F3159" s="394">
        <v>0.66900000000000004</v>
      </c>
      <c r="G3159" s="394"/>
      <c r="H3159" s="8" t="s">
        <v>61</v>
      </c>
      <c r="I3159" s="368">
        <f t="shared" si="148"/>
        <v>0</v>
      </c>
      <c r="J3159" s="365">
        <f t="shared" si="147"/>
        <v>0</v>
      </c>
      <c r="K3159" s="369">
        <f t="shared" si="149"/>
        <v>6</v>
      </c>
      <c r="L3159" s="369">
        <f>+IF((C3159&gt;='Resultats - informe'!$E$16)*(C3159&lt;='Resultats - informe'!$G$16),1,0)</f>
        <v>1</v>
      </c>
      <c r="M3159" s="369" cm="1">
        <f t="array" ref="M3159">+_xlfn.IFS((C3159&gt;='Resultats - informe'!$D$26)*(C3159&lt;='Resultats - informe'!$E$26),0,(C3159&gt;='Resultats - informe'!$D$27)*(C3159&lt;='Resultats - informe'!$E$27),0,(C3159&gt;='Resultats - informe'!$D$28)*(C3159&lt;='Resultats - informe'!$E$28),0,(C3159&gt;='Resultats - informe'!$D$29)*(C3159&lt;='Resultats - informe'!$E$29),0,1,1)</f>
        <v>0</v>
      </c>
      <c r="N3159" s="366">
        <f>+VLOOKUP(D3159,'Resultats - informe'!$Y$18:$AG$42,'Introducció dades consum'!K3159+1,0)</f>
        <v>0</v>
      </c>
      <c r="O3159" s="370" cm="1">
        <f t="array" ref="O3159">+_xlfn.SWITCH(MONTH(C3159),1,1,2,1,3,1,4,2,5,2,6,3,7,3,8,3,9,3,10,2,11,2,12,1,2)</f>
        <v>1</v>
      </c>
      <c r="P3159" s="43"/>
    </row>
    <row r="3160" spans="1:16" ht="18" x14ac:dyDescent="0.35">
      <c r="A3160" s="43"/>
      <c r="C3160" s="393"/>
      <c r="E3160" s="394"/>
      <c r="F3160" s="394">
        <v>0.70499999999999996</v>
      </c>
      <c r="G3160" s="394"/>
      <c r="H3160" s="8" t="s">
        <v>61</v>
      </c>
      <c r="I3160" s="368">
        <f t="shared" si="148"/>
        <v>0</v>
      </c>
      <c r="J3160" s="365">
        <f t="shared" si="147"/>
        <v>0</v>
      </c>
      <c r="K3160" s="369">
        <f t="shared" si="149"/>
        <v>6</v>
      </c>
      <c r="L3160" s="369">
        <f>+IF((C3160&gt;='Resultats - informe'!$E$16)*(C3160&lt;='Resultats - informe'!$G$16),1,0)</f>
        <v>1</v>
      </c>
      <c r="M3160" s="369" cm="1">
        <f t="array" ref="M3160">+_xlfn.IFS((C3160&gt;='Resultats - informe'!$D$26)*(C3160&lt;='Resultats - informe'!$E$26),0,(C3160&gt;='Resultats - informe'!$D$27)*(C3160&lt;='Resultats - informe'!$E$27),0,(C3160&gt;='Resultats - informe'!$D$28)*(C3160&lt;='Resultats - informe'!$E$28),0,(C3160&gt;='Resultats - informe'!$D$29)*(C3160&lt;='Resultats - informe'!$E$29),0,1,1)</f>
        <v>0</v>
      </c>
      <c r="N3160" s="366">
        <f>+VLOOKUP(D3160,'Resultats - informe'!$Y$18:$AG$42,'Introducció dades consum'!K3160+1,0)</f>
        <v>0</v>
      </c>
      <c r="O3160" s="370" cm="1">
        <f t="array" ref="O3160">+_xlfn.SWITCH(MONTH(C3160),1,1,2,1,3,1,4,2,5,2,6,3,7,3,8,3,9,3,10,2,11,2,12,1,2)</f>
        <v>1</v>
      </c>
      <c r="P3160" s="43"/>
    </row>
    <row r="3161" spans="1:16" ht="18" x14ac:dyDescent="0.35">
      <c r="A3161" s="43"/>
      <c r="C3161" s="393"/>
      <c r="E3161" s="394"/>
      <c r="F3161" s="394">
        <v>2.3849999999999998</v>
      </c>
      <c r="G3161" s="394"/>
      <c r="H3161" s="8" t="s">
        <v>235</v>
      </c>
      <c r="I3161" s="368">
        <f t="shared" si="148"/>
        <v>0</v>
      </c>
      <c r="J3161" s="365">
        <f t="shared" si="147"/>
        <v>0</v>
      </c>
      <c r="K3161" s="369">
        <f t="shared" si="149"/>
        <v>6</v>
      </c>
      <c r="L3161" s="369">
        <f>+IF((C3161&gt;='Resultats - informe'!$E$16)*(C3161&lt;='Resultats - informe'!$G$16),1,0)</f>
        <v>1</v>
      </c>
      <c r="M3161" s="369" cm="1">
        <f t="array" ref="M3161">+_xlfn.IFS((C3161&gt;='Resultats - informe'!$D$26)*(C3161&lt;='Resultats - informe'!$E$26),0,(C3161&gt;='Resultats - informe'!$D$27)*(C3161&lt;='Resultats - informe'!$E$27),0,(C3161&gt;='Resultats - informe'!$D$28)*(C3161&lt;='Resultats - informe'!$E$28),0,(C3161&gt;='Resultats - informe'!$D$29)*(C3161&lt;='Resultats - informe'!$E$29),0,1,1)</f>
        <v>0</v>
      </c>
      <c r="N3161" s="366">
        <f>+VLOOKUP(D3161,'Resultats - informe'!$Y$18:$AG$42,'Introducció dades consum'!K3161+1,0)</f>
        <v>0</v>
      </c>
      <c r="O3161" s="370" cm="1">
        <f t="array" ref="O3161">+_xlfn.SWITCH(MONTH(C3161),1,1,2,1,3,1,4,2,5,2,6,3,7,3,8,3,9,3,10,2,11,2,12,1,2)</f>
        <v>1</v>
      </c>
      <c r="P3161" s="43"/>
    </row>
    <row r="3162" spans="1:16" ht="18" x14ac:dyDescent="0.35">
      <c r="A3162" s="43"/>
      <c r="C3162" s="393"/>
      <c r="E3162" s="394"/>
      <c r="F3162" s="394">
        <v>1.6359999999999999</v>
      </c>
      <c r="G3162" s="394"/>
      <c r="H3162" s="8" t="s">
        <v>235</v>
      </c>
      <c r="I3162" s="368">
        <f t="shared" si="148"/>
        <v>0</v>
      </c>
      <c r="J3162" s="365">
        <f t="shared" si="147"/>
        <v>0</v>
      </c>
      <c r="K3162" s="369">
        <f t="shared" si="149"/>
        <v>6</v>
      </c>
      <c r="L3162" s="369">
        <f>+IF((C3162&gt;='Resultats - informe'!$E$16)*(C3162&lt;='Resultats - informe'!$G$16),1,0)</f>
        <v>1</v>
      </c>
      <c r="M3162" s="369" cm="1">
        <f t="array" ref="M3162">+_xlfn.IFS((C3162&gt;='Resultats - informe'!$D$26)*(C3162&lt;='Resultats - informe'!$E$26),0,(C3162&gt;='Resultats - informe'!$D$27)*(C3162&lt;='Resultats - informe'!$E$27),0,(C3162&gt;='Resultats - informe'!$D$28)*(C3162&lt;='Resultats - informe'!$E$28),0,(C3162&gt;='Resultats - informe'!$D$29)*(C3162&lt;='Resultats - informe'!$E$29),0,1,1)</f>
        <v>0</v>
      </c>
      <c r="N3162" s="366">
        <f>+VLOOKUP(D3162,'Resultats - informe'!$Y$18:$AG$42,'Introducció dades consum'!K3162+1,0)</f>
        <v>0</v>
      </c>
      <c r="O3162" s="370" cm="1">
        <f t="array" ref="O3162">+_xlfn.SWITCH(MONTH(C3162),1,1,2,1,3,1,4,2,5,2,6,3,7,3,8,3,9,3,10,2,11,2,12,1,2)</f>
        <v>1</v>
      </c>
      <c r="P3162" s="43"/>
    </row>
    <row r="3163" spans="1:16" ht="18" x14ac:dyDescent="0.35">
      <c r="A3163" s="43"/>
      <c r="C3163" s="393"/>
      <c r="E3163" s="394"/>
      <c r="F3163" s="394">
        <v>1.897</v>
      </c>
      <c r="G3163" s="394"/>
      <c r="H3163" s="8" t="s">
        <v>235</v>
      </c>
      <c r="I3163" s="368">
        <f t="shared" si="148"/>
        <v>0</v>
      </c>
      <c r="J3163" s="365">
        <f t="shared" si="147"/>
        <v>0</v>
      </c>
      <c r="K3163" s="369">
        <f t="shared" si="149"/>
        <v>6</v>
      </c>
      <c r="L3163" s="369">
        <f>+IF((C3163&gt;='Resultats - informe'!$E$16)*(C3163&lt;='Resultats - informe'!$G$16),1,0)</f>
        <v>1</v>
      </c>
      <c r="M3163" s="369" cm="1">
        <f t="array" ref="M3163">+_xlfn.IFS((C3163&gt;='Resultats - informe'!$D$26)*(C3163&lt;='Resultats - informe'!$E$26),0,(C3163&gt;='Resultats - informe'!$D$27)*(C3163&lt;='Resultats - informe'!$E$27),0,(C3163&gt;='Resultats - informe'!$D$28)*(C3163&lt;='Resultats - informe'!$E$28),0,(C3163&gt;='Resultats - informe'!$D$29)*(C3163&lt;='Resultats - informe'!$E$29),0,1,1)</f>
        <v>0</v>
      </c>
      <c r="N3163" s="366">
        <f>+VLOOKUP(D3163,'Resultats - informe'!$Y$18:$AG$42,'Introducció dades consum'!K3163+1,0)</f>
        <v>0</v>
      </c>
      <c r="O3163" s="370" cm="1">
        <f t="array" ref="O3163">+_xlfn.SWITCH(MONTH(C3163),1,1,2,1,3,1,4,2,5,2,6,3,7,3,8,3,9,3,10,2,11,2,12,1,2)</f>
        <v>1</v>
      </c>
      <c r="P3163" s="43"/>
    </row>
    <row r="3164" spans="1:16" ht="18" x14ac:dyDescent="0.35">
      <c r="A3164" s="43"/>
      <c r="C3164" s="393"/>
      <c r="E3164" s="394"/>
      <c r="F3164" s="394">
        <v>0.65600000000000003</v>
      </c>
      <c r="G3164" s="394"/>
      <c r="H3164" s="8" t="s">
        <v>235</v>
      </c>
      <c r="I3164" s="368">
        <f t="shared" si="148"/>
        <v>0</v>
      </c>
      <c r="J3164" s="365">
        <f t="shared" si="147"/>
        <v>0</v>
      </c>
      <c r="K3164" s="369">
        <f t="shared" si="149"/>
        <v>6</v>
      </c>
      <c r="L3164" s="369">
        <f>+IF((C3164&gt;='Resultats - informe'!$E$16)*(C3164&lt;='Resultats - informe'!$G$16),1,0)</f>
        <v>1</v>
      </c>
      <c r="M3164" s="369" cm="1">
        <f t="array" ref="M3164">+_xlfn.IFS((C3164&gt;='Resultats - informe'!$D$26)*(C3164&lt;='Resultats - informe'!$E$26),0,(C3164&gt;='Resultats - informe'!$D$27)*(C3164&lt;='Resultats - informe'!$E$27),0,(C3164&gt;='Resultats - informe'!$D$28)*(C3164&lt;='Resultats - informe'!$E$28),0,(C3164&gt;='Resultats - informe'!$D$29)*(C3164&lt;='Resultats - informe'!$E$29),0,1,1)</f>
        <v>0</v>
      </c>
      <c r="N3164" s="366">
        <f>+VLOOKUP(D3164,'Resultats - informe'!$Y$18:$AG$42,'Introducció dades consum'!K3164+1,0)</f>
        <v>0</v>
      </c>
      <c r="O3164" s="370" cm="1">
        <f t="array" ref="O3164">+_xlfn.SWITCH(MONTH(C3164),1,1,2,1,3,1,4,2,5,2,6,3,7,3,8,3,9,3,10,2,11,2,12,1,2)</f>
        <v>1</v>
      </c>
      <c r="P3164" s="43"/>
    </row>
    <row r="3165" spans="1:16" ht="18" x14ac:dyDescent="0.35">
      <c r="A3165" s="43"/>
      <c r="C3165" s="393"/>
      <c r="E3165" s="394"/>
      <c r="F3165" s="394">
        <v>0</v>
      </c>
      <c r="G3165" s="394"/>
      <c r="H3165" s="8" t="s">
        <v>235</v>
      </c>
      <c r="I3165" s="368">
        <f t="shared" si="148"/>
        <v>0</v>
      </c>
      <c r="J3165" s="365">
        <f t="shared" si="147"/>
        <v>0</v>
      </c>
      <c r="K3165" s="369">
        <f t="shared" si="149"/>
        <v>6</v>
      </c>
      <c r="L3165" s="369">
        <f>+IF((C3165&gt;='Resultats - informe'!$E$16)*(C3165&lt;='Resultats - informe'!$G$16),1,0)</f>
        <v>1</v>
      </c>
      <c r="M3165" s="369" cm="1">
        <f t="array" ref="M3165">+_xlfn.IFS((C3165&gt;='Resultats - informe'!$D$26)*(C3165&lt;='Resultats - informe'!$E$26),0,(C3165&gt;='Resultats - informe'!$D$27)*(C3165&lt;='Resultats - informe'!$E$27),0,(C3165&gt;='Resultats - informe'!$D$28)*(C3165&lt;='Resultats - informe'!$E$28),0,(C3165&gt;='Resultats - informe'!$D$29)*(C3165&lt;='Resultats - informe'!$E$29),0,1,1)</f>
        <v>0</v>
      </c>
      <c r="N3165" s="366">
        <f>+VLOOKUP(D3165,'Resultats - informe'!$Y$18:$AG$42,'Introducció dades consum'!K3165+1,0)</f>
        <v>0</v>
      </c>
      <c r="O3165" s="370" cm="1">
        <f t="array" ref="O3165">+_xlfn.SWITCH(MONTH(C3165),1,1,2,1,3,1,4,2,5,2,6,3,7,3,8,3,9,3,10,2,11,2,12,1,2)</f>
        <v>1</v>
      </c>
      <c r="P3165" s="43"/>
    </row>
    <row r="3166" spans="1:16" ht="18" x14ac:dyDescent="0.35">
      <c r="A3166" s="43"/>
      <c r="C3166" s="393"/>
      <c r="E3166" s="394"/>
      <c r="F3166" s="394">
        <v>0</v>
      </c>
      <c r="G3166" s="394"/>
      <c r="H3166" s="8" t="s">
        <v>235</v>
      </c>
      <c r="I3166" s="368">
        <f t="shared" si="148"/>
        <v>0</v>
      </c>
      <c r="J3166" s="365">
        <f t="shared" si="147"/>
        <v>0</v>
      </c>
      <c r="K3166" s="369">
        <f t="shared" si="149"/>
        <v>6</v>
      </c>
      <c r="L3166" s="369">
        <f>+IF((C3166&gt;='Resultats - informe'!$E$16)*(C3166&lt;='Resultats - informe'!$G$16),1,0)</f>
        <v>1</v>
      </c>
      <c r="M3166" s="369" cm="1">
        <f t="array" ref="M3166">+_xlfn.IFS((C3166&gt;='Resultats - informe'!$D$26)*(C3166&lt;='Resultats - informe'!$E$26),0,(C3166&gt;='Resultats - informe'!$D$27)*(C3166&lt;='Resultats - informe'!$E$27),0,(C3166&gt;='Resultats - informe'!$D$28)*(C3166&lt;='Resultats - informe'!$E$28),0,(C3166&gt;='Resultats - informe'!$D$29)*(C3166&lt;='Resultats - informe'!$E$29),0,1,1)</f>
        <v>0</v>
      </c>
      <c r="N3166" s="366">
        <f>+VLOOKUP(D3166,'Resultats - informe'!$Y$18:$AG$42,'Introducció dades consum'!K3166+1,0)</f>
        <v>0</v>
      </c>
      <c r="O3166" s="370" cm="1">
        <f t="array" ref="O3166">+_xlfn.SWITCH(MONTH(C3166),1,1,2,1,3,1,4,2,5,2,6,3,7,3,8,3,9,3,10,2,11,2,12,1,2)</f>
        <v>1</v>
      </c>
      <c r="P3166" s="43"/>
    </row>
    <row r="3167" spans="1:16" ht="18" x14ac:dyDescent="0.35">
      <c r="A3167" s="43"/>
      <c r="C3167" s="393"/>
      <c r="E3167" s="394"/>
      <c r="F3167" s="394">
        <v>0</v>
      </c>
      <c r="G3167" s="394"/>
      <c r="H3167" s="8" t="s">
        <v>61</v>
      </c>
      <c r="I3167" s="368">
        <f t="shared" si="148"/>
        <v>0</v>
      </c>
      <c r="J3167" s="365">
        <f t="shared" si="147"/>
        <v>0</v>
      </c>
      <c r="K3167" s="369">
        <f t="shared" si="149"/>
        <v>6</v>
      </c>
      <c r="L3167" s="369">
        <f>+IF((C3167&gt;='Resultats - informe'!$E$16)*(C3167&lt;='Resultats - informe'!$G$16),1,0)</f>
        <v>1</v>
      </c>
      <c r="M3167" s="369" cm="1">
        <f t="array" ref="M3167">+_xlfn.IFS((C3167&gt;='Resultats - informe'!$D$26)*(C3167&lt;='Resultats - informe'!$E$26),0,(C3167&gt;='Resultats - informe'!$D$27)*(C3167&lt;='Resultats - informe'!$E$27),0,(C3167&gt;='Resultats - informe'!$D$28)*(C3167&lt;='Resultats - informe'!$E$28),0,(C3167&gt;='Resultats - informe'!$D$29)*(C3167&lt;='Resultats - informe'!$E$29),0,1,1)</f>
        <v>0</v>
      </c>
      <c r="N3167" s="366">
        <f>+VLOOKUP(D3167,'Resultats - informe'!$Y$18:$AG$42,'Introducció dades consum'!K3167+1,0)</f>
        <v>0</v>
      </c>
      <c r="O3167" s="370" cm="1">
        <f t="array" ref="O3167">+_xlfn.SWITCH(MONTH(C3167),1,1,2,1,3,1,4,2,5,2,6,3,7,3,8,3,9,3,10,2,11,2,12,1,2)</f>
        <v>1</v>
      </c>
      <c r="P3167" s="43"/>
    </row>
    <row r="3168" spans="1:16" ht="18" x14ac:dyDescent="0.35">
      <c r="A3168" s="43"/>
      <c r="C3168" s="393"/>
      <c r="E3168" s="394"/>
      <c r="F3168" s="394">
        <v>0</v>
      </c>
      <c r="G3168" s="394"/>
      <c r="H3168" s="8" t="s">
        <v>61</v>
      </c>
      <c r="I3168" s="368">
        <f t="shared" si="148"/>
        <v>0</v>
      </c>
      <c r="J3168" s="365">
        <f t="shared" si="147"/>
        <v>0</v>
      </c>
      <c r="K3168" s="369">
        <f t="shared" si="149"/>
        <v>6</v>
      </c>
      <c r="L3168" s="369">
        <f>+IF((C3168&gt;='Resultats - informe'!$E$16)*(C3168&lt;='Resultats - informe'!$G$16),1,0)</f>
        <v>1</v>
      </c>
      <c r="M3168" s="369" cm="1">
        <f t="array" ref="M3168">+_xlfn.IFS((C3168&gt;='Resultats - informe'!$D$26)*(C3168&lt;='Resultats - informe'!$E$26),0,(C3168&gt;='Resultats - informe'!$D$27)*(C3168&lt;='Resultats - informe'!$E$27),0,(C3168&gt;='Resultats - informe'!$D$28)*(C3168&lt;='Resultats - informe'!$E$28),0,(C3168&gt;='Resultats - informe'!$D$29)*(C3168&lt;='Resultats - informe'!$E$29),0,1,1)</f>
        <v>0</v>
      </c>
      <c r="N3168" s="366">
        <f>+VLOOKUP(D3168,'Resultats - informe'!$Y$18:$AG$42,'Introducció dades consum'!K3168+1,0)</f>
        <v>0</v>
      </c>
      <c r="O3168" s="370" cm="1">
        <f t="array" ref="O3168">+_xlfn.SWITCH(MONTH(C3168),1,1,2,1,3,1,4,2,5,2,6,3,7,3,8,3,9,3,10,2,11,2,12,1,2)</f>
        <v>1</v>
      </c>
      <c r="P3168" s="43"/>
    </row>
    <row r="3169" spans="1:16" ht="18" x14ac:dyDescent="0.35">
      <c r="A3169" s="43"/>
      <c r="C3169" s="393"/>
      <c r="E3169" s="394"/>
      <c r="F3169" s="394">
        <v>0</v>
      </c>
      <c r="G3169" s="394"/>
      <c r="H3169" s="8" t="s">
        <v>61</v>
      </c>
      <c r="I3169" s="368">
        <f t="shared" si="148"/>
        <v>0</v>
      </c>
      <c r="J3169" s="365">
        <f t="shared" si="147"/>
        <v>0</v>
      </c>
      <c r="K3169" s="369">
        <f t="shared" si="149"/>
        <v>6</v>
      </c>
      <c r="L3169" s="369">
        <f>+IF((C3169&gt;='Resultats - informe'!$E$16)*(C3169&lt;='Resultats - informe'!$G$16),1,0)</f>
        <v>1</v>
      </c>
      <c r="M3169" s="369" cm="1">
        <f t="array" ref="M3169">+_xlfn.IFS((C3169&gt;='Resultats - informe'!$D$26)*(C3169&lt;='Resultats - informe'!$E$26),0,(C3169&gt;='Resultats - informe'!$D$27)*(C3169&lt;='Resultats - informe'!$E$27),0,(C3169&gt;='Resultats - informe'!$D$28)*(C3169&lt;='Resultats - informe'!$E$28),0,(C3169&gt;='Resultats - informe'!$D$29)*(C3169&lt;='Resultats - informe'!$E$29),0,1,1)</f>
        <v>0</v>
      </c>
      <c r="N3169" s="366">
        <f>+VLOOKUP(D3169,'Resultats - informe'!$Y$18:$AG$42,'Introducció dades consum'!K3169+1,0)</f>
        <v>0</v>
      </c>
      <c r="O3169" s="370" cm="1">
        <f t="array" ref="O3169">+_xlfn.SWITCH(MONTH(C3169),1,1,2,1,3,1,4,2,5,2,6,3,7,3,8,3,9,3,10,2,11,2,12,1,2)</f>
        <v>1</v>
      </c>
      <c r="P3169" s="43"/>
    </row>
    <row r="3170" spans="1:16" ht="18" x14ac:dyDescent="0.35">
      <c r="A3170" s="43"/>
      <c r="C3170" s="393"/>
      <c r="E3170" s="394"/>
      <c r="F3170" s="394">
        <v>0</v>
      </c>
      <c r="G3170" s="394"/>
      <c r="H3170" s="8" t="s">
        <v>235</v>
      </c>
      <c r="I3170" s="368">
        <f t="shared" si="148"/>
        <v>0</v>
      </c>
      <c r="J3170" s="365">
        <f t="shared" si="147"/>
        <v>0</v>
      </c>
      <c r="K3170" s="369">
        <f t="shared" si="149"/>
        <v>6</v>
      </c>
      <c r="L3170" s="369">
        <f>+IF((C3170&gt;='Resultats - informe'!$E$16)*(C3170&lt;='Resultats - informe'!$G$16),1,0)</f>
        <v>1</v>
      </c>
      <c r="M3170" s="369" cm="1">
        <f t="array" ref="M3170">+_xlfn.IFS((C3170&gt;='Resultats - informe'!$D$26)*(C3170&lt;='Resultats - informe'!$E$26),0,(C3170&gt;='Resultats - informe'!$D$27)*(C3170&lt;='Resultats - informe'!$E$27),0,(C3170&gt;='Resultats - informe'!$D$28)*(C3170&lt;='Resultats - informe'!$E$28),0,(C3170&gt;='Resultats - informe'!$D$29)*(C3170&lt;='Resultats - informe'!$E$29),0,1,1)</f>
        <v>0</v>
      </c>
      <c r="N3170" s="366">
        <f>+VLOOKUP(D3170,'Resultats - informe'!$Y$18:$AG$42,'Introducció dades consum'!K3170+1,0)</f>
        <v>0</v>
      </c>
      <c r="O3170" s="370" cm="1">
        <f t="array" ref="O3170">+_xlfn.SWITCH(MONTH(C3170),1,1,2,1,3,1,4,2,5,2,6,3,7,3,8,3,9,3,10,2,11,2,12,1,2)</f>
        <v>1</v>
      </c>
      <c r="P3170" s="43"/>
    </row>
    <row r="3171" spans="1:16" ht="18" x14ac:dyDescent="0.35">
      <c r="A3171" s="43"/>
      <c r="C3171" s="393"/>
      <c r="E3171" s="394"/>
      <c r="F3171" s="394">
        <v>0</v>
      </c>
      <c r="G3171" s="394"/>
      <c r="H3171" s="8" t="s">
        <v>235</v>
      </c>
      <c r="I3171" s="368">
        <f t="shared" si="148"/>
        <v>0</v>
      </c>
      <c r="J3171" s="365">
        <f t="shared" si="147"/>
        <v>0</v>
      </c>
      <c r="K3171" s="369">
        <f t="shared" si="149"/>
        <v>6</v>
      </c>
      <c r="L3171" s="369">
        <f>+IF((C3171&gt;='Resultats - informe'!$E$16)*(C3171&lt;='Resultats - informe'!$G$16),1,0)</f>
        <v>1</v>
      </c>
      <c r="M3171" s="369" cm="1">
        <f t="array" ref="M3171">+_xlfn.IFS((C3171&gt;='Resultats - informe'!$D$26)*(C3171&lt;='Resultats - informe'!$E$26),0,(C3171&gt;='Resultats - informe'!$D$27)*(C3171&lt;='Resultats - informe'!$E$27),0,(C3171&gt;='Resultats - informe'!$D$28)*(C3171&lt;='Resultats - informe'!$E$28),0,(C3171&gt;='Resultats - informe'!$D$29)*(C3171&lt;='Resultats - informe'!$E$29),0,1,1)</f>
        <v>0</v>
      </c>
      <c r="N3171" s="366">
        <f>+VLOOKUP(D3171,'Resultats - informe'!$Y$18:$AG$42,'Introducció dades consum'!K3171+1,0)</f>
        <v>0</v>
      </c>
      <c r="O3171" s="370" cm="1">
        <f t="array" ref="O3171">+_xlfn.SWITCH(MONTH(C3171),1,1,2,1,3,1,4,2,5,2,6,3,7,3,8,3,9,3,10,2,11,2,12,1,2)</f>
        <v>1</v>
      </c>
      <c r="P3171" s="43"/>
    </row>
    <row r="3172" spans="1:16" ht="18" x14ac:dyDescent="0.35">
      <c r="A3172" s="43"/>
      <c r="C3172" s="393"/>
      <c r="E3172" s="394"/>
      <c r="F3172" s="394">
        <v>0</v>
      </c>
      <c r="G3172" s="394"/>
      <c r="H3172" s="8" t="s">
        <v>235</v>
      </c>
      <c r="I3172" s="368">
        <f t="shared" si="148"/>
        <v>0</v>
      </c>
      <c r="J3172" s="365">
        <f t="shared" si="147"/>
        <v>0</v>
      </c>
      <c r="K3172" s="369">
        <f t="shared" si="149"/>
        <v>6</v>
      </c>
      <c r="L3172" s="369">
        <f>+IF((C3172&gt;='Resultats - informe'!$E$16)*(C3172&lt;='Resultats - informe'!$G$16),1,0)</f>
        <v>1</v>
      </c>
      <c r="M3172" s="369" cm="1">
        <f t="array" ref="M3172">+_xlfn.IFS((C3172&gt;='Resultats - informe'!$D$26)*(C3172&lt;='Resultats - informe'!$E$26),0,(C3172&gt;='Resultats - informe'!$D$27)*(C3172&lt;='Resultats - informe'!$E$27),0,(C3172&gt;='Resultats - informe'!$D$28)*(C3172&lt;='Resultats - informe'!$E$28),0,(C3172&gt;='Resultats - informe'!$D$29)*(C3172&lt;='Resultats - informe'!$E$29),0,1,1)</f>
        <v>0</v>
      </c>
      <c r="N3172" s="366">
        <f>+VLOOKUP(D3172,'Resultats - informe'!$Y$18:$AG$42,'Introducció dades consum'!K3172+1,0)</f>
        <v>0</v>
      </c>
      <c r="O3172" s="370" cm="1">
        <f t="array" ref="O3172">+_xlfn.SWITCH(MONTH(C3172),1,1,2,1,3,1,4,2,5,2,6,3,7,3,8,3,9,3,10,2,11,2,12,1,2)</f>
        <v>1</v>
      </c>
      <c r="P3172" s="43"/>
    </row>
    <row r="3173" spans="1:16" ht="18" x14ac:dyDescent="0.35">
      <c r="A3173" s="43"/>
      <c r="C3173" s="393"/>
      <c r="E3173" s="394"/>
      <c r="F3173" s="394">
        <v>0</v>
      </c>
      <c r="G3173" s="394"/>
      <c r="H3173" s="8" t="s">
        <v>235</v>
      </c>
      <c r="I3173" s="368">
        <f t="shared" si="148"/>
        <v>0</v>
      </c>
      <c r="J3173" s="365">
        <f t="shared" si="147"/>
        <v>0</v>
      </c>
      <c r="K3173" s="369">
        <f t="shared" si="149"/>
        <v>6</v>
      </c>
      <c r="L3173" s="369">
        <f>+IF((C3173&gt;='Resultats - informe'!$E$16)*(C3173&lt;='Resultats - informe'!$G$16),1,0)</f>
        <v>1</v>
      </c>
      <c r="M3173" s="369" cm="1">
        <f t="array" ref="M3173">+_xlfn.IFS((C3173&gt;='Resultats - informe'!$D$26)*(C3173&lt;='Resultats - informe'!$E$26),0,(C3173&gt;='Resultats - informe'!$D$27)*(C3173&lt;='Resultats - informe'!$E$27),0,(C3173&gt;='Resultats - informe'!$D$28)*(C3173&lt;='Resultats - informe'!$E$28),0,(C3173&gt;='Resultats - informe'!$D$29)*(C3173&lt;='Resultats - informe'!$E$29),0,1,1)</f>
        <v>0</v>
      </c>
      <c r="N3173" s="366">
        <f>+VLOOKUP(D3173,'Resultats - informe'!$Y$18:$AG$42,'Introducció dades consum'!K3173+1,0)</f>
        <v>0</v>
      </c>
      <c r="O3173" s="370" cm="1">
        <f t="array" ref="O3173">+_xlfn.SWITCH(MONTH(C3173),1,1,2,1,3,1,4,2,5,2,6,3,7,3,8,3,9,3,10,2,11,2,12,1,2)</f>
        <v>1</v>
      </c>
      <c r="P3173" s="43"/>
    </row>
    <row r="3174" spans="1:16" ht="18" x14ac:dyDescent="0.35">
      <c r="A3174" s="43"/>
      <c r="C3174" s="393"/>
      <c r="E3174" s="394"/>
      <c r="F3174" s="394">
        <v>0</v>
      </c>
      <c r="G3174" s="394"/>
      <c r="H3174" s="8" t="s">
        <v>61</v>
      </c>
      <c r="I3174" s="368">
        <f t="shared" si="148"/>
        <v>0</v>
      </c>
      <c r="J3174" s="365">
        <f t="shared" si="147"/>
        <v>0</v>
      </c>
      <c r="K3174" s="369">
        <f t="shared" si="149"/>
        <v>6</v>
      </c>
      <c r="L3174" s="369">
        <f>+IF((C3174&gt;='Resultats - informe'!$E$16)*(C3174&lt;='Resultats - informe'!$G$16),1,0)</f>
        <v>1</v>
      </c>
      <c r="M3174" s="369" cm="1">
        <f t="array" ref="M3174">+_xlfn.IFS((C3174&gt;='Resultats - informe'!$D$26)*(C3174&lt;='Resultats - informe'!$E$26),0,(C3174&gt;='Resultats - informe'!$D$27)*(C3174&lt;='Resultats - informe'!$E$27),0,(C3174&gt;='Resultats - informe'!$D$28)*(C3174&lt;='Resultats - informe'!$E$28),0,(C3174&gt;='Resultats - informe'!$D$29)*(C3174&lt;='Resultats - informe'!$E$29),0,1,1)</f>
        <v>0</v>
      </c>
      <c r="N3174" s="366">
        <f>+VLOOKUP(D3174,'Resultats - informe'!$Y$18:$AG$42,'Introducció dades consum'!K3174+1,0)</f>
        <v>0</v>
      </c>
      <c r="O3174" s="370" cm="1">
        <f t="array" ref="O3174">+_xlfn.SWITCH(MONTH(C3174),1,1,2,1,3,1,4,2,5,2,6,3,7,3,8,3,9,3,10,2,11,2,12,1,2)</f>
        <v>1</v>
      </c>
      <c r="P3174" s="43"/>
    </row>
    <row r="3175" spans="1:16" ht="18" x14ac:dyDescent="0.35">
      <c r="A3175" s="43"/>
      <c r="C3175" s="393"/>
      <c r="E3175" s="394"/>
      <c r="F3175" s="394">
        <v>0</v>
      </c>
      <c r="G3175" s="394"/>
      <c r="H3175" s="8" t="s">
        <v>61</v>
      </c>
      <c r="I3175" s="368">
        <f t="shared" si="148"/>
        <v>0</v>
      </c>
      <c r="J3175" s="365">
        <f t="shared" si="147"/>
        <v>0</v>
      </c>
      <c r="K3175" s="369">
        <f t="shared" si="149"/>
        <v>6</v>
      </c>
      <c r="L3175" s="369">
        <f>+IF((C3175&gt;='Resultats - informe'!$E$16)*(C3175&lt;='Resultats - informe'!$G$16),1,0)</f>
        <v>1</v>
      </c>
      <c r="M3175" s="369" cm="1">
        <f t="array" ref="M3175">+_xlfn.IFS((C3175&gt;='Resultats - informe'!$D$26)*(C3175&lt;='Resultats - informe'!$E$26),0,(C3175&gt;='Resultats - informe'!$D$27)*(C3175&lt;='Resultats - informe'!$E$27),0,(C3175&gt;='Resultats - informe'!$D$28)*(C3175&lt;='Resultats - informe'!$E$28),0,(C3175&gt;='Resultats - informe'!$D$29)*(C3175&lt;='Resultats - informe'!$E$29),0,1,1)</f>
        <v>0</v>
      </c>
      <c r="N3175" s="366">
        <f>+VLOOKUP(D3175,'Resultats - informe'!$Y$18:$AG$42,'Introducció dades consum'!K3175+1,0)</f>
        <v>0</v>
      </c>
      <c r="O3175" s="370" cm="1">
        <f t="array" ref="O3175">+_xlfn.SWITCH(MONTH(C3175),1,1,2,1,3,1,4,2,5,2,6,3,7,3,8,3,9,3,10,2,11,2,12,1,2)</f>
        <v>1</v>
      </c>
      <c r="P3175" s="43"/>
    </row>
    <row r="3176" spans="1:16" ht="18" x14ac:dyDescent="0.35">
      <c r="A3176" s="43"/>
      <c r="C3176" s="393"/>
      <c r="E3176" s="394"/>
      <c r="F3176" s="394">
        <v>0</v>
      </c>
      <c r="G3176" s="394"/>
      <c r="H3176" s="8" t="s">
        <v>235</v>
      </c>
      <c r="I3176" s="368">
        <f t="shared" si="148"/>
        <v>0</v>
      </c>
      <c r="J3176" s="365">
        <f t="shared" si="147"/>
        <v>0</v>
      </c>
      <c r="K3176" s="369">
        <f t="shared" si="149"/>
        <v>6</v>
      </c>
      <c r="L3176" s="369">
        <f>+IF((C3176&gt;='Resultats - informe'!$E$16)*(C3176&lt;='Resultats - informe'!$G$16),1,0)</f>
        <v>1</v>
      </c>
      <c r="M3176" s="369" cm="1">
        <f t="array" ref="M3176">+_xlfn.IFS((C3176&gt;='Resultats - informe'!$D$26)*(C3176&lt;='Resultats - informe'!$E$26),0,(C3176&gt;='Resultats - informe'!$D$27)*(C3176&lt;='Resultats - informe'!$E$27),0,(C3176&gt;='Resultats - informe'!$D$28)*(C3176&lt;='Resultats - informe'!$E$28),0,(C3176&gt;='Resultats - informe'!$D$29)*(C3176&lt;='Resultats - informe'!$E$29),0,1,1)</f>
        <v>0</v>
      </c>
      <c r="N3176" s="366">
        <f>+VLOOKUP(D3176,'Resultats - informe'!$Y$18:$AG$42,'Introducció dades consum'!K3176+1,0)</f>
        <v>0</v>
      </c>
      <c r="O3176" s="370" cm="1">
        <f t="array" ref="O3176">+_xlfn.SWITCH(MONTH(C3176),1,1,2,1,3,1,4,2,5,2,6,3,7,3,8,3,9,3,10,2,11,2,12,1,2)</f>
        <v>1</v>
      </c>
      <c r="P3176" s="43"/>
    </row>
    <row r="3177" spans="1:16" ht="18" x14ac:dyDescent="0.35">
      <c r="A3177" s="43"/>
      <c r="C3177" s="393"/>
      <c r="E3177" s="394"/>
      <c r="F3177" s="394">
        <v>0.26400000000000001</v>
      </c>
      <c r="G3177" s="394"/>
      <c r="H3177" s="8" t="s">
        <v>235</v>
      </c>
      <c r="I3177" s="368">
        <f t="shared" si="148"/>
        <v>0</v>
      </c>
      <c r="J3177" s="365">
        <f t="shared" si="147"/>
        <v>0</v>
      </c>
      <c r="K3177" s="369">
        <f t="shared" si="149"/>
        <v>6</v>
      </c>
      <c r="L3177" s="369">
        <f>+IF((C3177&gt;='Resultats - informe'!$E$16)*(C3177&lt;='Resultats - informe'!$G$16),1,0)</f>
        <v>1</v>
      </c>
      <c r="M3177" s="369" cm="1">
        <f t="array" ref="M3177">+_xlfn.IFS((C3177&gt;='Resultats - informe'!$D$26)*(C3177&lt;='Resultats - informe'!$E$26),0,(C3177&gt;='Resultats - informe'!$D$27)*(C3177&lt;='Resultats - informe'!$E$27),0,(C3177&gt;='Resultats - informe'!$D$28)*(C3177&lt;='Resultats - informe'!$E$28),0,(C3177&gt;='Resultats - informe'!$D$29)*(C3177&lt;='Resultats - informe'!$E$29),0,1,1)</f>
        <v>0</v>
      </c>
      <c r="N3177" s="366">
        <f>+VLOOKUP(D3177,'Resultats - informe'!$Y$18:$AG$42,'Introducció dades consum'!K3177+1,0)</f>
        <v>0</v>
      </c>
      <c r="O3177" s="370" cm="1">
        <f t="array" ref="O3177">+_xlfn.SWITCH(MONTH(C3177),1,1,2,1,3,1,4,2,5,2,6,3,7,3,8,3,9,3,10,2,11,2,12,1,2)</f>
        <v>1</v>
      </c>
      <c r="P3177" s="43"/>
    </row>
    <row r="3178" spans="1:16" ht="18" x14ac:dyDescent="0.35">
      <c r="A3178" s="43"/>
      <c r="C3178" s="393"/>
      <c r="E3178" s="394"/>
      <c r="F3178" s="394">
        <v>1.0069999999999999</v>
      </c>
      <c r="G3178" s="394"/>
      <c r="H3178" s="8" t="s">
        <v>235</v>
      </c>
      <c r="I3178" s="368">
        <f t="shared" si="148"/>
        <v>0</v>
      </c>
      <c r="J3178" s="365">
        <f t="shared" si="147"/>
        <v>0</v>
      </c>
      <c r="K3178" s="369">
        <f t="shared" si="149"/>
        <v>6</v>
      </c>
      <c r="L3178" s="369">
        <f>+IF((C3178&gt;='Resultats - informe'!$E$16)*(C3178&lt;='Resultats - informe'!$G$16),1,0)</f>
        <v>1</v>
      </c>
      <c r="M3178" s="369" cm="1">
        <f t="array" ref="M3178">+_xlfn.IFS((C3178&gt;='Resultats - informe'!$D$26)*(C3178&lt;='Resultats - informe'!$E$26),0,(C3178&gt;='Resultats - informe'!$D$27)*(C3178&lt;='Resultats - informe'!$E$27),0,(C3178&gt;='Resultats - informe'!$D$28)*(C3178&lt;='Resultats - informe'!$E$28),0,(C3178&gt;='Resultats - informe'!$D$29)*(C3178&lt;='Resultats - informe'!$E$29),0,1,1)</f>
        <v>0</v>
      </c>
      <c r="N3178" s="366">
        <f>+VLOOKUP(D3178,'Resultats - informe'!$Y$18:$AG$42,'Introducció dades consum'!K3178+1,0)</f>
        <v>0</v>
      </c>
      <c r="O3178" s="370" cm="1">
        <f t="array" ref="O3178">+_xlfn.SWITCH(MONTH(C3178),1,1,2,1,3,1,4,2,5,2,6,3,7,3,8,3,9,3,10,2,11,2,12,1,2)</f>
        <v>1</v>
      </c>
      <c r="P3178" s="43"/>
    </row>
    <row r="3179" spans="1:16" ht="18" x14ac:dyDescent="0.35">
      <c r="A3179" s="43"/>
      <c r="C3179" s="393"/>
      <c r="E3179" s="394"/>
      <c r="F3179" s="394">
        <v>0</v>
      </c>
      <c r="G3179" s="394"/>
      <c r="H3179" s="8" t="s">
        <v>61</v>
      </c>
      <c r="I3179" s="368">
        <f t="shared" si="148"/>
        <v>0</v>
      </c>
      <c r="J3179" s="365">
        <f t="shared" si="147"/>
        <v>0</v>
      </c>
      <c r="K3179" s="369">
        <f t="shared" si="149"/>
        <v>6</v>
      </c>
      <c r="L3179" s="369">
        <f>+IF((C3179&gt;='Resultats - informe'!$E$16)*(C3179&lt;='Resultats - informe'!$G$16),1,0)</f>
        <v>1</v>
      </c>
      <c r="M3179" s="369" cm="1">
        <f t="array" ref="M3179">+_xlfn.IFS((C3179&gt;='Resultats - informe'!$D$26)*(C3179&lt;='Resultats - informe'!$E$26),0,(C3179&gt;='Resultats - informe'!$D$27)*(C3179&lt;='Resultats - informe'!$E$27),0,(C3179&gt;='Resultats - informe'!$D$28)*(C3179&lt;='Resultats - informe'!$E$28),0,(C3179&gt;='Resultats - informe'!$D$29)*(C3179&lt;='Resultats - informe'!$E$29),0,1,1)</f>
        <v>0</v>
      </c>
      <c r="N3179" s="366">
        <f>+VLOOKUP(D3179,'Resultats - informe'!$Y$18:$AG$42,'Introducció dades consum'!K3179+1,0)</f>
        <v>0</v>
      </c>
      <c r="O3179" s="370" cm="1">
        <f t="array" ref="O3179">+_xlfn.SWITCH(MONTH(C3179),1,1,2,1,3,1,4,2,5,2,6,3,7,3,8,3,9,3,10,2,11,2,12,1,2)</f>
        <v>1</v>
      </c>
      <c r="P3179" s="43"/>
    </row>
    <row r="3180" spans="1:16" ht="18" x14ac:dyDescent="0.35">
      <c r="A3180" s="43"/>
      <c r="C3180" s="393"/>
      <c r="E3180" s="394"/>
      <c r="F3180" s="394">
        <v>1.6619999999999999</v>
      </c>
      <c r="G3180" s="394"/>
      <c r="H3180" s="8" t="s">
        <v>235</v>
      </c>
      <c r="I3180" s="368">
        <f t="shared" si="148"/>
        <v>0</v>
      </c>
      <c r="J3180" s="365">
        <f t="shared" si="147"/>
        <v>0</v>
      </c>
      <c r="K3180" s="369">
        <f t="shared" si="149"/>
        <v>6</v>
      </c>
      <c r="L3180" s="369">
        <f>+IF((C3180&gt;='Resultats - informe'!$E$16)*(C3180&lt;='Resultats - informe'!$G$16),1,0)</f>
        <v>1</v>
      </c>
      <c r="M3180" s="369" cm="1">
        <f t="array" ref="M3180">+_xlfn.IFS((C3180&gt;='Resultats - informe'!$D$26)*(C3180&lt;='Resultats - informe'!$E$26),0,(C3180&gt;='Resultats - informe'!$D$27)*(C3180&lt;='Resultats - informe'!$E$27),0,(C3180&gt;='Resultats - informe'!$D$28)*(C3180&lt;='Resultats - informe'!$E$28),0,(C3180&gt;='Resultats - informe'!$D$29)*(C3180&lt;='Resultats - informe'!$E$29),0,1,1)</f>
        <v>0</v>
      </c>
      <c r="N3180" s="366">
        <f>+VLOOKUP(D3180,'Resultats - informe'!$Y$18:$AG$42,'Introducció dades consum'!K3180+1,0)</f>
        <v>0</v>
      </c>
      <c r="O3180" s="370" cm="1">
        <f t="array" ref="O3180">+_xlfn.SWITCH(MONTH(C3180),1,1,2,1,3,1,4,2,5,2,6,3,7,3,8,3,9,3,10,2,11,2,12,1,2)</f>
        <v>1</v>
      </c>
      <c r="P3180" s="43"/>
    </row>
    <row r="3181" spans="1:16" ht="18" x14ac:dyDescent="0.35">
      <c r="A3181" s="43"/>
      <c r="C3181" s="393"/>
      <c r="E3181" s="394"/>
      <c r="F3181" s="394">
        <v>2.5920000000000001</v>
      </c>
      <c r="G3181" s="394"/>
      <c r="H3181" s="8" t="s">
        <v>235</v>
      </c>
      <c r="I3181" s="368">
        <f t="shared" si="148"/>
        <v>0</v>
      </c>
      <c r="J3181" s="365">
        <f t="shared" si="147"/>
        <v>0</v>
      </c>
      <c r="K3181" s="369">
        <f t="shared" si="149"/>
        <v>6</v>
      </c>
      <c r="L3181" s="369">
        <f>+IF((C3181&gt;='Resultats - informe'!$E$16)*(C3181&lt;='Resultats - informe'!$G$16),1,0)</f>
        <v>1</v>
      </c>
      <c r="M3181" s="369" cm="1">
        <f t="array" ref="M3181">+_xlfn.IFS((C3181&gt;='Resultats - informe'!$D$26)*(C3181&lt;='Resultats - informe'!$E$26),0,(C3181&gt;='Resultats - informe'!$D$27)*(C3181&lt;='Resultats - informe'!$E$27),0,(C3181&gt;='Resultats - informe'!$D$28)*(C3181&lt;='Resultats - informe'!$E$28),0,(C3181&gt;='Resultats - informe'!$D$29)*(C3181&lt;='Resultats - informe'!$E$29),0,1,1)</f>
        <v>0</v>
      </c>
      <c r="N3181" s="366">
        <f>+VLOOKUP(D3181,'Resultats - informe'!$Y$18:$AG$42,'Introducció dades consum'!K3181+1,0)</f>
        <v>0</v>
      </c>
      <c r="O3181" s="370" cm="1">
        <f t="array" ref="O3181">+_xlfn.SWITCH(MONTH(C3181),1,1,2,1,3,1,4,2,5,2,6,3,7,3,8,3,9,3,10,2,11,2,12,1,2)</f>
        <v>1</v>
      </c>
      <c r="P3181" s="43"/>
    </row>
    <row r="3182" spans="1:16" ht="18" x14ac:dyDescent="0.35">
      <c r="A3182" s="43"/>
      <c r="C3182" s="393"/>
      <c r="E3182" s="394"/>
      <c r="F3182" s="394">
        <v>1.198</v>
      </c>
      <c r="G3182" s="394"/>
      <c r="H3182" s="8" t="s">
        <v>61</v>
      </c>
      <c r="I3182" s="368">
        <f t="shared" si="148"/>
        <v>0</v>
      </c>
      <c r="J3182" s="365">
        <f t="shared" si="147"/>
        <v>0</v>
      </c>
      <c r="K3182" s="369">
        <f t="shared" si="149"/>
        <v>6</v>
      </c>
      <c r="L3182" s="369">
        <f>+IF((C3182&gt;='Resultats - informe'!$E$16)*(C3182&lt;='Resultats - informe'!$G$16),1,0)</f>
        <v>1</v>
      </c>
      <c r="M3182" s="369" cm="1">
        <f t="array" ref="M3182">+_xlfn.IFS((C3182&gt;='Resultats - informe'!$D$26)*(C3182&lt;='Resultats - informe'!$E$26),0,(C3182&gt;='Resultats - informe'!$D$27)*(C3182&lt;='Resultats - informe'!$E$27),0,(C3182&gt;='Resultats - informe'!$D$28)*(C3182&lt;='Resultats - informe'!$E$28),0,(C3182&gt;='Resultats - informe'!$D$29)*(C3182&lt;='Resultats - informe'!$E$29),0,1,1)</f>
        <v>0</v>
      </c>
      <c r="N3182" s="366">
        <f>+VLOOKUP(D3182,'Resultats - informe'!$Y$18:$AG$42,'Introducció dades consum'!K3182+1,0)</f>
        <v>0</v>
      </c>
      <c r="O3182" s="370" cm="1">
        <f t="array" ref="O3182">+_xlfn.SWITCH(MONTH(C3182),1,1,2,1,3,1,4,2,5,2,6,3,7,3,8,3,9,3,10,2,11,2,12,1,2)</f>
        <v>1</v>
      </c>
      <c r="P3182" s="43"/>
    </row>
    <row r="3183" spans="1:16" ht="18" x14ac:dyDescent="0.35">
      <c r="A3183" s="43"/>
      <c r="C3183" s="393"/>
      <c r="E3183" s="394"/>
      <c r="F3183" s="394">
        <v>0</v>
      </c>
      <c r="G3183" s="394"/>
      <c r="H3183" s="8" t="s">
        <v>61</v>
      </c>
      <c r="I3183" s="368">
        <f t="shared" si="148"/>
        <v>0</v>
      </c>
      <c r="J3183" s="365">
        <f t="shared" si="147"/>
        <v>0</v>
      </c>
      <c r="K3183" s="369">
        <f t="shared" si="149"/>
        <v>6</v>
      </c>
      <c r="L3183" s="369">
        <f>+IF((C3183&gt;='Resultats - informe'!$E$16)*(C3183&lt;='Resultats - informe'!$G$16),1,0)</f>
        <v>1</v>
      </c>
      <c r="M3183" s="369" cm="1">
        <f t="array" ref="M3183">+_xlfn.IFS((C3183&gt;='Resultats - informe'!$D$26)*(C3183&lt;='Resultats - informe'!$E$26),0,(C3183&gt;='Resultats - informe'!$D$27)*(C3183&lt;='Resultats - informe'!$E$27),0,(C3183&gt;='Resultats - informe'!$D$28)*(C3183&lt;='Resultats - informe'!$E$28),0,(C3183&gt;='Resultats - informe'!$D$29)*(C3183&lt;='Resultats - informe'!$E$29),0,1,1)</f>
        <v>0</v>
      </c>
      <c r="N3183" s="366">
        <f>+VLOOKUP(D3183,'Resultats - informe'!$Y$18:$AG$42,'Introducció dades consum'!K3183+1,0)</f>
        <v>0</v>
      </c>
      <c r="O3183" s="370" cm="1">
        <f t="array" ref="O3183">+_xlfn.SWITCH(MONTH(C3183),1,1,2,1,3,1,4,2,5,2,6,3,7,3,8,3,9,3,10,2,11,2,12,1,2)</f>
        <v>1</v>
      </c>
      <c r="P3183" s="43"/>
    </row>
    <row r="3184" spans="1:16" ht="18" x14ac:dyDescent="0.35">
      <c r="A3184" s="43"/>
      <c r="C3184" s="393"/>
      <c r="E3184" s="394"/>
      <c r="F3184" s="394">
        <v>0</v>
      </c>
      <c r="G3184" s="394"/>
      <c r="H3184" s="8" t="s">
        <v>61</v>
      </c>
      <c r="I3184" s="368">
        <f t="shared" si="148"/>
        <v>0</v>
      </c>
      <c r="J3184" s="365">
        <f t="shared" si="147"/>
        <v>0</v>
      </c>
      <c r="K3184" s="369">
        <f t="shared" si="149"/>
        <v>6</v>
      </c>
      <c r="L3184" s="369">
        <f>+IF((C3184&gt;='Resultats - informe'!$E$16)*(C3184&lt;='Resultats - informe'!$G$16),1,0)</f>
        <v>1</v>
      </c>
      <c r="M3184" s="369" cm="1">
        <f t="array" ref="M3184">+_xlfn.IFS((C3184&gt;='Resultats - informe'!$D$26)*(C3184&lt;='Resultats - informe'!$E$26),0,(C3184&gt;='Resultats - informe'!$D$27)*(C3184&lt;='Resultats - informe'!$E$27),0,(C3184&gt;='Resultats - informe'!$D$28)*(C3184&lt;='Resultats - informe'!$E$28),0,(C3184&gt;='Resultats - informe'!$D$29)*(C3184&lt;='Resultats - informe'!$E$29),0,1,1)</f>
        <v>0</v>
      </c>
      <c r="N3184" s="366">
        <f>+VLOOKUP(D3184,'Resultats - informe'!$Y$18:$AG$42,'Introducció dades consum'!K3184+1,0)</f>
        <v>0</v>
      </c>
      <c r="O3184" s="370" cm="1">
        <f t="array" ref="O3184">+_xlfn.SWITCH(MONTH(C3184),1,1,2,1,3,1,4,2,5,2,6,3,7,3,8,3,9,3,10,2,11,2,12,1,2)</f>
        <v>1</v>
      </c>
      <c r="P3184" s="43"/>
    </row>
    <row r="3185" spans="1:16" ht="18" x14ac:dyDescent="0.35">
      <c r="A3185" s="43"/>
      <c r="C3185" s="393"/>
      <c r="E3185" s="394"/>
      <c r="F3185" s="394">
        <v>2.7530000000000001</v>
      </c>
      <c r="G3185" s="394"/>
      <c r="H3185" s="8" t="s">
        <v>235</v>
      </c>
      <c r="I3185" s="368">
        <f t="shared" si="148"/>
        <v>0</v>
      </c>
      <c r="J3185" s="365">
        <f t="shared" si="147"/>
        <v>0</v>
      </c>
      <c r="K3185" s="369">
        <f t="shared" si="149"/>
        <v>6</v>
      </c>
      <c r="L3185" s="369">
        <f>+IF((C3185&gt;='Resultats - informe'!$E$16)*(C3185&lt;='Resultats - informe'!$G$16),1,0)</f>
        <v>1</v>
      </c>
      <c r="M3185" s="369" cm="1">
        <f t="array" ref="M3185">+_xlfn.IFS((C3185&gt;='Resultats - informe'!$D$26)*(C3185&lt;='Resultats - informe'!$E$26),0,(C3185&gt;='Resultats - informe'!$D$27)*(C3185&lt;='Resultats - informe'!$E$27),0,(C3185&gt;='Resultats - informe'!$D$28)*(C3185&lt;='Resultats - informe'!$E$28),0,(C3185&gt;='Resultats - informe'!$D$29)*(C3185&lt;='Resultats - informe'!$E$29),0,1,1)</f>
        <v>0</v>
      </c>
      <c r="N3185" s="366">
        <f>+VLOOKUP(D3185,'Resultats - informe'!$Y$18:$AG$42,'Introducció dades consum'!K3185+1,0)</f>
        <v>0</v>
      </c>
      <c r="O3185" s="370" cm="1">
        <f t="array" ref="O3185">+_xlfn.SWITCH(MONTH(C3185),1,1,2,1,3,1,4,2,5,2,6,3,7,3,8,3,9,3,10,2,11,2,12,1,2)</f>
        <v>1</v>
      </c>
      <c r="P3185" s="43"/>
    </row>
    <row r="3186" spans="1:16" ht="18" x14ac:dyDescent="0.35">
      <c r="A3186" s="43"/>
      <c r="C3186" s="393"/>
      <c r="E3186" s="394"/>
      <c r="F3186" s="394">
        <v>1.861</v>
      </c>
      <c r="G3186" s="394"/>
      <c r="H3186" s="8" t="s">
        <v>235</v>
      </c>
      <c r="I3186" s="368">
        <f t="shared" si="148"/>
        <v>0</v>
      </c>
      <c r="J3186" s="365">
        <f t="shared" si="147"/>
        <v>0</v>
      </c>
      <c r="K3186" s="369">
        <f t="shared" si="149"/>
        <v>6</v>
      </c>
      <c r="L3186" s="369">
        <f>+IF((C3186&gt;='Resultats - informe'!$E$16)*(C3186&lt;='Resultats - informe'!$G$16),1,0)</f>
        <v>1</v>
      </c>
      <c r="M3186" s="369" cm="1">
        <f t="array" ref="M3186">+_xlfn.IFS((C3186&gt;='Resultats - informe'!$D$26)*(C3186&lt;='Resultats - informe'!$E$26),0,(C3186&gt;='Resultats - informe'!$D$27)*(C3186&lt;='Resultats - informe'!$E$27),0,(C3186&gt;='Resultats - informe'!$D$28)*(C3186&lt;='Resultats - informe'!$E$28),0,(C3186&gt;='Resultats - informe'!$D$29)*(C3186&lt;='Resultats - informe'!$E$29),0,1,1)</f>
        <v>0</v>
      </c>
      <c r="N3186" s="366">
        <f>+VLOOKUP(D3186,'Resultats - informe'!$Y$18:$AG$42,'Introducció dades consum'!K3186+1,0)</f>
        <v>0</v>
      </c>
      <c r="O3186" s="370" cm="1">
        <f t="array" ref="O3186">+_xlfn.SWITCH(MONTH(C3186),1,1,2,1,3,1,4,2,5,2,6,3,7,3,8,3,9,3,10,2,11,2,12,1,2)</f>
        <v>1</v>
      </c>
      <c r="P3186" s="43"/>
    </row>
    <row r="3187" spans="1:16" ht="18" x14ac:dyDescent="0.35">
      <c r="A3187" s="43"/>
      <c r="C3187" s="393"/>
      <c r="E3187" s="394"/>
      <c r="F3187" s="394">
        <v>1.714</v>
      </c>
      <c r="G3187" s="394"/>
      <c r="H3187" s="8" t="s">
        <v>235</v>
      </c>
      <c r="I3187" s="368">
        <f t="shared" si="148"/>
        <v>0</v>
      </c>
      <c r="J3187" s="365">
        <f t="shared" si="147"/>
        <v>0</v>
      </c>
      <c r="K3187" s="369">
        <f t="shared" si="149"/>
        <v>6</v>
      </c>
      <c r="L3187" s="369">
        <f>+IF((C3187&gt;='Resultats - informe'!$E$16)*(C3187&lt;='Resultats - informe'!$G$16),1,0)</f>
        <v>1</v>
      </c>
      <c r="M3187" s="369" cm="1">
        <f t="array" ref="M3187">+_xlfn.IFS((C3187&gt;='Resultats - informe'!$D$26)*(C3187&lt;='Resultats - informe'!$E$26),0,(C3187&gt;='Resultats - informe'!$D$27)*(C3187&lt;='Resultats - informe'!$E$27),0,(C3187&gt;='Resultats - informe'!$D$28)*(C3187&lt;='Resultats - informe'!$E$28),0,(C3187&gt;='Resultats - informe'!$D$29)*(C3187&lt;='Resultats - informe'!$E$29),0,1,1)</f>
        <v>0</v>
      </c>
      <c r="N3187" s="366">
        <f>+VLOOKUP(D3187,'Resultats - informe'!$Y$18:$AG$42,'Introducció dades consum'!K3187+1,0)</f>
        <v>0</v>
      </c>
      <c r="O3187" s="370" cm="1">
        <f t="array" ref="O3187">+_xlfn.SWITCH(MONTH(C3187),1,1,2,1,3,1,4,2,5,2,6,3,7,3,8,3,9,3,10,2,11,2,12,1,2)</f>
        <v>1</v>
      </c>
      <c r="P3187" s="43"/>
    </row>
    <row r="3188" spans="1:16" ht="18" x14ac:dyDescent="0.35">
      <c r="A3188" s="43"/>
      <c r="C3188" s="393"/>
      <c r="E3188" s="394"/>
      <c r="F3188" s="394">
        <v>0.152</v>
      </c>
      <c r="G3188" s="394"/>
      <c r="H3188" s="8" t="s">
        <v>235</v>
      </c>
      <c r="I3188" s="368">
        <f t="shared" si="148"/>
        <v>0</v>
      </c>
      <c r="J3188" s="365">
        <f t="shared" si="147"/>
        <v>0</v>
      </c>
      <c r="K3188" s="369">
        <f t="shared" si="149"/>
        <v>6</v>
      </c>
      <c r="L3188" s="369">
        <f>+IF((C3188&gt;='Resultats - informe'!$E$16)*(C3188&lt;='Resultats - informe'!$G$16),1,0)</f>
        <v>1</v>
      </c>
      <c r="M3188" s="369" cm="1">
        <f t="array" ref="M3188">+_xlfn.IFS((C3188&gt;='Resultats - informe'!$D$26)*(C3188&lt;='Resultats - informe'!$E$26),0,(C3188&gt;='Resultats - informe'!$D$27)*(C3188&lt;='Resultats - informe'!$E$27),0,(C3188&gt;='Resultats - informe'!$D$28)*(C3188&lt;='Resultats - informe'!$E$28),0,(C3188&gt;='Resultats - informe'!$D$29)*(C3188&lt;='Resultats - informe'!$E$29),0,1,1)</f>
        <v>0</v>
      </c>
      <c r="N3188" s="366">
        <f>+VLOOKUP(D3188,'Resultats - informe'!$Y$18:$AG$42,'Introducció dades consum'!K3188+1,0)</f>
        <v>0</v>
      </c>
      <c r="O3188" s="370" cm="1">
        <f t="array" ref="O3188">+_xlfn.SWITCH(MONTH(C3188),1,1,2,1,3,1,4,2,5,2,6,3,7,3,8,3,9,3,10,2,11,2,12,1,2)</f>
        <v>1</v>
      </c>
      <c r="P3188" s="43"/>
    </row>
    <row r="3189" spans="1:16" ht="18" x14ac:dyDescent="0.35">
      <c r="A3189" s="43"/>
      <c r="C3189" s="393"/>
      <c r="E3189" s="394"/>
      <c r="F3189" s="394">
        <v>0</v>
      </c>
      <c r="G3189" s="394"/>
      <c r="H3189" s="8" t="s">
        <v>61</v>
      </c>
      <c r="I3189" s="368">
        <f t="shared" si="148"/>
        <v>0</v>
      </c>
      <c r="J3189" s="365">
        <f t="shared" si="147"/>
        <v>0</v>
      </c>
      <c r="K3189" s="369">
        <f t="shared" si="149"/>
        <v>6</v>
      </c>
      <c r="L3189" s="369">
        <f>+IF((C3189&gt;='Resultats - informe'!$E$16)*(C3189&lt;='Resultats - informe'!$G$16),1,0)</f>
        <v>1</v>
      </c>
      <c r="M3189" s="369" cm="1">
        <f t="array" ref="M3189">+_xlfn.IFS((C3189&gt;='Resultats - informe'!$D$26)*(C3189&lt;='Resultats - informe'!$E$26),0,(C3189&gt;='Resultats - informe'!$D$27)*(C3189&lt;='Resultats - informe'!$E$27),0,(C3189&gt;='Resultats - informe'!$D$28)*(C3189&lt;='Resultats - informe'!$E$28),0,(C3189&gt;='Resultats - informe'!$D$29)*(C3189&lt;='Resultats - informe'!$E$29),0,1,1)</f>
        <v>0</v>
      </c>
      <c r="N3189" s="366">
        <f>+VLOOKUP(D3189,'Resultats - informe'!$Y$18:$AG$42,'Introducció dades consum'!K3189+1,0)</f>
        <v>0</v>
      </c>
      <c r="O3189" s="370" cm="1">
        <f t="array" ref="O3189">+_xlfn.SWITCH(MONTH(C3189),1,1,2,1,3,1,4,2,5,2,6,3,7,3,8,3,9,3,10,2,11,2,12,1,2)</f>
        <v>1</v>
      </c>
      <c r="P3189" s="43"/>
    </row>
    <row r="3190" spans="1:16" ht="18" x14ac:dyDescent="0.35">
      <c r="A3190" s="43"/>
      <c r="C3190" s="393"/>
      <c r="E3190" s="394"/>
      <c r="F3190" s="394">
        <v>0</v>
      </c>
      <c r="G3190" s="394"/>
      <c r="H3190" s="8" t="s">
        <v>235</v>
      </c>
      <c r="I3190" s="368">
        <f t="shared" si="148"/>
        <v>0</v>
      </c>
      <c r="J3190" s="365">
        <f t="shared" si="147"/>
        <v>0</v>
      </c>
      <c r="K3190" s="369">
        <f t="shared" si="149"/>
        <v>6</v>
      </c>
      <c r="L3190" s="369">
        <f>+IF((C3190&gt;='Resultats - informe'!$E$16)*(C3190&lt;='Resultats - informe'!$G$16),1,0)</f>
        <v>1</v>
      </c>
      <c r="M3190" s="369" cm="1">
        <f t="array" ref="M3190">+_xlfn.IFS((C3190&gt;='Resultats - informe'!$D$26)*(C3190&lt;='Resultats - informe'!$E$26),0,(C3190&gt;='Resultats - informe'!$D$27)*(C3190&lt;='Resultats - informe'!$E$27),0,(C3190&gt;='Resultats - informe'!$D$28)*(C3190&lt;='Resultats - informe'!$E$28),0,(C3190&gt;='Resultats - informe'!$D$29)*(C3190&lt;='Resultats - informe'!$E$29),0,1,1)</f>
        <v>0</v>
      </c>
      <c r="N3190" s="366">
        <f>+VLOOKUP(D3190,'Resultats - informe'!$Y$18:$AG$42,'Introducció dades consum'!K3190+1,0)</f>
        <v>0</v>
      </c>
      <c r="O3190" s="370" cm="1">
        <f t="array" ref="O3190">+_xlfn.SWITCH(MONTH(C3190),1,1,2,1,3,1,4,2,5,2,6,3,7,3,8,3,9,3,10,2,11,2,12,1,2)</f>
        <v>1</v>
      </c>
      <c r="P3190" s="43"/>
    </row>
    <row r="3191" spans="1:16" ht="18" x14ac:dyDescent="0.35">
      <c r="A3191" s="43"/>
      <c r="C3191" s="393"/>
      <c r="E3191" s="394"/>
      <c r="F3191" s="394">
        <v>0</v>
      </c>
      <c r="G3191" s="394"/>
      <c r="H3191" s="8" t="s">
        <v>235</v>
      </c>
      <c r="I3191" s="368">
        <f t="shared" si="148"/>
        <v>0</v>
      </c>
      <c r="J3191" s="365">
        <f t="shared" si="147"/>
        <v>0</v>
      </c>
      <c r="K3191" s="369">
        <f t="shared" si="149"/>
        <v>6</v>
      </c>
      <c r="L3191" s="369">
        <f>+IF((C3191&gt;='Resultats - informe'!$E$16)*(C3191&lt;='Resultats - informe'!$G$16),1,0)</f>
        <v>1</v>
      </c>
      <c r="M3191" s="369" cm="1">
        <f t="array" ref="M3191">+_xlfn.IFS((C3191&gt;='Resultats - informe'!$D$26)*(C3191&lt;='Resultats - informe'!$E$26),0,(C3191&gt;='Resultats - informe'!$D$27)*(C3191&lt;='Resultats - informe'!$E$27),0,(C3191&gt;='Resultats - informe'!$D$28)*(C3191&lt;='Resultats - informe'!$E$28),0,(C3191&gt;='Resultats - informe'!$D$29)*(C3191&lt;='Resultats - informe'!$E$29),0,1,1)</f>
        <v>0</v>
      </c>
      <c r="N3191" s="366">
        <f>+VLOOKUP(D3191,'Resultats - informe'!$Y$18:$AG$42,'Introducció dades consum'!K3191+1,0)</f>
        <v>0</v>
      </c>
      <c r="O3191" s="370" cm="1">
        <f t="array" ref="O3191">+_xlfn.SWITCH(MONTH(C3191),1,1,2,1,3,1,4,2,5,2,6,3,7,3,8,3,9,3,10,2,11,2,12,1,2)</f>
        <v>1</v>
      </c>
      <c r="P3191" s="43"/>
    </row>
    <row r="3192" spans="1:16" ht="18" x14ac:dyDescent="0.35">
      <c r="A3192" s="43"/>
      <c r="C3192" s="393"/>
      <c r="E3192" s="394"/>
      <c r="F3192" s="394">
        <v>0</v>
      </c>
      <c r="G3192" s="394"/>
      <c r="H3192" s="8" t="s">
        <v>61</v>
      </c>
      <c r="I3192" s="368">
        <f t="shared" si="148"/>
        <v>0</v>
      </c>
      <c r="J3192" s="365">
        <f t="shared" si="147"/>
        <v>0</v>
      </c>
      <c r="K3192" s="369">
        <f t="shared" si="149"/>
        <v>6</v>
      </c>
      <c r="L3192" s="369">
        <f>+IF((C3192&gt;='Resultats - informe'!$E$16)*(C3192&lt;='Resultats - informe'!$G$16),1,0)</f>
        <v>1</v>
      </c>
      <c r="M3192" s="369" cm="1">
        <f t="array" ref="M3192">+_xlfn.IFS((C3192&gt;='Resultats - informe'!$D$26)*(C3192&lt;='Resultats - informe'!$E$26),0,(C3192&gt;='Resultats - informe'!$D$27)*(C3192&lt;='Resultats - informe'!$E$27),0,(C3192&gt;='Resultats - informe'!$D$28)*(C3192&lt;='Resultats - informe'!$E$28),0,(C3192&gt;='Resultats - informe'!$D$29)*(C3192&lt;='Resultats - informe'!$E$29),0,1,1)</f>
        <v>0</v>
      </c>
      <c r="N3192" s="366">
        <f>+VLOOKUP(D3192,'Resultats - informe'!$Y$18:$AG$42,'Introducció dades consum'!K3192+1,0)</f>
        <v>0</v>
      </c>
      <c r="O3192" s="370" cm="1">
        <f t="array" ref="O3192">+_xlfn.SWITCH(MONTH(C3192),1,1,2,1,3,1,4,2,5,2,6,3,7,3,8,3,9,3,10,2,11,2,12,1,2)</f>
        <v>1</v>
      </c>
      <c r="P3192" s="43"/>
    </row>
    <row r="3193" spans="1:16" ht="18" x14ac:dyDescent="0.35">
      <c r="A3193" s="43"/>
      <c r="C3193" s="393"/>
      <c r="E3193" s="394"/>
      <c r="F3193" s="394">
        <v>0</v>
      </c>
      <c r="G3193" s="394"/>
      <c r="H3193" s="8" t="s">
        <v>61</v>
      </c>
      <c r="I3193" s="368">
        <f t="shared" si="148"/>
        <v>0</v>
      </c>
      <c r="J3193" s="365">
        <f t="shared" si="147"/>
        <v>0</v>
      </c>
      <c r="K3193" s="369">
        <f t="shared" si="149"/>
        <v>6</v>
      </c>
      <c r="L3193" s="369">
        <f>+IF((C3193&gt;='Resultats - informe'!$E$16)*(C3193&lt;='Resultats - informe'!$G$16),1,0)</f>
        <v>1</v>
      </c>
      <c r="M3193" s="369" cm="1">
        <f t="array" ref="M3193">+_xlfn.IFS((C3193&gt;='Resultats - informe'!$D$26)*(C3193&lt;='Resultats - informe'!$E$26),0,(C3193&gt;='Resultats - informe'!$D$27)*(C3193&lt;='Resultats - informe'!$E$27),0,(C3193&gt;='Resultats - informe'!$D$28)*(C3193&lt;='Resultats - informe'!$E$28),0,(C3193&gt;='Resultats - informe'!$D$29)*(C3193&lt;='Resultats - informe'!$E$29),0,1,1)</f>
        <v>0</v>
      </c>
      <c r="N3193" s="366">
        <f>+VLOOKUP(D3193,'Resultats - informe'!$Y$18:$AG$42,'Introducció dades consum'!K3193+1,0)</f>
        <v>0</v>
      </c>
      <c r="O3193" s="370" cm="1">
        <f t="array" ref="O3193">+_xlfn.SWITCH(MONTH(C3193),1,1,2,1,3,1,4,2,5,2,6,3,7,3,8,3,9,3,10,2,11,2,12,1,2)</f>
        <v>1</v>
      </c>
      <c r="P3193" s="43"/>
    </row>
    <row r="3194" spans="1:16" ht="18" x14ac:dyDescent="0.35">
      <c r="A3194" s="43"/>
      <c r="C3194" s="393"/>
      <c r="E3194" s="394"/>
      <c r="F3194" s="394">
        <v>0</v>
      </c>
      <c r="G3194" s="394"/>
      <c r="H3194" s="8" t="s">
        <v>235</v>
      </c>
      <c r="I3194" s="368">
        <f t="shared" si="148"/>
        <v>0</v>
      </c>
      <c r="J3194" s="365">
        <f t="shared" si="147"/>
        <v>0</v>
      </c>
      <c r="K3194" s="369">
        <f t="shared" si="149"/>
        <v>6</v>
      </c>
      <c r="L3194" s="369">
        <f>+IF((C3194&gt;='Resultats - informe'!$E$16)*(C3194&lt;='Resultats - informe'!$G$16),1,0)</f>
        <v>1</v>
      </c>
      <c r="M3194" s="369" cm="1">
        <f t="array" ref="M3194">+_xlfn.IFS((C3194&gt;='Resultats - informe'!$D$26)*(C3194&lt;='Resultats - informe'!$E$26),0,(C3194&gt;='Resultats - informe'!$D$27)*(C3194&lt;='Resultats - informe'!$E$27),0,(C3194&gt;='Resultats - informe'!$D$28)*(C3194&lt;='Resultats - informe'!$E$28),0,(C3194&gt;='Resultats - informe'!$D$29)*(C3194&lt;='Resultats - informe'!$E$29),0,1,1)</f>
        <v>0</v>
      </c>
      <c r="N3194" s="366">
        <f>+VLOOKUP(D3194,'Resultats - informe'!$Y$18:$AG$42,'Introducció dades consum'!K3194+1,0)</f>
        <v>0</v>
      </c>
      <c r="O3194" s="370" cm="1">
        <f t="array" ref="O3194">+_xlfn.SWITCH(MONTH(C3194),1,1,2,1,3,1,4,2,5,2,6,3,7,3,8,3,9,3,10,2,11,2,12,1,2)</f>
        <v>1</v>
      </c>
      <c r="P3194" s="43"/>
    </row>
    <row r="3195" spans="1:16" ht="18" x14ac:dyDescent="0.35">
      <c r="A3195" s="43"/>
      <c r="C3195" s="393"/>
      <c r="E3195" s="394"/>
      <c r="F3195" s="394">
        <v>0</v>
      </c>
      <c r="G3195" s="394"/>
      <c r="H3195" s="8" t="s">
        <v>235</v>
      </c>
      <c r="I3195" s="368">
        <f t="shared" si="148"/>
        <v>0</v>
      </c>
      <c r="J3195" s="365">
        <f t="shared" ref="J3195:J3258" si="150">+C3195</f>
        <v>0</v>
      </c>
      <c r="K3195" s="369">
        <f t="shared" si="149"/>
        <v>6</v>
      </c>
      <c r="L3195" s="369">
        <f>+IF((C3195&gt;='Resultats - informe'!$E$16)*(C3195&lt;='Resultats - informe'!$G$16),1,0)</f>
        <v>1</v>
      </c>
      <c r="M3195" s="369" cm="1">
        <f t="array" ref="M3195">+_xlfn.IFS((C3195&gt;='Resultats - informe'!$D$26)*(C3195&lt;='Resultats - informe'!$E$26),0,(C3195&gt;='Resultats - informe'!$D$27)*(C3195&lt;='Resultats - informe'!$E$27),0,(C3195&gt;='Resultats - informe'!$D$28)*(C3195&lt;='Resultats - informe'!$E$28),0,(C3195&gt;='Resultats - informe'!$D$29)*(C3195&lt;='Resultats - informe'!$E$29),0,1,1)</f>
        <v>0</v>
      </c>
      <c r="N3195" s="366">
        <f>+VLOOKUP(D3195,'Resultats - informe'!$Y$18:$AG$42,'Introducció dades consum'!K3195+1,0)</f>
        <v>0</v>
      </c>
      <c r="O3195" s="370" cm="1">
        <f t="array" ref="O3195">+_xlfn.SWITCH(MONTH(C3195),1,1,2,1,3,1,4,2,5,2,6,3,7,3,8,3,9,3,10,2,11,2,12,1,2)</f>
        <v>1</v>
      </c>
      <c r="P3195" s="43"/>
    </row>
    <row r="3196" spans="1:16" ht="18" x14ac:dyDescent="0.35">
      <c r="A3196" s="43"/>
      <c r="C3196" s="393"/>
      <c r="E3196" s="394"/>
      <c r="F3196" s="394">
        <v>0</v>
      </c>
      <c r="G3196" s="394"/>
      <c r="H3196" s="8" t="s">
        <v>235</v>
      </c>
      <c r="I3196" s="368">
        <f t="shared" si="148"/>
        <v>0</v>
      </c>
      <c r="J3196" s="365">
        <f t="shared" si="150"/>
        <v>0</v>
      </c>
      <c r="K3196" s="369">
        <f t="shared" si="149"/>
        <v>6</v>
      </c>
      <c r="L3196" s="369">
        <f>+IF((C3196&gt;='Resultats - informe'!$E$16)*(C3196&lt;='Resultats - informe'!$G$16),1,0)</f>
        <v>1</v>
      </c>
      <c r="M3196" s="369" cm="1">
        <f t="array" ref="M3196">+_xlfn.IFS((C3196&gt;='Resultats - informe'!$D$26)*(C3196&lt;='Resultats - informe'!$E$26),0,(C3196&gt;='Resultats - informe'!$D$27)*(C3196&lt;='Resultats - informe'!$E$27),0,(C3196&gt;='Resultats - informe'!$D$28)*(C3196&lt;='Resultats - informe'!$E$28),0,(C3196&gt;='Resultats - informe'!$D$29)*(C3196&lt;='Resultats - informe'!$E$29),0,1,1)</f>
        <v>0</v>
      </c>
      <c r="N3196" s="366">
        <f>+VLOOKUP(D3196,'Resultats - informe'!$Y$18:$AG$42,'Introducció dades consum'!K3196+1,0)</f>
        <v>0</v>
      </c>
      <c r="O3196" s="370" cm="1">
        <f t="array" ref="O3196">+_xlfn.SWITCH(MONTH(C3196),1,1,2,1,3,1,4,2,5,2,6,3,7,3,8,3,9,3,10,2,11,2,12,1,2)</f>
        <v>1</v>
      </c>
      <c r="P3196" s="43"/>
    </row>
    <row r="3197" spans="1:16" ht="18" x14ac:dyDescent="0.35">
      <c r="A3197" s="43"/>
      <c r="C3197" s="393"/>
      <c r="E3197" s="394"/>
      <c r="F3197" s="394">
        <v>0</v>
      </c>
      <c r="G3197" s="394"/>
      <c r="H3197" s="8" t="s">
        <v>235</v>
      </c>
      <c r="I3197" s="368">
        <f t="shared" si="148"/>
        <v>0</v>
      </c>
      <c r="J3197" s="365">
        <f t="shared" si="150"/>
        <v>0</v>
      </c>
      <c r="K3197" s="369">
        <f t="shared" si="149"/>
        <v>6</v>
      </c>
      <c r="L3197" s="369">
        <f>+IF((C3197&gt;='Resultats - informe'!$E$16)*(C3197&lt;='Resultats - informe'!$G$16),1,0)</f>
        <v>1</v>
      </c>
      <c r="M3197" s="369" cm="1">
        <f t="array" ref="M3197">+_xlfn.IFS((C3197&gt;='Resultats - informe'!$D$26)*(C3197&lt;='Resultats - informe'!$E$26),0,(C3197&gt;='Resultats - informe'!$D$27)*(C3197&lt;='Resultats - informe'!$E$27),0,(C3197&gt;='Resultats - informe'!$D$28)*(C3197&lt;='Resultats - informe'!$E$28),0,(C3197&gt;='Resultats - informe'!$D$29)*(C3197&lt;='Resultats - informe'!$E$29),0,1,1)</f>
        <v>0</v>
      </c>
      <c r="N3197" s="366">
        <f>+VLOOKUP(D3197,'Resultats - informe'!$Y$18:$AG$42,'Introducció dades consum'!K3197+1,0)</f>
        <v>0</v>
      </c>
      <c r="O3197" s="370" cm="1">
        <f t="array" ref="O3197">+_xlfn.SWITCH(MONTH(C3197),1,1,2,1,3,1,4,2,5,2,6,3,7,3,8,3,9,3,10,2,11,2,12,1,2)</f>
        <v>1</v>
      </c>
      <c r="P3197" s="43"/>
    </row>
    <row r="3198" spans="1:16" ht="18" x14ac:dyDescent="0.35">
      <c r="A3198" s="43"/>
      <c r="C3198" s="393"/>
      <c r="E3198" s="394"/>
      <c r="F3198" s="394">
        <v>0</v>
      </c>
      <c r="G3198" s="394"/>
      <c r="H3198" s="8" t="s">
        <v>235</v>
      </c>
      <c r="I3198" s="368">
        <f t="shared" si="148"/>
        <v>0</v>
      </c>
      <c r="J3198" s="365">
        <f t="shared" si="150"/>
        <v>0</v>
      </c>
      <c r="K3198" s="369">
        <f t="shared" si="149"/>
        <v>6</v>
      </c>
      <c r="L3198" s="369">
        <f>+IF((C3198&gt;='Resultats - informe'!$E$16)*(C3198&lt;='Resultats - informe'!$G$16),1,0)</f>
        <v>1</v>
      </c>
      <c r="M3198" s="369" cm="1">
        <f t="array" ref="M3198">+_xlfn.IFS((C3198&gt;='Resultats - informe'!$D$26)*(C3198&lt;='Resultats - informe'!$E$26),0,(C3198&gt;='Resultats - informe'!$D$27)*(C3198&lt;='Resultats - informe'!$E$27),0,(C3198&gt;='Resultats - informe'!$D$28)*(C3198&lt;='Resultats - informe'!$E$28),0,(C3198&gt;='Resultats - informe'!$D$29)*(C3198&lt;='Resultats - informe'!$E$29),0,1,1)</f>
        <v>0</v>
      </c>
      <c r="N3198" s="366">
        <f>+VLOOKUP(D3198,'Resultats - informe'!$Y$18:$AG$42,'Introducció dades consum'!K3198+1,0)</f>
        <v>0</v>
      </c>
      <c r="O3198" s="370" cm="1">
        <f t="array" ref="O3198">+_xlfn.SWITCH(MONTH(C3198),1,1,2,1,3,1,4,2,5,2,6,3,7,3,8,3,9,3,10,2,11,2,12,1,2)</f>
        <v>1</v>
      </c>
      <c r="P3198" s="43"/>
    </row>
    <row r="3199" spans="1:16" ht="18" x14ac:dyDescent="0.35">
      <c r="A3199" s="43"/>
      <c r="C3199" s="393"/>
      <c r="E3199" s="394"/>
      <c r="F3199" s="394">
        <v>0</v>
      </c>
      <c r="G3199" s="394"/>
      <c r="H3199" s="8" t="s">
        <v>235</v>
      </c>
      <c r="I3199" s="368">
        <f t="shared" si="148"/>
        <v>0</v>
      </c>
      <c r="J3199" s="365">
        <f t="shared" si="150"/>
        <v>0</v>
      </c>
      <c r="K3199" s="369">
        <f t="shared" si="149"/>
        <v>6</v>
      </c>
      <c r="L3199" s="369">
        <f>+IF((C3199&gt;='Resultats - informe'!$E$16)*(C3199&lt;='Resultats - informe'!$G$16),1,0)</f>
        <v>1</v>
      </c>
      <c r="M3199" s="369" cm="1">
        <f t="array" ref="M3199">+_xlfn.IFS((C3199&gt;='Resultats - informe'!$D$26)*(C3199&lt;='Resultats - informe'!$E$26),0,(C3199&gt;='Resultats - informe'!$D$27)*(C3199&lt;='Resultats - informe'!$E$27),0,(C3199&gt;='Resultats - informe'!$D$28)*(C3199&lt;='Resultats - informe'!$E$28),0,(C3199&gt;='Resultats - informe'!$D$29)*(C3199&lt;='Resultats - informe'!$E$29),0,1,1)</f>
        <v>0</v>
      </c>
      <c r="N3199" s="366">
        <f>+VLOOKUP(D3199,'Resultats - informe'!$Y$18:$AG$42,'Introducció dades consum'!K3199+1,0)</f>
        <v>0</v>
      </c>
      <c r="O3199" s="370" cm="1">
        <f t="array" ref="O3199">+_xlfn.SWITCH(MONTH(C3199),1,1,2,1,3,1,4,2,5,2,6,3,7,3,8,3,9,3,10,2,11,2,12,1,2)</f>
        <v>1</v>
      </c>
      <c r="P3199" s="43"/>
    </row>
    <row r="3200" spans="1:16" ht="18" x14ac:dyDescent="0.35">
      <c r="A3200" s="43"/>
      <c r="C3200" s="393"/>
      <c r="E3200" s="394"/>
      <c r="F3200" s="394">
        <v>0</v>
      </c>
      <c r="G3200" s="394"/>
      <c r="H3200" s="8" t="s">
        <v>61</v>
      </c>
      <c r="I3200" s="368">
        <f t="shared" si="148"/>
        <v>0</v>
      </c>
      <c r="J3200" s="365">
        <f t="shared" si="150"/>
        <v>0</v>
      </c>
      <c r="K3200" s="369">
        <f t="shared" si="149"/>
        <v>6</v>
      </c>
      <c r="L3200" s="369">
        <f>+IF((C3200&gt;='Resultats - informe'!$E$16)*(C3200&lt;='Resultats - informe'!$G$16),1,0)</f>
        <v>1</v>
      </c>
      <c r="M3200" s="369" cm="1">
        <f t="array" ref="M3200">+_xlfn.IFS((C3200&gt;='Resultats - informe'!$D$26)*(C3200&lt;='Resultats - informe'!$E$26),0,(C3200&gt;='Resultats - informe'!$D$27)*(C3200&lt;='Resultats - informe'!$E$27),0,(C3200&gt;='Resultats - informe'!$D$28)*(C3200&lt;='Resultats - informe'!$E$28),0,(C3200&gt;='Resultats - informe'!$D$29)*(C3200&lt;='Resultats - informe'!$E$29),0,1,1)</f>
        <v>0</v>
      </c>
      <c r="N3200" s="366">
        <f>+VLOOKUP(D3200,'Resultats - informe'!$Y$18:$AG$42,'Introducció dades consum'!K3200+1,0)</f>
        <v>0</v>
      </c>
      <c r="O3200" s="370" cm="1">
        <f t="array" ref="O3200">+_xlfn.SWITCH(MONTH(C3200),1,1,2,1,3,1,4,2,5,2,6,3,7,3,8,3,9,3,10,2,11,2,12,1,2)</f>
        <v>1</v>
      </c>
      <c r="P3200" s="43"/>
    </row>
    <row r="3201" spans="1:16" ht="18" x14ac:dyDescent="0.35">
      <c r="A3201" s="43"/>
      <c r="C3201" s="393"/>
      <c r="E3201" s="394"/>
      <c r="F3201" s="394">
        <v>0</v>
      </c>
      <c r="G3201" s="394"/>
      <c r="H3201" s="8" t="s">
        <v>61</v>
      </c>
      <c r="I3201" s="368">
        <f t="shared" si="148"/>
        <v>0</v>
      </c>
      <c r="J3201" s="365">
        <f t="shared" si="150"/>
        <v>0</v>
      </c>
      <c r="K3201" s="369">
        <f t="shared" si="149"/>
        <v>6</v>
      </c>
      <c r="L3201" s="369">
        <f>+IF((C3201&gt;='Resultats - informe'!$E$16)*(C3201&lt;='Resultats - informe'!$G$16),1,0)</f>
        <v>1</v>
      </c>
      <c r="M3201" s="369" cm="1">
        <f t="array" ref="M3201">+_xlfn.IFS((C3201&gt;='Resultats - informe'!$D$26)*(C3201&lt;='Resultats - informe'!$E$26),0,(C3201&gt;='Resultats - informe'!$D$27)*(C3201&lt;='Resultats - informe'!$E$27),0,(C3201&gt;='Resultats - informe'!$D$28)*(C3201&lt;='Resultats - informe'!$E$28),0,(C3201&gt;='Resultats - informe'!$D$29)*(C3201&lt;='Resultats - informe'!$E$29),0,1,1)</f>
        <v>0</v>
      </c>
      <c r="N3201" s="366">
        <f>+VLOOKUP(D3201,'Resultats - informe'!$Y$18:$AG$42,'Introducció dades consum'!K3201+1,0)</f>
        <v>0</v>
      </c>
      <c r="O3201" s="370" cm="1">
        <f t="array" ref="O3201">+_xlfn.SWITCH(MONTH(C3201),1,1,2,1,3,1,4,2,5,2,6,3,7,3,8,3,9,3,10,2,11,2,12,1,2)</f>
        <v>1</v>
      </c>
      <c r="P3201" s="43"/>
    </row>
    <row r="3202" spans="1:16" ht="18" x14ac:dyDescent="0.35">
      <c r="A3202" s="43"/>
      <c r="C3202" s="393"/>
      <c r="E3202" s="394"/>
      <c r="F3202" s="394">
        <v>0.96</v>
      </c>
      <c r="G3202" s="394"/>
      <c r="H3202" s="8" t="s">
        <v>235</v>
      </c>
      <c r="I3202" s="368">
        <f t="shared" si="148"/>
        <v>0</v>
      </c>
      <c r="J3202" s="365">
        <f t="shared" si="150"/>
        <v>0</v>
      </c>
      <c r="K3202" s="369">
        <f t="shared" si="149"/>
        <v>6</v>
      </c>
      <c r="L3202" s="369">
        <f>+IF((C3202&gt;='Resultats - informe'!$E$16)*(C3202&lt;='Resultats - informe'!$G$16),1,0)</f>
        <v>1</v>
      </c>
      <c r="M3202" s="369" cm="1">
        <f t="array" ref="M3202">+_xlfn.IFS((C3202&gt;='Resultats - informe'!$D$26)*(C3202&lt;='Resultats - informe'!$E$26),0,(C3202&gt;='Resultats - informe'!$D$27)*(C3202&lt;='Resultats - informe'!$E$27),0,(C3202&gt;='Resultats - informe'!$D$28)*(C3202&lt;='Resultats - informe'!$E$28),0,(C3202&gt;='Resultats - informe'!$D$29)*(C3202&lt;='Resultats - informe'!$E$29),0,1,1)</f>
        <v>0</v>
      </c>
      <c r="N3202" s="366">
        <f>+VLOOKUP(D3202,'Resultats - informe'!$Y$18:$AG$42,'Introducció dades consum'!K3202+1,0)</f>
        <v>0</v>
      </c>
      <c r="O3202" s="370" cm="1">
        <f t="array" ref="O3202">+_xlfn.SWITCH(MONTH(C3202),1,1,2,1,3,1,4,2,5,2,6,3,7,3,8,3,9,3,10,2,11,2,12,1,2)</f>
        <v>1</v>
      </c>
      <c r="P3202" s="43"/>
    </row>
    <row r="3203" spans="1:16" ht="18" x14ac:dyDescent="0.35">
      <c r="A3203" s="43"/>
      <c r="C3203" s="393"/>
      <c r="E3203" s="394"/>
      <c r="F3203" s="394">
        <v>1.77</v>
      </c>
      <c r="G3203" s="394"/>
      <c r="H3203" s="8" t="s">
        <v>235</v>
      </c>
      <c r="I3203" s="368">
        <f t="shared" si="148"/>
        <v>0</v>
      </c>
      <c r="J3203" s="365">
        <f t="shared" si="150"/>
        <v>0</v>
      </c>
      <c r="K3203" s="369">
        <f t="shared" si="149"/>
        <v>6</v>
      </c>
      <c r="L3203" s="369">
        <f>+IF((C3203&gt;='Resultats - informe'!$E$16)*(C3203&lt;='Resultats - informe'!$G$16),1,0)</f>
        <v>1</v>
      </c>
      <c r="M3203" s="369" cm="1">
        <f t="array" ref="M3203">+_xlfn.IFS((C3203&gt;='Resultats - informe'!$D$26)*(C3203&lt;='Resultats - informe'!$E$26),0,(C3203&gt;='Resultats - informe'!$D$27)*(C3203&lt;='Resultats - informe'!$E$27),0,(C3203&gt;='Resultats - informe'!$D$28)*(C3203&lt;='Resultats - informe'!$E$28),0,(C3203&gt;='Resultats - informe'!$D$29)*(C3203&lt;='Resultats - informe'!$E$29),0,1,1)</f>
        <v>0</v>
      </c>
      <c r="N3203" s="366">
        <f>+VLOOKUP(D3203,'Resultats - informe'!$Y$18:$AG$42,'Introducció dades consum'!K3203+1,0)</f>
        <v>0</v>
      </c>
      <c r="O3203" s="370" cm="1">
        <f t="array" ref="O3203">+_xlfn.SWITCH(MONTH(C3203),1,1,2,1,3,1,4,2,5,2,6,3,7,3,8,3,9,3,10,2,11,2,12,1,2)</f>
        <v>1</v>
      </c>
      <c r="P3203" s="43"/>
    </row>
    <row r="3204" spans="1:16" ht="18" x14ac:dyDescent="0.35">
      <c r="A3204" s="43"/>
      <c r="C3204" s="393"/>
      <c r="E3204" s="394"/>
      <c r="F3204" s="394">
        <v>1.9650000000000001</v>
      </c>
      <c r="G3204" s="394"/>
      <c r="H3204" s="8" t="s">
        <v>235</v>
      </c>
      <c r="I3204" s="368">
        <f t="shared" si="148"/>
        <v>0</v>
      </c>
      <c r="J3204" s="365">
        <f t="shared" si="150"/>
        <v>0</v>
      </c>
      <c r="K3204" s="369">
        <f t="shared" si="149"/>
        <v>6</v>
      </c>
      <c r="L3204" s="369">
        <f>+IF((C3204&gt;='Resultats - informe'!$E$16)*(C3204&lt;='Resultats - informe'!$G$16),1,0)</f>
        <v>1</v>
      </c>
      <c r="M3204" s="369" cm="1">
        <f t="array" ref="M3204">+_xlfn.IFS((C3204&gt;='Resultats - informe'!$D$26)*(C3204&lt;='Resultats - informe'!$E$26),0,(C3204&gt;='Resultats - informe'!$D$27)*(C3204&lt;='Resultats - informe'!$E$27),0,(C3204&gt;='Resultats - informe'!$D$28)*(C3204&lt;='Resultats - informe'!$E$28),0,(C3204&gt;='Resultats - informe'!$D$29)*(C3204&lt;='Resultats - informe'!$E$29),0,1,1)</f>
        <v>0</v>
      </c>
      <c r="N3204" s="366">
        <f>+VLOOKUP(D3204,'Resultats - informe'!$Y$18:$AG$42,'Introducció dades consum'!K3204+1,0)</f>
        <v>0</v>
      </c>
      <c r="O3204" s="370" cm="1">
        <f t="array" ref="O3204">+_xlfn.SWITCH(MONTH(C3204),1,1,2,1,3,1,4,2,5,2,6,3,7,3,8,3,9,3,10,2,11,2,12,1,2)</f>
        <v>1</v>
      </c>
      <c r="P3204" s="43"/>
    </row>
    <row r="3205" spans="1:16" ht="18" x14ac:dyDescent="0.35">
      <c r="A3205" s="43"/>
      <c r="C3205" s="393"/>
      <c r="E3205" s="394"/>
      <c r="F3205" s="394">
        <v>1.034</v>
      </c>
      <c r="G3205" s="394"/>
      <c r="H3205" s="8" t="s">
        <v>61</v>
      </c>
      <c r="I3205" s="368">
        <f t="shared" si="148"/>
        <v>0</v>
      </c>
      <c r="J3205" s="365">
        <f t="shared" si="150"/>
        <v>0</v>
      </c>
      <c r="K3205" s="369">
        <f t="shared" si="149"/>
        <v>6</v>
      </c>
      <c r="L3205" s="369">
        <f>+IF((C3205&gt;='Resultats - informe'!$E$16)*(C3205&lt;='Resultats - informe'!$G$16),1,0)</f>
        <v>1</v>
      </c>
      <c r="M3205" s="369" cm="1">
        <f t="array" ref="M3205">+_xlfn.IFS((C3205&gt;='Resultats - informe'!$D$26)*(C3205&lt;='Resultats - informe'!$E$26),0,(C3205&gt;='Resultats - informe'!$D$27)*(C3205&lt;='Resultats - informe'!$E$27),0,(C3205&gt;='Resultats - informe'!$D$28)*(C3205&lt;='Resultats - informe'!$E$28),0,(C3205&gt;='Resultats - informe'!$D$29)*(C3205&lt;='Resultats - informe'!$E$29),0,1,1)</f>
        <v>0</v>
      </c>
      <c r="N3205" s="366">
        <f>+VLOOKUP(D3205,'Resultats - informe'!$Y$18:$AG$42,'Introducció dades consum'!K3205+1,0)</f>
        <v>0</v>
      </c>
      <c r="O3205" s="370" cm="1">
        <f t="array" ref="O3205">+_xlfn.SWITCH(MONTH(C3205),1,1,2,1,3,1,4,2,5,2,6,3,7,3,8,3,9,3,10,2,11,2,12,1,2)</f>
        <v>1</v>
      </c>
      <c r="P3205" s="43"/>
    </row>
    <row r="3206" spans="1:16" ht="18" x14ac:dyDescent="0.35">
      <c r="A3206" s="43"/>
      <c r="C3206" s="393"/>
      <c r="E3206" s="394"/>
      <c r="F3206" s="394">
        <v>2.4870000000000001</v>
      </c>
      <c r="G3206" s="394"/>
      <c r="H3206" s="8" t="s">
        <v>61</v>
      </c>
      <c r="I3206" s="368">
        <f t="shared" ref="I3206:I3269" si="151">+E3206+G3206</f>
        <v>0</v>
      </c>
      <c r="J3206" s="365">
        <f t="shared" si="150"/>
        <v>0</v>
      </c>
      <c r="K3206" s="369">
        <f t="shared" ref="K3206:K3269" si="152">+WEEKDAY(C3206,2)</f>
        <v>6</v>
      </c>
      <c r="L3206" s="369">
        <f>+IF((C3206&gt;='Resultats - informe'!$E$16)*(C3206&lt;='Resultats - informe'!$G$16),1,0)</f>
        <v>1</v>
      </c>
      <c r="M3206" s="369" cm="1">
        <f t="array" ref="M3206">+_xlfn.IFS((C3206&gt;='Resultats - informe'!$D$26)*(C3206&lt;='Resultats - informe'!$E$26),0,(C3206&gt;='Resultats - informe'!$D$27)*(C3206&lt;='Resultats - informe'!$E$27),0,(C3206&gt;='Resultats - informe'!$D$28)*(C3206&lt;='Resultats - informe'!$E$28),0,(C3206&gt;='Resultats - informe'!$D$29)*(C3206&lt;='Resultats - informe'!$E$29),0,1,1)</f>
        <v>0</v>
      </c>
      <c r="N3206" s="366">
        <f>+VLOOKUP(D3206,'Resultats - informe'!$Y$18:$AG$42,'Introducció dades consum'!K3206+1,0)</f>
        <v>0</v>
      </c>
      <c r="O3206" s="370" cm="1">
        <f t="array" ref="O3206">+_xlfn.SWITCH(MONTH(C3206),1,1,2,1,3,1,4,2,5,2,6,3,7,3,8,3,9,3,10,2,11,2,12,1,2)</f>
        <v>1</v>
      </c>
      <c r="P3206" s="43"/>
    </row>
    <row r="3207" spans="1:16" ht="18" x14ac:dyDescent="0.35">
      <c r="A3207" s="43"/>
      <c r="C3207" s="393"/>
      <c r="E3207" s="394"/>
      <c r="F3207" s="394">
        <v>3.194</v>
      </c>
      <c r="G3207" s="394"/>
      <c r="H3207" s="8" t="s">
        <v>235</v>
      </c>
      <c r="I3207" s="368">
        <f t="shared" si="151"/>
        <v>0</v>
      </c>
      <c r="J3207" s="365">
        <f t="shared" si="150"/>
        <v>0</v>
      </c>
      <c r="K3207" s="369">
        <f t="shared" si="152"/>
        <v>6</v>
      </c>
      <c r="L3207" s="369">
        <f>+IF((C3207&gt;='Resultats - informe'!$E$16)*(C3207&lt;='Resultats - informe'!$G$16),1,0)</f>
        <v>1</v>
      </c>
      <c r="M3207" s="369" cm="1">
        <f t="array" ref="M3207">+_xlfn.IFS((C3207&gt;='Resultats - informe'!$D$26)*(C3207&lt;='Resultats - informe'!$E$26),0,(C3207&gt;='Resultats - informe'!$D$27)*(C3207&lt;='Resultats - informe'!$E$27),0,(C3207&gt;='Resultats - informe'!$D$28)*(C3207&lt;='Resultats - informe'!$E$28),0,(C3207&gt;='Resultats - informe'!$D$29)*(C3207&lt;='Resultats - informe'!$E$29),0,1,1)</f>
        <v>0</v>
      </c>
      <c r="N3207" s="366">
        <f>+VLOOKUP(D3207,'Resultats - informe'!$Y$18:$AG$42,'Introducció dades consum'!K3207+1,0)</f>
        <v>0</v>
      </c>
      <c r="O3207" s="370" cm="1">
        <f t="array" ref="O3207">+_xlfn.SWITCH(MONTH(C3207),1,1,2,1,3,1,4,2,5,2,6,3,7,3,8,3,9,3,10,2,11,2,12,1,2)</f>
        <v>1</v>
      </c>
      <c r="P3207" s="43"/>
    </row>
    <row r="3208" spans="1:16" ht="18" x14ac:dyDescent="0.35">
      <c r="A3208" s="43"/>
      <c r="C3208" s="393"/>
      <c r="E3208" s="394"/>
      <c r="F3208" s="394">
        <v>3.3290000000000002</v>
      </c>
      <c r="G3208" s="394"/>
      <c r="H3208" s="8" t="s">
        <v>235</v>
      </c>
      <c r="I3208" s="368">
        <f t="shared" si="151"/>
        <v>0</v>
      </c>
      <c r="J3208" s="365">
        <f t="shared" si="150"/>
        <v>0</v>
      </c>
      <c r="K3208" s="369">
        <f t="shared" si="152"/>
        <v>6</v>
      </c>
      <c r="L3208" s="369">
        <f>+IF((C3208&gt;='Resultats - informe'!$E$16)*(C3208&lt;='Resultats - informe'!$G$16),1,0)</f>
        <v>1</v>
      </c>
      <c r="M3208" s="369" cm="1">
        <f t="array" ref="M3208">+_xlfn.IFS((C3208&gt;='Resultats - informe'!$D$26)*(C3208&lt;='Resultats - informe'!$E$26),0,(C3208&gt;='Resultats - informe'!$D$27)*(C3208&lt;='Resultats - informe'!$E$27),0,(C3208&gt;='Resultats - informe'!$D$28)*(C3208&lt;='Resultats - informe'!$E$28),0,(C3208&gt;='Resultats - informe'!$D$29)*(C3208&lt;='Resultats - informe'!$E$29),0,1,1)</f>
        <v>0</v>
      </c>
      <c r="N3208" s="366">
        <f>+VLOOKUP(D3208,'Resultats - informe'!$Y$18:$AG$42,'Introducció dades consum'!K3208+1,0)</f>
        <v>0</v>
      </c>
      <c r="O3208" s="370" cm="1">
        <f t="array" ref="O3208">+_xlfn.SWITCH(MONTH(C3208),1,1,2,1,3,1,4,2,5,2,6,3,7,3,8,3,9,3,10,2,11,2,12,1,2)</f>
        <v>1</v>
      </c>
      <c r="P3208" s="43"/>
    </row>
    <row r="3209" spans="1:16" ht="18" x14ac:dyDescent="0.35">
      <c r="A3209" s="43"/>
      <c r="C3209" s="393"/>
      <c r="E3209" s="394"/>
      <c r="F3209" s="394">
        <v>0.67600000000000005</v>
      </c>
      <c r="G3209" s="394"/>
      <c r="H3209" s="8" t="s">
        <v>61</v>
      </c>
      <c r="I3209" s="368">
        <f t="shared" si="151"/>
        <v>0</v>
      </c>
      <c r="J3209" s="365">
        <f t="shared" si="150"/>
        <v>0</v>
      </c>
      <c r="K3209" s="369">
        <f t="shared" si="152"/>
        <v>6</v>
      </c>
      <c r="L3209" s="369">
        <f>+IF((C3209&gt;='Resultats - informe'!$E$16)*(C3209&lt;='Resultats - informe'!$G$16),1,0)</f>
        <v>1</v>
      </c>
      <c r="M3209" s="369" cm="1">
        <f t="array" ref="M3209">+_xlfn.IFS((C3209&gt;='Resultats - informe'!$D$26)*(C3209&lt;='Resultats - informe'!$E$26),0,(C3209&gt;='Resultats - informe'!$D$27)*(C3209&lt;='Resultats - informe'!$E$27),0,(C3209&gt;='Resultats - informe'!$D$28)*(C3209&lt;='Resultats - informe'!$E$28),0,(C3209&gt;='Resultats - informe'!$D$29)*(C3209&lt;='Resultats - informe'!$E$29),0,1,1)</f>
        <v>0</v>
      </c>
      <c r="N3209" s="366">
        <f>+VLOOKUP(D3209,'Resultats - informe'!$Y$18:$AG$42,'Introducció dades consum'!K3209+1,0)</f>
        <v>0</v>
      </c>
      <c r="O3209" s="370" cm="1">
        <f t="array" ref="O3209">+_xlfn.SWITCH(MONTH(C3209),1,1,2,1,3,1,4,2,5,2,6,3,7,3,8,3,9,3,10,2,11,2,12,1,2)</f>
        <v>1</v>
      </c>
      <c r="P3209" s="43"/>
    </row>
    <row r="3210" spans="1:16" ht="18" x14ac:dyDescent="0.35">
      <c r="A3210" s="43"/>
      <c r="C3210" s="393"/>
      <c r="E3210" s="394"/>
      <c r="F3210" s="394">
        <v>0</v>
      </c>
      <c r="G3210" s="394"/>
      <c r="H3210" s="8" t="s">
        <v>61</v>
      </c>
      <c r="I3210" s="368">
        <f t="shared" si="151"/>
        <v>0</v>
      </c>
      <c r="J3210" s="365">
        <f t="shared" si="150"/>
        <v>0</v>
      </c>
      <c r="K3210" s="369">
        <f t="shared" si="152"/>
        <v>6</v>
      </c>
      <c r="L3210" s="369">
        <f>+IF((C3210&gt;='Resultats - informe'!$E$16)*(C3210&lt;='Resultats - informe'!$G$16),1,0)</f>
        <v>1</v>
      </c>
      <c r="M3210" s="369" cm="1">
        <f t="array" ref="M3210">+_xlfn.IFS((C3210&gt;='Resultats - informe'!$D$26)*(C3210&lt;='Resultats - informe'!$E$26),0,(C3210&gt;='Resultats - informe'!$D$27)*(C3210&lt;='Resultats - informe'!$E$27),0,(C3210&gt;='Resultats - informe'!$D$28)*(C3210&lt;='Resultats - informe'!$E$28),0,(C3210&gt;='Resultats - informe'!$D$29)*(C3210&lt;='Resultats - informe'!$E$29),0,1,1)</f>
        <v>0</v>
      </c>
      <c r="N3210" s="366">
        <f>+VLOOKUP(D3210,'Resultats - informe'!$Y$18:$AG$42,'Introducció dades consum'!K3210+1,0)</f>
        <v>0</v>
      </c>
      <c r="O3210" s="370" cm="1">
        <f t="array" ref="O3210">+_xlfn.SWITCH(MONTH(C3210),1,1,2,1,3,1,4,2,5,2,6,3,7,3,8,3,9,3,10,2,11,2,12,1,2)</f>
        <v>1</v>
      </c>
      <c r="P3210" s="43"/>
    </row>
    <row r="3211" spans="1:16" ht="18" x14ac:dyDescent="0.35">
      <c r="A3211" s="43"/>
      <c r="C3211" s="393"/>
      <c r="E3211" s="394"/>
      <c r="F3211" s="394">
        <v>1.9590000000000001</v>
      </c>
      <c r="G3211" s="394"/>
      <c r="H3211" s="8" t="s">
        <v>235</v>
      </c>
      <c r="I3211" s="368">
        <f t="shared" si="151"/>
        <v>0</v>
      </c>
      <c r="J3211" s="365">
        <f t="shared" si="150"/>
        <v>0</v>
      </c>
      <c r="K3211" s="369">
        <f t="shared" si="152"/>
        <v>6</v>
      </c>
      <c r="L3211" s="369">
        <f>+IF((C3211&gt;='Resultats - informe'!$E$16)*(C3211&lt;='Resultats - informe'!$G$16),1,0)</f>
        <v>1</v>
      </c>
      <c r="M3211" s="369" cm="1">
        <f t="array" ref="M3211">+_xlfn.IFS((C3211&gt;='Resultats - informe'!$D$26)*(C3211&lt;='Resultats - informe'!$E$26),0,(C3211&gt;='Resultats - informe'!$D$27)*(C3211&lt;='Resultats - informe'!$E$27),0,(C3211&gt;='Resultats - informe'!$D$28)*(C3211&lt;='Resultats - informe'!$E$28),0,(C3211&gt;='Resultats - informe'!$D$29)*(C3211&lt;='Resultats - informe'!$E$29),0,1,1)</f>
        <v>0</v>
      </c>
      <c r="N3211" s="366">
        <f>+VLOOKUP(D3211,'Resultats - informe'!$Y$18:$AG$42,'Introducció dades consum'!K3211+1,0)</f>
        <v>0</v>
      </c>
      <c r="O3211" s="370" cm="1">
        <f t="array" ref="O3211">+_xlfn.SWITCH(MONTH(C3211),1,1,2,1,3,1,4,2,5,2,6,3,7,3,8,3,9,3,10,2,11,2,12,1,2)</f>
        <v>1</v>
      </c>
      <c r="P3211" s="43"/>
    </row>
    <row r="3212" spans="1:16" ht="18" x14ac:dyDescent="0.35">
      <c r="A3212" s="43"/>
      <c r="C3212" s="393"/>
      <c r="E3212" s="394"/>
      <c r="F3212" s="394">
        <v>0.83299999999999996</v>
      </c>
      <c r="G3212" s="394"/>
      <c r="H3212" s="8" t="s">
        <v>235</v>
      </c>
      <c r="I3212" s="368">
        <f t="shared" si="151"/>
        <v>0</v>
      </c>
      <c r="J3212" s="365">
        <f t="shared" si="150"/>
        <v>0</v>
      </c>
      <c r="K3212" s="369">
        <f t="shared" si="152"/>
        <v>6</v>
      </c>
      <c r="L3212" s="369">
        <f>+IF((C3212&gt;='Resultats - informe'!$E$16)*(C3212&lt;='Resultats - informe'!$G$16),1,0)</f>
        <v>1</v>
      </c>
      <c r="M3212" s="369" cm="1">
        <f t="array" ref="M3212">+_xlfn.IFS((C3212&gt;='Resultats - informe'!$D$26)*(C3212&lt;='Resultats - informe'!$E$26),0,(C3212&gt;='Resultats - informe'!$D$27)*(C3212&lt;='Resultats - informe'!$E$27),0,(C3212&gt;='Resultats - informe'!$D$28)*(C3212&lt;='Resultats - informe'!$E$28),0,(C3212&gt;='Resultats - informe'!$D$29)*(C3212&lt;='Resultats - informe'!$E$29),0,1,1)</f>
        <v>0</v>
      </c>
      <c r="N3212" s="366">
        <f>+VLOOKUP(D3212,'Resultats - informe'!$Y$18:$AG$42,'Introducció dades consum'!K3212+1,0)</f>
        <v>0</v>
      </c>
      <c r="O3212" s="370" cm="1">
        <f t="array" ref="O3212">+_xlfn.SWITCH(MONTH(C3212),1,1,2,1,3,1,4,2,5,2,6,3,7,3,8,3,9,3,10,2,11,2,12,1,2)</f>
        <v>1</v>
      </c>
      <c r="P3212" s="43"/>
    </row>
    <row r="3213" spans="1:16" ht="18" x14ac:dyDescent="0.35">
      <c r="A3213" s="43"/>
      <c r="C3213" s="393"/>
      <c r="E3213" s="394"/>
      <c r="F3213" s="394">
        <v>0</v>
      </c>
      <c r="G3213" s="394"/>
      <c r="H3213" s="8" t="s">
        <v>61</v>
      </c>
      <c r="I3213" s="368">
        <f t="shared" si="151"/>
        <v>0</v>
      </c>
      <c r="J3213" s="365">
        <f t="shared" si="150"/>
        <v>0</v>
      </c>
      <c r="K3213" s="369">
        <f t="shared" si="152"/>
        <v>6</v>
      </c>
      <c r="L3213" s="369">
        <f>+IF((C3213&gt;='Resultats - informe'!$E$16)*(C3213&lt;='Resultats - informe'!$G$16),1,0)</f>
        <v>1</v>
      </c>
      <c r="M3213" s="369" cm="1">
        <f t="array" ref="M3213">+_xlfn.IFS((C3213&gt;='Resultats - informe'!$D$26)*(C3213&lt;='Resultats - informe'!$E$26),0,(C3213&gt;='Resultats - informe'!$D$27)*(C3213&lt;='Resultats - informe'!$E$27),0,(C3213&gt;='Resultats - informe'!$D$28)*(C3213&lt;='Resultats - informe'!$E$28),0,(C3213&gt;='Resultats - informe'!$D$29)*(C3213&lt;='Resultats - informe'!$E$29),0,1,1)</f>
        <v>0</v>
      </c>
      <c r="N3213" s="366">
        <f>+VLOOKUP(D3213,'Resultats - informe'!$Y$18:$AG$42,'Introducció dades consum'!K3213+1,0)</f>
        <v>0</v>
      </c>
      <c r="O3213" s="370" cm="1">
        <f t="array" ref="O3213">+_xlfn.SWITCH(MONTH(C3213),1,1,2,1,3,1,4,2,5,2,6,3,7,3,8,3,9,3,10,2,11,2,12,1,2)</f>
        <v>1</v>
      </c>
      <c r="P3213" s="43"/>
    </row>
    <row r="3214" spans="1:16" ht="18" x14ac:dyDescent="0.35">
      <c r="A3214" s="43"/>
      <c r="C3214" s="393"/>
      <c r="E3214" s="394"/>
      <c r="F3214" s="394">
        <v>0</v>
      </c>
      <c r="G3214" s="394"/>
      <c r="H3214" s="8" t="s">
        <v>61</v>
      </c>
      <c r="I3214" s="368">
        <f t="shared" si="151"/>
        <v>0</v>
      </c>
      <c r="J3214" s="365">
        <f t="shared" si="150"/>
        <v>0</v>
      </c>
      <c r="K3214" s="369">
        <f t="shared" si="152"/>
        <v>6</v>
      </c>
      <c r="L3214" s="369">
        <f>+IF((C3214&gt;='Resultats - informe'!$E$16)*(C3214&lt;='Resultats - informe'!$G$16),1,0)</f>
        <v>1</v>
      </c>
      <c r="M3214" s="369" cm="1">
        <f t="array" ref="M3214">+_xlfn.IFS((C3214&gt;='Resultats - informe'!$D$26)*(C3214&lt;='Resultats - informe'!$E$26),0,(C3214&gt;='Resultats - informe'!$D$27)*(C3214&lt;='Resultats - informe'!$E$27),0,(C3214&gt;='Resultats - informe'!$D$28)*(C3214&lt;='Resultats - informe'!$E$28),0,(C3214&gt;='Resultats - informe'!$D$29)*(C3214&lt;='Resultats - informe'!$E$29),0,1,1)</f>
        <v>0</v>
      </c>
      <c r="N3214" s="366">
        <f>+VLOOKUP(D3214,'Resultats - informe'!$Y$18:$AG$42,'Introducció dades consum'!K3214+1,0)</f>
        <v>0</v>
      </c>
      <c r="O3214" s="370" cm="1">
        <f t="array" ref="O3214">+_xlfn.SWITCH(MONTH(C3214),1,1,2,1,3,1,4,2,5,2,6,3,7,3,8,3,9,3,10,2,11,2,12,1,2)</f>
        <v>1</v>
      </c>
      <c r="P3214" s="43"/>
    </row>
    <row r="3215" spans="1:16" ht="18" x14ac:dyDescent="0.35">
      <c r="A3215" s="43"/>
      <c r="C3215" s="393"/>
      <c r="E3215" s="394"/>
      <c r="F3215" s="394">
        <v>3.5000000000000003E-2</v>
      </c>
      <c r="G3215" s="394"/>
      <c r="H3215" s="8" t="s">
        <v>61</v>
      </c>
      <c r="I3215" s="368">
        <f t="shared" si="151"/>
        <v>0</v>
      </c>
      <c r="J3215" s="365">
        <f t="shared" si="150"/>
        <v>0</v>
      </c>
      <c r="K3215" s="369">
        <f t="shared" si="152"/>
        <v>6</v>
      </c>
      <c r="L3215" s="369">
        <f>+IF((C3215&gt;='Resultats - informe'!$E$16)*(C3215&lt;='Resultats - informe'!$G$16),1,0)</f>
        <v>1</v>
      </c>
      <c r="M3215" s="369" cm="1">
        <f t="array" ref="M3215">+_xlfn.IFS((C3215&gt;='Resultats - informe'!$D$26)*(C3215&lt;='Resultats - informe'!$E$26),0,(C3215&gt;='Resultats - informe'!$D$27)*(C3215&lt;='Resultats - informe'!$E$27),0,(C3215&gt;='Resultats - informe'!$D$28)*(C3215&lt;='Resultats - informe'!$E$28),0,(C3215&gt;='Resultats - informe'!$D$29)*(C3215&lt;='Resultats - informe'!$E$29),0,1,1)</f>
        <v>0</v>
      </c>
      <c r="N3215" s="366">
        <f>+VLOOKUP(D3215,'Resultats - informe'!$Y$18:$AG$42,'Introducció dades consum'!K3215+1,0)</f>
        <v>0</v>
      </c>
      <c r="O3215" s="370" cm="1">
        <f t="array" ref="O3215">+_xlfn.SWITCH(MONTH(C3215),1,1,2,1,3,1,4,2,5,2,6,3,7,3,8,3,9,3,10,2,11,2,12,1,2)</f>
        <v>1</v>
      </c>
      <c r="P3215" s="43"/>
    </row>
    <row r="3216" spans="1:16" ht="18" x14ac:dyDescent="0.35">
      <c r="A3216" s="43"/>
      <c r="C3216" s="393"/>
      <c r="E3216" s="394"/>
      <c r="F3216" s="394">
        <v>0</v>
      </c>
      <c r="G3216" s="394"/>
      <c r="H3216" s="8" t="s">
        <v>61</v>
      </c>
      <c r="I3216" s="368">
        <f t="shared" si="151"/>
        <v>0</v>
      </c>
      <c r="J3216" s="365">
        <f t="shared" si="150"/>
        <v>0</v>
      </c>
      <c r="K3216" s="369">
        <f t="shared" si="152"/>
        <v>6</v>
      </c>
      <c r="L3216" s="369">
        <f>+IF((C3216&gt;='Resultats - informe'!$E$16)*(C3216&lt;='Resultats - informe'!$G$16),1,0)</f>
        <v>1</v>
      </c>
      <c r="M3216" s="369" cm="1">
        <f t="array" ref="M3216">+_xlfn.IFS((C3216&gt;='Resultats - informe'!$D$26)*(C3216&lt;='Resultats - informe'!$E$26),0,(C3216&gt;='Resultats - informe'!$D$27)*(C3216&lt;='Resultats - informe'!$E$27),0,(C3216&gt;='Resultats - informe'!$D$28)*(C3216&lt;='Resultats - informe'!$E$28),0,(C3216&gt;='Resultats - informe'!$D$29)*(C3216&lt;='Resultats - informe'!$E$29),0,1,1)</f>
        <v>0</v>
      </c>
      <c r="N3216" s="366">
        <f>+VLOOKUP(D3216,'Resultats - informe'!$Y$18:$AG$42,'Introducció dades consum'!K3216+1,0)</f>
        <v>0</v>
      </c>
      <c r="O3216" s="370" cm="1">
        <f t="array" ref="O3216">+_xlfn.SWITCH(MONTH(C3216),1,1,2,1,3,1,4,2,5,2,6,3,7,3,8,3,9,3,10,2,11,2,12,1,2)</f>
        <v>1</v>
      </c>
      <c r="P3216" s="43"/>
    </row>
    <row r="3217" spans="1:16" ht="18" x14ac:dyDescent="0.35">
      <c r="A3217" s="43"/>
      <c r="C3217" s="393"/>
      <c r="E3217" s="394"/>
      <c r="F3217" s="394">
        <v>0</v>
      </c>
      <c r="G3217" s="394"/>
      <c r="H3217" s="8" t="s">
        <v>235</v>
      </c>
      <c r="I3217" s="368">
        <f t="shared" si="151"/>
        <v>0</v>
      </c>
      <c r="J3217" s="365">
        <f t="shared" si="150"/>
        <v>0</v>
      </c>
      <c r="K3217" s="369">
        <f t="shared" si="152"/>
        <v>6</v>
      </c>
      <c r="L3217" s="369">
        <f>+IF((C3217&gt;='Resultats - informe'!$E$16)*(C3217&lt;='Resultats - informe'!$G$16),1,0)</f>
        <v>1</v>
      </c>
      <c r="M3217" s="369" cm="1">
        <f t="array" ref="M3217">+_xlfn.IFS((C3217&gt;='Resultats - informe'!$D$26)*(C3217&lt;='Resultats - informe'!$E$26),0,(C3217&gt;='Resultats - informe'!$D$27)*(C3217&lt;='Resultats - informe'!$E$27),0,(C3217&gt;='Resultats - informe'!$D$28)*(C3217&lt;='Resultats - informe'!$E$28),0,(C3217&gt;='Resultats - informe'!$D$29)*(C3217&lt;='Resultats - informe'!$E$29),0,1,1)</f>
        <v>0</v>
      </c>
      <c r="N3217" s="366">
        <f>+VLOOKUP(D3217,'Resultats - informe'!$Y$18:$AG$42,'Introducció dades consum'!K3217+1,0)</f>
        <v>0</v>
      </c>
      <c r="O3217" s="370" cm="1">
        <f t="array" ref="O3217">+_xlfn.SWITCH(MONTH(C3217),1,1,2,1,3,1,4,2,5,2,6,3,7,3,8,3,9,3,10,2,11,2,12,1,2)</f>
        <v>1</v>
      </c>
      <c r="P3217" s="43"/>
    </row>
    <row r="3218" spans="1:16" ht="18" x14ac:dyDescent="0.35">
      <c r="A3218" s="43"/>
      <c r="C3218" s="393"/>
      <c r="E3218" s="394"/>
      <c r="F3218" s="394">
        <v>0</v>
      </c>
      <c r="G3218" s="394"/>
      <c r="H3218" s="8" t="s">
        <v>235</v>
      </c>
      <c r="I3218" s="368">
        <f t="shared" si="151"/>
        <v>0</v>
      </c>
      <c r="J3218" s="365">
        <f t="shared" si="150"/>
        <v>0</v>
      </c>
      <c r="K3218" s="369">
        <f t="shared" si="152"/>
        <v>6</v>
      </c>
      <c r="L3218" s="369">
        <f>+IF((C3218&gt;='Resultats - informe'!$E$16)*(C3218&lt;='Resultats - informe'!$G$16),1,0)</f>
        <v>1</v>
      </c>
      <c r="M3218" s="369" cm="1">
        <f t="array" ref="M3218">+_xlfn.IFS((C3218&gt;='Resultats - informe'!$D$26)*(C3218&lt;='Resultats - informe'!$E$26),0,(C3218&gt;='Resultats - informe'!$D$27)*(C3218&lt;='Resultats - informe'!$E$27),0,(C3218&gt;='Resultats - informe'!$D$28)*(C3218&lt;='Resultats - informe'!$E$28),0,(C3218&gt;='Resultats - informe'!$D$29)*(C3218&lt;='Resultats - informe'!$E$29),0,1,1)</f>
        <v>0</v>
      </c>
      <c r="N3218" s="366">
        <f>+VLOOKUP(D3218,'Resultats - informe'!$Y$18:$AG$42,'Introducció dades consum'!K3218+1,0)</f>
        <v>0</v>
      </c>
      <c r="O3218" s="370" cm="1">
        <f t="array" ref="O3218">+_xlfn.SWITCH(MONTH(C3218),1,1,2,1,3,1,4,2,5,2,6,3,7,3,8,3,9,3,10,2,11,2,12,1,2)</f>
        <v>1</v>
      </c>
      <c r="P3218" s="43"/>
    </row>
    <row r="3219" spans="1:16" ht="18" x14ac:dyDescent="0.35">
      <c r="A3219" s="43"/>
      <c r="C3219" s="393"/>
      <c r="E3219" s="394"/>
      <c r="F3219" s="394">
        <v>0</v>
      </c>
      <c r="G3219" s="394"/>
      <c r="H3219" s="8" t="s">
        <v>235</v>
      </c>
      <c r="I3219" s="368">
        <f t="shared" si="151"/>
        <v>0</v>
      </c>
      <c r="J3219" s="365">
        <f t="shared" si="150"/>
        <v>0</v>
      </c>
      <c r="K3219" s="369">
        <f t="shared" si="152"/>
        <v>6</v>
      </c>
      <c r="L3219" s="369">
        <f>+IF((C3219&gt;='Resultats - informe'!$E$16)*(C3219&lt;='Resultats - informe'!$G$16),1,0)</f>
        <v>1</v>
      </c>
      <c r="M3219" s="369" cm="1">
        <f t="array" ref="M3219">+_xlfn.IFS((C3219&gt;='Resultats - informe'!$D$26)*(C3219&lt;='Resultats - informe'!$E$26),0,(C3219&gt;='Resultats - informe'!$D$27)*(C3219&lt;='Resultats - informe'!$E$27),0,(C3219&gt;='Resultats - informe'!$D$28)*(C3219&lt;='Resultats - informe'!$E$28),0,(C3219&gt;='Resultats - informe'!$D$29)*(C3219&lt;='Resultats - informe'!$E$29),0,1,1)</f>
        <v>0</v>
      </c>
      <c r="N3219" s="366">
        <f>+VLOOKUP(D3219,'Resultats - informe'!$Y$18:$AG$42,'Introducció dades consum'!K3219+1,0)</f>
        <v>0</v>
      </c>
      <c r="O3219" s="370" cm="1">
        <f t="array" ref="O3219">+_xlfn.SWITCH(MONTH(C3219),1,1,2,1,3,1,4,2,5,2,6,3,7,3,8,3,9,3,10,2,11,2,12,1,2)</f>
        <v>1</v>
      </c>
      <c r="P3219" s="43"/>
    </row>
    <row r="3220" spans="1:16" ht="18" x14ac:dyDescent="0.35">
      <c r="A3220" s="43"/>
      <c r="C3220" s="393"/>
      <c r="E3220" s="394"/>
      <c r="F3220" s="394">
        <v>0</v>
      </c>
      <c r="G3220" s="394"/>
      <c r="H3220" s="8" t="s">
        <v>235</v>
      </c>
      <c r="I3220" s="368">
        <f t="shared" si="151"/>
        <v>0</v>
      </c>
      <c r="J3220" s="365">
        <f t="shared" si="150"/>
        <v>0</v>
      </c>
      <c r="K3220" s="369">
        <f t="shared" si="152"/>
        <v>6</v>
      </c>
      <c r="L3220" s="369">
        <f>+IF((C3220&gt;='Resultats - informe'!$E$16)*(C3220&lt;='Resultats - informe'!$G$16),1,0)</f>
        <v>1</v>
      </c>
      <c r="M3220" s="369" cm="1">
        <f t="array" ref="M3220">+_xlfn.IFS((C3220&gt;='Resultats - informe'!$D$26)*(C3220&lt;='Resultats - informe'!$E$26),0,(C3220&gt;='Resultats - informe'!$D$27)*(C3220&lt;='Resultats - informe'!$E$27),0,(C3220&gt;='Resultats - informe'!$D$28)*(C3220&lt;='Resultats - informe'!$E$28),0,(C3220&gt;='Resultats - informe'!$D$29)*(C3220&lt;='Resultats - informe'!$E$29),0,1,1)</f>
        <v>0</v>
      </c>
      <c r="N3220" s="366">
        <f>+VLOOKUP(D3220,'Resultats - informe'!$Y$18:$AG$42,'Introducció dades consum'!K3220+1,0)</f>
        <v>0</v>
      </c>
      <c r="O3220" s="370" cm="1">
        <f t="array" ref="O3220">+_xlfn.SWITCH(MONTH(C3220),1,1,2,1,3,1,4,2,5,2,6,3,7,3,8,3,9,3,10,2,11,2,12,1,2)</f>
        <v>1</v>
      </c>
      <c r="P3220" s="43"/>
    </row>
    <row r="3221" spans="1:16" ht="18" x14ac:dyDescent="0.35">
      <c r="A3221" s="43"/>
      <c r="C3221" s="393"/>
      <c r="E3221" s="394"/>
      <c r="F3221" s="394">
        <v>0</v>
      </c>
      <c r="G3221" s="394"/>
      <c r="H3221" s="8" t="s">
        <v>235</v>
      </c>
      <c r="I3221" s="368">
        <f t="shared" si="151"/>
        <v>0</v>
      </c>
      <c r="J3221" s="365">
        <f t="shared" si="150"/>
        <v>0</v>
      </c>
      <c r="K3221" s="369">
        <f t="shared" si="152"/>
        <v>6</v>
      </c>
      <c r="L3221" s="369">
        <f>+IF((C3221&gt;='Resultats - informe'!$E$16)*(C3221&lt;='Resultats - informe'!$G$16),1,0)</f>
        <v>1</v>
      </c>
      <c r="M3221" s="369" cm="1">
        <f t="array" ref="M3221">+_xlfn.IFS((C3221&gt;='Resultats - informe'!$D$26)*(C3221&lt;='Resultats - informe'!$E$26),0,(C3221&gt;='Resultats - informe'!$D$27)*(C3221&lt;='Resultats - informe'!$E$27),0,(C3221&gt;='Resultats - informe'!$D$28)*(C3221&lt;='Resultats - informe'!$E$28),0,(C3221&gt;='Resultats - informe'!$D$29)*(C3221&lt;='Resultats - informe'!$E$29),0,1,1)</f>
        <v>0</v>
      </c>
      <c r="N3221" s="366">
        <f>+VLOOKUP(D3221,'Resultats - informe'!$Y$18:$AG$42,'Introducció dades consum'!K3221+1,0)</f>
        <v>0</v>
      </c>
      <c r="O3221" s="370" cm="1">
        <f t="array" ref="O3221">+_xlfn.SWITCH(MONTH(C3221),1,1,2,1,3,1,4,2,5,2,6,3,7,3,8,3,9,3,10,2,11,2,12,1,2)</f>
        <v>1</v>
      </c>
      <c r="P3221" s="43"/>
    </row>
    <row r="3222" spans="1:16" ht="18" x14ac:dyDescent="0.35">
      <c r="A3222" s="43"/>
      <c r="C3222" s="393"/>
      <c r="E3222" s="394"/>
      <c r="F3222" s="394">
        <v>0</v>
      </c>
      <c r="G3222" s="394"/>
      <c r="H3222" s="8" t="s">
        <v>235</v>
      </c>
      <c r="I3222" s="368">
        <f t="shared" si="151"/>
        <v>0</v>
      </c>
      <c r="J3222" s="365">
        <f t="shared" si="150"/>
        <v>0</v>
      </c>
      <c r="K3222" s="369">
        <f t="shared" si="152"/>
        <v>6</v>
      </c>
      <c r="L3222" s="369">
        <f>+IF((C3222&gt;='Resultats - informe'!$E$16)*(C3222&lt;='Resultats - informe'!$G$16),1,0)</f>
        <v>1</v>
      </c>
      <c r="M3222" s="369" cm="1">
        <f t="array" ref="M3222">+_xlfn.IFS((C3222&gt;='Resultats - informe'!$D$26)*(C3222&lt;='Resultats - informe'!$E$26),0,(C3222&gt;='Resultats - informe'!$D$27)*(C3222&lt;='Resultats - informe'!$E$27),0,(C3222&gt;='Resultats - informe'!$D$28)*(C3222&lt;='Resultats - informe'!$E$28),0,(C3222&gt;='Resultats - informe'!$D$29)*(C3222&lt;='Resultats - informe'!$E$29),0,1,1)</f>
        <v>0</v>
      </c>
      <c r="N3222" s="366">
        <f>+VLOOKUP(D3222,'Resultats - informe'!$Y$18:$AG$42,'Introducció dades consum'!K3222+1,0)</f>
        <v>0</v>
      </c>
      <c r="O3222" s="370" cm="1">
        <f t="array" ref="O3222">+_xlfn.SWITCH(MONTH(C3222),1,1,2,1,3,1,4,2,5,2,6,3,7,3,8,3,9,3,10,2,11,2,12,1,2)</f>
        <v>1</v>
      </c>
      <c r="P3222" s="43"/>
    </row>
    <row r="3223" spans="1:16" ht="18" x14ac:dyDescent="0.35">
      <c r="A3223" s="43"/>
      <c r="C3223" s="393"/>
      <c r="E3223" s="394"/>
      <c r="F3223" s="394">
        <v>0</v>
      </c>
      <c r="G3223" s="394"/>
      <c r="H3223" s="8" t="s">
        <v>61</v>
      </c>
      <c r="I3223" s="368">
        <f t="shared" si="151"/>
        <v>0</v>
      </c>
      <c r="J3223" s="365">
        <f t="shared" si="150"/>
        <v>0</v>
      </c>
      <c r="K3223" s="369">
        <f t="shared" si="152"/>
        <v>6</v>
      </c>
      <c r="L3223" s="369">
        <f>+IF((C3223&gt;='Resultats - informe'!$E$16)*(C3223&lt;='Resultats - informe'!$G$16),1,0)</f>
        <v>1</v>
      </c>
      <c r="M3223" s="369" cm="1">
        <f t="array" ref="M3223">+_xlfn.IFS((C3223&gt;='Resultats - informe'!$D$26)*(C3223&lt;='Resultats - informe'!$E$26),0,(C3223&gt;='Resultats - informe'!$D$27)*(C3223&lt;='Resultats - informe'!$E$27),0,(C3223&gt;='Resultats - informe'!$D$28)*(C3223&lt;='Resultats - informe'!$E$28),0,(C3223&gt;='Resultats - informe'!$D$29)*(C3223&lt;='Resultats - informe'!$E$29),0,1,1)</f>
        <v>0</v>
      </c>
      <c r="N3223" s="366">
        <f>+VLOOKUP(D3223,'Resultats - informe'!$Y$18:$AG$42,'Introducció dades consum'!K3223+1,0)</f>
        <v>0</v>
      </c>
      <c r="O3223" s="370" cm="1">
        <f t="array" ref="O3223">+_xlfn.SWITCH(MONTH(C3223),1,1,2,1,3,1,4,2,5,2,6,3,7,3,8,3,9,3,10,2,11,2,12,1,2)</f>
        <v>1</v>
      </c>
      <c r="P3223" s="43"/>
    </row>
    <row r="3224" spans="1:16" ht="18" x14ac:dyDescent="0.35">
      <c r="A3224" s="43"/>
      <c r="C3224" s="393"/>
      <c r="E3224" s="394"/>
      <c r="F3224" s="394">
        <v>0</v>
      </c>
      <c r="G3224" s="394"/>
      <c r="H3224" s="8" t="s">
        <v>61</v>
      </c>
      <c r="I3224" s="368">
        <f t="shared" si="151"/>
        <v>0</v>
      </c>
      <c r="J3224" s="365">
        <f t="shared" si="150"/>
        <v>0</v>
      </c>
      <c r="K3224" s="369">
        <f t="shared" si="152"/>
        <v>6</v>
      </c>
      <c r="L3224" s="369">
        <f>+IF((C3224&gt;='Resultats - informe'!$E$16)*(C3224&lt;='Resultats - informe'!$G$16),1,0)</f>
        <v>1</v>
      </c>
      <c r="M3224" s="369" cm="1">
        <f t="array" ref="M3224">+_xlfn.IFS((C3224&gt;='Resultats - informe'!$D$26)*(C3224&lt;='Resultats - informe'!$E$26),0,(C3224&gt;='Resultats - informe'!$D$27)*(C3224&lt;='Resultats - informe'!$E$27),0,(C3224&gt;='Resultats - informe'!$D$28)*(C3224&lt;='Resultats - informe'!$E$28),0,(C3224&gt;='Resultats - informe'!$D$29)*(C3224&lt;='Resultats - informe'!$E$29),0,1,1)</f>
        <v>0</v>
      </c>
      <c r="N3224" s="366">
        <f>+VLOOKUP(D3224,'Resultats - informe'!$Y$18:$AG$42,'Introducció dades consum'!K3224+1,0)</f>
        <v>0</v>
      </c>
      <c r="O3224" s="370" cm="1">
        <f t="array" ref="O3224">+_xlfn.SWITCH(MONTH(C3224),1,1,2,1,3,1,4,2,5,2,6,3,7,3,8,3,9,3,10,2,11,2,12,1,2)</f>
        <v>1</v>
      </c>
      <c r="P3224" s="43"/>
    </row>
    <row r="3225" spans="1:16" ht="18" x14ac:dyDescent="0.35">
      <c r="A3225" s="43"/>
      <c r="C3225" s="393"/>
      <c r="E3225" s="394"/>
      <c r="F3225" s="394">
        <v>0.20699999999999999</v>
      </c>
      <c r="G3225" s="394"/>
      <c r="H3225" s="8" t="s">
        <v>235</v>
      </c>
      <c r="I3225" s="368">
        <f t="shared" si="151"/>
        <v>0</v>
      </c>
      <c r="J3225" s="365">
        <f t="shared" si="150"/>
        <v>0</v>
      </c>
      <c r="K3225" s="369">
        <f t="shared" si="152"/>
        <v>6</v>
      </c>
      <c r="L3225" s="369">
        <f>+IF((C3225&gt;='Resultats - informe'!$E$16)*(C3225&lt;='Resultats - informe'!$G$16),1,0)</f>
        <v>1</v>
      </c>
      <c r="M3225" s="369" cm="1">
        <f t="array" ref="M3225">+_xlfn.IFS((C3225&gt;='Resultats - informe'!$D$26)*(C3225&lt;='Resultats - informe'!$E$26),0,(C3225&gt;='Resultats - informe'!$D$27)*(C3225&lt;='Resultats - informe'!$E$27),0,(C3225&gt;='Resultats - informe'!$D$28)*(C3225&lt;='Resultats - informe'!$E$28),0,(C3225&gt;='Resultats - informe'!$D$29)*(C3225&lt;='Resultats - informe'!$E$29),0,1,1)</f>
        <v>0</v>
      </c>
      <c r="N3225" s="366">
        <f>+VLOOKUP(D3225,'Resultats - informe'!$Y$18:$AG$42,'Introducció dades consum'!K3225+1,0)</f>
        <v>0</v>
      </c>
      <c r="O3225" s="370" cm="1">
        <f t="array" ref="O3225">+_xlfn.SWITCH(MONTH(C3225),1,1,2,1,3,1,4,2,5,2,6,3,7,3,8,3,9,3,10,2,11,2,12,1,2)</f>
        <v>1</v>
      </c>
      <c r="P3225" s="43"/>
    </row>
    <row r="3226" spans="1:16" ht="18" x14ac:dyDescent="0.35">
      <c r="A3226" s="43"/>
      <c r="C3226" s="393"/>
      <c r="E3226" s="394"/>
      <c r="F3226" s="394">
        <v>0.94099999999999995</v>
      </c>
      <c r="G3226" s="394"/>
      <c r="H3226" s="8" t="s">
        <v>235</v>
      </c>
      <c r="I3226" s="368">
        <f t="shared" si="151"/>
        <v>0</v>
      </c>
      <c r="J3226" s="365">
        <f t="shared" si="150"/>
        <v>0</v>
      </c>
      <c r="K3226" s="369">
        <f t="shared" si="152"/>
        <v>6</v>
      </c>
      <c r="L3226" s="369">
        <f>+IF((C3226&gt;='Resultats - informe'!$E$16)*(C3226&lt;='Resultats - informe'!$G$16),1,0)</f>
        <v>1</v>
      </c>
      <c r="M3226" s="369" cm="1">
        <f t="array" ref="M3226">+_xlfn.IFS((C3226&gt;='Resultats - informe'!$D$26)*(C3226&lt;='Resultats - informe'!$E$26),0,(C3226&gt;='Resultats - informe'!$D$27)*(C3226&lt;='Resultats - informe'!$E$27),0,(C3226&gt;='Resultats - informe'!$D$28)*(C3226&lt;='Resultats - informe'!$E$28),0,(C3226&gt;='Resultats - informe'!$D$29)*(C3226&lt;='Resultats - informe'!$E$29),0,1,1)</f>
        <v>0</v>
      </c>
      <c r="N3226" s="366">
        <f>+VLOOKUP(D3226,'Resultats - informe'!$Y$18:$AG$42,'Introducció dades consum'!K3226+1,0)</f>
        <v>0</v>
      </c>
      <c r="O3226" s="370" cm="1">
        <f t="array" ref="O3226">+_xlfn.SWITCH(MONTH(C3226),1,1,2,1,3,1,4,2,5,2,6,3,7,3,8,3,9,3,10,2,11,2,12,1,2)</f>
        <v>1</v>
      </c>
      <c r="P3226" s="43"/>
    </row>
    <row r="3227" spans="1:16" ht="18" x14ac:dyDescent="0.35">
      <c r="A3227" s="43"/>
      <c r="C3227" s="393"/>
      <c r="E3227" s="394"/>
      <c r="F3227" s="394">
        <v>1.7849999999999999</v>
      </c>
      <c r="G3227" s="394"/>
      <c r="H3227" s="8" t="s">
        <v>235</v>
      </c>
      <c r="I3227" s="368">
        <f t="shared" si="151"/>
        <v>0</v>
      </c>
      <c r="J3227" s="365">
        <f t="shared" si="150"/>
        <v>0</v>
      </c>
      <c r="K3227" s="369">
        <f t="shared" si="152"/>
        <v>6</v>
      </c>
      <c r="L3227" s="369">
        <f>+IF((C3227&gt;='Resultats - informe'!$E$16)*(C3227&lt;='Resultats - informe'!$G$16),1,0)</f>
        <v>1</v>
      </c>
      <c r="M3227" s="369" cm="1">
        <f t="array" ref="M3227">+_xlfn.IFS((C3227&gt;='Resultats - informe'!$D$26)*(C3227&lt;='Resultats - informe'!$E$26),0,(C3227&gt;='Resultats - informe'!$D$27)*(C3227&lt;='Resultats - informe'!$E$27),0,(C3227&gt;='Resultats - informe'!$D$28)*(C3227&lt;='Resultats - informe'!$E$28),0,(C3227&gt;='Resultats - informe'!$D$29)*(C3227&lt;='Resultats - informe'!$E$29),0,1,1)</f>
        <v>0</v>
      </c>
      <c r="N3227" s="366">
        <f>+VLOOKUP(D3227,'Resultats - informe'!$Y$18:$AG$42,'Introducció dades consum'!K3227+1,0)</f>
        <v>0</v>
      </c>
      <c r="O3227" s="370" cm="1">
        <f t="array" ref="O3227">+_xlfn.SWITCH(MONTH(C3227),1,1,2,1,3,1,4,2,5,2,6,3,7,3,8,3,9,3,10,2,11,2,12,1,2)</f>
        <v>1</v>
      </c>
      <c r="P3227" s="43"/>
    </row>
    <row r="3228" spans="1:16" ht="18" x14ac:dyDescent="0.35">
      <c r="A3228" s="43"/>
      <c r="C3228" s="393"/>
      <c r="E3228" s="394"/>
      <c r="F3228" s="394">
        <v>1.484</v>
      </c>
      <c r="G3228" s="394"/>
      <c r="H3228" s="8" t="s">
        <v>235</v>
      </c>
      <c r="I3228" s="368">
        <f t="shared" si="151"/>
        <v>0</v>
      </c>
      <c r="J3228" s="365">
        <f t="shared" si="150"/>
        <v>0</v>
      </c>
      <c r="K3228" s="369">
        <f t="shared" si="152"/>
        <v>6</v>
      </c>
      <c r="L3228" s="369">
        <f>+IF((C3228&gt;='Resultats - informe'!$E$16)*(C3228&lt;='Resultats - informe'!$G$16),1,0)</f>
        <v>1</v>
      </c>
      <c r="M3228" s="369" cm="1">
        <f t="array" ref="M3228">+_xlfn.IFS((C3228&gt;='Resultats - informe'!$D$26)*(C3228&lt;='Resultats - informe'!$E$26),0,(C3228&gt;='Resultats - informe'!$D$27)*(C3228&lt;='Resultats - informe'!$E$27),0,(C3228&gt;='Resultats - informe'!$D$28)*(C3228&lt;='Resultats - informe'!$E$28),0,(C3228&gt;='Resultats - informe'!$D$29)*(C3228&lt;='Resultats - informe'!$E$29),0,1,1)</f>
        <v>0</v>
      </c>
      <c r="N3228" s="366">
        <f>+VLOOKUP(D3228,'Resultats - informe'!$Y$18:$AG$42,'Introducció dades consum'!K3228+1,0)</f>
        <v>0</v>
      </c>
      <c r="O3228" s="370" cm="1">
        <f t="array" ref="O3228">+_xlfn.SWITCH(MONTH(C3228),1,1,2,1,3,1,4,2,5,2,6,3,7,3,8,3,9,3,10,2,11,2,12,1,2)</f>
        <v>1</v>
      </c>
      <c r="P3228" s="43"/>
    </row>
    <row r="3229" spans="1:16" ht="18" x14ac:dyDescent="0.35">
      <c r="A3229" s="43"/>
      <c r="C3229" s="393"/>
      <c r="E3229" s="394"/>
      <c r="F3229" s="394">
        <v>2.2469999999999999</v>
      </c>
      <c r="G3229" s="394"/>
      <c r="H3229" s="8" t="s">
        <v>235</v>
      </c>
      <c r="I3229" s="368">
        <f t="shared" si="151"/>
        <v>0</v>
      </c>
      <c r="J3229" s="365">
        <f t="shared" si="150"/>
        <v>0</v>
      </c>
      <c r="K3229" s="369">
        <f t="shared" si="152"/>
        <v>6</v>
      </c>
      <c r="L3229" s="369">
        <f>+IF((C3229&gt;='Resultats - informe'!$E$16)*(C3229&lt;='Resultats - informe'!$G$16),1,0)</f>
        <v>1</v>
      </c>
      <c r="M3229" s="369" cm="1">
        <f t="array" ref="M3229">+_xlfn.IFS((C3229&gt;='Resultats - informe'!$D$26)*(C3229&lt;='Resultats - informe'!$E$26),0,(C3229&gt;='Resultats - informe'!$D$27)*(C3229&lt;='Resultats - informe'!$E$27),0,(C3229&gt;='Resultats - informe'!$D$28)*(C3229&lt;='Resultats - informe'!$E$28),0,(C3229&gt;='Resultats - informe'!$D$29)*(C3229&lt;='Resultats - informe'!$E$29),0,1,1)</f>
        <v>0</v>
      </c>
      <c r="N3229" s="366">
        <f>+VLOOKUP(D3229,'Resultats - informe'!$Y$18:$AG$42,'Introducció dades consum'!K3229+1,0)</f>
        <v>0</v>
      </c>
      <c r="O3229" s="370" cm="1">
        <f t="array" ref="O3229">+_xlfn.SWITCH(MONTH(C3229),1,1,2,1,3,1,4,2,5,2,6,3,7,3,8,3,9,3,10,2,11,2,12,1,2)</f>
        <v>1</v>
      </c>
      <c r="P3229" s="43"/>
    </row>
    <row r="3230" spans="1:16" ht="18" x14ac:dyDescent="0.35">
      <c r="A3230" s="43"/>
      <c r="C3230" s="393"/>
      <c r="E3230" s="394"/>
      <c r="F3230" s="394">
        <v>3.137</v>
      </c>
      <c r="G3230" s="394"/>
      <c r="H3230" s="8" t="s">
        <v>235</v>
      </c>
      <c r="I3230" s="368">
        <f t="shared" si="151"/>
        <v>0</v>
      </c>
      <c r="J3230" s="365">
        <f t="shared" si="150"/>
        <v>0</v>
      </c>
      <c r="K3230" s="369">
        <f t="shared" si="152"/>
        <v>6</v>
      </c>
      <c r="L3230" s="369">
        <f>+IF((C3230&gt;='Resultats - informe'!$E$16)*(C3230&lt;='Resultats - informe'!$G$16),1,0)</f>
        <v>1</v>
      </c>
      <c r="M3230" s="369" cm="1">
        <f t="array" ref="M3230">+_xlfn.IFS((C3230&gt;='Resultats - informe'!$D$26)*(C3230&lt;='Resultats - informe'!$E$26),0,(C3230&gt;='Resultats - informe'!$D$27)*(C3230&lt;='Resultats - informe'!$E$27),0,(C3230&gt;='Resultats - informe'!$D$28)*(C3230&lt;='Resultats - informe'!$E$28),0,(C3230&gt;='Resultats - informe'!$D$29)*(C3230&lt;='Resultats - informe'!$E$29),0,1,1)</f>
        <v>0</v>
      </c>
      <c r="N3230" s="366">
        <f>+VLOOKUP(D3230,'Resultats - informe'!$Y$18:$AG$42,'Introducció dades consum'!K3230+1,0)</f>
        <v>0</v>
      </c>
      <c r="O3230" s="370" cm="1">
        <f t="array" ref="O3230">+_xlfn.SWITCH(MONTH(C3230),1,1,2,1,3,1,4,2,5,2,6,3,7,3,8,3,9,3,10,2,11,2,12,1,2)</f>
        <v>1</v>
      </c>
      <c r="P3230" s="43"/>
    </row>
    <row r="3231" spans="1:16" ht="18" x14ac:dyDescent="0.35">
      <c r="A3231" s="43"/>
      <c r="C3231" s="393"/>
      <c r="E3231" s="394"/>
      <c r="F3231" s="394">
        <v>1.3149999999999999</v>
      </c>
      <c r="G3231" s="394"/>
      <c r="H3231" s="8" t="s">
        <v>61</v>
      </c>
      <c r="I3231" s="368">
        <f t="shared" si="151"/>
        <v>0</v>
      </c>
      <c r="J3231" s="365">
        <f t="shared" si="150"/>
        <v>0</v>
      </c>
      <c r="K3231" s="369">
        <f t="shared" si="152"/>
        <v>6</v>
      </c>
      <c r="L3231" s="369">
        <f>+IF((C3231&gt;='Resultats - informe'!$E$16)*(C3231&lt;='Resultats - informe'!$G$16),1,0)</f>
        <v>1</v>
      </c>
      <c r="M3231" s="369" cm="1">
        <f t="array" ref="M3231">+_xlfn.IFS((C3231&gt;='Resultats - informe'!$D$26)*(C3231&lt;='Resultats - informe'!$E$26),0,(C3231&gt;='Resultats - informe'!$D$27)*(C3231&lt;='Resultats - informe'!$E$27),0,(C3231&gt;='Resultats - informe'!$D$28)*(C3231&lt;='Resultats - informe'!$E$28),0,(C3231&gt;='Resultats - informe'!$D$29)*(C3231&lt;='Resultats - informe'!$E$29),0,1,1)</f>
        <v>0</v>
      </c>
      <c r="N3231" s="366">
        <f>+VLOOKUP(D3231,'Resultats - informe'!$Y$18:$AG$42,'Introducció dades consum'!K3231+1,0)</f>
        <v>0</v>
      </c>
      <c r="O3231" s="370" cm="1">
        <f t="array" ref="O3231">+_xlfn.SWITCH(MONTH(C3231),1,1,2,1,3,1,4,2,5,2,6,3,7,3,8,3,9,3,10,2,11,2,12,1,2)</f>
        <v>1</v>
      </c>
      <c r="P3231" s="43"/>
    </row>
    <row r="3232" spans="1:16" ht="18" x14ac:dyDescent="0.35">
      <c r="A3232" s="43"/>
      <c r="C3232" s="393"/>
      <c r="E3232" s="394"/>
      <c r="F3232" s="394">
        <v>2.83</v>
      </c>
      <c r="G3232" s="394"/>
      <c r="H3232" s="8" t="s">
        <v>235</v>
      </c>
      <c r="I3232" s="368">
        <f t="shared" si="151"/>
        <v>0</v>
      </c>
      <c r="J3232" s="365">
        <f t="shared" si="150"/>
        <v>0</v>
      </c>
      <c r="K3232" s="369">
        <f t="shared" si="152"/>
        <v>6</v>
      </c>
      <c r="L3232" s="369">
        <f>+IF((C3232&gt;='Resultats - informe'!$E$16)*(C3232&lt;='Resultats - informe'!$G$16),1,0)</f>
        <v>1</v>
      </c>
      <c r="M3232" s="369" cm="1">
        <f t="array" ref="M3232">+_xlfn.IFS((C3232&gt;='Resultats - informe'!$D$26)*(C3232&lt;='Resultats - informe'!$E$26),0,(C3232&gt;='Resultats - informe'!$D$27)*(C3232&lt;='Resultats - informe'!$E$27),0,(C3232&gt;='Resultats - informe'!$D$28)*(C3232&lt;='Resultats - informe'!$E$28),0,(C3232&gt;='Resultats - informe'!$D$29)*(C3232&lt;='Resultats - informe'!$E$29),0,1,1)</f>
        <v>0</v>
      </c>
      <c r="N3232" s="366">
        <f>+VLOOKUP(D3232,'Resultats - informe'!$Y$18:$AG$42,'Introducció dades consum'!K3232+1,0)</f>
        <v>0</v>
      </c>
      <c r="O3232" s="370" cm="1">
        <f t="array" ref="O3232">+_xlfn.SWITCH(MONTH(C3232),1,1,2,1,3,1,4,2,5,2,6,3,7,3,8,3,9,3,10,2,11,2,12,1,2)</f>
        <v>1</v>
      </c>
      <c r="P3232" s="43"/>
    </row>
    <row r="3233" spans="1:16" ht="18" x14ac:dyDescent="0.35">
      <c r="A3233" s="43"/>
      <c r="C3233" s="393"/>
      <c r="E3233" s="394"/>
      <c r="F3233" s="394">
        <v>2.88</v>
      </c>
      <c r="G3233" s="394"/>
      <c r="H3233" s="8" t="s">
        <v>235</v>
      </c>
      <c r="I3233" s="368">
        <f t="shared" si="151"/>
        <v>0</v>
      </c>
      <c r="J3233" s="365">
        <f t="shared" si="150"/>
        <v>0</v>
      </c>
      <c r="K3233" s="369">
        <f t="shared" si="152"/>
        <v>6</v>
      </c>
      <c r="L3233" s="369">
        <f>+IF((C3233&gt;='Resultats - informe'!$E$16)*(C3233&lt;='Resultats - informe'!$G$16),1,0)</f>
        <v>1</v>
      </c>
      <c r="M3233" s="369" cm="1">
        <f t="array" ref="M3233">+_xlfn.IFS((C3233&gt;='Resultats - informe'!$D$26)*(C3233&lt;='Resultats - informe'!$E$26),0,(C3233&gt;='Resultats - informe'!$D$27)*(C3233&lt;='Resultats - informe'!$E$27),0,(C3233&gt;='Resultats - informe'!$D$28)*(C3233&lt;='Resultats - informe'!$E$28),0,(C3233&gt;='Resultats - informe'!$D$29)*(C3233&lt;='Resultats - informe'!$E$29),0,1,1)</f>
        <v>0</v>
      </c>
      <c r="N3233" s="366">
        <f>+VLOOKUP(D3233,'Resultats - informe'!$Y$18:$AG$42,'Introducció dades consum'!K3233+1,0)</f>
        <v>0</v>
      </c>
      <c r="O3233" s="370" cm="1">
        <f t="array" ref="O3233">+_xlfn.SWITCH(MONTH(C3233),1,1,2,1,3,1,4,2,5,2,6,3,7,3,8,3,9,3,10,2,11,2,12,1,2)</f>
        <v>1</v>
      </c>
      <c r="P3233" s="43"/>
    </row>
    <row r="3234" spans="1:16" ht="18" x14ac:dyDescent="0.35">
      <c r="A3234" s="43"/>
      <c r="C3234" s="393"/>
      <c r="E3234" s="394"/>
      <c r="F3234" s="394">
        <v>2.2130000000000001</v>
      </c>
      <c r="G3234" s="394"/>
      <c r="H3234" s="8" t="s">
        <v>235</v>
      </c>
      <c r="I3234" s="368">
        <f t="shared" si="151"/>
        <v>0</v>
      </c>
      <c r="J3234" s="365">
        <f t="shared" si="150"/>
        <v>0</v>
      </c>
      <c r="K3234" s="369">
        <f t="shared" si="152"/>
        <v>6</v>
      </c>
      <c r="L3234" s="369">
        <f>+IF((C3234&gt;='Resultats - informe'!$E$16)*(C3234&lt;='Resultats - informe'!$G$16),1,0)</f>
        <v>1</v>
      </c>
      <c r="M3234" s="369" cm="1">
        <f t="array" ref="M3234">+_xlfn.IFS((C3234&gt;='Resultats - informe'!$D$26)*(C3234&lt;='Resultats - informe'!$E$26),0,(C3234&gt;='Resultats - informe'!$D$27)*(C3234&lt;='Resultats - informe'!$E$27),0,(C3234&gt;='Resultats - informe'!$D$28)*(C3234&lt;='Resultats - informe'!$E$28),0,(C3234&gt;='Resultats - informe'!$D$29)*(C3234&lt;='Resultats - informe'!$E$29),0,1,1)</f>
        <v>0</v>
      </c>
      <c r="N3234" s="366">
        <f>+VLOOKUP(D3234,'Resultats - informe'!$Y$18:$AG$42,'Introducció dades consum'!K3234+1,0)</f>
        <v>0</v>
      </c>
      <c r="O3234" s="370" cm="1">
        <f t="array" ref="O3234">+_xlfn.SWITCH(MONTH(C3234),1,1,2,1,3,1,4,2,5,2,6,3,7,3,8,3,9,3,10,2,11,2,12,1,2)</f>
        <v>1</v>
      </c>
      <c r="P3234" s="43"/>
    </row>
    <row r="3235" spans="1:16" ht="18" x14ac:dyDescent="0.35">
      <c r="A3235" s="43"/>
      <c r="C3235" s="393"/>
      <c r="E3235" s="394"/>
      <c r="F3235" s="394">
        <v>2.254</v>
      </c>
      <c r="G3235" s="394"/>
      <c r="H3235" s="8" t="s">
        <v>235</v>
      </c>
      <c r="I3235" s="368">
        <f t="shared" si="151"/>
        <v>0</v>
      </c>
      <c r="J3235" s="365">
        <f t="shared" si="150"/>
        <v>0</v>
      </c>
      <c r="K3235" s="369">
        <f t="shared" si="152"/>
        <v>6</v>
      </c>
      <c r="L3235" s="369">
        <f>+IF((C3235&gt;='Resultats - informe'!$E$16)*(C3235&lt;='Resultats - informe'!$G$16),1,0)</f>
        <v>1</v>
      </c>
      <c r="M3235" s="369" cm="1">
        <f t="array" ref="M3235">+_xlfn.IFS((C3235&gt;='Resultats - informe'!$D$26)*(C3235&lt;='Resultats - informe'!$E$26),0,(C3235&gt;='Resultats - informe'!$D$27)*(C3235&lt;='Resultats - informe'!$E$27),0,(C3235&gt;='Resultats - informe'!$D$28)*(C3235&lt;='Resultats - informe'!$E$28),0,(C3235&gt;='Resultats - informe'!$D$29)*(C3235&lt;='Resultats - informe'!$E$29),0,1,1)</f>
        <v>0</v>
      </c>
      <c r="N3235" s="366">
        <f>+VLOOKUP(D3235,'Resultats - informe'!$Y$18:$AG$42,'Introducció dades consum'!K3235+1,0)</f>
        <v>0</v>
      </c>
      <c r="O3235" s="370" cm="1">
        <f t="array" ref="O3235">+_xlfn.SWITCH(MONTH(C3235),1,1,2,1,3,1,4,2,5,2,6,3,7,3,8,3,9,3,10,2,11,2,12,1,2)</f>
        <v>1</v>
      </c>
      <c r="P3235" s="43"/>
    </row>
    <row r="3236" spans="1:16" ht="18" x14ac:dyDescent="0.35">
      <c r="A3236" s="43"/>
      <c r="C3236" s="393"/>
      <c r="E3236" s="394"/>
      <c r="F3236" s="394">
        <v>1.33</v>
      </c>
      <c r="G3236" s="394"/>
      <c r="H3236" s="8" t="s">
        <v>235</v>
      </c>
      <c r="I3236" s="368">
        <f t="shared" si="151"/>
        <v>0</v>
      </c>
      <c r="J3236" s="365">
        <f t="shared" si="150"/>
        <v>0</v>
      </c>
      <c r="K3236" s="369">
        <f t="shared" si="152"/>
        <v>6</v>
      </c>
      <c r="L3236" s="369">
        <f>+IF((C3236&gt;='Resultats - informe'!$E$16)*(C3236&lt;='Resultats - informe'!$G$16),1,0)</f>
        <v>1</v>
      </c>
      <c r="M3236" s="369" cm="1">
        <f t="array" ref="M3236">+_xlfn.IFS((C3236&gt;='Resultats - informe'!$D$26)*(C3236&lt;='Resultats - informe'!$E$26),0,(C3236&gt;='Resultats - informe'!$D$27)*(C3236&lt;='Resultats - informe'!$E$27),0,(C3236&gt;='Resultats - informe'!$D$28)*(C3236&lt;='Resultats - informe'!$E$28),0,(C3236&gt;='Resultats - informe'!$D$29)*(C3236&lt;='Resultats - informe'!$E$29),0,1,1)</f>
        <v>0</v>
      </c>
      <c r="N3236" s="366">
        <f>+VLOOKUP(D3236,'Resultats - informe'!$Y$18:$AG$42,'Introducció dades consum'!K3236+1,0)</f>
        <v>0</v>
      </c>
      <c r="O3236" s="370" cm="1">
        <f t="array" ref="O3236">+_xlfn.SWITCH(MONTH(C3236),1,1,2,1,3,1,4,2,5,2,6,3,7,3,8,3,9,3,10,2,11,2,12,1,2)</f>
        <v>1</v>
      </c>
      <c r="P3236" s="43"/>
    </row>
    <row r="3237" spans="1:16" ht="18" x14ac:dyDescent="0.35">
      <c r="A3237" s="43"/>
      <c r="C3237" s="393"/>
      <c r="E3237" s="394"/>
      <c r="F3237" s="394">
        <v>0.37</v>
      </c>
      <c r="G3237" s="394"/>
      <c r="H3237" s="8" t="s">
        <v>235</v>
      </c>
      <c r="I3237" s="368">
        <f t="shared" si="151"/>
        <v>0</v>
      </c>
      <c r="J3237" s="365">
        <f t="shared" si="150"/>
        <v>0</v>
      </c>
      <c r="K3237" s="369">
        <f t="shared" si="152"/>
        <v>6</v>
      </c>
      <c r="L3237" s="369">
        <f>+IF((C3237&gt;='Resultats - informe'!$E$16)*(C3237&lt;='Resultats - informe'!$G$16),1,0)</f>
        <v>1</v>
      </c>
      <c r="M3237" s="369" cm="1">
        <f t="array" ref="M3237">+_xlfn.IFS((C3237&gt;='Resultats - informe'!$D$26)*(C3237&lt;='Resultats - informe'!$E$26),0,(C3237&gt;='Resultats - informe'!$D$27)*(C3237&lt;='Resultats - informe'!$E$27),0,(C3237&gt;='Resultats - informe'!$D$28)*(C3237&lt;='Resultats - informe'!$E$28),0,(C3237&gt;='Resultats - informe'!$D$29)*(C3237&lt;='Resultats - informe'!$E$29),0,1,1)</f>
        <v>0</v>
      </c>
      <c r="N3237" s="366">
        <f>+VLOOKUP(D3237,'Resultats - informe'!$Y$18:$AG$42,'Introducció dades consum'!K3237+1,0)</f>
        <v>0</v>
      </c>
      <c r="O3237" s="370" cm="1">
        <f t="array" ref="O3237">+_xlfn.SWITCH(MONTH(C3237),1,1,2,1,3,1,4,2,5,2,6,3,7,3,8,3,9,3,10,2,11,2,12,1,2)</f>
        <v>1</v>
      </c>
      <c r="P3237" s="43"/>
    </row>
    <row r="3238" spans="1:16" ht="18" x14ac:dyDescent="0.35">
      <c r="A3238" s="43"/>
      <c r="C3238" s="393"/>
      <c r="E3238" s="394"/>
      <c r="F3238" s="394">
        <v>1.0589999999999999</v>
      </c>
      <c r="G3238" s="394"/>
      <c r="H3238" s="8" t="s">
        <v>61</v>
      </c>
      <c r="I3238" s="368">
        <f t="shared" si="151"/>
        <v>0</v>
      </c>
      <c r="J3238" s="365">
        <f t="shared" si="150"/>
        <v>0</v>
      </c>
      <c r="K3238" s="369">
        <f t="shared" si="152"/>
        <v>6</v>
      </c>
      <c r="L3238" s="369">
        <f>+IF((C3238&gt;='Resultats - informe'!$E$16)*(C3238&lt;='Resultats - informe'!$G$16),1,0)</f>
        <v>1</v>
      </c>
      <c r="M3238" s="369" cm="1">
        <f t="array" ref="M3238">+_xlfn.IFS((C3238&gt;='Resultats - informe'!$D$26)*(C3238&lt;='Resultats - informe'!$E$26),0,(C3238&gt;='Resultats - informe'!$D$27)*(C3238&lt;='Resultats - informe'!$E$27),0,(C3238&gt;='Resultats - informe'!$D$28)*(C3238&lt;='Resultats - informe'!$E$28),0,(C3238&gt;='Resultats - informe'!$D$29)*(C3238&lt;='Resultats - informe'!$E$29),0,1,1)</f>
        <v>0</v>
      </c>
      <c r="N3238" s="366">
        <f>+VLOOKUP(D3238,'Resultats - informe'!$Y$18:$AG$42,'Introducció dades consum'!K3238+1,0)</f>
        <v>0</v>
      </c>
      <c r="O3238" s="370" cm="1">
        <f t="array" ref="O3238">+_xlfn.SWITCH(MONTH(C3238),1,1,2,1,3,1,4,2,5,2,6,3,7,3,8,3,9,3,10,2,11,2,12,1,2)</f>
        <v>1</v>
      </c>
      <c r="P3238" s="43"/>
    </row>
    <row r="3239" spans="1:16" ht="18" x14ac:dyDescent="0.35">
      <c r="A3239" s="43"/>
      <c r="C3239" s="393"/>
      <c r="E3239" s="394"/>
      <c r="F3239" s="394">
        <v>0.72599999999999998</v>
      </c>
      <c r="G3239" s="394"/>
      <c r="H3239" s="8" t="s">
        <v>61</v>
      </c>
      <c r="I3239" s="368">
        <f t="shared" si="151"/>
        <v>0</v>
      </c>
      <c r="J3239" s="365">
        <f t="shared" si="150"/>
        <v>0</v>
      </c>
      <c r="K3239" s="369">
        <f t="shared" si="152"/>
        <v>6</v>
      </c>
      <c r="L3239" s="369">
        <f>+IF((C3239&gt;='Resultats - informe'!$E$16)*(C3239&lt;='Resultats - informe'!$G$16),1,0)</f>
        <v>1</v>
      </c>
      <c r="M3239" s="369" cm="1">
        <f t="array" ref="M3239">+_xlfn.IFS((C3239&gt;='Resultats - informe'!$D$26)*(C3239&lt;='Resultats - informe'!$E$26),0,(C3239&gt;='Resultats - informe'!$D$27)*(C3239&lt;='Resultats - informe'!$E$27),0,(C3239&gt;='Resultats - informe'!$D$28)*(C3239&lt;='Resultats - informe'!$E$28),0,(C3239&gt;='Resultats - informe'!$D$29)*(C3239&lt;='Resultats - informe'!$E$29),0,1,1)</f>
        <v>0</v>
      </c>
      <c r="N3239" s="366">
        <f>+VLOOKUP(D3239,'Resultats - informe'!$Y$18:$AG$42,'Introducció dades consum'!K3239+1,0)</f>
        <v>0</v>
      </c>
      <c r="O3239" s="370" cm="1">
        <f t="array" ref="O3239">+_xlfn.SWITCH(MONTH(C3239),1,1,2,1,3,1,4,2,5,2,6,3,7,3,8,3,9,3,10,2,11,2,12,1,2)</f>
        <v>1</v>
      </c>
      <c r="P3239" s="43"/>
    </row>
    <row r="3240" spans="1:16" ht="18" x14ac:dyDescent="0.35">
      <c r="A3240" s="43"/>
      <c r="C3240" s="393"/>
      <c r="E3240" s="394"/>
      <c r="F3240" s="394">
        <v>0</v>
      </c>
      <c r="G3240" s="394"/>
      <c r="H3240" s="8" t="s">
        <v>235</v>
      </c>
      <c r="I3240" s="368">
        <f t="shared" si="151"/>
        <v>0</v>
      </c>
      <c r="J3240" s="365">
        <f t="shared" si="150"/>
        <v>0</v>
      </c>
      <c r="K3240" s="369">
        <f t="shared" si="152"/>
        <v>6</v>
      </c>
      <c r="L3240" s="369">
        <f>+IF((C3240&gt;='Resultats - informe'!$E$16)*(C3240&lt;='Resultats - informe'!$G$16),1,0)</f>
        <v>1</v>
      </c>
      <c r="M3240" s="369" cm="1">
        <f t="array" ref="M3240">+_xlfn.IFS((C3240&gt;='Resultats - informe'!$D$26)*(C3240&lt;='Resultats - informe'!$E$26),0,(C3240&gt;='Resultats - informe'!$D$27)*(C3240&lt;='Resultats - informe'!$E$27),0,(C3240&gt;='Resultats - informe'!$D$28)*(C3240&lt;='Resultats - informe'!$E$28),0,(C3240&gt;='Resultats - informe'!$D$29)*(C3240&lt;='Resultats - informe'!$E$29),0,1,1)</f>
        <v>0</v>
      </c>
      <c r="N3240" s="366">
        <f>+VLOOKUP(D3240,'Resultats - informe'!$Y$18:$AG$42,'Introducció dades consum'!K3240+1,0)</f>
        <v>0</v>
      </c>
      <c r="O3240" s="370" cm="1">
        <f t="array" ref="O3240">+_xlfn.SWITCH(MONTH(C3240),1,1,2,1,3,1,4,2,5,2,6,3,7,3,8,3,9,3,10,2,11,2,12,1,2)</f>
        <v>1</v>
      </c>
      <c r="P3240" s="43"/>
    </row>
    <row r="3241" spans="1:16" ht="18" x14ac:dyDescent="0.35">
      <c r="A3241" s="43"/>
      <c r="C3241" s="393"/>
      <c r="E3241" s="394"/>
      <c r="F3241" s="394">
        <v>0</v>
      </c>
      <c r="G3241" s="394"/>
      <c r="H3241" s="8" t="s">
        <v>235</v>
      </c>
      <c r="I3241" s="368">
        <f t="shared" si="151"/>
        <v>0</v>
      </c>
      <c r="J3241" s="365">
        <f t="shared" si="150"/>
        <v>0</v>
      </c>
      <c r="K3241" s="369">
        <f t="shared" si="152"/>
        <v>6</v>
      </c>
      <c r="L3241" s="369">
        <f>+IF((C3241&gt;='Resultats - informe'!$E$16)*(C3241&lt;='Resultats - informe'!$G$16),1,0)</f>
        <v>1</v>
      </c>
      <c r="M3241" s="369" cm="1">
        <f t="array" ref="M3241">+_xlfn.IFS((C3241&gt;='Resultats - informe'!$D$26)*(C3241&lt;='Resultats - informe'!$E$26),0,(C3241&gt;='Resultats - informe'!$D$27)*(C3241&lt;='Resultats - informe'!$E$27),0,(C3241&gt;='Resultats - informe'!$D$28)*(C3241&lt;='Resultats - informe'!$E$28),0,(C3241&gt;='Resultats - informe'!$D$29)*(C3241&lt;='Resultats - informe'!$E$29),0,1,1)</f>
        <v>0</v>
      </c>
      <c r="N3241" s="366">
        <f>+VLOOKUP(D3241,'Resultats - informe'!$Y$18:$AG$42,'Introducció dades consum'!K3241+1,0)</f>
        <v>0</v>
      </c>
      <c r="O3241" s="370" cm="1">
        <f t="array" ref="O3241">+_xlfn.SWITCH(MONTH(C3241),1,1,2,1,3,1,4,2,5,2,6,3,7,3,8,3,9,3,10,2,11,2,12,1,2)</f>
        <v>1</v>
      </c>
      <c r="P3241" s="43"/>
    </row>
    <row r="3242" spans="1:16" ht="18" x14ac:dyDescent="0.35">
      <c r="A3242" s="43"/>
      <c r="C3242" s="393"/>
      <c r="E3242" s="394"/>
      <c r="F3242" s="394">
        <v>0</v>
      </c>
      <c r="G3242" s="394"/>
      <c r="H3242" s="8" t="s">
        <v>61</v>
      </c>
      <c r="I3242" s="368">
        <f t="shared" si="151"/>
        <v>0</v>
      </c>
      <c r="J3242" s="365">
        <f t="shared" si="150"/>
        <v>0</v>
      </c>
      <c r="K3242" s="369">
        <f t="shared" si="152"/>
        <v>6</v>
      </c>
      <c r="L3242" s="369">
        <f>+IF((C3242&gt;='Resultats - informe'!$E$16)*(C3242&lt;='Resultats - informe'!$G$16),1,0)</f>
        <v>1</v>
      </c>
      <c r="M3242" s="369" cm="1">
        <f t="array" ref="M3242">+_xlfn.IFS((C3242&gt;='Resultats - informe'!$D$26)*(C3242&lt;='Resultats - informe'!$E$26),0,(C3242&gt;='Resultats - informe'!$D$27)*(C3242&lt;='Resultats - informe'!$E$27),0,(C3242&gt;='Resultats - informe'!$D$28)*(C3242&lt;='Resultats - informe'!$E$28),0,(C3242&gt;='Resultats - informe'!$D$29)*(C3242&lt;='Resultats - informe'!$E$29),0,1,1)</f>
        <v>0</v>
      </c>
      <c r="N3242" s="366">
        <f>+VLOOKUP(D3242,'Resultats - informe'!$Y$18:$AG$42,'Introducció dades consum'!K3242+1,0)</f>
        <v>0</v>
      </c>
      <c r="O3242" s="370" cm="1">
        <f t="array" ref="O3242">+_xlfn.SWITCH(MONTH(C3242),1,1,2,1,3,1,4,2,5,2,6,3,7,3,8,3,9,3,10,2,11,2,12,1,2)</f>
        <v>1</v>
      </c>
      <c r="P3242" s="43"/>
    </row>
    <row r="3243" spans="1:16" ht="18" x14ac:dyDescent="0.35">
      <c r="A3243" s="43"/>
      <c r="C3243" s="393"/>
      <c r="E3243" s="394"/>
      <c r="F3243" s="394">
        <v>0</v>
      </c>
      <c r="G3243" s="394"/>
      <c r="H3243" s="8" t="s">
        <v>61</v>
      </c>
      <c r="I3243" s="368">
        <f t="shared" si="151"/>
        <v>0</v>
      </c>
      <c r="J3243" s="365">
        <f t="shared" si="150"/>
        <v>0</v>
      </c>
      <c r="K3243" s="369">
        <f t="shared" si="152"/>
        <v>6</v>
      </c>
      <c r="L3243" s="369">
        <f>+IF((C3243&gt;='Resultats - informe'!$E$16)*(C3243&lt;='Resultats - informe'!$G$16),1,0)</f>
        <v>1</v>
      </c>
      <c r="M3243" s="369" cm="1">
        <f t="array" ref="M3243">+_xlfn.IFS((C3243&gt;='Resultats - informe'!$D$26)*(C3243&lt;='Resultats - informe'!$E$26),0,(C3243&gt;='Resultats - informe'!$D$27)*(C3243&lt;='Resultats - informe'!$E$27),0,(C3243&gt;='Resultats - informe'!$D$28)*(C3243&lt;='Resultats - informe'!$E$28),0,(C3243&gt;='Resultats - informe'!$D$29)*(C3243&lt;='Resultats - informe'!$E$29),0,1,1)</f>
        <v>0</v>
      </c>
      <c r="N3243" s="366">
        <f>+VLOOKUP(D3243,'Resultats - informe'!$Y$18:$AG$42,'Introducció dades consum'!K3243+1,0)</f>
        <v>0</v>
      </c>
      <c r="O3243" s="370" cm="1">
        <f t="array" ref="O3243">+_xlfn.SWITCH(MONTH(C3243),1,1,2,1,3,1,4,2,5,2,6,3,7,3,8,3,9,3,10,2,11,2,12,1,2)</f>
        <v>1</v>
      </c>
      <c r="P3243" s="43"/>
    </row>
    <row r="3244" spans="1:16" ht="18" x14ac:dyDescent="0.35">
      <c r="A3244" s="43"/>
      <c r="C3244" s="393"/>
      <c r="E3244" s="394"/>
      <c r="F3244" s="394">
        <v>0</v>
      </c>
      <c r="G3244" s="394"/>
      <c r="H3244" s="8" t="s">
        <v>61</v>
      </c>
      <c r="I3244" s="368">
        <f t="shared" si="151"/>
        <v>0</v>
      </c>
      <c r="J3244" s="365">
        <f t="shared" si="150"/>
        <v>0</v>
      </c>
      <c r="K3244" s="369">
        <f t="shared" si="152"/>
        <v>6</v>
      </c>
      <c r="L3244" s="369">
        <f>+IF((C3244&gt;='Resultats - informe'!$E$16)*(C3244&lt;='Resultats - informe'!$G$16),1,0)</f>
        <v>1</v>
      </c>
      <c r="M3244" s="369" cm="1">
        <f t="array" ref="M3244">+_xlfn.IFS((C3244&gt;='Resultats - informe'!$D$26)*(C3244&lt;='Resultats - informe'!$E$26),0,(C3244&gt;='Resultats - informe'!$D$27)*(C3244&lt;='Resultats - informe'!$E$27),0,(C3244&gt;='Resultats - informe'!$D$28)*(C3244&lt;='Resultats - informe'!$E$28),0,(C3244&gt;='Resultats - informe'!$D$29)*(C3244&lt;='Resultats - informe'!$E$29),0,1,1)</f>
        <v>0</v>
      </c>
      <c r="N3244" s="366">
        <f>+VLOOKUP(D3244,'Resultats - informe'!$Y$18:$AG$42,'Introducció dades consum'!K3244+1,0)</f>
        <v>0</v>
      </c>
      <c r="O3244" s="370" cm="1">
        <f t="array" ref="O3244">+_xlfn.SWITCH(MONTH(C3244),1,1,2,1,3,1,4,2,5,2,6,3,7,3,8,3,9,3,10,2,11,2,12,1,2)</f>
        <v>1</v>
      </c>
      <c r="P3244" s="43"/>
    </row>
    <row r="3245" spans="1:16" ht="18" x14ac:dyDescent="0.35">
      <c r="A3245" s="43"/>
      <c r="C3245" s="393"/>
      <c r="E3245" s="394"/>
      <c r="F3245" s="394">
        <v>0</v>
      </c>
      <c r="G3245" s="394"/>
      <c r="H3245" s="8" t="s">
        <v>61</v>
      </c>
      <c r="I3245" s="368">
        <f t="shared" si="151"/>
        <v>0</v>
      </c>
      <c r="J3245" s="365">
        <f t="shared" si="150"/>
        <v>0</v>
      </c>
      <c r="K3245" s="369">
        <f t="shared" si="152"/>
        <v>6</v>
      </c>
      <c r="L3245" s="369">
        <f>+IF((C3245&gt;='Resultats - informe'!$E$16)*(C3245&lt;='Resultats - informe'!$G$16),1,0)</f>
        <v>1</v>
      </c>
      <c r="M3245" s="369" cm="1">
        <f t="array" ref="M3245">+_xlfn.IFS((C3245&gt;='Resultats - informe'!$D$26)*(C3245&lt;='Resultats - informe'!$E$26),0,(C3245&gt;='Resultats - informe'!$D$27)*(C3245&lt;='Resultats - informe'!$E$27),0,(C3245&gt;='Resultats - informe'!$D$28)*(C3245&lt;='Resultats - informe'!$E$28),0,(C3245&gt;='Resultats - informe'!$D$29)*(C3245&lt;='Resultats - informe'!$E$29),0,1,1)</f>
        <v>0</v>
      </c>
      <c r="N3245" s="366">
        <f>+VLOOKUP(D3245,'Resultats - informe'!$Y$18:$AG$42,'Introducció dades consum'!K3245+1,0)</f>
        <v>0</v>
      </c>
      <c r="O3245" s="370" cm="1">
        <f t="array" ref="O3245">+_xlfn.SWITCH(MONTH(C3245),1,1,2,1,3,1,4,2,5,2,6,3,7,3,8,3,9,3,10,2,11,2,12,1,2)</f>
        <v>1</v>
      </c>
      <c r="P3245" s="43"/>
    </row>
    <row r="3246" spans="1:16" ht="18" x14ac:dyDescent="0.35">
      <c r="A3246" s="43"/>
      <c r="C3246" s="393"/>
      <c r="E3246" s="394"/>
      <c r="F3246" s="394">
        <v>0</v>
      </c>
      <c r="G3246" s="394"/>
      <c r="H3246" s="8" t="s">
        <v>61</v>
      </c>
      <c r="I3246" s="368">
        <f t="shared" si="151"/>
        <v>0</v>
      </c>
      <c r="J3246" s="365">
        <f t="shared" si="150"/>
        <v>0</v>
      </c>
      <c r="K3246" s="369">
        <f t="shared" si="152"/>
        <v>6</v>
      </c>
      <c r="L3246" s="369">
        <f>+IF((C3246&gt;='Resultats - informe'!$E$16)*(C3246&lt;='Resultats - informe'!$G$16),1,0)</f>
        <v>1</v>
      </c>
      <c r="M3246" s="369" cm="1">
        <f t="array" ref="M3246">+_xlfn.IFS((C3246&gt;='Resultats - informe'!$D$26)*(C3246&lt;='Resultats - informe'!$E$26),0,(C3246&gt;='Resultats - informe'!$D$27)*(C3246&lt;='Resultats - informe'!$E$27),0,(C3246&gt;='Resultats - informe'!$D$28)*(C3246&lt;='Resultats - informe'!$E$28),0,(C3246&gt;='Resultats - informe'!$D$29)*(C3246&lt;='Resultats - informe'!$E$29),0,1,1)</f>
        <v>0</v>
      </c>
      <c r="N3246" s="366">
        <f>+VLOOKUP(D3246,'Resultats - informe'!$Y$18:$AG$42,'Introducció dades consum'!K3246+1,0)</f>
        <v>0</v>
      </c>
      <c r="O3246" s="370" cm="1">
        <f t="array" ref="O3246">+_xlfn.SWITCH(MONTH(C3246),1,1,2,1,3,1,4,2,5,2,6,3,7,3,8,3,9,3,10,2,11,2,12,1,2)</f>
        <v>1</v>
      </c>
      <c r="P3246" s="43"/>
    </row>
    <row r="3247" spans="1:16" ht="18" x14ac:dyDescent="0.35">
      <c r="A3247" s="43"/>
      <c r="C3247" s="393"/>
      <c r="E3247" s="394"/>
      <c r="F3247" s="394">
        <v>0</v>
      </c>
      <c r="G3247" s="394"/>
      <c r="H3247" s="8" t="s">
        <v>235</v>
      </c>
      <c r="I3247" s="368">
        <f t="shared" si="151"/>
        <v>0</v>
      </c>
      <c r="J3247" s="365">
        <f t="shared" si="150"/>
        <v>0</v>
      </c>
      <c r="K3247" s="369">
        <f t="shared" si="152"/>
        <v>6</v>
      </c>
      <c r="L3247" s="369">
        <f>+IF((C3247&gt;='Resultats - informe'!$E$16)*(C3247&lt;='Resultats - informe'!$G$16),1,0)</f>
        <v>1</v>
      </c>
      <c r="M3247" s="369" cm="1">
        <f t="array" ref="M3247">+_xlfn.IFS((C3247&gt;='Resultats - informe'!$D$26)*(C3247&lt;='Resultats - informe'!$E$26),0,(C3247&gt;='Resultats - informe'!$D$27)*(C3247&lt;='Resultats - informe'!$E$27),0,(C3247&gt;='Resultats - informe'!$D$28)*(C3247&lt;='Resultats - informe'!$E$28),0,(C3247&gt;='Resultats - informe'!$D$29)*(C3247&lt;='Resultats - informe'!$E$29),0,1,1)</f>
        <v>0</v>
      </c>
      <c r="N3247" s="366">
        <f>+VLOOKUP(D3247,'Resultats - informe'!$Y$18:$AG$42,'Introducció dades consum'!K3247+1,0)</f>
        <v>0</v>
      </c>
      <c r="O3247" s="370" cm="1">
        <f t="array" ref="O3247">+_xlfn.SWITCH(MONTH(C3247),1,1,2,1,3,1,4,2,5,2,6,3,7,3,8,3,9,3,10,2,11,2,12,1,2)</f>
        <v>1</v>
      </c>
      <c r="P3247" s="43"/>
    </row>
    <row r="3248" spans="1:16" ht="18" x14ac:dyDescent="0.35">
      <c r="A3248" s="43"/>
      <c r="C3248" s="393"/>
      <c r="E3248" s="394"/>
      <c r="F3248" s="394">
        <v>0</v>
      </c>
      <c r="G3248" s="394"/>
      <c r="H3248" s="8" t="s">
        <v>235</v>
      </c>
      <c r="I3248" s="368">
        <f t="shared" si="151"/>
        <v>0</v>
      </c>
      <c r="J3248" s="365">
        <f t="shared" si="150"/>
        <v>0</v>
      </c>
      <c r="K3248" s="369">
        <f t="shared" si="152"/>
        <v>6</v>
      </c>
      <c r="L3248" s="369">
        <f>+IF((C3248&gt;='Resultats - informe'!$E$16)*(C3248&lt;='Resultats - informe'!$G$16),1,0)</f>
        <v>1</v>
      </c>
      <c r="M3248" s="369" cm="1">
        <f t="array" ref="M3248">+_xlfn.IFS((C3248&gt;='Resultats - informe'!$D$26)*(C3248&lt;='Resultats - informe'!$E$26),0,(C3248&gt;='Resultats - informe'!$D$27)*(C3248&lt;='Resultats - informe'!$E$27),0,(C3248&gt;='Resultats - informe'!$D$28)*(C3248&lt;='Resultats - informe'!$E$28),0,(C3248&gt;='Resultats - informe'!$D$29)*(C3248&lt;='Resultats - informe'!$E$29),0,1,1)</f>
        <v>0</v>
      </c>
      <c r="N3248" s="366">
        <f>+VLOOKUP(D3248,'Resultats - informe'!$Y$18:$AG$42,'Introducció dades consum'!K3248+1,0)</f>
        <v>0</v>
      </c>
      <c r="O3248" s="370" cm="1">
        <f t="array" ref="O3248">+_xlfn.SWITCH(MONTH(C3248),1,1,2,1,3,1,4,2,5,2,6,3,7,3,8,3,9,3,10,2,11,2,12,1,2)</f>
        <v>1</v>
      </c>
      <c r="P3248" s="43"/>
    </row>
    <row r="3249" spans="1:16" ht="18" x14ac:dyDescent="0.35">
      <c r="A3249" s="43"/>
      <c r="C3249" s="393"/>
      <c r="E3249" s="394"/>
      <c r="F3249" s="394">
        <v>0</v>
      </c>
      <c r="G3249" s="394"/>
      <c r="H3249" s="8" t="s">
        <v>61</v>
      </c>
      <c r="I3249" s="368">
        <f t="shared" si="151"/>
        <v>0</v>
      </c>
      <c r="J3249" s="365">
        <f t="shared" si="150"/>
        <v>0</v>
      </c>
      <c r="K3249" s="369">
        <f t="shared" si="152"/>
        <v>6</v>
      </c>
      <c r="L3249" s="369">
        <f>+IF((C3249&gt;='Resultats - informe'!$E$16)*(C3249&lt;='Resultats - informe'!$G$16),1,0)</f>
        <v>1</v>
      </c>
      <c r="M3249" s="369" cm="1">
        <f t="array" ref="M3249">+_xlfn.IFS((C3249&gt;='Resultats - informe'!$D$26)*(C3249&lt;='Resultats - informe'!$E$26),0,(C3249&gt;='Resultats - informe'!$D$27)*(C3249&lt;='Resultats - informe'!$E$27),0,(C3249&gt;='Resultats - informe'!$D$28)*(C3249&lt;='Resultats - informe'!$E$28),0,(C3249&gt;='Resultats - informe'!$D$29)*(C3249&lt;='Resultats - informe'!$E$29),0,1,1)</f>
        <v>0</v>
      </c>
      <c r="N3249" s="366">
        <f>+VLOOKUP(D3249,'Resultats - informe'!$Y$18:$AG$42,'Introducció dades consum'!K3249+1,0)</f>
        <v>0</v>
      </c>
      <c r="O3249" s="370" cm="1">
        <f t="array" ref="O3249">+_xlfn.SWITCH(MONTH(C3249),1,1,2,1,3,1,4,2,5,2,6,3,7,3,8,3,9,3,10,2,11,2,12,1,2)</f>
        <v>1</v>
      </c>
      <c r="P3249" s="43"/>
    </row>
    <row r="3250" spans="1:16" ht="18" x14ac:dyDescent="0.35">
      <c r="A3250" s="43"/>
      <c r="C3250" s="393"/>
      <c r="E3250" s="394"/>
      <c r="F3250" s="394">
        <v>0</v>
      </c>
      <c r="G3250" s="394"/>
      <c r="H3250" s="8" t="s">
        <v>61</v>
      </c>
      <c r="I3250" s="368">
        <f t="shared" si="151"/>
        <v>0</v>
      </c>
      <c r="J3250" s="365">
        <f t="shared" si="150"/>
        <v>0</v>
      </c>
      <c r="K3250" s="369">
        <f t="shared" si="152"/>
        <v>6</v>
      </c>
      <c r="L3250" s="369">
        <f>+IF((C3250&gt;='Resultats - informe'!$E$16)*(C3250&lt;='Resultats - informe'!$G$16),1,0)</f>
        <v>1</v>
      </c>
      <c r="M3250" s="369" cm="1">
        <f t="array" ref="M3250">+_xlfn.IFS((C3250&gt;='Resultats - informe'!$D$26)*(C3250&lt;='Resultats - informe'!$E$26),0,(C3250&gt;='Resultats - informe'!$D$27)*(C3250&lt;='Resultats - informe'!$E$27),0,(C3250&gt;='Resultats - informe'!$D$28)*(C3250&lt;='Resultats - informe'!$E$28),0,(C3250&gt;='Resultats - informe'!$D$29)*(C3250&lt;='Resultats - informe'!$E$29),0,1,1)</f>
        <v>0</v>
      </c>
      <c r="N3250" s="366">
        <f>+VLOOKUP(D3250,'Resultats - informe'!$Y$18:$AG$42,'Introducció dades consum'!K3250+1,0)</f>
        <v>0</v>
      </c>
      <c r="O3250" s="370" cm="1">
        <f t="array" ref="O3250">+_xlfn.SWITCH(MONTH(C3250),1,1,2,1,3,1,4,2,5,2,6,3,7,3,8,3,9,3,10,2,11,2,12,1,2)</f>
        <v>1</v>
      </c>
      <c r="P3250" s="43"/>
    </row>
    <row r="3251" spans="1:16" ht="18" x14ac:dyDescent="0.35">
      <c r="A3251" s="43"/>
      <c r="C3251" s="393"/>
      <c r="E3251" s="394"/>
      <c r="F3251" s="394">
        <v>0</v>
      </c>
      <c r="G3251" s="394"/>
      <c r="H3251" s="8" t="s">
        <v>61</v>
      </c>
      <c r="I3251" s="368">
        <f t="shared" si="151"/>
        <v>0</v>
      </c>
      <c r="J3251" s="365">
        <f t="shared" si="150"/>
        <v>0</v>
      </c>
      <c r="K3251" s="369">
        <f t="shared" si="152"/>
        <v>6</v>
      </c>
      <c r="L3251" s="369">
        <f>+IF((C3251&gt;='Resultats - informe'!$E$16)*(C3251&lt;='Resultats - informe'!$G$16),1,0)</f>
        <v>1</v>
      </c>
      <c r="M3251" s="369" cm="1">
        <f t="array" ref="M3251">+_xlfn.IFS((C3251&gt;='Resultats - informe'!$D$26)*(C3251&lt;='Resultats - informe'!$E$26),0,(C3251&gt;='Resultats - informe'!$D$27)*(C3251&lt;='Resultats - informe'!$E$27),0,(C3251&gt;='Resultats - informe'!$D$28)*(C3251&lt;='Resultats - informe'!$E$28),0,(C3251&gt;='Resultats - informe'!$D$29)*(C3251&lt;='Resultats - informe'!$E$29),0,1,1)</f>
        <v>0</v>
      </c>
      <c r="N3251" s="366">
        <f>+VLOOKUP(D3251,'Resultats - informe'!$Y$18:$AG$42,'Introducció dades consum'!K3251+1,0)</f>
        <v>0</v>
      </c>
      <c r="O3251" s="370" cm="1">
        <f t="array" ref="O3251">+_xlfn.SWITCH(MONTH(C3251),1,1,2,1,3,1,4,2,5,2,6,3,7,3,8,3,9,3,10,2,11,2,12,1,2)</f>
        <v>1</v>
      </c>
      <c r="P3251" s="43"/>
    </row>
    <row r="3252" spans="1:16" ht="18" x14ac:dyDescent="0.35">
      <c r="A3252" s="43"/>
      <c r="C3252" s="393"/>
      <c r="E3252" s="394"/>
      <c r="F3252" s="394">
        <v>0</v>
      </c>
      <c r="G3252" s="394"/>
      <c r="H3252" s="8" t="s">
        <v>61</v>
      </c>
      <c r="I3252" s="368">
        <f t="shared" si="151"/>
        <v>0</v>
      </c>
      <c r="J3252" s="365">
        <f t="shared" si="150"/>
        <v>0</v>
      </c>
      <c r="K3252" s="369">
        <f t="shared" si="152"/>
        <v>6</v>
      </c>
      <c r="L3252" s="369">
        <f>+IF((C3252&gt;='Resultats - informe'!$E$16)*(C3252&lt;='Resultats - informe'!$G$16),1,0)</f>
        <v>1</v>
      </c>
      <c r="M3252" s="369" cm="1">
        <f t="array" ref="M3252">+_xlfn.IFS((C3252&gt;='Resultats - informe'!$D$26)*(C3252&lt;='Resultats - informe'!$E$26),0,(C3252&gt;='Resultats - informe'!$D$27)*(C3252&lt;='Resultats - informe'!$E$27),0,(C3252&gt;='Resultats - informe'!$D$28)*(C3252&lt;='Resultats - informe'!$E$28),0,(C3252&gt;='Resultats - informe'!$D$29)*(C3252&lt;='Resultats - informe'!$E$29),0,1,1)</f>
        <v>0</v>
      </c>
      <c r="N3252" s="366">
        <f>+VLOOKUP(D3252,'Resultats - informe'!$Y$18:$AG$42,'Introducció dades consum'!K3252+1,0)</f>
        <v>0</v>
      </c>
      <c r="O3252" s="370" cm="1">
        <f t="array" ref="O3252">+_xlfn.SWITCH(MONTH(C3252),1,1,2,1,3,1,4,2,5,2,6,3,7,3,8,3,9,3,10,2,11,2,12,1,2)</f>
        <v>1</v>
      </c>
      <c r="P3252" s="43"/>
    </row>
    <row r="3253" spans="1:16" ht="18" x14ac:dyDescent="0.35">
      <c r="A3253" s="43"/>
      <c r="C3253" s="393"/>
      <c r="E3253" s="394"/>
      <c r="F3253" s="394">
        <v>1.69</v>
      </c>
      <c r="G3253" s="394"/>
      <c r="H3253" s="8" t="s">
        <v>61</v>
      </c>
      <c r="I3253" s="368">
        <f t="shared" si="151"/>
        <v>0</v>
      </c>
      <c r="J3253" s="365">
        <f t="shared" si="150"/>
        <v>0</v>
      </c>
      <c r="K3253" s="369">
        <f t="shared" si="152"/>
        <v>6</v>
      </c>
      <c r="L3253" s="369">
        <f>+IF((C3253&gt;='Resultats - informe'!$E$16)*(C3253&lt;='Resultats - informe'!$G$16),1,0)</f>
        <v>1</v>
      </c>
      <c r="M3253" s="369" cm="1">
        <f t="array" ref="M3253">+_xlfn.IFS((C3253&gt;='Resultats - informe'!$D$26)*(C3253&lt;='Resultats - informe'!$E$26),0,(C3253&gt;='Resultats - informe'!$D$27)*(C3253&lt;='Resultats - informe'!$E$27),0,(C3253&gt;='Resultats - informe'!$D$28)*(C3253&lt;='Resultats - informe'!$E$28),0,(C3253&gt;='Resultats - informe'!$D$29)*(C3253&lt;='Resultats - informe'!$E$29),0,1,1)</f>
        <v>0</v>
      </c>
      <c r="N3253" s="366">
        <f>+VLOOKUP(D3253,'Resultats - informe'!$Y$18:$AG$42,'Introducció dades consum'!K3253+1,0)</f>
        <v>0</v>
      </c>
      <c r="O3253" s="370" cm="1">
        <f t="array" ref="O3253">+_xlfn.SWITCH(MONTH(C3253),1,1,2,1,3,1,4,2,5,2,6,3,7,3,8,3,9,3,10,2,11,2,12,1,2)</f>
        <v>1</v>
      </c>
      <c r="P3253" s="43"/>
    </row>
    <row r="3254" spans="1:16" ht="18" x14ac:dyDescent="0.35">
      <c r="A3254" s="43"/>
      <c r="C3254" s="393"/>
      <c r="E3254" s="394"/>
      <c r="F3254" s="394">
        <v>3.7469999999999999</v>
      </c>
      <c r="G3254" s="394"/>
      <c r="H3254" s="8" t="s">
        <v>235</v>
      </c>
      <c r="I3254" s="368">
        <f t="shared" si="151"/>
        <v>0</v>
      </c>
      <c r="J3254" s="365">
        <f t="shared" si="150"/>
        <v>0</v>
      </c>
      <c r="K3254" s="369">
        <f t="shared" si="152"/>
        <v>6</v>
      </c>
      <c r="L3254" s="369">
        <f>+IF((C3254&gt;='Resultats - informe'!$E$16)*(C3254&lt;='Resultats - informe'!$G$16),1,0)</f>
        <v>1</v>
      </c>
      <c r="M3254" s="369" cm="1">
        <f t="array" ref="M3254">+_xlfn.IFS((C3254&gt;='Resultats - informe'!$D$26)*(C3254&lt;='Resultats - informe'!$E$26),0,(C3254&gt;='Resultats - informe'!$D$27)*(C3254&lt;='Resultats - informe'!$E$27),0,(C3254&gt;='Resultats - informe'!$D$28)*(C3254&lt;='Resultats - informe'!$E$28),0,(C3254&gt;='Resultats - informe'!$D$29)*(C3254&lt;='Resultats - informe'!$E$29),0,1,1)</f>
        <v>0</v>
      </c>
      <c r="N3254" s="366">
        <f>+VLOOKUP(D3254,'Resultats - informe'!$Y$18:$AG$42,'Introducció dades consum'!K3254+1,0)</f>
        <v>0</v>
      </c>
      <c r="O3254" s="370" cm="1">
        <f t="array" ref="O3254">+_xlfn.SWITCH(MONTH(C3254),1,1,2,1,3,1,4,2,5,2,6,3,7,3,8,3,9,3,10,2,11,2,12,1,2)</f>
        <v>1</v>
      </c>
      <c r="P3254" s="43"/>
    </row>
    <row r="3255" spans="1:16" ht="18" x14ac:dyDescent="0.35">
      <c r="A3255" s="43"/>
      <c r="C3255" s="393"/>
      <c r="E3255" s="394"/>
      <c r="F3255" s="394">
        <v>3.9119999999999999</v>
      </c>
      <c r="G3255" s="394"/>
      <c r="H3255" s="8" t="s">
        <v>235</v>
      </c>
      <c r="I3255" s="368">
        <f t="shared" si="151"/>
        <v>0</v>
      </c>
      <c r="J3255" s="365">
        <f t="shared" si="150"/>
        <v>0</v>
      </c>
      <c r="K3255" s="369">
        <f t="shared" si="152"/>
        <v>6</v>
      </c>
      <c r="L3255" s="369">
        <f>+IF((C3255&gt;='Resultats - informe'!$E$16)*(C3255&lt;='Resultats - informe'!$G$16),1,0)</f>
        <v>1</v>
      </c>
      <c r="M3255" s="369" cm="1">
        <f t="array" ref="M3255">+_xlfn.IFS((C3255&gt;='Resultats - informe'!$D$26)*(C3255&lt;='Resultats - informe'!$E$26),0,(C3255&gt;='Resultats - informe'!$D$27)*(C3255&lt;='Resultats - informe'!$E$27),0,(C3255&gt;='Resultats - informe'!$D$28)*(C3255&lt;='Resultats - informe'!$E$28),0,(C3255&gt;='Resultats - informe'!$D$29)*(C3255&lt;='Resultats - informe'!$E$29),0,1,1)</f>
        <v>0</v>
      </c>
      <c r="N3255" s="366">
        <f>+VLOOKUP(D3255,'Resultats - informe'!$Y$18:$AG$42,'Introducció dades consum'!K3255+1,0)</f>
        <v>0</v>
      </c>
      <c r="O3255" s="370" cm="1">
        <f t="array" ref="O3255">+_xlfn.SWITCH(MONTH(C3255),1,1,2,1,3,1,4,2,5,2,6,3,7,3,8,3,9,3,10,2,11,2,12,1,2)</f>
        <v>1</v>
      </c>
      <c r="P3255" s="43"/>
    </row>
    <row r="3256" spans="1:16" ht="18" x14ac:dyDescent="0.35">
      <c r="A3256" s="43"/>
      <c r="C3256" s="393"/>
      <c r="E3256" s="394"/>
      <c r="F3256" s="394">
        <v>5.88</v>
      </c>
      <c r="G3256" s="394"/>
      <c r="H3256" s="8" t="s">
        <v>61</v>
      </c>
      <c r="I3256" s="368">
        <f t="shared" si="151"/>
        <v>0</v>
      </c>
      <c r="J3256" s="365">
        <f t="shared" si="150"/>
        <v>0</v>
      </c>
      <c r="K3256" s="369">
        <f t="shared" si="152"/>
        <v>6</v>
      </c>
      <c r="L3256" s="369">
        <f>+IF((C3256&gt;='Resultats - informe'!$E$16)*(C3256&lt;='Resultats - informe'!$G$16),1,0)</f>
        <v>1</v>
      </c>
      <c r="M3256" s="369" cm="1">
        <f t="array" ref="M3256">+_xlfn.IFS((C3256&gt;='Resultats - informe'!$D$26)*(C3256&lt;='Resultats - informe'!$E$26),0,(C3256&gt;='Resultats - informe'!$D$27)*(C3256&lt;='Resultats - informe'!$E$27),0,(C3256&gt;='Resultats - informe'!$D$28)*(C3256&lt;='Resultats - informe'!$E$28),0,(C3256&gt;='Resultats - informe'!$D$29)*(C3256&lt;='Resultats - informe'!$E$29),0,1,1)</f>
        <v>0</v>
      </c>
      <c r="N3256" s="366">
        <f>+VLOOKUP(D3256,'Resultats - informe'!$Y$18:$AG$42,'Introducció dades consum'!K3256+1,0)</f>
        <v>0</v>
      </c>
      <c r="O3256" s="370" cm="1">
        <f t="array" ref="O3256">+_xlfn.SWITCH(MONTH(C3256),1,1,2,1,3,1,4,2,5,2,6,3,7,3,8,3,9,3,10,2,11,2,12,1,2)</f>
        <v>1</v>
      </c>
      <c r="P3256" s="43"/>
    </row>
    <row r="3257" spans="1:16" ht="18" x14ac:dyDescent="0.35">
      <c r="A3257" s="43"/>
      <c r="C3257" s="393"/>
      <c r="E3257" s="394"/>
      <c r="F3257" s="394">
        <v>6.36</v>
      </c>
      <c r="G3257" s="394"/>
      <c r="H3257" s="8" t="s">
        <v>61</v>
      </c>
      <c r="I3257" s="368">
        <f t="shared" si="151"/>
        <v>0</v>
      </c>
      <c r="J3257" s="365">
        <f t="shared" si="150"/>
        <v>0</v>
      </c>
      <c r="K3257" s="369">
        <f t="shared" si="152"/>
        <v>6</v>
      </c>
      <c r="L3257" s="369">
        <f>+IF((C3257&gt;='Resultats - informe'!$E$16)*(C3257&lt;='Resultats - informe'!$G$16),1,0)</f>
        <v>1</v>
      </c>
      <c r="M3257" s="369" cm="1">
        <f t="array" ref="M3257">+_xlfn.IFS((C3257&gt;='Resultats - informe'!$D$26)*(C3257&lt;='Resultats - informe'!$E$26),0,(C3257&gt;='Resultats - informe'!$D$27)*(C3257&lt;='Resultats - informe'!$E$27),0,(C3257&gt;='Resultats - informe'!$D$28)*(C3257&lt;='Resultats - informe'!$E$28),0,(C3257&gt;='Resultats - informe'!$D$29)*(C3257&lt;='Resultats - informe'!$E$29),0,1,1)</f>
        <v>0</v>
      </c>
      <c r="N3257" s="366">
        <f>+VLOOKUP(D3257,'Resultats - informe'!$Y$18:$AG$42,'Introducció dades consum'!K3257+1,0)</f>
        <v>0</v>
      </c>
      <c r="O3257" s="370" cm="1">
        <f t="array" ref="O3257">+_xlfn.SWITCH(MONTH(C3257),1,1,2,1,3,1,4,2,5,2,6,3,7,3,8,3,9,3,10,2,11,2,12,1,2)</f>
        <v>1</v>
      </c>
      <c r="P3257" s="43"/>
    </row>
    <row r="3258" spans="1:16" ht="18" x14ac:dyDescent="0.35">
      <c r="A3258" s="43"/>
      <c r="C3258" s="393"/>
      <c r="E3258" s="394"/>
      <c r="F3258" s="394">
        <v>4.4039999999999999</v>
      </c>
      <c r="G3258" s="394"/>
      <c r="H3258" s="8" t="s">
        <v>61</v>
      </c>
      <c r="I3258" s="368">
        <f t="shared" si="151"/>
        <v>0</v>
      </c>
      <c r="J3258" s="365">
        <f t="shared" si="150"/>
        <v>0</v>
      </c>
      <c r="K3258" s="369">
        <f t="shared" si="152"/>
        <v>6</v>
      </c>
      <c r="L3258" s="369">
        <f>+IF((C3258&gt;='Resultats - informe'!$E$16)*(C3258&lt;='Resultats - informe'!$G$16),1,0)</f>
        <v>1</v>
      </c>
      <c r="M3258" s="369" cm="1">
        <f t="array" ref="M3258">+_xlfn.IFS((C3258&gt;='Resultats - informe'!$D$26)*(C3258&lt;='Resultats - informe'!$E$26),0,(C3258&gt;='Resultats - informe'!$D$27)*(C3258&lt;='Resultats - informe'!$E$27),0,(C3258&gt;='Resultats - informe'!$D$28)*(C3258&lt;='Resultats - informe'!$E$28),0,(C3258&gt;='Resultats - informe'!$D$29)*(C3258&lt;='Resultats - informe'!$E$29),0,1,1)</f>
        <v>0</v>
      </c>
      <c r="N3258" s="366">
        <f>+VLOOKUP(D3258,'Resultats - informe'!$Y$18:$AG$42,'Introducció dades consum'!K3258+1,0)</f>
        <v>0</v>
      </c>
      <c r="O3258" s="370" cm="1">
        <f t="array" ref="O3258">+_xlfn.SWITCH(MONTH(C3258),1,1,2,1,3,1,4,2,5,2,6,3,7,3,8,3,9,3,10,2,11,2,12,1,2)</f>
        <v>1</v>
      </c>
      <c r="P3258" s="43"/>
    </row>
    <row r="3259" spans="1:16" ht="18" x14ac:dyDescent="0.35">
      <c r="A3259" s="43"/>
      <c r="C3259" s="393"/>
      <c r="E3259" s="394"/>
      <c r="F3259" s="394">
        <v>2.0910000000000002</v>
      </c>
      <c r="G3259" s="394"/>
      <c r="H3259" s="8" t="s">
        <v>235</v>
      </c>
      <c r="I3259" s="368">
        <f t="shared" si="151"/>
        <v>0</v>
      </c>
      <c r="J3259" s="365">
        <f t="shared" ref="J3259:J3322" si="153">+C3259</f>
        <v>0</v>
      </c>
      <c r="K3259" s="369">
        <f t="shared" si="152"/>
        <v>6</v>
      </c>
      <c r="L3259" s="369">
        <f>+IF((C3259&gt;='Resultats - informe'!$E$16)*(C3259&lt;='Resultats - informe'!$G$16),1,0)</f>
        <v>1</v>
      </c>
      <c r="M3259" s="369" cm="1">
        <f t="array" ref="M3259">+_xlfn.IFS((C3259&gt;='Resultats - informe'!$D$26)*(C3259&lt;='Resultats - informe'!$E$26),0,(C3259&gt;='Resultats - informe'!$D$27)*(C3259&lt;='Resultats - informe'!$E$27),0,(C3259&gt;='Resultats - informe'!$D$28)*(C3259&lt;='Resultats - informe'!$E$28),0,(C3259&gt;='Resultats - informe'!$D$29)*(C3259&lt;='Resultats - informe'!$E$29),0,1,1)</f>
        <v>0</v>
      </c>
      <c r="N3259" s="366">
        <f>+VLOOKUP(D3259,'Resultats - informe'!$Y$18:$AG$42,'Introducció dades consum'!K3259+1,0)</f>
        <v>0</v>
      </c>
      <c r="O3259" s="370" cm="1">
        <f t="array" ref="O3259">+_xlfn.SWITCH(MONTH(C3259),1,1,2,1,3,1,4,2,5,2,6,3,7,3,8,3,9,3,10,2,11,2,12,1,2)</f>
        <v>1</v>
      </c>
      <c r="P3259" s="43"/>
    </row>
    <row r="3260" spans="1:16" ht="18" x14ac:dyDescent="0.35">
      <c r="A3260" s="43"/>
      <c r="C3260" s="393"/>
      <c r="E3260" s="394"/>
      <c r="F3260" s="394">
        <v>1.0880000000000001</v>
      </c>
      <c r="G3260" s="394"/>
      <c r="H3260" s="8" t="s">
        <v>235</v>
      </c>
      <c r="I3260" s="368">
        <f t="shared" si="151"/>
        <v>0</v>
      </c>
      <c r="J3260" s="365">
        <f t="shared" si="153"/>
        <v>0</v>
      </c>
      <c r="K3260" s="369">
        <f t="shared" si="152"/>
        <v>6</v>
      </c>
      <c r="L3260" s="369">
        <f>+IF((C3260&gt;='Resultats - informe'!$E$16)*(C3260&lt;='Resultats - informe'!$G$16),1,0)</f>
        <v>1</v>
      </c>
      <c r="M3260" s="369" cm="1">
        <f t="array" ref="M3260">+_xlfn.IFS((C3260&gt;='Resultats - informe'!$D$26)*(C3260&lt;='Resultats - informe'!$E$26),0,(C3260&gt;='Resultats - informe'!$D$27)*(C3260&lt;='Resultats - informe'!$E$27),0,(C3260&gt;='Resultats - informe'!$D$28)*(C3260&lt;='Resultats - informe'!$E$28),0,(C3260&gt;='Resultats - informe'!$D$29)*(C3260&lt;='Resultats - informe'!$E$29),0,1,1)</f>
        <v>0</v>
      </c>
      <c r="N3260" s="366">
        <f>+VLOOKUP(D3260,'Resultats - informe'!$Y$18:$AG$42,'Introducció dades consum'!K3260+1,0)</f>
        <v>0</v>
      </c>
      <c r="O3260" s="370" cm="1">
        <f t="array" ref="O3260">+_xlfn.SWITCH(MONTH(C3260),1,1,2,1,3,1,4,2,5,2,6,3,7,3,8,3,9,3,10,2,11,2,12,1,2)</f>
        <v>1</v>
      </c>
      <c r="P3260" s="43"/>
    </row>
    <row r="3261" spans="1:16" ht="18" x14ac:dyDescent="0.35">
      <c r="A3261" s="43"/>
      <c r="C3261" s="393"/>
      <c r="E3261" s="394"/>
      <c r="F3261" s="394">
        <v>0</v>
      </c>
      <c r="G3261" s="394"/>
      <c r="H3261" s="8" t="s">
        <v>235</v>
      </c>
      <c r="I3261" s="368">
        <f t="shared" si="151"/>
        <v>0</v>
      </c>
      <c r="J3261" s="365">
        <f t="shared" si="153"/>
        <v>0</v>
      </c>
      <c r="K3261" s="369">
        <f t="shared" si="152"/>
        <v>6</v>
      </c>
      <c r="L3261" s="369">
        <f>+IF((C3261&gt;='Resultats - informe'!$E$16)*(C3261&lt;='Resultats - informe'!$G$16),1,0)</f>
        <v>1</v>
      </c>
      <c r="M3261" s="369" cm="1">
        <f t="array" ref="M3261">+_xlfn.IFS((C3261&gt;='Resultats - informe'!$D$26)*(C3261&lt;='Resultats - informe'!$E$26),0,(C3261&gt;='Resultats - informe'!$D$27)*(C3261&lt;='Resultats - informe'!$E$27),0,(C3261&gt;='Resultats - informe'!$D$28)*(C3261&lt;='Resultats - informe'!$E$28),0,(C3261&gt;='Resultats - informe'!$D$29)*(C3261&lt;='Resultats - informe'!$E$29),0,1,1)</f>
        <v>0</v>
      </c>
      <c r="N3261" s="366">
        <f>+VLOOKUP(D3261,'Resultats - informe'!$Y$18:$AG$42,'Introducció dades consum'!K3261+1,0)</f>
        <v>0</v>
      </c>
      <c r="O3261" s="370" cm="1">
        <f t="array" ref="O3261">+_xlfn.SWITCH(MONTH(C3261),1,1,2,1,3,1,4,2,5,2,6,3,7,3,8,3,9,3,10,2,11,2,12,1,2)</f>
        <v>1</v>
      </c>
      <c r="P3261" s="43"/>
    </row>
    <row r="3262" spans="1:16" ht="18" x14ac:dyDescent="0.35">
      <c r="A3262" s="43"/>
      <c r="C3262" s="393"/>
      <c r="E3262" s="394"/>
      <c r="F3262" s="394">
        <v>0</v>
      </c>
      <c r="G3262" s="394"/>
      <c r="H3262" s="8" t="s">
        <v>235</v>
      </c>
      <c r="I3262" s="368">
        <f t="shared" si="151"/>
        <v>0</v>
      </c>
      <c r="J3262" s="365">
        <f t="shared" si="153"/>
        <v>0</v>
      </c>
      <c r="K3262" s="369">
        <f t="shared" si="152"/>
        <v>6</v>
      </c>
      <c r="L3262" s="369">
        <f>+IF((C3262&gt;='Resultats - informe'!$E$16)*(C3262&lt;='Resultats - informe'!$G$16),1,0)</f>
        <v>1</v>
      </c>
      <c r="M3262" s="369" cm="1">
        <f t="array" ref="M3262">+_xlfn.IFS((C3262&gt;='Resultats - informe'!$D$26)*(C3262&lt;='Resultats - informe'!$E$26),0,(C3262&gt;='Resultats - informe'!$D$27)*(C3262&lt;='Resultats - informe'!$E$27),0,(C3262&gt;='Resultats - informe'!$D$28)*(C3262&lt;='Resultats - informe'!$E$28),0,(C3262&gt;='Resultats - informe'!$D$29)*(C3262&lt;='Resultats - informe'!$E$29),0,1,1)</f>
        <v>0</v>
      </c>
      <c r="N3262" s="366">
        <f>+VLOOKUP(D3262,'Resultats - informe'!$Y$18:$AG$42,'Introducció dades consum'!K3262+1,0)</f>
        <v>0</v>
      </c>
      <c r="O3262" s="370" cm="1">
        <f t="array" ref="O3262">+_xlfn.SWITCH(MONTH(C3262),1,1,2,1,3,1,4,2,5,2,6,3,7,3,8,3,9,3,10,2,11,2,12,1,2)</f>
        <v>1</v>
      </c>
      <c r="P3262" s="43"/>
    </row>
    <row r="3263" spans="1:16" ht="18" x14ac:dyDescent="0.35">
      <c r="A3263" s="43"/>
      <c r="C3263" s="393"/>
      <c r="E3263" s="394"/>
      <c r="F3263" s="394">
        <v>0</v>
      </c>
      <c r="G3263" s="394"/>
      <c r="H3263" s="8" t="s">
        <v>235</v>
      </c>
      <c r="I3263" s="368">
        <f t="shared" si="151"/>
        <v>0</v>
      </c>
      <c r="J3263" s="365">
        <f t="shared" si="153"/>
        <v>0</v>
      </c>
      <c r="K3263" s="369">
        <f t="shared" si="152"/>
        <v>6</v>
      </c>
      <c r="L3263" s="369">
        <f>+IF((C3263&gt;='Resultats - informe'!$E$16)*(C3263&lt;='Resultats - informe'!$G$16),1,0)</f>
        <v>1</v>
      </c>
      <c r="M3263" s="369" cm="1">
        <f t="array" ref="M3263">+_xlfn.IFS((C3263&gt;='Resultats - informe'!$D$26)*(C3263&lt;='Resultats - informe'!$E$26),0,(C3263&gt;='Resultats - informe'!$D$27)*(C3263&lt;='Resultats - informe'!$E$27),0,(C3263&gt;='Resultats - informe'!$D$28)*(C3263&lt;='Resultats - informe'!$E$28),0,(C3263&gt;='Resultats - informe'!$D$29)*(C3263&lt;='Resultats - informe'!$E$29),0,1,1)</f>
        <v>0</v>
      </c>
      <c r="N3263" s="366">
        <f>+VLOOKUP(D3263,'Resultats - informe'!$Y$18:$AG$42,'Introducció dades consum'!K3263+1,0)</f>
        <v>0</v>
      </c>
      <c r="O3263" s="370" cm="1">
        <f t="array" ref="O3263">+_xlfn.SWITCH(MONTH(C3263),1,1,2,1,3,1,4,2,5,2,6,3,7,3,8,3,9,3,10,2,11,2,12,1,2)</f>
        <v>1</v>
      </c>
      <c r="P3263" s="43"/>
    </row>
    <row r="3264" spans="1:16" ht="18" x14ac:dyDescent="0.35">
      <c r="A3264" s="43"/>
      <c r="C3264" s="393"/>
      <c r="E3264" s="394"/>
      <c r="F3264" s="394">
        <v>0</v>
      </c>
      <c r="G3264" s="394"/>
      <c r="H3264" s="8" t="s">
        <v>235</v>
      </c>
      <c r="I3264" s="368">
        <f t="shared" si="151"/>
        <v>0</v>
      </c>
      <c r="J3264" s="365">
        <f t="shared" si="153"/>
        <v>0</v>
      </c>
      <c r="K3264" s="369">
        <f t="shared" si="152"/>
        <v>6</v>
      </c>
      <c r="L3264" s="369">
        <f>+IF((C3264&gt;='Resultats - informe'!$E$16)*(C3264&lt;='Resultats - informe'!$G$16),1,0)</f>
        <v>1</v>
      </c>
      <c r="M3264" s="369" cm="1">
        <f t="array" ref="M3264">+_xlfn.IFS((C3264&gt;='Resultats - informe'!$D$26)*(C3264&lt;='Resultats - informe'!$E$26),0,(C3264&gt;='Resultats - informe'!$D$27)*(C3264&lt;='Resultats - informe'!$E$27),0,(C3264&gt;='Resultats - informe'!$D$28)*(C3264&lt;='Resultats - informe'!$E$28),0,(C3264&gt;='Resultats - informe'!$D$29)*(C3264&lt;='Resultats - informe'!$E$29),0,1,1)</f>
        <v>0</v>
      </c>
      <c r="N3264" s="366">
        <f>+VLOOKUP(D3264,'Resultats - informe'!$Y$18:$AG$42,'Introducció dades consum'!K3264+1,0)</f>
        <v>0</v>
      </c>
      <c r="O3264" s="370" cm="1">
        <f t="array" ref="O3264">+_xlfn.SWITCH(MONTH(C3264),1,1,2,1,3,1,4,2,5,2,6,3,7,3,8,3,9,3,10,2,11,2,12,1,2)</f>
        <v>1</v>
      </c>
      <c r="P3264" s="43"/>
    </row>
    <row r="3265" spans="1:16" ht="18" x14ac:dyDescent="0.35">
      <c r="A3265" s="43"/>
      <c r="C3265" s="393"/>
      <c r="E3265" s="394"/>
      <c r="F3265" s="394">
        <v>0</v>
      </c>
      <c r="G3265" s="394"/>
      <c r="H3265" s="8" t="s">
        <v>235</v>
      </c>
      <c r="I3265" s="368">
        <f t="shared" si="151"/>
        <v>0</v>
      </c>
      <c r="J3265" s="365">
        <f t="shared" si="153"/>
        <v>0</v>
      </c>
      <c r="K3265" s="369">
        <f t="shared" si="152"/>
        <v>6</v>
      </c>
      <c r="L3265" s="369">
        <f>+IF((C3265&gt;='Resultats - informe'!$E$16)*(C3265&lt;='Resultats - informe'!$G$16),1,0)</f>
        <v>1</v>
      </c>
      <c r="M3265" s="369" cm="1">
        <f t="array" ref="M3265">+_xlfn.IFS((C3265&gt;='Resultats - informe'!$D$26)*(C3265&lt;='Resultats - informe'!$E$26),0,(C3265&gt;='Resultats - informe'!$D$27)*(C3265&lt;='Resultats - informe'!$E$27),0,(C3265&gt;='Resultats - informe'!$D$28)*(C3265&lt;='Resultats - informe'!$E$28),0,(C3265&gt;='Resultats - informe'!$D$29)*(C3265&lt;='Resultats - informe'!$E$29),0,1,1)</f>
        <v>0</v>
      </c>
      <c r="N3265" s="366">
        <f>+VLOOKUP(D3265,'Resultats - informe'!$Y$18:$AG$42,'Introducció dades consum'!K3265+1,0)</f>
        <v>0</v>
      </c>
      <c r="O3265" s="370" cm="1">
        <f t="array" ref="O3265">+_xlfn.SWITCH(MONTH(C3265),1,1,2,1,3,1,4,2,5,2,6,3,7,3,8,3,9,3,10,2,11,2,12,1,2)</f>
        <v>1</v>
      </c>
      <c r="P3265" s="43"/>
    </row>
    <row r="3266" spans="1:16" ht="18" x14ac:dyDescent="0.35">
      <c r="A3266" s="43"/>
      <c r="C3266" s="393"/>
      <c r="E3266" s="394"/>
      <c r="F3266" s="394">
        <v>0</v>
      </c>
      <c r="G3266" s="394"/>
      <c r="H3266" s="8" t="s">
        <v>235</v>
      </c>
      <c r="I3266" s="368">
        <f t="shared" si="151"/>
        <v>0</v>
      </c>
      <c r="J3266" s="365">
        <f t="shared" si="153"/>
        <v>0</v>
      </c>
      <c r="K3266" s="369">
        <f t="shared" si="152"/>
        <v>6</v>
      </c>
      <c r="L3266" s="369">
        <f>+IF((C3266&gt;='Resultats - informe'!$E$16)*(C3266&lt;='Resultats - informe'!$G$16),1,0)</f>
        <v>1</v>
      </c>
      <c r="M3266" s="369" cm="1">
        <f t="array" ref="M3266">+_xlfn.IFS((C3266&gt;='Resultats - informe'!$D$26)*(C3266&lt;='Resultats - informe'!$E$26),0,(C3266&gt;='Resultats - informe'!$D$27)*(C3266&lt;='Resultats - informe'!$E$27),0,(C3266&gt;='Resultats - informe'!$D$28)*(C3266&lt;='Resultats - informe'!$E$28),0,(C3266&gt;='Resultats - informe'!$D$29)*(C3266&lt;='Resultats - informe'!$E$29),0,1,1)</f>
        <v>0</v>
      </c>
      <c r="N3266" s="366">
        <f>+VLOOKUP(D3266,'Resultats - informe'!$Y$18:$AG$42,'Introducció dades consum'!K3266+1,0)</f>
        <v>0</v>
      </c>
      <c r="O3266" s="370" cm="1">
        <f t="array" ref="O3266">+_xlfn.SWITCH(MONTH(C3266),1,1,2,1,3,1,4,2,5,2,6,3,7,3,8,3,9,3,10,2,11,2,12,1,2)</f>
        <v>1</v>
      </c>
      <c r="P3266" s="43"/>
    </row>
    <row r="3267" spans="1:16" ht="18" x14ac:dyDescent="0.35">
      <c r="A3267" s="43"/>
      <c r="C3267" s="393"/>
      <c r="E3267" s="394"/>
      <c r="F3267" s="394">
        <v>0</v>
      </c>
      <c r="G3267" s="394"/>
      <c r="H3267" s="8" t="s">
        <v>235</v>
      </c>
      <c r="I3267" s="368">
        <f t="shared" si="151"/>
        <v>0</v>
      </c>
      <c r="J3267" s="365">
        <f t="shared" si="153"/>
        <v>0</v>
      </c>
      <c r="K3267" s="369">
        <f t="shared" si="152"/>
        <v>6</v>
      </c>
      <c r="L3267" s="369">
        <f>+IF((C3267&gt;='Resultats - informe'!$E$16)*(C3267&lt;='Resultats - informe'!$G$16),1,0)</f>
        <v>1</v>
      </c>
      <c r="M3267" s="369" cm="1">
        <f t="array" ref="M3267">+_xlfn.IFS((C3267&gt;='Resultats - informe'!$D$26)*(C3267&lt;='Resultats - informe'!$E$26),0,(C3267&gt;='Resultats - informe'!$D$27)*(C3267&lt;='Resultats - informe'!$E$27),0,(C3267&gt;='Resultats - informe'!$D$28)*(C3267&lt;='Resultats - informe'!$E$28),0,(C3267&gt;='Resultats - informe'!$D$29)*(C3267&lt;='Resultats - informe'!$E$29),0,1,1)</f>
        <v>0</v>
      </c>
      <c r="N3267" s="366">
        <f>+VLOOKUP(D3267,'Resultats - informe'!$Y$18:$AG$42,'Introducció dades consum'!K3267+1,0)</f>
        <v>0</v>
      </c>
      <c r="O3267" s="370" cm="1">
        <f t="array" ref="O3267">+_xlfn.SWITCH(MONTH(C3267),1,1,2,1,3,1,4,2,5,2,6,3,7,3,8,3,9,3,10,2,11,2,12,1,2)</f>
        <v>1</v>
      </c>
      <c r="P3267" s="43"/>
    </row>
    <row r="3268" spans="1:16" ht="18" x14ac:dyDescent="0.35">
      <c r="A3268" s="43"/>
      <c r="C3268" s="393"/>
      <c r="E3268" s="394"/>
      <c r="F3268" s="394">
        <v>0</v>
      </c>
      <c r="G3268" s="394"/>
      <c r="H3268" s="8" t="s">
        <v>235</v>
      </c>
      <c r="I3268" s="368">
        <f t="shared" si="151"/>
        <v>0</v>
      </c>
      <c r="J3268" s="365">
        <f t="shared" si="153"/>
        <v>0</v>
      </c>
      <c r="K3268" s="369">
        <f t="shared" si="152"/>
        <v>6</v>
      </c>
      <c r="L3268" s="369">
        <f>+IF((C3268&gt;='Resultats - informe'!$E$16)*(C3268&lt;='Resultats - informe'!$G$16),1,0)</f>
        <v>1</v>
      </c>
      <c r="M3268" s="369" cm="1">
        <f t="array" ref="M3268">+_xlfn.IFS((C3268&gt;='Resultats - informe'!$D$26)*(C3268&lt;='Resultats - informe'!$E$26),0,(C3268&gt;='Resultats - informe'!$D$27)*(C3268&lt;='Resultats - informe'!$E$27),0,(C3268&gt;='Resultats - informe'!$D$28)*(C3268&lt;='Resultats - informe'!$E$28),0,(C3268&gt;='Resultats - informe'!$D$29)*(C3268&lt;='Resultats - informe'!$E$29),0,1,1)</f>
        <v>0</v>
      </c>
      <c r="N3268" s="366">
        <f>+VLOOKUP(D3268,'Resultats - informe'!$Y$18:$AG$42,'Introducció dades consum'!K3268+1,0)</f>
        <v>0</v>
      </c>
      <c r="O3268" s="370" cm="1">
        <f t="array" ref="O3268">+_xlfn.SWITCH(MONTH(C3268),1,1,2,1,3,1,4,2,5,2,6,3,7,3,8,3,9,3,10,2,11,2,12,1,2)</f>
        <v>1</v>
      </c>
      <c r="P3268" s="43"/>
    </row>
    <row r="3269" spans="1:16" ht="18" x14ac:dyDescent="0.35">
      <c r="A3269" s="43"/>
      <c r="C3269" s="393"/>
      <c r="E3269" s="394"/>
      <c r="F3269" s="394">
        <v>0</v>
      </c>
      <c r="G3269" s="394"/>
      <c r="H3269" s="8" t="s">
        <v>235</v>
      </c>
      <c r="I3269" s="368">
        <f t="shared" si="151"/>
        <v>0</v>
      </c>
      <c r="J3269" s="365">
        <f t="shared" si="153"/>
        <v>0</v>
      </c>
      <c r="K3269" s="369">
        <f t="shared" si="152"/>
        <v>6</v>
      </c>
      <c r="L3269" s="369">
        <f>+IF((C3269&gt;='Resultats - informe'!$E$16)*(C3269&lt;='Resultats - informe'!$G$16),1,0)</f>
        <v>1</v>
      </c>
      <c r="M3269" s="369" cm="1">
        <f t="array" ref="M3269">+_xlfn.IFS((C3269&gt;='Resultats - informe'!$D$26)*(C3269&lt;='Resultats - informe'!$E$26),0,(C3269&gt;='Resultats - informe'!$D$27)*(C3269&lt;='Resultats - informe'!$E$27),0,(C3269&gt;='Resultats - informe'!$D$28)*(C3269&lt;='Resultats - informe'!$E$28),0,(C3269&gt;='Resultats - informe'!$D$29)*(C3269&lt;='Resultats - informe'!$E$29),0,1,1)</f>
        <v>0</v>
      </c>
      <c r="N3269" s="366">
        <f>+VLOOKUP(D3269,'Resultats - informe'!$Y$18:$AG$42,'Introducció dades consum'!K3269+1,0)</f>
        <v>0</v>
      </c>
      <c r="O3269" s="370" cm="1">
        <f t="array" ref="O3269">+_xlfn.SWITCH(MONTH(C3269),1,1,2,1,3,1,4,2,5,2,6,3,7,3,8,3,9,3,10,2,11,2,12,1,2)</f>
        <v>1</v>
      </c>
      <c r="P3269" s="43"/>
    </row>
    <row r="3270" spans="1:16" ht="18" x14ac:dyDescent="0.35">
      <c r="A3270" s="43"/>
      <c r="C3270" s="393"/>
      <c r="E3270" s="394"/>
      <c r="F3270" s="394">
        <v>0</v>
      </c>
      <c r="G3270" s="394"/>
      <c r="H3270" s="8" t="s">
        <v>235</v>
      </c>
      <c r="I3270" s="368">
        <f t="shared" ref="I3270:I3333" si="154">+E3270+G3270</f>
        <v>0</v>
      </c>
      <c r="J3270" s="365">
        <f t="shared" si="153"/>
        <v>0</v>
      </c>
      <c r="K3270" s="369">
        <f t="shared" ref="K3270:K3333" si="155">+WEEKDAY(C3270,2)</f>
        <v>6</v>
      </c>
      <c r="L3270" s="369">
        <f>+IF((C3270&gt;='Resultats - informe'!$E$16)*(C3270&lt;='Resultats - informe'!$G$16),1,0)</f>
        <v>1</v>
      </c>
      <c r="M3270" s="369" cm="1">
        <f t="array" ref="M3270">+_xlfn.IFS((C3270&gt;='Resultats - informe'!$D$26)*(C3270&lt;='Resultats - informe'!$E$26),0,(C3270&gt;='Resultats - informe'!$D$27)*(C3270&lt;='Resultats - informe'!$E$27),0,(C3270&gt;='Resultats - informe'!$D$28)*(C3270&lt;='Resultats - informe'!$E$28),0,(C3270&gt;='Resultats - informe'!$D$29)*(C3270&lt;='Resultats - informe'!$E$29),0,1,1)</f>
        <v>0</v>
      </c>
      <c r="N3270" s="366">
        <f>+VLOOKUP(D3270,'Resultats - informe'!$Y$18:$AG$42,'Introducció dades consum'!K3270+1,0)</f>
        <v>0</v>
      </c>
      <c r="O3270" s="370" cm="1">
        <f t="array" ref="O3270">+_xlfn.SWITCH(MONTH(C3270),1,1,2,1,3,1,4,2,5,2,6,3,7,3,8,3,9,3,10,2,11,2,12,1,2)</f>
        <v>1</v>
      </c>
      <c r="P3270" s="43"/>
    </row>
    <row r="3271" spans="1:16" ht="18" x14ac:dyDescent="0.35">
      <c r="A3271" s="43"/>
      <c r="C3271" s="393"/>
      <c r="E3271" s="394"/>
      <c r="F3271" s="394">
        <v>0</v>
      </c>
      <c r="G3271" s="394"/>
      <c r="H3271" s="8" t="s">
        <v>235</v>
      </c>
      <c r="I3271" s="368">
        <f t="shared" si="154"/>
        <v>0</v>
      </c>
      <c r="J3271" s="365">
        <f t="shared" si="153"/>
        <v>0</v>
      </c>
      <c r="K3271" s="369">
        <f t="shared" si="155"/>
        <v>6</v>
      </c>
      <c r="L3271" s="369">
        <f>+IF((C3271&gt;='Resultats - informe'!$E$16)*(C3271&lt;='Resultats - informe'!$G$16),1,0)</f>
        <v>1</v>
      </c>
      <c r="M3271" s="369" cm="1">
        <f t="array" ref="M3271">+_xlfn.IFS((C3271&gt;='Resultats - informe'!$D$26)*(C3271&lt;='Resultats - informe'!$E$26),0,(C3271&gt;='Resultats - informe'!$D$27)*(C3271&lt;='Resultats - informe'!$E$27),0,(C3271&gt;='Resultats - informe'!$D$28)*(C3271&lt;='Resultats - informe'!$E$28),0,(C3271&gt;='Resultats - informe'!$D$29)*(C3271&lt;='Resultats - informe'!$E$29),0,1,1)</f>
        <v>0</v>
      </c>
      <c r="N3271" s="366">
        <f>+VLOOKUP(D3271,'Resultats - informe'!$Y$18:$AG$42,'Introducció dades consum'!K3271+1,0)</f>
        <v>0</v>
      </c>
      <c r="O3271" s="370" cm="1">
        <f t="array" ref="O3271">+_xlfn.SWITCH(MONTH(C3271),1,1,2,1,3,1,4,2,5,2,6,3,7,3,8,3,9,3,10,2,11,2,12,1,2)</f>
        <v>1</v>
      </c>
      <c r="P3271" s="43"/>
    </row>
    <row r="3272" spans="1:16" ht="18" x14ac:dyDescent="0.35">
      <c r="A3272" s="43"/>
      <c r="C3272" s="393"/>
      <c r="E3272" s="394"/>
      <c r="F3272" s="394">
        <v>0</v>
      </c>
      <c r="G3272" s="394"/>
      <c r="H3272" s="8" t="s">
        <v>61</v>
      </c>
      <c r="I3272" s="368">
        <f t="shared" si="154"/>
        <v>0</v>
      </c>
      <c r="J3272" s="365">
        <f t="shared" si="153"/>
        <v>0</v>
      </c>
      <c r="K3272" s="369">
        <f t="shared" si="155"/>
        <v>6</v>
      </c>
      <c r="L3272" s="369">
        <f>+IF((C3272&gt;='Resultats - informe'!$E$16)*(C3272&lt;='Resultats - informe'!$G$16),1,0)</f>
        <v>1</v>
      </c>
      <c r="M3272" s="369" cm="1">
        <f t="array" ref="M3272">+_xlfn.IFS((C3272&gt;='Resultats - informe'!$D$26)*(C3272&lt;='Resultats - informe'!$E$26),0,(C3272&gt;='Resultats - informe'!$D$27)*(C3272&lt;='Resultats - informe'!$E$27),0,(C3272&gt;='Resultats - informe'!$D$28)*(C3272&lt;='Resultats - informe'!$E$28),0,(C3272&gt;='Resultats - informe'!$D$29)*(C3272&lt;='Resultats - informe'!$E$29),0,1,1)</f>
        <v>0</v>
      </c>
      <c r="N3272" s="366">
        <f>+VLOOKUP(D3272,'Resultats - informe'!$Y$18:$AG$42,'Introducció dades consum'!K3272+1,0)</f>
        <v>0</v>
      </c>
      <c r="O3272" s="370" cm="1">
        <f t="array" ref="O3272">+_xlfn.SWITCH(MONTH(C3272),1,1,2,1,3,1,4,2,5,2,6,3,7,3,8,3,9,3,10,2,11,2,12,1,2)</f>
        <v>1</v>
      </c>
      <c r="P3272" s="43"/>
    </row>
    <row r="3273" spans="1:16" ht="18" x14ac:dyDescent="0.35">
      <c r="A3273" s="43"/>
      <c r="C3273" s="393"/>
      <c r="E3273" s="394"/>
      <c r="F3273" s="394">
        <v>0</v>
      </c>
      <c r="G3273" s="394"/>
      <c r="H3273" s="8" t="s">
        <v>61</v>
      </c>
      <c r="I3273" s="368">
        <f t="shared" si="154"/>
        <v>0</v>
      </c>
      <c r="J3273" s="365">
        <f t="shared" si="153"/>
        <v>0</v>
      </c>
      <c r="K3273" s="369">
        <f t="shared" si="155"/>
        <v>6</v>
      </c>
      <c r="L3273" s="369">
        <f>+IF((C3273&gt;='Resultats - informe'!$E$16)*(C3273&lt;='Resultats - informe'!$G$16),1,0)</f>
        <v>1</v>
      </c>
      <c r="M3273" s="369" cm="1">
        <f t="array" ref="M3273">+_xlfn.IFS((C3273&gt;='Resultats - informe'!$D$26)*(C3273&lt;='Resultats - informe'!$E$26),0,(C3273&gt;='Resultats - informe'!$D$27)*(C3273&lt;='Resultats - informe'!$E$27),0,(C3273&gt;='Resultats - informe'!$D$28)*(C3273&lt;='Resultats - informe'!$E$28),0,(C3273&gt;='Resultats - informe'!$D$29)*(C3273&lt;='Resultats - informe'!$E$29),0,1,1)</f>
        <v>0</v>
      </c>
      <c r="N3273" s="366">
        <f>+VLOOKUP(D3273,'Resultats - informe'!$Y$18:$AG$42,'Introducció dades consum'!K3273+1,0)</f>
        <v>0</v>
      </c>
      <c r="O3273" s="370" cm="1">
        <f t="array" ref="O3273">+_xlfn.SWITCH(MONTH(C3273),1,1,2,1,3,1,4,2,5,2,6,3,7,3,8,3,9,3,10,2,11,2,12,1,2)</f>
        <v>1</v>
      </c>
      <c r="P3273" s="43"/>
    </row>
    <row r="3274" spans="1:16" ht="18" x14ac:dyDescent="0.35">
      <c r="A3274" s="43"/>
      <c r="C3274" s="393"/>
      <c r="E3274" s="394"/>
      <c r="F3274" s="394">
        <v>1.03</v>
      </c>
      <c r="G3274" s="394"/>
      <c r="H3274" s="8" t="s">
        <v>235</v>
      </c>
      <c r="I3274" s="368">
        <f t="shared" si="154"/>
        <v>0</v>
      </c>
      <c r="J3274" s="365">
        <f t="shared" si="153"/>
        <v>0</v>
      </c>
      <c r="K3274" s="369">
        <f t="shared" si="155"/>
        <v>6</v>
      </c>
      <c r="L3274" s="369">
        <f>+IF((C3274&gt;='Resultats - informe'!$E$16)*(C3274&lt;='Resultats - informe'!$G$16),1,0)</f>
        <v>1</v>
      </c>
      <c r="M3274" s="369" cm="1">
        <f t="array" ref="M3274">+_xlfn.IFS((C3274&gt;='Resultats - informe'!$D$26)*(C3274&lt;='Resultats - informe'!$E$26),0,(C3274&gt;='Resultats - informe'!$D$27)*(C3274&lt;='Resultats - informe'!$E$27),0,(C3274&gt;='Resultats - informe'!$D$28)*(C3274&lt;='Resultats - informe'!$E$28),0,(C3274&gt;='Resultats - informe'!$D$29)*(C3274&lt;='Resultats - informe'!$E$29),0,1,1)</f>
        <v>0</v>
      </c>
      <c r="N3274" s="366">
        <f>+VLOOKUP(D3274,'Resultats - informe'!$Y$18:$AG$42,'Introducció dades consum'!K3274+1,0)</f>
        <v>0</v>
      </c>
      <c r="O3274" s="370" cm="1">
        <f t="array" ref="O3274">+_xlfn.SWITCH(MONTH(C3274),1,1,2,1,3,1,4,2,5,2,6,3,7,3,8,3,9,3,10,2,11,2,12,1,2)</f>
        <v>1</v>
      </c>
      <c r="P3274" s="43"/>
    </row>
    <row r="3275" spans="1:16" ht="18" x14ac:dyDescent="0.35">
      <c r="A3275" s="43"/>
      <c r="C3275" s="393"/>
      <c r="E3275" s="394"/>
      <c r="F3275" s="394">
        <v>1.893</v>
      </c>
      <c r="G3275" s="394"/>
      <c r="H3275" s="8" t="s">
        <v>235</v>
      </c>
      <c r="I3275" s="368">
        <f t="shared" si="154"/>
        <v>0</v>
      </c>
      <c r="J3275" s="365">
        <f t="shared" si="153"/>
        <v>0</v>
      </c>
      <c r="K3275" s="369">
        <f t="shared" si="155"/>
        <v>6</v>
      </c>
      <c r="L3275" s="369">
        <f>+IF((C3275&gt;='Resultats - informe'!$E$16)*(C3275&lt;='Resultats - informe'!$G$16),1,0)</f>
        <v>1</v>
      </c>
      <c r="M3275" s="369" cm="1">
        <f t="array" ref="M3275">+_xlfn.IFS((C3275&gt;='Resultats - informe'!$D$26)*(C3275&lt;='Resultats - informe'!$E$26),0,(C3275&gt;='Resultats - informe'!$D$27)*(C3275&lt;='Resultats - informe'!$E$27),0,(C3275&gt;='Resultats - informe'!$D$28)*(C3275&lt;='Resultats - informe'!$E$28),0,(C3275&gt;='Resultats - informe'!$D$29)*(C3275&lt;='Resultats - informe'!$E$29),0,1,1)</f>
        <v>0</v>
      </c>
      <c r="N3275" s="366">
        <f>+VLOOKUP(D3275,'Resultats - informe'!$Y$18:$AG$42,'Introducció dades consum'!K3275+1,0)</f>
        <v>0</v>
      </c>
      <c r="O3275" s="370" cm="1">
        <f t="array" ref="O3275">+_xlfn.SWITCH(MONTH(C3275),1,1,2,1,3,1,4,2,5,2,6,3,7,3,8,3,9,3,10,2,11,2,12,1,2)</f>
        <v>1</v>
      </c>
      <c r="P3275" s="43"/>
    </row>
    <row r="3276" spans="1:16" ht="18" x14ac:dyDescent="0.35">
      <c r="A3276" s="43"/>
      <c r="C3276" s="393"/>
      <c r="E3276" s="394"/>
      <c r="F3276" s="394">
        <v>0.47799999999999998</v>
      </c>
      <c r="G3276" s="394"/>
      <c r="H3276" s="8" t="s">
        <v>61</v>
      </c>
      <c r="I3276" s="368">
        <f t="shared" si="154"/>
        <v>0</v>
      </c>
      <c r="J3276" s="365">
        <f t="shared" si="153"/>
        <v>0</v>
      </c>
      <c r="K3276" s="369">
        <f t="shared" si="155"/>
        <v>6</v>
      </c>
      <c r="L3276" s="369">
        <f>+IF((C3276&gt;='Resultats - informe'!$E$16)*(C3276&lt;='Resultats - informe'!$G$16),1,0)</f>
        <v>1</v>
      </c>
      <c r="M3276" s="369" cm="1">
        <f t="array" ref="M3276">+_xlfn.IFS((C3276&gt;='Resultats - informe'!$D$26)*(C3276&lt;='Resultats - informe'!$E$26),0,(C3276&gt;='Resultats - informe'!$D$27)*(C3276&lt;='Resultats - informe'!$E$27),0,(C3276&gt;='Resultats - informe'!$D$28)*(C3276&lt;='Resultats - informe'!$E$28),0,(C3276&gt;='Resultats - informe'!$D$29)*(C3276&lt;='Resultats - informe'!$E$29),0,1,1)</f>
        <v>0</v>
      </c>
      <c r="N3276" s="366">
        <f>+VLOOKUP(D3276,'Resultats - informe'!$Y$18:$AG$42,'Introducció dades consum'!K3276+1,0)</f>
        <v>0</v>
      </c>
      <c r="O3276" s="370" cm="1">
        <f t="array" ref="O3276">+_xlfn.SWITCH(MONTH(C3276),1,1,2,1,3,1,4,2,5,2,6,3,7,3,8,3,9,3,10,2,11,2,12,1,2)</f>
        <v>1</v>
      </c>
      <c r="P3276" s="43"/>
    </row>
    <row r="3277" spans="1:16" ht="18" x14ac:dyDescent="0.35">
      <c r="A3277" s="43"/>
      <c r="C3277" s="393"/>
      <c r="E3277" s="394"/>
      <c r="F3277" s="394">
        <v>2.4609999999999999</v>
      </c>
      <c r="G3277" s="394"/>
      <c r="H3277" s="8" t="s">
        <v>235</v>
      </c>
      <c r="I3277" s="368">
        <f t="shared" si="154"/>
        <v>0</v>
      </c>
      <c r="J3277" s="365">
        <f t="shared" si="153"/>
        <v>0</v>
      </c>
      <c r="K3277" s="369">
        <f t="shared" si="155"/>
        <v>6</v>
      </c>
      <c r="L3277" s="369">
        <f>+IF((C3277&gt;='Resultats - informe'!$E$16)*(C3277&lt;='Resultats - informe'!$G$16),1,0)</f>
        <v>1</v>
      </c>
      <c r="M3277" s="369" cm="1">
        <f t="array" ref="M3277">+_xlfn.IFS((C3277&gt;='Resultats - informe'!$D$26)*(C3277&lt;='Resultats - informe'!$E$26),0,(C3277&gt;='Resultats - informe'!$D$27)*(C3277&lt;='Resultats - informe'!$E$27),0,(C3277&gt;='Resultats - informe'!$D$28)*(C3277&lt;='Resultats - informe'!$E$28),0,(C3277&gt;='Resultats - informe'!$D$29)*(C3277&lt;='Resultats - informe'!$E$29),0,1,1)</f>
        <v>0</v>
      </c>
      <c r="N3277" s="366">
        <f>+VLOOKUP(D3277,'Resultats - informe'!$Y$18:$AG$42,'Introducció dades consum'!K3277+1,0)</f>
        <v>0</v>
      </c>
      <c r="O3277" s="370" cm="1">
        <f t="array" ref="O3277">+_xlfn.SWITCH(MONTH(C3277),1,1,2,1,3,1,4,2,5,2,6,3,7,3,8,3,9,3,10,2,11,2,12,1,2)</f>
        <v>1</v>
      </c>
      <c r="P3277" s="43"/>
    </row>
    <row r="3278" spans="1:16" ht="18" x14ac:dyDescent="0.35">
      <c r="A3278" s="43"/>
      <c r="C3278" s="393"/>
      <c r="E3278" s="394"/>
      <c r="F3278" s="394">
        <v>2.7</v>
      </c>
      <c r="G3278" s="394"/>
      <c r="H3278" s="8" t="s">
        <v>235</v>
      </c>
      <c r="I3278" s="368">
        <f t="shared" si="154"/>
        <v>0</v>
      </c>
      <c r="J3278" s="365">
        <f t="shared" si="153"/>
        <v>0</v>
      </c>
      <c r="K3278" s="369">
        <f t="shared" si="155"/>
        <v>6</v>
      </c>
      <c r="L3278" s="369">
        <f>+IF((C3278&gt;='Resultats - informe'!$E$16)*(C3278&lt;='Resultats - informe'!$G$16),1,0)</f>
        <v>1</v>
      </c>
      <c r="M3278" s="369" cm="1">
        <f t="array" ref="M3278">+_xlfn.IFS((C3278&gt;='Resultats - informe'!$D$26)*(C3278&lt;='Resultats - informe'!$E$26),0,(C3278&gt;='Resultats - informe'!$D$27)*(C3278&lt;='Resultats - informe'!$E$27),0,(C3278&gt;='Resultats - informe'!$D$28)*(C3278&lt;='Resultats - informe'!$E$28),0,(C3278&gt;='Resultats - informe'!$D$29)*(C3278&lt;='Resultats - informe'!$E$29),0,1,1)</f>
        <v>0</v>
      </c>
      <c r="N3278" s="366">
        <f>+VLOOKUP(D3278,'Resultats - informe'!$Y$18:$AG$42,'Introducció dades consum'!K3278+1,0)</f>
        <v>0</v>
      </c>
      <c r="O3278" s="370" cm="1">
        <f t="array" ref="O3278">+_xlfn.SWITCH(MONTH(C3278),1,1,2,1,3,1,4,2,5,2,6,3,7,3,8,3,9,3,10,2,11,2,12,1,2)</f>
        <v>1</v>
      </c>
      <c r="P3278" s="43"/>
    </row>
    <row r="3279" spans="1:16" ht="18" x14ac:dyDescent="0.35">
      <c r="A3279" s="43"/>
      <c r="C3279" s="393"/>
      <c r="E3279" s="394"/>
      <c r="F3279" s="394">
        <v>2.6219999999999999</v>
      </c>
      <c r="G3279" s="394"/>
      <c r="H3279" s="8" t="s">
        <v>235</v>
      </c>
      <c r="I3279" s="368">
        <f t="shared" si="154"/>
        <v>0</v>
      </c>
      <c r="J3279" s="365">
        <f t="shared" si="153"/>
        <v>0</v>
      </c>
      <c r="K3279" s="369">
        <f t="shared" si="155"/>
        <v>6</v>
      </c>
      <c r="L3279" s="369">
        <f>+IF((C3279&gt;='Resultats - informe'!$E$16)*(C3279&lt;='Resultats - informe'!$G$16),1,0)</f>
        <v>1</v>
      </c>
      <c r="M3279" s="369" cm="1">
        <f t="array" ref="M3279">+_xlfn.IFS((C3279&gt;='Resultats - informe'!$D$26)*(C3279&lt;='Resultats - informe'!$E$26),0,(C3279&gt;='Resultats - informe'!$D$27)*(C3279&lt;='Resultats - informe'!$E$27),0,(C3279&gt;='Resultats - informe'!$D$28)*(C3279&lt;='Resultats - informe'!$E$28),0,(C3279&gt;='Resultats - informe'!$D$29)*(C3279&lt;='Resultats - informe'!$E$29),0,1,1)</f>
        <v>0</v>
      </c>
      <c r="N3279" s="366">
        <f>+VLOOKUP(D3279,'Resultats - informe'!$Y$18:$AG$42,'Introducció dades consum'!K3279+1,0)</f>
        <v>0</v>
      </c>
      <c r="O3279" s="370" cm="1">
        <f t="array" ref="O3279">+_xlfn.SWITCH(MONTH(C3279),1,1,2,1,3,1,4,2,5,2,6,3,7,3,8,3,9,3,10,2,11,2,12,1,2)</f>
        <v>1</v>
      </c>
      <c r="P3279" s="43"/>
    </row>
    <row r="3280" spans="1:16" ht="18" x14ac:dyDescent="0.35">
      <c r="A3280" s="43"/>
      <c r="C3280" s="393"/>
      <c r="E3280" s="394"/>
      <c r="F3280" s="394">
        <v>2.8860000000000001</v>
      </c>
      <c r="G3280" s="394"/>
      <c r="H3280" s="8" t="s">
        <v>235</v>
      </c>
      <c r="I3280" s="368">
        <f t="shared" si="154"/>
        <v>0</v>
      </c>
      <c r="J3280" s="365">
        <f t="shared" si="153"/>
        <v>0</v>
      </c>
      <c r="K3280" s="369">
        <f t="shared" si="155"/>
        <v>6</v>
      </c>
      <c r="L3280" s="369">
        <f>+IF((C3280&gt;='Resultats - informe'!$E$16)*(C3280&lt;='Resultats - informe'!$G$16),1,0)</f>
        <v>1</v>
      </c>
      <c r="M3280" s="369" cm="1">
        <f t="array" ref="M3280">+_xlfn.IFS((C3280&gt;='Resultats - informe'!$D$26)*(C3280&lt;='Resultats - informe'!$E$26),0,(C3280&gt;='Resultats - informe'!$D$27)*(C3280&lt;='Resultats - informe'!$E$27),0,(C3280&gt;='Resultats - informe'!$D$28)*(C3280&lt;='Resultats - informe'!$E$28),0,(C3280&gt;='Resultats - informe'!$D$29)*(C3280&lt;='Resultats - informe'!$E$29),0,1,1)</f>
        <v>0</v>
      </c>
      <c r="N3280" s="366">
        <f>+VLOOKUP(D3280,'Resultats - informe'!$Y$18:$AG$42,'Introducció dades consum'!K3280+1,0)</f>
        <v>0</v>
      </c>
      <c r="O3280" s="370" cm="1">
        <f t="array" ref="O3280">+_xlfn.SWITCH(MONTH(C3280),1,1,2,1,3,1,4,2,5,2,6,3,7,3,8,3,9,3,10,2,11,2,12,1,2)</f>
        <v>1</v>
      </c>
      <c r="P3280" s="43"/>
    </row>
    <row r="3281" spans="1:16" ht="18" x14ac:dyDescent="0.35">
      <c r="A3281" s="43"/>
      <c r="C3281" s="393"/>
      <c r="E3281" s="394"/>
      <c r="F3281" s="394">
        <v>4.7389999999999999</v>
      </c>
      <c r="G3281" s="394"/>
      <c r="H3281" s="8" t="s">
        <v>61</v>
      </c>
      <c r="I3281" s="368">
        <f t="shared" si="154"/>
        <v>0</v>
      </c>
      <c r="J3281" s="365">
        <f t="shared" si="153"/>
        <v>0</v>
      </c>
      <c r="K3281" s="369">
        <f t="shared" si="155"/>
        <v>6</v>
      </c>
      <c r="L3281" s="369">
        <f>+IF((C3281&gt;='Resultats - informe'!$E$16)*(C3281&lt;='Resultats - informe'!$G$16),1,0)</f>
        <v>1</v>
      </c>
      <c r="M3281" s="369" cm="1">
        <f t="array" ref="M3281">+_xlfn.IFS((C3281&gt;='Resultats - informe'!$D$26)*(C3281&lt;='Resultats - informe'!$E$26),0,(C3281&gt;='Resultats - informe'!$D$27)*(C3281&lt;='Resultats - informe'!$E$27),0,(C3281&gt;='Resultats - informe'!$D$28)*(C3281&lt;='Resultats - informe'!$E$28),0,(C3281&gt;='Resultats - informe'!$D$29)*(C3281&lt;='Resultats - informe'!$E$29),0,1,1)</f>
        <v>0</v>
      </c>
      <c r="N3281" s="366">
        <f>+VLOOKUP(D3281,'Resultats - informe'!$Y$18:$AG$42,'Introducció dades consum'!K3281+1,0)</f>
        <v>0</v>
      </c>
      <c r="O3281" s="370" cm="1">
        <f t="array" ref="O3281">+_xlfn.SWITCH(MONTH(C3281),1,1,2,1,3,1,4,2,5,2,6,3,7,3,8,3,9,3,10,2,11,2,12,1,2)</f>
        <v>1</v>
      </c>
      <c r="P3281" s="43"/>
    </row>
    <row r="3282" spans="1:16" ht="18" x14ac:dyDescent="0.35">
      <c r="A3282" s="43"/>
      <c r="C3282" s="393"/>
      <c r="E3282" s="394"/>
      <c r="F3282" s="394">
        <v>4.01</v>
      </c>
      <c r="G3282" s="394"/>
      <c r="H3282" s="8" t="s">
        <v>61</v>
      </c>
      <c r="I3282" s="368">
        <f t="shared" si="154"/>
        <v>0</v>
      </c>
      <c r="J3282" s="365">
        <f t="shared" si="153"/>
        <v>0</v>
      </c>
      <c r="K3282" s="369">
        <f t="shared" si="155"/>
        <v>6</v>
      </c>
      <c r="L3282" s="369">
        <f>+IF((C3282&gt;='Resultats - informe'!$E$16)*(C3282&lt;='Resultats - informe'!$G$16),1,0)</f>
        <v>1</v>
      </c>
      <c r="M3282" s="369" cm="1">
        <f t="array" ref="M3282">+_xlfn.IFS((C3282&gt;='Resultats - informe'!$D$26)*(C3282&lt;='Resultats - informe'!$E$26),0,(C3282&gt;='Resultats - informe'!$D$27)*(C3282&lt;='Resultats - informe'!$E$27),0,(C3282&gt;='Resultats - informe'!$D$28)*(C3282&lt;='Resultats - informe'!$E$28),0,(C3282&gt;='Resultats - informe'!$D$29)*(C3282&lt;='Resultats - informe'!$E$29),0,1,1)</f>
        <v>0</v>
      </c>
      <c r="N3282" s="366">
        <f>+VLOOKUP(D3282,'Resultats - informe'!$Y$18:$AG$42,'Introducció dades consum'!K3282+1,0)</f>
        <v>0</v>
      </c>
      <c r="O3282" s="370" cm="1">
        <f t="array" ref="O3282">+_xlfn.SWITCH(MONTH(C3282),1,1,2,1,3,1,4,2,5,2,6,3,7,3,8,3,9,3,10,2,11,2,12,1,2)</f>
        <v>1</v>
      </c>
      <c r="P3282" s="43"/>
    </row>
    <row r="3283" spans="1:16" ht="18" x14ac:dyDescent="0.35">
      <c r="A3283" s="43"/>
      <c r="C3283" s="393"/>
      <c r="E3283" s="394"/>
      <c r="F3283" s="394">
        <v>4.9080000000000004</v>
      </c>
      <c r="G3283" s="394"/>
      <c r="H3283" s="8" t="s">
        <v>61</v>
      </c>
      <c r="I3283" s="368">
        <f t="shared" si="154"/>
        <v>0</v>
      </c>
      <c r="J3283" s="365">
        <f t="shared" si="153"/>
        <v>0</v>
      </c>
      <c r="K3283" s="369">
        <f t="shared" si="155"/>
        <v>6</v>
      </c>
      <c r="L3283" s="369">
        <f>+IF((C3283&gt;='Resultats - informe'!$E$16)*(C3283&lt;='Resultats - informe'!$G$16),1,0)</f>
        <v>1</v>
      </c>
      <c r="M3283" s="369" cm="1">
        <f t="array" ref="M3283">+_xlfn.IFS((C3283&gt;='Resultats - informe'!$D$26)*(C3283&lt;='Resultats - informe'!$E$26),0,(C3283&gt;='Resultats - informe'!$D$27)*(C3283&lt;='Resultats - informe'!$E$27),0,(C3283&gt;='Resultats - informe'!$D$28)*(C3283&lt;='Resultats - informe'!$E$28),0,(C3283&gt;='Resultats - informe'!$D$29)*(C3283&lt;='Resultats - informe'!$E$29),0,1,1)</f>
        <v>0</v>
      </c>
      <c r="N3283" s="366">
        <f>+VLOOKUP(D3283,'Resultats - informe'!$Y$18:$AG$42,'Introducció dades consum'!K3283+1,0)</f>
        <v>0</v>
      </c>
      <c r="O3283" s="370" cm="1">
        <f t="array" ref="O3283">+_xlfn.SWITCH(MONTH(C3283),1,1,2,1,3,1,4,2,5,2,6,3,7,3,8,3,9,3,10,2,11,2,12,1,2)</f>
        <v>1</v>
      </c>
      <c r="P3283" s="43"/>
    </row>
    <row r="3284" spans="1:16" ht="18" x14ac:dyDescent="0.35">
      <c r="A3284" s="43"/>
      <c r="C3284" s="393"/>
      <c r="E3284" s="394"/>
      <c r="F3284" s="394">
        <v>1.4419999999999999</v>
      </c>
      <c r="G3284" s="394"/>
      <c r="H3284" s="8" t="s">
        <v>61</v>
      </c>
      <c r="I3284" s="368">
        <f t="shared" si="154"/>
        <v>0</v>
      </c>
      <c r="J3284" s="365">
        <f t="shared" si="153"/>
        <v>0</v>
      </c>
      <c r="K3284" s="369">
        <f t="shared" si="155"/>
        <v>6</v>
      </c>
      <c r="L3284" s="369">
        <f>+IF((C3284&gt;='Resultats - informe'!$E$16)*(C3284&lt;='Resultats - informe'!$G$16),1,0)</f>
        <v>1</v>
      </c>
      <c r="M3284" s="369" cm="1">
        <f t="array" ref="M3284">+_xlfn.IFS((C3284&gt;='Resultats - informe'!$D$26)*(C3284&lt;='Resultats - informe'!$E$26),0,(C3284&gt;='Resultats - informe'!$D$27)*(C3284&lt;='Resultats - informe'!$E$27),0,(C3284&gt;='Resultats - informe'!$D$28)*(C3284&lt;='Resultats - informe'!$E$28),0,(C3284&gt;='Resultats - informe'!$D$29)*(C3284&lt;='Resultats - informe'!$E$29),0,1,1)</f>
        <v>0</v>
      </c>
      <c r="N3284" s="366">
        <f>+VLOOKUP(D3284,'Resultats - informe'!$Y$18:$AG$42,'Introducció dades consum'!K3284+1,0)</f>
        <v>0</v>
      </c>
      <c r="O3284" s="370" cm="1">
        <f t="array" ref="O3284">+_xlfn.SWITCH(MONTH(C3284),1,1,2,1,3,1,4,2,5,2,6,3,7,3,8,3,9,3,10,2,11,2,12,1,2)</f>
        <v>1</v>
      </c>
      <c r="P3284" s="43"/>
    </row>
    <row r="3285" spans="1:16" ht="18" x14ac:dyDescent="0.35">
      <c r="A3285" s="43"/>
      <c r="C3285" s="393"/>
      <c r="E3285" s="394"/>
      <c r="F3285" s="394">
        <v>1.83</v>
      </c>
      <c r="G3285" s="394"/>
      <c r="H3285" s="8" t="s">
        <v>61</v>
      </c>
      <c r="I3285" s="368">
        <f t="shared" si="154"/>
        <v>0</v>
      </c>
      <c r="J3285" s="365">
        <f t="shared" si="153"/>
        <v>0</v>
      </c>
      <c r="K3285" s="369">
        <f t="shared" si="155"/>
        <v>6</v>
      </c>
      <c r="L3285" s="369">
        <f>+IF((C3285&gt;='Resultats - informe'!$E$16)*(C3285&lt;='Resultats - informe'!$G$16),1,0)</f>
        <v>1</v>
      </c>
      <c r="M3285" s="369" cm="1">
        <f t="array" ref="M3285">+_xlfn.IFS((C3285&gt;='Resultats - informe'!$D$26)*(C3285&lt;='Resultats - informe'!$E$26),0,(C3285&gt;='Resultats - informe'!$D$27)*(C3285&lt;='Resultats - informe'!$E$27),0,(C3285&gt;='Resultats - informe'!$D$28)*(C3285&lt;='Resultats - informe'!$E$28),0,(C3285&gt;='Resultats - informe'!$D$29)*(C3285&lt;='Resultats - informe'!$E$29),0,1,1)</f>
        <v>0</v>
      </c>
      <c r="N3285" s="366">
        <f>+VLOOKUP(D3285,'Resultats - informe'!$Y$18:$AG$42,'Introducció dades consum'!K3285+1,0)</f>
        <v>0</v>
      </c>
      <c r="O3285" s="370" cm="1">
        <f t="array" ref="O3285">+_xlfn.SWITCH(MONTH(C3285),1,1,2,1,3,1,4,2,5,2,6,3,7,3,8,3,9,3,10,2,11,2,12,1,2)</f>
        <v>1</v>
      </c>
      <c r="P3285" s="43"/>
    </row>
    <row r="3286" spans="1:16" ht="18" x14ac:dyDescent="0.35">
      <c r="A3286" s="43"/>
      <c r="C3286" s="393"/>
      <c r="E3286" s="394"/>
      <c r="F3286" s="394">
        <v>0.159</v>
      </c>
      <c r="G3286" s="394"/>
      <c r="H3286" s="8" t="s">
        <v>61</v>
      </c>
      <c r="I3286" s="368">
        <f t="shared" si="154"/>
        <v>0</v>
      </c>
      <c r="J3286" s="365">
        <f t="shared" si="153"/>
        <v>0</v>
      </c>
      <c r="K3286" s="369">
        <f t="shared" si="155"/>
        <v>6</v>
      </c>
      <c r="L3286" s="369">
        <f>+IF((C3286&gt;='Resultats - informe'!$E$16)*(C3286&lt;='Resultats - informe'!$G$16),1,0)</f>
        <v>1</v>
      </c>
      <c r="M3286" s="369" cm="1">
        <f t="array" ref="M3286">+_xlfn.IFS((C3286&gt;='Resultats - informe'!$D$26)*(C3286&lt;='Resultats - informe'!$E$26),0,(C3286&gt;='Resultats - informe'!$D$27)*(C3286&lt;='Resultats - informe'!$E$27),0,(C3286&gt;='Resultats - informe'!$D$28)*(C3286&lt;='Resultats - informe'!$E$28),0,(C3286&gt;='Resultats - informe'!$D$29)*(C3286&lt;='Resultats - informe'!$E$29),0,1,1)</f>
        <v>0</v>
      </c>
      <c r="N3286" s="366">
        <f>+VLOOKUP(D3286,'Resultats - informe'!$Y$18:$AG$42,'Introducció dades consum'!K3286+1,0)</f>
        <v>0</v>
      </c>
      <c r="O3286" s="370" cm="1">
        <f t="array" ref="O3286">+_xlfn.SWITCH(MONTH(C3286),1,1,2,1,3,1,4,2,5,2,6,3,7,3,8,3,9,3,10,2,11,2,12,1,2)</f>
        <v>1</v>
      </c>
      <c r="P3286" s="43"/>
    </row>
    <row r="3287" spans="1:16" ht="18" x14ac:dyDescent="0.35">
      <c r="A3287" s="43"/>
      <c r="C3287" s="393"/>
      <c r="E3287" s="394"/>
      <c r="F3287" s="394">
        <v>0</v>
      </c>
      <c r="G3287" s="394"/>
      <c r="H3287" s="8" t="s">
        <v>61</v>
      </c>
      <c r="I3287" s="368">
        <f t="shared" si="154"/>
        <v>0</v>
      </c>
      <c r="J3287" s="365">
        <f t="shared" si="153"/>
        <v>0</v>
      </c>
      <c r="K3287" s="369">
        <f t="shared" si="155"/>
        <v>6</v>
      </c>
      <c r="L3287" s="369">
        <f>+IF((C3287&gt;='Resultats - informe'!$E$16)*(C3287&lt;='Resultats - informe'!$G$16),1,0)</f>
        <v>1</v>
      </c>
      <c r="M3287" s="369" cm="1">
        <f t="array" ref="M3287">+_xlfn.IFS((C3287&gt;='Resultats - informe'!$D$26)*(C3287&lt;='Resultats - informe'!$E$26),0,(C3287&gt;='Resultats - informe'!$D$27)*(C3287&lt;='Resultats - informe'!$E$27),0,(C3287&gt;='Resultats - informe'!$D$28)*(C3287&lt;='Resultats - informe'!$E$28),0,(C3287&gt;='Resultats - informe'!$D$29)*(C3287&lt;='Resultats - informe'!$E$29),0,1,1)</f>
        <v>0</v>
      </c>
      <c r="N3287" s="366">
        <f>+VLOOKUP(D3287,'Resultats - informe'!$Y$18:$AG$42,'Introducció dades consum'!K3287+1,0)</f>
        <v>0</v>
      </c>
      <c r="O3287" s="370" cm="1">
        <f t="array" ref="O3287">+_xlfn.SWITCH(MONTH(C3287),1,1,2,1,3,1,4,2,5,2,6,3,7,3,8,3,9,3,10,2,11,2,12,1,2)</f>
        <v>1</v>
      </c>
      <c r="P3287" s="43"/>
    </row>
    <row r="3288" spans="1:16" ht="18" x14ac:dyDescent="0.35">
      <c r="A3288" s="43"/>
      <c r="C3288" s="393"/>
      <c r="E3288" s="394"/>
      <c r="F3288" s="394">
        <v>0</v>
      </c>
      <c r="G3288" s="394"/>
      <c r="H3288" s="8" t="s">
        <v>235</v>
      </c>
      <c r="I3288" s="368">
        <f t="shared" si="154"/>
        <v>0</v>
      </c>
      <c r="J3288" s="365">
        <f t="shared" si="153"/>
        <v>0</v>
      </c>
      <c r="K3288" s="369">
        <f t="shared" si="155"/>
        <v>6</v>
      </c>
      <c r="L3288" s="369">
        <f>+IF((C3288&gt;='Resultats - informe'!$E$16)*(C3288&lt;='Resultats - informe'!$G$16),1,0)</f>
        <v>1</v>
      </c>
      <c r="M3288" s="369" cm="1">
        <f t="array" ref="M3288">+_xlfn.IFS((C3288&gt;='Resultats - informe'!$D$26)*(C3288&lt;='Resultats - informe'!$E$26),0,(C3288&gt;='Resultats - informe'!$D$27)*(C3288&lt;='Resultats - informe'!$E$27),0,(C3288&gt;='Resultats - informe'!$D$28)*(C3288&lt;='Resultats - informe'!$E$28),0,(C3288&gt;='Resultats - informe'!$D$29)*(C3288&lt;='Resultats - informe'!$E$29),0,1,1)</f>
        <v>0</v>
      </c>
      <c r="N3288" s="366">
        <f>+VLOOKUP(D3288,'Resultats - informe'!$Y$18:$AG$42,'Introducció dades consum'!K3288+1,0)</f>
        <v>0</v>
      </c>
      <c r="O3288" s="370" cm="1">
        <f t="array" ref="O3288">+_xlfn.SWITCH(MONTH(C3288),1,1,2,1,3,1,4,2,5,2,6,3,7,3,8,3,9,3,10,2,11,2,12,1,2)</f>
        <v>1</v>
      </c>
      <c r="P3288" s="43"/>
    </row>
    <row r="3289" spans="1:16" ht="18" x14ac:dyDescent="0.35">
      <c r="A3289" s="43"/>
      <c r="C3289" s="393"/>
      <c r="E3289" s="394"/>
      <c r="F3289" s="394">
        <v>0</v>
      </c>
      <c r="G3289" s="394"/>
      <c r="H3289" s="8" t="s">
        <v>235</v>
      </c>
      <c r="I3289" s="368">
        <f t="shared" si="154"/>
        <v>0</v>
      </c>
      <c r="J3289" s="365">
        <f t="shared" si="153"/>
        <v>0</v>
      </c>
      <c r="K3289" s="369">
        <f t="shared" si="155"/>
        <v>6</v>
      </c>
      <c r="L3289" s="369">
        <f>+IF((C3289&gt;='Resultats - informe'!$E$16)*(C3289&lt;='Resultats - informe'!$G$16),1,0)</f>
        <v>1</v>
      </c>
      <c r="M3289" s="369" cm="1">
        <f t="array" ref="M3289">+_xlfn.IFS((C3289&gt;='Resultats - informe'!$D$26)*(C3289&lt;='Resultats - informe'!$E$26),0,(C3289&gt;='Resultats - informe'!$D$27)*(C3289&lt;='Resultats - informe'!$E$27),0,(C3289&gt;='Resultats - informe'!$D$28)*(C3289&lt;='Resultats - informe'!$E$28),0,(C3289&gt;='Resultats - informe'!$D$29)*(C3289&lt;='Resultats - informe'!$E$29),0,1,1)</f>
        <v>0</v>
      </c>
      <c r="N3289" s="366">
        <f>+VLOOKUP(D3289,'Resultats - informe'!$Y$18:$AG$42,'Introducció dades consum'!K3289+1,0)</f>
        <v>0</v>
      </c>
      <c r="O3289" s="370" cm="1">
        <f t="array" ref="O3289">+_xlfn.SWITCH(MONTH(C3289),1,1,2,1,3,1,4,2,5,2,6,3,7,3,8,3,9,3,10,2,11,2,12,1,2)</f>
        <v>1</v>
      </c>
      <c r="P3289" s="43"/>
    </row>
    <row r="3290" spans="1:16" ht="18" x14ac:dyDescent="0.35">
      <c r="A3290" s="43"/>
      <c r="C3290" s="393"/>
      <c r="E3290" s="394"/>
      <c r="F3290" s="394">
        <v>0</v>
      </c>
      <c r="G3290" s="394"/>
      <c r="H3290" s="8" t="s">
        <v>235</v>
      </c>
      <c r="I3290" s="368">
        <f t="shared" si="154"/>
        <v>0</v>
      </c>
      <c r="J3290" s="365">
        <f t="shared" si="153"/>
        <v>0</v>
      </c>
      <c r="K3290" s="369">
        <f t="shared" si="155"/>
        <v>6</v>
      </c>
      <c r="L3290" s="369">
        <f>+IF((C3290&gt;='Resultats - informe'!$E$16)*(C3290&lt;='Resultats - informe'!$G$16),1,0)</f>
        <v>1</v>
      </c>
      <c r="M3290" s="369" cm="1">
        <f t="array" ref="M3290">+_xlfn.IFS((C3290&gt;='Resultats - informe'!$D$26)*(C3290&lt;='Resultats - informe'!$E$26),0,(C3290&gt;='Resultats - informe'!$D$27)*(C3290&lt;='Resultats - informe'!$E$27),0,(C3290&gt;='Resultats - informe'!$D$28)*(C3290&lt;='Resultats - informe'!$E$28),0,(C3290&gt;='Resultats - informe'!$D$29)*(C3290&lt;='Resultats - informe'!$E$29),0,1,1)</f>
        <v>0</v>
      </c>
      <c r="N3290" s="366">
        <f>+VLOOKUP(D3290,'Resultats - informe'!$Y$18:$AG$42,'Introducció dades consum'!K3290+1,0)</f>
        <v>0</v>
      </c>
      <c r="O3290" s="370" cm="1">
        <f t="array" ref="O3290">+_xlfn.SWITCH(MONTH(C3290),1,1,2,1,3,1,4,2,5,2,6,3,7,3,8,3,9,3,10,2,11,2,12,1,2)</f>
        <v>1</v>
      </c>
      <c r="P3290" s="43"/>
    </row>
    <row r="3291" spans="1:16" ht="18" x14ac:dyDescent="0.35">
      <c r="A3291" s="43"/>
      <c r="C3291" s="393"/>
      <c r="E3291" s="394"/>
      <c r="F3291" s="394">
        <v>0</v>
      </c>
      <c r="G3291" s="394"/>
      <c r="H3291" s="8" t="s">
        <v>235</v>
      </c>
      <c r="I3291" s="368">
        <f t="shared" si="154"/>
        <v>0</v>
      </c>
      <c r="J3291" s="365">
        <f t="shared" si="153"/>
        <v>0</v>
      </c>
      <c r="K3291" s="369">
        <f t="shared" si="155"/>
        <v>6</v>
      </c>
      <c r="L3291" s="369">
        <f>+IF((C3291&gt;='Resultats - informe'!$E$16)*(C3291&lt;='Resultats - informe'!$G$16),1,0)</f>
        <v>1</v>
      </c>
      <c r="M3291" s="369" cm="1">
        <f t="array" ref="M3291">+_xlfn.IFS((C3291&gt;='Resultats - informe'!$D$26)*(C3291&lt;='Resultats - informe'!$E$26),0,(C3291&gt;='Resultats - informe'!$D$27)*(C3291&lt;='Resultats - informe'!$E$27),0,(C3291&gt;='Resultats - informe'!$D$28)*(C3291&lt;='Resultats - informe'!$E$28),0,(C3291&gt;='Resultats - informe'!$D$29)*(C3291&lt;='Resultats - informe'!$E$29),0,1,1)</f>
        <v>0</v>
      </c>
      <c r="N3291" s="366">
        <f>+VLOOKUP(D3291,'Resultats - informe'!$Y$18:$AG$42,'Introducció dades consum'!K3291+1,0)</f>
        <v>0</v>
      </c>
      <c r="O3291" s="370" cm="1">
        <f t="array" ref="O3291">+_xlfn.SWITCH(MONTH(C3291),1,1,2,1,3,1,4,2,5,2,6,3,7,3,8,3,9,3,10,2,11,2,12,1,2)</f>
        <v>1</v>
      </c>
      <c r="P3291" s="43"/>
    </row>
    <row r="3292" spans="1:16" ht="18" x14ac:dyDescent="0.35">
      <c r="A3292" s="43"/>
      <c r="C3292" s="393"/>
      <c r="E3292" s="394"/>
      <c r="F3292" s="394">
        <v>0</v>
      </c>
      <c r="G3292" s="394"/>
      <c r="H3292" s="8" t="s">
        <v>235</v>
      </c>
      <c r="I3292" s="368">
        <f t="shared" si="154"/>
        <v>0</v>
      </c>
      <c r="J3292" s="365">
        <f t="shared" si="153"/>
        <v>0</v>
      </c>
      <c r="K3292" s="369">
        <f t="shared" si="155"/>
        <v>6</v>
      </c>
      <c r="L3292" s="369">
        <f>+IF((C3292&gt;='Resultats - informe'!$E$16)*(C3292&lt;='Resultats - informe'!$G$16),1,0)</f>
        <v>1</v>
      </c>
      <c r="M3292" s="369" cm="1">
        <f t="array" ref="M3292">+_xlfn.IFS((C3292&gt;='Resultats - informe'!$D$26)*(C3292&lt;='Resultats - informe'!$E$26),0,(C3292&gt;='Resultats - informe'!$D$27)*(C3292&lt;='Resultats - informe'!$E$27),0,(C3292&gt;='Resultats - informe'!$D$28)*(C3292&lt;='Resultats - informe'!$E$28),0,(C3292&gt;='Resultats - informe'!$D$29)*(C3292&lt;='Resultats - informe'!$E$29),0,1,1)</f>
        <v>0</v>
      </c>
      <c r="N3292" s="366">
        <f>+VLOOKUP(D3292,'Resultats - informe'!$Y$18:$AG$42,'Introducció dades consum'!K3292+1,0)</f>
        <v>0</v>
      </c>
      <c r="O3292" s="370" cm="1">
        <f t="array" ref="O3292">+_xlfn.SWITCH(MONTH(C3292),1,1,2,1,3,1,4,2,5,2,6,3,7,3,8,3,9,3,10,2,11,2,12,1,2)</f>
        <v>1</v>
      </c>
      <c r="P3292" s="43"/>
    </row>
    <row r="3293" spans="1:16" ht="18" x14ac:dyDescent="0.35">
      <c r="A3293" s="43"/>
      <c r="C3293" s="393"/>
      <c r="E3293" s="394"/>
      <c r="F3293" s="394">
        <v>0</v>
      </c>
      <c r="G3293" s="394"/>
      <c r="H3293" s="8" t="s">
        <v>61</v>
      </c>
      <c r="I3293" s="368">
        <f t="shared" si="154"/>
        <v>0</v>
      </c>
      <c r="J3293" s="365">
        <f t="shared" si="153"/>
        <v>0</v>
      </c>
      <c r="K3293" s="369">
        <f t="shared" si="155"/>
        <v>6</v>
      </c>
      <c r="L3293" s="369">
        <f>+IF((C3293&gt;='Resultats - informe'!$E$16)*(C3293&lt;='Resultats - informe'!$G$16),1,0)</f>
        <v>1</v>
      </c>
      <c r="M3293" s="369" cm="1">
        <f t="array" ref="M3293">+_xlfn.IFS((C3293&gt;='Resultats - informe'!$D$26)*(C3293&lt;='Resultats - informe'!$E$26),0,(C3293&gt;='Resultats - informe'!$D$27)*(C3293&lt;='Resultats - informe'!$E$27),0,(C3293&gt;='Resultats - informe'!$D$28)*(C3293&lt;='Resultats - informe'!$E$28),0,(C3293&gt;='Resultats - informe'!$D$29)*(C3293&lt;='Resultats - informe'!$E$29),0,1,1)</f>
        <v>0</v>
      </c>
      <c r="N3293" s="366">
        <f>+VLOOKUP(D3293,'Resultats - informe'!$Y$18:$AG$42,'Introducció dades consum'!K3293+1,0)</f>
        <v>0</v>
      </c>
      <c r="O3293" s="370" cm="1">
        <f t="array" ref="O3293">+_xlfn.SWITCH(MONTH(C3293),1,1,2,1,3,1,4,2,5,2,6,3,7,3,8,3,9,3,10,2,11,2,12,1,2)</f>
        <v>1</v>
      </c>
      <c r="P3293" s="43"/>
    </row>
    <row r="3294" spans="1:16" ht="18" x14ac:dyDescent="0.35">
      <c r="A3294" s="43"/>
      <c r="C3294" s="393"/>
      <c r="E3294" s="394"/>
      <c r="F3294" s="394">
        <v>0</v>
      </c>
      <c r="G3294" s="394"/>
      <c r="H3294" s="8" t="s">
        <v>235</v>
      </c>
      <c r="I3294" s="368">
        <f t="shared" si="154"/>
        <v>0</v>
      </c>
      <c r="J3294" s="365">
        <f t="shared" si="153"/>
        <v>0</v>
      </c>
      <c r="K3294" s="369">
        <f t="shared" si="155"/>
        <v>6</v>
      </c>
      <c r="L3294" s="369">
        <f>+IF((C3294&gt;='Resultats - informe'!$E$16)*(C3294&lt;='Resultats - informe'!$G$16),1,0)</f>
        <v>1</v>
      </c>
      <c r="M3294" s="369" cm="1">
        <f t="array" ref="M3294">+_xlfn.IFS((C3294&gt;='Resultats - informe'!$D$26)*(C3294&lt;='Resultats - informe'!$E$26),0,(C3294&gt;='Resultats - informe'!$D$27)*(C3294&lt;='Resultats - informe'!$E$27),0,(C3294&gt;='Resultats - informe'!$D$28)*(C3294&lt;='Resultats - informe'!$E$28),0,(C3294&gt;='Resultats - informe'!$D$29)*(C3294&lt;='Resultats - informe'!$E$29),0,1,1)</f>
        <v>0</v>
      </c>
      <c r="N3294" s="366">
        <f>+VLOOKUP(D3294,'Resultats - informe'!$Y$18:$AG$42,'Introducció dades consum'!K3294+1,0)</f>
        <v>0</v>
      </c>
      <c r="O3294" s="370" cm="1">
        <f t="array" ref="O3294">+_xlfn.SWITCH(MONTH(C3294),1,1,2,1,3,1,4,2,5,2,6,3,7,3,8,3,9,3,10,2,11,2,12,1,2)</f>
        <v>1</v>
      </c>
      <c r="P3294" s="43"/>
    </row>
    <row r="3295" spans="1:16" ht="18" x14ac:dyDescent="0.35">
      <c r="A3295" s="43"/>
      <c r="C3295" s="393"/>
      <c r="E3295" s="394"/>
      <c r="F3295" s="394">
        <v>0</v>
      </c>
      <c r="G3295" s="394"/>
      <c r="H3295" s="8" t="s">
        <v>235</v>
      </c>
      <c r="I3295" s="368">
        <f t="shared" si="154"/>
        <v>0</v>
      </c>
      <c r="J3295" s="365">
        <f t="shared" si="153"/>
        <v>0</v>
      </c>
      <c r="K3295" s="369">
        <f t="shared" si="155"/>
        <v>6</v>
      </c>
      <c r="L3295" s="369">
        <f>+IF((C3295&gt;='Resultats - informe'!$E$16)*(C3295&lt;='Resultats - informe'!$G$16),1,0)</f>
        <v>1</v>
      </c>
      <c r="M3295" s="369" cm="1">
        <f t="array" ref="M3295">+_xlfn.IFS((C3295&gt;='Resultats - informe'!$D$26)*(C3295&lt;='Resultats - informe'!$E$26),0,(C3295&gt;='Resultats - informe'!$D$27)*(C3295&lt;='Resultats - informe'!$E$27),0,(C3295&gt;='Resultats - informe'!$D$28)*(C3295&lt;='Resultats - informe'!$E$28),0,(C3295&gt;='Resultats - informe'!$D$29)*(C3295&lt;='Resultats - informe'!$E$29),0,1,1)</f>
        <v>0</v>
      </c>
      <c r="N3295" s="366">
        <f>+VLOOKUP(D3295,'Resultats - informe'!$Y$18:$AG$42,'Introducció dades consum'!K3295+1,0)</f>
        <v>0</v>
      </c>
      <c r="O3295" s="370" cm="1">
        <f t="array" ref="O3295">+_xlfn.SWITCH(MONTH(C3295),1,1,2,1,3,1,4,2,5,2,6,3,7,3,8,3,9,3,10,2,11,2,12,1,2)</f>
        <v>1</v>
      </c>
      <c r="P3295" s="43"/>
    </row>
    <row r="3296" spans="1:16" ht="18" x14ac:dyDescent="0.35">
      <c r="A3296" s="43"/>
      <c r="C3296" s="393"/>
      <c r="E3296" s="394"/>
      <c r="F3296" s="394">
        <v>0</v>
      </c>
      <c r="G3296" s="394"/>
      <c r="H3296" s="8" t="s">
        <v>235</v>
      </c>
      <c r="I3296" s="368">
        <f t="shared" si="154"/>
        <v>0</v>
      </c>
      <c r="J3296" s="365">
        <f t="shared" si="153"/>
        <v>0</v>
      </c>
      <c r="K3296" s="369">
        <f t="shared" si="155"/>
        <v>6</v>
      </c>
      <c r="L3296" s="369">
        <f>+IF((C3296&gt;='Resultats - informe'!$E$16)*(C3296&lt;='Resultats - informe'!$G$16),1,0)</f>
        <v>1</v>
      </c>
      <c r="M3296" s="369" cm="1">
        <f t="array" ref="M3296">+_xlfn.IFS((C3296&gt;='Resultats - informe'!$D$26)*(C3296&lt;='Resultats - informe'!$E$26),0,(C3296&gt;='Resultats - informe'!$D$27)*(C3296&lt;='Resultats - informe'!$E$27),0,(C3296&gt;='Resultats - informe'!$D$28)*(C3296&lt;='Resultats - informe'!$E$28),0,(C3296&gt;='Resultats - informe'!$D$29)*(C3296&lt;='Resultats - informe'!$E$29),0,1,1)</f>
        <v>0</v>
      </c>
      <c r="N3296" s="366">
        <f>+VLOOKUP(D3296,'Resultats - informe'!$Y$18:$AG$42,'Introducció dades consum'!K3296+1,0)</f>
        <v>0</v>
      </c>
      <c r="O3296" s="370" cm="1">
        <f t="array" ref="O3296">+_xlfn.SWITCH(MONTH(C3296),1,1,2,1,3,1,4,2,5,2,6,3,7,3,8,3,9,3,10,2,11,2,12,1,2)</f>
        <v>1</v>
      </c>
      <c r="P3296" s="43"/>
    </row>
    <row r="3297" spans="1:16" ht="18" x14ac:dyDescent="0.35">
      <c r="A3297" s="43"/>
      <c r="C3297" s="393"/>
      <c r="E3297" s="394"/>
      <c r="F3297" s="394">
        <v>0.29199999999999998</v>
      </c>
      <c r="G3297" s="394"/>
      <c r="H3297" s="8" t="s">
        <v>235</v>
      </c>
      <c r="I3297" s="368">
        <f t="shared" si="154"/>
        <v>0</v>
      </c>
      <c r="J3297" s="365">
        <f t="shared" si="153"/>
        <v>0</v>
      </c>
      <c r="K3297" s="369">
        <f t="shared" si="155"/>
        <v>6</v>
      </c>
      <c r="L3297" s="369">
        <f>+IF((C3297&gt;='Resultats - informe'!$E$16)*(C3297&lt;='Resultats - informe'!$G$16),1,0)</f>
        <v>1</v>
      </c>
      <c r="M3297" s="369" cm="1">
        <f t="array" ref="M3297">+_xlfn.IFS((C3297&gt;='Resultats - informe'!$D$26)*(C3297&lt;='Resultats - informe'!$E$26),0,(C3297&gt;='Resultats - informe'!$D$27)*(C3297&lt;='Resultats - informe'!$E$27),0,(C3297&gt;='Resultats - informe'!$D$28)*(C3297&lt;='Resultats - informe'!$E$28),0,(C3297&gt;='Resultats - informe'!$D$29)*(C3297&lt;='Resultats - informe'!$E$29),0,1,1)</f>
        <v>0</v>
      </c>
      <c r="N3297" s="366">
        <f>+VLOOKUP(D3297,'Resultats - informe'!$Y$18:$AG$42,'Introducció dades consum'!K3297+1,0)</f>
        <v>0</v>
      </c>
      <c r="O3297" s="370" cm="1">
        <f t="array" ref="O3297">+_xlfn.SWITCH(MONTH(C3297),1,1,2,1,3,1,4,2,5,2,6,3,7,3,8,3,9,3,10,2,11,2,12,1,2)</f>
        <v>1</v>
      </c>
      <c r="P3297" s="43"/>
    </row>
    <row r="3298" spans="1:16" ht="18" x14ac:dyDescent="0.35">
      <c r="A3298" s="43"/>
      <c r="C3298" s="393"/>
      <c r="E3298" s="394"/>
      <c r="F3298" s="394">
        <v>0</v>
      </c>
      <c r="G3298" s="394"/>
      <c r="H3298" s="8" t="s">
        <v>61</v>
      </c>
      <c r="I3298" s="368">
        <f t="shared" si="154"/>
        <v>0</v>
      </c>
      <c r="J3298" s="365">
        <f t="shared" si="153"/>
        <v>0</v>
      </c>
      <c r="K3298" s="369">
        <f t="shared" si="155"/>
        <v>6</v>
      </c>
      <c r="L3298" s="369">
        <f>+IF((C3298&gt;='Resultats - informe'!$E$16)*(C3298&lt;='Resultats - informe'!$G$16),1,0)</f>
        <v>1</v>
      </c>
      <c r="M3298" s="369" cm="1">
        <f t="array" ref="M3298">+_xlfn.IFS((C3298&gt;='Resultats - informe'!$D$26)*(C3298&lt;='Resultats - informe'!$E$26),0,(C3298&gt;='Resultats - informe'!$D$27)*(C3298&lt;='Resultats - informe'!$E$27),0,(C3298&gt;='Resultats - informe'!$D$28)*(C3298&lt;='Resultats - informe'!$E$28),0,(C3298&gt;='Resultats - informe'!$D$29)*(C3298&lt;='Resultats - informe'!$E$29),0,1,1)</f>
        <v>0</v>
      </c>
      <c r="N3298" s="366">
        <f>+VLOOKUP(D3298,'Resultats - informe'!$Y$18:$AG$42,'Introducció dades consum'!K3298+1,0)</f>
        <v>0</v>
      </c>
      <c r="O3298" s="370" cm="1">
        <f t="array" ref="O3298">+_xlfn.SWITCH(MONTH(C3298),1,1,2,1,3,1,4,2,5,2,6,3,7,3,8,3,9,3,10,2,11,2,12,1,2)</f>
        <v>1</v>
      </c>
      <c r="P3298" s="43"/>
    </row>
    <row r="3299" spans="1:16" ht="18" x14ac:dyDescent="0.35">
      <c r="A3299" s="43"/>
      <c r="C3299" s="393"/>
      <c r="E3299" s="394"/>
      <c r="F3299" s="394">
        <v>0</v>
      </c>
      <c r="G3299" s="394"/>
      <c r="H3299" s="8" t="s">
        <v>61</v>
      </c>
      <c r="I3299" s="368">
        <f t="shared" si="154"/>
        <v>0</v>
      </c>
      <c r="J3299" s="365">
        <f t="shared" si="153"/>
        <v>0</v>
      </c>
      <c r="K3299" s="369">
        <f t="shared" si="155"/>
        <v>6</v>
      </c>
      <c r="L3299" s="369">
        <f>+IF((C3299&gt;='Resultats - informe'!$E$16)*(C3299&lt;='Resultats - informe'!$G$16),1,0)</f>
        <v>1</v>
      </c>
      <c r="M3299" s="369" cm="1">
        <f t="array" ref="M3299">+_xlfn.IFS((C3299&gt;='Resultats - informe'!$D$26)*(C3299&lt;='Resultats - informe'!$E$26),0,(C3299&gt;='Resultats - informe'!$D$27)*(C3299&lt;='Resultats - informe'!$E$27),0,(C3299&gt;='Resultats - informe'!$D$28)*(C3299&lt;='Resultats - informe'!$E$28),0,(C3299&gt;='Resultats - informe'!$D$29)*(C3299&lt;='Resultats - informe'!$E$29),0,1,1)</f>
        <v>0</v>
      </c>
      <c r="N3299" s="366">
        <f>+VLOOKUP(D3299,'Resultats - informe'!$Y$18:$AG$42,'Introducció dades consum'!K3299+1,0)</f>
        <v>0</v>
      </c>
      <c r="O3299" s="370" cm="1">
        <f t="array" ref="O3299">+_xlfn.SWITCH(MONTH(C3299),1,1,2,1,3,1,4,2,5,2,6,3,7,3,8,3,9,3,10,2,11,2,12,1,2)</f>
        <v>1</v>
      </c>
      <c r="P3299" s="43"/>
    </row>
    <row r="3300" spans="1:16" ht="18" x14ac:dyDescent="0.35">
      <c r="A3300" s="43"/>
      <c r="C3300" s="393"/>
      <c r="E3300" s="394"/>
      <c r="F3300" s="394">
        <v>0.752</v>
      </c>
      <c r="G3300" s="394"/>
      <c r="H3300" s="8" t="s">
        <v>61</v>
      </c>
      <c r="I3300" s="368">
        <f t="shared" si="154"/>
        <v>0</v>
      </c>
      <c r="J3300" s="365">
        <f t="shared" si="153"/>
        <v>0</v>
      </c>
      <c r="K3300" s="369">
        <f t="shared" si="155"/>
        <v>6</v>
      </c>
      <c r="L3300" s="369">
        <f>+IF((C3300&gt;='Resultats - informe'!$E$16)*(C3300&lt;='Resultats - informe'!$G$16),1,0)</f>
        <v>1</v>
      </c>
      <c r="M3300" s="369" cm="1">
        <f t="array" ref="M3300">+_xlfn.IFS((C3300&gt;='Resultats - informe'!$D$26)*(C3300&lt;='Resultats - informe'!$E$26),0,(C3300&gt;='Resultats - informe'!$D$27)*(C3300&lt;='Resultats - informe'!$E$27),0,(C3300&gt;='Resultats - informe'!$D$28)*(C3300&lt;='Resultats - informe'!$E$28),0,(C3300&gt;='Resultats - informe'!$D$29)*(C3300&lt;='Resultats - informe'!$E$29),0,1,1)</f>
        <v>0</v>
      </c>
      <c r="N3300" s="366">
        <f>+VLOOKUP(D3300,'Resultats - informe'!$Y$18:$AG$42,'Introducció dades consum'!K3300+1,0)</f>
        <v>0</v>
      </c>
      <c r="O3300" s="370" cm="1">
        <f t="array" ref="O3300">+_xlfn.SWITCH(MONTH(C3300),1,1,2,1,3,1,4,2,5,2,6,3,7,3,8,3,9,3,10,2,11,2,12,1,2)</f>
        <v>1</v>
      </c>
      <c r="P3300" s="43"/>
    </row>
    <row r="3301" spans="1:16" ht="18" x14ac:dyDescent="0.35">
      <c r="A3301" s="43"/>
      <c r="C3301" s="393"/>
      <c r="E3301" s="394"/>
      <c r="F3301" s="394">
        <v>2.5099999999999998</v>
      </c>
      <c r="G3301" s="394"/>
      <c r="H3301" s="8" t="s">
        <v>61</v>
      </c>
      <c r="I3301" s="368">
        <f t="shared" si="154"/>
        <v>0</v>
      </c>
      <c r="J3301" s="365">
        <f t="shared" si="153"/>
        <v>0</v>
      </c>
      <c r="K3301" s="369">
        <f t="shared" si="155"/>
        <v>6</v>
      </c>
      <c r="L3301" s="369">
        <f>+IF((C3301&gt;='Resultats - informe'!$E$16)*(C3301&lt;='Resultats - informe'!$G$16),1,0)</f>
        <v>1</v>
      </c>
      <c r="M3301" s="369" cm="1">
        <f t="array" ref="M3301">+_xlfn.IFS((C3301&gt;='Resultats - informe'!$D$26)*(C3301&lt;='Resultats - informe'!$E$26),0,(C3301&gt;='Resultats - informe'!$D$27)*(C3301&lt;='Resultats - informe'!$E$27),0,(C3301&gt;='Resultats - informe'!$D$28)*(C3301&lt;='Resultats - informe'!$E$28),0,(C3301&gt;='Resultats - informe'!$D$29)*(C3301&lt;='Resultats - informe'!$E$29),0,1,1)</f>
        <v>0</v>
      </c>
      <c r="N3301" s="366">
        <f>+VLOOKUP(D3301,'Resultats - informe'!$Y$18:$AG$42,'Introducció dades consum'!K3301+1,0)</f>
        <v>0</v>
      </c>
      <c r="O3301" s="370" cm="1">
        <f t="array" ref="O3301">+_xlfn.SWITCH(MONTH(C3301),1,1,2,1,3,1,4,2,5,2,6,3,7,3,8,3,9,3,10,2,11,2,12,1,2)</f>
        <v>1</v>
      </c>
      <c r="P3301" s="43"/>
    </row>
    <row r="3302" spans="1:16" ht="18" x14ac:dyDescent="0.35">
      <c r="A3302" s="43"/>
      <c r="C3302" s="393"/>
      <c r="E3302" s="394"/>
      <c r="F3302" s="394">
        <v>4.7069999999999999</v>
      </c>
      <c r="G3302" s="394"/>
      <c r="H3302" s="8" t="s">
        <v>61</v>
      </c>
      <c r="I3302" s="368">
        <f t="shared" si="154"/>
        <v>0</v>
      </c>
      <c r="J3302" s="365">
        <f t="shared" si="153"/>
        <v>0</v>
      </c>
      <c r="K3302" s="369">
        <f t="shared" si="155"/>
        <v>6</v>
      </c>
      <c r="L3302" s="369">
        <f>+IF((C3302&gt;='Resultats - informe'!$E$16)*(C3302&lt;='Resultats - informe'!$G$16),1,0)</f>
        <v>1</v>
      </c>
      <c r="M3302" s="369" cm="1">
        <f t="array" ref="M3302">+_xlfn.IFS((C3302&gt;='Resultats - informe'!$D$26)*(C3302&lt;='Resultats - informe'!$E$26),0,(C3302&gt;='Resultats - informe'!$D$27)*(C3302&lt;='Resultats - informe'!$E$27),0,(C3302&gt;='Resultats - informe'!$D$28)*(C3302&lt;='Resultats - informe'!$E$28),0,(C3302&gt;='Resultats - informe'!$D$29)*(C3302&lt;='Resultats - informe'!$E$29),0,1,1)</f>
        <v>0</v>
      </c>
      <c r="N3302" s="366">
        <f>+VLOOKUP(D3302,'Resultats - informe'!$Y$18:$AG$42,'Introducció dades consum'!K3302+1,0)</f>
        <v>0</v>
      </c>
      <c r="O3302" s="370" cm="1">
        <f t="array" ref="O3302">+_xlfn.SWITCH(MONTH(C3302),1,1,2,1,3,1,4,2,5,2,6,3,7,3,8,3,9,3,10,2,11,2,12,1,2)</f>
        <v>1</v>
      </c>
      <c r="P3302" s="43"/>
    </row>
    <row r="3303" spans="1:16" ht="18" x14ac:dyDescent="0.35">
      <c r="A3303" s="43"/>
      <c r="C3303" s="393"/>
      <c r="E3303" s="394"/>
      <c r="F3303" s="394">
        <v>3.996</v>
      </c>
      <c r="G3303" s="394"/>
      <c r="H3303" s="8" t="s">
        <v>235</v>
      </c>
      <c r="I3303" s="368">
        <f t="shared" si="154"/>
        <v>0</v>
      </c>
      <c r="J3303" s="365">
        <f t="shared" si="153"/>
        <v>0</v>
      </c>
      <c r="K3303" s="369">
        <f t="shared" si="155"/>
        <v>6</v>
      </c>
      <c r="L3303" s="369">
        <f>+IF((C3303&gt;='Resultats - informe'!$E$16)*(C3303&lt;='Resultats - informe'!$G$16),1,0)</f>
        <v>1</v>
      </c>
      <c r="M3303" s="369" cm="1">
        <f t="array" ref="M3303">+_xlfn.IFS((C3303&gt;='Resultats - informe'!$D$26)*(C3303&lt;='Resultats - informe'!$E$26),0,(C3303&gt;='Resultats - informe'!$D$27)*(C3303&lt;='Resultats - informe'!$E$27),0,(C3303&gt;='Resultats - informe'!$D$28)*(C3303&lt;='Resultats - informe'!$E$28),0,(C3303&gt;='Resultats - informe'!$D$29)*(C3303&lt;='Resultats - informe'!$E$29),0,1,1)</f>
        <v>0</v>
      </c>
      <c r="N3303" s="366">
        <f>+VLOOKUP(D3303,'Resultats - informe'!$Y$18:$AG$42,'Introducció dades consum'!K3303+1,0)</f>
        <v>0</v>
      </c>
      <c r="O3303" s="370" cm="1">
        <f t="array" ref="O3303">+_xlfn.SWITCH(MONTH(C3303),1,1,2,1,3,1,4,2,5,2,6,3,7,3,8,3,9,3,10,2,11,2,12,1,2)</f>
        <v>1</v>
      </c>
      <c r="P3303" s="43"/>
    </row>
    <row r="3304" spans="1:16" ht="18" x14ac:dyDescent="0.35">
      <c r="A3304" s="43"/>
      <c r="C3304" s="393"/>
      <c r="E3304" s="394"/>
      <c r="F3304" s="394">
        <v>3.8959999999999999</v>
      </c>
      <c r="G3304" s="394"/>
      <c r="H3304" s="8" t="s">
        <v>235</v>
      </c>
      <c r="I3304" s="368">
        <f t="shared" si="154"/>
        <v>0</v>
      </c>
      <c r="J3304" s="365">
        <f t="shared" si="153"/>
        <v>0</v>
      </c>
      <c r="K3304" s="369">
        <f t="shared" si="155"/>
        <v>6</v>
      </c>
      <c r="L3304" s="369">
        <f>+IF((C3304&gt;='Resultats - informe'!$E$16)*(C3304&lt;='Resultats - informe'!$G$16),1,0)</f>
        <v>1</v>
      </c>
      <c r="M3304" s="369" cm="1">
        <f t="array" ref="M3304">+_xlfn.IFS((C3304&gt;='Resultats - informe'!$D$26)*(C3304&lt;='Resultats - informe'!$E$26),0,(C3304&gt;='Resultats - informe'!$D$27)*(C3304&lt;='Resultats - informe'!$E$27),0,(C3304&gt;='Resultats - informe'!$D$28)*(C3304&lt;='Resultats - informe'!$E$28),0,(C3304&gt;='Resultats - informe'!$D$29)*(C3304&lt;='Resultats - informe'!$E$29),0,1,1)</f>
        <v>0</v>
      </c>
      <c r="N3304" s="366">
        <f>+VLOOKUP(D3304,'Resultats - informe'!$Y$18:$AG$42,'Introducció dades consum'!K3304+1,0)</f>
        <v>0</v>
      </c>
      <c r="O3304" s="370" cm="1">
        <f t="array" ref="O3304">+_xlfn.SWITCH(MONTH(C3304),1,1,2,1,3,1,4,2,5,2,6,3,7,3,8,3,9,3,10,2,11,2,12,1,2)</f>
        <v>1</v>
      </c>
      <c r="P3304" s="43"/>
    </row>
    <row r="3305" spans="1:16" ht="18" x14ac:dyDescent="0.35">
      <c r="A3305" s="43"/>
      <c r="C3305" s="393"/>
      <c r="E3305" s="394"/>
      <c r="F3305" s="394">
        <v>6.9429999999999996</v>
      </c>
      <c r="G3305" s="394"/>
      <c r="H3305" s="8" t="s">
        <v>61</v>
      </c>
      <c r="I3305" s="368">
        <f t="shared" si="154"/>
        <v>0</v>
      </c>
      <c r="J3305" s="365">
        <f t="shared" si="153"/>
        <v>0</v>
      </c>
      <c r="K3305" s="369">
        <f t="shared" si="155"/>
        <v>6</v>
      </c>
      <c r="L3305" s="369">
        <f>+IF((C3305&gt;='Resultats - informe'!$E$16)*(C3305&lt;='Resultats - informe'!$G$16),1,0)</f>
        <v>1</v>
      </c>
      <c r="M3305" s="369" cm="1">
        <f t="array" ref="M3305">+_xlfn.IFS((C3305&gt;='Resultats - informe'!$D$26)*(C3305&lt;='Resultats - informe'!$E$26),0,(C3305&gt;='Resultats - informe'!$D$27)*(C3305&lt;='Resultats - informe'!$E$27),0,(C3305&gt;='Resultats - informe'!$D$28)*(C3305&lt;='Resultats - informe'!$E$28),0,(C3305&gt;='Resultats - informe'!$D$29)*(C3305&lt;='Resultats - informe'!$E$29),0,1,1)</f>
        <v>0</v>
      </c>
      <c r="N3305" s="366">
        <f>+VLOOKUP(D3305,'Resultats - informe'!$Y$18:$AG$42,'Introducció dades consum'!K3305+1,0)</f>
        <v>0</v>
      </c>
      <c r="O3305" s="370" cm="1">
        <f t="array" ref="O3305">+_xlfn.SWITCH(MONTH(C3305),1,1,2,1,3,1,4,2,5,2,6,3,7,3,8,3,9,3,10,2,11,2,12,1,2)</f>
        <v>1</v>
      </c>
      <c r="P3305" s="43"/>
    </row>
    <row r="3306" spans="1:16" ht="18" x14ac:dyDescent="0.35">
      <c r="A3306" s="43"/>
      <c r="C3306" s="393"/>
      <c r="E3306" s="394"/>
      <c r="F3306" s="394">
        <v>5.8810000000000002</v>
      </c>
      <c r="G3306" s="394"/>
      <c r="H3306" s="8" t="s">
        <v>61</v>
      </c>
      <c r="I3306" s="368">
        <f t="shared" si="154"/>
        <v>0</v>
      </c>
      <c r="J3306" s="365">
        <f t="shared" si="153"/>
        <v>0</v>
      </c>
      <c r="K3306" s="369">
        <f t="shared" si="155"/>
        <v>6</v>
      </c>
      <c r="L3306" s="369">
        <f>+IF((C3306&gt;='Resultats - informe'!$E$16)*(C3306&lt;='Resultats - informe'!$G$16),1,0)</f>
        <v>1</v>
      </c>
      <c r="M3306" s="369" cm="1">
        <f t="array" ref="M3306">+_xlfn.IFS((C3306&gt;='Resultats - informe'!$D$26)*(C3306&lt;='Resultats - informe'!$E$26),0,(C3306&gt;='Resultats - informe'!$D$27)*(C3306&lt;='Resultats - informe'!$E$27),0,(C3306&gt;='Resultats - informe'!$D$28)*(C3306&lt;='Resultats - informe'!$E$28),0,(C3306&gt;='Resultats - informe'!$D$29)*(C3306&lt;='Resultats - informe'!$E$29),0,1,1)</f>
        <v>0</v>
      </c>
      <c r="N3306" s="366">
        <f>+VLOOKUP(D3306,'Resultats - informe'!$Y$18:$AG$42,'Introducció dades consum'!K3306+1,0)</f>
        <v>0</v>
      </c>
      <c r="O3306" s="370" cm="1">
        <f t="array" ref="O3306">+_xlfn.SWITCH(MONTH(C3306),1,1,2,1,3,1,4,2,5,2,6,3,7,3,8,3,9,3,10,2,11,2,12,1,2)</f>
        <v>1</v>
      </c>
      <c r="P3306" s="43"/>
    </row>
    <row r="3307" spans="1:16" ht="18" x14ac:dyDescent="0.35">
      <c r="A3307" s="43"/>
      <c r="C3307" s="393"/>
      <c r="E3307" s="394"/>
      <c r="F3307" s="394">
        <v>1.9139999999999999</v>
      </c>
      <c r="G3307" s="394"/>
      <c r="H3307" s="8" t="s">
        <v>235</v>
      </c>
      <c r="I3307" s="368">
        <f t="shared" si="154"/>
        <v>0</v>
      </c>
      <c r="J3307" s="365">
        <f t="shared" si="153"/>
        <v>0</v>
      </c>
      <c r="K3307" s="369">
        <f t="shared" si="155"/>
        <v>6</v>
      </c>
      <c r="L3307" s="369">
        <f>+IF((C3307&gt;='Resultats - informe'!$E$16)*(C3307&lt;='Resultats - informe'!$G$16),1,0)</f>
        <v>1</v>
      </c>
      <c r="M3307" s="369" cm="1">
        <f t="array" ref="M3307">+_xlfn.IFS((C3307&gt;='Resultats - informe'!$D$26)*(C3307&lt;='Resultats - informe'!$E$26),0,(C3307&gt;='Resultats - informe'!$D$27)*(C3307&lt;='Resultats - informe'!$E$27),0,(C3307&gt;='Resultats - informe'!$D$28)*(C3307&lt;='Resultats - informe'!$E$28),0,(C3307&gt;='Resultats - informe'!$D$29)*(C3307&lt;='Resultats - informe'!$E$29),0,1,1)</f>
        <v>0</v>
      </c>
      <c r="N3307" s="366">
        <f>+VLOOKUP(D3307,'Resultats - informe'!$Y$18:$AG$42,'Introducció dades consum'!K3307+1,0)</f>
        <v>0</v>
      </c>
      <c r="O3307" s="370" cm="1">
        <f t="array" ref="O3307">+_xlfn.SWITCH(MONTH(C3307),1,1,2,1,3,1,4,2,5,2,6,3,7,3,8,3,9,3,10,2,11,2,12,1,2)</f>
        <v>1</v>
      </c>
      <c r="P3307" s="43"/>
    </row>
    <row r="3308" spans="1:16" ht="18" x14ac:dyDescent="0.35">
      <c r="A3308" s="43"/>
      <c r="C3308" s="393"/>
      <c r="E3308" s="394"/>
      <c r="F3308" s="394">
        <v>1.0740000000000001</v>
      </c>
      <c r="G3308" s="394"/>
      <c r="H3308" s="8" t="s">
        <v>235</v>
      </c>
      <c r="I3308" s="368">
        <f t="shared" si="154"/>
        <v>0</v>
      </c>
      <c r="J3308" s="365">
        <f t="shared" si="153"/>
        <v>0</v>
      </c>
      <c r="K3308" s="369">
        <f t="shared" si="155"/>
        <v>6</v>
      </c>
      <c r="L3308" s="369">
        <f>+IF((C3308&gt;='Resultats - informe'!$E$16)*(C3308&lt;='Resultats - informe'!$G$16),1,0)</f>
        <v>1</v>
      </c>
      <c r="M3308" s="369" cm="1">
        <f t="array" ref="M3308">+_xlfn.IFS((C3308&gt;='Resultats - informe'!$D$26)*(C3308&lt;='Resultats - informe'!$E$26),0,(C3308&gt;='Resultats - informe'!$D$27)*(C3308&lt;='Resultats - informe'!$E$27),0,(C3308&gt;='Resultats - informe'!$D$28)*(C3308&lt;='Resultats - informe'!$E$28),0,(C3308&gt;='Resultats - informe'!$D$29)*(C3308&lt;='Resultats - informe'!$E$29),0,1,1)</f>
        <v>0</v>
      </c>
      <c r="N3308" s="366">
        <f>+VLOOKUP(D3308,'Resultats - informe'!$Y$18:$AG$42,'Introducció dades consum'!K3308+1,0)</f>
        <v>0</v>
      </c>
      <c r="O3308" s="370" cm="1">
        <f t="array" ref="O3308">+_xlfn.SWITCH(MONTH(C3308),1,1,2,1,3,1,4,2,5,2,6,3,7,3,8,3,9,3,10,2,11,2,12,1,2)</f>
        <v>1</v>
      </c>
      <c r="P3308" s="43"/>
    </row>
    <row r="3309" spans="1:16" ht="18" x14ac:dyDescent="0.35">
      <c r="A3309" s="43"/>
      <c r="C3309" s="393"/>
      <c r="E3309" s="394"/>
      <c r="F3309" s="394">
        <v>2.157</v>
      </c>
      <c r="G3309" s="394"/>
      <c r="H3309" s="8" t="s">
        <v>61</v>
      </c>
      <c r="I3309" s="368">
        <f t="shared" si="154"/>
        <v>0</v>
      </c>
      <c r="J3309" s="365">
        <f t="shared" si="153"/>
        <v>0</v>
      </c>
      <c r="K3309" s="369">
        <f t="shared" si="155"/>
        <v>6</v>
      </c>
      <c r="L3309" s="369">
        <f>+IF((C3309&gt;='Resultats - informe'!$E$16)*(C3309&lt;='Resultats - informe'!$G$16),1,0)</f>
        <v>1</v>
      </c>
      <c r="M3309" s="369" cm="1">
        <f t="array" ref="M3309">+_xlfn.IFS((C3309&gt;='Resultats - informe'!$D$26)*(C3309&lt;='Resultats - informe'!$E$26),0,(C3309&gt;='Resultats - informe'!$D$27)*(C3309&lt;='Resultats - informe'!$E$27),0,(C3309&gt;='Resultats - informe'!$D$28)*(C3309&lt;='Resultats - informe'!$E$28),0,(C3309&gt;='Resultats - informe'!$D$29)*(C3309&lt;='Resultats - informe'!$E$29),0,1,1)</f>
        <v>0</v>
      </c>
      <c r="N3309" s="366">
        <f>+VLOOKUP(D3309,'Resultats - informe'!$Y$18:$AG$42,'Introducció dades consum'!K3309+1,0)</f>
        <v>0</v>
      </c>
      <c r="O3309" s="370" cm="1">
        <f t="array" ref="O3309">+_xlfn.SWITCH(MONTH(C3309),1,1,2,1,3,1,4,2,5,2,6,3,7,3,8,3,9,3,10,2,11,2,12,1,2)</f>
        <v>1</v>
      </c>
      <c r="P3309" s="43"/>
    </row>
    <row r="3310" spans="1:16" ht="18" x14ac:dyDescent="0.35">
      <c r="A3310" s="43"/>
      <c r="C3310" s="393"/>
      <c r="E3310" s="394"/>
      <c r="F3310" s="394">
        <v>2.7040000000000002</v>
      </c>
      <c r="G3310" s="394"/>
      <c r="H3310" s="8" t="s">
        <v>61</v>
      </c>
      <c r="I3310" s="368">
        <f t="shared" si="154"/>
        <v>0</v>
      </c>
      <c r="J3310" s="365">
        <f t="shared" si="153"/>
        <v>0</v>
      </c>
      <c r="K3310" s="369">
        <f t="shared" si="155"/>
        <v>6</v>
      </c>
      <c r="L3310" s="369">
        <f>+IF((C3310&gt;='Resultats - informe'!$E$16)*(C3310&lt;='Resultats - informe'!$G$16),1,0)</f>
        <v>1</v>
      </c>
      <c r="M3310" s="369" cm="1">
        <f t="array" ref="M3310">+_xlfn.IFS((C3310&gt;='Resultats - informe'!$D$26)*(C3310&lt;='Resultats - informe'!$E$26),0,(C3310&gt;='Resultats - informe'!$D$27)*(C3310&lt;='Resultats - informe'!$E$27),0,(C3310&gt;='Resultats - informe'!$D$28)*(C3310&lt;='Resultats - informe'!$E$28),0,(C3310&gt;='Resultats - informe'!$D$29)*(C3310&lt;='Resultats - informe'!$E$29),0,1,1)</f>
        <v>0</v>
      </c>
      <c r="N3310" s="366">
        <f>+VLOOKUP(D3310,'Resultats - informe'!$Y$18:$AG$42,'Introducció dades consum'!K3310+1,0)</f>
        <v>0</v>
      </c>
      <c r="O3310" s="370" cm="1">
        <f t="array" ref="O3310">+_xlfn.SWITCH(MONTH(C3310),1,1,2,1,3,1,4,2,5,2,6,3,7,3,8,3,9,3,10,2,11,2,12,1,2)</f>
        <v>1</v>
      </c>
      <c r="P3310" s="43"/>
    </row>
    <row r="3311" spans="1:16" ht="18" x14ac:dyDescent="0.35">
      <c r="A3311" s="43"/>
      <c r="C3311" s="393"/>
      <c r="E3311" s="394"/>
      <c r="F3311" s="394">
        <v>0</v>
      </c>
      <c r="G3311" s="394"/>
      <c r="H3311" s="8" t="s">
        <v>235</v>
      </c>
      <c r="I3311" s="368">
        <f t="shared" si="154"/>
        <v>0</v>
      </c>
      <c r="J3311" s="365">
        <f t="shared" si="153"/>
        <v>0</v>
      </c>
      <c r="K3311" s="369">
        <f t="shared" si="155"/>
        <v>6</v>
      </c>
      <c r="L3311" s="369">
        <f>+IF((C3311&gt;='Resultats - informe'!$E$16)*(C3311&lt;='Resultats - informe'!$G$16),1,0)</f>
        <v>1</v>
      </c>
      <c r="M3311" s="369" cm="1">
        <f t="array" ref="M3311">+_xlfn.IFS((C3311&gt;='Resultats - informe'!$D$26)*(C3311&lt;='Resultats - informe'!$E$26),0,(C3311&gt;='Resultats - informe'!$D$27)*(C3311&lt;='Resultats - informe'!$E$27),0,(C3311&gt;='Resultats - informe'!$D$28)*(C3311&lt;='Resultats - informe'!$E$28),0,(C3311&gt;='Resultats - informe'!$D$29)*(C3311&lt;='Resultats - informe'!$E$29),0,1,1)</f>
        <v>0</v>
      </c>
      <c r="N3311" s="366">
        <f>+VLOOKUP(D3311,'Resultats - informe'!$Y$18:$AG$42,'Introducció dades consum'!K3311+1,0)</f>
        <v>0</v>
      </c>
      <c r="O3311" s="370" cm="1">
        <f t="array" ref="O3311">+_xlfn.SWITCH(MONTH(C3311),1,1,2,1,3,1,4,2,5,2,6,3,7,3,8,3,9,3,10,2,11,2,12,1,2)</f>
        <v>1</v>
      </c>
      <c r="P3311" s="43"/>
    </row>
    <row r="3312" spans="1:16" ht="18" x14ac:dyDescent="0.35">
      <c r="A3312" s="43"/>
      <c r="C3312" s="393"/>
      <c r="E3312" s="394"/>
      <c r="F3312" s="394">
        <v>0</v>
      </c>
      <c r="G3312" s="394"/>
      <c r="H3312" s="8" t="s">
        <v>235</v>
      </c>
      <c r="I3312" s="368">
        <f t="shared" si="154"/>
        <v>0</v>
      </c>
      <c r="J3312" s="365">
        <f t="shared" si="153"/>
        <v>0</v>
      </c>
      <c r="K3312" s="369">
        <f t="shared" si="155"/>
        <v>6</v>
      </c>
      <c r="L3312" s="369">
        <f>+IF((C3312&gt;='Resultats - informe'!$E$16)*(C3312&lt;='Resultats - informe'!$G$16),1,0)</f>
        <v>1</v>
      </c>
      <c r="M3312" s="369" cm="1">
        <f t="array" ref="M3312">+_xlfn.IFS((C3312&gt;='Resultats - informe'!$D$26)*(C3312&lt;='Resultats - informe'!$E$26),0,(C3312&gt;='Resultats - informe'!$D$27)*(C3312&lt;='Resultats - informe'!$E$27),0,(C3312&gt;='Resultats - informe'!$D$28)*(C3312&lt;='Resultats - informe'!$E$28),0,(C3312&gt;='Resultats - informe'!$D$29)*(C3312&lt;='Resultats - informe'!$E$29),0,1,1)</f>
        <v>0</v>
      </c>
      <c r="N3312" s="366">
        <f>+VLOOKUP(D3312,'Resultats - informe'!$Y$18:$AG$42,'Introducció dades consum'!K3312+1,0)</f>
        <v>0</v>
      </c>
      <c r="O3312" s="370" cm="1">
        <f t="array" ref="O3312">+_xlfn.SWITCH(MONTH(C3312),1,1,2,1,3,1,4,2,5,2,6,3,7,3,8,3,9,3,10,2,11,2,12,1,2)</f>
        <v>1</v>
      </c>
      <c r="P3312" s="43"/>
    </row>
    <row r="3313" spans="1:16" ht="18" x14ac:dyDescent="0.35">
      <c r="A3313" s="43"/>
      <c r="C3313" s="393"/>
      <c r="E3313" s="394"/>
      <c r="F3313" s="394">
        <v>0</v>
      </c>
      <c r="G3313" s="394"/>
      <c r="H3313" s="8" t="s">
        <v>235</v>
      </c>
      <c r="I3313" s="368">
        <f t="shared" si="154"/>
        <v>0</v>
      </c>
      <c r="J3313" s="365">
        <f t="shared" si="153"/>
        <v>0</v>
      </c>
      <c r="K3313" s="369">
        <f t="shared" si="155"/>
        <v>6</v>
      </c>
      <c r="L3313" s="369">
        <f>+IF((C3313&gt;='Resultats - informe'!$E$16)*(C3313&lt;='Resultats - informe'!$G$16),1,0)</f>
        <v>1</v>
      </c>
      <c r="M3313" s="369" cm="1">
        <f t="array" ref="M3313">+_xlfn.IFS((C3313&gt;='Resultats - informe'!$D$26)*(C3313&lt;='Resultats - informe'!$E$26),0,(C3313&gt;='Resultats - informe'!$D$27)*(C3313&lt;='Resultats - informe'!$E$27),0,(C3313&gt;='Resultats - informe'!$D$28)*(C3313&lt;='Resultats - informe'!$E$28),0,(C3313&gt;='Resultats - informe'!$D$29)*(C3313&lt;='Resultats - informe'!$E$29),0,1,1)</f>
        <v>0</v>
      </c>
      <c r="N3313" s="366">
        <f>+VLOOKUP(D3313,'Resultats - informe'!$Y$18:$AG$42,'Introducció dades consum'!K3313+1,0)</f>
        <v>0</v>
      </c>
      <c r="O3313" s="370" cm="1">
        <f t="array" ref="O3313">+_xlfn.SWITCH(MONTH(C3313),1,1,2,1,3,1,4,2,5,2,6,3,7,3,8,3,9,3,10,2,11,2,12,1,2)</f>
        <v>1</v>
      </c>
      <c r="P3313" s="43"/>
    </row>
    <row r="3314" spans="1:16" ht="18" x14ac:dyDescent="0.35">
      <c r="A3314" s="43"/>
      <c r="C3314" s="393"/>
      <c r="E3314" s="394"/>
      <c r="F3314" s="394">
        <v>0</v>
      </c>
      <c r="G3314" s="394"/>
      <c r="H3314" s="8" t="s">
        <v>61</v>
      </c>
      <c r="I3314" s="368">
        <f t="shared" si="154"/>
        <v>0</v>
      </c>
      <c r="J3314" s="365">
        <f t="shared" si="153"/>
        <v>0</v>
      </c>
      <c r="K3314" s="369">
        <f t="shared" si="155"/>
        <v>6</v>
      </c>
      <c r="L3314" s="369">
        <f>+IF((C3314&gt;='Resultats - informe'!$E$16)*(C3314&lt;='Resultats - informe'!$G$16),1,0)</f>
        <v>1</v>
      </c>
      <c r="M3314" s="369" cm="1">
        <f t="array" ref="M3314">+_xlfn.IFS((C3314&gt;='Resultats - informe'!$D$26)*(C3314&lt;='Resultats - informe'!$E$26),0,(C3314&gt;='Resultats - informe'!$D$27)*(C3314&lt;='Resultats - informe'!$E$27),0,(C3314&gt;='Resultats - informe'!$D$28)*(C3314&lt;='Resultats - informe'!$E$28),0,(C3314&gt;='Resultats - informe'!$D$29)*(C3314&lt;='Resultats - informe'!$E$29),0,1,1)</f>
        <v>0</v>
      </c>
      <c r="N3314" s="366">
        <f>+VLOOKUP(D3314,'Resultats - informe'!$Y$18:$AG$42,'Introducció dades consum'!K3314+1,0)</f>
        <v>0</v>
      </c>
      <c r="O3314" s="370" cm="1">
        <f t="array" ref="O3314">+_xlfn.SWITCH(MONTH(C3314),1,1,2,1,3,1,4,2,5,2,6,3,7,3,8,3,9,3,10,2,11,2,12,1,2)</f>
        <v>1</v>
      </c>
      <c r="P3314" s="43"/>
    </row>
    <row r="3315" spans="1:16" ht="18" x14ac:dyDescent="0.35">
      <c r="A3315" s="43"/>
      <c r="C3315" s="393"/>
      <c r="E3315" s="394"/>
      <c r="F3315" s="394">
        <v>0</v>
      </c>
      <c r="G3315" s="394"/>
      <c r="H3315" s="8" t="s">
        <v>61</v>
      </c>
      <c r="I3315" s="368">
        <f t="shared" si="154"/>
        <v>0</v>
      </c>
      <c r="J3315" s="365">
        <f t="shared" si="153"/>
        <v>0</v>
      </c>
      <c r="K3315" s="369">
        <f t="shared" si="155"/>
        <v>6</v>
      </c>
      <c r="L3315" s="369">
        <f>+IF((C3315&gt;='Resultats - informe'!$E$16)*(C3315&lt;='Resultats - informe'!$G$16),1,0)</f>
        <v>1</v>
      </c>
      <c r="M3315" s="369" cm="1">
        <f t="array" ref="M3315">+_xlfn.IFS((C3315&gt;='Resultats - informe'!$D$26)*(C3315&lt;='Resultats - informe'!$E$26),0,(C3315&gt;='Resultats - informe'!$D$27)*(C3315&lt;='Resultats - informe'!$E$27),0,(C3315&gt;='Resultats - informe'!$D$28)*(C3315&lt;='Resultats - informe'!$E$28),0,(C3315&gt;='Resultats - informe'!$D$29)*(C3315&lt;='Resultats - informe'!$E$29),0,1,1)</f>
        <v>0</v>
      </c>
      <c r="N3315" s="366">
        <f>+VLOOKUP(D3315,'Resultats - informe'!$Y$18:$AG$42,'Introducció dades consum'!K3315+1,0)</f>
        <v>0</v>
      </c>
      <c r="O3315" s="370" cm="1">
        <f t="array" ref="O3315">+_xlfn.SWITCH(MONTH(C3315),1,1,2,1,3,1,4,2,5,2,6,3,7,3,8,3,9,3,10,2,11,2,12,1,2)</f>
        <v>1</v>
      </c>
      <c r="P3315" s="43"/>
    </row>
    <row r="3316" spans="1:16" ht="18" x14ac:dyDescent="0.35">
      <c r="A3316" s="43"/>
      <c r="C3316" s="393"/>
      <c r="E3316" s="394"/>
      <c r="F3316" s="394">
        <v>0</v>
      </c>
      <c r="G3316" s="394"/>
      <c r="H3316" s="8" t="s">
        <v>235</v>
      </c>
      <c r="I3316" s="368">
        <f t="shared" si="154"/>
        <v>0</v>
      </c>
      <c r="J3316" s="365">
        <f t="shared" si="153"/>
        <v>0</v>
      </c>
      <c r="K3316" s="369">
        <f t="shared" si="155"/>
        <v>6</v>
      </c>
      <c r="L3316" s="369">
        <f>+IF((C3316&gt;='Resultats - informe'!$E$16)*(C3316&lt;='Resultats - informe'!$G$16),1,0)</f>
        <v>1</v>
      </c>
      <c r="M3316" s="369" cm="1">
        <f t="array" ref="M3316">+_xlfn.IFS((C3316&gt;='Resultats - informe'!$D$26)*(C3316&lt;='Resultats - informe'!$E$26),0,(C3316&gt;='Resultats - informe'!$D$27)*(C3316&lt;='Resultats - informe'!$E$27),0,(C3316&gt;='Resultats - informe'!$D$28)*(C3316&lt;='Resultats - informe'!$E$28),0,(C3316&gt;='Resultats - informe'!$D$29)*(C3316&lt;='Resultats - informe'!$E$29),0,1,1)</f>
        <v>0</v>
      </c>
      <c r="N3316" s="366">
        <f>+VLOOKUP(D3316,'Resultats - informe'!$Y$18:$AG$42,'Introducció dades consum'!K3316+1,0)</f>
        <v>0</v>
      </c>
      <c r="O3316" s="370" cm="1">
        <f t="array" ref="O3316">+_xlfn.SWITCH(MONTH(C3316),1,1,2,1,3,1,4,2,5,2,6,3,7,3,8,3,9,3,10,2,11,2,12,1,2)</f>
        <v>1</v>
      </c>
      <c r="P3316" s="43"/>
    </row>
    <row r="3317" spans="1:16" ht="18" x14ac:dyDescent="0.35">
      <c r="A3317" s="43"/>
      <c r="C3317" s="393"/>
      <c r="E3317" s="394"/>
      <c r="F3317" s="394">
        <v>0</v>
      </c>
      <c r="G3317" s="394"/>
      <c r="H3317" s="8" t="s">
        <v>235</v>
      </c>
      <c r="I3317" s="368">
        <f t="shared" si="154"/>
        <v>0</v>
      </c>
      <c r="J3317" s="365">
        <f t="shared" si="153"/>
        <v>0</v>
      </c>
      <c r="K3317" s="369">
        <f t="shared" si="155"/>
        <v>6</v>
      </c>
      <c r="L3317" s="369">
        <f>+IF((C3317&gt;='Resultats - informe'!$E$16)*(C3317&lt;='Resultats - informe'!$G$16),1,0)</f>
        <v>1</v>
      </c>
      <c r="M3317" s="369" cm="1">
        <f t="array" ref="M3317">+_xlfn.IFS((C3317&gt;='Resultats - informe'!$D$26)*(C3317&lt;='Resultats - informe'!$E$26),0,(C3317&gt;='Resultats - informe'!$D$27)*(C3317&lt;='Resultats - informe'!$E$27),0,(C3317&gt;='Resultats - informe'!$D$28)*(C3317&lt;='Resultats - informe'!$E$28),0,(C3317&gt;='Resultats - informe'!$D$29)*(C3317&lt;='Resultats - informe'!$E$29),0,1,1)</f>
        <v>0</v>
      </c>
      <c r="N3317" s="366">
        <f>+VLOOKUP(D3317,'Resultats - informe'!$Y$18:$AG$42,'Introducció dades consum'!K3317+1,0)</f>
        <v>0</v>
      </c>
      <c r="O3317" s="370" cm="1">
        <f t="array" ref="O3317">+_xlfn.SWITCH(MONTH(C3317),1,1,2,1,3,1,4,2,5,2,6,3,7,3,8,3,9,3,10,2,11,2,12,1,2)</f>
        <v>1</v>
      </c>
      <c r="P3317" s="43"/>
    </row>
    <row r="3318" spans="1:16" ht="18" x14ac:dyDescent="0.35">
      <c r="A3318" s="43"/>
      <c r="C3318" s="393"/>
      <c r="E3318" s="394"/>
      <c r="F3318" s="394">
        <v>0</v>
      </c>
      <c r="G3318" s="394"/>
      <c r="H3318" s="8" t="s">
        <v>235</v>
      </c>
      <c r="I3318" s="368">
        <f t="shared" si="154"/>
        <v>0</v>
      </c>
      <c r="J3318" s="365">
        <f t="shared" si="153"/>
        <v>0</v>
      </c>
      <c r="K3318" s="369">
        <f t="shared" si="155"/>
        <v>6</v>
      </c>
      <c r="L3318" s="369">
        <f>+IF((C3318&gt;='Resultats - informe'!$E$16)*(C3318&lt;='Resultats - informe'!$G$16),1,0)</f>
        <v>1</v>
      </c>
      <c r="M3318" s="369" cm="1">
        <f t="array" ref="M3318">+_xlfn.IFS((C3318&gt;='Resultats - informe'!$D$26)*(C3318&lt;='Resultats - informe'!$E$26),0,(C3318&gt;='Resultats - informe'!$D$27)*(C3318&lt;='Resultats - informe'!$E$27),0,(C3318&gt;='Resultats - informe'!$D$28)*(C3318&lt;='Resultats - informe'!$E$28),0,(C3318&gt;='Resultats - informe'!$D$29)*(C3318&lt;='Resultats - informe'!$E$29),0,1,1)</f>
        <v>0</v>
      </c>
      <c r="N3318" s="366">
        <f>+VLOOKUP(D3318,'Resultats - informe'!$Y$18:$AG$42,'Introducció dades consum'!K3318+1,0)</f>
        <v>0</v>
      </c>
      <c r="O3318" s="370" cm="1">
        <f t="array" ref="O3318">+_xlfn.SWITCH(MONTH(C3318),1,1,2,1,3,1,4,2,5,2,6,3,7,3,8,3,9,3,10,2,11,2,12,1,2)</f>
        <v>1</v>
      </c>
      <c r="P3318" s="43"/>
    </row>
    <row r="3319" spans="1:16" ht="18" x14ac:dyDescent="0.35">
      <c r="A3319" s="43"/>
      <c r="C3319" s="393"/>
      <c r="E3319" s="394"/>
      <c r="F3319" s="394">
        <v>0</v>
      </c>
      <c r="G3319" s="394"/>
      <c r="H3319" s="8" t="s">
        <v>235</v>
      </c>
      <c r="I3319" s="368">
        <f t="shared" si="154"/>
        <v>0</v>
      </c>
      <c r="J3319" s="365">
        <f t="shared" si="153"/>
        <v>0</v>
      </c>
      <c r="K3319" s="369">
        <f t="shared" si="155"/>
        <v>6</v>
      </c>
      <c r="L3319" s="369">
        <f>+IF((C3319&gt;='Resultats - informe'!$E$16)*(C3319&lt;='Resultats - informe'!$G$16),1,0)</f>
        <v>1</v>
      </c>
      <c r="M3319" s="369" cm="1">
        <f t="array" ref="M3319">+_xlfn.IFS((C3319&gt;='Resultats - informe'!$D$26)*(C3319&lt;='Resultats - informe'!$E$26),0,(C3319&gt;='Resultats - informe'!$D$27)*(C3319&lt;='Resultats - informe'!$E$27),0,(C3319&gt;='Resultats - informe'!$D$28)*(C3319&lt;='Resultats - informe'!$E$28),0,(C3319&gt;='Resultats - informe'!$D$29)*(C3319&lt;='Resultats - informe'!$E$29),0,1,1)</f>
        <v>0</v>
      </c>
      <c r="N3319" s="366">
        <f>+VLOOKUP(D3319,'Resultats - informe'!$Y$18:$AG$42,'Introducció dades consum'!K3319+1,0)</f>
        <v>0</v>
      </c>
      <c r="O3319" s="370" cm="1">
        <f t="array" ref="O3319">+_xlfn.SWITCH(MONTH(C3319),1,1,2,1,3,1,4,2,5,2,6,3,7,3,8,3,9,3,10,2,11,2,12,1,2)</f>
        <v>1</v>
      </c>
      <c r="P3319" s="43"/>
    </row>
    <row r="3320" spans="1:16" ht="18" x14ac:dyDescent="0.35">
      <c r="A3320" s="43"/>
      <c r="C3320" s="393"/>
      <c r="E3320" s="394"/>
      <c r="F3320" s="394">
        <v>0</v>
      </c>
      <c r="G3320" s="394"/>
      <c r="H3320" s="8" t="s">
        <v>235</v>
      </c>
      <c r="I3320" s="368">
        <f t="shared" si="154"/>
        <v>0</v>
      </c>
      <c r="J3320" s="365">
        <f t="shared" si="153"/>
        <v>0</v>
      </c>
      <c r="K3320" s="369">
        <f t="shared" si="155"/>
        <v>6</v>
      </c>
      <c r="L3320" s="369">
        <f>+IF((C3320&gt;='Resultats - informe'!$E$16)*(C3320&lt;='Resultats - informe'!$G$16),1,0)</f>
        <v>1</v>
      </c>
      <c r="M3320" s="369" cm="1">
        <f t="array" ref="M3320">+_xlfn.IFS((C3320&gt;='Resultats - informe'!$D$26)*(C3320&lt;='Resultats - informe'!$E$26),0,(C3320&gt;='Resultats - informe'!$D$27)*(C3320&lt;='Resultats - informe'!$E$27),0,(C3320&gt;='Resultats - informe'!$D$28)*(C3320&lt;='Resultats - informe'!$E$28),0,(C3320&gt;='Resultats - informe'!$D$29)*(C3320&lt;='Resultats - informe'!$E$29),0,1,1)</f>
        <v>0</v>
      </c>
      <c r="N3320" s="366">
        <f>+VLOOKUP(D3320,'Resultats - informe'!$Y$18:$AG$42,'Introducció dades consum'!K3320+1,0)</f>
        <v>0</v>
      </c>
      <c r="O3320" s="370" cm="1">
        <f t="array" ref="O3320">+_xlfn.SWITCH(MONTH(C3320),1,1,2,1,3,1,4,2,5,2,6,3,7,3,8,3,9,3,10,2,11,2,12,1,2)</f>
        <v>1</v>
      </c>
      <c r="P3320" s="43"/>
    </row>
    <row r="3321" spans="1:16" ht="18" x14ac:dyDescent="0.35">
      <c r="A3321" s="43"/>
      <c r="C3321" s="393"/>
      <c r="E3321" s="394"/>
      <c r="F3321" s="394">
        <v>0.29199999999999998</v>
      </c>
      <c r="G3321" s="394"/>
      <c r="H3321" s="8" t="s">
        <v>235</v>
      </c>
      <c r="I3321" s="368">
        <f t="shared" si="154"/>
        <v>0</v>
      </c>
      <c r="J3321" s="365">
        <f t="shared" si="153"/>
        <v>0</v>
      </c>
      <c r="K3321" s="369">
        <f t="shared" si="155"/>
        <v>6</v>
      </c>
      <c r="L3321" s="369">
        <f>+IF((C3321&gt;='Resultats - informe'!$E$16)*(C3321&lt;='Resultats - informe'!$G$16),1,0)</f>
        <v>1</v>
      </c>
      <c r="M3321" s="369" cm="1">
        <f t="array" ref="M3321">+_xlfn.IFS((C3321&gt;='Resultats - informe'!$D$26)*(C3321&lt;='Resultats - informe'!$E$26),0,(C3321&gt;='Resultats - informe'!$D$27)*(C3321&lt;='Resultats - informe'!$E$27),0,(C3321&gt;='Resultats - informe'!$D$28)*(C3321&lt;='Resultats - informe'!$E$28),0,(C3321&gt;='Resultats - informe'!$D$29)*(C3321&lt;='Resultats - informe'!$E$29),0,1,1)</f>
        <v>0</v>
      </c>
      <c r="N3321" s="366">
        <f>+VLOOKUP(D3321,'Resultats - informe'!$Y$18:$AG$42,'Introducció dades consum'!K3321+1,0)</f>
        <v>0</v>
      </c>
      <c r="O3321" s="370" cm="1">
        <f t="array" ref="O3321">+_xlfn.SWITCH(MONTH(C3321),1,1,2,1,3,1,4,2,5,2,6,3,7,3,8,3,9,3,10,2,11,2,12,1,2)</f>
        <v>1</v>
      </c>
      <c r="P3321" s="43"/>
    </row>
    <row r="3322" spans="1:16" ht="18" x14ac:dyDescent="0.35">
      <c r="A3322" s="43"/>
      <c r="C3322" s="393"/>
      <c r="E3322" s="394"/>
      <c r="F3322" s="394">
        <v>1.01</v>
      </c>
      <c r="G3322" s="394"/>
      <c r="H3322" s="8" t="s">
        <v>235</v>
      </c>
      <c r="I3322" s="368">
        <f t="shared" si="154"/>
        <v>0</v>
      </c>
      <c r="J3322" s="365">
        <f t="shared" si="153"/>
        <v>0</v>
      </c>
      <c r="K3322" s="369">
        <f t="shared" si="155"/>
        <v>6</v>
      </c>
      <c r="L3322" s="369">
        <f>+IF((C3322&gt;='Resultats - informe'!$E$16)*(C3322&lt;='Resultats - informe'!$G$16),1,0)</f>
        <v>1</v>
      </c>
      <c r="M3322" s="369" cm="1">
        <f t="array" ref="M3322">+_xlfn.IFS((C3322&gt;='Resultats - informe'!$D$26)*(C3322&lt;='Resultats - informe'!$E$26),0,(C3322&gt;='Resultats - informe'!$D$27)*(C3322&lt;='Resultats - informe'!$E$27),0,(C3322&gt;='Resultats - informe'!$D$28)*(C3322&lt;='Resultats - informe'!$E$28),0,(C3322&gt;='Resultats - informe'!$D$29)*(C3322&lt;='Resultats - informe'!$E$29),0,1,1)</f>
        <v>0</v>
      </c>
      <c r="N3322" s="366">
        <f>+VLOOKUP(D3322,'Resultats - informe'!$Y$18:$AG$42,'Introducció dades consum'!K3322+1,0)</f>
        <v>0</v>
      </c>
      <c r="O3322" s="370" cm="1">
        <f t="array" ref="O3322">+_xlfn.SWITCH(MONTH(C3322),1,1,2,1,3,1,4,2,5,2,6,3,7,3,8,3,9,3,10,2,11,2,12,1,2)</f>
        <v>1</v>
      </c>
      <c r="P3322" s="43"/>
    </row>
    <row r="3323" spans="1:16" ht="18" x14ac:dyDescent="0.35">
      <c r="A3323" s="43"/>
      <c r="C3323" s="393"/>
      <c r="E3323" s="394"/>
      <c r="F3323" s="394">
        <v>0</v>
      </c>
      <c r="G3323" s="394"/>
      <c r="H3323" s="8" t="s">
        <v>61</v>
      </c>
      <c r="I3323" s="368">
        <f t="shared" si="154"/>
        <v>0</v>
      </c>
      <c r="J3323" s="365">
        <f t="shared" ref="J3323:J3386" si="156">+C3323</f>
        <v>0</v>
      </c>
      <c r="K3323" s="369">
        <f t="shared" si="155"/>
        <v>6</v>
      </c>
      <c r="L3323" s="369">
        <f>+IF((C3323&gt;='Resultats - informe'!$E$16)*(C3323&lt;='Resultats - informe'!$G$16),1,0)</f>
        <v>1</v>
      </c>
      <c r="M3323" s="369" cm="1">
        <f t="array" ref="M3323">+_xlfn.IFS((C3323&gt;='Resultats - informe'!$D$26)*(C3323&lt;='Resultats - informe'!$E$26),0,(C3323&gt;='Resultats - informe'!$D$27)*(C3323&lt;='Resultats - informe'!$E$27),0,(C3323&gt;='Resultats - informe'!$D$28)*(C3323&lt;='Resultats - informe'!$E$28),0,(C3323&gt;='Resultats - informe'!$D$29)*(C3323&lt;='Resultats - informe'!$E$29),0,1,1)</f>
        <v>0</v>
      </c>
      <c r="N3323" s="366">
        <f>+VLOOKUP(D3323,'Resultats - informe'!$Y$18:$AG$42,'Introducció dades consum'!K3323+1,0)</f>
        <v>0</v>
      </c>
      <c r="O3323" s="370" cm="1">
        <f t="array" ref="O3323">+_xlfn.SWITCH(MONTH(C3323),1,1,2,1,3,1,4,2,5,2,6,3,7,3,8,3,9,3,10,2,11,2,12,1,2)</f>
        <v>1</v>
      </c>
      <c r="P3323" s="43"/>
    </row>
    <row r="3324" spans="1:16" ht="18" x14ac:dyDescent="0.35">
      <c r="A3324" s="43"/>
      <c r="C3324" s="393"/>
      <c r="E3324" s="394"/>
      <c r="F3324" s="394">
        <v>2.613</v>
      </c>
      <c r="G3324" s="394"/>
      <c r="H3324" s="8" t="s">
        <v>235</v>
      </c>
      <c r="I3324" s="368">
        <f t="shared" si="154"/>
        <v>0</v>
      </c>
      <c r="J3324" s="365">
        <f t="shared" si="156"/>
        <v>0</v>
      </c>
      <c r="K3324" s="369">
        <f t="shared" si="155"/>
        <v>6</v>
      </c>
      <c r="L3324" s="369">
        <f>+IF((C3324&gt;='Resultats - informe'!$E$16)*(C3324&lt;='Resultats - informe'!$G$16),1,0)</f>
        <v>1</v>
      </c>
      <c r="M3324" s="369" cm="1">
        <f t="array" ref="M3324">+_xlfn.IFS((C3324&gt;='Resultats - informe'!$D$26)*(C3324&lt;='Resultats - informe'!$E$26),0,(C3324&gt;='Resultats - informe'!$D$27)*(C3324&lt;='Resultats - informe'!$E$27),0,(C3324&gt;='Resultats - informe'!$D$28)*(C3324&lt;='Resultats - informe'!$E$28),0,(C3324&gt;='Resultats - informe'!$D$29)*(C3324&lt;='Resultats - informe'!$E$29),0,1,1)</f>
        <v>0</v>
      </c>
      <c r="N3324" s="366">
        <f>+VLOOKUP(D3324,'Resultats - informe'!$Y$18:$AG$42,'Introducció dades consum'!K3324+1,0)</f>
        <v>0</v>
      </c>
      <c r="O3324" s="370" cm="1">
        <f t="array" ref="O3324">+_xlfn.SWITCH(MONTH(C3324),1,1,2,1,3,1,4,2,5,2,6,3,7,3,8,3,9,3,10,2,11,2,12,1,2)</f>
        <v>1</v>
      </c>
      <c r="P3324" s="43"/>
    </row>
    <row r="3325" spans="1:16" ht="18" x14ac:dyDescent="0.35">
      <c r="A3325" s="43"/>
      <c r="C3325" s="393"/>
      <c r="E3325" s="394"/>
      <c r="F3325" s="394">
        <v>3.2930000000000001</v>
      </c>
      <c r="G3325" s="394"/>
      <c r="H3325" s="8" t="s">
        <v>235</v>
      </c>
      <c r="I3325" s="368">
        <f t="shared" si="154"/>
        <v>0</v>
      </c>
      <c r="J3325" s="365">
        <f t="shared" si="156"/>
        <v>0</v>
      </c>
      <c r="K3325" s="369">
        <f t="shared" si="155"/>
        <v>6</v>
      </c>
      <c r="L3325" s="369">
        <f>+IF((C3325&gt;='Resultats - informe'!$E$16)*(C3325&lt;='Resultats - informe'!$G$16),1,0)</f>
        <v>1</v>
      </c>
      <c r="M3325" s="369" cm="1">
        <f t="array" ref="M3325">+_xlfn.IFS((C3325&gt;='Resultats - informe'!$D$26)*(C3325&lt;='Resultats - informe'!$E$26),0,(C3325&gt;='Resultats - informe'!$D$27)*(C3325&lt;='Resultats - informe'!$E$27),0,(C3325&gt;='Resultats - informe'!$D$28)*(C3325&lt;='Resultats - informe'!$E$28),0,(C3325&gt;='Resultats - informe'!$D$29)*(C3325&lt;='Resultats - informe'!$E$29),0,1,1)</f>
        <v>0</v>
      </c>
      <c r="N3325" s="366">
        <f>+VLOOKUP(D3325,'Resultats - informe'!$Y$18:$AG$42,'Introducció dades consum'!K3325+1,0)</f>
        <v>0</v>
      </c>
      <c r="O3325" s="370" cm="1">
        <f t="array" ref="O3325">+_xlfn.SWITCH(MONTH(C3325),1,1,2,1,3,1,4,2,5,2,6,3,7,3,8,3,9,3,10,2,11,2,12,1,2)</f>
        <v>1</v>
      </c>
      <c r="P3325" s="43"/>
    </row>
    <row r="3326" spans="1:16" ht="18" x14ac:dyDescent="0.35">
      <c r="A3326" s="43"/>
      <c r="C3326" s="393"/>
      <c r="E3326" s="394"/>
      <c r="F3326" s="394">
        <v>3.4169999999999998</v>
      </c>
      <c r="G3326" s="394"/>
      <c r="H3326" s="8" t="s">
        <v>61</v>
      </c>
      <c r="I3326" s="368">
        <f t="shared" si="154"/>
        <v>0</v>
      </c>
      <c r="J3326" s="365">
        <f t="shared" si="156"/>
        <v>0</v>
      </c>
      <c r="K3326" s="369">
        <f t="shared" si="155"/>
        <v>6</v>
      </c>
      <c r="L3326" s="369">
        <f>+IF((C3326&gt;='Resultats - informe'!$E$16)*(C3326&lt;='Resultats - informe'!$G$16),1,0)</f>
        <v>1</v>
      </c>
      <c r="M3326" s="369" cm="1">
        <f t="array" ref="M3326">+_xlfn.IFS((C3326&gt;='Resultats - informe'!$D$26)*(C3326&lt;='Resultats - informe'!$E$26),0,(C3326&gt;='Resultats - informe'!$D$27)*(C3326&lt;='Resultats - informe'!$E$27),0,(C3326&gt;='Resultats - informe'!$D$28)*(C3326&lt;='Resultats - informe'!$E$28),0,(C3326&gt;='Resultats - informe'!$D$29)*(C3326&lt;='Resultats - informe'!$E$29),0,1,1)</f>
        <v>0</v>
      </c>
      <c r="N3326" s="366">
        <f>+VLOOKUP(D3326,'Resultats - informe'!$Y$18:$AG$42,'Introducció dades consum'!K3326+1,0)</f>
        <v>0</v>
      </c>
      <c r="O3326" s="370" cm="1">
        <f t="array" ref="O3326">+_xlfn.SWITCH(MONTH(C3326),1,1,2,1,3,1,4,2,5,2,6,3,7,3,8,3,9,3,10,2,11,2,12,1,2)</f>
        <v>1</v>
      </c>
      <c r="P3326" s="43"/>
    </row>
    <row r="3327" spans="1:16" ht="18" x14ac:dyDescent="0.35">
      <c r="A3327" s="43"/>
      <c r="C3327" s="393"/>
      <c r="E3327" s="394"/>
      <c r="F3327" s="394">
        <v>3.839</v>
      </c>
      <c r="G3327" s="394"/>
      <c r="H3327" s="8" t="s">
        <v>61</v>
      </c>
      <c r="I3327" s="368">
        <f t="shared" si="154"/>
        <v>0</v>
      </c>
      <c r="J3327" s="365">
        <f t="shared" si="156"/>
        <v>0</v>
      </c>
      <c r="K3327" s="369">
        <f t="shared" si="155"/>
        <v>6</v>
      </c>
      <c r="L3327" s="369">
        <f>+IF((C3327&gt;='Resultats - informe'!$E$16)*(C3327&lt;='Resultats - informe'!$G$16),1,0)</f>
        <v>1</v>
      </c>
      <c r="M3327" s="369" cm="1">
        <f t="array" ref="M3327">+_xlfn.IFS((C3327&gt;='Resultats - informe'!$D$26)*(C3327&lt;='Resultats - informe'!$E$26),0,(C3327&gt;='Resultats - informe'!$D$27)*(C3327&lt;='Resultats - informe'!$E$27),0,(C3327&gt;='Resultats - informe'!$D$28)*(C3327&lt;='Resultats - informe'!$E$28),0,(C3327&gt;='Resultats - informe'!$D$29)*(C3327&lt;='Resultats - informe'!$E$29),0,1,1)</f>
        <v>0</v>
      </c>
      <c r="N3327" s="366">
        <f>+VLOOKUP(D3327,'Resultats - informe'!$Y$18:$AG$42,'Introducció dades consum'!K3327+1,0)</f>
        <v>0</v>
      </c>
      <c r="O3327" s="370" cm="1">
        <f t="array" ref="O3327">+_xlfn.SWITCH(MONTH(C3327),1,1,2,1,3,1,4,2,5,2,6,3,7,3,8,3,9,3,10,2,11,2,12,1,2)</f>
        <v>1</v>
      </c>
      <c r="P3327" s="43"/>
    </row>
    <row r="3328" spans="1:16" ht="18" x14ac:dyDescent="0.35">
      <c r="A3328" s="43"/>
      <c r="C3328" s="393"/>
      <c r="E3328" s="394"/>
      <c r="F3328" s="394">
        <v>5.157</v>
      </c>
      <c r="G3328" s="394"/>
      <c r="H3328" s="8" t="s">
        <v>61</v>
      </c>
      <c r="I3328" s="368">
        <f t="shared" si="154"/>
        <v>0</v>
      </c>
      <c r="J3328" s="365">
        <f t="shared" si="156"/>
        <v>0</v>
      </c>
      <c r="K3328" s="369">
        <f t="shared" si="155"/>
        <v>6</v>
      </c>
      <c r="L3328" s="369">
        <f>+IF((C3328&gt;='Resultats - informe'!$E$16)*(C3328&lt;='Resultats - informe'!$G$16),1,0)</f>
        <v>1</v>
      </c>
      <c r="M3328" s="369" cm="1">
        <f t="array" ref="M3328">+_xlfn.IFS((C3328&gt;='Resultats - informe'!$D$26)*(C3328&lt;='Resultats - informe'!$E$26),0,(C3328&gt;='Resultats - informe'!$D$27)*(C3328&lt;='Resultats - informe'!$E$27),0,(C3328&gt;='Resultats - informe'!$D$28)*(C3328&lt;='Resultats - informe'!$E$28),0,(C3328&gt;='Resultats - informe'!$D$29)*(C3328&lt;='Resultats - informe'!$E$29),0,1,1)</f>
        <v>0</v>
      </c>
      <c r="N3328" s="366">
        <f>+VLOOKUP(D3328,'Resultats - informe'!$Y$18:$AG$42,'Introducció dades consum'!K3328+1,0)</f>
        <v>0</v>
      </c>
      <c r="O3328" s="370" cm="1">
        <f t="array" ref="O3328">+_xlfn.SWITCH(MONTH(C3328),1,1,2,1,3,1,4,2,5,2,6,3,7,3,8,3,9,3,10,2,11,2,12,1,2)</f>
        <v>1</v>
      </c>
      <c r="P3328" s="43"/>
    </row>
    <row r="3329" spans="1:16" ht="18" x14ac:dyDescent="0.35">
      <c r="A3329" s="43"/>
      <c r="C3329" s="393"/>
      <c r="E3329" s="394"/>
      <c r="F3329" s="394">
        <v>5.5579999999999998</v>
      </c>
      <c r="G3329" s="394"/>
      <c r="H3329" s="8" t="s">
        <v>61</v>
      </c>
      <c r="I3329" s="368">
        <f t="shared" si="154"/>
        <v>0</v>
      </c>
      <c r="J3329" s="365">
        <f t="shared" si="156"/>
        <v>0</v>
      </c>
      <c r="K3329" s="369">
        <f t="shared" si="155"/>
        <v>6</v>
      </c>
      <c r="L3329" s="369">
        <f>+IF((C3329&gt;='Resultats - informe'!$E$16)*(C3329&lt;='Resultats - informe'!$G$16),1,0)</f>
        <v>1</v>
      </c>
      <c r="M3329" s="369" cm="1">
        <f t="array" ref="M3329">+_xlfn.IFS((C3329&gt;='Resultats - informe'!$D$26)*(C3329&lt;='Resultats - informe'!$E$26),0,(C3329&gt;='Resultats - informe'!$D$27)*(C3329&lt;='Resultats - informe'!$E$27),0,(C3329&gt;='Resultats - informe'!$D$28)*(C3329&lt;='Resultats - informe'!$E$28),0,(C3329&gt;='Resultats - informe'!$D$29)*(C3329&lt;='Resultats - informe'!$E$29),0,1,1)</f>
        <v>0</v>
      </c>
      <c r="N3329" s="366">
        <f>+VLOOKUP(D3329,'Resultats - informe'!$Y$18:$AG$42,'Introducció dades consum'!K3329+1,0)</f>
        <v>0</v>
      </c>
      <c r="O3329" s="370" cm="1">
        <f t="array" ref="O3329">+_xlfn.SWITCH(MONTH(C3329),1,1,2,1,3,1,4,2,5,2,6,3,7,3,8,3,9,3,10,2,11,2,12,1,2)</f>
        <v>1</v>
      </c>
      <c r="P3329" s="43"/>
    </row>
    <row r="3330" spans="1:16" ht="18" x14ac:dyDescent="0.35">
      <c r="A3330" s="43"/>
      <c r="C3330" s="393"/>
      <c r="E3330" s="394"/>
      <c r="F3330" s="394">
        <v>5.7270000000000003</v>
      </c>
      <c r="G3330" s="394"/>
      <c r="H3330" s="8" t="s">
        <v>61</v>
      </c>
      <c r="I3330" s="368">
        <f t="shared" si="154"/>
        <v>0</v>
      </c>
      <c r="J3330" s="365">
        <f t="shared" si="156"/>
        <v>0</v>
      </c>
      <c r="K3330" s="369">
        <f t="shared" si="155"/>
        <v>6</v>
      </c>
      <c r="L3330" s="369">
        <f>+IF((C3330&gt;='Resultats - informe'!$E$16)*(C3330&lt;='Resultats - informe'!$G$16),1,0)</f>
        <v>1</v>
      </c>
      <c r="M3330" s="369" cm="1">
        <f t="array" ref="M3330">+_xlfn.IFS((C3330&gt;='Resultats - informe'!$D$26)*(C3330&lt;='Resultats - informe'!$E$26),0,(C3330&gt;='Resultats - informe'!$D$27)*(C3330&lt;='Resultats - informe'!$E$27),0,(C3330&gt;='Resultats - informe'!$D$28)*(C3330&lt;='Resultats - informe'!$E$28),0,(C3330&gt;='Resultats - informe'!$D$29)*(C3330&lt;='Resultats - informe'!$E$29),0,1,1)</f>
        <v>0</v>
      </c>
      <c r="N3330" s="366">
        <f>+VLOOKUP(D3330,'Resultats - informe'!$Y$18:$AG$42,'Introducció dades consum'!K3330+1,0)</f>
        <v>0</v>
      </c>
      <c r="O3330" s="370" cm="1">
        <f t="array" ref="O3330">+_xlfn.SWITCH(MONTH(C3330),1,1,2,1,3,1,4,2,5,2,6,3,7,3,8,3,9,3,10,2,11,2,12,1,2)</f>
        <v>1</v>
      </c>
      <c r="P3330" s="43"/>
    </row>
    <row r="3331" spans="1:16" ht="18" x14ac:dyDescent="0.35">
      <c r="A3331" s="43"/>
      <c r="C3331" s="393"/>
      <c r="E3331" s="394"/>
      <c r="F3331" s="394">
        <v>5.806</v>
      </c>
      <c r="G3331" s="394"/>
      <c r="H3331" s="8" t="s">
        <v>61</v>
      </c>
      <c r="I3331" s="368">
        <f t="shared" si="154"/>
        <v>0</v>
      </c>
      <c r="J3331" s="365">
        <f t="shared" si="156"/>
        <v>0</v>
      </c>
      <c r="K3331" s="369">
        <f t="shared" si="155"/>
        <v>6</v>
      </c>
      <c r="L3331" s="369">
        <f>+IF((C3331&gt;='Resultats - informe'!$E$16)*(C3331&lt;='Resultats - informe'!$G$16),1,0)</f>
        <v>1</v>
      </c>
      <c r="M3331" s="369" cm="1">
        <f t="array" ref="M3331">+_xlfn.IFS((C3331&gt;='Resultats - informe'!$D$26)*(C3331&lt;='Resultats - informe'!$E$26),0,(C3331&gt;='Resultats - informe'!$D$27)*(C3331&lt;='Resultats - informe'!$E$27),0,(C3331&gt;='Resultats - informe'!$D$28)*(C3331&lt;='Resultats - informe'!$E$28),0,(C3331&gt;='Resultats - informe'!$D$29)*(C3331&lt;='Resultats - informe'!$E$29),0,1,1)</f>
        <v>0</v>
      </c>
      <c r="N3331" s="366">
        <f>+VLOOKUP(D3331,'Resultats - informe'!$Y$18:$AG$42,'Introducció dades consum'!K3331+1,0)</f>
        <v>0</v>
      </c>
      <c r="O3331" s="370" cm="1">
        <f t="array" ref="O3331">+_xlfn.SWITCH(MONTH(C3331),1,1,2,1,3,1,4,2,5,2,6,3,7,3,8,3,9,3,10,2,11,2,12,1,2)</f>
        <v>1</v>
      </c>
      <c r="P3331" s="43"/>
    </row>
    <row r="3332" spans="1:16" ht="18" x14ac:dyDescent="0.35">
      <c r="A3332" s="43"/>
      <c r="C3332" s="393"/>
      <c r="E3332" s="394"/>
      <c r="F3332" s="394">
        <v>1.5549999999999999</v>
      </c>
      <c r="G3332" s="394"/>
      <c r="H3332" s="8" t="s">
        <v>61</v>
      </c>
      <c r="I3332" s="368">
        <f t="shared" si="154"/>
        <v>0</v>
      </c>
      <c r="J3332" s="365">
        <f t="shared" si="156"/>
        <v>0</v>
      </c>
      <c r="K3332" s="369">
        <f t="shared" si="155"/>
        <v>6</v>
      </c>
      <c r="L3332" s="369">
        <f>+IF((C3332&gt;='Resultats - informe'!$E$16)*(C3332&lt;='Resultats - informe'!$G$16),1,0)</f>
        <v>1</v>
      </c>
      <c r="M3332" s="369" cm="1">
        <f t="array" ref="M3332">+_xlfn.IFS((C3332&gt;='Resultats - informe'!$D$26)*(C3332&lt;='Resultats - informe'!$E$26),0,(C3332&gt;='Resultats - informe'!$D$27)*(C3332&lt;='Resultats - informe'!$E$27),0,(C3332&gt;='Resultats - informe'!$D$28)*(C3332&lt;='Resultats - informe'!$E$28),0,(C3332&gt;='Resultats - informe'!$D$29)*(C3332&lt;='Resultats - informe'!$E$29),0,1,1)</f>
        <v>0</v>
      </c>
      <c r="N3332" s="366">
        <f>+VLOOKUP(D3332,'Resultats - informe'!$Y$18:$AG$42,'Introducció dades consum'!K3332+1,0)</f>
        <v>0</v>
      </c>
      <c r="O3332" s="370" cm="1">
        <f t="array" ref="O3332">+_xlfn.SWITCH(MONTH(C3332),1,1,2,1,3,1,4,2,5,2,6,3,7,3,8,3,9,3,10,2,11,2,12,1,2)</f>
        <v>1</v>
      </c>
      <c r="P3332" s="43"/>
    </row>
    <row r="3333" spans="1:16" ht="18" x14ac:dyDescent="0.35">
      <c r="A3333" s="43"/>
      <c r="C3333" s="393"/>
      <c r="E3333" s="394"/>
      <c r="F3333" s="394">
        <v>0</v>
      </c>
      <c r="G3333" s="394"/>
      <c r="H3333" s="8" t="s">
        <v>61</v>
      </c>
      <c r="I3333" s="368">
        <f t="shared" si="154"/>
        <v>0</v>
      </c>
      <c r="J3333" s="365">
        <f t="shared" si="156"/>
        <v>0</v>
      </c>
      <c r="K3333" s="369">
        <f t="shared" si="155"/>
        <v>6</v>
      </c>
      <c r="L3333" s="369">
        <f>+IF((C3333&gt;='Resultats - informe'!$E$16)*(C3333&lt;='Resultats - informe'!$G$16),1,0)</f>
        <v>1</v>
      </c>
      <c r="M3333" s="369" cm="1">
        <f t="array" ref="M3333">+_xlfn.IFS((C3333&gt;='Resultats - informe'!$D$26)*(C3333&lt;='Resultats - informe'!$E$26),0,(C3333&gt;='Resultats - informe'!$D$27)*(C3333&lt;='Resultats - informe'!$E$27),0,(C3333&gt;='Resultats - informe'!$D$28)*(C3333&lt;='Resultats - informe'!$E$28),0,(C3333&gt;='Resultats - informe'!$D$29)*(C3333&lt;='Resultats - informe'!$E$29),0,1,1)</f>
        <v>0</v>
      </c>
      <c r="N3333" s="366">
        <f>+VLOOKUP(D3333,'Resultats - informe'!$Y$18:$AG$42,'Introducció dades consum'!K3333+1,0)</f>
        <v>0</v>
      </c>
      <c r="O3333" s="370" cm="1">
        <f t="array" ref="O3333">+_xlfn.SWITCH(MONTH(C3333),1,1,2,1,3,1,4,2,5,2,6,3,7,3,8,3,9,3,10,2,11,2,12,1,2)</f>
        <v>1</v>
      </c>
      <c r="P3333" s="43"/>
    </row>
    <row r="3334" spans="1:16" ht="18" x14ac:dyDescent="0.35">
      <c r="A3334" s="43"/>
      <c r="C3334" s="393"/>
      <c r="E3334" s="394"/>
      <c r="F3334" s="394">
        <v>0</v>
      </c>
      <c r="G3334" s="394"/>
      <c r="H3334" s="8" t="s">
        <v>235</v>
      </c>
      <c r="I3334" s="368">
        <f t="shared" ref="I3334:I3397" si="157">+E3334+G3334</f>
        <v>0</v>
      </c>
      <c r="J3334" s="365">
        <f t="shared" si="156"/>
        <v>0</v>
      </c>
      <c r="K3334" s="369">
        <f t="shared" ref="K3334:K3397" si="158">+WEEKDAY(C3334,2)</f>
        <v>6</v>
      </c>
      <c r="L3334" s="369">
        <f>+IF((C3334&gt;='Resultats - informe'!$E$16)*(C3334&lt;='Resultats - informe'!$G$16),1,0)</f>
        <v>1</v>
      </c>
      <c r="M3334" s="369" cm="1">
        <f t="array" ref="M3334">+_xlfn.IFS((C3334&gt;='Resultats - informe'!$D$26)*(C3334&lt;='Resultats - informe'!$E$26),0,(C3334&gt;='Resultats - informe'!$D$27)*(C3334&lt;='Resultats - informe'!$E$27),0,(C3334&gt;='Resultats - informe'!$D$28)*(C3334&lt;='Resultats - informe'!$E$28),0,(C3334&gt;='Resultats - informe'!$D$29)*(C3334&lt;='Resultats - informe'!$E$29),0,1,1)</f>
        <v>0</v>
      </c>
      <c r="N3334" s="366">
        <f>+VLOOKUP(D3334,'Resultats - informe'!$Y$18:$AG$42,'Introducció dades consum'!K3334+1,0)</f>
        <v>0</v>
      </c>
      <c r="O3334" s="370" cm="1">
        <f t="array" ref="O3334">+_xlfn.SWITCH(MONTH(C3334),1,1,2,1,3,1,4,2,5,2,6,3,7,3,8,3,9,3,10,2,11,2,12,1,2)</f>
        <v>1</v>
      </c>
      <c r="P3334" s="43"/>
    </row>
    <row r="3335" spans="1:16" ht="18" x14ac:dyDescent="0.35">
      <c r="A3335" s="43"/>
      <c r="C3335" s="393"/>
      <c r="E3335" s="394"/>
      <c r="F3335" s="394">
        <v>0</v>
      </c>
      <c r="G3335" s="394"/>
      <c r="H3335" s="8" t="s">
        <v>235</v>
      </c>
      <c r="I3335" s="368">
        <f t="shared" si="157"/>
        <v>0</v>
      </c>
      <c r="J3335" s="365">
        <f t="shared" si="156"/>
        <v>0</v>
      </c>
      <c r="K3335" s="369">
        <f t="shared" si="158"/>
        <v>6</v>
      </c>
      <c r="L3335" s="369">
        <f>+IF((C3335&gt;='Resultats - informe'!$E$16)*(C3335&lt;='Resultats - informe'!$G$16),1,0)</f>
        <v>1</v>
      </c>
      <c r="M3335" s="369" cm="1">
        <f t="array" ref="M3335">+_xlfn.IFS((C3335&gt;='Resultats - informe'!$D$26)*(C3335&lt;='Resultats - informe'!$E$26),0,(C3335&gt;='Resultats - informe'!$D$27)*(C3335&lt;='Resultats - informe'!$E$27),0,(C3335&gt;='Resultats - informe'!$D$28)*(C3335&lt;='Resultats - informe'!$E$28),0,(C3335&gt;='Resultats - informe'!$D$29)*(C3335&lt;='Resultats - informe'!$E$29),0,1,1)</f>
        <v>0</v>
      </c>
      <c r="N3335" s="366">
        <f>+VLOOKUP(D3335,'Resultats - informe'!$Y$18:$AG$42,'Introducció dades consum'!K3335+1,0)</f>
        <v>0</v>
      </c>
      <c r="O3335" s="370" cm="1">
        <f t="array" ref="O3335">+_xlfn.SWITCH(MONTH(C3335),1,1,2,1,3,1,4,2,5,2,6,3,7,3,8,3,9,3,10,2,11,2,12,1,2)</f>
        <v>1</v>
      </c>
      <c r="P3335" s="43"/>
    </row>
    <row r="3336" spans="1:16" ht="18" x14ac:dyDescent="0.35">
      <c r="A3336" s="43"/>
      <c r="C3336" s="393"/>
      <c r="E3336" s="394"/>
      <c r="F3336" s="394">
        <v>0</v>
      </c>
      <c r="G3336" s="394"/>
      <c r="H3336" s="8" t="s">
        <v>235</v>
      </c>
      <c r="I3336" s="368">
        <f t="shared" si="157"/>
        <v>0</v>
      </c>
      <c r="J3336" s="365">
        <f t="shared" si="156"/>
        <v>0</v>
      </c>
      <c r="K3336" s="369">
        <f t="shared" si="158"/>
        <v>6</v>
      </c>
      <c r="L3336" s="369">
        <f>+IF((C3336&gt;='Resultats - informe'!$E$16)*(C3336&lt;='Resultats - informe'!$G$16),1,0)</f>
        <v>1</v>
      </c>
      <c r="M3336" s="369" cm="1">
        <f t="array" ref="M3336">+_xlfn.IFS((C3336&gt;='Resultats - informe'!$D$26)*(C3336&lt;='Resultats - informe'!$E$26),0,(C3336&gt;='Resultats - informe'!$D$27)*(C3336&lt;='Resultats - informe'!$E$27),0,(C3336&gt;='Resultats - informe'!$D$28)*(C3336&lt;='Resultats - informe'!$E$28),0,(C3336&gt;='Resultats - informe'!$D$29)*(C3336&lt;='Resultats - informe'!$E$29),0,1,1)</f>
        <v>0</v>
      </c>
      <c r="N3336" s="366">
        <f>+VLOOKUP(D3336,'Resultats - informe'!$Y$18:$AG$42,'Introducció dades consum'!K3336+1,0)</f>
        <v>0</v>
      </c>
      <c r="O3336" s="370" cm="1">
        <f t="array" ref="O3336">+_xlfn.SWITCH(MONTH(C3336),1,1,2,1,3,1,4,2,5,2,6,3,7,3,8,3,9,3,10,2,11,2,12,1,2)</f>
        <v>1</v>
      </c>
      <c r="P3336" s="43"/>
    </row>
    <row r="3337" spans="1:16" ht="18" x14ac:dyDescent="0.35">
      <c r="A3337" s="43"/>
      <c r="C3337" s="393"/>
      <c r="E3337" s="394"/>
      <c r="F3337" s="394">
        <v>0</v>
      </c>
      <c r="G3337" s="394"/>
      <c r="H3337" s="8" t="s">
        <v>235</v>
      </c>
      <c r="I3337" s="368">
        <f t="shared" si="157"/>
        <v>0</v>
      </c>
      <c r="J3337" s="365">
        <f t="shared" si="156"/>
        <v>0</v>
      </c>
      <c r="K3337" s="369">
        <f t="shared" si="158"/>
        <v>6</v>
      </c>
      <c r="L3337" s="369">
        <f>+IF((C3337&gt;='Resultats - informe'!$E$16)*(C3337&lt;='Resultats - informe'!$G$16),1,0)</f>
        <v>1</v>
      </c>
      <c r="M3337" s="369" cm="1">
        <f t="array" ref="M3337">+_xlfn.IFS((C3337&gt;='Resultats - informe'!$D$26)*(C3337&lt;='Resultats - informe'!$E$26),0,(C3337&gt;='Resultats - informe'!$D$27)*(C3337&lt;='Resultats - informe'!$E$27),0,(C3337&gt;='Resultats - informe'!$D$28)*(C3337&lt;='Resultats - informe'!$E$28),0,(C3337&gt;='Resultats - informe'!$D$29)*(C3337&lt;='Resultats - informe'!$E$29),0,1,1)</f>
        <v>0</v>
      </c>
      <c r="N3337" s="366">
        <f>+VLOOKUP(D3337,'Resultats - informe'!$Y$18:$AG$42,'Introducció dades consum'!K3337+1,0)</f>
        <v>0</v>
      </c>
      <c r="O3337" s="370" cm="1">
        <f t="array" ref="O3337">+_xlfn.SWITCH(MONTH(C3337),1,1,2,1,3,1,4,2,5,2,6,3,7,3,8,3,9,3,10,2,11,2,12,1,2)</f>
        <v>1</v>
      </c>
      <c r="P3337" s="43"/>
    </row>
    <row r="3338" spans="1:16" ht="18" x14ac:dyDescent="0.35">
      <c r="A3338" s="43"/>
      <c r="C3338" s="393"/>
      <c r="E3338" s="394"/>
      <c r="F3338" s="394">
        <v>0</v>
      </c>
      <c r="G3338" s="394"/>
      <c r="H3338" s="8" t="s">
        <v>235</v>
      </c>
      <c r="I3338" s="368">
        <f t="shared" si="157"/>
        <v>0</v>
      </c>
      <c r="J3338" s="365">
        <f t="shared" si="156"/>
        <v>0</v>
      </c>
      <c r="K3338" s="369">
        <f t="shared" si="158"/>
        <v>6</v>
      </c>
      <c r="L3338" s="369">
        <f>+IF((C3338&gt;='Resultats - informe'!$E$16)*(C3338&lt;='Resultats - informe'!$G$16),1,0)</f>
        <v>1</v>
      </c>
      <c r="M3338" s="369" cm="1">
        <f t="array" ref="M3338">+_xlfn.IFS((C3338&gt;='Resultats - informe'!$D$26)*(C3338&lt;='Resultats - informe'!$E$26),0,(C3338&gt;='Resultats - informe'!$D$27)*(C3338&lt;='Resultats - informe'!$E$27),0,(C3338&gt;='Resultats - informe'!$D$28)*(C3338&lt;='Resultats - informe'!$E$28),0,(C3338&gt;='Resultats - informe'!$D$29)*(C3338&lt;='Resultats - informe'!$E$29),0,1,1)</f>
        <v>0</v>
      </c>
      <c r="N3338" s="366">
        <f>+VLOOKUP(D3338,'Resultats - informe'!$Y$18:$AG$42,'Introducció dades consum'!K3338+1,0)</f>
        <v>0</v>
      </c>
      <c r="O3338" s="370" cm="1">
        <f t="array" ref="O3338">+_xlfn.SWITCH(MONTH(C3338),1,1,2,1,3,1,4,2,5,2,6,3,7,3,8,3,9,3,10,2,11,2,12,1,2)</f>
        <v>1</v>
      </c>
      <c r="P3338" s="43"/>
    </row>
    <row r="3339" spans="1:16" ht="18" x14ac:dyDescent="0.35">
      <c r="A3339" s="43"/>
      <c r="C3339" s="393"/>
      <c r="E3339" s="394"/>
      <c r="F3339" s="394">
        <v>0</v>
      </c>
      <c r="G3339" s="394"/>
      <c r="H3339" s="8" t="s">
        <v>235</v>
      </c>
      <c r="I3339" s="368">
        <f t="shared" si="157"/>
        <v>0</v>
      </c>
      <c r="J3339" s="365">
        <f t="shared" si="156"/>
        <v>0</v>
      </c>
      <c r="K3339" s="369">
        <f t="shared" si="158"/>
        <v>6</v>
      </c>
      <c r="L3339" s="369">
        <f>+IF((C3339&gt;='Resultats - informe'!$E$16)*(C3339&lt;='Resultats - informe'!$G$16),1,0)</f>
        <v>1</v>
      </c>
      <c r="M3339" s="369" cm="1">
        <f t="array" ref="M3339">+_xlfn.IFS((C3339&gt;='Resultats - informe'!$D$26)*(C3339&lt;='Resultats - informe'!$E$26),0,(C3339&gt;='Resultats - informe'!$D$27)*(C3339&lt;='Resultats - informe'!$E$27),0,(C3339&gt;='Resultats - informe'!$D$28)*(C3339&lt;='Resultats - informe'!$E$28),0,(C3339&gt;='Resultats - informe'!$D$29)*(C3339&lt;='Resultats - informe'!$E$29),0,1,1)</f>
        <v>0</v>
      </c>
      <c r="N3339" s="366">
        <f>+VLOOKUP(D3339,'Resultats - informe'!$Y$18:$AG$42,'Introducció dades consum'!K3339+1,0)</f>
        <v>0</v>
      </c>
      <c r="O3339" s="370" cm="1">
        <f t="array" ref="O3339">+_xlfn.SWITCH(MONTH(C3339),1,1,2,1,3,1,4,2,5,2,6,3,7,3,8,3,9,3,10,2,11,2,12,1,2)</f>
        <v>1</v>
      </c>
      <c r="P3339" s="43"/>
    </row>
    <row r="3340" spans="1:16" ht="18" x14ac:dyDescent="0.35">
      <c r="A3340" s="43"/>
      <c r="C3340" s="393"/>
      <c r="E3340" s="394"/>
      <c r="F3340" s="394">
        <v>0</v>
      </c>
      <c r="G3340" s="394"/>
      <c r="H3340" s="8" t="s">
        <v>235</v>
      </c>
      <c r="I3340" s="368">
        <f t="shared" si="157"/>
        <v>0</v>
      </c>
      <c r="J3340" s="365">
        <f t="shared" si="156"/>
        <v>0</v>
      </c>
      <c r="K3340" s="369">
        <f t="shared" si="158"/>
        <v>6</v>
      </c>
      <c r="L3340" s="369">
        <f>+IF((C3340&gt;='Resultats - informe'!$E$16)*(C3340&lt;='Resultats - informe'!$G$16),1,0)</f>
        <v>1</v>
      </c>
      <c r="M3340" s="369" cm="1">
        <f t="array" ref="M3340">+_xlfn.IFS((C3340&gt;='Resultats - informe'!$D$26)*(C3340&lt;='Resultats - informe'!$E$26),0,(C3340&gt;='Resultats - informe'!$D$27)*(C3340&lt;='Resultats - informe'!$E$27),0,(C3340&gt;='Resultats - informe'!$D$28)*(C3340&lt;='Resultats - informe'!$E$28),0,(C3340&gt;='Resultats - informe'!$D$29)*(C3340&lt;='Resultats - informe'!$E$29),0,1,1)</f>
        <v>0</v>
      </c>
      <c r="N3340" s="366">
        <f>+VLOOKUP(D3340,'Resultats - informe'!$Y$18:$AG$42,'Introducció dades consum'!K3340+1,0)</f>
        <v>0</v>
      </c>
      <c r="O3340" s="370" cm="1">
        <f t="array" ref="O3340">+_xlfn.SWITCH(MONTH(C3340),1,1,2,1,3,1,4,2,5,2,6,3,7,3,8,3,9,3,10,2,11,2,12,1,2)</f>
        <v>1</v>
      </c>
      <c r="P3340" s="43"/>
    </row>
    <row r="3341" spans="1:16" ht="18" x14ac:dyDescent="0.35">
      <c r="A3341" s="43"/>
      <c r="C3341" s="393"/>
      <c r="E3341" s="394"/>
      <c r="F3341" s="394">
        <v>0</v>
      </c>
      <c r="G3341" s="394"/>
      <c r="H3341" s="8" t="s">
        <v>235</v>
      </c>
      <c r="I3341" s="368">
        <f t="shared" si="157"/>
        <v>0</v>
      </c>
      <c r="J3341" s="365">
        <f t="shared" si="156"/>
        <v>0</v>
      </c>
      <c r="K3341" s="369">
        <f t="shared" si="158"/>
        <v>6</v>
      </c>
      <c r="L3341" s="369">
        <f>+IF((C3341&gt;='Resultats - informe'!$E$16)*(C3341&lt;='Resultats - informe'!$G$16),1,0)</f>
        <v>1</v>
      </c>
      <c r="M3341" s="369" cm="1">
        <f t="array" ref="M3341">+_xlfn.IFS((C3341&gt;='Resultats - informe'!$D$26)*(C3341&lt;='Resultats - informe'!$E$26),0,(C3341&gt;='Resultats - informe'!$D$27)*(C3341&lt;='Resultats - informe'!$E$27),0,(C3341&gt;='Resultats - informe'!$D$28)*(C3341&lt;='Resultats - informe'!$E$28),0,(C3341&gt;='Resultats - informe'!$D$29)*(C3341&lt;='Resultats - informe'!$E$29),0,1,1)</f>
        <v>0</v>
      </c>
      <c r="N3341" s="366">
        <f>+VLOOKUP(D3341,'Resultats - informe'!$Y$18:$AG$42,'Introducció dades consum'!K3341+1,0)</f>
        <v>0</v>
      </c>
      <c r="O3341" s="370" cm="1">
        <f t="array" ref="O3341">+_xlfn.SWITCH(MONTH(C3341),1,1,2,1,3,1,4,2,5,2,6,3,7,3,8,3,9,3,10,2,11,2,12,1,2)</f>
        <v>1</v>
      </c>
      <c r="P3341" s="43"/>
    </row>
    <row r="3342" spans="1:16" ht="18" x14ac:dyDescent="0.35">
      <c r="A3342" s="43"/>
      <c r="C3342" s="393"/>
      <c r="E3342" s="394"/>
      <c r="F3342" s="394">
        <v>0</v>
      </c>
      <c r="G3342" s="394"/>
      <c r="H3342" s="8" t="s">
        <v>235</v>
      </c>
      <c r="I3342" s="368">
        <f t="shared" si="157"/>
        <v>0</v>
      </c>
      <c r="J3342" s="365">
        <f t="shared" si="156"/>
        <v>0</v>
      </c>
      <c r="K3342" s="369">
        <f t="shared" si="158"/>
        <v>6</v>
      </c>
      <c r="L3342" s="369">
        <f>+IF((C3342&gt;='Resultats - informe'!$E$16)*(C3342&lt;='Resultats - informe'!$G$16),1,0)</f>
        <v>1</v>
      </c>
      <c r="M3342" s="369" cm="1">
        <f t="array" ref="M3342">+_xlfn.IFS((C3342&gt;='Resultats - informe'!$D$26)*(C3342&lt;='Resultats - informe'!$E$26),0,(C3342&gt;='Resultats - informe'!$D$27)*(C3342&lt;='Resultats - informe'!$E$27),0,(C3342&gt;='Resultats - informe'!$D$28)*(C3342&lt;='Resultats - informe'!$E$28),0,(C3342&gt;='Resultats - informe'!$D$29)*(C3342&lt;='Resultats - informe'!$E$29),0,1,1)</f>
        <v>0</v>
      </c>
      <c r="N3342" s="366">
        <f>+VLOOKUP(D3342,'Resultats - informe'!$Y$18:$AG$42,'Introducció dades consum'!K3342+1,0)</f>
        <v>0</v>
      </c>
      <c r="O3342" s="370" cm="1">
        <f t="array" ref="O3342">+_xlfn.SWITCH(MONTH(C3342),1,1,2,1,3,1,4,2,5,2,6,3,7,3,8,3,9,3,10,2,11,2,12,1,2)</f>
        <v>1</v>
      </c>
      <c r="P3342" s="43"/>
    </row>
    <row r="3343" spans="1:16" ht="18" x14ac:dyDescent="0.35">
      <c r="A3343" s="43"/>
      <c r="C3343" s="393"/>
      <c r="E3343" s="394"/>
      <c r="F3343" s="394">
        <v>0</v>
      </c>
      <c r="G3343" s="394"/>
      <c r="H3343" s="8" t="s">
        <v>235</v>
      </c>
      <c r="I3343" s="368">
        <f t="shared" si="157"/>
        <v>0</v>
      </c>
      <c r="J3343" s="365">
        <f t="shared" si="156"/>
        <v>0</v>
      </c>
      <c r="K3343" s="369">
        <f t="shared" si="158"/>
        <v>6</v>
      </c>
      <c r="L3343" s="369">
        <f>+IF((C3343&gt;='Resultats - informe'!$E$16)*(C3343&lt;='Resultats - informe'!$G$16),1,0)</f>
        <v>1</v>
      </c>
      <c r="M3343" s="369" cm="1">
        <f t="array" ref="M3343">+_xlfn.IFS((C3343&gt;='Resultats - informe'!$D$26)*(C3343&lt;='Resultats - informe'!$E$26),0,(C3343&gt;='Resultats - informe'!$D$27)*(C3343&lt;='Resultats - informe'!$E$27),0,(C3343&gt;='Resultats - informe'!$D$28)*(C3343&lt;='Resultats - informe'!$E$28),0,(C3343&gt;='Resultats - informe'!$D$29)*(C3343&lt;='Resultats - informe'!$E$29),0,1,1)</f>
        <v>0</v>
      </c>
      <c r="N3343" s="366">
        <f>+VLOOKUP(D3343,'Resultats - informe'!$Y$18:$AG$42,'Introducció dades consum'!K3343+1,0)</f>
        <v>0</v>
      </c>
      <c r="O3343" s="370" cm="1">
        <f t="array" ref="O3343">+_xlfn.SWITCH(MONTH(C3343),1,1,2,1,3,1,4,2,5,2,6,3,7,3,8,3,9,3,10,2,11,2,12,1,2)</f>
        <v>1</v>
      </c>
      <c r="P3343" s="43"/>
    </row>
    <row r="3344" spans="1:16" ht="18" x14ac:dyDescent="0.35">
      <c r="A3344" s="43"/>
      <c r="C3344" s="393"/>
      <c r="E3344" s="394"/>
      <c r="F3344" s="394">
        <v>0</v>
      </c>
      <c r="G3344" s="394"/>
      <c r="H3344" s="8" t="s">
        <v>235</v>
      </c>
      <c r="I3344" s="368">
        <f t="shared" si="157"/>
        <v>0</v>
      </c>
      <c r="J3344" s="365">
        <f t="shared" si="156"/>
        <v>0</v>
      </c>
      <c r="K3344" s="369">
        <f t="shared" si="158"/>
        <v>6</v>
      </c>
      <c r="L3344" s="369">
        <f>+IF((C3344&gt;='Resultats - informe'!$E$16)*(C3344&lt;='Resultats - informe'!$G$16),1,0)</f>
        <v>1</v>
      </c>
      <c r="M3344" s="369" cm="1">
        <f t="array" ref="M3344">+_xlfn.IFS((C3344&gt;='Resultats - informe'!$D$26)*(C3344&lt;='Resultats - informe'!$E$26),0,(C3344&gt;='Resultats - informe'!$D$27)*(C3344&lt;='Resultats - informe'!$E$27),0,(C3344&gt;='Resultats - informe'!$D$28)*(C3344&lt;='Resultats - informe'!$E$28),0,(C3344&gt;='Resultats - informe'!$D$29)*(C3344&lt;='Resultats - informe'!$E$29),0,1,1)</f>
        <v>0</v>
      </c>
      <c r="N3344" s="366">
        <f>+VLOOKUP(D3344,'Resultats - informe'!$Y$18:$AG$42,'Introducció dades consum'!K3344+1,0)</f>
        <v>0</v>
      </c>
      <c r="O3344" s="370" cm="1">
        <f t="array" ref="O3344">+_xlfn.SWITCH(MONTH(C3344),1,1,2,1,3,1,4,2,5,2,6,3,7,3,8,3,9,3,10,2,11,2,12,1,2)</f>
        <v>1</v>
      </c>
      <c r="P3344" s="43"/>
    </row>
    <row r="3345" spans="1:16" ht="18" x14ac:dyDescent="0.35">
      <c r="A3345" s="43"/>
      <c r="C3345" s="393"/>
      <c r="E3345" s="394"/>
      <c r="F3345" s="394">
        <v>0</v>
      </c>
      <c r="G3345" s="394"/>
      <c r="H3345" s="8" t="s">
        <v>61</v>
      </c>
      <c r="I3345" s="368">
        <f t="shared" si="157"/>
        <v>0</v>
      </c>
      <c r="J3345" s="365">
        <f t="shared" si="156"/>
        <v>0</v>
      </c>
      <c r="K3345" s="369">
        <f t="shared" si="158"/>
        <v>6</v>
      </c>
      <c r="L3345" s="369">
        <f>+IF((C3345&gt;='Resultats - informe'!$E$16)*(C3345&lt;='Resultats - informe'!$G$16),1,0)</f>
        <v>1</v>
      </c>
      <c r="M3345" s="369" cm="1">
        <f t="array" ref="M3345">+_xlfn.IFS((C3345&gt;='Resultats - informe'!$D$26)*(C3345&lt;='Resultats - informe'!$E$26),0,(C3345&gt;='Resultats - informe'!$D$27)*(C3345&lt;='Resultats - informe'!$E$27),0,(C3345&gt;='Resultats - informe'!$D$28)*(C3345&lt;='Resultats - informe'!$E$28),0,(C3345&gt;='Resultats - informe'!$D$29)*(C3345&lt;='Resultats - informe'!$E$29),0,1,1)</f>
        <v>0</v>
      </c>
      <c r="N3345" s="366">
        <f>+VLOOKUP(D3345,'Resultats - informe'!$Y$18:$AG$42,'Introducció dades consum'!K3345+1,0)</f>
        <v>0</v>
      </c>
      <c r="O3345" s="370" cm="1">
        <f t="array" ref="O3345">+_xlfn.SWITCH(MONTH(C3345),1,1,2,1,3,1,4,2,5,2,6,3,7,3,8,3,9,3,10,2,11,2,12,1,2)</f>
        <v>1</v>
      </c>
      <c r="P3345" s="43"/>
    </row>
    <row r="3346" spans="1:16" ht="18" x14ac:dyDescent="0.35">
      <c r="A3346" s="43"/>
      <c r="C3346" s="393"/>
      <c r="E3346" s="394"/>
      <c r="F3346" s="394">
        <v>0</v>
      </c>
      <c r="G3346" s="394"/>
      <c r="H3346" s="8" t="s">
        <v>61</v>
      </c>
      <c r="I3346" s="368">
        <f t="shared" si="157"/>
        <v>0</v>
      </c>
      <c r="J3346" s="365">
        <f t="shared" si="156"/>
        <v>0</v>
      </c>
      <c r="K3346" s="369">
        <f t="shared" si="158"/>
        <v>6</v>
      </c>
      <c r="L3346" s="369">
        <f>+IF((C3346&gt;='Resultats - informe'!$E$16)*(C3346&lt;='Resultats - informe'!$G$16),1,0)</f>
        <v>1</v>
      </c>
      <c r="M3346" s="369" cm="1">
        <f t="array" ref="M3346">+_xlfn.IFS((C3346&gt;='Resultats - informe'!$D$26)*(C3346&lt;='Resultats - informe'!$E$26),0,(C3346&gt;='Resultats - informe'!$D$27)*(C3346&lt;='Resultats - informe'!$E$27),0,(C3346&gt;='Resultats - informe'!$D$28)*(C3346&lt;='Resultats - informe'!$E$28),0,(C3346&gt;='Resultats - informe'!$D$29)*(C3346&lt;='Resultats - informe'!$E$29),0,1,1)</f>
        <v>0</v>
      </c>
      <c r="N3346" s="366">
        <f>+VLOOKUP(D3346,'Resultats - informe'!$Y$18:$AG$42,'Introducció dades consum'!K3346+1,0)</f>
        <v>0</v>
      </c>
      <c r="O3346" s="370" cm="1">
        <f t="array" ref="O3346">+_xlfn.SWITCH(MONTH(C3346),1,1,2,1,3,1,4,2,5,2,6,3,7,3,8,3,9,3,10,2,11,2,12,1,2)</f>
        <v>1</v>
      </c>
      <c r="P3346" s="43"/>
    </row>
    <row r="3347" spans="1:16" ht="18" x14ac:dyDescent="0.35">
      <c r="A3347" s="43"/>
      <c r="C3347" s="393"/>
      <c r="E3347" s="394"/>
      <c r="F3347" s="394">
        <v>0</v>
      </c>
      <c r="G3347" s="394"/>
      <c r="H3347" s="8" t="s">
        <v>61</v>
      </c>
      <c r="I3347" s="368">
        <f t="shared" si="157"/>
        <v>0</v>
      </c>
      <c r="J3347" s="365">
        <f t="shared" si="156"/>
        <v>0</v>
      </c>
      <c r="K3347" s="369">
        <f t="shared" si="158"/>
        <v>6</v>
      </c>
      <c r="L3347" s="369">
        <f>+IF((C3347&gt;='Resultats - informe'!$E$16)*(C3347&lt;='Resultats - informe'!$G$16),1,0)</f>
        <v>1</v>
      </c>
      <c r="M3347" s="369" cm="1">
        <f t="array" ref="M3347">+_xlfn.IFS((C3347&gt;='Resultats - informe'!$D$26)*(C3347&lt;='Resultats - informe'!$E$26),0,(C3347&gt;='Resultats - informe'!$D$27)*(C3347&lt;='Resultats - informe'!$E$27),0,(C3347&gt;='Resultats - informe'!$D$28)*(C3347&lt;='Resultats - informe'!$E$28),0,(C3347&gt;='Resultats - informe'!$D$29)*(C3347&lt;='Resultats - informe'!$E$29),0,1,1)</f>
        <v>0</v>
      </c>
      <c r="N3347" s="366">
        <f>+VLOOKUP(D3347,'Resultats - informe'!$Y$18:$AG$42,'Introducció dades consum'!K3347+1,0)</f>
        <v>0</v>
      </c>
      <c r="O3347" s="370" cm="1">
        <f t="array" ref="O3347">+_xlfn.SWITCH(MONTH(C3347),1,1,2,1,3,1,4,2,5,2,6,3,7,3,8,3,9,3,10,2,11,2,12,1,2)</f>
        <v>1</v>
      </c>
      <c r="P3347" s="43"/>
    </row>
    <row r="3348" spans="1:16" ht="18" x14ac:dyDescent="0.35">
      <c r="A3348" s="43"/>
      <c r="C3348" s="393"/>
      <c r="E3348" s="394"/>
      <c r="F3348" s="394">
        <v>0</v>
      </c>
      <c r="G3348" s="394"/>
      <c r="H3348" s="8" t="s">
        <v>61</v>
      </c>
      <c r="I3348" s="368">
        <f t="shared" si="157"/>
        <v>0</v>
      </c>
      <c r="J3348" s="365">
        <f t="shared" si="156"/>
        <v>0</v>
      </c>
      <c r="K3348" s="369">
        <f t="shared" si="158"/>
        <v>6</v>
      </c>
      <c r="L3348" s="369">
        <f>+IF((C3348&gt;='Resultats - informe'!$E$16)*(C3348&lt;='Resultats - informe'!$G$16),1,0)</f>
        <v>1</v>
      </c>
      <c r="M3348" s="369" cm="1">
        <f t="array" ref="M3348">+_xlfn.IFS((C3348&gt;='Resultats - informe'!$D$26)*(C3348&lt;='Resultats - informe'!$E$26),0,(C3348&gt;='Resultats - informe'!$D$27)*(C3348&lt;='Resultats - informe'!$E$27),0,(C3348&gt;='Resultats - informe'!$D$28)*(C3348&lt;='Resultats - informe'!$E$28),0,(C3348&gt;='Resultats - informe'!$D$29)*(C3348&lt;='Resultats - informe'!$E$29),0,1,1)</f>
        <v>0</v>
      </c>
      <c r="N3348" s="366">
        <f>+VLOOKUP(D3348,'Resultats - informe'!$Y$18:$AG$42,'Introducció dades consum'!K3348+1,0)</f>
        <v>0</v>
      </c>
      <c r="O3348" s="370" cm="1">
        <f t="array" ref="O3348">+_xlfn.SWITCH(MONTH(C3348),1,1,2,1,3,1,4,2,5,2,6,3,7,3,8,3,9,3,10,2,11,2,12,1,2)</f>
        <v>1</v>
      </c>
      <c r="P3348" s="43"/>
    </row>
    <row r="3349" spans="1:16" ht="18" x14ac:dyDescent="0.35">
      <c r="A3349" s="43"/>
      <c r="C3349" s="393"/>
      <c r="E3349" s="394"/>
      <c r="F3349" s="394">
        <v>2.8170000000000002</v>
      </c>
      <c r="G3349" s="394"/>
      <c r="H3349" s="8" t="s">
        <v>235</v>
      </c>
      <c r="I3349" s="368">
        <f t="shared" si="157"/>
        <v>0</v>
      </c>
      <c r="J3349" s="365">
        <f t="shared" si="156"/>
        <v>0</v>
      </c>
      <c r="K3349" s="369">
        <f t="shared" si="158"/>
        <v>6</v>
      </c>
      <c r="L3349" s="369">
        <f>+IF((C3349&gt;='Resultats - informe'!$E$16)*(C3349&lt;='Resultats - informe'!$G$16),1,0)</f>
        <v>1</v>
      </c>
      <c r="M3349" s="369" cm="1">
        <f t="array" ref="M3349">+_xlfn.IFS((C3349&gt;='Resultats - informe'!$D$26)*(C3349&lt;='Resultats - informe'!$E$26),0,(C3349&gt;='Resultats - informe'!$D$27)*(C3349&lt;='Resultats - informe'!$E$27),0,(C3349&gt;='Resultats - informe'!$D$28)*(C3349&lt;='Resultats - informe'!$E$28),0,(C3349&gt;='Resultats - informe'!$D$29)*(C3349&lt;='Resultats - informe'!$E$29),0,1,1)</f>
        <v>0</v>
      </c>
      <c r="N3349" s="366">
        <f>+VLOOKUP(D3349,'Resultats - informe'!$Y$18:$AG$42,'Introducció dades consum'!K3349+1,0)</f>
        <v>0</v>
      </c>
      <c r="O3349" s="370" cm="1">
        <f t="array" ref="O3349">+_xlfn.SWITCH(MONTH(C3349),1,1,2,1,3,1,4,2,5,2,6,3,7,3,8,3,9,3,10,2,11,2,12,1,2)</f>
        <v>1</v>
      </c>
      <c r="P3349" s="43"/>
    </row>
    <row r="3350" spans="1:16" ht="18" x14ac:dyDescent="0.35">
      <c r="A3350" s="43"/>
      <c r="C3350" s="393"/>
      <c r="E3350" s="394"/>
      <c r="F3350" s="394">
        <v>3.6720000000000002</v>
      </c>
      <c r="G3350" s="394"/>
      <c r="H3350" s="8" t="s">
        <v>235</v>
      </c>
      <c r="I3350" s="368">
        <f t="shared" si="157"/>
        <v>0</v>
      </c>
      <c r="J3350" s="365">
        <f t="shared" si="156"/>
        <v>0</v>
      </c>
      <c r="K3350" s="369">
        <f t="shared" si="158"/>
        <v>6</v>
      </c>
      <c r="L3350" s="369">
        <f>+IF((C3350&gt;='Resultats - informe'!$E$16)*(C3350&lt;='Resultats - informe'!$G$16),1,0)</f>
        <v>1</v>
      </c>
      <c r="M3350" s="369" cm="1">
        <f t="array" ref="M3350">+_xlfn.IFS((C3350&gt;='Resultats - informe'!$D$26)*(C3350&lt;='Resultats - informe'!$E$26),0,(C3350&gt;='Resultats - informe'!$D$27)*(C3350&lt;='Resultats - informe'!$E$27),0,(C3350&gt;='Resultats - informe'!$D$28)*(C3350&lt;='Resultats - informe'!$E$28),0,(C3350&gt;='Resultats - informe'!$D$29)*(C3350&lt;='Resultats - informe'!$E$29),0,1,1)</f>
        <v>0</v>
      </c>
      <c r="N3350" s="366">
        <f>+VLOOKUP(D3350,'Resultats - informe'!$Y$18:$AG$42,'Introducció dades consum'!K3350+1,0)</f>
        <v>0</v>
      </c>
      <c r="O3350" s="370" cm="1">
        <f t="array" ref="O3350">+_xlfn.SWITCH(MONTH(C3350),1,1,2,1,3,1,4,2,5,2,6,3,7,3,8,3,9,3,10,2,11,2,12,1,2)</f>
        <v>1</v>
      </c>
      <c r="P3350" s="43"/>
    </row>
    <row r="3351" spans="1:16" ht="18" x14ac:dyDescent="0.35">
      <c r="A3351" s="43"/>
      <c r="C3351" s="393"/>
      <c r="E3351" s="394"/>
      <c r="F3351" s="394">
        <v>3.875</v>
      </c>
      <c r="G3351" s="394"/>
      <c r="H3351" s="8" t="s">
        <v>235</v>
      </c>
      <c r="I3351" s="368">
        <f t="shared" si="157"/>
        <v>0</v>
      </c>
      <c r="J3351" s="365">
        <f t="shared" si="156"/>
        <v>0</v>
      </c>
      <c r="K3351" s="369">
        <f t="shared" si="158"/>
        <v>6</v>
      </c>
      <c r="L3351" s="369">
        <f>+IF((C3351&gt;='Resultats - informe'!$E$16)*(C3351&lt;='Resultats - informe'!$G$16),1,0)</f>
        <v>1</v>
      </c>
      <c r="M3351" s="369" cm="1">
        <f t="array" ref="M3351">+_xlfn.IFS((C3351&gt;='Resultats - informe'!$D$26)*(C3351&lt;='Resultats - informe'!$E$26),0,(C3351&gt;='Resultats - informe'!$D$27)*(C3351&lt;='Resultats - informe'!$E$27),0,(C3351&gt;='Resultats - informe'!$D$28)*(C3351&lt;='Resultats - informe'!$E$28),0,(C3351&gt;='Resultats - informe'!$D$29)*(C3351&lt;='Resultats - informe'!$E$29),0,1,1)</f>
        <v>0</v>
      </c>
      <c r="N3351" s="366">
        <f>+VLOOKUP(D3351,'Resultats - informe'!$Y$18:$AG$42,'Introducció dades consum'!K3351+1,0)</f>
        <v>0</v>
      </c>
      <c r="O3351" s="370" cm="1">
        <f t="array" ref="O3351">+_xlfn.SWITCH(MONTH(C3351),1,1,2,1,3,1,4,2,5,2,6,3,7,3,8,3,9,3,10,2,11,2,12,1,2)</f>
        <v>1</v>
      </c>
      <c r="P3351" s="43"/>
    </row>
    <row r="3352" spans="1:16" ht="18" x14ac:dyDescent="0.35">
      <c r="A3352" s="43"/>
      <c r="C3352" s="393"/>
      <c r="E3352" s="394"/>
      <c r="F3352" s="394">
        <v>3.7240000000000002</v>
      </c>
      <c r="G3352" s="394"/>
      <c r="H3352" s="8" t="s">
        <v>235</v>
      </c>
      <c r="I3352" s="368">
        <f t="shared" si="157"/>
        <v>0</v>
      </c>
      <c r="J3352" s="365">
        <f t="shared" si="156"/>
        <v>0</v>
      </c>
      <c r="K3352" s="369">
        <f t="shared" si="158"/>
        <v>6</v>
      </c>
      <c r="L3352" s="369">
        <f>+IF((C3352&gt;='Resultats - informe'!$E$16)*(C3352&lt;='Resultats - informe'!$G$16),1,0)</f>
        <v>1</v>
      </c>
      <c r="M3352" s="369" cm="1">
        <f t="array" ref="M3352">+_xlfn.IFS((C3352&gt;='Resultats - informe'!$D$26)*(C3352&lt;='Resultats - informe'!$E$26),0,(C3352&gt;='Resultats - informe'!$D$27)*(C3352&lt;='Resultats - informe'!$E$27),0,(C3352&gt;='Resultats - informe'!$D$28)*(C3352&lt;='Resultats - informe'!$E$28),0,(C3352&gt;='Resultats - informe'!$D$29)*(C3352&lt;='Resultats - informe'!$E$29),0,1,1)</f>
        <v>0</v>
      </c>
      <c r="N3352" s="366">
        <f>+VLOOKUP(D3352,'Resultats - informe'!$Y$18:$AG$42,'Introducció dades consum'!K3352+1,0)</f>
        <v>0</v>
      </c>
      <c r="O3352" s="370" cm="1">
        <f t="array" ref="O3352">+_xlfn.SWITCH(MONTH(C3352),1,1,2,1,3,1,4,2,5,2,6,3,7,3,8,3,9,3,10,2,11,2,12,1,2)</f>
        <v>1</v>
      </c>
      <c r="P3352" s="43"/>
    </row>
    <row r="3353" spans="1:16" ht="18" x14ac:dyDescent="0.35">
      <c r="A3353" s="43"/>
      <c r="C3353" s="393"/>
      <c r="E3353" s="394"/>
      <c r="F3353" s="394">
        <v>3.1320000000000001</v>
      </c>
      <c r="G3353" s="394"/>
      <c r="H3353" s="8" t="s">
        <v>235</v>
      </c>
      <c r="I3353" s="368">
        <f t="shared" si="157"/>
        <v>0</v>
      </c>
      <c r="J3353" s="365">
        <f t="shared" si="156"/>
        <v>0</v>
      </c>
      <c r="K3353" s="369">
        <f t="shared" si="158"/>
        <v>6</v>
      </c>
      <c r="L3353" s="369">
        <f>+IF((C3353&gt;='Resultats - informe'!$E$16)*(C3353&lt;='Resultats - informe'!$G$16),1,0)</f>
        <v>1</v>
      </c>
      <c r="M3353" s="369" cm="1">
        <f t="array" ref="M3353">+_xlfn.IFS((C3353&gt;='Resultats - informe'!$D$26)*(C3353&lt;='Resultats - informe'!$E$26),0,(C3353&gt;='Resultats - informe'!$D$27)*(C3353&lt;='Resultats - informe'!$E$27),0,(C3353&gt;='Resultats - informe'!$D$28)*(C3353&lt;='Resultats - informe'!$E$28),0,(C3353&gt;='Resultats - informe'!$D$29)*(C3353&lt;='Resultats - informe'!$E$29),0,1,1)</f>
        <v>0</v>
      </c>
      <c r="N3353" s="366">
        <f>+VLOOKUP(D3353,'Resultats - informe'!$Y$18:$AG$42,'Introducció dades consum'!K3353+1,0)</f>
        <v>0</v>
      </c>
      <c r="O3353" s="370" cm="1">
        <f t="array" ref="O3353">+_xlfn.SWITCH(MONTH(C3353),1,1,2,1,3,1,4,2,5,2,6,3,7,3,8,3,9,3,10,2,11,2,12,1,2)</f>
        <v>1</v>
      </c>
      <c r="P3353" s="43"/>
    </row>
    <row r="3354" spans="1:16" ht="18" x14ac:dyDescent="0.35">
      <c r="A3354" s="43"/>
      <c r="C3354" s="393"/>
      <c r="E3354" s="394"/>
      <c r="F3354" s="394">
        <v>2.3330000000000002</v>
      </c>
      <c r="G3354" s="394"/>
      <c r="H3354" s="8" t="s">
        <v>235</v>
      </c>
      <c r="I3354" s="368">
        <f t="shared" si="157"/>
        <v>0</v>
      </c>
      <c r="J3354" s="365">
        <f t="shared" si="156"/>
        <v>0</v>
      </c>
      <c r="K3354" s="369">
        <f t="shared" si="158"/>
        <v>6</v>
      </c>
      <c r="L3354" s="369">
        <f>+IF((C3354&gt;='Resultats - informe'!$E$16)*(C3354&lt;='Resultats - informe'!$G$16),1,0)</f>
        <v>1</v>
      </c>
      <c r="M3354" s="369" cm="1">
        <f t="array" ref="M3354">+_xlfn.IFS((C3354&gt;='Resultats - informe'!$D$26)*(C3354&lt;='Resultats - informe'!$E$26),0,(C3354&gt;='Resultats - informe'!$D$27)*(C3354&lt;='Resultats - informe'!$E$27),0,(C3354&gt;='Resultats - informe'!$D$28)*(C3354&lt;='Resultats - informe'!$E$28),0,(C3354&gt;='Resultats - informe'!$D$29)*(C3354&lt;='Resultats - informe'!$E$29),0,1,1)</f>
        <v>0</v>
      </c>
      <c r="N3354" s="366">
        <f>+VLOOKUP(D3354,'Resultats - informe'!$Y$18:$AG$42,'Introducció dades consum'!K3354+1,0)</f>
        <v>0</v>
      </c>
      <c r="O3354" s="370" cm="1">
        <f t="array" ref="O3354">+_xlfn.SWITCH(MONTH(C3354),1,1,2,1,3,1,4,2,5,2,6,3,7,3,8,3,9,3,10,2,11,2,12,1,2)</f>
        <v>1</v>
      </c>
      <c r="P3354" s="43"/>
    </row>
    <row r="3355" spans="1:16" ht="18" x14ac:dyDescent="0.35">
      <c r="A3355" s="43"/>
      <c r="C3355" s="393"/>
      <c r="E3355" s="394"/>
      <c r="F3355" s="394">
        <v>1.1100000000000001</v>
      </c>
      <c r="G3355" s="394"/>
      <c r="H3355" s="8" t="s">
        <v>61</v>
      </c>
      <c r="I3355" s="368">
        <f t="shared" si="157"/>
        <v>0</v>
      </c>
      <c r="J3355" s="365">
        <f t="shared" si="156"/>
        <v>0</v>
      </c>
      <c r="K3355" s="369">
        <f t="shared" si="158"/>
        <v>6</v>
      </c>
      <c r="L3355" s="369">
        <f>+IF((C3355&gt;='Resultats - informe'!$E$16)*(C3355&lt;='Resultats - informe'!$G$16),1,0)</f>
        <v>1</v>
      </c>
      <c r="M3355" s="369" cm="1">
        <f t="array" ref="M3355">+_xlfn.IFS((C3355&gt;='Resultats - informe'!$D$26)*(C3355&lt;='Resultats - informe'!$E$26),0,(C3355&gt;='Resultats - informe'!$D$27)*(C3355&lt;='Resultats - informe'!$E$27),0,(C3355&gt;='Resultats - informe'!$D$28)*(C3355&lt;='Resultats - informe'!$E$28),0,(C3355&gt;='Resultats - informe'!$D$29)*(C3355&lt;='Resultats - informe'!$E$29),0,1,1)</f>
        <v>0</v>
      </c>
      <c r="N3355" s="366">
        <f>+VLOOKUP(D3355,'Resultats - informe'!$Y$18:$AG$42,'Introducció dades consum'!K3355+1,0)</f>
        <v>0</v>
      </c>
      <c r="O3355" s="370" cm="1">
        <f t="array" ref="O3355">+_xlfn.SWITCH(MONTH(C3355),1,1,2,1,3,1,4,2,5,2,6,3,7,3,8,3,9,3,10,2,11,2,12,1,2)</f>
        <v>1</v>
      </c>
      <c r="P3355" s="43"/>
    </row>
    <row r="3356" spans="1:16" ht="18" x14ac:dyDescent="0.35">
      <c r="A3356" s="43"/>
      <c r="C3356" s="393"/>
      <c r="E3356" s="394"/>
      <c r="F3356" s="394">
        <v>1.1919999999999999</v>
      </c>
      <c r="G3356" s="394"/>
      <c r="H3356" s="8" t="s">
        <v>61</v>
      </c>
      <c r="I3356" s="368">
        <f t="shared" si="157"/>
        <v>0</v>
      </c>
      <c r="J3356" s="365">
        <f t="shared" si="156"/>
        <v>0</v>
      </c>
      <c r="K3356" s="369">
        <f t="shared" si="158"/>
        <v>6</v>
      </c>
      <c r="L3356" s="369">
        <f>+IF((C3356&gt;='Resultats - informe'!$E$16)*(C3356&lt;='Resultats - informe'!$G$16),1,0)</f>
        <v>1</v>
      </c>
      <c r="M3356" s="369" cm="1">
        <f t="array" ref="M3356">+_xlfn.IFS((C3356&gt;='Resultats - informe'!$D$26)*(C3356&lt;='Resultats - informe'!$E$26),0,(C3356&gt;='Resultats - informe'!$D$27)*(C3356&lt;='Resultats - informe'!$E$27),0,(C3356&gt;='Resultats - informe'!$D$28)*(C3356&lt;='Resultats - informe'!$E$28),0,(C3356&gt;='Resultats - informe'!$D$29)*(C3356&lt;='Resultats - informe'!$E$29),0,1,1)</f>
        <v>0</v>
      </c>
      <c r="N3356" s="366">
        <f>+VLOOKUP(D3356,'Resultats - informe'!$Y$18:$AG$42,'Introducció dades consum'!K3356+1,0)</f>
        <v>0</v>
      </c>
      <c r="O3356" s="370" cm="1">
        <f t="array" ref="O3356">+_xlfn.SWITCH(MONTH(C3356),1,1,2,1,3,1,4,2,5,2,6,3,7,3,8,3,9,3,10,2,11,2,12,1,2)</f>
        <v>1</v>
      </c>
      <c r="P3356" s="43"/>
    </row>
    <row r="3357" spans="1:16" ht="18" x14ac:dyDescent="0.35">
      <c r="A3357" s="43"/>
      <c r="C3357" s="393"/>
      <c r="E3357" s="394"/>
      <c r="F3357" s="394">
        <v>0</v>
      </c>
      <c r="G3357" s="394"/>
      <c r="H3357" s="8" t="s">
        <v>235</v>
      </c>
      <c r="I3357" s="368">
        <f t="shared" si="157"/>
        <v>0</v>
      </c>
      <c r="J3357" s="365">
        <f t="shared" si="156"/>
        <v>0</v>
      </c>
      <c r="K3357" s="369">
        <f t="shared" si="158"/>
        <v>6</v>
      </c>
      <c r="L3357" s="369">
        <f>+IF((C3357&gt;='Resultats - informe'!$E$16)*(C3357&lt;='Resultats - informe'!$G$16),1,0)</f>
        <v>1</v>
      </c>
      <c r="M3357" s="369" cm="1">
        <f t="array" ref="M3357">+_xlfn.IFS((C3357&gt;='Resultats - informe'!$D$26)*(C3357&lt;='Resultats - informe'!$E$26),0,(C3357&gt;='Resultats - informe'!$D$27)*(C3357&lt;='Resultats - informe'!$E$27),0,(C3357&gt;='Resultats - informe'!$D$28)*(C3357&lt;='Resultats - informe'!$E$28),0,(C3357&gt;='Resultats - informe'!$D$29)*(C3357&lt;='Resultats - informe'!$E$29),0,1,1)</f>
        <v>0</v>
      </c>
      <c r="N3357" s="366">
        <f>+VLOOKUP(D3357,'Resultats - informe'!$Y$18:$AG$42,'Introducció dades consum'!K3357+1,0)</f>
        <v>0</v>
      </c>
      <c r="O3357" s="370" cm="1">
        <f t="array" ref="O3357">+_xlfn.SWITCH(MONTH(C3357),1,1,2,1,3,1,4,2,5,2,6,3,7,3,8,3,9,3,10,2,11,2,12,1,2)</f>
        <v>1</v>
      </c>
      <c r="P3357" s="43"/>
    </row>
    <row r="3358" spans="1:16" ht="18" x14ac:dyDescent="0.35">
      <c r="A3358" s="43"/>
      <c r="C3358" s="393"/>
      <c r="E3358" s="394"/>
      <c r="F3358" s="394">
        <v>0</v>
      </c>
      <c r="G3358" s="394"/>
      <c r="H3358" s="8" t="s">
        <v>235</v>
      </c>
      <c r="I3358" s="368">
        <f t="shared" si="157"/>
        <v>0</v>
      </c>
      <c r="J3358" s="365">
        <f t="shared" si="156"/>
        <v>0</v>
      </c>
      <c r="K3358" s="369">
        <f t="shared" si="158"/>
        <v>6</v>
      </c>
      <c r="L3358" s="369">
        <f>+IF((C3358&gt;='Resultats - informe'!$E$16)*(C3358&lt;='Resultats - informe'!$G$16),1,0)</f>
        <v>1</v>
      </c>
      <c r="M3358" s="369" cm="1">
        <f t="array" ref="M3358">+_xlfn.IFS((C3358&gt;='Resultats - informe'!$D$26)*(C3358&lt;='Resultats - informe'!$E$26),0,(C3358&gt;='Resultats - informe'!$D$27)*(C3358&lt;='Resultats - informe'!$E$27),0,(C3358&gt;='Resultats - informe'!$D$28)*(C3358&lt;='Resultats - informe'!$E$28),0,(C3358&gt;='Resultats - informe'!$D$29)*(C3358&lt;='Resultats - informe'!$E$29),0,1,1)</f>
        <v>0</v>
      </c>
      <c r="N3358" s="366">
        <f>+VLOOKUP(D3358,'Resultats - informe'!$Y$18:$AG$42,'Introducció dades consum'!K3358+1,0)</f>
        <v>0</v>
      </c>
      <c r="O3358" s="370" cm="1">
        <f t="array" ref="O3358">+_xlfn.SWITCH(MONTH(C3358),1,1,2,1,3,1,4,2,5,2,6,3,7,3,8,3,9,3,10,2,11,2,12,1,2)</f>
        <v>1</v>
      </c>
      <c r="P3358" s="43"/>
    </row>
    <row r="3359" spans="1:16" ht="18" x14ac:dyDescent="0.35">
      <c r="A3359" s="43"/>
      <c r="C3359" s="393"/>
      <c r="E3359" s="394"/>
      <c r="F3359" s="394">
        <v>0.13400000000000001</v>
      </c>
      <c r="G3359" s="394"/>
      <c r="H3359" s="8" t="s">
        <v>61</v>
      </c>
      <c r="I3359" s="368">
        <f t="shared" si="157"/>
        <v>0</v>
      </c>
      <c r="J3359" s="365">
        <f t="shared" si="156"/>
        <v>0</v>
      </c>
      <c r="K3359" s="369">
        <f t="shared" si="158"/>
        <v>6</v>
      </c>
      <c r="L3359" s="369">
        <f>+IF((C3359&gt;='Resultats - informe'!$E$16)*(C3359&lt;='Resultats - informe'!$G$16),1,0)</f>
        <v>1</v>
      </c>
      <c r="M3359" s="369" cm="1">
        <f t="array" ref="M3359">+_xlfn.IFS((C3359&gt;='Resultats - informe'!$D$26)*(C3359&lt;='Resultats - informe'!$E$26),0,(C3359&gt;='Resultats - informe'!$D$27)*(C3359&lt;='Resultats - informe'!$E$27),0,(C3359&gt;='Resultats - informe'!$D$28)*(C3359&lt;='Resultats - informe'!$E$28),0,(C3359&gt;='Resultats - informe'!$D$29)*(C3359&lt;='Resultats - informe'!$E$29),0,1,1)</f>
        <v>0</v>
      </c>
      <c r="N3359" s="366">
        <f>+VLOOKUP(D3359,'Resultats - informe'!$Y$18:$AG$42,'Introducció dades consum'!K3359+1,0)</f>
        <v>0</v>
      </c>
      <c r="O3359" s="370" cm="1">
        <f t="array" ref="O3359">+_xlfn.SWITCH(MONTH(C3359),1,1,2,1,3,1,4,2,5,2,6,3,7,3,8,3,9,3,10,2,11,2,12,1,2)</f>
        <v>1</v>
      </c>
      <c r="P3359" s="43"/>
    </row>
    <row r="3360" spans="1:16" ht="18" x14ac:dyDescent="0.35">
      <c r="A3360" s="43"/>
      <c r="C3360" s="393"/>
      <c r="E3360" s="394"/>
      <c r="F3360" s="394">
        <v>0</v>
      </c>
      <c r="G3360" s="394"/>
      <c r="H3360" s="8" t="s">
        <v>61</v>
      </c>
      <c r="I3360" s="368">
        <f t="shared" si="157"/>
        <v>0</v>
      </c>
      <c r="J3360" s="365">
        <f t="shared" si="156"/>
        <v>0</v>
      </c>
      <c r="K3360" s="369">
        <f t="shared" si="158"/>
        <v>6</v>
      </c>
      <c r="L3360" s="369">
        <f>+IF((C3360&gt;='Resultats - informe'!$E$16)*(C3360&lt;='Resultats - informe'!$G$16),1,0)</f>
        <v>1</v>
      </c>
      <c r="M3360" s="369" cm="1">
        <f t="array" ref="M3360">+_xlfn.IFS((C3360&gt;='Resultats - informe'!$D$26)*(C3360&lt;='Resultats - informe'!$E$26),0,(C3360&gt;='Resultats - informe'!$D$27)*(C3360&lt;='Resultats - informe'!$E$27),0,(C3360&gt;='Resultats - informe'!$D$28)*(C3360&lt;='Resultats - informe'!$E$28),0,(C3360&gt;='Resultats - informe'!$D$29)*(C3360&lt;='Resultats - informe'!$E$29),0,1,1)</f>
        <v>0</v>
      </c>
      <c r="N3360" s="366">
        <f>+VLOOKUP(D3360,'Resultats - informe'!$Y$18:$AG$42,'Introducció dades consum'!K3360+1,0)</f>
        <v>0</v>
      </c>
      <c r="O3360" s="370" cm="1">
        <f t="array" ref="O3360">+_xlfn.SWITCH(MONTH(C3360),1,1,2,1,3,1,4,2,5,2,6,3,7,3,8,3,9,3,10,2,11,2,12,1,2)</f>
        <v>1</v>
      </c>
      <c r="P3360" s="43"/>
    </row>
    <row r="3361" spans="1:16" ht="18" x14ac:dyDescent="0.35">
      <c r="A3361" s="43"/>
      <c r="C3361" s="393"/>
      <c r="E3361" s="394"/>
      <c r="F3361" s="394">
        <v>0</v>
      </c>
      <c r="G3361" s="394"/>
      <c r="H3361" s="8" t="s">
        <v>61</v>
      </c>
      <c r="I3361" s="368">
        <f t="shared" si="157"/>
        <v>0</v>
      </c>
      <c r="J3361" s="365">
        <f t="shared" si="156"/>
        <v>0</v>
      </c>
      <c r="K3361" s="369">
        <f t="shared" si="158"/>
        <v>6</v>
      </c>
      <c r="L3361" s="369">
        <f>+IF((C3361&gt;='Resultats - informe'!$E$16)*(C3361&lt;='Resultats - informe'!$G$16),1,0)</f>
        <v>1</v>
      </c>
      <c r="M3361" s="369" cm="1">
        <f t="array" ref="M3361">+_xlfn.IFS((C3361&gt;='Resultats - informe'!$D$26)*(C3361&lt;='Resultats - informe'!$E$26),0,(C3361&gt;='Resultats - informe'!$D$27)*(C3361&lt;='Resultats - informe'!$E$27),0,(C3361&gt;='Resultats - informe'!$D$28)*(C3361&lt;='Resultats - informe'!$E$28),0,(C3361&gt;='Resultats - informe'!$D$29)*(C3361&lt;='Resultats - informe'!$E$29),0,1,1)</f>
        <v>0</v>
      </c>
      <c r="N3361" s="366">
        <f>+VLOOKUP(D3361,'Resultats - informe'!$Y$18:$AG$42,'Introducció dades consum'!K3361+1,0)</f>
        <v>0</v>
      </c>
      <c r="O3361" s="370" cm="1">
        <f t="array" ref="O3361">+_xlfn.SWITCH(MONTH(C3361),1,1,2,1,3,1,4,2,5,2,6,3,7,3,8,3,9,3,10,2,11,2,12,1,2)</f>
        <v>1</v>
      </c>
      <c r="P3361" s="43"/>
    </row>
    <row r="3362" spans="1:16" ht="18" x14ac:dyDescent="0.35">
      <c r="A3362" s="43"/>
      <c r="C3362" s="393"/>
      <c r="E3362" s="394"/>
      <c r="F3362" s="394">
        <v>0</v>
      </c>
      <c r="G3362" s="394"/>
      <c r="H3362" s="8" t="s">
        <v>61</v>
      </c>
      <c r="I3362" s="368">
        <f t="shared" si="157"/>
        <v>0</v>
      </c>
      <c r="J3362" s="365">
        <f t="shared" si="156"/>
        <v>0</v>
      </c>
      <c r="K3362" s="369">
        <f t="shared" si="158"/>
        <v>6</v>
      </c>
      <c r="L3362" s="369">
        <f>+IF((C3362&gt;='Resultats - informe'!$E$16)*(C3362&lt;='Resultats - informe'!$G$16),1,0)</f>
        <v>1</v>
      </c>
      <c r="M3362" s="369" cm="1">
        <f t="array" ref="M3362">+_xlfn.IFS((C3362&gt;='Resultats - informe'!$D$26)*(C3362&lt;='Resultats - informe'!$E$26),0,(C3362&gt;='Resultats - informe'!$D$27)*(C3362&lt;='Resultats - informe'!$E$27),0,(C3362&gt;='Resultats - informe'!$D$28)*(C3362&lt;='Resultats - informe'!$E$28),0,(C3362&gt;='Resultats - informe'!$D$29)*(C3362&lt;='Resultats - informe'!$E$29),0,1,1)</f>
        <v>0</v>
      </c>
      <c r="N3362" s="366">
        <f>+VLOOKUP(D3362,'Resultats - informe'!$Y$18:$AG$42,'Introducció dades consum'!K3362+1,0)</f>
        <v>0</v>
      </c>
      <c r="O3362" s="370" cm="1">
        <f t="array" ref="O3362">+_xlfn.SWITCH(MONTH(C3362),1,1,2,1,3,1,4,2,5,2,6,3,7,3,8,3,9,3,10,2,11,2,12,1,2)</f>
        <v>1</v>
      </c>
      <c r="P3362" s="43"/>
    </row>
    <row r="3363" spans="1:16" ht="18" x14ac:dyDescent="0.35">
      <c r="A3363" s="43"/>
      <c r="C3363" s="393"/>
      <c r="E3363" s="394"/>
      <c r="F3363" s="394">
        <v>0</v>
      </c>
      <c r="G3363" s="394"/>
      <c r="H3363" s="8" t="s">
        <v>61</v>
      </c>
      <c r="I3363" s="368">
        <f t="shared" si="157"/>
        <v>0</v>
      </c>
      <c r="J3363" s="365">
        <f t="shared" si="156"/>
        <v>0</v>
      </c>
      <c r="K3363" s="369">
        <f t="shared" si="158"/>
        <v>6</v>
      </c>
      <c r="L3363" s="369">
        <f>+IF((C3363&gt;='Resultats - informe'!$E$16)*(C3363&lt;='Resultats - informe'!$G$16),1,0)</f>
        <v>1</v>
      </c>
      <c r="M3363" s="369" cm="1">
        <f t="array" ref="M3363">+_xlfn.IFS((C3363&gt;='Resultats - informe'!$D$26)*(C3363&lt;='Resultats - informe'!$E$26),0,(C3363&gt;='Resultats - informe'!$D$27)*(C3363&lt;='Resultats - informe'!$E$27),0,(C3363&gt;='Resultats - informe'!$D$28)*(C3363&lt;='Resultats - informe'!$E$28),0,(C3363&gt;='Resultats - informe'!$D$29)*(C3363&lt;='Resultats - informe'!$E$29),0,1,1)</f>
        <v>0</v>
      </c>
      <c r="N3363" s="366">
        <f>+VLOOKUP(D3363,'Resultats - informe'!$Y$18:$AG$42,'Introducció dades consum'!K3363+1,0)</f>
        <v>0</v>
      </c>
      <c r="O3363" s="370" cm="1">
        <f t="array" ref="O3363">+_xlfn.SWITCH(MONTH(C3363),1,1,2,1,3,1,4,2,5,2,6,3,7,3,8,3,9,3,10,2,11,2,12,1,2)</f>
        <v>1</v>
      </c>
      <c r="P3363" s="43"/>
    </row>
    <row r="3364" spans="1:16" ht="18" x14ac:dyDescent="0.35">
      <c r="A3364" s="43"/>
      <c r="C3364" s="393"/>
      <c r="E3364" s="394"/>
      <c r="F3364" s="394">
        <v>0</v>
      </c>
      <c r="G3364" s="394"/>
      <c r="H3364" s="8" t="s">
        <v>235</v>
      </c>
      <c r="I3364" s="368">
        <f t="shared" si="157"/>
        <v>0</v>
      </c>
      <c r="J3364" s="365">
        <f t="shared" si="156"/>
        <v>0</v>
      </c>
      <c r="K3364" s="369">
        <f t="shared" si="158"/>
        <v>6</v>
      </c>
      <c r="L3364" s="369">
        <f>+IF((C3364&gt;='Resultats - informe'!$E$16)*(C3364&lt;='Resultats - informe'!$G$16),1,0)</f>
        <v>1</v>
      </c>
      <c r="M3364" s="369" cm="1">
        <f t="array" ref="M3364">+_xlfn.IFS((C3364&gt;='Resultats - informe'!$D$26)*(C3364&lt;='Resultats - informe'!$E$26),0,(C3364&gt;='Resultats - informe'!$D$27)*(C3364&lt;='Resultats - informe'!$E$27),0,(C3364&gt;='Resultats - informe'!$D$28)*(C3364&lt;='Resultats - informe'!$E$28),0,(C3364&gt;='Resultats - informe'!$D$29)*(C3364&lt;='Resultats - informe'!$E$29),0,1,1)</f>
        <v>0</v>
      </c>
      <c r="N3364" s="366">
        <f>+VLOOKUP(D3364,'Resultats - informe'!$Y$18:$AG$42,'Introducció dades consum'!K3364+1,0)</f>
        <v>0</v>
      </c>
      <c r="O3364" s="370" cm="1">
        <f t="array" ref="O3364">+_xlfn.SWITCH(MONTH(C3364),1,1,2,1,3,1,4,2,5,2,6,3,7,3,8,3,9,3,10,2,11,2,12,1,2)</f>
        <v>1</v>
      </c>
      <c r="P3364" s="43"/>
    </row>
    <row r="3365" spans="1:16" ht="18" x14ac:dyDescent="0.35">
      <c r="A3365" s="43"/>
      <c r="C3365" s="393"/>
      <c r="E3365" s="394"/>
      <c r="F3365" s="394">
        <v>0</v>
      </c>
      <c r="G3365" s="394"/>
      <c r="H3365" s="8" t="s">
        <v>235</v>
      </c>
      <c r="I3365" s="368">
        <f t="shared" si="157"/>
        <v>0</v>
      </c>
      <c r="J3365" s="365">
        <f t="shared" si="156"/>
        <v>0</v>
      </c>
      <c r="K3365" s="369">
        <f t="shared" si="158"/>
        <v>6</v>
      </c>
      <c r="L3365" s="369">
        <f>+IF((C3365&gt;='Resultats - informe'!$E$16)*(C3365&lt;='Resultats - informe'!$G$16),1,0)</f>
        <v>1</v>
      </c>
      <c r="M3365" s="369" cm="1">
        <f t="array" ref="M3365">+_xlfn.IFS((C3365&gt;='Resultats - informe'!$D$26)*(C3365&lt;='Resultats - informe'!$E$26),0,(C3365&gt;='Resultats - informe'!$D$27)*(C3365&lt;='Resultats - informe'!$E$27),0,(C3365&gt;='Resultats - informe'!$D$28)*(C3365&lt;='Resultats - informe'!$E$28),0,(C3365&gt;='Resultats - informe'!$D$29)*(C3365&lt;='Resultats - informe'!$E$29),0,1,1)</f>
        <v>0</v>
      </c>
      <c r="N3365" s="366">
        <f>+VLOOKUP(D3365,'Resultats - informe'!$Y$18:$AG$42,'Introducció dades consum'!K3365+1,0)</f>
        <v>0</v>
      </c>
      <c r="O3365" s="370" cm="1">
        <f t="array" ref="O3365">+_xlfn.SWITCH(MONTH(C3365),1,1,2,1,3,1,4,2,5,2,6,3,7,3,8,3,9,3,10,2,11,2,12,1,2)</f>
        <v>1</v>
      </c>
      <c r="P3365" s="43"/>
    </row>
    <row r="3366" spans="1:16" ht="18" x14ac:dyDescent="0.35">
      <c r="A3366" s="43"/>
      <c r="C3366" s="393"/>
      <c r="E3366" s="394"/>
      <c r="F3366" s="394">
        <v>0</v>
      </c>
      <c r="G3366" s="394"/>
      <c r="H3366" s="8" t="s">
        <v>235</v>
      </c>
      <c r="I3366" s="368">
        <f t="shared" si="157"/>
        <v>0</v>
      </c>
      <c r="J3366" s="365">
        <f t="shared" si="156"/>
        <v>0</v>
      </c>
      <c r="K3366" s="369">
        <f t="shared" si="158"/>
        <v>6</v>
      </c>
      <c r="L3366" s="369">
        <f>+IF((C3366&gt;='Resultats - informe'!$E$16)*(C3366&lt;='Resultats - informe'!$G$16),1,0)</f>
        <v>1</v>
      </c>
      <c r="M3366" s="369" cm="1">
        <f t="array" ref="M3366">+_xlfn.IFS((C3366&gt;='Resultats - informe'!$D$26)*(C3366&lt;='Resultats - informe'!$E$26),0,(C3366&gt;='Resultats - informe'!$D$27)*(C3366&lt;='Resultats - informe'!$E$27),0,(C3366&gt;='Resultats - informe'!$D$28)*(C3366&lt;='Resultats - informe'!$E$28),0,(C3366&gt;='Resultats - informe'!$D$29)*(C3366&lt;='Resultats - informe'!$E$29),0,1,1)</f>
        <v>0</v>
      </c>
      <c r="N3366" s="366">
        <f>+VLOOKUP(D3366,'Resultats - informe'!$Y$18:$AG$42,'Introducció dades consum'!K3366+1,0)</f>
        <v>0</v>
      </c>
      <c r="O3366" s="370" cm="1">
        <f t="array" ref="O3366">+_xlfn.SWITCH(MONTH(C3366),1,1,2,1,3,1,4,2,5,2,6,3,7,3,8,3,9,3,10,2,11,2,12,1,2)</f>
        <v>1</v>
      </c>
      <c r="P3366" s="43"/>
    </row>
    <row r="3367" spans="1:16" ht="18" x14ac:dyDescent="0.35">
      <c r="A3367" s="43"/>
      <c r="C3367" s="393"/>
      <c r="E3367" s="394"/>
      <c r="F3367" s="394">
        <v>0</v>
      </c>
      <c r="G3367" s="394"/>
      <c r="H3367" s="8" t="s">
        <v>61</v>
      </c>
      <c r="I3367" s="368">
        <f t="shared" si="157"/>
        <v>0</v>
      </c>
      <c r="J3367" s="365">
        <f t="shared" si="156"/>
        <v>0</v>
      </c>
      <c r="K3367" s="369">
        <f t="shared" si="158"/>
        <v>6</v>
      </c>
      <c r="L3367" s="369">
        <f>+IF((C3367&gt;='Resultats - informe'!$E$16)*(C3367&lt;='Resultats - informe'!$G$16),1,0)</f>
        <v>1</v>
      </c>
      <c r="M3367" s="369" cm="1">
        <f t="array" ref="M3367">+_xlfn.IFS((C3367&gt;='Resultats - informe'!$D$26)*(C3367&lt;='Resultats - informe'!$E$26),0,(C3367&gt;='Resultats - informe'!$D$27)*(C3367&lt;='Resultats - informe'!$E$27),0,(C3367&gt;='Resultats - informe'!$D$28)*(C3367&lt;='Resultats - informe'!$E$28),0,(C3367&gt;='Resultats - informe'!$D$29)*(C3367&lt;='Resultats - informe'!$E$29),0,1,1)</f>
        <v>0</v>
      </c>
      <c r="N3367" s="366">
        <f>+VLOOKUP(D3367,'Resultats - informe'!$Y$18:$AG$42,'Introducció dades consum'!K3367+1,0)</f>
        <v>0</v>
      </c>
      <c r="O3367" s="370" cm="1">
        <f t="array" ref="O3367">+_xlfn.SWITCH(MONTH(C3367),1,1,2,1,3,1,4,2,5,2,6,3,7,3,8,3,9,3,10,2,11,2,12,1,2)</f>
        <v>1</v>
      </c>
      <c r="P3367" s="43"/>
    </row>
    <row r="3368" spans="1:16" ht="18" x14ac:dyDescent="0.35">
      <c r="A3368" s="43"/>
      <c r="C3368" s="393"/>
      <c r="E3368" s="394"/>
      <c r="F3368" s="394">
        <v>0</v>
      </c>
      <c r="G3368" s="394"/>
      <c r="H3368" s="8" t="s">
        <v>61</v>
      </c>
      <c r="I3368" s="368">
        <f t="shared" si="157"/>
        <v>0</v>
      </c>
      <c r="J3368" s="365">
        <f t="shared" si="156"/>
        <v>0</v>
      </c>
      <c r="K3368" s="369">
        <f t="shared" si="158"/>
        <v>6</v>
      </c>
      <c r="L3368" s="369">
        <f>+IF((C3368&gt;='Resultats - informe'!$E$16)*(C3368&lt;='Resultats - informe'!$G$16),1,0)</f>
        <v>1</v>
      </c>
      <c r="M3368" s="369" cm="1">
        <f t="array" ref="M3368">+_xlfn.IFS((C3368&gt;='Resultats - informe'!$D$26)*(C3368&lt;='Resultats - informe'!$E$26),0,(C3368&gt;='Resultats - informe'!$D$27)*(C3368&lt;='Resultats - informe'!$E$27),0,(C3368&gt;='Resultats - informe'!$D$28)*(C3368&lt;='Resultats - informe'!$E$28),0,(C3368&gt;='Resultats - informe'!$D$29)*(C3368&lt;='Resultats - informe'!$E$29),0,1,1)</f>
        <v>0</v>
      </c>
      <c r="N3368" s="366">
        <f>+VLOOKUP(D3368,'Resultats - informe'!$Y$18:$AG$42,'Introducció dades consum'!K3368+1,0)</f>
        <v>0</v>
      </c>
      <c r="O3368" s="370" cm="1">
        <f t="array" ref="O3368">+_xlfn.SWITCH(MONTH(C3368),1,1,2,1,3,1,4,2,5,2,6,3,7,3,8,3,9,3,10,2,11,2,12,1,2)</f>
        <v>1</v>
      </c>
      <c r="P3368" s="43"/>
    </row>
    <row r="3369" spans="1:16" ht="18" x14ac:dyDescent="0.35">
      <c r="A3369" s="43"/>
      <c r="C3369" s="393"/>
      <c r="E3369" s="394"/>
      <c r="F3369" s="394">
        <v>0</v>
      </c>
      <c r="G3369" s="394"/>
      <c r="H3369" s="8" t="s">
        <v>61</v>
      </c>
      <c r="I3369" s="368">
        <f t="shared" si="157"/>
        <v>0</v>
      </c>
      <c r="J3369" s="365">
        <f t="shared" si="156"/>
        <v>0</v>
      </c>
      <c r="K3369" s="369">
        <f t="shared" si="158"/>
        <v>6</v>
      </c>
      <c r="L3369" s="369">
        <f>+IF((C3369&gt;='Resultats - informe'!$E$16)*(C3369&lt;='Resultats - informe'!$G$16),1,0)</f>
        <v>1</v>
      </c>
      <c r="M3369" s="369" cm="1">
        <f t="array" ref="M3369">+_xlfn.IFS((C3369&gt;='Resultats - informe'!$D$26)*(C3369&lt;='Resultats - informe'!$E$26),0,(C3369&gt;='Resultats - informe'!$D$27)*(C3369&lt;='Resultats - informe'!$E$27),0,(C3369&gt;='Resultats - informe'!$D$28)*(C3369&lt;='Resultats - informe'!$E$28),0,(C3369&gt;='Resultats - informe'!$D$29)*(C3369&lt;='Resultats - informe'!$E$29),0,1,1)</f>
        <v>0</v>
      </c>
      <c r="N3369" s="366">
        <f>+VLOOKUP(D3369,'Resultats - informe'!$Y$18:$AG$42,'Introducció dades consum'!K3369+1,0)</f>
        <v>0</v>
      </c>
      <c r="O3369" s="370" cm="1">
        <f t="array" ref="O3369">+_xlfn.SWITCH(MONTH(C3369),1,1,2,1,3,1,4,2,5,2,6,3,7,3,8,3,9,3,10,2,11,2,12,1,2)</f>
        <v>1</v>
      </c>
      <c r="P3369" s="43"/>
    </row>
    <row r="3370" spans="1:16" ht="18" x14ac:dyDescent="0.35">
      <c r="A3370" s="43"/>
      <c r="C3370" s="393"/>
      <c r="E3370" s="394"/>
      <c r="F3370" s="394">
        <v>1.0069999999999999</v>
      </c>
      <c r="G3370" s="394"/>
      <c r="H3370" s="8" t="s">
        <v>235</v>
      </c>
      <c r="I3370" s="368">
        <f t="shared" si="157"/>
        <v>0</v>
      </c>
      <c r="J3370" s="365">
        <f t="shared" si="156"/>
        <v>0</v>
      </c>
      <c r="K3370" s="369">
        <f t="shared" si="158"/>
        <v>6</v>
      </c>
      <c r="L3370" s="369">
        <f>+IF((C3370&gt;='Resultats - informe'!$E$16)*(C3370&lt;='Resultats - informe'!$G$16),1,0)</f>
        <v>1</v>
      </c>
      <c r="M3370" s="369" cm="1">
        <f t="array" ref="M3370">+_xlfn.IFS((C3370&gt;='Resultats - informe'!$D$26)*(C3370&lt;='Resultats - informe'!$E$26),0,(C3370&gt;='Resultats - informe'!$D$27)*(C3370&lt;='Resultats - informe'!$E$27),0,(C3370&gt;='Resultats - informe'!$D$28)*(C3370&lt;='Resultats - informe'!$E$28),0,(C3370&gt;='Resultats - informe'!$D$29)*(C3370&lt;='Resultats - informe'!$E$29),0,1,1)</f>
        <v>0</v>
      </c>
      <c r="N3370" s="366">
        <f>+VLOOKUP(D3370,'Resultats - informe'!$Y$18:$AG$42,'Introducció dades consum'!K3370+1,0)</f>
        <v>0</v>
      </c>
      <c r="O3370" s="370" cm="1">
        <f t="array" ref="O3370">+_xlfn.SWITCH(MONTH(C3370),1,1,2,1,3,1,4,2,5,2,6,3,7,3,8,3,9,3,10,2,11,2,12,1,2)</f>
        <v>1</v>
      </c>
      <c r="P3370" s="43"/>
    </row>
    <row r="3371" spans="1:16" ht="18" x14ac:dyDescent="0.35">
      <c r="A3371" s="43"/>
      <c r="C3371" s="393"/>
      <c r="E3371" s="394"/>
      <c r="F3371" s="394">
        <v>1.849</v>
      </c>
      <c r="G3371" s="394"/>
      <c r="H3371" s="8" t="s">
        <v>235</v>
      </c>
      <c r="I3371" s="368">
        <f t="shared" si="157"/>
        <v>0</v>
      </c>
      <c r="J3371" s="365">
        <f t="shared" si="156"/>
        <v>0</v>
      </c>
      <c r="K3371" s="369">
        <f t="shared" si="158"/>
        <v>6</v>
      </c>
      <c r="L3371" s="369">
        <f>+IF((C3371&gt;='Resultats - informe'!$E$16)*(C3371&lt;='Resultats - informe'!$G$16),1,0)</f>
        <v>1</v>
      </c>
      <c r="M3371" s="369" cm="1">
        <f t="array" ref="M3371">+_xlfn.IFS((C3371&gt;='Resultats - informe'!$D$26)*(C3371&lt;='Resultats - informe'!$E$26),0,(C3371&gt;='Resultats - informe'!$D$27)*(C3371&lt;='Resultats - informe'!$E$27),0,(C3371&gt;='Resultats - informe'!$D$28)*(C3371&lt;='Resultats - informe'!$E$28),0,(C3371&gt;='Resultats - informe'!$D$29)*(C3371&lt;='Resultats - informe'!$E$29),0,1,1)</f>
        <v>0</v>
      </c>
      <c r="N3371" s="366">
        <f>+VLOOKUP(D3371,'Resultats - informe'!$Y$18:$AG$42,'Introducció dades consum'!K3371+1,0)</f>
        <v>0</v>
      </c>
      <c r="O3371" s="370" cm="1">
        <f t="array" ref="O3371">+_xlfn.SWITCH(MONTH(C3371),1,1,2,1,3,1,4,2,5,2,6,3,7,3,8,3,9,3,10,2,11,2,12,1,2)</f>
        <v>1</v>
      </c>
      <c r="P3371" s="43"/>
    </row>
    <row r="3372" spans="1:16" ht="18" x14ac:dyDescent="0.35">
      <c r="A3372" s="43"/>
      <c r="C3372" s="393"/>
      <c r="E3372" s="394"/>
      <c r="F3372" s="394">
        <v>1.5069999999999999</v>
      </c>
      <c r="G3372" s="394"/>
      <c r="H3372" s="8" t="s">
        <v>235</v>
      </c>
      <c r="I3372" s="368">
        <f t="shared" si="157"/>
        <v>0</v>
      </c>
      <c r="J3372" s="365">
        <f t="shared" si="156"/>
        <v>0</v>
      </c>
      <c r="K3372" s="369">
        <f t="shared" si="158"/>
        <v>6</v>
      </c>
      <c r="L3372" s="369">
        <f>+IF((C3372&gt;='Resultats - informe'!$E$16)*(C3372&lt;='Resultats - informe'!$G$16),1,0)</f>
        <v>1</v>
      </c>
      <c r="M3372" s="369" cm="1">
        <f t="array" ref="M3372">+_xlfn.IFS((C3372&gt;='Resultats - informe'!$D$26)*(C3372&lt;='Resultats - informe'!$E$26),0,(C3372&gt;='Resultats - informe'!$D$27)*(C3372&lt;='Resultats - informe'!$E$27),0,(C3372&gt;='Resultats - informe'!$D$28)*(C3372&lt;='Resultats - informe'!$E$28),0,(C3372&gt;='Resultats - informe'!$D$29)*(C3372&lt;='Resultats - informe'!$E$29),0,1,1)</f>
        <v>0</v>
      </c>
      <c r="N3372" s="366">
        <f>+VLOOKUP(D3372,'Resultats - informe'!$Y$18:$AG$42,'Introducció dades consum'!K3372+1,0)</f>
        <v>0</v>
      </c>
      <c r="O3372" s="370" cm="1">
        <f t="array" ref="O3372">+_xlfn.SWITCH(MONTH(C3372),1,1,2,1,3,1,4,2,5,2,6,3,7,3,8,3,9,3,10,2,11,2,12,1,2)</f>
        <v>1</v>
      </c>
      <c r="P3372" s="43"/>
    </row>
    <row r="3373" spans="1:16" ht="18" x14ac:dyDescent="0.35">
      <c r="A3373" s="43"/>
      <c r="C3373" s="393"/>
      <c r="E3373" s="394"/>
      <c r="F3373" s="394">
        <v>2.4500000000000002</v>
      </c>
      <c r="G3373" s="394"/>
      <c r="H3373" s="8" t="s">
        <v>235</v>
      </c>
      <c r="I3373" s="368">
        <f t="shared" si="157"/>
        <v>0</v>
      </c>
      <c r="J3373" s="365">
        <f t="shared" si="156"/>
        <v>0</v>
      </c>
      <c r="K3373" s="369">
        <f t="shared" si="158"/>
        <v>6</v>
      </c>
      <c r="L3373" s="369">
        <f>+IF((C3373&gt;='Resultats - informe'!$E$16)*(C3373&lt;='Resultats - informe'!$G$16),1,0)</f>
        <v>1</v>
      </c>
      <c r="M3373" s="369" cm="1">
        <f t="array" ref="M3373">+_xlfn.IFS((C3373&gt;='Resultats - informe'!$D$26)*(C3373&lt;='Resultats - informe'!$E$26),0,(C3373&gt;='Resultats - informe'!$D$27)*(C3373&lt;='Resultats - informe'!$E$27),0,(C3373&gt;='Resultats - informe'!$D$28)*(C3373&lt;='Resultats - informe'!$E$28),0,(C3373&gt;='Resultats - informe'!$D$29)*(C3373&lt;='Resultats - informe'!$E$29),0,1,1)</f>
        <v>0</v>
      </c>
      <c r="N3373" s="366">
        <f>+VLOOKUP(D3373,'Resultats - informe'!$Y$18:$AG$42,'Introducció dades consum'!K3373+1,0)</f>
        <v>0</v>
      </c>
      <c r="O3373" s="370" cm="1">
        <f t="array" ref="O3373">+_xlfn.SWITCH(MONTH(C3373),1,1,2,1,3,1,4,2,5,2,6,3,7,3,8,3,9,3,10,2,11,2,12,1,2)</f>
        <v>1</v>
      </c>
      <c r="P3373" s="43"/>
    </row>
    <row r="3374" spans="1:16" ht="18" x14ac:dyDescent="0.35">
      <c r="A3374" s="43"/>
      <c r="C3374" s="393"/>
      <c r="E3374" s="394"/>
      <c r="F3374" s="394">
        <v>2.992</v>
      </c>
      <c r="G3374" s="394"/>
      <c r="H3374" s="8" t="s">
        <v>61</v>
      </c>
      <c r="I3374" s="368">
        <f t="shared" si="157"/>
        <v>0</v>
      </c>
      <c r="J3374" s="365">
        <f t="shared" si="156"/>
        <v>0</v>
      </c>
      <c r="K3374" s="369">
        <f t="shared" si="158"/>
        <v>6</v>
      </c>
      <c r="L3374" s="369">
        <f>+IF((C3374&gt;='Resultats - informe'!$E$16)*(C3374&lt;='Resultats - informe'!$G$16),1,0)</f>
        <v>1</v>
      </c>
      <c r="M3374" s="369" cm="1">
        <f t="array" ref="M3374">+_xlfn.IFS((C3374&gt;='Resultats - informe'!$D$26)*(C3374&lt;='Resultats - informe'!$E$26),0,(C3374&gt;='Resultats - informe'!$D$27)*(C3374&lt;='Resultats - informe'!$E$27),0,(C3374&gt;='Resultats - informe'!$D$28)*(C3374&lt;='Resultats - informe'!$E$28),0,(C3374&gt;='Resultats - informe'!$D$29)*(C3374&lt;='Resultats - informe'!$E$29),0,1,1)</f>
        <v>0</v>
      </c>
      <c r="N3374" s="366">
        <f>+VLOOKUP(D3374,'Resultats - informe'!$Y$18:$AG$42,'Introducció dades consum'!K3374+1,0)</f>
        <v>0</v>
      </c>
      <c r="O3374" s="370" cm="1">
        <f t="array" ref="O3374">+_xlfn.SWITCH(MONTH(C3374),1,1,2,1,3,1,4,2,5,2,6,3,7,3,8,3,9,3,10,2,11,2,12,1,2)</f>
        <v>1</v>
      </c>
      <c r="P3374" s="43"/>
    </row>
    <row r="3375" spans="1:16" ht="18" x14ac:dyDescent="0.35">
      <c r="A3375" s="43"/>
      <c r="C3375" s="393"/>
      <c r="E3375" s="394"/>
      <c r="F3375" s="394">
        <v>4.7569999999999997</v>
      </c>
      <c r="G3375" s="394"/>
      <c r="H3375" s="8" t="s">
        <v>61</v>
      </c>
      <c r="I3375" s="368">
        <f t="shared" si="157"/>
        <v>0</v>
      </c>
      <c r="J3375" s="365">
        <f t="shared" si="156"/>
        <v>0</v>
      </c>
      <c r="K3375" s="369">
        <f t="shared" si="158"/>
        <v>6</v>
      </c>
      <c r="L3375" s="369">
        <f>+IF((C3375&gt;='Resultats - informe'!$E$16)*(C3375&lt;='Resultats - informe'!$G$16),1,0)</f>
        <v>1</v>
      </c>
      <c r="M3375" s="369" cm="1">
        <f t="array" ref="M3375">+_xlfn.IFS((C3375&gt;='Resultats - informe'!$D$26)*(C3375&lt;='Resultats - informe'!$E$26),0,(C3375&gt;='Resultats - informe'!$D$27)*(C3375&lt;='Resultats - informe'!$E$27),0,(C3375&gt;='Resultats - informe'!$D$28)*(C3375&lt;='Resultats - informe'!$E$28),0,(C3375&gt;='Resultats - informe'!$D$29)*(C3375&lt;='Resultats - informe'!$E$29),0,1,1)</f>
        <v>0</v>
      </c>
      <c r="N3375" s="366">
        <f>+VLOOKUP(D3375,'Resultats - informe'!$Y$18:$AG$42,'Introducció dades consum'!K3375+1,0)</f>
        <v>0</v>
      </c>
      <c r="O3375" s="370" cm="1">
        <f t="array" ref="O3375">+_xlfn.SWITCH(MONTH(C3375),1,1,2,1,3,1,4,2,5,2,6,3,7,3,8,3,9,3,10,2,11,2,12,1,2)</f>
        <v>1</v>
      </c>
      <c r="P3375" s="43"/>
    </row>
    <row r="3376" spans="1:16" ht="18" x14ac:dyDescent="0.35">
      <c r="A3376" s="43"/>
      <c r="C3376" s="393"/>
      <c r="E3376" s="394"/>
      <c r="F3376" s="394">
        <v>5.6959999999999997</v>
      </c>
      <c r="G3376" s="394"/>
      <c r="H3376" s="8" t="s">
        <v>61</v>
      </c>
      <c r="I3376" s="368">
        <f t="shared" si="157"/>
        <v>0</v>
      </c>
      <c r="J3376" s="365">
        <f t="shared" si="156"/>
        <v>0</v>
      </c>
      <c r="K3376" s="369">
        <f t="shared" si="158"/>
        <v>6</v>
      </c>
      <c r="L3376" s="369">
        <f>+IF((C3376&gt;='Resultats - informe'!$E$16)*(C3376&lt;='Resultats - informe'!$G$16),1,0)</f>
        <v>1</v>
      </c>
      <c r="M3376" s="369" cm="1">
        <f t="array" ref="M3376">+_xlfn.IFS((C3376&gt;='Resultats - informe'!$D$26)*(C3376&lt;='Resultats - informe'!$E$26),0,(C3376&gt;='Resultats - informe'!$D$27)*(C3376&lt;='Resultats - informe'!$E$27),0,(C3376&gt;='Resultats - informe'!$D$28)*(C3376&lt;='Resultats - informe'!$E$28),0,(C3376&gt;='Resultats - informe'!$D$29)*(C3376&lt;='Resultats - informe'!$E$29),0,1,1)</f>
        <v>0</v>
      </c>
      <c r="N3376" s="366">
        <f>+VLOOKUP(D3376,'Resultats - informe'!$Y$18:$AG$42,'Introducció dades consum'!K3376+1,0)</f>
        <v>0</v>
      </c>
      <c r="O3376" s="370" cm="1">
        <f t="array" ref="O3376">+_xlfn.SWITCH(MONTH(C3376),1,1,2,1,3,1,4,2,5,2,6,3,7,3,8,3,9,3,10,2,11,2,12,1,2)</f>
        <v>1</v>
      </c>
      <c r="P3376" s="43"/>
    </row>
    <row r="3377" spans="1:16" ht="18" x14ac:dyDescent="0.35">
      <c r="A3377" s="43"/>
      <c r="C3377" s="393"/>
      <c r="E3377" s="394"/>
      <c r="F3377" s="394">
        <v>3.129</v>
      </c>
      <c r="G3377" s="394"/>
      <c r="H3377" s="8" t="s">
        <v>235</v>
      </c>
      <c r="I3377" s="368">
        <f t="shared" si="157"/>
        <v>0</v>
      </c>
      <c r="J3377" s="365">
        <f t="shared" si="156"/>
        <v>0</v>
      </c>
      <c r="K3377" s="369">
        <f t="shared" si="158"/>
        <v>6</v>
      </c>
      <c r="L3377" s="369">
        <f>+IF((C3377&gt;='Resultats - informe'!$E$16)*(C3377&lt;='Resultats - informe'!$G$16),1,0)</f>
        <v>1</v>
      </c>
      <c r="M3377" s="369" cm="1">
        <f t="array" ref="M3377">+_xlfn.IFS((C3377&gt;='Resultats - informe'!$D$26)*(C3377&lt;='Resultats - informe'!$E$26),0,(C3377&gt;='Resultats - informe'!$D$27)*(C3377&lt;='Resultats - informe'!$E$27),0,(C3377&gt;='Resultats - informe'!$D$28)*(C3377&lt;='Resultats - informe'!$E$28),0,(C3377&gt;='Resultats - informe'!$D$29)*(C3377&lt;='Resultats - informe'!$E$29),0,1,1)</f>
        <v>0</v>
      </c>
      <c r="N3377" s="366">
        <f>+VLOOKUP(D3377,'Resultats - informe'!$Y$18:$AG$42,'Introducció dades consum'!K3377+1,0)</f>
        <v>0</v>
      </c>
      <c r="O3377" s="370" cm="1">
        <f t="array" ref="O3377">+_xlfn.SWITCH(MONTH(C3377),1,1,2,1,3,1,4,2,5,2,6,3,7,3,8,3,9,3,10,2,11,2,12,1,2)</f>
        <v>1</v>
      </c>
      <c r="P3377" s="43"/>
    </row>
    <row r="3378" spans="1:16" ht="18" x14ac:dyDescent="0.35">
      <c r="A3378" s="43"/>
      <c r="C3378" s="393"/>
      <c r="E3378" s="394"/>
      <c r="F3378" s="394">
        <v>2.2029999999999998</v>
      </c>
      <c r="G3378" s="394"/>
      <c r="H3378" s="8" t="s">
        <v>235</v>
      </c>
      <c r="I3378" s="368">
        <f t="shared" si="157"/>
        <v>0</v>
      </c>
      <c r="J3378" s="365">
        <f t="shared" si="156"/>
        <v>0</v>
      </c>
      <c r="K3378" s="369">
        <f t="shared" si="158"/>
        <v>6</v>
      </c>
      <c r="L3378" s="369">
        <f>+IF((C3378&gt;='Resultats - informe'!$E$16)*(C3378&lt;='Resultats - informe'!$G$16),1,0)</f>
        <v>1</v>
      </c>
      <c r="M3378" s="369" cm="1">
        <f t="array" ref="M3378">+_xlfn.IFS((C3378&gt;='Resultats - informe'!$D$26)*(C3378&lt;='Resultats - informe'!$E$26),0,(C3378&gt;='Resultats - informe'!$D$27)*(C3378&lt;='Resultats - informe'!$E$27),0,(C3378&gt;='Resultats - informe'!$D$28)*(C3378&lt;='Resultats - informe'!$E$28),0,(C3378&gt;='Resultats - informe'!$D$29)*(C3378&lt;='Resultats - informe'!$E$29),0,1,1)</f>
        <v>0</v>
      </c>
      <c r="N3378" s="366">
        <f>+VLOOKUP(D3378,'Resultats - informe'!$Y$18:$AG$42,'Introducció dades consum'!K3378+1,0)</f>
        <v>0</v>
      </c>
      <c r="O3378" s="370" cm="1">
        <f t="array" ref="O3378">+_xlfn.SWITCH(MONTH(C3378),1,1,2,1,3,1,4,2,5,2,6,3,7,3,8,3,9,3,10,2,11,2,12,1,2)</f>
        <v>1</v>
      </c>
      <c r="P3378" s="43"/>
    </row>
    <row r="3379" spans="1:16" ht="18" x14ac:dyDescent="0.35">
      <c r="A3379" s="43"/>
      <c r="C3379" s="393"/>
      <c r="E3379" s="394"/>
      <c r="F3379" s="394">
        <v>2.21</v>
      </c>
      <c r="G3379" s="394"/>
      <c r="H3379" s="8" t="s">
        <v>235</v>
      </c>
      <c r="I3379" s="368">
        <f t="shared" si="157"/>
        <v>0</v>
      </c>
      <c r="J3379" s="365">
        <f t="shared" si="156"/>
        <v>0</v>
      </c>
      <c r="K3379" s="369">
        <f t="shared" si="158"/>
        <v>6</v>
      </c>
      <c r="L3379" s="369">
        <f>+IF((C3379&gt;='Resultats - informe'!$E$16)*(C3379&lt;='Resultats - informe'!$G$16),1,0)</f>
        <v>1</v>
      </c>
      <c r="M3379" s="369" cm="1">
        <f t="array" ref="M3379">+_xlfn.IFS((C3379&gt;='Resultats - informe'!$D$26)*(C3379&lt;='Resultats - informe'!$E$26),0,(C3379&gt;='Resultats - informe'!$D$27)*(C3379&lt;='Resultats - informe'!$E$27),0,(C3379&gt;='Resultats - informe'!$D$28)*(C3379&lt;='Resultats - informe'!$E$28),0,(C3379&gt;='Resultats - informe'!$D$29)*(C3379&lt;='Resultats - informe'!$E$29),0,1,1)</f>
        <v>0</v>
      </c>
      <c r="N3379" s="366">
        <f>+VLOOKUP(D3379,'Resultats - informe'!$Y$18:$AG$42,'Introducció dades consum'!K3379+1,0)</f>
        <v>0</v>
      </c>
      <c r="O3379" s="370" cm="1">
        <f t="array" ref="O3379">+_xlfn.SWITCH(MONTH(C3379),1,1,2,1,3,1,4,2,5,2,6,3,7,3,8,3,9,3,10,2,11,2,12,1,2)</f>
        <v>1</v>
      </c>
      <c r="P3379" s="43"/>
    </row>
    <row r="3380" spans="1:16" ht="18" x14ac:dyDescent="0.35">
      <c r="A3380" s="43"/>
      <c r="C3380" s="393"/>
      <c r="E3380" s="394"/>
      <c r="F3380" s="394">
        <v>1.304</v>
      </c>
      <c r="G3380" s="394"/>
      <c r="H3380" s="8" t="s">
        <v>235</v>
      </c>
      <c r="I3380" s="368">
        <f t="shared" si="157"/>
        <v>0</v>
      </c>
      <c r="J3380" s="365">
        <f t="shared" si="156"/>
        <v>0</v>
      </c>
      <c r="K3380" s="369">
        <f t="shared" si="158"/>
        <v>6</v>
      </c>
      <c r="L3380" s="369">
        <f>+IF((C3380&gt;='Resultats - informe'!$E$16)*(C3380&lt;='Resultats - informe'!$G$16),1,0)</f>
        <v>1</v>
      </c>
      <c r="M3380" s="369" cm="1">
        <f t="array" ref="M3380">+_xlfn.IFS((C3380&gt;='Resultats - informe'!$D$26)*(C3380&lt;='Resultats - informe'!$E$26),0,(C3380&gt;='Resultats - informe'!$D$27)*(C3380&lt;='Resultats - informe'!$E$27),0,(C3380&gt;='Resultats - informe'!$D$28)*(C3380&lt;='Resultats - informe'!$E$28),0,(C3380&gt;='Resultats - informe'!$D$29)*(C3380&lt;='Resultats - informe'!$E$29),0,1,1)</f>
        <v>0</v>
      </c>
      <c r="N3380" s="366">
        <f>+VLOOKUP(D3380,'Resultats - informe'!$Y$18:$AG$42,'Introducció dades consum'!K3380+1,0)</f>
        <v>0</v>
      </c>
      <c r="O3380" s="370" cm="1">
        <f t="array" ref="O3380">+_xlfn.SWITCH(MONTH(C3380),1,1,2,1,3,1,4,2,5,2,6,3,7,3,8,3,9,3,10,2,11,2,12,1,2)</f>
        <v>1</v>
      </c>
      <c r="P3380" s="43"/>
    </row>
    <row r="3381" spans="1:16" ht="18" x14ac:dyDescent="0.35">
      <c r="A3381" s="43"/>
      <c r="C3381" s="393"/>
      <c r="E3381" s="394"/>
      <c r="F3381" s="394">
        <v>0.20899999999999999</v>
      </c>
      <c r="G3381" s="394"/>
      <c r="H3381" s="8" t="s">
        <v>235</v>
      </c>
      <c r="I3381" s="368">
        <f t="shared" si="157"/>
        <v>0</v>
      </c>
      <c r="J3381" s="365">
        <f t="shared" si="156"/>
        <v>0</v>
      </c>
      <c r="K3381" s="369">
        <f t="shared" si="158"/>
        <v>6</v>
      </c>
      <c r="L3381" s="369">
        <f>+IF((C3381&gt;='Resultats - informe'!$E$16)*(C3381&lt;='Resultats - informe'!$G$16),1,0)</f>
        <v>1</v>
      </c>
      <c r="M3381" s="369" cm="1">
        <f t="array" ref="M3381">+_xlfn.IFS((C3381&gt;='Resultats - informe'!$D$26)*(C3381&lt;='Resultats - informe'!$E$26),0,(C3381&gt;='Resultats - informe'!$D$27)*(C3381&lt;='Resultats - informe'!$E$27),0,(C3381&gt;='Resultats - informe'!$D$28)*(C3381&lt;='Resultats - informe'!$E$28),0,(C3381&gt;='Resultats - informe'!$D$29)*(C3381&lt;='Resultats - informe'!$E$29),0,1,1)</f>
        <v>0</v>
      </c>
      <c r="N3381" s="366">
        <f>+VLOOKUP(D3381,'Resultats - informe'!$Y$18:$AG$42,'Introducció dades consum'!K3381+1,0)</f>
        <v>0</v>
      </c>
      <c r="O3381" s="370" cm="1">
        <f t="array" ref="O3381">+_xlfn.SWITCH(MONTH(C3381),1,1,2,1,3,1,4,2,5,2,6,3,7,3,8,3,9,3,10,2,11,2,12,1,2)</f>
        <v>1</v>
      </c>
      <c r="P3381" s="43"/>
    </row>
    <row r="3382" spans="1:16" ht="18" x14ac:dyDescent="0.35">
      <c r="A3382" s="43"/>
      <c r="C3382" s="393"/>
      <c r="E3382" s="394"/>
      <c r="F3382" s="394">
        <v>0</v>
      </c>
      <c r="G3382" s="394"/>
      <c r="H3382" s="8" t="s">
        <v>235</v>
      </c>
      <c r="I3382" s="368">
        <f t="shared" si="157"/>
        <v>0</v>
      </c>
      <c r="J3382" s="365">
        <f t="shared" si="156"/>
        <v>0</v>
      </c>
      <c r="K3382" s="369">
        <f t="shared" si="158"/>
        <v>6</v>
      </c>
      <c r="L3382" s="369">
        <f>+IF((C3382&gt;='Resultats - informe'!$E$16)*(C3382&lt;='Resultats - informe'!$G$16),1,0)</f>
        <v>1</v>
      </c>
      <c r="M3382" s="369" cm="1">
        <f t="array" ref="M3382">+_xlfn.IFS((C3382&gt;='Resultats - informe'!$D$26)*(C3382&lt;='Resultats - informe'!$E$26),0,(C3382&gt;='Resultats - informe'!$D$27)*(C3382&lt;='Resultats - informe'!$E$27),0,(C3382&gt;='Resultats - informe'!$D$28)*(C3382&lt;='Resultats - informe'!$E$28),0,(C3382&gt;='Resultats - informe'!$D$29)*(C3382&lt;='Resultats - informe'!$E$29),0,1,1)</f>
        <v>0</v>
      </c>
      <c r="N3382" s="366">
        <f>+VLOOKUP(D3382,'Resultats - informe'!$Y$18:$AG$42,'Introducció dades consum'!K3382+1,0)</f>
        <v>0</v>
      </c>
      <c r="O3382" s="370" cm="1">
        <f t="array" ref="O3382">+_xlfn.SWITCH(MONTH(C3382),1,1,2,1,3,1,4,2,5,2,6,3,7,3,8,3,9,3,10,2,11,2,12,1,2)</f>
        <v>1</v>
      </c>
      <c r="P3382" s="43"/>
    </row>
    <row r="3383" spans="1:16" ht="18" x14ac:dyDescent="0.35">
      <c r="A3383" s="43"/>
      <c r="C3383" s="393"/>
      <c r="E3383" s="394"/>
      <c r="F3383" s="394">
        <v>0</v>
      </c>
      <c r="G3383" s="394"/>
      <c r="H3383" s="8" t="s">
        <v>235</v>
      </c>
      <c r="I3383" s="368">
        <f t="shared" si="157"/>
        <v>0</v>
      </c>
      <c r="J3383" s="365">
        <f t="shared" si="156"/>
        <v>0</v>
      </c>
      <c r="K3383" s="369">
        <f t="shared" si="158"/>
        <v>6</v>
      </c>
      <c r="L3383" s="369">
        <f>+IF((C3383&gt;='Resultats - informe'!$E$16)*(C3383&lt;='Resultats - informe'!$G$16),1,0)</f>
        <v>1</v>
      </c>
      <c r="M3383" s="369" cm="1">
        <f t="array" ref="M3383">+_xlfn.IFS((C3383&gt;='Resultats - informe'!$D$26)*(C3383&lt;='Resultats - informe'!$E$26),0,(C3383&gt;='Resultats - informe'!$D$27)*(C3383&lt;='Resultats - informe'!$E$27),0,(C3383&gt;='Resultats - informe'!$D$28)*(C3383&lt;='Resultats - informe'!$E$28),0,(C3383&gt;='Resultats - informe'!$D$29)*(C3383&lt;='Resultats - informe'!$E$29),0,1,1)</f>
        <v>0</v>
      </c>
      <c r="N3383" s="366">
        <f>+VLOOKUP(D3383,'Resultats - informe'!$Y$18:$AG$42,'Introducció dades consum'!K3383+1,0)</f>
        <v>0</v>
      </c>
      <c r="O3383" s="370" cm="1">
        <f t="array" ref="O3383">+_xlfn.SWITCH(MONTH(C3383),1,1,2,1,3,1,4,2,5,2,6,3,7,3,8,3,9,3,10,2,11,2,12,1,2)</f>
        <v>1</v>
      </c>
      <c r="P3383" s="43"/>
    </row>
    <row r="3384" spans="1:16" ht="18" x14ac:dyDescent="0.35">
      <c r="A3384" s="43"/>
      <c r="C3384" s="393"/>
      <c r="E3384" s="394"/>
      <c r="F3384" s="394">
        <v>0</v>
      </c>
      <c r="G3384" s="394"/>
      <c r="H3384" s="8" t="s">
        <v>235</v>
      </c>
      <c r="I3384" s="368">
        <f t="shared" si="157"/>
        <v>0</v>
      </c>
      <c r="J3384" s="365">
        <f t="shared" si="156"/>
        <v>0</v>
      </c>
      <c r="K3384" s="369">
        <f t="shared" si="158"/>
        <v>6</v>
      </c>
      <c r="L3384" s="369">
        <f>+IF((C3384&gt;='Resultats - informe'!$E$16)*(C3384&lt;='Resultats - informe'!$G$16),1,0)</f>
        <v>1</v>
      </c>
      <c r="M3384" s="369" cm="1">
        <f t="array" ref="M3384">+_xlfn.IFS((C3384&gt;='Resultats - informe'!$D$26)*(C3384&lt;='Resultats - informe'!$E$26),0,(C3384&gt;='Resultats - informe'!$D$27)*(C3384&lt;='Resultats - informe'!$E$27),0,(C3384&gt;='Resultats - informe'!$D$28)*(C3384&lt;='Resultats - informe'!$E$28),0,(C3384&gt;='Resultats - informe'!$D$29)*(C3384&lt;='Resultats - informe'!$E$29),0,1,1)</f>
        <v>0</v>
      </c>
      <c r="N3384" s="366">
        <f>+VLOOKUP(D3384,'Resultats - informe'!$Y$18:$AG$42,'Introducció dades consum'!K3384+1,0)</f>
        <v>0</v>
      </c>
      <c r="O3384" s="370" cm="1">
        <f t="array" ref="O3384">+_xlfn.SWITCH(MONTH(C3384),1,1,2,1,3,1,4,2,5,2,6,3,7,3,8,3,9,3,10,2,11,2,12,1,2)</f>
        <v>1</v>
      </c>
      <c r="P3384" s="43"/>
    </row>
    <row r="3385" spans="1:16" ht="18" x14ac:dyDescent="0.35">
      <c r="A3385" s="43"/>
      <c r="C3385" s="393"/>
      <c r="E3385" s="394"/>
      <c r="F3385" s="394">
        <v>0</v>
      </c>
      <c r="G3385" s="394"/>
      <c r="H3385" s="8" t="s">
        <v>235</v>
      </c>
      <c r="I3385" s="368">
        <f t="shared" si="157"/>
        <v>0</v>
      </c>
      <c r="J3385" s="365">
        <f t="shared" si="156"/>
        <v>0</v>
      </c>
      <c r="K3385" s="369">
        <f t="shared" si="158"/>
        <v>6</v>
      </c>
      <c r="L3385" s="369">
        <f>+IF((C3385&gt;='Resultats - informe'!$E$16)*(C3385&lt;='Resultats - informe'!$G$16),1,0)</f>
        <v>1</v>
      </c>
      <c r="M3385" s="369" cm="1">
        <f t="array" ref="M3385">+_xlfn.IFS((C3385&gt;='Resultats - informe'!$D$26)*(C3385&lt;='Resultats - informe'!$E$26),0,(C3385&gt;='Resultats - informe'!$D$27)*(C3385&lt;='Resultats - informe'!$E$27),0,(C3385&gt;='Resultats - informe'!$D$28)*(C3385&lt;='Resultats - informe'!$E$28),0,(C3385&gt;='Resultats - informe'!$D$29)*(C3385&lt;='Resultats - informe'!$E$29),0,1,1)</f>
        <v>0</v>
      </c>
      <c r="N3385" s="366">
        <f>+VLOOKUP(D3385,'Resultats - informe'!$Y$18:$AG$42,'Introducció dades consum'!K3385+1,0)</f>
        <v>0</v>
      </c>
      <c r="O3385" s="370" cm="1">
        <f t="array" ref="O3385">+_xlfn.SWITCH(MONTH(C3385),1,1,2,1,3,1,4,2,5,2,6,3,7,3,8,3,9,3,10,2,11,2,12,1,2)</f>
        <v>1</v>
      </c>
      <c r="P3385" s="43"/>
    </row>
    <row r="3386" spans="1:16" ht="18" x14ac:dyDescent="0.35">
      <c r="A3386" s="43"/>
      <c r="C3386" s="393"/>
      <c r="E3386" s="394"/>
      <c r="F3386" s="394">
        <v>0</v>
      </c>
      <c r="G3386" s="394"/>
      <c r="H3386" s="8" t="s">
        <v>235</v>
      </c>
      <c r="I3386" s="368">
        <f t="shared" si="157"/>
        <v>0</v>
      </c>
      <c r="J3386" s="365">
        <f t="shared" si="156"/>
        <v>0</v>
      </c>
      <c r="K3386" s="369">
        <f t="shared" si="158"/>
        <v>6</v>
      </c>
      <c r="L3386" s="369">
        <f>+IF((C3386&gt;='Resultats - informe'!$E$16)*(C3386&lt;='Resultats - informe'!$G$16),1,0)</f>
        <v>1</v>
      </c>
      <c r="M3386" s="369" cm="1">
        <f t="array" ref="M3386">+_xlfn.IFS((C3386&gt;='Resultats - informe'!$D$26)*(C3386&lt;='Resultats - informe'!$E$26),0,(C3386&gt;='Resultats - informe'!$D$27)*(C3386&lt;='Resultats - informe'!$E$27),0,(C3386&gt;='Resultats - informe'!$D$28)*(C3386&lt;='Resultats - informe'!$E$28),0,(C3386&gt;='Resultats - informe'!$D$29)*(C3386&lt;='Resultats - informe'!$E$29),0,1,1)</f>
        <v>0</v>
      </c>
      <c r="N3386" s="366">
        <f>+VLOOKUP(D3386,'Resultats - informe'!$Y$18:$AG$42,'Introducció dades consum'!K3386+1,0)</f>
        <v>0</v>
      </c>
      <c r="O3386" s="370" cm="1">
        <f t="array" ref="O3386">+_xlfn.SWITCH(MONTH(C3386),1,1,2,1,3,1,4,2,5,2,6,3,7,3,8,3,9,3,10,2,11,2,12,1,2)</f>
        <v>1</v>
      </c>
      <c r="P3386" s="43"/>
    </row>
    <row r="3387" spans="1:16" ht="18" x14ac:dyDescent="0.35">
      <c r="A3387" s="43"/>
      <c r="C3387" s="393"/>
      <c r="E3387" s="394"/>
      <c r="F3387" s="394">
        <v>0</v>
      </c>
      <c r="G3387" s="394"/>
      <c r="H3387" s="8" t="s">
        <v>235</v>
      </c>
      <c r="I3387" s="368">
        <f t="shared" si="157"/>
        <v>0</v>
      </c>
      <c r="J3387" s="365">
        <f t="shared" ref="J3387:J3450" si="159">+C3387</f>
        <v>0</v>
      </c>
      <c r="K3387" s="369">
        <f t="shared" si="158"/>
        <v>6</v>
      </c>
      <c r="L3387" s="369">
        <f>+IF((C3387&gt;='Resultats - informe'!$E$16)*(C3387&lt;='Resultats - informe'!$G$16),1,0)</f>
        <v>1</v>
      </c>
      <c r="M3387" s="369" cm="1">
        <f t="array" ref="M3387">+_xlfn.IFS((C3387&gt;='Resultats - informe'!$D$26)*(C3387&lt;='Resultats - informe'!$E$26),0,(C3387&gt;='Resultats - informe'!$D$27)*(C3387&lt;='Resultats - informe'!$E$27),0,(C3387&gt;='Resultats - informe'!$D$28)*(C3387&lt;='Resultats - informe'!$E$28),0,(C3387&gt;='Resultats - informe'!$D$29)*(C3387&lt;='Resultats - informe'!$E$29),0,1,1)</f>
        <v>0</v>
      </c>
      <c r="N3387" s="366">
        <f>+VLOOKUP(D3387,'Resultats - informe'!$Y$18:$AG$42,'Introducció dades consum'!K3387+1,0)</f>
        <v>0</v>
      </c>
      <c r="O3387" s="370" cm="1">
        <f t="array" ref="O3387">+_xlfn.SWITCH(MONTH(C3387),1,1,2,1,3,1,4,2,5,2,6,3,7,3,8,3,9,3,10,2,11,2,12,1,2)</f>
        <v>1</v>
      </c>
      <c r="P3387" s="43"/>
    </row>
    <row r="3388" spans="1:16" ht="18" x14ac:dyDescent="0.35">
      <c r="A3388" s="43"/>
      <c r="C3388" s="393"/>
      <c r="E3388" s="394"/>
      <c r="F3388" s="394">
        <v>0</v>
      </c>
      <c r="G3388" s="394"/>
      <c r="H3388" s="8" t="s">
        <v>235</v>
      </c>
      <c r="I3388" s="368">
        <f t="shared" si="157"/>
        <v>0</v>
      </c>
      <c r="J3388" s="365">
        <f t="shared" si="159"/>
        <v>0</v>
      </c>
      <c r="K3388" s="369">
        <f t="shared" si="158"/>
        <v>6</v>
      </c>
      <c r="L3388" s="369">
        <f>+IF((C3388&gt;='Resultats - informe'!$E$16)*(C3388&lt;='Resultats - informe'!$G$16),1,0)</f>
        <v>1</v>
      </c>
      <c r="M3388" s="369" cm="1">
        <f t="array" ref="M3388">+_xlfn.IFS((C3388&gt;='Resultats - informe'!$D$26)*(C3388&lt;='Resultats - informe'!$E$26),0,(C3388&gt;='Resultats - informe'!$D$27)*(C3388&lt;='Resultats - informe'!$E$27),0,(C3388&gt;='Resultats - informe'!$D$28)*(C3388&lt;='Resultats - informe'!$E$28),0,(C3388&gt;='Resultats - informe'!$D$29)*(C3388&lt;='Resultats - informe'!$E$29),0,1,1)</f>
        <v>0</v>
      </c>
      <c r="N3388" s="366">
        <f>+VLOOKUP(D3388,'Resultats - informe'!$Y$18:$AG$42,'Introducció dades consum'!K3388+1,0)</f>
        <v>0</v>
      </c>
      <c r="O3388" s="370" cm="1">
        <f t="array" ref="O3388">+_xlfn.SWITCH(MONTH(C3388),1,1,2,1,3,1,4,2,5,2,6,3,7,3,8,3,9,3,10,2,11,2,12,1,2)</f>
        <v>1</v>
      </c>
      <c r="P3388" s="43"/>
    </row>
    <row r="3389" spans="1:16" ht="18" x14ac:dyDescent="0.35">
      <c r="A3389" s="43"/>
      <c r="C3389" s="393"/>
      <c r="E3389" s="394"/>
      <c r="F3389" s="394">
        <v>0</v>
      </c>
      <c r="G3389" s="394"/>
      <c r="H3389" s="8" t="s">
        <v>61</v>
      </c>
      <c r="I3389" s="368">
        <f t="shared" si="157"/>
        <v>0</v>
      </c>
      <c r="J3389" s="365">
        <f t="shared" si="159"/>
        <v>0</v>
      </c>
      <c r="K3389" s="369">
        <f t="shared" si="158"/>
        <v>6</v>
      </c>
      <c r="L3389" s="369">
        <f>+IF((C3389&gt;='Resultats - informe'!$E$16)*(C3389&lt;='Resultats - informe'!$G$16),1,0)</f>
        <v>1</v>
      </c>
      <c r="M3389" s="369" cm="1">
        <f t="array" ref="M3389">+_xlfn.IFS((C3389&gt;='Resultats - informe'!$D$26)*(C3389&lt;='Resultats - informe'!$E$26),0,(C3389&gt;='Resultats - informe'!$D$27)*(C3389&lt;='Resultats - informe'!$E$27),0,(C3389&gt;='Resultats - informe'!$D$28)*(C3389&lt;='Resultats - informe'!$E$28),0,(C3389&gt;='Resultats - informe'!$D$29)*(C3389&lt;='Resultats - informe'!$E$29),0,1,1)</f>
        <v>0</v>
      </c>
      <c r="N3389" s="366">
        <f>+VLOOKUP(D3389,'Resultats - informe'!$Y$18:$AG$42,'Introducció dades consum'!K3389+1,0)</f>
        <v>0</v>
      </c>
      <c r="O3389" s="370" cm="1">
        <f t="array" ref="O3389">+_xlfn.SWITCH(MONTH(C3389),1,1,2,1,3,1,4,2,5,2,6,3,7,3,8,3,9,3,10,2,11,2,12,1,2)</f>
        <v>1</v>
      </c>
      <c r="P3389" s="43"/>
    </row>
    <row r="3390" spans="1:16" ht="18" x14ac:dyDescent="0.35">
      <c r="A3390" s="43"/>
      <c r="C3390" s="393"/>
      <c r="E3390" s="394"/>
      <c r="F3390" s="394">
        <v>0</v>
      </c>
      <c r="G3390" s="394"/>
      <c r="H3390" s="8" t="s">
        <v>61</v>
      </c>
      <c r="I3390" s="368">
        <f t="shared" si="157"/>
        <v>0</v>
      </c>
      <c r="J3390" s="365">
        <f t="shared" si="159"/>
        <v>0</v>
      </c>
      <c r="K3390" s="369">
        <f t="shared" si="158"/>
        <v>6</v>
      </c>
      <c r="L3390" s="369">
        <f>+IF((C3390&gt;='Resultats - informe'!$E$16)*(C3390&lt;='Resultats - informe'!$G$16),1,0)</f>
        <v>1</v>
      </c>
      <c r="M3390" s="369" cm="1">
        <f t="array" ref="M3390">+_xlfn.IFS((C3390&gt;='Resultats - informe'!$D$26)*(C3390&lt;='Resultats - informe'!$E$26),0,(C3390&gt;='Resultats - informe'!$D$27)*(C3390&lt;='Resultats - informe'!$E$27),0,(C3390&gt;='Resultats - informe'!$D$28)*(C3390&lt;='Resultats - informe'!$E$28),0,(C3390&gt;='Resultats - informe'!$D$29)*(C3390&lt;='Resultats - informe'!$E$29),0,1,1)</f>
        <v>0</v>
      </c>
      <c r="N3390" s="366">
        <f>+VLOOKUP(D3390,'Resultats - informe'!$Y$18:$AG$42,'Introducció dades consum'!K3390+1,0)</f>
        <v>0</v>
      </c>
      <c r="O3390" s="370" cm="1">
        <f t="array" ref="O3390">+_xlfn.SWITCH(MONTH(C3390),1,1,2,1,3,1,4,2,5,2,6,3,7,3,8,3,9,3,10,2,11,2,12,1,2)</f>
        <v>1</v>
      </c>
      <c r="P3390" s="43"/>
    </row>
    <row r="3391" spans="1:16" ht="18" x14ac:dyDescent="0.35">
      <c r="A3391" s="43"/>
      <c r="C3391" s="393"/>
      <c r="E3391" s="394"/>
      <c r="F3391" s="394">
        <v>0</v>
      </c>
      <c r="G3391" s="394"/>
      <c r="H3391" s="8" t="s">
        <v>61</v>
      </c>
      <c r="I3391" s="368">
        <f t="shared" si="157"/>
        <v>0</v>
      </c>
      <c r="J3391" s="365">
        <f t="shared" si="159"/>
        <v>0</v>
      </c>
      <c r="K3391" s="369">
        <f t="shared" si="158"/>
        <v>6</v>
      </c>
      <c r="L3391" s="369">
        <f>+IF((C3391&gt;='Resultats - informe'!$E$16)*(C3391&lt;='Resultats - informe'!$G$16),1,0)</f>
        <v>1</v>
      </c>
      <c r="M3391" s="369" cm="1">
        <f t="array" ref="M3391">+_xlfn.IFS((C3391&gt;='Resultats - informe'!$D$26)*(C3391&lt;='Resultats - informe'!$E$26),0,(C3391&gt;='Resultats - informe'!$D$27)*(C3391&lt;='Resultats - informe'!$E$27),0,(C3391&gt;='Resultats - informe'!$D$28)*(C3391&lt;='Resultats - informe'!$E$28),0,(C3391&gt;='Resultats - informe'!$D$29)*(C3391&lt;='Resultats - informe'!$E$29),0,1,1)</f>
        <v>0</v>
      </c>
      <c r="N3391" s="366">
        <f>+VLOOKUP(D3391,'Resultats - informe'!$Y$18:$AG$42,'Introducció dades consum'!K3391+1,0)</f>
        <v>0</v>
      </c>
      <c r="O3391" s="370" cm="1">
        <f t="array" ref="O3391">+_xlfn.SWITCH(MONTH(C3391),1,1,2,1,3,1,4,2,5,2,6,3,7,3,8,3,9,3,10,2,11,2,12,1,2)</f>
        <v>1</v>
      </c>
      <c r="P3391" s="43"/>
    </row>
    <row r="3392" spans="1:16" ht="18" x14ac:dyDescent="0.35">
      <c r="A3392" s="43"/>
      <c r="C3392" s="393"/>
      <c r="E3392" s="394"/>
      <c r="F3392" s="394">
        <v>0</v>
      </c>
      <c r="G3392" s="394"/>
      <c r="H3392" s="8" t="s">
        <v>61</v>
      </c>
      <c r="I3392" s="368">
        <f t="shared" si="157"/>
        <v>0</v>
      </c>
      <c r="J3392" s="365">
        <f t="shared" si="159"/>
        <v>0</v>
      </c>
      <c r="K3392" s="369">
        <f t="shared" si="158"/>
        <v>6</v>
      </c>
      <c r="L3392" s="369">
        <f>+IF((C3392&gt;='Resultats - informe'!$E$16)*(C3392&lt;='Resultats - informe'!$G$16),1,0)</f>
        <v>1</v>
      </c>
      <c r="M3392" s="369" cm="1">
        <f t="array" ref="M3392">+_xlfn.IFS((C3392&gt;='Resultats - informe'!$D$26)*(C3392&lt;='Resultats - informe'!$E$26),0,(C3392&gt;='Resultats - informe'!$D$27)*(C3392&lt;='Resultats - informe'!$E$27),0,(C3392&gt;='Resultats - informe'!$D$28)*(C3392&lt;='Resultats - informe'!$E$28),0,(C3392&gt;='Resultats - informe'!$D$29)*(C3392&lt;='Resultats - informe'!$E$29),0,1,1)</f>
        <v>0</v>
      </c>
      <c r="N3392" s="366">
        <f>+VLOOKUP(D3392,'Resultats - informe'!$Y$18:$AG$42,'Introducció dades consum'!K3392+1,0)</f>
        <v>0</v>
      </c>
      <c r="O3392" s="370" cm="1">
        <f t="array" ref="O3392">+_xlfn.SWITCH(MONTH(C3392),1,1,2,1,3,1,4,2,5,2,6,3,7,3,8,3,9,3,10,2,11,2,12,1,2)</f>
        <v>1</v>
      </c>
      <c r="P3392" s="43"/>
    </row>
    <row r="3393" spans="1:16" ht="18" x14ac:dyDescent="0.35">
      <c r="A3393" s="43"/>
      <c r="C3393" s="393"/>
      <c r="E3393" s="394"/>
      <c r="F3393" s="394">
        <v>0.223</v>
      </c>
      <c r="G3393" s="394"/>
      <c r="H3393" s="8" t="s">
        <v>235</v>
      </c>
      <c r="I3393" s="368">
        <f t="shared" si="157"/>
        <v>0</v>
      </c>
      <c r="J3393" s="365">
        <f t="shared" si="159"/>
        <v>0</v>
      </c>
      <c r="K3393" s="369">
        <f t="shared" si="158"/>
        <v>6</v>
      </c>
      <c r="L3393" s="369">
        <f>+IF((C3393&gt;='Resultats - informe'!$E$16)*(C3393&lt;='Resultats - informe'!$G$16),1,0)</f>
        <v>1</v>
      </c>
      <c r="M3393" s="369" cm="1">
        <f t="array" ref="M3393">+_xlfn.IFS((C3393&gt;='Resultats - informe'!$D$26)*(C3393&lt;='Resultats - informe'!$E$26),0,(C3393&gt;='Resultats - informe'!$D$27)*(C3393&lt;='Resultats - informe'!$E$27),0,(C3393&gt;='Resultats - informe'!$D$28)*(C3393&lt;='Resultats - informe'!$E$28),0,(C3393&gt;='Resultats - informe'!$D$29)*(C3393&lt;='Resultats - informe'!$E$29),0,1,1)</f>
        <v>0</v>
      </c>
      <c r="N3393" s="366">
        <f>+VLOOKUP(D3393,'Resultats - informe'!$Y$18:$AG$42,'Introducció dades consum'!K3393+1,0)</f>
        <v>0</v>
      </c>
      <c r="O3393" s="370" cm="1">
        <f t="array" ref="O3393">+_xlfn.SWITCH(MONTH(C3393),1,1,2,1,3,1,4,2,5,2,6,3,7,3,8,3,9,3,10,2,11,2,12,1,2)</f>
        <v>1</v>
      </c>
      <c r="P3393" s="43"/>
    </row>
    <row r="3394" spans="1:16" ht="18" x14ac:dyDescent="0.35">
      <c r="A3394" s="43"/>
      <c r="C3394" s="393"/>
      <c r="E3394" s="394"/>
      <c r="F3394" s="394">
        <v>0.97799999999999998</v>
      </c>
      <c r="G3394" s="394"/>
      <c r="H3394" s="8" t="s">
        <v>235</v>
      </c>
      <c r="I3394" s="368">
        <f t="shared" si="157"/>
        <v>0</v>
      </c>
      <c r="J3394" s="365">
        <f t="shared" si="159"/>
        <v>0</v>
      </c>
      <c r="K3394" s="369">
        <f t="shared" si="158"/>
        <v>6</v>
      </c>
      <c r="L3394" s="369">
        <f>+IF((C3394&gt;='Resultats - informe'!$E$16)*(C3394&lt;='Resultats - informe'!$G$16),1,0)</f>
        <v>1</v>
      </c>
      <c r="M3394" s="369" cm="1">
        <f t="array" ref="M3394">+_xlfn.IFS((C3394&gt;='Resultats - informe'!$D$26)*(C3394&lt;='Resultats - informe'!$E$26),0,(C3394&gt;='Resultats - informe'!$D$27)*(C3394&lt;='Resultats - informe'!$E$27),0,(C3394&gt;='Resultats - informe'!$D$28)*(C3394&lt;='Resultats - informe'!$E$28),0,(C3394&gt;='Resultats - informe'!$D$29)*(C3394&lt;='Resultats - informe'!$E$29),0,1,1)</f>
        <v>0</v>
      </c>
      <c r="N3394" s="366">
        <f>+VLOOKUP(D3394,'Resultats - informe'!$Y$18:$AG$42,'Introducció dades consum'!K3394+1,0)</f>
        <v>0</v>
      </c>
      <c r="O3394" s="370" cm="1">
        <f t="array" ref="O3394">+_xlfn.SWITCH(MONTH(C3394),1,1,2,1,3,1,4,2,5,2,6,3,7,3,8,3,9,3,10,2,11,2,12,1,2)</f>
        <v>1</v>
      </c>
      <c r="P3394" s="43"/>
    </row>
    <row r="3395" spans="1:16" ht="18" x14ac:dyDescent="0.35">
      <c r="A3395" s="43"/>
      <c r="C3395" s="393"/>
      <c r="E3395" s="394"/>
      <c r="F3395" s="394">
        <v>1.825</v>
      </c>
      <c r="G3395" s="394"/>
      <c r="H3395" s="8" t="s">
        <v>235</v>
      </c>
      <c r="I3395" s="368">
        <f t="shared" si="157"/>
        <v>0</v>
      </c>
      <c r="J3395" s="365">
        <f t="shared" si="159"/>
        <v>0</v>
      </c>
      <c r="K3395" s="369">
        <f t="shared" si="158"/>
        <v>6</v>
      </c>
      <c r="L3395" s="369">
        <f>+IF((C3395&gt;='Resultats - informe'!$E$16)*(C3395&lt;='Resultats - informe'!$G$16),1,0)</f>
        <v>1</v>
      </c>
      <c r="M3395" s="369" cm="1">
        <f t="array" ref="M3395">+_xlfn.IFS((C3395&gt;='Resultats - informe'!$D$26)*(C3395&lt;='Resultats - informe'!$E$26),0,(C3395&gt;='Resultats - informe'!$D$27)*(C3395&lt;='Resultats - informe'!$E$27),0,(C3395&gt;='Resultats - informe'!$D$28)*(C3395&lt;='Resultats - informe'!$E$28),0,(C3395&gt;='Resultats - informe'!$D$29)*(C3395&lt;='Resultats - informe'!$E$29),0,1,1)</f>
        <v>0</v>
      </c>
      <c r="N3395" s="366">
        <f>+VLOOKUP(D3395,'Resultats - informe'!$Y$18:$AG$42,'Introducció dades consum'!K3395+1,0)</f>
        <v>0</v>
      </c>
      <c r="O3395" s="370" cm="1">
        <f t="array" ref="O3395">+_xlfn.SWITCH(MONTH(C3395),1,1,2,1,3,1,4,2,5,2,6,3,7,3,8,3,9,3,10,2,11,2,12,1,2)</f>
        <v>1</v>
      </c>
      <c r="P3395" s="43"/>
    </row>
    <row r="3396" spans="1:16" ht="18" x14ac:dyDescent="0.35">
      <c r="A3396" s="43"/>
      <c r="C3396" s="393"/>
      <c r="E3396" s="394"/>
      <c r="F3396" s="394">
        <v>0</v>
      </c>
      <c r="G3396" s="394"/>
      <c r="H3396" s="8" t="s">
        <v>61</v>
      </c>
      <c r="I3396" s="368">
        <f t="shared" si="157"/>
        <v>0</v>
      </c>
      <c r="J3396" s="365">
        <f t="shared" si="159"/>
        <v>0</v>
      </c>
      <c r="K3396" s="369">
        <f t="shared" si="158"/>
        <v>6</v>
      </c>
      <c r="L3396" s="369">
        <f>+IF((C3396&gt;='Resultats - informe'!$E$16)*(C3396&lt;='Resultats - informe'!$G$16),1,0)</f>
        <v>1</v>
      </c>
      <c r="M3396" s="369" cm="1">
        <f t="array" ref="M3396">+_xlfn.IFS((C3396&gt;='Resultats - informe'!$D$26)*(C3396&lt;='Resultats - informe'!$E$26),0,(C3396&gt;='Resultats - informe'!$D$27)*(C3396&lt;='Resultats - informe'!$E$27),0,(C3396&gt;='Resultats - informe'!$D$28)*(C3396&lt;='Resultats - informe'!$E$28),0,(C3396&gt;='Resultats - informe'!$D$29)*(C3396&lt;='Resultats - informe'!$E$29),0,1,1)</f>
        <v>0</v>
      </c>
      <c r="N3396" s="366">
        <f>+VLOOKUP(D3396,'Resultats - informe'!$Y$18:$AG$42,'Introducció dades consum'!K3396+1,0)</f>
        <v>0</v>
      </c>
      <c r="O3396" s="370" cm="1">
        <f t="array" ref="O3396">+_xlfn.SWITCH(MONTH(C3396),1,1,2,1,3,1,4,2,5,2,6,3,7,3,8,3,9,3,10,2,11,2,12,1,2)</f>
        <v>1</v>
      </c>
      <c r="P3396" s="43"/>
    </row>
    <row r="3397" spans="1:16" ht="18" x14ac:dyDescent="0.35">
      <c r="A3397" s="43"/>
      <c r="C3397" s="393"/>
      <c r="E3397" s="394"/>
      <c r="F3397" s="394">
        <v>0.52700000000000002</v>
      </c>
      <c r="G3397" s="394"/>
      <c r="H3397" s="8" t="s">
        <v>61</v>
      </c>
      <c r="I3397" s="368">
        <f t="shared" si="157"/>
        <v>0</v>
      </c>
      <c r="J3397" s="365">
        <f t="shared" si="159"/>
        <v>0</v>
      </c>
      <c r="K3397" s="369">
        <f t="shared" si="158"/>
        <v>6</v>
      </c>
      <c r="L3397" s="369">
        <f>+IF((C3397&gt;='Resultats - informe'!$E$16)*(C3397&lt;='Resultats - informe'!$G$16),1,0)</f>
        <v>1</v>
      </c>
      <c r="M3397" s="369" cm="1">
        <f t="array" ref="M3397">+_xlfn.IFS((C3397&gt;='Resultats - informe'!$D$26)*(C3397&lt;='Resultats - informe'!$E$26),0,(C3397&gt;='Resultats - informe'!$D$27)*(C3397&lt;='Resultats - informe'!$E$27),0,(C3397&gt;='Resultats - informe'!$D$28)*(C3397&lt;='Resultats - informe'!$E$28),0,(C3397&gt;='Resultats - informe'!$D$29)*(C3397&lt;='Resultats - informe'!$E$29),0,1,1)</f>
        <v>0</v>
      </c>
      <c r="N3397" s="366">
        <f>+VLOOKUP(D3397,'Resultats - informe'!$Y$18:$AG$42,'Introducció dades consum'!K3397+1,0)</f>
        <v>0</v>
      </c>
      <c r="O3397" s="370" cm="1">
        <f t="array" ref="O3397">+_xlfn.SWITCH(MONTH(C3397),1,1,2,1,3,1,4,2,5,2,6,3,7,3,8,3,9,3,10,2,11,2,12,1,2)</f>
        <v>1</v>
      </c>
      <c r="P3397" s="43"/>
    </row>
    <row r="3398" spans="1:16" ht="18" x14ac:dyDescent="0.35">
      <c r="A3398" s="43"/>
      <c r="C3398" s="393"/>
      <c r="E3398" s="394"/>
      <c r="F3398" s="394">
        <v>2.6389999999999998</v>
      </c>
      <c r="G3398" s="394"/>
      <c r="H3398" s="8" t="s">
        <v>61</v>
      </c>
      <c r="I3398" s="368">
        <f t="shared" ref="I3398:I3461" si="160">+E3398+G3398</f>
        <v>0</v>
      </c>
      <c r="J3398" s="365">
        <f t="shared" si="159"/>
        <v>0</v>
      </c>
      <c r="K3398" s="369">
        <f t="shared" ref="K3398:K3461" si="161">+WEEKDAY(C3398,2)</f>
        <v>6</v>
      </c>
      <c r="L3398" s="369">
        <f>+IF((C3398&gt;='Resultats - informe'!$E$16)*(C3398&lt;='Resultats - informe'!$G$16),1,0)</f>
        <v>1</v>
      </c>
      <c r="M3398" s="369" cm="1">
        <f t="array" ref="M3398">+_xlfn.IFS((C3398&gt;='Resultats - informe'!$D$26)*(C3398&lt;='Resultats - informe'!$E$26),0,(C3398&gt;='Resultats - informe'!$D$27)*(C3398&lt;='Resultats - informe'!$E$27),0,(C3398&gt;='Resultats - informe'!$D$28)*(C3398&lt;='Resultats - informe'!$E$28),0,(C3398&gt;='Resultats - informe'!$D$29)*(C3398&lt;='Resultats - informe'!$E$29),0,1,1)</f>
        <v>0</v>
      </c>
      <c r="N3398" s="366">
        <f>+VLOOKUP(D3398,'Resultats - informe'!$Y$18:$AG$42,'Introducció dades consum'!K3398+1,0)</f>
        <v>0</v>
      </c>
      <c r="O3398" s="370" cm="1">
        <f t="array" ref="O3398">+_xlfn.SWITCH(MONTH(C3398),1,1,2,1,3,1,4,2,5,2,6,3,7,3,8,3,9,3,10,2,11,2,12,1,2)</f>
        <v>1</v>
      </c>
      <c r="P3398" s="43"/>
    </row>
    <row r="3399" spans="1:16" ht="18" x14ac:dyDescent="0.35">
      <c r="A3399" s="43"/>
      <c r="C3399" s="393"/>
      <c r="E3399" s="394"/>
      <c r="F3399" s="394">
        <v>2.681</v>
      </c>
      <c r="G3399" s="394"/>
      <c r="H3399" s="8" t="s">
        <v>235</v>
      </c>
      <c r="I3399" s="368">
        <f t="shared" si="160"/>
        <v>0</v>
      </c>
      <c r="J3399" s="365">
        <f t="shared" si="159"/>
        <v>0</v>
      </c>
      <c r="K3399" s="369">
        <f t="shared" si="161"/>
        <v>6</v>
      </c>
      <c r="L3399" s="369">
        <f>+IF((C3399&gt;='Resultats - informe'!$E$16)*(C3399&lt;='Resultats - informe'!$G$16),1,0)</f>
        <v>1</v>
      </c>
      <c r="M3399" s="369" cm="1">
        <f t="array" ref="M3399">+_xlfn.IFS((C3399&gt;='Resultats - informe'!$D$26)*(C3399&lt;='Resultats - informe'!$E$26),0,(C3399&gt;='Resultats - informe'!$D$27)*(C3399&lt;='Resultats - informe'!$E$27),0,(C3399&gt;='Resultats - informe'!$D$28)*(C3399&lt;='Resultats - informe'!$E$28),0,(C3399&gt;='Resultats - informe'!$D$29)*(C3399&lt;='Resultats - informe'!$E$29),0,1,1)</f>
        <v>0</v>
      </c>
      <c r="N3399" s="366">
        <f>+VLOOKUP(D3399,'Resultats - informe'!$Y$18:$AG$42,'Introducció dades consum'!K3399+1,0)</f>
        <v>0</v>
      </c>
      <c r="O3399" s="370" cm="1">
        <f t="array" ref="O3399">+_xlfn.SWITCH(MONTH(C3399),1,1,2,1,3,1,4,2,5,2,6,3,7,3,8,3,9,3,10,2,11,2,12,1,2)</f>
        <v>1</v>
      </c>
      <c r="P3399" s="43"/>
    </row>
    <row r="3400" spans="1:16" ht="18" x14ac:dyDescent="0.35">
      <c r="A3400" s="43"/>
      <c r="C3400" s="393"/>
      <c r="E3400" s="394"/>
      <c r="F3400" s="394">
        <v>2.8069999999999999</v>
      </c>
      <c r="G3400" s="394"/>
      <c r="H3400" s="8" t="s">
        <v>235</v>
      </c>
      <c r="I3400" s="368">
        <f t="shared" si="160"/>
        <v>0</v>
      </c>
      <c r="J3400" s="365">
        <f t="shared" si="159"/>
        <v>0</v>
      </c>
      <c r="K3400" s="369">
        <f t="shared" si="161"/>
        <v>6</v>
      </c>
      <c r="L3400" s="369">
        <f>+IF((C3400&gt;='Resultats - informe'!$E$16)*(C3400&lt;='Resultats - informe'!$G$16),1,0)</f>
        <v>1</v>
      </c>
      <c r="M3400" s="369" cm="1">
        <f t="array" ref="M3400">+_xlfn.IFS((C3400&gt;='Resultats - informe'!$D$26)*(C3400&lt;='Resultats - informe'!$E$26),0,(C3400&gt;='Resultats - informe'!$D$27)*(C3400&lt;='Resultats - informe'!$E$27),0,(C3400&gt;='Resultats - informe'!$D$28)*(C3400&lt;='Resultats - informe'!$E$28),0,(C3400&gt;='Resultats - informe'!$D$29)*(C3400&lt;='Resultats - informe'!$E$29),0,1,1)</f>
        <v>0</v>
      </c>
      <c r="N3400" s="366">
        <f>+VLOOKUP(D3400,'Resultats - informe'!$Y$18:$AG$42,'Introducció dades consum'!K3400+1,0)</f>
        <v>0</v>
      </c>
      <c r="O3400" s="370" cm="1">
        <f t="array" ref="O3400">+_xlfn.SWITCH(MONTH(C3400),1,1,2,1,3,1,4,2,5,2,6,3,7,3,8,3,9,3,10,2,11,2,12,1,2)</f>
        <v>1</v>
      </c>
      <c r="P3400" s="43"/>
    </row>
    <row r="3401" spans="1:16" ht="18" x14ac:dyDescent="0.35">
      <c r="A3401" s="43"/>
      <c r="C3401" s="393"/>
      <c r="E3401" s="394"/>
      <c r="F3401" s="394">
        <v>2.734</v>
      </c>
      <c r="G3401" s="394"/>
      <c r="H3401" s="8" t="s">
        <v>61</v>
      </c>
      <c r="I3401" s="368">
        <f t="shared" si="160"/>
        <v>0</v>
      </c>
      <c r="J3401" s="365">
        <f t="shared" si="159"/>
        <v>0</v>
      </c>
      <c r="K3401" s="369">
        <f t="shared" si="161"/>
        <v>6</v>
      </c>
      <c r="L3401" s="369">
        <f>+IF((C3401&gt;='Resultats - informe'!$E$16)*(C3401&lt;='Resultats - informe'!$G$16),1,0)</f>
        <v>1</v>
      </c>
      <c r="M3401" s="369" cm="1">
        <f t="array" ref="M3401">+_xlfn.IFS((C3401&gt;='Resultats - informe'!$D$26)*(C3401&lt;='Resultats - informe'!$E$26),0,(C3401&gt;='Resultats - informe'!$D$27)*(C3401&lt;='Resultats - informe'!$E$27),0,(C3401&gt;='Resultats - informe'!$D$28)*(C3401&lt;='Resultats - informe'!$E$28),0,(C3401&gt;='Resultats - informe'!$D$29)*(C3401&lt;='Resultats - informe'!$E$29),0,1,1)</f>
        <v>0</v>
      </c>
      <c r="N3401" s="366">
        <f>+VLOOKUP(D3401,'Resultats - informe'!$Y$18:$AG$42,'Introducció dades consum'!K3401+1,0)</f>
        <v>0</v>
      </c>
      <c r="O3401" s="370" cm="1">
        <f t="array" ref="O3401">+_xlfn.SWITCH(MONTH(C3401),1,1,2,1,3,1,4,2,5,2,6,3,7,3,8,3,9,3,10,2,11,2,12,1,2)</f>
        <v>1</v>
      </c>
      <c r="P3401" s="43"/>
    </row>
    <row r="3402" spans="1:16" ht="18" x14ac:dyDescent="0.35">
      <c r="A3402" s="43"/>
      <c r="C3402" s="393"/>
      <c r="E3402" s="394"/>
      <c r="F3402" s="394">
        <v>2.407</v>
      </c>
      <c r="G3402" s="394"/>
      <c r="H3402" s="8" t="s">
        <v>235</v>
      </c>
      <c r="I3402" s="368">
        <f t="shared" si="160"/>
        <v>0</v>
      </c>
      <c r="J3402" s="365">
        <f t="shared" si="159"/>
        <v>0</v>
      </c>
      <c r="K3402" s="369">
        <f t="shared" si="161"/>
        <v>6</v>
      </c>
      <c r="L3402" s="369">
        <f>+IF((C3402&gt;='Resultats - informe'!$E$16)*(C3402&lt;='Resultats - informe'!$G$16),1,0)</f>
        <v>1</v>
      </c>
      <c r="M3402" s="369" cm="1">
        <f t="array" ref="M3402">+_xlfn.IFS((C3402&gt;='Resultats - informe'!$D$26)*(C3402&lt;='Resultats - informe'!$E$26),0,(C3402&gt;='Resultats - informe'!$D$27)*(C3402&lt;='Resultats - informe'!$E$27),0,(C3402&gt;='Resultats - informe'!$D$28)*(C3402&lt;='Resultats - informe'!$E$28),0,(C3402&gt;='Resultats - informe'!$D$29)*(C3402&lt;='Resultats - informe'!$E$29),0,1,1)</f>
        <v>0</v>
      </c>
      <c r="N3402" s="366">
        <f>+VLOOKUP(D3402,'Resultats - informe'!$Y$18:$AG$42,'Introducció dades consum'!K3402+1,0)</f>
        <v>0</v>
      </c>
      <c r="O3402" s="370" cm="1">
        <f t="array" ref="O3402">+_xlfn.SWITCH(MONTH(C3402),1,1,2,1,3,1,4,2,5,2,6,3,7,3,8,3,9,3,10,2,11,2,12,1,2)</f>
        <v>1</v>
      </c>
      <c r="P3402" s="43"/>
    </row>
    <row r="3403" spans="1:16" ht="18" x14ac:dyDescent="0.35">
      <c r="A3403" s="43"/>
      <c r="C3403" s="393"/>
      <c r="E3403" s="394"/>
      <c r="F3403" s="394">
        <v>2.294</v>
      </c>
      <c r="G3403" s="394"/>
      <c r="H3403" s="8" t="s">
        <v>235</v>
      </c>
      <c r="I3403" s="368">
        <f t="shared" si="160"/>
        <v>0</v>
      </c>
      <c r="J3403" s="365">
        <f t="shared" si="159"/>
        <v>0</v>
      </c>
      <c r="K3403" s="369">
        <f t="shared" si="161"/>
        <v>6</v>
      </c>
      <c r="L3403" s="369">
        <f>+IF((C3403&gt;='Resultats - informe'!$E$16)*(C3403&lt;='Resultats - informe'!$G$16),1,0)</f>
        <v>1</v>
      </c>
      <c r="M3403" s="369" cm="1">
        <f t="array" ref="M3403">+_xlfn.IFS((C3403&gt;='Resultats - informe'!$D$26)*(C3403&lt;='Resultats - informe'!$E$26),0,(C3403&gt;='Resultats - informe'!$D$27)*(C3403&lt;='Resultats - informe'!$E$27),0,(C3403&gt;='Resultats - informe'!$D$28)*(C3403&lt;='Resultats - informe'!$E$28),0,(C3403&gt;='Resultats - informe'!$D$29)*(C3403&lt;='Resultats - informe'!$E$29),0,1,1)</f>
        <v>0</v>
      </c>
      <c r="N3403" s="366">
        <f>+VLOOKUP(D3403,'Resultats - informe'!$Y$18:$AG$42,'Introducció dades consum'!K3403+1,0)</f>
        <v>0</v>
      </c>
      <c r="O3403" s="370" cm="1">
        <f t="array" ref="O3403">+_xlfn.SWITCH(MONTH(C3403),1,1,2,1,3,1,4,2,5,2,6,3,7,3,8,3,9,3,10,2,11,2,12,1,2)</f>
        <v>1</v>
      </c>
      <c r="P3403" s="43"/>
    </row>
    <row r="3404" spans="1:16" ht="18" x14ac:dyDescent="0.35">
      <c r="A3404" s="43"/>
      <c r="C3404" s="393"/>
      <c r="E3404" s="394"/>
      <c r="F3404" s="394">
        <v>6.1719999999999997</v>
      </c>
      <c r="G3404" s="394"/>
      <c r="H3404" s="8" t="s">
        <v>61</v>
      </c>
      <c r="I3404" s="368">
        <f t="shared" si="160"/>
        <v>0</v>
      </c>
      <c r="J3404" s="365">
        <f t="shared" si="159"/>
        <v>0</v>
      </c>
      <c r="K3404" s="369">
        <f t="shared" si="161"/>
        <v>6</v>
      </c>
      <c r="L3404" s="369">
        <f>+IF((C3404&gt;='Resultats - informe'!$E$16)*(C3404&lt;='Resultats - informe'!$G$16),1,0)</f>
        <v>1</v>
      </c>
      <c r="M3404" s="369" cm="1">
        <f t="array" ref="M3404">+_xlfn.IFS((C3404&gt;='Resultats - informe'!$D$26)*(C3404&lt;='Resultats - informe'!$E$26),0,(C3404&gt;='Resultats - informe'!$D$27)*(C3404&lt;='Resultats - informe'!$E$27),0,(C3404&gt;='Resultats - informe'!$D$28)*(C3404&lt;='Resultats - informe'!$E$28),0,(C3404&gt;='Resultats - informe'!$D$29)*(C3404&lt;='Resultats - informe'!$E$29),0,1,1)</f>
        <v>0</v>
      </c>
      <c r="N3404" s="366">
        <f>+VLOOKUP(D3404,'Resultats - informe'!$Y$18:$AG$42,'Introducció dades consum'!K3404+1,0)</f>
        <v>0</v>
      </c>
      <c r="O3404" s="370" cm="1">
        <f t="array" ref="O3404">+_xlfn.SWITCH(MONTH(C3404),1,1,2,1,3,1,4,2,5,2,6,3,7,3,8,3,9,3,10,2,11,2,12,1,2)</f>
        <v>1</v>
      </c>
      <c r="P3404" s="43"/>
    </row>
    <row r="3405" spans="1:16" ht="18" x14ac:dyDescent="0.35">
      <c r="A3405" s="43"/>
      <c r="C3405" s="393"/>
      <c r="E3405" s="394"/>
      <c r="F3405" s="394">
        <v>4.5220000000000002</v>
      </c>
      <c r="G3405" s="394"/>
      <c r="H3405" s="8" t="s">
        <v>61</v>
      </c>
      <c r="I3405" s="368">
        <f t="shared" si="160"/>
        <v>0</v>
      </c>
      <c r="J3405" s="365">
        <f t="shared" si="159"/>
        <v>0</v>
      </c>
      <c r="K3405" s="369">
        <f t="shared" si="161"/>
        <v>6</v>
      </c>
      <c r="L3405" s="369">
        <f>+IF((C3405&gt;='Resultats - informe'!$E$16)*(C3405&lt;='Resultats - informe'!$G$16),1,0)</f>
        <v>1</v>
      </c>
      <c r="M3405" s="369" cm="1">
        <f t="array" ref="M3405">+_xlfn.IFS((C3405&gt;='Resultats - informe'!$D$26)*(C3405&lt;='Resultats - informe'!$E$26),0,(C3405&gt;='Resultats - informe'!$D$27)*(C3405&lt;='Resultats - informe'!$E$27),0,(C3405&gt;='Resultats - informe'!$D$28)*(C3405&lt;='Resultats - informe'!$E$28),0,(C3405&gt;='Resultats - informe'!$D$29)*(C3405&lt;='Resultats - informe'!$E$29),0,1,1)</f>
        <v>0</v>
      </c>
      <c r="N3405" s="366">
        <f>+VLOOKUP(D3405,'Resultats - informe'!$Y$18:$AG$42,'Introducció dades consum'!K3405+1,0)</f>
        <v>0</v>
      </c>
      <c r="O3405" s="370" cm="1">
        <f t="array" ref="O3405">+_xlfn.SWITCH(MONTH(C3405),1,1,2,1,3,1,4,2,5,2,6,3,7,3,8,3,9,3,10,2,11,2,12,1,2)</f>
        <v>1</v>
      </c>
      <c r="P3405" s="43"/>
    </row>
    <row r="3406" spans="1:16" ht="18" x14ac:dyDescent="0.35">
      <c r="A3406" s="43"/>
      <c r="C3406" s="393"/>
      <c r="E3406" s="394"/>
      <c r="F3406" s="394">
        <v>2.5110000000000001</v>
      </c>
      <c r="G3406" s="394"/>
      <c r="H3406" s="8" t="s">
        <v>61</v>
      </c>
      <c r="I3406" s="368">
        <f t="shared" si="160"/>
        <v>0</v>
      </c>
      <c r="J3406" s="365">
        <f t="shared" si="159"/>
        <v>0</v>
      </c>
      <c r="K3406" s="369">
        <f t="shared" si="161"/>
        <v>6</v>
      </c>
      <c r="L3406" s="369">
        <f>+IF((C3406&gt;='Resultats - informe'!$E$16)*(C3406&lt;='Resultats - informe'!$G$16),1,0)</f>
        <v>1</v>
      </c>
      <c r="M3406" s="369" cm="1">
        <f t="array" ref="M3406">+_xlfn.IFS((C3406&gt;='Resultats - informe'!$D$26)*(C3406&lt;='Resultats - informe'!$E$26),0,(C3406&gt;='Resultats - informe'!$D$27)*(C3406&lt;='Resultats - informe'!$E$27),0,(C3406&gt;='Resultats - informe'!$D$28)*(C3406&lt;='Resultats - informe'!$E$28),0,(C3406&gt;='Resultats - informe'!$D$29)*(C3406&lt;='Resultats - informe'!$E$29),0,1,1)</f>
        <v>0</v>
      </c>
      <c r="N3406" s="366">
        <f>+VLOOKUP(D3406,'Resultats - informe'!$Y$18:$AG$42,'Introducció dades consum'!K3406+1,0)</f>
        <v>0</v>
      </c>
      <c r="O3406" s="370" cm="1">
        <f t="array" ref="O3406">+_xlfn.SWITCH(MONTH(C3406),1,1,2,1,3,1,4,2,5,2,6,3,7,3,8,3,9,3,10,2,11,2,12,1,2)</f>
        <v>1</v>
      </c>
      <c r="P3406" s="43"/>
    </row>
    <row r="3407" spans="1:16" ht="18" x14ac:dyDescent="0.35">
      <c r="A3407" s="43"/>
      <c r="C3407" s="393"/>
      <c r="E3407" s="394"/>
      <c r="F3407" s="394">
        <v>0</v>
      </c>
      <c r="G3407" s="394"/>
      <c r="H3407" s="8" t="s">
        <v>235</v>
      </c>
      <c r="I3407" s="368">
        <f t="shared" si="160"/>
        <v>0</v>
      </c>
      <c r="J3407" s="365">
        <f t="shared" si="159"/>
        <v>0</v>
      </c>
      <c r="K3407" s="369">
        <f t="shared" si="161"/>
        <v>6</v>
      </c>
      <c r="L3407" s="369">
        <f>+IF((C3407&gt;='Resultats - informe'!$E$16)*(C3407&lt;='Resultats - informe'!$G$16),1,0)</f>
        <v>1</v>
      </c>
      <c r="M3407" s="369" cm="1">
        <f t="array" ref="M3407">+_xlfn.IFS((C3407&gt;='Resultats - informe'!$D$26)*(C3407&lt;='Resultats - informe'!$E$26),0,(C3407&gt;='Resultats - informe'!$D$27)*(C3407&lt;='Resultats - informe'!$E$27),0,(C3407&gt;='Resultats - informe'!$D$28)*(C3407&lt;='Resultats - informe'!$E$28),0,(C3407&gt;='Resultats - informe'!$D$29)*(C3407&lt;='Resultats - informe'!$E$29),0,1,1)</f>
        <v>0</v>
      </c>
      <c r="N3407" s="366">
        <f>+VLOOKUP(D3407,'Resultats - informe'!$Y$18:$AG$42,'Introducció dades consum'!K3407+1,0)</f>
        <v>0</v>
      </c>
      <c r="O3407" s="370" cm="1">
        <f t="array" ref="O3407">+_xlfn.SWITCH(MONTH(C3407),1,1,2,1,3,1,4,2,5,2,6,3,7,3,8,3,9,3,10,2,11,2,12,1,2)</f>
        <v>1</v>
      </c>
      <c r="P3407" s="43"/>
    </row>
    <row r="3408" spans="1:16" ht="18" x14ac:dyDescent="0.35">
      <c r="A3408" s="43"/>
      <c r="C3408" s="393"/>
      <c r="E3408" s="394"/>
      <c r="F3408" s="394">
        <v>0</v>
      </c>
      <c r="G3408" s="394"/>
      <c r="H3408" s="8" t="s">
        <v>235</v>
      </c>
      <c r="I3408" s="368">
        <f t="shared" si="160"/>
        <v>0</v>
      </c>
      <c r="J3408" s="365">
        <f t="shared" si="159"/>
        <v>0</v>
      </c>
      <c r="K3408" s="369">
        <f t="shared" si="161"/>
        <v>6</v>
      </c>
      <c r="L3408" s="369">
        <f>+IF((C3408&gt;='Resultats - informe'!$E$16)*(C3408&lt;='Resultats - informe'!$G$16),1,0)</f>
        <v>1</v>
      </c>
      <c r="M3408" s="369" cm="1">
        <f t="array" ref="M3408">+_xlfn.IFS((C3408&gt;='Resultats - informe'!$D$26)*(C3408&lt;='Resultats - informe'!$E$26),0,(C3408&gt;='Resultats - informe'!$D$27)*(C3408&lt;='Resultats - informe'!$E$27),0,(C3408&gt;='Resultats - informe'!$D$28)*(C3408&lt;='Resultats - informe'!$E$28),0,(C3408&gt;='Resultats - informe'!$D$29)*(C3408&lt;='Resultats - informe'!$E$29),0,1,1)</f>
        <v>0</v>
      </c>
      <c r="N3408" s="366">
        <f>+VLOOKUP(D3408,'Resultats - informe'!$Y$18:$AG$42,'Introducció dades consum'!K3408+1,0)</f>
        <v>0</v>
      </c>
      <c r="O3408" s="370" cm="1">
        <f t="array" ref="O3408">+_xlfn.SWITCH(MONTH(C3408),1,1,2,1,3,1,4,2,5,2,6,3,7,3,8,3,9,3,10,2,11,2,12,1,2)</f>
        <v>1</v>
      </c>
      <c r="P3408" s="43"/>
    </row>
    <row r="3409" spans="1:16" ht="18" x14ac:dyDescent="0.35">
      <c r="A3409" s="43"/>
      <c r="C3409" s="393"/>
      <c r="E3409" s="394"/>
      <c r="F3409" s="394">
        <v>0</v>
      </c>
      <c r="G3409" s="394"/>
      <c r="H3409" s="8" t="s">
        <v>235</v>
      </c>
      <c r="I3409" s="368">
        <f t="shared" si="160"/>
        <v>0</v>
      </c>
      <c r="J3409" s="365">
        <f t="shared" si="159"/>
        <v>0</v>
      </c>
      <c r="K3409" s="369">
        <f t="shared" si="161"/>
        <v>6</v>
      </c>
      <c r="L3409" s="369">
        <f>+IF((C3409&gt;='Resultats - informe'!$E$16)*(C3409&lt;='Resultats - informe'!$G$16),1,0)</f>
        <v>1</v>
      </c>
      <c r="M3409" s="369" cm="1">
        <f t="array" ref="M3409">+_xlfn.IFS((C3409&gt;='Resultats - informe'!$D$26)*(C3409&lt;='Resultats - informe'!$E$26),0,(C3409&gt;='Resultats - informe'!$D$27)*(C3409&lt;='Resultats - informe'!$E$27),0,(C3409&gt;='Resultats - informe'!$D$28)*(C3409&lt;='Resultats - informe'!$E$28),0,(C3409&gt;='Resultats - informe'!$D$29)*(C3409&lt;='Resultats - informe'!$E$29),0,1,1)</f>
        <v>0</v>
      </c>
      <c r="N3409" s="366">
        <f>+VLOOKUP(D3409,'Resultats - informe'!$Y$18:$AG$42,'Introducció dades consum'!K3409+1,0)</f>
        <v>0</v>
      </c>
      <c r="O3409" s="370" cm="1">
        <f t="array" ref="O3409">+_xlfn.SWITCH(MONTH(C3409),1,1,2,1,3,1,4,2,5,2,6,3,7,3,8,3,9,3,10,2,11,2,12,1,2)</f>
        <v>1</v>
      </c>
      <c r="P3409" s="43"/>
    </row>
    <row r="3410" spans="1:16" ht="18" x14ac:dyDescent="0.35">
      <c r="A3410" s="43"/>
      <c r="C3410" s="393"/>
      <c r="E3410" s="394"/>
      <c r="F3410" s="394">
        <v>0</v>
      </c>
      <c r="G3410" s="394"/>
      <c r="H3410" s="8" t="s">
        <v>235</v>
      </c>
      <c r="I3410" s="368">
        <f t="shared" si="160"/>
        <v>0</v>
      </c>
      <c r="J3410" s="365">
        <f t="shared" si="159"/>
        <v>0</v>
      </c>
      <c r="K3410" s="369">
        <f t="shared" si="161"/>
        <v>6</v>
      </c>
      <c r="L3410" s="369">
        <f>+IF((C3410&gt;='Resultats - informe'!$E$16)*(C3410&lt;='Resultats - informe'!$G$16),1,0)</f>
        <v>1</v>
      </c>
      <c r="M3410" s="369" cm="1">
        <f t="array" ref="M3410">+_xlfn.IFS((C3410&gt;='Resultats - informe'!$D$26)*(C3410&lt;='Resultats - informe'!$E$26),0,(C3410&gt;='Resultats - informe'!$D$27)*(C3410&lt;='Resultats - informe'!$E$27),0,(C3410&gt;='Resultats - informe'!$D$28)*(C3410&lt;='Resultats - informe'!$E$28),0,(C3410&gt;='Resultats - informe'!$D$29)*(C3410&lt;='Resultats - informe'!$E$29),0,1,1)</f>
        <v>0</v>
      </c>
      <c r="N3410" s="366">
        <f>+VLOOKUP(D3410,'Resultats - informe'!$Y$18:$AG$42,'Introducció dades consum'!K3410+1,0)</f>
        <v>0</v>
      </c>
      <c r="O3410" s="370" cm="1">
        <f t="array" ref="O3410">+_xlfn.SWITCH(MONTH(C3410),1,1,2,1,3,1,4,2,5,2,6,3,7,3,8,3,9,3,10,2,11,2,12,1,2)</f>
        <v>1</v>
      </c>
      <c r="P3410" s="43"/>
    </row>
    <row r="3411" spans="1:16" ht="18" x14ac:dyDescent="0.35">
      <c r="A3411" s="43"/>
      <c r="C3411" s="393"/>
      <c r="E3411" s="394"/>
      <c r="F3411" s="394">
        <v>0</v>
      </c>
      <c r="G3411" s="394"/>
      <c r="H3411" s="8" t="s">
        <v>61</v>
      </c>
      <c r="I3411" s="368">
        <f t="shared" si="160"/>
        <v>0</v>
      </c>
      <c r="J3411" s="365">
        <f t="shared" si="159"/>
        <v>0</v>
      </c>
      <c r="K3411" s="369">
        <f t="shared" si="161"/>
        <v>6</v>
      </c>
      <c r="L3411" s="369">
        <f>+IF((C3411&gt;='Resultats - informe'!$E$16)*(C3411&lt;='Resultats - informe'!$G$16),1,0)</f>
        <v>1</v>
      </c>
      <c r="M3411" s="369" cm="1">
        <f t="array" ref="M3411">+_xlfn.IFS((C3411&gt;='Resultats - informe'!$D$26)*(C3411&lt;='Resultats - informe'!$E$26),0,(C3411&gt;='Resultats - informe'!$D$27)*(C3411&lt;='Resultats - informe'!$E$27),0,(C3411&gt;='Resultats - informe'!$D$28)*(C3411&lt;='Resultats - informe'!$E$28),0,(C3411&gt;='Resultats - informe'!$D$29)*(C3411&lt;='Resultats - informe'!$E$29),0,1,1)</f>
        <v>0</v>
      </c>
      <c r="N3411" s="366">
        <f>+VLOOKUP(D3411,'Resultats - informe'!$Y$18:$AG$42,'Introducció dades consum'!K3411+1,0)</f>
        <v>0</v>
      </c>
      <c r="O3411" s="370" cm="1">
        <f t="array" ref="O3411">+_xlfn.SWITCH(MONTH(C3411),1,1,2,1,3,1,4,2,5,2,6,3,7,3,8,3,9,3,10,2,11,2,12,1,2)</f>
        <v>1</v>
      </c>
      <c r="P3411" s="43"/>
    </row>
    <row r="3412" spans="1:16" ht="18" x14ac:dyDescent="0.35">
      <c r="A3412" s="43"/>
      <c r="C3412" s="393"/>
      <c r="E3412" s="394"/>
      <c r="F3412" s="394">
        <v>0</v>
      </c>
      <c r="G3412" s="394"/>
      <c r="H3412" s="8" t="s">
        <v>235</v>
      </c>
      <c r="I3412" s="368">
        <f t="shared" si="160"/>
        <v>0</v>
      </c>
      <c r="J3412" s="365">
        <f t="shared" si="159"/>
        <v>0</v>
      </c>
      <c r="K3412" s="369">
        <f t="shared" si="161"/>
        <v>6</v>
      </c>
      <c r="L3412" s="369">
        <f>+IF((C3412&gt;='Resultats - informe'!$E$16)*(C3412&lt;='Resultats - informe'!$G$16),1,0)</f>
        <v>1</v>
      </c>
      <c r="M3412" s="369" cm="1">
        <f t="array" ref="M3412">+_xlfn.IFS((C3412&gt;='Resultats - informe'!$D$26)*(C3412&lt;='Resultats - informe'!$E$26),0,(C3412&gt;='Resultats - informe'!$D$27)*(C3412&lt;='Resultats - informe'!$E$27),0,(C3412&gt;='Resultats - informe'!$D$28)*(C3412&lt;='Resultats - informe'!$E$28),0,(C3412&gt;='Resultats - informe'!$D$29)*(C3412&lt;='Resultats - informe'!$E$29),0,1,1)</f>
        <v>0</v>
      </c>
      <c r="N3412" s="366">
        <f>+VLOOKUP(D3412,'Resultats - informe'!$Y$18:$AG$42,'Introducció dades consum'!K3412+1,0)</f>
        <v>0</v>
      </c>
      <c r="O3412" s="370" cm="1">
        <f t="array" ref="O3412">+_xlfn.SWITCH(MONTH(C3412),1,1,2,1,3,1,4,2,5,2,6,3,7,3,8,3,9,3,10,2,11,2,12,1,2)</f>
        <v>1</v>
      </c>
      <c r="P3412" s="43"/>
    </row>
    <row r="3413" spans="1:16" ht="18" x14ac:dyDescent="0.35">
      <c r="A3413" s="43"/>
      <c r="C3413" s="393"/>
      <c r="E3413" s="394"/>
      <c r="F3413" s="394">
        <v>0</v>
      </c>
      <c r="G3413" s="394"/>
      <c r="H3413" s="8" t="s">
        <v>235</v>
      </c>
      <c r="I3413" s="368">
        <f t="shared" si="160"/>
        <v>0</v>
      </c>
      <c r="J3413" s="365">
        <f t="shared" si="159"/>
        <v>0</v>
      </c>
      <c r="K3413" s="369">
        <f t="shared" si="161"/>
        <v>6</v>
      </c>
      <c r="L3413" s="369">
        <f>+IF((C3413&gt;='Resultats - informe'!$E$16)*(C3413&lt;='Resultats - informe'!$G$16),1,0)</f>
        <v>1</v>
      </c>
      <c r="M3413" s="369" cm="1">
        <f t="array" ref="M3413">+_xlfn.IFS((C3413&gt;='Resultats - informe'!$D$26)*(C3413&lt;='Resultats - informe'!$E$26),0,(C3413&gt;='Resultats - informe'!$D$27)*(C3413&lt;='Resultats - informe'!$E$27),0,(C3413&gt;='Resultats - informe'!$D$28)*(C3413&lt;='Resultats - informe'!$E$28),0,(C3413&gt;='Resultats - informe'!$D$29)*(C3413&lt;='Resultats - informe'!$E$29),0,1,1)</f>
        <v>0</v>
      </c>
      <c r="N3413" s="366">
        <f>+VLOOKUP(D3413,'Resultats - informe'!$Y$18:$AG$42,'Introducció dades consum'!K3413+1,0)</f>
        <v>0</v>
      </c>
      <c r="O3413" s="370" cm="1">
        <f t="array" ref="O3413">+_xlfn.SWITCH(MONTH(C3413),1,1,2,1,3,1,4,2,5,2,6,3,7,3,8,3,9,3,10,2,11,2,12,1,2)</f>
        <v>1</v>
      </c>
      <c r="P3413" s="43"/>
    </row>
    <row r="3414" spans="1:16" ht="18" x14ac:dyDescent="0.35">
      <c r="A3414" s="43"/>
      <c r="C3414" s="393"/>
      <c r="E3414" s="394"/>
      <c r="F3414" s="394">
        <v>0</v>
      </c>
      <c r="G3414" s="394"/>
      <c r="H3414" s="8" t="s">
        <v>61</v>
      </c>
      <c r="I3414" s="368">
        <f t="shared" si="160"/>
        <v>0</v>
      </c>
      <c r="J3414" s="365">
        <f t="shared" si="159"/>
        <v>0</v>
      </c>
      <c r="K3414" s="369">
        <f t="shared" si="161"/>
        <v>6</v>
      </c>
      <c r="L3414" s="369">
        <f>+IF((C3414&gt;='Resultats - informe'!$E$16)*(C3414&lt;='Resultats - informe'!$G$16),1,0)</f>
        <v>1</v>
      </c>
      <c r="M3414" s="369" cm="1">
        <f t="array" ref="M3414">+_xlfn.IFS((C3414&gt;='Resultats - informe'!$D$26)*(C3414&lt;='Resultats - informe'!$E$26),0,(C3414&gt;='Resultats - informe'!$D$27)*(C3414&lt;='Resultats - informe'!$E$27),0,(C3414&gt;='Resultats - informe'!$D$28)*(C3414&lt;='Resultats - informe'!$E$28),0,(C3414&gt;='Resultats - informe'!$D$29)*(C3414&lt;='Resultats - informe'!$E$29),0,1,1)</f>
        <v>0</v>
      </c>
      <c r="N3414" s="366">
        <f>+VLOOKUP(D3414,'Resultats - informe'!$Y$18:$AG$42,'Introducció dades consum'!K3414+1,0)</f>
        <v>0</v>
      </c>
      <c r="O3414" s="370" cm="1">
        <f t="array" ref="O3414">+_xlfn.SWITCH(MONTH(C3414),1,1,2,1,3,1,4,2,5,2,6,3,7,3,8,3,9,3,10,2,11,2,12,1,2)</f>
        <v>1</v>
      </c>
      <c r="P3414" s="43"/>
    </row>
    <row r="3415" spans="1:16" ht="18" x14ac:dyDescent="0.35">
      <c r="A3415" s="43"/>
      <c r="C3415" s="393"/>
      <c r="E3415" s="394"/>
      <c r="F3415" s="394">
        <v>0</v>
      </c>
      <c r="G3415" s="394"/>
      <c r="H3415" s="8" t="s">
        <v>61</v>
      </c>
      <c r="I3415" s="368">
        <f t="shared" si="160"/>
        <v>0</v>
      </c>
      <c r="J3415" s="365">
        <f t="shared" si="159"/>
        <v>0</v>
      </c>
      <c r="K3415" s="369">
        <f t="shared" si="161"/>
        <v>6</v>
      </c>
      <c r="L3415" s="369">
        <f>+IF((C3415&gt;='Resultats - informe'!$E$16)*(C3415&lt;='Resultats - informe'!$G$16),1,0)</f>
        <v>1</v>
      </c>
      <c r="M3415" s="369" cm="1">
        <f t="array" ref="M3415">+_xlfn.IFS((C3415&gt;='Resultats - informe'!$D$26)*(C3415&lt;='Resultats - informe'!$E$26),0,(C3415&gt;='Resultats - informe'!$D$27)*(C3415&lt;='Resultats - informe'!$E$27),0,(C3415&gt;='Resultats - informe'!$D$28)*(C3415&lt;='Resultats - informe'!$E$28),0,(C3415&gt;='Resultats - informe'!$D$29)*(C3415&lt;='Resultats - informe'!$E$29),0,1,1)</f>
        <v>0</v>
      </c>
      <c r="N3415" s="366">
        <f>+VLOOKUP(D3415,'Resultats - informe'!$Y$18:$AG$42,'Introducció dades consum'!K3415+1,0)</f>
        <v>0</v>
      </c>
      <c r="O3415" s="370" cm="1">
        <f t="array" ref="O3415">+_xlfn.SWITCH(MONTH(C3415),1,1,2,1,3,1,4,2,5,2,6,3,7,3,8,3,9,3,10,2,11,2,12,1,2)</f>
        <v>1</v>
      </c>
      <c r="P3415" s="43"/>
    </row>
    <row r="3416" spans="1:16" ht="18" x14ac:dyDescent="0.35">
      <c r="A3416" s="43"/>
      <c r="C3416" s="393"/>
      <c r="E3416" s="394"/>
      <c r="F3416" s="394">
        <v>0</v>
      </c>
      <c r="G3416" s="394"/>
      <c r="H3416" s="8" t="s">
        <v>61</v>
      </c>
      <c r="I3416" s="368">
        <f t="shared" si="160"/>
        <v>0</v>
      </c>
      <c r="J3416" s="365">
        <f t="shared" si="159"/>
        <v>0</v>
      </c>
      <c r="K3416" s="369">
        <f t="shared" si="161"/>
        <v>6</v>
      </c>
      <c r="L3416" s="369">
        <f>+IF((C3416&gt;='Resultats - informe'!$E$16)*(C3416&lt;='Resultats - informe'!$G$16),1,0)</f>
        <v>1</v>
      </c>
      <c r="M3416" s="369" cm="1">
        <f t="array" ref="M3416">+_xlfn.IFS((C3416&gt;='Resultats - informe'!$D$26)*(C3416&lt;='Resultats - informe'!$E$26),0,(C3416&gt;='Resultats - informe'!$D$27)*(C3416&lt;='Resultats - informe'!$E$27),0,(C3416&gt;='Resultats - informe'!$D$28)*(C3416&lt;='Resultats - informe'!$E$28),0,(C3416&gt;='Resultats - informe'!$D$29)*(C3416&lt;='Resultats - informe'!$E$29),0,1,1)</f>
        <v>0</v>
      </c>
      <c r="N3416" s="366">
        <f>+VLOOKUP(D3416,'Resultats - informe'!$Y$18:$AG$42,'Introducció dades consum'!K3416+1,0)</f>
        <v>0</v>
      </c>
      <c r="O3416" s="370" cm="1">
        <f t="array" ref="O3416">+_xlfn.SWITCH(MONTH(C3416),1,1,2,1,3,1,4,2,5,2,6,3,7,3,8,3,9,3,10,2,11,2,12,1,2)</f>
        <v>1</v>
      </c>
      <c r="P3416" s="43"/>
    </row>
    <row r="3417" spans="1:16" ht="18" x14ac:dyDescent="0.35">
      <c r="A3417" s="43"/>
      <c r="C3417" s="393"/>
      <c r="E3417" s="394"/>
      <c r="F3417" s="394">
        <v>0</v>
      </c>
      <c r="G3417" s="394"/>
      <c r="H3417" s="8" t="s">
        <v>61</v>
      </c>
      <c r="I3417" s="368">
        <f t="shared" si="160"/>
        <v>0</v>
      </c>
      <c r="J3417" s="365">
        <f t="shared" si="159"/>
        <v>0</v>
      </c>
      <c r="K3417" s="369">
        <f t="shared" si="161"/>
        <v>6</v>
      </c>
      <c r="L3417" s="369">
        <f>+IF((C3417&gt;='Resultats - informe'!$E$16)*(C3417&lt;='Resultats - informe'!$G$16),1,0)</f>
        <v>1</v>
      </c>
      <c r="M3417" s="369" cm="1">
        <f t="array" ref="M3417">+_xlfn.IFS((C3417&gt;='Resultats - informe'!$D$26)*(C3417&lt;='Resultats - informe'!$E$26),0,(C3417&gt;='Resultats - informe'!$D$27)*(C3417&lt;='Resultats - informe'!$E$27),0,(C3417&gt;='Resultats - informe'!$D$28)*(C3417&lt;='Resultats - informe'!$E$28),0,(C3417&gt;='Resultats - informe'!$D$29)*(C3417&lt;='Resultats - informe'!$E$29),0,1,1)</f>
        <v>0</v>
      </c>
      <c r="N3417" s="366">
        <f>+VLOOKUP(D3417,'Resultats - informe'!$Y$18:$AG$42,'Introducció dades consum'!K3417+1,0)</f>
        <v>0</v>
      </c>
      <c r="O3417" s="370" cm="1">
        <f t="array" ref="O3417">+_xlfn.SWITCH(MONTH(C3417),1,1,2,1,3,1,4,2,5,2,6,3,7,3,8,3,9,3,10,2,11,2,12,1,2)</f>
        <v>1</v>
      </c>
      <c r="P3417" s="43"/>
    </row>
    <row r="3418" spans="1:16" ht="18" x14ac:dyDescent="0.35">
      <c r="A3418" s="43"/>
      <c r="C3418" s="393"/>
      <c r="E3418" s="394"/>
      <c r="F3418" s="394">
        <v>0</v>
      </c>
      <c r="G3418" s="394"/>
      <c r="H3418" s="8" t="s">
        <v>61</v>
      </c>
      <c r="I3418" s="368">
        <f t="shared" si="160"/>
        <v>0</v>
      </c>
      <c r="J3418" s="365">
        <f t="shared" si="159"/>
        <v>0</v>
      </c>
      <c r="K3418" s="369">
        <f t="shared" si="161"/>
        <v>6</v>
      </c>
      <c r="L3418" s="369">
        <f>+IF((C3418&gt;='Resultats - informe'!$E$16)*(C3418&lt;='Resultats - informe'!$G$16),1,0)</f>
        <v>1</v>
      </c>
      <c r="M3418" s="369" cm="1">
        <f t="array" ref="M3418">+_xlfn.IFS((C3418&gt;='Resultats - informe'!$D$26)*(C3418&lt;='Resultats - informe'!$E$26),0,(C3418&gt;='Resultats - informe'!$D$27)*(C3418&lt;='Resultats - informe'!$E$27),0,(C3418&gt;='Resultats - informe'!$D$28)*(C3418&lt;='Resultats - informe'!$E$28),0,(C3418&gt;='Resultats - informe'!$D$29)*(C3418&lt;='Resultats - informe'!$E$29),0,1,1)</f>
        <v>0</v>
      </c>
      <c r="N3418" s="366">
        <f>+VLOOKUP(D3418,'Resultats - informe'!$Y$18:$AG$42,'Introducció dades consum'!K3418+1,0)</f>
        <v>0</v>
      </c>
      <c r="O3418" s="370" cm="1">
        <f t="array" ref="O3418">+_xlfn.SWITCH(MONTH(C3418),1,1,2,1,3,1,4,2,5,2,6,3,7,3,8,3,9,3,10,2,11,2,12,1,2)</f>
        <v>1</v>
      </c>
      <c r="P3418" s="43"/>
    </row>
    <row r="3419" spans="1:16" ht="18" x14ac:dyDescent="0.35">
      <c r="A3419" s="43"/>
      <c r="C3419" s="393"/>
      <c r="E3419" s="394"/>
      <c r="F3419" s="394">
        <v>0</v>
      </c>
      <c r="G3419" s="394"/>
      <c r="H3419" s="8" t="s">
        <v>61</v>
      </c>
      <c r="I3419" s="368">
        <f t="shared" si="160"/>
        <v>0</v>
      </c>
      <c r="J3419" s="365">
        <f t="shared" si="159"/>
        <v>0</v>
      </c>
      <c r="K3419" s="369">
        <f t="shared" si="161"/>
        <v>6</v>
      </c>
      <c r="L3419" s="369">
        <f>+IF((C3419&gt;='Resultats - informe'!$E$16)*(C3419&lt;='Resultats - informe'!$G$16),1,0)</f>
        <v>1</v>
      </c>
      <c r="M3419" s="369" cm="1">
        <f t="array" ref="M3419">+_xlfn.IFS((C3419&gt;='Resultats - informe'!$D$26)*(C3419&lt;='Resultats - informe'!$E$26),0,(C3419&gt;='Resultats - informe'!$D$27)*(C3419&lt;='Resultats - informe'!$E$27),0,(C3419&gt;='Resultats - informe'!$D$28)*(C3419&lt;='Resultats - informe'!$E$28),0,(C3419&gt;='Resultats - informe'!$D$29)*(C3419&lt;='Resultats - informe'!$E$29),0,1,1)</f>
        <v>0</v>
      </c>
      <c r="N3419" s="366">
        <f>+VLOOKUP(D3419,'Resultats - informe'!$Y$18:$AG$42,'Introducció dades consum'!K3419+1,0)</f>
        <v>0</v>
      </c>
      <c r="O3419" s="370" cm="1">
        <f t="array" ref="O3419">+_xlfn.SWITCH(MONTH(C3419),1,1,2,1,3,1,4,2,5,2,6,3,7,3,8,3,9,3,10,2,11,2,12,1,2)</f>
        <v>1</v>
      </c>
      <c r="P3419" s="43"/>
    </row>
    <row r="3420" spans="1:16" ht="18" x14ac:dyDescent="0.35">
      <c r="A3420" s="43"/>
      <c r="C3420" s="393"/>
      <c r="E3420" s="394"/>
      <c r="F3420" s="394">
        <v>2.9000000000000001E-2</v>
      </c>
      <c r="G3420" s="394"/>
      <c r="H3420" s="8" t="s">
        <v>61</v>
      </c>
      <c r="I3420" s="368">
        <f t="shared" si="160"/>
        <v>0</v>
      </c>
      <c r="J3420" s="365">
        <f t="shared" si="159"/>
        <v>0</v>
      </c>
      <c r="K3420" s="369">
        <f t="shared" si="161"/>
        <v>6</v>
      </c>
      <c r="L3420" s="369">
        <f>+IF((C3420&gt;='Resultats - informe'!$E$16)*(C3420&lt;='Resultats - informe'!$G$16),1,0)</f>
        <v>1</v>
      </c>
      <c r="M3420" s="369" cm="1">
        <f t="array" ref="M3420">+_xlfn.IFS((C3420&gt;='Resultats - informe'!$D$26)*(C3420&lt;='Resultats - informe'!$E$26),0,(C3420&gt;='Resultats - informe'!$D$27)*(C3420&lt;='Resultats - informe'!$E$27),0,(C3420&gt;='Resultats - informe'!$D$28)*(C3420&lt;='Resultats - informe'!$E$28),0,(C3420&gt;='Resultats - informe'!$D$29)*(C3420&lt;='Resultats - informe'!$E$29),0,1,1)</f>
        <v>0</v>
      </c>
      <c r="N3420" s="366">
        <f>+VLOOKUP(D3420,'Resultats - informe'!$Y$18:$AG$42,'Introducció dades consum'!K3420+1,0)</f>
        <v>0</v>
      </c>
      <c r="O3420" s="370" cm="1">
        <f t="array" ref="O3420">+_xlfn.SWITCH(MONTH(C3420),1,1,2,1,3,1,4,2,5,2,6,3,7,3,8,3,9,3,10,2,11,2,12,1,2)</f>
        <v>1</v>
      </c>
      <c r="P3420" s="43"/>
    </row>
    <row r="3421" spans="1:16" ht="18" x14ac:dyDescent="0.35">
      <c r="A3421" s="43"/>
      <c r="C3421" s="393"/>
      <c r="E3421" s="394"/>
      <c r="F3421" s="394">
        <v>2.4350000000000001</v>
      </c>
      <c r="G3421" s="394"/>
      <c r="H3421" s="8" t="s">
        <v>235</v>
      </c>
      <c r="I3421" s="368">
        <f t="shared" si="160"/>
        <v>0</v>
      </c>
      <c r="J3421" s="365">
        <f t="shared" si="159"/>
        <v>0</v>
      </c>
      <c r="K3421" s="369">
        <f t="shared" si="161"/>
        <v>6</v>
      </c>
      <c r="L3421" s="369">
        <f>+IF((C3421&gt;='Resultats - informe'!$E$16)*(C3421&lt;='Resultats - informe'!$G$16),1,0)</f>
        <v>1</v>
      </c>
      <c r="M3421" s="369" cm="1">
        <f t="array" ref="M3421">+_xlfn.IFS((C3421&gt;='Resultats - informe'!$D$26)*(C3421&lt;='Resultats - informe'!$E$26),0,(C3421&gt;='Resultats - informe'!$D$27)*(C3421&lt;='Resultats - informe'!$E$27),0,(C3421&gt;='Resultats - informe'!$D$28)*(C3421&lt;='Resultats - informe'!$E$28),0,(C3421&gt;='Resultats - informe'!$D$29)*(C3421&lt;='Resultats - informe'!$E$29),0,1,1)</f>
        <v>0</v>
      </c>
      <c r="N3421" s="366">
        <f>+VLOOKUP(D3421,'Resultats - informe'!$Y$18:$AG$42,'Introducció dades consum'!K3421+1,0)</f>
        <v>0</v>
      </c>
      <c r="O3421" s="370" cm="1">
        <f t="array" ref="O3421">+_xlfn.SWITCH(MONTH(C3421),1,1,2,1,3,1,4,2,5,2,6,3,7,3,8,3,9,3,10,2,11,2,12,1,2)</f>
        <v>1</v>
      </c>
      <c r="P3421" s="43"/>
    </row>
    <row r="3422" spans="1:16" ht="18" x14ac:dyDescent="0.35">
      <c r="A3422" s="43"/>
      <c r="C3422" s="393"/>
      <c r="E3422" s="394"/>
      <c r="F3422" s="394">
        <v>3.073</v>
      </c>
      <c r="G3422" s="394"/>
      <c r="H3422" s="8" t="s">
        <v>235</v>
      </c>
      <c r="I3422" s="368">
        <f t="shared" si="160"/>
        <v>0</v>
      </c>
      <c r="J3422" s="365">
        <f t="shared" si="159"/>
        <v>0</v>
      </c>
      <c r="K3422" s="369">
        <f t="shared" si="161"/>
        <v>6</v>
      </c>
      <c r="L3422" s="369">
        <f>+IF((C3422&gt;='Resultats - informe'!$E$16)*(C3422&lt;='Resultats - informe'!$G$16),1,0)</f>
        <v>1</v>
      </c>
      <c r="M3422" s="369" cm="1">
        <f t="array" ref="M3422">+_xlfn.IFS((C3422&gt;='Resultats - informe'!$D$26)*(C3422&lt;='Resultats - informe'!$E$26),0,(C3422&gt;='Resultats - informe'!$D$27)*(C3422&lt;='Resultats - informe'!$E$27),0,(C3422&gt;='Resultats - informe'!$D$28)*(C3422&lt;='Resultats - informe'!$E$28),0,(C3422&gt;='Resultats - informe'!$D$29)*(C3422&lt;='Resultats - informe'!$E$29),0,1,1)</f>
        <v>0</v>
      </c>
      <c r="N3422" s="366">
        <f>+VLOOKUP(D3422,'Resultats - informe'!$Y$18:$AG$42,'Introducció dades consum'!K3422+1,0)</f>
        <v>0</v>
      </c>
      <c r="O3422" s="370" cm="1">
        <f t="array" ref="O3422">+_xlfn.SWITCH(MONTH(C3422),1,1,2,1,3,1,4,2,5,2,6,3,7,3,8,3,9,3,10,2,11,2,12,1,2)</f>
        <v>1</v>
      </c>
      <c r="P3422" s="43"/>
    </row>
    <row r="3423" spans="1:16" ht="18" x14ac:dyDescent="0.35">
      <c r="A3423" s="43"/>
      <c r="C3423" s="393"/>
      <c r="E3423" s="394"/>
      <c r="F3423" s="394">
        <v>3.7549999999999999</v>
      </c>
      <c r="G3423" s="394"/>
      <c r="H3423" s="8" t="s">
        <v>235</v>
      </c>
      <c r="I3423" s="368">
        <f t="shared" si="160"/>
        <v>0</v>
      </c>
      <c r="J3423" s="365">
        <f t="shared" si="159"/>
        <v>0</v>
      </c>
      <c r="K3423" s="369">
        <f t="shared" si="161"/>
        <v>6</v>
      </c>
      <c r="L3423" s="369">
        <f>+IF((C3423&gt;='Resultats - informe'!$E$16)*(C3423&lt;='Resultats - informe'!$G$16),1,0)</f>
        <v>1</v>
      </c>
      <c r="M3423" s="369" cm="1">
        <f t="array" ref="M3423">+_xlfn.IFS((C3423&gt;='Resultats - informe'!$D$26)*(C3423&lt;='Resultats - informe'!$E$26),0,(C3423&gt;='Resultats - informe'!$D$27)*(C3423&lt;='Resultats - informe'!$E$27),0,(C3423&gt;='Resultats - informe'!$D$28)*(C3423&lt;='Resultats - informe'!$E$28),0,(C3423&gt;='Resultats - informe'!$D$29)*(C3423&lt;='Resultats - informe'!$E$29),0,1,1)</f>
        <v>0</v>
      </c>
      <c r="N3423" s="366">
        <f>+VLOOKUP(D3423,'Resultats - informe'!$Y$18:$AG$42,'Introducció dades consum'!K3423+1,0)</f>
        <v>0</v>
      </c>
      <c r="O3423" s="370" cm="1">
        <f t="array" ref="O3423">+_xlfn.SWITCH(MONTH(C3423),1,1,2,1,3,1,4,2,5,2,6,3,7,3,8,3,9,3,10,2,11,2,12,1,2)</f>
        <v>1</v>
      </c>
      <c r="P3423" s="43"/>
    </row>
    <row r="3424" spans="1:16" ht="18" x14ac:dyDescent="0.35">
      <c r="A3424" s="43"/>
      <c r="C3424" s="393"/>
      <c r="E3424" s="394"/>
      <c r="F3424" s="394">
        <v>6.3810000000000002</v>
      </c>
      <c r="G3424" s="394"/>
      <c r="H3424" s="8" t="s">
        <v>61</v>
      </c>
      <c r="I3424" s="368">
        <f t="shared" si="160"/>
        <v>0</v>
      </c>
      <c r="J3424" s="365">
        <f t="shared" si="159"/>
        <v>0</v>
      </c>
      <c r="K3424" s="369">
        <f t="shared" si="161"/>
        <v>6</v>
      </c>
      <c r="L3424" s="369">
        <f>+IF((C3424&gt;='Resultats - informe'!$E$16)*(C3424&lt;='Resultats - informe'!$G$16),1,0)</f>
        <v>1</v>
      </c>
      <c r="M3424" s="369" cm="1">
        <f t="array" ref="M3424">+_xlfn.IFS((C3424&gt;='Resultats - informe'!$D$26)*(C3424&lt;='Resultats - informe'!$E$26),0,(C3424&gt;='Resultats - informe'!$D$27)*(C3424&lt;='Resultats - informe'!$E$27),0,(C3424&gt;='Resultats - informe'!$D$28)*(C3424&lt;='Resultats - informe'!$E$28),0,(C3424&gt;='Resultats - informe'!$D$29)*(C3424&lt;='Resultats - informe'!$E$29),0,1,1)</f>
        <v>0</v>
      </c>
      <c r="N3424" s="366">
        <f>+VLOOKUP(D3424,'Resultats - informe'!$Y$18:$AG$42,'Introducció dades consum'!K3424+1,0)</f>
        <v>0</v>
      </c>
      <c r="O3424" s="370" cm="1">
        <f t="array" ref="O3424">+_xlfn.SWITCH(MONTH(C3424),1,1,2,1,3,1,4,2,5,2,6,3,7,3,8,3,9,3,10,2,11,2,12,1,2)</f>
        <v>1</v>
      </c>
      <c r="P3424" s="43"/>
    </row>
    <row r="3425" spans="1:16" ht="18" x14ac:dyDescent="0.35">
      <c r="A3425" s="43"/>
      <c r="C3425" s="393"/>
      <c r="E3425" s="394"/>
      <c r="F3425" s="394">
        <v>6.76</v>
      </c>
      <c r="G3425" s="394"/>
      <c r="H3425" s="8" t="s">
        <v>61</v>
      </c>
      <c r="I3425" s="368">
        <f t="shared" si="160"/>
        <v>0</v>
      </c>
      <c r="J3425" s="365">
        <f t="shared" si="159"/>
        <v>0</v>
      </c>
      <c r="K3425" s="369">
        <f t="shared" si="161"/>
        <v>6</v>
      </c>
      <c r="L3425" s="369">
        <f>+IF((C3425&gt;='Resultats - informe'!$E$16)*(C3425&lt;='Resultats - informe'!$G$16),1,0)</f>
        <v>1</v>
      </c>
      <c r="M3425" s="369" cm="1">
        <f t="array" ref="M3425">+_xlfn.IFS((C3425&gt;='Resultats - informe'!$D$26)*(C3425&lt;='Resultats - informe'!$E$26),0,(C3425&gt;='Resultats - informe'!$D$27)*(C3425&lt;='Resultats - informe'!$E$27),0,(C3425&gt;='Resultats - informe'!$D$28)*(C3425&lt;='Resultats - informe'!$E$28),0,(C3425&gt;='Resultats - informe'!$D$29)*(C3425&lt;='Resultats - informe'!$E$29),0,1,1)</f>
        <v>0</v>
      </c>
      <c r="N3425" s="366">
        <f>+VLOOKUP(D3425,'Resultats - informe'!$Y$18:$AG$42,'Introducció dades consum'!K3425+1,0)</f>
        <v>0</v>
      </c>
      <c r="O3425" s="370" cm="1">
        <f t="array" ref="O3425">+_xlfn.SWITCH(MONTH(C3425),1,1,2,1,3,1,4,2,5,2,6,3,7,3,8,3,9,3,10,2,11,2,12,1,2)</f>
        <v>1</v>
      </c>
      <c r="P3425" s="43"/>
    </row>
    <row r="3426" spans="1:16" ht="18" x14ac:dyDescent="0.35">
      <c r="A3426" s="43"/>
      <c r="C3426" s="393"/>
      <c r="E3426" s="394"/>
      <c r="F3426" s="394">
        <v>2.524</v>
      </c>
      <c r="G3426" s="394"/>
      <c r="H3426" s="8" t="s">
        <v>235</v>
      </c>
      <c r="I3426" s="368">
        <f t="shared" si="160"/>
        <v>0</v>
      </c>
      <c r="J3426" s="365">
        <f t="shared" si="159"/>
        <v>0</v>
      </c>
      <c r="K3426" s="369">
        <f t="shared" si="161"/>
        <v>6</v>
      </c>
      <c r="L3426" s="369">
        <f>+IF((C3426&gt;='Resultats - informe'!$E$16)*(C3426&lt;='Resultats - informe'!$G$16),1,0)</f>
        <v>1</v>
      </c>
      <c r="M3426" s="369" cm="1">
        <f t="array" ref="M3426">+_xlfn.IFS((C3426&gt;='Resultats - informe'!$D$26)*(C3426&lt;='Resultats - informe'!$E$26),0,(C3426&gt;='Resultats - informe'!$D$27)*(C3426&lt;='Resultats - informe'!$E$27),0,(C3426&gt;='Resultats - informe'!$D$28)*(C3426&lt;='Resultats - informe'!$E$28),0,(C3426&gt;='Resultats - informe'!$D$29)*(C3426&lt;='Resultats - informe'!$E$29),0,1,1)</f>
        <v>0</v>
      </c>
      <c r="N3426" s="366">
        <f>+VLOOKUP(D3426,'Resultats - informe'!$Y$18:$AG$42,'Introducció dades consum'!K3426+1,0)</f>
        <v>0</v>
      </c>
      <c r="O3426" s="370" cm="1">
        <f t="array" ref="O3426">+_xlfn.SWITCH(MONTH(C3426),1,1,2,1,3,1,4,2,5,2,6,3,7,3,8,3,9,3,10,2,11,2,12,1,2)</f>
        <v>1</v>
      </c>
      <c r="P3426" s="43"/>
    </row>
    <row r="3427" spans="1:16" ht="18" x14ac:dyDescent="0.35">
      <c r="A3427" s="43"/>
      <c r="C3427" s="393"/>
      <c r="E3427" s="394"/>
      <c r="F3427" s="394">
        <v>2.3319999999999999</v>
      </c>
      <c r="G3427" s="394"/>
      <c r="H3427" s="8" t="s">
        <v>235</v>
      </c>
      <c r="I3427" s="368">
        <f t="shared" si="160"/>
        <v>0</v>
      </c>
      <c r="J3427" s="365">
        <f t="shared" si="159"/>
        <v>0</v>
      </c>
      <c r="K3427" s="369">
        <f t="shared" si="161"/>
        <v>6</v>
      </c>
      <c r="L3427" s="369">
        <f>+IF((C3427&gt;='Resultats - informe'!$E$16)*(C3427&lt;='Resultats - informe'!$G$16),1,0)</f>
        <v>1</v>
      </c>
      <c r="M3427" s="369" cm="1">
        <f t="array" ref="M3427">+_xlfn.IFS((C3427&gt;='Resultats - informe'!$D$26)*(C3427&lt;='Resultats - informe'!$E$26),0,(C3427&gt;='Resultats - informe'!$D$27)*(C3427&lt;='Resultats - informe'!$E$27),0,(C3427&gt;='Resultats - informe'!$D$28)*(C3427&lt;='Resultats - informe'!$E$28),0,(C3427&gt;='Resultats - informe'!$D$29)*(C3427&lt;='Resultats - informe'!$E$29),0,1,1)</f>
        <v>0</v>
      </c>
      <c r="N3427" s="366">
        <f>+VLOOKUP(D3427,'Resultats - informe'!$Y$18:$AG$42,'Introducció dades consum'!K3427+1,0)</f>
        <v>0</v>
      </c>
      <c r="O3427" s="370" cm="1">
        <f t="array" ref="O3427">+_xlfn.SWITCH(MONTH(C3427),1,1,2,1,3,1,4,2,5,2,6,3,7,3,8,3,9,3,10,2,11,2,12,1,2)</f>
        <v>1</v>
      </c>
      <c r="P3427" s="43"/>
    </row>
    <row r="3428" spans="1:16" ht="18" x14ac:dyDescent="0.35">
      <c r="A3428" s="43"/>
      <c r="C3428" s="393"/>
      <c r="E3428" s="394"/>
      <c r="F3428" s="394">
        <v>6.016</v>
      </c>
      <c r="G3428" s="394"/>
      <c r="H3428" s="8" t="s">
        <v>61</v>
      </c>
      <c r="I3428" s="368">
        <f t="shared" si="160"/>
        <v>0</v>
      </c>
      <c r="J3428" s="365">
        <f t="shared" si="159"/>
        <v>0</v>
      </c>
      <c r="K3428" s="369">
        <f t="shared" si="161"/>
        <v>6</v>
      </c>
      <c r="L3428" s="369">
        <f>+IF((C3428&gt;='Resultats - informe'!$E$16)*(C3428&lt;='Resultats - informe'!$G$16),1,0)</f>
        <v>1</v>
      </c>
      <c r="M3428" s="369" cm="1">
        <f t="array" ref="M3428">+_xlfn.IFS((C3428&gt;='Resultats - informe'!$D$26)*(C3428&lt;='Resultats - informe'!$E$26),0,(C3428&gt;='Resultats - informe'!$D$27)*(C3428&lt;='Resultats - informe'!$E$27),0,(C3428&gt;='Resultats - informe'!$D$28)*(C3428&lt;='Resultats - informe'!$E$28),0,(C3428&gt;='Resultats - informe'!$D$29)*(C3428&lt;='Resultats - informe'!$E$29),0,1,1)</f>
        <v>0</v>
      </c>
      <c r="N3428" s="366">
        <f>+VLOOKUP(D3428,'Resultats - informe'!$Y$18:$AG$42,'Introducció dades consum'!K3428+1,0)</f>
        <v>0</v>
      </c>
      <c r="O3428" s="370" cm="1">
        <f t="array" ref="O3428">+_xlfn.SWITCH(MONTH(C3428),1,1,2,1,3,1,4,2,5,2,6,3,7,3,8,3,9,3,10,2,11,2,12,1,2)</f>
        <v>1</v>
      </c>
      <c r="P3428" s="43"/>
    </row>
    <row r="3429" spans="1:16" ht="18" x14ac:dyDescent="0.35">
      <c r="A3429" s="43"/>
      <c r="C3429" s="393"/>
      <c r="E3429" s="394"/>
      <c r="F3429" s="394">
        <v>4.4370000000000003</v>
      </c>
      <c r="G3429" s="394"/>
      <c r="H3429" s="8" t="s">
        <v>61</v>
      </c>
      <c r="I3429" s="368">
        <f t="shared" si="160"/>
        <v>0</v>
      </c>
      <c r="J3429" s="365">
        <f t="shared" si="159"/>
        <v>0</v>
      </c>
      <c r="K3429" s="369">
        <f t="shared" si="161"/>
        <v>6</v>
      </c>
      <c r="L3429" s="369">
        <f>+IF((C3429&gt;='Resultats - informe'!$E$16)*(C3429&lt;='Resultats - informe'!$G$16),1,0)</f>
        <v>1</v>
      </c>
      <c r="M3429" s="369" cm="1">
        <f t="array" ref="M3429">+_xlfn.IFS((C3429&gt;='Resultats - informe'!$D$26)*(C3429&lt;='Resultats - informe'!$E$26),0,(C3429&gt;='Resultats - informe'!$D$27)*(C3429&lt;='Resultats - informe'!$E$27),0,(C3429&gt;='Resultats - informe'!$D$28)*(C3429&lt;='Resultats - informe'!$E$28),0,(C3429&gt;='Resultats - informe'!$D$29)*(C3429&lt;='Resultats - informe'!$E$29),0,1,1)</f>
        <v>0</v>
      </c>
      <c r="N3429" s="366">
        <f>+VLOOKUP(D3429,'Resultats - informe'!$Y$18:$AG$42,'Introducció dades consum'!K3429+1,0)</f>
        <v>0</v>
      </c>
      <c r="O3429" s="370" cm="1">
        <f t="array" ref="O3429">+_xlfn.SWITCH(MONTH(C3429),1,1,2,1,3,1,4,2,5,2,6,3,7,3,8,3,9,3,10,2,11,2,12,1,2)</f>
        <v>1</v>
      </c>
      <c r="P3429" s="43"/>
    </row>
    <row r="3430" spans="1:16" ht="18" x14ac:dyDescent="0.35">
      <c r="A3430" s="43"/>
      <c r="C3430" s="393"/>
      <c r="E3430" s="394"/>
      <c r="F3430" s="394">
        <v>2.782</v>
      </c>
      <c r="G3430" s="394"/>
      <c r="H3430" s="8" t="s">
        <v>61</v>
      </c>
      <c r="I3430" s="368">
        <f t="shared" si="160"/>
        <v>0</v>
      </c>
      <c r="J3430" s="365">
        <f t="shared" si="159"/>
        <v>0</v>
      </c>
      <c r="K3430" s="369">
        <f t="shared" si="161"/>
        <v>6</v>
      </c>
      <c r="L3430" s="369">
        <f>+IF((C3430&gt;='Resultats - informe'!$E$16)*(C3430&lt;='Resultats - informe'!$G$16),1,0)</f>
        <v>1</v>
      </c>
      <c r="M3430" s="369" cm="1">
        <f t="array" ref="M3430">+_xlfn.IFS((C3430&gt;='Resultats - informe'!$D$26)*(C3430&lt;='Resultats - informe'!$E$26),0,(C3430&gt;='Resultats - informe'!$D$27)*(C3430&lt;='Resultats - informe'!$E$27),0,(C3430&gt;='Resultats - informe'!$D$28)*(C3430&lt;='Resultats - informe'!$E$28),0,(C3430&gt;='Resultats - informe'!$D$29)*(C3430&lt;='Resultats - informe'!$E$29),0,1,1)</f>
        <v>0</v>
      </c>
      <c r="N3430" s="366">
        <f>+VLOOKUP(D3430,'Resultats - informe'!$Y$18:$AG$42,'Introducció dades consum'!K3430+1,0)</f>
        <v>0</v>
      </c>
      <c r="O3430" s="370" cm="1">
        <f t="array" ref="O3430">+_xlfn.SWITCH(MONTH(C3430),1,1,2,1,3,1,4,2,5,2,6,3,7,3,8,3,9,3,10,2,11,2,12,1,2)</f>
        <v>1</v>
      </c>
      <c r="P3430" s="43"/>
    </row>
    <row r="3431" spans="1:16" ht="18" x14ac:dyDescent="0.35">
      <c r="A3431" s="43"/>
      <c r="C3431" s="393"/>
      <c r="E3431" s="394"/>
      <c r="F3431" s="394">
        <v>0.82</v>
      </c>
      <c r="G3431" s="394"/>
      <c r="H3431" s="8" t="s">
        <v>61</v>
      </c>
      <c r="I3431" s="368">
        <f t="shared" si="160"/>
        <v>0</v>
      </c>
      <c r="J3431" s="365">
        <f t="shared" si="159"/>
        <v>0</v>
      </c>
      <c r="K3431" s="369">
        <f t="shared" si="161"/>
        <v>6</v>
      </c>
      <c r="L3431" s="369">
        <f>+IF((C3431&gt;='Resultats - informe'!$E$16)*(C3431&lt;='Resultats - informe'!$G$16),1,0)</f>
        <v>1</v>
      </c>
      <c r="M3431" s="369" cm="1">
        <f t="array" ref="M3431">+_xlfn.IFS((C3431&gt;='Resultats - informe'!$D$26)*(C3431&lt;='Resultats - informe'!$E$26),0,(C3431&gt;='Resultats - informe'!$D$27)*(C3431&lt;='Resultats - informe'!$E$27),0,(C3431&gt;='Resultats - informe'!$D$28)*(C3431&lt;='Resultats - informe'!$E$28),0,(C3431&gt;='Resultats - informe'!$D$29)*(C3431&lt;='Resultats - informe'!$E$29),0,1,1)</f>
        <v>0</v>
      </c>
      <c r="N3431" s="366">
        <f>+VLOOKUP(D3431,'Resultats - informe'!$Y$18:$AG$42,'Introducció dades consum'!K3431+1,0)</f>
        <v>0</v>
      </c>
      <c r="O3431" s="370" cm="1">
        <f t="array" ref="O3431">+_xlfn.SWITCH(MONTH(C3431),1,1,2,1,3,1,4,2,5,2,6,3,7,3,8,3,9,3,10,2,11,2,12,1,2)</f>
        <v>1</v>
      </c>
      <c r="P3431" s="43"/>
    </row>
    <row r="3432" spans="1:16" ht="18" x14ac:dyDescent="0.35">
      <c r="A3432" s="43"/>
      <c r="C3432" s="393"/>
      <c r="E3432" s="394"/>
      <c r="F3432" s="394">
        <v>0</v>
      </c>
      <c r="G3432" s="394"/>
      <c r="H3432" s="8" t="s">
        <v>235</v>
      </c>
      <c r="I3432" s="368">
        <f t="shared" si="160"/>
        <v>0</v>
      </c>
      <c r="J3432" s="365">
        <f t="shared" si="159"/>
        <v>0</v>
      </c>
      <c r="K3432" s="369">
        <f t="shared" si="161"/>
        <v>6</v>
      </c>
      <c r="L3432" s="369">
        <f>+IF((C3432&gt;='Resultats - informe'!$E$16)*(C3432&lt;='Resultats - informe'!$G$16),1,0)</f>
        <v>1</v>
      </c>
      <c r="M3432" s="369" cm="1">
        <f t="array" ref="M3432">+_xlfn.IFS((C3432&gt;='Resultats - informe'!$D$26)*(C3432&lt;='Resultats - informe'!$E$26),0,(C3432&gt;='Resultats - informe'!$D$27)*(C3432&lt;='Resultats - informe'!$E$27),0,(C3432&gt;='Resultats - informe'!$D$28)*(C3432&lt;='Resultats - informe'!$E$28),0,(C3432&gt;='Resultats - informe'!$D$29)*(C3432&lt;='Resultats - informe'!$E$29),0,1,1)</f>
        <v>0</v>
      </c>
      <c r="N3432" s="366">
        <f>+VLOOKUP(D3432,'Resultats - informe'!$Y$18:$AG$42,'Introducció dades consum'!K3432+1,0)</f>
        <v>0</v>
      </c>
      <c r="O3432" s="370" cm="1">
        <f t="array" ref="O3432">+_xlfn.SWITCH(MONTH(C3432),1,1,2,1,3,1,4,2,5,2,6,3,7,3,8,3,9,3,10,2,11,2,12,1,2)</f>
        <v>1</v>
      </c>
      <c r="P3432" s="43"/>
    </row>
    <row r="3433" spans="1:16" ht="18" x14ac:dyDescent="0.35">
      <c r="A3433" s="43"/>
      <c r="C3433" s="393"/>
      <c r="E3433" s="394"/>
      <c r="F3433" s="394">
        <v>0</v>
      </c>
      <c r="G3433" s="394"/>
      <c r="H3433" s="8" t="s">
        <v>235</v>
      </c>
      <c r="I3433" s="368">
        <f t="shared" si="160"/>
        <v>0</v>
      </c>
      <c r="J3433" s="365">
        <f t="shared" si="159"/>
        <v>0</v>
      </c>
      <c r="K3433" s="369">
        <f t="shared" si="161"/>
        <v>6</v>
      </c>
      <c r="L3433" s="369">
        <f>+IF((C3433&gt;='Resultats - informe'!$E$16)*(C3433&lt;='Resultats - informe'!$G$16),1,0)</f>
        <v>1</v>
      </c>
      <c r="M3433" s="369" cm="1">
        <f t="array" ref="M3433">+_xlfn.IFS((C3433&gt;='Resultats - informe'!$D$26)*(C3433&lt;='Resultats - informe'!$E$26),0,(C3433&gt;='Resultats - informe'!$D$27)*(C3433&lt;='Resultats - informe'!$E$27),0,(C3433&gt;='Resultats - informe'!$D$28)*(C3433&lt;='Resultats - informe'!$E$28),0,(C3433&gt;='Resultats - informe'!$D$29)*(C3433&lt;='Resultats - informe'!$E$29),0,1,1)</f>
        <v>0</v>
      </c>
      <c r="N3433" s="366">
        <f>+VLOOKUP(D3433,'Resultats - informe'!$Y$18:$AG$42,'Introducció dades consum'!K3433+1,0)</f>
        <v>0</v>
      </c>
      <c r="O3433" s="370" cm="1">
        <f t="array" ref="O3433">+_xlfn.SWITCH(MONTH(C3433),1,1,2,1,3,1,4,2,5,2,6,3,7,3,8,3,9,3,10,2,11,2,12,1,2)</f>
        <v>1</v>
      </c>
      <c r="P3433" s="43"/>
    </row>
    <row r="3434" spans="1:16" ht="18" x14ac:dyDescent="0.35">
      <c r="A3434" s="43"/>
      <c r="C3434" s="393"/>
      <c r="E3434" s="394"/>
      <c r="F3434" s="394">
        <v>0</v>
      </c>
      <c r="G3434" s="394"/>
      <c r="H3434" s="8" t="s">
        <v>235</v>
      </c>
      <c r="I3434" s="368">
        <f t="shared" si="160"/>
        <v>0</v>
      </c>
      <c r="J3434" s="365">
        <f t="shared" si="159"/>
        <v>0</v>
      </c>
      <c r="K3434" s="369">
        <f t="shared" si="161"/>
        <v>6</v>
      </c>
      <c r="L3434" s="369">
        <f>+IF((C3434&gt;='Resultats - informe'!$E$16)*(C3434&lt;='Resultats - informe'!$G$16),1,0)</f>
        <v>1</v>
      </c>
      <c r="M3434" s="369" cm="1">
        <f t="array" ref="M3434">+_xlfn.IFS((C3434&gt;='Resultats - informe'!$D$26)*(C3434&lt;='Resultats - informe'!$E$26),0,(C3434&gt;='Resultats - informe'!$D$27)*(C3434&lt;='Resultats - informe'!$E$27),0,(C3434&gt;='Resultats - informe'!$D$28)*(C3434&lt;='Resultats - informe'!$E$28),0,(C3434&gt;='Resultats - informe'!$D$29)*(C3434&lt;='Resultats - informe'!$E$29),0,1,1)</f>
        <v>0</v>
      </c>
      <c r="N3434" s="366">
        <f>+VLOOKUP(D3434,'Resultats - informe'!$Y$18:$AG$42,'Introducció dades consum'!K3434+1,0)</f>
        <v>0</v>
      </c>
      <c r="O3434" s="370" cm="1">
        <f t="array" ref="O3434">+_xlfn.SWITCH(MONTH(C3434),1,1,2,1,3,1,4,2,5,2,6,3,7,3,8,3,9,3,10,2,11,2,12,1,2)</f>
        <v>1</v>
      </c>
      <c r="P3434" s="43"/>
    </row>
    <row r="3435" spans="1:16" ht="18" x14ac:dyDescent="0.35">
      <c r="A3435" s="43"/>
      <c r="C3435" s="393"/>
      <c r="E3435" s="394"/>
      <c r="F3435" s="394">
        <v>0</v>
      </c>
      <c r="G3435" s="394"/>
      <c r="H3435" s="8" t="s">
        <v>235</v>
      </c>
      <c r="I3435" s="368">
        <f t="shared" si="160"/>
        <v>0</v>
      </c>
      <c r="J3435" s="365">
        <f t="shared" si="159"/>
        <v>0</v>
      </c>
      <c r="K3435" s="369">
        <f t="shared" si="161"/>
        <v>6</v>
      </c>
      <c r="L3435" s="369">
        <f>+IF((C3435&gt;='Resultats - informe'!$E$16)*(C3435&lt;='Resultats - informe'!$G$16),1,0)</f>
        <v>1</v>
      </c>
      <c r="M3435" s="369" cm="1">
        <f t="array" ref="M3435">+_xlfn.IFS((C3435&gt;='Resultats - informe'!$D$26)*(C3435&lt;='Resultats - informe'!$E$26),0,(C3435&gt;='Resultats - informe'!$D$27)*(C3435&lt;='Resultats - informe'!$E$27),0,(C3435&gt;='Resultats - informe'!$D$28)*(C3435&lt;='Resultats - informe'!$E$28),0,(C3435&gt;='Resultats - informe'!$D$29)*(C3435&lt;='Resultats - informe'!$E$29),0,1,1)</f>
        <v>0</v>
      </c>
      <c r="N3435" s="366">
        <f>+VLOOKUP(D3435,'Resultats - informe'!$Y$18:$AG$42,'Introducció dades consum'!K3435+1,0)</f>
        <v>0</v>
      </c>
      <c r="O3435" s="370" cm="1">
        <f t="array" ref="O3435">+_xlfn.SWITCH(MONTH(C3435),1,1,2,1,3,1,4,2,5,2,6,3,7,3,8,3,9,3,10,2,11,2,12,1,2)</f>
        <v>1</v>
      </c>
      <c r="P3435" s="43"/>
    </row>
    <row r="3436" spans="1:16" ht="18" x14ac:dyDescent="0.35">
      <c r="A3436" s="43"/>
      <c r="C3436" s="393"/>
      <c r="E3436" s="394"/>
      <c r="F3436" s="394">
        <v>0</v>
      </c>
      <c r="G3436" s="394"/>
      <c r="H3436" s="8" t="s">
        <v>61</v>
      </c>
      <c r="I3436" s="368">
        <f t="shared" si="160"/>
        <v>0</v>
      </c>
      <c r="J3436" s="365">
        <f t="shared" si="159"/>
        <v>0</v>
      </c>
      <c r="K3436" s="369">
        <f t="shared" si="161"/>
        <v>6</v>
      </c>
      <c r="L3436" s="369">
        <f>+IF((C3436&gt;='Resultats - informe'!$E$16)*(C3436&lt;='Resultats - informe'!$G$16),1,0)</f>
        <v>1</v>
      </c>
      <c r="M3436" s="369" cm="1">
        <f t="array" ref="M3436">+_xlfn.IFS((C3436&gt;='Resultats - informe'!$D$26)*(C3436&lt;='Resultats - informe'!$E$26),0,(C3436&gt;='Resultats - informe'!$D$27)*(C3436&lt;='Resultats - informe'!$E$27),0,(C3436&gt;='Resultats - informe'!$D$28)*(C3436&lt;='Resultats - informe'!$E$28),0,(C3436&gt;='Resultats - informe'!$D$29)*(C3436&lt;='Resultats - informe'!$E$29),0,1,1)</f>
        <v>0</v>
      </c>
      <c r="N3436" s="366">
        <f>+VLOOKUP(D3436,'Resultats - informe'!$Y$18:$AG$42,'Introducció dades consum'!K3436+1,0)</f>
        <v>0</v>
      </c>
      <c r="O3436" s="370" cm="1">
        <f t="array" ref="O3436">+_xlfn.SWITCH(MONTH(C3436),1,1,2,1,3,1,4,2,5,2,6,3,7,3,8,3,9,3,10,2,11,2,12,1,2)</f>
        <v>1</v>
      </c>
      <c r="P3436" s="43"/>
    </row>
    <row r="3437" spans="1:16" ht="18" x14ac:dyDescent="0.35">
      <c r="A3437" s="43"/>
      <c r="C3437" s="393"/>
      <c r="E3437" s="394"/>
      <c r="F3437" s="394">
        <v>0</v>
      </c>
      <c r="G3437" s="394"/>
      <c r="H3437" s="8" t="s">
        <v>61</v>
      </c>
      <c r="I3437" s="368">
        <f t="shared" si="160"/>
        <v>0</v>
      </c>
      <c r="J3437" s="365">
        <f t="shared" si="159"/>
        <v>0</v>
      </c>
      <c r="K3437" s="369">
        <f t="shared" si="161"/>
        <v>6</v>
      </c>
      <c r="L3437" s="369">
        <f>+IF((C3437&gt;='Resultats - informe'!$E$16)*(C3437&lt;='Resultats - informe'!$G$16),1,0)</f>
        <v>1</v>
      </c>
      <c r="M3437" s="369" cm="1">
        <f t="array" ref="M3437">+_xlfn.IFS((C3437&gt;='Resultats - informe'!$D$26)*(C3437&lt;='Resultats - informe'!$E$26),0,(C3437&gt;='Resultats - informe'!$D$27)*(C3437&lt;='Resultats - informe'!$E$27),0,(C3437&gt;='Resultats - informe'!$D$28)*(C3437&lt;='Resultats - informe'!$E$28),0,(C3437&gt;='Resultats - informe'!$D$29)*(C3437&lt;='Resultats - informe'!$E$29),0,1,1)</f>
        <v>0</v>
      </c>
      <c r="N3437" s="366">
        <f>+VLOOKUP(D3437,'Resultats - informe'!$Y$18:$AG$42,'Introducció dades consum'!K3437+1,0)</f>
        <v>0</v>
      </c>
      <c r="O3437" s="370" cm="1">
        <f t="array" ref="O3437">+_xlfn.SWITCH(MONTH(C3437),1,1,2,1,3,1,4,2,5,2,6,3,7,3,8,3,9,3,10,2,11,2,12,1,2)</f>
        <v>1</v>
      </c>
      <c r="P3437" s="43"/>
    </row>
    <row r="3438" spans="1:16" ht="18" x14ac:dyDescent="0.35">
      <c r="A3438" s="43"/>
      <c r="C3438" s="393"/>
      <c r="E3438" s="394"/>
      <c r="F3438" s="394">
        <v>0</v>
      </c>
      <c r="G3438" s="394"/>
      <c r="H3438" s="8" t="s">
        <v>235</v>
      </c>
      <c r="I3438" s="368">
        <f t="shared" si="160"/>
        <v>0</v>
      </c>
      <c r="J3438" s="365">
        <f t="shared" si="159"/>
        <v>0</v>
      </c>
      <c r="K3438" s="369">
        <f t="shared" si="161"/>
        <v>6</v>
      </c>
      <c r="L3438" s="369">
        <f>+IF((C3438&gt;='Resultats - informe'!$E$16)*(C3438&lt;='Resultats - informe'!$G$16),1,0)</f>
        <v>1</v>
      </c>
      <c r="M3438" s="369" cm="1">
        <f t="array" ref="M3438">+_xlfn.IFS((C3438&gt;='Resultats - informe'!$D$26)*(C3438&lt;='Resultats - informe'!$E$26),0,(C3438&gt;='Resultats - informe'!$D$27)*(C3438&lt;='Resultats - informe'!$E$27),0,(C3438&gt;='Resultats - informe'!$D$28)*(C3438&lt;='Resultats - informe'!$E$28),0,(C3438&gt;='Resultats - informe'!$D$29)*(C3438&lt;='Resultats - informe'!$E$29),0,1,1)</f>
        <v>0</v>
      </c>
      <c r="N3438" s="366">
        <f>+VLOOKUP(D3438,'Resultats - informe'!$Y$18:$AG$42,'Introducció dades consum'!K3438+1,0)</f>
        <v>0</v>
      </c>
      <c r="O3438" s="370" cm="1">
        <f t="array" ref="O3438">+_xlfn.SWITCH(MONTH(C3438),1,1,2,1,3,1,4,2,5,2,6,3,7,3,8,3,9,3,10,2,11,2,12,1,2)</f>
        <v>1</v>
      </c>
      <c r="P3438" s="43"/>
    </row>
    <row r="3439" spans="1:16" ht="18" x14ac:dyDescent="0.35">
      <c r="A3439" s="43"/>
      <c r="C3439" s="393"/>
      <c r="E3439" s="394"/>
      <c r="F3439" s="394">
        <v>0</v>
      </c>
      <c r="G3439" s="394"/>
      <c r="H3439" s="8" t="s">
        <v>235</v>
      </c>
      <c r="I3439" s="368">
        <f t="shared" si="160"/>
        <v>0</v>
      </c>
      <c r="J3439" s="365">
        <f t="shared" si="159"/>
        <v>0</v>
      </c>
      <c r="K3439" s="369">
        <f t="shared" si="161"/>
        <v>6</v>
      </c>
      <c r="L3439" s="369">
        <f>+IF((C3439&gt;='Resultats - informe'!$E$16)*(C3439&lt;='Resultats - informe'!$G$16),1,0)</f>
        <v>1</v>
      </c>
      <c r="M3439" s="369" cm="1">
        <f t="array" ref="M3439">+_xlfn.IFS((C3439&gt;='Resultats - informe'!$D$26)*(C3439&lt;='Resultats - informe'!$E$26),0,(C3439&gt;='Resultats - informe'!$D$27)*(C3439&lt;='Resultats - informe'!$E$27),0,(C3439&gt;='Resultats - informe'!$D$28)*(C3439&lt;='Resultats - informe'!$E$28),0,(C3439&gt;='Resultats - informe'!$D$29)*(C3439&lt;='Resultats - informe'!$E$29),0,1,1)</f>
        <v>0</v>
      </c>
      <c r="N3439" s="366">
        <f>+VLOOKUP(D3439,'Resultats - informe'!$Y$18:$AG$42,'Introducció dades consum'!K3439+1,0)</f>
        <v>0</v>
      </c>
      <c r="O3439" s="370" cm="1">
        <f t="array" ref="O3439">+_xlfn.SWITCH(MONTH(C3439),1,1,2,1,3,1,4,2,5,2,6,3,7,3,8,3,9,3,10,2,11,2,12,1,2)</f>
        <v>1</v>
      </c>
      <c r="P3439" s="43"/>
    </row>
    <row r="3440" spans="1:16" ht="18" x14ac:dyDescent="0.35">
      <c r="A3440" s="43"/>
      <c r="C3440" s="393"/>
      <c r="E3440" s="394"/>
      <c r="F3440" s="394">
        <v>0</v>
      </c>
      <c r="G3440" s="394"/>
      <c r="H3440" s="8" t="s">
        <v>235</v>
      </c>
      <c r="I3440" s="368">
        <f t="shared" si="160"/>
        <v>0</v>
      </c>
      <c r="J3440" s="365">
        <f t="shared" si="159"/>
        <v>0</v>
      </c>
      <c r="K3440" s="369">
        <f t="shared" si="161"/>
        <v>6</v>
      </c>
      <c r="L3440" s="369">
        <f>+IF((C3440&gt;='Resultats - informe'!$E$16)*(C3440&lt;='Resultats - informe'!$G$16),1,0)</f>
        <v>1</v>
      </c>
      <c r="M3440" s="369" cm="1">
        <f t="array" ref="M3440">+_xlfn.IFS((C3440&gt;='Resultats - informe'!$D$26)*(C3440&lt;='Resultats - informe'!$E$26),0,(C3440&gt;='Resultats - informe'!$D$27)*(C3440&lt;='Resultats - informe'!$E$27),0,(C3440&gt;='Resultats - informe'!$D$28)*(C3440&lt;='Resultats - informe'!$E$28),0,(C3440&gt;='Resultats - informe'!$D$29)*(C3440&lt;='Resultats - informe'!$E$29),0,1,1)</f>
        <v>0</v>
      </c>
      <c r="N3440" s="366">
        <f>+VLOOKUP(D3440,'Resultats - informe'!$Y$18:$AG$42,'Introducció dades consum'!K3440+1,0)</f>
        <v>0</v>
      </c>
      <c r="O3440" s="370" cm="1">
        <f t="array" ref="O3440">+_xlfn.SWITCH(MONTH(C3440),1,1,2,1,3,1,4,2,5,2,6,3,7,3,8,3,9,3,10,2,11,2,12,1,2)</f>
        <v>1</v>
      </c>
      <c r="P3440" s="43"/>
    </row>
    <row r="3441" spans="1:16" ht="18" x14ac:dyDescent="0.35">
      <c r="A3441" s="43"/>
      <c r="C3441" s="393"/>
      <c r="E3441" s="394"/>
      <c r="F3441" s="394">
        <v>0.27</v>
      </c>
      <c r="G3441" s="394"/>
      <c r="H3441" s="8" t="s">
        <v>235</v>
      </c>
      <c r="I3441" s="368">
        <f t="shared" si="160"/>
        <v>0</v>
      </c>
      <c r="J3441" s="365">
        <f t="shared" si="159"/>
        <v>0</v>
      </c>
      <c r="K3441" s="369">
        <f t="shared" si="161"/>
        <v>6</v>
      </c>
      <c r="L3441" s="369">
        <f>+IF((C3441&gt;='Resultats - informe'!$E$16)*(C3441&lt;='Resultats - informe'!$G$16),1,0)</f>
        <v>1</v>
      </c>
      <c r="M3441" s="369" cm="1">
        <f t="array" ref="M3441">+_xlfn.IFS((C3441&gt;='Resultats - informe'!$D$26)*(C3441&lt;='Resultats - informe'!$E$26),0,(C3441&gt;='Resultats - informe'!$D$27)*(C3441&lt;='Resultats - informe'!$E$27),0,(C3441&gt;='Resultats - informe'!$D$28)*(C3441&lt;='Resultats - informe'!$E$28),0,(C3441&gt;='Resultats - informe'!$D$29)*(C3441&lt;='Resultats - informe'!$E$29),0,1,1)</f>
        <v>0</v>
      </c>
      <c r="N3441" s="366">
        <f>+VLOOKUP(D3441,'Resultats - informe'!$Y$18:$AG$42,'Introducció dades consum'!K3441+1,0)</f>
        <v>0</v>
      </c>
      <c r="O3441" s="370" cm="1">
        <f t="array" ref="O3441">+_xlfn.SWITCH(MONTH(C3441),1,1,2,1,3,1,4,2,5,2,6,3,7,3,8,3,9,3,10,2,11,2,12,1,2)</f>
        <v>1</v>
      </c>
      <c r="P3441" s="43"/>
    </row>
    <row r="3442" spans="1:16" ht="18" x14ac:dyDescent="0.35">
      <c r="A3442" s="43"/>
      <c r="C3442" s="393"/>
      <c r="E3442" s="394"/>
      <c r="F3442" s="394">
        <v>1.0760000000000001</v>
      </c>
      <c r="G3442" s="394"/>
      <c r="H3442" s="8" t="s">
        <v>235</v>
      </c>
      <c r="I3442" s="368">
        <f t="shared" si="160"/>
        <v>0</v>
      </c>
      <c r="J3442" s="365">
        <f t="shared" si="159"/>
        <v>0</v>
      </c>
      <c r="K3442" s="369">
        <f t="shared" si="161"/>
        <v>6</v>
      </c>
      <c r="L3442" s="369">
        <f>+IF((C3442&gt;='Resultats - informe'!$E$16)*(C3442&lt;='Resultats - informe'!$G$16),1,0)</f>
        <v>1</v>
      </c>
      <c r="M3442" s="369" cm="1">
        <f t="array" ref="M3442">+_xlfn.IFS((C3442&gt;='Resultats - informe'!$D$26)*(C3442&lt;='Resultats - informe'!$E$26),0,(C3442&gt;='Resultats - informe'!$D$27)*(C3442&lt;='Resultats - informe'!$E$27),0,(C3442&gt;='Resultats - informe'!$D$28)*(C3442&lt;='Resultats - informe'!$E$28),0,(C3442&gt;='Resultats - informe'!$D$29)*(C3442&lt;='Resultats - informe'!$E$29),0,1,1)</f>
        <v>0</v>
      </c>
      <c r="N3442" s="366">
        <f>+VLOOKUP(D3442,'Resultats - informe'!$Y$18:$AG$42,'Introducció dades consum'!K3442+1,0)</f>
        <v>0</v>
      </c>
      <c r="O3442" s="370" cm="1">
        <f t="array" ref="O3442">+_xlfn.SWITCH(MONTH(C3442),1,1,2,1,3,1,4,2,5,2,6,3,7,3,8,3,9,3,10,2,11,2,12,1,2)</f>
        <v>1</v>
      </c>
      <c r="P3442" s="43"/>
    </row>
    <row r="3443" spans="1:16" ht="18" x14ac:dyDescent="0.35">
      <c r="A3443" s="43"/>
      <c r="C3443" s="393"/>
      <c r="E3443" s="394"/>
      <c r="F3443" s="394">
        <v>0</v>
      </c>
      <c r="G3443" s="394"/>
      <c r="H3443" s="8" t="s">
        <v>61</v>
      </c>
      <c r="I3443" s="368">
        <f t="shared" si="160"/>
        <v>0</v>
      </c>
      <c r="J3443" s="365">
        <f t="shared" si="159"/>
        <v>0</v>
      </c>
      <c r="K3443" s="369">
        <f t="shared" si="161"/>
        <v>6</v>
      </c>
      <c r="L3443" s="369">
        <f>+IF((C3443&gt;='Resultats - informe'!$E$16)*(C3443&lt;='Resultats - informe'!$G$16),1,0)</f>
        <v>1</v>
      </c>
      <c r="M3443" s="369" cm="1">
        <f t="array" ref="M3443">+_xlfn.IFS((C3443&gt;='Resultats - informe'!$D$26)*(C3443&lt;='Resultats - informe'!$E$26),0,(C3443&gt;='Resultats - informe'!$D$27)*(C3443&lt;='Resultats - informe'!$E$27),0,(C3443&gt;='Resultats - informe'!$D$28)*(C3443&lt;='Resultats - informe'!$E$28),0,(C3443&gt;='Resultats - informe'!$D$29)*(C3443&lt;='Resultats - informe'!$E$29),0,1,1)</f>
        <v>0</v>
      </c>
      <c r="N3443" s="366">
        <f>+VLOOKUP(D3443,'Resultats - informe'!$Y$18:$AG$42,'Introducció dades consum'!K3443+1,0)</f>
        <v>0</v>
      </c>
      <c r="O3443" s="370" cm="1">
        <f t="array" ref="O3443">+_xlfn.SWITCH(MONTH(C3443),1,1,2,1,3,1,4,2,5,2,6,3,7,3,8,3,9,3,10,2,11,2,12,1,2)</f>
        <v>1</v>
      </c>
      <c r="P3443" s="43"/>
    </row>
    <row r="3444" spans="1:16" ht="18" x14ac:dyDescent="0.35">
      <c r="A3444" s="43"/>
      <c r="C3444" s="393"/>
      <c r="E3444" s="394"/>
      <c r="F3444" s="394">
        <v>0.54700000000000004</v>
      </c>
      <c r="G3444" s="394"/>
      <c r="H3444" s="8" t="s">
        <v>61</v>
      </c>
      <c r="I3444" s="368">
        <f t="shared" si="160"/>
        <v>0</v>
      </c>
      <c r="J3444" s="365">
        <f t="shared" si="159"/>
        <v>0</v>
      </c>
      <c r="K3444" s="369">
        <f t="shared" si="161"/>
        <v>6</v>
      </c>
      <c r="L3444" s="369">
        <f>+IF((C3444&gt;='Resultats - informe'!$E$16)*(C3444&lt;='Resultats - informe'!$G$16),1,0)</f>
        <v>1</v>
      </c>
      <c r="M3444" s="369" cm="1">
        <f t="array" ref="M3444">+_xlfn.IFS((C3444&gt;='Resultats - informe'!$D$26)*(C3444&lt;='Resultats - informe'!$E$26),0,(C3444&gt;='Resultats - informe'!$D$27)*(C3444&lt;='Resultats - informe'!$E$27),0,(C3444&gt;='Resultats - informe'!$D$28)*(C3444&lt;='Resultats - informe'!$E$28),0,(C3444&gt;='Resultats - informe'!$D$29)*(C3444&lt;='Resultats - informe'!$E$29),0,1,1)</f>
        <v>0</v>
      </c>
      <c r="N3444" s="366">
        <f>+VLOOKUP(D3444,'Resultats - informe'!$Y$18:$AG$42,'Introducció dades consum'!K3444+1,0)</f>
        <v>0</v>
      </c>
      <c r="O3444" s="370" cm="1">
        <f t="array" ref="O3444">+_xlfn.SWITCH(MONTH(C3444),1,1,2,1,3,1,4,2,5,2,6,3,7,3,8,3,9,3,10,2,11,2,12,1,2)</f>
        <v>1</v>
      </c>
      <c r="P3444" s="43"/>
    </row>
    <row r="3445" spans="1:16" ht="18" x14ac:dyDescent="0.35">
      <c r="A3445" s="43"/>
      <c r="C3445" s="393"/>
      <c r="E3445" s="394"/>
      <c r="F3445" s="394">
        <v>1.8440000000000001</v>
      </c>
      <c r="G3445" s="394"/>
      <c r="H3445" s="8" t="s">
        <v>61</v>
      </c>
      <c r="I3445" s="368">
        <f t="shared" si="160"/>
        <v>0</v>
      </c>
      <c r="J3445" s="365">
        <f t="shared" si="159"/>
        <v>0</v>
      </c>
      <c r="K3445" s="369">
        <f t="shared" si="161"/>
        <v>6</v>
      </c>
      <c r="L3445" s="369">
        <f>+IF((C3445&gt;='Resultats - informe'!$E$16)*(C3445&lt;='Resultats - informe'!$G$16),1,0)</f>
        <v>1</v>
      </c>
      <c r="M3445" s="369" cm="1">
        <f t="array" ref="M3445">+_xlfn.IFS((C3445&gt;='Resultats - informe'!$D$26)*(C3445&lt;='Resultats - informe'!$E$26),0,(C3445&gt;='Resultats - informe'!$D$27)*(C3445&lt;='Resultats - informe'!$E$27),0,(C3445&gt;='Resultats - informe'!$D$28)*(C3445&lt;='Resultats - informe'!$E$28),0,(C3445&gt;='Resultats - informe'!$D$29)*(C3445&lt;='Resultats - informe'!$E$29),0,1,1)</f>
        <v>0</v>
      </c>
      <c r="N3445" s="366">
        <f>+VLOOKUP(D3445,'Resultats - informe'!$Y$18:$AG$42,'Introducció dades consum'!K3445+1,0)</f>
        <v>0</v>
      </c>
      <c r="O3445" s="370" cm="1">
        <f t="array" ref="O3445">+_xlfn.SWITCH(MONTH(C3445),1,1,2,1,3,1,4,2,5,2,6,3,7,3,8,3,9,3,10,2,11,2,12,1,2)</f>
        <v>1</v>
      </c>
      <c r="P3445" s="43"/>
    </row>
    <row r="3446" spans="1:16" ht="18" x14ac:dyDescent="0.35">
      <c r="A3446" s="43"/>
      <c r="C3446" s="393"/>
      <c r="E3446" s="394"/>
      <c r="F3446" s="394">
        <v>3.056</v>
      </c>
      <c r="G3446" s="394"/>
      <c r="H3446" s="8" t="s">
        <v>235</v>
      </c>
      <c r="I3446" s="368">
        <f t="shared" si="160"/>
        <v>0</v>
      </c>
      <c r="J3446" s="365">
        <f t="shared" si="159"/>
        <v>0</v>
      </c>
      <c r="K3446" s="369">
        <f t="shared" si="161"/>
        <v>6</v>
      </c>
      <c r="L3446" s="369">
        <f>+IF((C3446&gt;='Resultats - informe'!$E$16)*(C3446&lt;='Resultats - informe'!$G$16),1,0)</f>
        <v>1</v>
      </c>
      <c r="M3446" s="369" cm="1">
        <f t="array" ref="M3446">+_xlfn.IFS((C3446&gt;='Resultats - informe'!$D$26)*(C3446&lt;='Resultats - informe'!$E$26),0,(C3446&gt;='Resultats - informe'!$D$27)*(C3446&lt;='Resultats - informe'!$E$27),0,(C3446&gt;='Resultats - informe'!$D$28)*(C3446&lt;='Resultats - informe'!$E$28),0,(C3446&gt;='Resultats - informe'!$D$29)*(C3446&lt;='Resultats - informe'!$E$29),0,1,1)</f>
        <v>0</v>
      </c>
      <c r="N3446" s="366">
        <f>+VLOOKUP(D3446,'Resultats - informe'!$Y$18:$AG$42,'Introducció dades consum'!K3446+1,0)</f>
        <v>0</v>
      </c>
      <c r="O3446" s="370" cm="1">
        <f t="array" ref="O3446">+_xlfn.SWITCH(MONTH(C3446),1,1,2,1,3,1,4,2,5,2,6,3,7,3,8,3,9,3,10,2,11,2,12,1,2)</f>
        <v>1</v>
      </c>
      <c r="P3446" s="43"/>
    </row>
    <row r="3447" spans="1:16" ht="18" x14ac:dyDescent="0.35">
      <c r="A3447" s="43"/>
      <c r="C3447" s="393"/>
      <c r="E3447" s="394"/>
      <c r="F3447" s="394">
        <v>3.0880000000000001</v>
      </c>
      <c r="G3447" s="394"/>
      <c r="H3447" s="8" t="s">
        <v>235</v>
      </c>
      <c r="I3447" s="368">
        <f t="shared" si="160"/>
        <v>0</v>
      </c>
      <c r="J3447" s="365">
        <f t="shared" si="159"/>
        <v>0</v>
      </c>
      <c r="K3447" s="369">
        <f t="shared" si="161"/>
        <v>6</v>
      </c>
      <c r="L3447" s="369">
        <f>+IF((C3447&gt;='Resultats - informe'!$E$16)*(C3447&lt;='Resultats - informe'!$G$16),1,0)</f>
        <v>1</v>
      </c>
      <c r="M3447" s="369" cm="1">
        <f t="array" ref="M3447">+_xlfn.IFS((C3447&gt;='Resultats - informe'!$D$26)*(C3447&lt;='Resultats - informe'!$E$26),0,(C3447&gt;='Resultats - informe'!$D$27)*(C3447&lt;='Resultats - informe'!$E$27),0,(C3447&gt;='Resultats - informe'!$D$28)*(C3447&lt;='Resultats - informe'!$E$28),0,(C3447&gt;='Resultats - informe'!$D$29)*(C3447&lt;='Resultats - informe'!$E$29),0,1,1)</f>
        <v>0</v>
      </c>
      <c r="N3447" s="366">
        <f>+VLOOKUP(D3447,'Resultats - informe'!$Y$18:$AG$42,'Introducció dades consum'!K3447+1,0)</f>
        <v>0</v>
      </c>
      <c r="O3447" s="370" cm="1">
        <f t="array" ref="O3447">+_xlfn.SWITCH(MONTH(C3447),1,1,2,1,3,1,4,2,5,2,6,3,7,3,8,3,9,3,10,2,11,2,12,1,2)</f>
        <v>1</v>
      </c>
      <c r="P3447" s="43"/>
    </row>
    <row r="3448" spans="1:16" ht="18" x14ac:dyDescent="0.35">
      <c r="A3448" s="43"/>
      <c r="C3448" s="393"/>
      <c r="E3448" s="394"/>
      <c r="F3448" s="394">
        <v>5.1849999999999996</v>
      </c>
      <c r="G3448" s="394"/>
      <c r="H3448" s="8" t="s">
        <v>61</v>
      </c>
      <c r="I3448" s="368">
        <f t="shared" si="160"/>
        <v>0</v>
      </c>
      <c r="J3448" s="365">
        <f t="shared" si="159"/>
        <v>0</v>
      </c>
      <c r="K3448" s="369">
        <f t="shared" si="161"/>
        <v>6</v>
      </c>
      <c r="L3448" s="369">
        <f>+IF((C3448&gt;='Resultats - informe'!$E$16)*(C3448&lt;='Resultats - informe'!$G$16),1,0)</f>
        <v>1</v>
      </c>
      <c r="M3448" s="369" cm="1">
        <f t="array" ref="M3448">+_xlfn.IFS((C3448&gt;='Resultats - informe'!$D$26)*(C3448&lt;='Resultats - informe'!$E$26),0,(C3448&gt;='Resultats - informe'!$D$27)*(C3448&lt;='Resultats - informe'!$E$27),0,(C3448&gt;='Resultats - informe'!$D$28)*(C3448&lt;='Resultats - informe'!$E$28),0,(C3448&gt;='Resultats - informe'!$D$29)*(C3448&lt;='Resultats - informe'!$E$29),0,1,1)</f>
        <v>0</v>
      </c>
      <c r="N3448" s="366">
        <f>+VLOOKUP(D3448,'Resultats - informe'!$Y$18:$AG$42,'Introducció dades consum'!K3448+1,0)</f>
        <v>0</v>
      </c>
      <c r="O3448" s="370" cm="1">
        <f t="array" ref="O3448">+_xlfn.SWITCH(MONTH(C3448),1,1,2,1,3,1,4,2,5,2,6,3,7,3,8,3,9,3,10,2,11,2,12,1,2)</f>
        <v>1</v>
      </c>
      <c r="P3448" s="43"/>
    </row>
    <row r="3449" spans="1:16" ht="18" x14ac:dyDescent="0.35">
      <c r="A3449" s="43"/>
      <c r="C3449" s="393"/>
      <c r="E3449" s="394"/>
      <c r="F3449" s="394">
        <v>3.0539999999999998</v>
      </c>
      <c r="G3449" s="394"/>
      <c r="H3449" s="8" t="s">
        <v>235</v>
      </c>
      <c r="I3449" s="368">
        <f t="shared" si="160"/>
        <v>0</v>
      </c>
      <c r="J3449" s="365">
        <f t="shared" si="159"/>
        <v>0</v>
      </c>
      <c r="K3449" s="369">
        <f t="shared" si="161"/>
        <v>6</v>
      </c>
      <c r="L3449" s="369">
        <f>+IF((C3449&gt;='Resultats - informe'!$E$16)*(C3449&lt;='Resultats - informe'!$G$16),1,0)</f>
        <v>1</v>
      </c>
      <c r="M3449" s="369" cm="1">
        <f t="array" ref="M3449">+_xlfn.IFS((C3449&gt;='Resultats - informe'!$D$26)*(C3449&lt;='Resultats - informe'!$E$26),0,(C3449&gt;='Resultats - informe'!$D$27)*(C3449&lt;='Resultats - informe'!$E$27),0,(C3449&gt;='Resultats - informe'!$D$28)*(C3449&lt;='Resultats - informe'!$E$28),0,(C3449&gt;='Resultats - informe'!$D$29)*(C3449&lt;='Resultats - informe'!$E$29),0,1,1)</f>
        <v>0</v>
      </c>
      <c r="N3449" s="366">
        <f>+VLOOKUP(D3449,'Resultats - informe'!$Y$18:$AG$42,'Introducció dades consum'!K3449+1,0)</f>
        <v>0</v>
      </c>
      <c r="O3449" s="370" cm="1">
        <f t="array" ref="O3449">+_xlfn.SWITCH(MONTH(C3449),1,1,2,1,3,1,4,2,5,2,6,3,7,3,8,3,9,3,10,2,11,2,12,1,2)</f>
        <v>1</v>
      </c>
      <c r="P3449" s="43"/>
    </row>
    <row r="3450" spans="1:16" ht="18" x14ac:dyDescent="0.35">
      <c r="A3450" s="43"/>
      <c r="C3450" s="393"/>
      <c r="E3450" s="394"/>
      <c r="F3450" s="394">
        <v>2.73</v>
      </c>
      <c r="G3450" s="394"/>
      <c r="H3450" s="8" t="s">
        <v>235</v>
      </c>
      <c r="I3450" s="368">
        <f t="shared" si="160"/>
        <v>0</v>
      </c>
      <c r="J3450" s="365">
        <f t="shared" si="159"/>
        <v>0</v>
      </c>
      <c r="K3450" s="369">
        <f t="shared" si="161"/>
        <v>6</v>
      </c>
      <c r="L3450" s="369">
        <f>+IF((C3450&gt;='Resultats - informe'!$E$16)*(C3450&lt;='Resultats - informe'!$G$16),1,0)</f>
        <v>1</v>
      </c>
      <c r="M3450" s="369" cm="1">
        <f t="array" ref="M3450">+_xlfn.IFS((C3450&gt;='Resultats - informe'!$D$26)*(C3450&lt;='Resultats - informe'!$E$26),0,(C3450&gt;='Resultats - informe'!$D$27)*(C3450&lt;='Resultats - informe'!$E$27),0,(C3450&gt;='Resultats - informe'!$D$28)*(C3450&lt;='Resultats - informe'!$E$28),0,(C3450&gt;='Resultats - informe'!$D$29)*(C3450&lt;='Resultats - informe'!$E$29),0,1,1)</f>
        <v>0</v>
      </c>
      <c r="N3450" s="366">
        <f>+VLOOKUP(D3450,'Resultats - informe'!$Y$18:$AG$42,'Introducció dades consum'!K3450+1,0)</f>
        <v>0</v>
      </c>
      <c r="O3450" s="370" cm="1">
        <f t="array" ref="O3450">+_xlfn.SWITCH(MONTH(C3450),1,1,2,1,3,1,4,2,5,2,6,3,7,3,8,3,9,3,10,2,11,2,12,1,2)</f>
        <v>1</v>
      </c>
      <c r="P3450" s="43"/>
    </row>
    <row r="3451" spans="1:16" ht="18" x14ac:dyDescent="0.35">
      <c r="A3451" s="43"/>
      <c r="C3451" s="393"/>
      <c r="E3451" s="394"/>
      <c r="F3451" s="394">
        <v>4.3730000000000002</v>
      </c>
      <c r="G3451" s="394"/>
      <c r="H3451" s="8" t="s">
        <v>61</v>
      </c>
      <c r="I3451" s="368">
        <f t="shared" si="160"/>
        <v>0</v>
      </c>
      <c r="J3451" s="365">
        <f t="shared" ref="J3451:J3514" si="162">+C3451</f>
        <v>0</v>
      </c>
      <c r="K3451" s="369">
        <f t="shared" si="161"/>
        <v>6</v>
      </c>
      <c r="L3451" s="369">
        <f>+IF((C3451&gt;='Resultats - informe'!$E$16)*(C3451&lt;='Resultats - informe'!$G$16),1,0)</f>
        <v>1</v>
      </c>
      <c r="M3451" s="369" cm="1">
        <f t="array" ref="M3451">+_xlfn.IFS((C3451&gt;='Resultats - informe'!$D$26)*(C3451&lt;='Resultats - informe'!$E$26),0,(C3451&gt;='Resultats - informe'!$D$27)*(C3451&lt;='Resultats - informe'!$E$27),0,(C3451&gt;='Resultats - informe'!$D$28)*(C3451&lt;='Resultats - informe'!$E$28),0,(C3451&gt;='Resultats - informe'!$D$29)*(C3451&lt;='Resultats - informe'!$E$29),0,1,1)</f>
        <v>0</v>
      </c>
      <c r="N3451" s="366">
        <f>+VLOOKUP(D3451,'Resultats - informe'!$Y$18:$AG$42,'Introducció dades consum'!K3451+1,0)</f>
        <v>0</v>
      </c>
      <c r="O3451" s="370" cm="1">
        <f t="array" ref="O3451">+_xlfn.SWITCH(MONTH(C3451),1,1,2,1,3,1,4,2,5,2,6,3,7,3,8,3,9,3,10,2,11,2,12,1,2)</f>
        <v>1</v>
      </c>
      <c r="P3451" s="43"/>
    </row>
    <row r="3452" spans="1:16" ht="18" x14ac:dyDescent="0.35">
      <c r="A3452" s="43"/>
      <c r="C3452" s="393"/>
      <c r="E3452" s="394"/>
      <c r="F3452" s="394">
        <v>1.073</v>
      </c>
      <c r="G3452" s="394"/>
      <c r="H3452" s="8" t="s">
        <v>235</v>
      </c>
      <c r="I3452" s="368">
        <f t="shared" si="160"/>
        <v>0</v>
      </c>
      <c r="J3452" s="365">
        <f t="shared" si="162"/>
        <v>0</v>
      </c>
      <c r="K3452" s="369">
        <f t="shared" si="161"/>
        <v>6</v>
      </c>
      <c r="L3452" s="369">
        <f>+IF((C3452&gt;='Resultats - informe'!$E$16)*(C3452&lt;='Resultats - informe'!$G$16),1,0)</f>
        <v>1</v>
      </c>
      <c r="M3452" s="369" cm="1">
        <f t="array" ref="M3452">+_xlfn.IFS((C3452&gt;='Resultats - informe'!$D$26)*(C3452&lt;='Resultats - informe'!$E$26),0,(C3452&gt;='Resultats - informe'!$D$27)*(C3452&lt;='Resultats - informe'!$E$27),0,(C3452&gt;='Resultats - informe'!$D$28)*(C3452&lt;='Resultats - informe'!$E$28),0,(C3452&gt;='Resultats - informe'!$D$29)*(C3452&lt;='Resultats - informe'!$E$29),0,1,1)</f>
        <v>0</v>
      </c>
      <c r="N3452" s="366">
        <f>+VLOOKUP(D3452,'Resultats - informe'!$Y$18:$AG$42,'Introducció dades consum'!K3452+1,0)</f>
        <v>0</v>
      </c>
      <c r="O3452" s="370" cm="1">
        <f t="array" ref="O3452">+_xlfn.SWITCH(MONTH(C3452),1,1,2,1,3,1,4,2,5,2,6,3,7,3,8,3,9,3,10,2,11,2,12,1,2)</f>
        <v>1</v>
      </c>
      <c r="P3452" s="43"/>
    </row>
    <row r="3453" spans="1:16" ht="18" x14ac:dyDescent="0.35">
      <c r="A3453" s="43"/>
      <c r="C3453" s="393"/>
      <c r="E3453" s="394"/>
      <c r="F3453" s="394">
        <v>0.29399999999999998</v>
      </c>
      <c r="G3453" s="394"/>
      <c r="H3453" s="8" t="s">
        <v>235</v>
      </c>
      <c r="I3453" s="368">
        <f t="shared" si="160"/>
        <v>0</v>
      </c>
      <c r="J3453" s="365">
        <f t="shared" si="162"/>
        <v>0</v>
      </c>
      <c r="K3453" s="369">
        <f t="shared" si="161"/>
        <v>6</v>
      </c>
      <c r="L3453" s="369">
        <f>+IF((C3453&gt;='Resultats - informe'!$E$16)*(C3453&lt;='Resultats - informe'!$G$16),1,0)</f>
        <v>1</v>
      </c>
      <c r="M3453" s="369" cm="1">
        <f t="array" ref="M3453">+_xlfn.IFS((C3453&gt;='Resultats - informe'!$D$26)*(C3453&lt;='Resultats - informe'!$E$26),0,(C3453&gt;='Resultats - informe'!$D$27)*(C3453&lt;='Resultats - informe'!$E$27),0,(C3453&gt;='Resultats - informe'!$D$28)*(C3453&lt;='Resultats - informe'!$E$28),0,(C3453&gt;='Resultats - informe'!$D$29)*(C3453&lt;='Resultats - informe'!$E$29),0,1,1)</f>
        <v>0</v>
      </c>
      <c r="N3453" s="366">
        <f>+VLOOKUP(D3453,'Resultats - informe'!$Y$18:$AG$42,'Introducció dades consum'!K3453+1,0)</f>
        <v>0</v>
      </c>
      <c r="O3453" s="370" cm="1">
        <f t="array" ref="O3453">+_xlfn.SWITCH(MONTH(C3453),1,1,2,1,3,1,4,2,5,2,6,3,7,3,8,3,9,3,10,2,11,2,12,1,2)</f>
        <v>1</v>
      </c>
      <c r="P3453" s="43"/>
    </row>
    <row r="3454" spans="1:16" ht="18" x14ac:dyDescent="0.35">
      <c r="A3454" s="43"/>
      <c r="C3454" s="393"/>
      <c r="E3454" s="394"/>
      <c r="F3454" s="394">
        <v>0</v>
      </c>
      <c r="G3454" s="394"/>
      <c r="H3454" s="8" t="s">
        <v>235</v>
      </c>
      <c r="I3454" s="368">
        <f t="shared" si="160"/>
        <v>0</v>
      </c>
      <c r="J3454" s="365">
        <f t="shared" si="162"/>
        <v>0</v>
      </c>
      <c r="K3454" s="369">
        <f t="shared" si="161"/>
        <v>6</v>
      </c>
      <c r="L3454" s="369">
        <f>+IF((C3454&gt;='Resultats - informe'!$E$16)*(C3454&lt;='Resultats - informe'!$G$16),1,0)</f>
        <v>1</v>
      </c>
      <c r="M3454" s="369" cm="1">
        <f t="array" ref="M3454">+_xlfn.IFS((C3454&gt;='Resultats - informe'!$D$26)*(C3454&lt;='Resultats - informe'!$E$26),0,(C3454&gt;='Resultats - informe'!$D$27)*(C3454&lt;='Resultats - informe'!$E$27),0,(C3454&gt;='Resultats - informe'!$D$28)*(C3454&lt;='Resultats - informe'!$E$28),0,(C3454&gt;='Resultats - informe'!$D$29)*(C3454&lt;='Resultats - informe'!$E$29),0,1,1)</f>
        <v>0</v>
      </c>
      <c r="N3454" s="366">
        <f>+VLOOKUP(D3454,'Resultats - informe'!$Y$18:$AG$42,'Introducció dades consum'!K3454+1,0)</f>
        <v>0</v>
      </c>
      <c r="O3454" s="370" cm="1">
        <f t="array" ref="O3454">+_xlfn.SWITCH(MONTH(C3454),1,1,2,1,3,1,4,2,5,2,6,3,7,3,8,3,9,3,10,2,11,2,12,1,2)</f>
        <v>1</v>
      </c>
      <c r="P3454" s="43"/>
    </row>
    <row r="3455" spans="1:16" ht="18" x14ac:dyDescent="0.35">
      <c r="A3455" s="43"/>
      <c r="C3455" s="393"/>
      <c r="E3455" s="394"/>
      <c r="F3455" s="394">
        <v>0.46500000000000002</v>
      </c>
      <c r="G3455" s="394"/>
      <c r="H3455" s="8" t="s">
        <v>61</v>
      </c>
      <c r="I3455" s="368">
        <f t="shared" si="160"/>
        <v>0</v>
      </c>
      <c r="J3455" s="365">
        <f t="shared" si="162"/>
        <v>0</v>
      </c>
      <c r="K3455" s="369">
        <f t="shared" si="161"/>
        <v>6</v>
      </c>
      <c r="L3455" s="369">
        <f>+IF((C3455&gt;='Resultats - informe'!$E$16)*(C3455&lt;='Resultats - informe'!$G$16),1,0)</f>
        <v>1</v>
      </c>
      <c r="M3455" s="369" cm="1">
        <f t="array" ref="M3455">+_xlfn.IFS((C3455&gt;='Resultats - informe'!$D$26)*(C3455&lt;='Resultats - informe'!$E$26),0,(C3455&gt;='Resultats - informe'!$D$27)*(C3455&lt;='Resultats - informe'!$E$27),0,(C3455&gt;='Resultats - informe'!$D$28)*(C3455&lt;='Resultats - informe'!$E$28),0,(C3455&gt;='Resultats - informe'!$D$29)*(C3455&lt;='Resultats - informe'!$E$29),0,1,1)</f>
        <v>0</v>
      </c>
      <c r="N3455" s="366">
        <f>+VLOOKUP(D3455,'Resultats - informe'!$Y$18:$AG$42,'Introducció dades consum'!K3455+1,0)</f>
        <v>0</v>
      </c>
      <c r="O3455" s="370" cm="1">
        <f t="array" ref="O3455">+_xlfn.SWITCH(MONTH(C3455),1,1,2,1,3,1,4,2,5,2,6,3,7,3,8,3,9,3,10,2,11,2,12,1,2)</f>
        <v>1</v>
      </c>
      <c r="P3455" s="43"/>
    </row>
    <row r="3456" spans="1:16" ht="18" x14ac:dyDescent="0.35">
      <c r="A3456" s="43"/>
      <c r="C3456" s="393"/>
      <c r="E3456" s="394"/>
      <c r="F3456" s="394">
        <v>0</v>
      </c>
      <c r="G3456" s="394"/>
      <c r="H3456" s="8" t="s">
        <v>235</v>
      </c>
      <c r="I3456" s="368">
        <f t="shared" si="160"/>
        <v>0</v>
      </c>
      <c r="J3456" s="365">
        <f t="shared" si="162"/>
        <v>0</v>
      </c>
      <c r="K3456" s="369">
        <f t="shared" si="161"/>
        <v>6</v>
      </c>
      <c r="L3456" s="369">
        <f>+IF((C3456&gt;='Resultats - informe'!$E$16)*(C3456&lt;='Resultats - informe'!$G$16),1,0)</f>
        <v>1</v>
      </c>
      <c r="M3456" s="369" cm="1">
        <f t="array" ref="M3456">+_xlfn.IFS((C3456&gt;='Resultats - informe'!$D$26)*(C3456&lt;='Resultats - informe'!$E$26),0,(C3456&gt;='Resultats - informe'!$D$27)*(C3456&lt;='Resultats - informe'!$E$27),0,(C3456&gt;='Resultats - informe'!$D$28)*(C3456&lt;='Resultats - informe'!$E$28),0,(C3456&gt;='Resultats - informe'!$D$29)*(C3456&lt;='Resultats - informe'!$E$29),0,1,1)</f>
        <v>0</v>
      </c>
      <c r="N3456" s="366">
        <f>+VLOOKUP(D3456,'Resultats - informe'!$Y$18:$AG$42,'Introducció dades consum'!K3456+1,0)</f>
        <v>0</v>
      </c>
      <c r="O3456" s="370" cm="1">
        <f t="array" ref="O3456">+_xlfn.SWITCH(MONTH(C3456),1,1,2,1,3,1,4,2,5,2,6,3,7,3,8,3,9,3,10,2,11,2,12,1,2)</f>
        <v>1</v>
      </c>
      <c r="P3456" s="43"/>
    </row>
    <row r="3457" spans="1:16" ht="18" x14ac:dyDescent="0.35">
      <c r="A3457" s="43"/>
      <c r="C3457" s="393"/>
      <c r="E3457" s="394"/>
      <c r="F3457" s="394">
        <v>0</v>
      </c>
      <c r="G3457" s="394"/>
      <c r="H3457" s="8" t="s">
        <v>235</v>
      </c>
      <c r="I3457" s="368">
        <f t="shared" si="160"/>
        <v>0</v>
      </c>
      <c r="J3457" s="365">
        <f t="shared" si="162"/>
        <v>0</v>
      </c>
      <c r="K3457" s="369">
        <f t="shared" si="161"/>
        <v>6</v>
      </c>
      <c r="L3457" s="369">
        <f>+IF((C3457&gt;='Resultats - informe'!$E$16)*(C3457&lt;='Resultats - informe'!$G$16),1,0)</f>
        <v>1</v>
      </c>
      <c r="M3457" s="369" cm="1">
        <f t="array" ref="M3457">+_xlfn.IFS((C3457&gt;='Resultats - informe'!$D$26)*(C3457&lt;='Resultats - informe'!$E$26),0,(C3457&gt;='Resultats - informe'!$D$27)*(C3457&lt;='Resultats - informe'!$E$27),0,(C3457&gt;='Resultats - informe'!$D$28)*(C3457&lt;='Resultats - informe'!$E$28),0,(C3457&gt;='Resultats - informe'!$D$29)*(C3457&lt;='Resultats - informe'!$E$29),0,1,1)</f>
        <v>0</v>
      </c>
      <c r="N3457" s="366">
        <f>+VLOOKUP(D3457,'Resultats - informe'!$Y$18:$AG$42,'Introducció dades consum'!K3457+1,0)</f>
        <v>0</v>
      </c>
      <c r="O3457" s="370" cm="1">
        <f t="array" ref="O3457">+_xlfn.SWITCH(MONTH(C3457),1,1,2,1,3,1,4,2,5,2,6,3,7,3,8,3,9,3,10,2,11,2,12,1,2)</f>
        <v>1</v>
      </c>
      <c r="P3457" s="43"/>
    </row>
    <row r="3458" spans="1:16" ht="18" x14ac:dyDescent="0.35">
      <c r="A3458" s="43"/>
      <c r="C3458" s="393"/>
      <c r="E3458" s="394"/>
      <c r="F3458" s="394">
        <v>0</v>
      </c>
      <c r="G3458" s="394"/>
      <c r="H3458" s="8" t="s">
        <v>235</v>
      </c>
      <c r="I3458" s="368">
        <f t="shared" si="160"/>
        <v>0</v>
      </c>
      <c r="J3458" s="365">
        <f t="shared" si="162"/>
        <v>0</v>
      </c>
      <c r="K3458" s="369">
        <f t="shared" si="161"/>
        <v>6</v>
      </c>
      <c r="L3458" s="369">
        <f>+IF((C3458&gt;='Resultats - informe'!$E$16)*(C3458&lt;='Resultats - informe'!$G$16),1,0)</f>
        <v>1</v>
      </c>
      <c r="M3458" s="369" cm="1">
        <f t="array" ref="M3458">+_xlfn.IFS((C3458&gt;='Resultats - informe'!$D$26)*(C3458&lt;='Resultats - informe'!$E$26),0,(C3458&gt;='Resultats - informe'!$D$27)*(C3458&lt;='Resultats - informe'!$E$27),0,(C3458&gt;='Resultats - informe'!$D$28)*(C3458&lt;='Resultats - informe'!$E$28),0,(C3458&gt;='Resultats - informe'!$D$29)*(C3458&lt;='Resultats - informe'!$E$29),0,1,1)</f>
        <v>0</v>
      </c>
      <c r="N3458" s="366">
        <f>+VLOOKUP(D3458,'Resultats - informe'!$Y$18:$AG$42,'Introducció dades consum'!K3458+1,0)</f>
        <v>0</v>
      </c>
      <c r="O3458" s="370" cm="1">
        <f t="array" ref="O3458">+_xlfn.SWITCH(MONTH(C3458),1,1,2,1,3,1,4,2,5,2,6,3,7,3,8,3,9,3,10,2,11,2,12,1,2)</f>
        <v>1</v>
      </c>
      <c r="P3458" s="43"/>
    </row>
    <row r="3459" spans="1:16" ht="18" x14ac:dyDescent="0.35">
      <c r="A3459" s="43"/>
      <c r="C3459" s="393"/>
      <c r="E3459" s="394"/>
      <c r="F3459" s="394">
        <v>0</v>
      </c>
      <c r="G3459" s="394"/>
      <c r="H3459" s="8" t="s">
        <v>235</v>
      </c>
      <c r="I3459" s="368">
        <f t="shared" si="160"/>
        <v>0</v>
      </c>
      <c r="J3459" s="365">
        <f t="shared" si="162"/>
        <v>0</v>
      </c>
      <c r="K3459" s="369">
        <f t="shared" si="161"/>
        <v>6</v>
      </c>
      <c r="L3459" s="369">
        <f>+IF((C3459&gt;='Resultats - informe'!$E$16)*(C3459&lt;='Resultats - informe'!$G$16),1,0)</f>
        <v>1</v>
      </c>
      <c r="M3459" s="369" cm="1">
        <f t="array" ref="M3459">+_xlfn.IFS((C3459&gt;='Resultats - informe'!$D$26)*(C3459&lt;='Resultats - informe'!$E$26),0,(C3459&gt;='Resultats - informe'!$D$27)*(C3459&lt;='Resultats - informe'!$E$27),0,(C3459&gt;='Resultats - informe'!$D$28)*(C3459&lt;='Resultats - informe'!$E$28),0,(C3459&gt;='Resultats - informe'!$D$29)*(C3459&lt;='Resultats - informe'!$E$29),0,1,1)</f>
        <v>0</v>
      </c>
      <c r="N3459" s="366">
        <f>+VLOOKUP(D3459,'Resultats - informe'!$Y$18:$AG$42,'Introducció dades consum'!K3459+1,0)</f>
        <v>0</v>
      </c>
      <c r="O3459" s="370" cm="1">
        <f t="array" ref="O3459">+_xlfn.SWITCH(MONTH(C3459),1,1,2,1,3,1,4,2,5,2,6,3,7,3,8,3,9,3,10,2,11,2,12,1,2)</f>
        <v>1</v>
      </c>
      <c r="P3459" s="43"/>
    </row>
    <row r="3460" spans="1:16" ht="18" x14ac:dyDescent="0.35">
      <c r="A3460" s="43"/>
      <c r="C3460" s="393"/>
      <c r="E3460" s="394"/>
      <c r="F3460" s="394">
        <v>0</v>
      </c>
      <c r="G3460" s="394"/>
      <c r="H3460" s="8" t="s">
        <v>61</v>
      </c>
      <c r="I3460" s="368">
        <f t="shared" si="160"/>
        <v>0</v>
      </c>
      <c r="J3460" s="365">
        <f t="shared" si="162"/>
        <v>0</v>
      </c>
      <c r="K3460" s="369">
        <f t="shared" si="161"/>
        <v>6</v>
      </c>
      <c r="L3460" s="369">
        <f>+IF((C3460&gt;='Resultats - informe'!$E$16)*(C3460&lt;='Resultats - informe'!$G$16),1,0)</f>
        <v>1</v>
      </c>
      <c r="M3460" s="369" cm="1">
        <f t="array" ref="M3460">+_xlfn.IFS((C3460&gt;='Resultats - informe'!$D$26)*(C3460&lt;='Resultats - informe'!$E$26),0,(C3460&gt;='Resultats - informe'!$D$27)*(C3460&lt;='Resultats - informe'!$E$27),0,(C3460&gt;='Resultats - informe'!$D$28)*(C3460&lt;='Resultats - informe'!$E$28),0,(C3460&gt;='Resultats - informe'!$D$29)*(C3460&lt;='Resultats - informe'!$E$29),0,1,1)</f>
        <v>0</v>
      </c>
      <c r="N3460" s="366">
        <f>+VLOOKUP(D3460,'Resultats - informe'!$Y$18:$AG$42,'Introducció dades consum'!K3460+1,0)</f>
        <v>0</v>
      </c>
      <c r="O3460" s="370" cm="1">
        <f t="array" ref="O3460">+_xlfn.SWITCH(MONTH(C3460),1,1,2,1,3,1,4,2,5,2,6,3,7,3,8,3,9,3,10,2,11,2,12,1,2)</f>
        <v>1</v>
      </c>
      <c r="P3460" s="43"/>
    </row>
    <row r="3461" spans="1:16" ht="18" x14ac:dyDescent="0.35">
      <c r="A3461" s="43"/>
      <c r="C3461" s="393"/>
      <c r="E3461" s="394"/>
      <c r="F3461" s="394">
        <v>0</v>
      </c>
      <c r="G3461" s="394"/>
      <c r="H3461" s="8" t="s">
        <v>61</v>
      </c>
      <c r="I3461" s="368">
        <f t="shared" si="160"/>
        <v>0</v>
      </c>
      <c r="J3461" s="365">
        <f t="shared" si="162"/>
        <v>0</v>
      </c>
      <c r="K3461" s="369">
        <f t="shared" si="161"/>
        <v>6</v>
      </c>
      <c r="L3461" s="369">
        <f>+IF((C3461&gt;='Resultats - informe'!$E$16)*(C3461&lt;='Resultats - informe'!$G$16),1,0)</f>
        <v>1</v>
      </c>
      <c r="M3461" s="369" cm="1">
        <f t="array" ref="M3461">+_xlfn.IFS((C3461&gt;='Resultats - informe'!$D$26)*(C3461&lt;='Resultats - informe'!$E$26),0,(C3461&gt;='Resultats - informe'!$D$27)*(C3461&lt;='Resultats - informe'!$E$27),0,(C3461&gt;='Resultats - informe'!$D$28)*(C3461&lt;='Resultats - informe'!$E$28),0,(C3461&gt;='Resultats - informe'!$D$29)*(C3461&lt;='Resultats - informe'!$E$29),0,1,1)</f>
        <v>0</v>
      </c>
      <c r="N3461" s="366">
        <f>+VLOOKUP(D3461,'Resultats - informe'!$Y$18:$AG$42,'Introducció dades consum'!K3461+1,0)</f>
        <v>0</v>
      </c>
      <c r="O3461" s="370" cm="1">
        <f t="array" ref="O3461">+_xlfn.SWITCH(MONTH(C3461),1,1,2,1,3,1,4,2,5,2,6,3,7,3,8,3,9,3,10,2,11,2,12,1,2)</f>
        <v>1</v>
      </c>
      <c r="P3461" s="43"/>
    </row>
    <row r="3462" spans="1:16" ht="18" x14ac:dyDescent="0.35">
      <c r="A3462" s="43"/>
      <c r="C3462" s="393"/>
      <c r="E3462" s="394"/>
      <c r="F3462" s="394">
        <v>0</v>
      </c>
      <c r="G3462" s="394"/>
      <c r="H3462" s="8" t="s">
        <v>235</v>
      </c>
      <c r="I3462" s="368">
        <f t="shared" ref="I3462:I3525" si="163">+E3462+G3462</f>
        <v>0</v>
      </c>
      <c r="J3462" s="365">
        <f t="shared" si="162"/>
        <v>0</v>
      </c>
      <c r="K3462" s="369">
        <f t="shared" ref="K3462:K3525" si="164">+WEEKDAY(C3462,2)</f>
        <v>6</v>
      </c>
      <c r="L3462" s="369">
        <f>+IF((C3462&gt;='Resultats - informe'!$E$16)*(C3462&lt;='Resultats - informe'!$G$16),1,0)</f>
        <v>1</v>
      </c>
      <c r="M3462" s="369" cm="1">
        <f t="array" ref="M3462">+_xlfn.IFS((C3462&gt;='Resultats - informe'!$D$26)*(C3462&lt;='Resultats - informe'!$E$26),0,(C3462&gt;='Resultats - informe'!$D$27)*(C3462&lt;='Resultats - informe'!$E$27),0,(C3462&gt;='Resultats - informe'!$D$28)*(C3462&lt;='Resultats - informe'!$E$28),0,(C3462&gt;='Resultats - informe'!$D$29)*(C3462&lt;='Resultats - informe'!$E$29),0,1,1)</f>
        <v>0</v>
      </c>
      <c r="N3462" s="366">
        <f>+VLOOKUP(D3462,'Resultats - informe'!$Y$18:$AG$42,'Introducció dades consum'!K3462+1,0)</f>
        <v>0</v>
      </c>
      <c r="O3462" s="370" cm="1">
        <f t="array" ref="O3462">+_xlfn.SWITCH(MONTH(C3462),1,1,2,1,3,1,4,2,5,2,6,3,7,3,8,3,9,3,10,2,11,2,12,1,2)</f>
        <v>1</v>
      </c>
      <c r="P3462" s="43"/>
    </row>
    <row r="3463" spans="1:16" ht="18" x14ac:dyDescent="0.35">
      <c r="A3463" s="43"/>
      <c r="C3463" s="393"/>
      <c r="E3463" s="394"/>
      <c r="F3463" s="394">
        <v>0</v>
      </c>
      <c r="G3463" s="394"/>
      <c r="H3463" s="8" t="s">
        <v>235</v>
      </c>
      <c r="I3463" s="368">
        <f t="shared" si="163"/>
        <v>0</v>
      </c>
      <c r="J3463" s="365">
        <f t="shared" si="162"/>
        <v>0</v>
      </c>
      <c r="K3463" s="369">
        <f t="shared" si="164"/>
        <v>6</v>
      </c>
      <c r="L3463" s="369">
        <f>+IF((C3463&gt;='Resultats - informe'!$E$16)*(C3463&lt;='Resultats - informe'!$G$16),1,0)</f>
        <v>1</v>
      </c>
      <c r="M3463" s="369" cm="1">
        <f t="array" ref="M3463">+_xlfn.IFS((C3463&gt;='Resultats - informe'!$D$26)*(C3463&lt;='Resultats - informe'!$E$26),0,(C3463&gt;='Resultats - informe'!$D$27)*(C3463&lt;='Resultats - informe'!$E$27),0,(C3463&gt;='Resultats - informe'!$D$28)*(C3463&lt;='Resultats - informe'!$E$28),0,(C3463&gt;='Resultats - informe'!$D$29)*(C3463&lt;='Resultats - informe'!$E$29),0,1,1)</f>
        <v>0</v>
      </c>
      <c r="N3463" s="366">
        <f>+VLOOKUP(D3463,'Resultats - informe'!$Y$18:$AG$42,'Introducció dades consum'!K3463+1,0)</f>
        <v>0</v>
      </c>
      <c r="O3463" s="370" cm="1">
        <f t="array" ref="O3463">+_xlfn.SWITCH(MONTH(C3463),1,1,2,1,3,1,4,2,5,2,6,3,7,3,8,3,9,3,10,2,11,2,12,1,2)</f>
        <v>1</v>
      </c>
      <c r="P3463" s="43"/>
    </row>
    <row r="3464" spans="1:16" ht="18" x14ac:dyDescent="0.35">
      <c r="A3464" s="43"/>
      <c r="C3464" s="393"/>
      <c r="E3464" s="394"/>
      <c r="F3464" s="394">
        <v>0</v>
      </c>
      <c r="G3464" s="394"/>
      <c r="H3464" s="8" t="s">
        <v>235</v>
      </c>
      <c r="I3464" s="368">
        <f t="shared" si="163"/>
        <v>0</v>
      </c>
      <c r="J3464" s="365">
        <f t="shared" si="162"/>
        <v>0</v>
      </c>
      <c r="K3464" s="369">
        <f t="shared" si="164"/>
        <v>6</v>
      </c>
      <c r="L3464" s="369">
        <f>+IF((C3464&gt;='Resultats - informe'!$E$16)*(C3464&lt;='Resultats - informe'!$G$16),1,0)</f>
        <v>1</v>
      </c>
      <c r="M3464" s="369" cm="1">
        <f t="array" ref="M3464">+_xlfn.IFS((C3464&gt;='Resultats - informe'!$D$26)*(C3464&lt;='Resultats - informe'!$E$26),0,(C3464&gt;='Resultats - informe'!$D$27)*(C3464&lt;='Resultats - informe'!$E$27),0,(C3464&gt;='Resultats - informe'!$D$28)*(C3464&lt;='Resultats - informe'!$E$28),0,(C3464&gt;='Resultats - informe'!$D$29)*(C3464&lt;='Resultats - informe'!$E$29),0,1,1)</f>
        <v>0</v>
      </c>
      <c r="N3464" s="366">
        <f>+VLOOKUP(D3464,'Resultats - informe'!$Y$18:$AG$42,'Introducció dades consum'!K3464+1,0)</f>
        <v>0</v>
      </c>
      <c r="O3464" s="370" cm="1">
        <f t="array" ref="O3464">+_xlfn.SWITCH(MONTH(C3464),1,1,2,1,3,1,4,2,5,2,6,3,7,3,8,3,9,3,10,2,11,2,12,1,2)</f>
        <v>1</v>
      </c>
      <c r="P3464" s="43"/>
    </row>
    <row r="3465" spans="1:16" ht="18" x14ac:dyDescent="0.35">
      <c r="A3465" s="43"/>
      <c r="C3465" s="393"/>
      <c r="E3465" s="394"/>
      <c r="F3465" s="394">
        <v>0.27100000000000002</v>
      </c>
      <c r="G3465" s="394"/>
      <c r="H3465" s="8" t="s">
        <v>235</v>
      </c>
      <c r="I3465" s="368">
        <f t="shared" si="163"/>
        <v>0</v>
      </c>
      <c r="J3465" s="365">
        <f t="shared" si="162"/>
        <v>0</v>
      </c>
      <c r="K3465" s="369">
        <f t="shared" si="164"/>
        <v>6</v>
      </c>
      <c r="L3465" s="369">
        <f>+IF((C3465&gt;='Resultats - informe'!$E$16)*(C3465&lt;='Resultats - informe'!$G$16),1,0)</f>
        <v>1</v>
      </c>
      <c r="M3465" s="369" cm="1">
        <f t="array" ref="M3465">+_xlfn.IFS((C3465&gt;='Resultats - informe'!$D$26)*(C3465&lt;='Resultats - informe'!$E$26),0,(C3465&gt;='Resultats - informe'!$D$27)*(C3465&lt;='Resultats - informe'!$E$27),0,(C3465&gt;='Resultats - informe'!$D$28)*(C3465&lt;='Resultats - informe'!$E$28),0,(C3465&gt;='Resultats - informe'!$D$29)*(C3465&lt;='Resultats - informe'!$E$29),0,1,1)</f>
        <v>0</v>
      </c>
      <c r="N3465" s="366">
        <f>+VLOOKUP(D3465,'Resultats - informe'!$Y$18:$AG$42,'Introducció dades consum'!K3465+1,0)</f>
        <v>0</v>
      </c>
      <c r="O3465" s="370" cm="1">
        <f t="array" ref="O3465">+_xlfn.SWITCH(MONTH(C3465),1,1,2,1,3,1,4,2,5,2,6,3,7,3,8,3,9,3,10,2,11,2,12,1,2)</f>
        <v>1</v>
      </c>
      <c r="P3465" s="43"/>
    </row>
    <row r="3466" spans="1:16" ht="18" x14ac:dyDescent="0.35">
      <c r="A3466" s="43"/>
      <c r="C3466" s="393"/>
      <c r="E3466" s="394"/>
      <c r="F3466" s="394">
        <v>1.0740000000000001</v>
      </c>
      <c r="G3466" s="394"/>
      <c r="H3466" s="8" t="s">
        <v>235</v>
      </c>
      <c r="I3466" s="368">
        <f t="shared" si="163"/>
        <v>0</v>
      </c>
      <c r="J3466" s="365">
        <f t="shared" si="162"/>
        <v>0</v>
      </c>
      <c r="K3466" s="369">
        <f t="shared" si="164"/>
        <v>6</v>
      </c>
      <c r="L3466" s="369">
        <f>+IF((C3466&gt;='Resultats - informe'!$E$16)*(C3466&lt;='Resultats - informe'!$G$16),1,0)</f>
        <v>1</v>
      </c>
      <c r="M3466" s="369" cm="1">
        <f t="array" ref="M3466">+_xlfn.IFS((C3466&gt;='Resultats - informe'!$D$26)*(C3466&lt;='Resultats - informe'!$E$26),0,(C3466&gt;='Resultats - informe'!$D$27)*(C3466&lt;='Resultats - informe'!$E$27),0,(C3466&gt;='Resultats - informe'!$D$28)*(C3466&lt;='Resultats - informe'!$E$28),0,(C3466&gt;='Resultats - informe'!$D$29)*(C3466&lt;='Resultats - informe'!$E$29),0,1,1)</f>
        <v>0</v>
      </c>
      <c r="N3466" s="366">
        <f>+VLOOKUP(D3466,'Resultats - informe'!$Y$18:$AG$42,'Introducció dades consum'!K3466+1,0)</f>
        <v>0</v>
      </c>
      <c r="O3466" s="370" cm="1">
        <f t="array" ref="O3466">+_xlfn.SWITCH(MONTH(C3466),1,1,2,1,3,1,4,2,5,2,6,3,7,3,8,3,9,3,10,2,11,2,12,1,2)</f>
        <v>1</v>
      </c>
      <c r="P3466" s="43"/>
    </row>
    <row r="3467" spans="1:16" ht="18" x14ac:dyDescent="0.35">
      <c r="A3467" s="43"/>
      <c r="C3467" s="393"/>
      <c r="E3467" s="394"/>
      <c r="F3467" s="394">
        <v>1.913</v>
      </c>
      <c r="G3467" s="394"/>
      <c r="H3467" s="8" t="s">
        <v>235</v>
      </c>
      <c r="I3467" s="368">
        <f t="shared" si="163"/>
        <v>0</v>
      </c>
      <c r="J3467" s="365">
        <f t="shared" si="162"/>
        <v>0</v>
      </c>
      <c r="K3467" s="369">
        <f t="shared" si="164"/>
        <v>6</v>
      </c>
      <c r="L3467" s="369">
        <f>+IF((C3467&gt;='Resultats - informe'!$E$16)*(C3467&lt;='Resultats - informe'!$G$16),1,0)</f>
        <v>1</v>
      </c>
      <c r="M3467" s="369" cm="1">
        <f t="array" ref="M3467">+_xlfn.IFS((C3467&gt;='Resultats - informe'!$D$26)*(C3467&lt;='Resultats - informe'!$E$26),0,(C3467&gt;='Resultats - informe'!$D$27)*(C3467&lt;='Resultats - informe'!$E$27),0,(C3467&gt;='Resultats - informe'!$D$28)*(C3467&lt;='Resultats - informe'!$E$28),0,(C3467&gt;='Resultats - informe'!$D$29)*(C3467&lt;='Resultats - informe'!$E$29),0,1,1)</f>
        <v>0</v>
      </c>
      <c r="N3467" s="366">
        <f>+VLOOKUP(D3467,'Resultats - informe'!$Y$18:$AG$42,'Introducció dades consum'!K3467+1,0)</f>
        <v>0</v>
      </c>
      <c r="O3467" s="370" cm="1">
        <f t="array" ref="O3467">+_xlfn.SWITCH(MONTH(C3467),1,1,2,1,3,1,4,2,5,2,6,3,7,3,8,3,9,3,10,2,11,2,12,1,2)</f>
        <v>1</v>
      </c>
      <c r="P3467" s="43"/>
    </row>
    <row r="3468" spans="1:16" ht="18" x14ac:dyDescent="0.35">
      <c r="A3468" s="43"/>
      <c r="C3468" s="393"/>
      <c r="E3468" s="394"/>
      <c r="F3468" s="394">
        <v>2.7349999999999999</v>
      </c>
      <c r="G3468" s="394"/>
      <c r="H3468" s="8" t="s">
        <v>235</v>
      </c>
      <c r="I3468" s="368">
        <f t="shared" si="163"/>
        <v>0</v>
      </c>
      <c r="J3468" s="365">
        <f t="shared" si="162"/>
        <v>0</v>
      </c>
      <c r="K3468" s="369">
        <f t="shared" si="164"/>
        <v>6</v>
      </c>
      <c r="L3468" s="369">
        <f>+IF((C3468&gt;='Resultats - informe'!$E$16)*(C3468&lt;='Resultats - informe'!$G$16),1,0)</f>
        <v>1</v>
      </c>
      <c r="M3468" s="369" cm="1">
        <f t="array" ref="M3468">+_xlfn.IFS((C3468&gt;='Resultats - informe'!$D$26)*(C3468&lt;='Resultats - informe'!$E$26),0,(C3468&gt;='Resultats - informe'!$D$27)*(C3468&lt;='Resultats - informe'!$E$27),0,(C3468&gt;='Resultats - informe'!$D$28)*(C3468&lt;='Resultats - informe'!$E$28),0,(C3468&gt;='Resultats - informe'!$D$29)*(C3468&lt;='Resultats - informe'!$E$29),0,1,1)</f>
        <v>0</v>
      </c>
      <c r="N3468" s="366">
        <f>+VLOOKUP(D3468,'Resultats - informe'!$Y$18:$AG$42,'Introducció dades consum'!K3468+1,0)</f>
        <v>0</v>
      </c>
      <c r="O3468" s="370" cm="1">
        <f t="array" ref="O3468">+_xlfn.SWITCH(MONTH(C3468),1,1,2,1,3,1,4,2,5,2,6,3,7,3,8,3,9,3,10,2,11,2,12,1,2)</f>
        <v>1</v>
      </c>
      <c r="P3468" s="43"/>
    </row>
    <row r="3469" spans="1:16" ht="18" x14ac:dyDescent="0.35">
      <c r="A3469" s="43"/>
      <c r="C3469" s="393"/>
      <c r="E3469" s="394"/>
      <c r="F3469" s="394">
        <v>2.5470000000000002</v>
      </c>
      <c r="G3469" s="394"/>
      <c r="H3469" s="8" t="s">
        <v>61</v>
      </c>
      <c r="I3469" s="368">
        <f t="shared" si="163"/>
        <v>0</v>
      </c>
      <c r="J3469" s="365">
        <f t="shared" si="162"/>
        <v>0</v>
      </c>
      <c r="K3469" s="369">
        <f t="shared" si="164"/>
        <v>6</v>
      </c>
      <c r="L3469" s="369">
        <f>+IF((C3469&gt;='Resultats - informe'!$E$16)*(C3469&lt;='Resultats - informe'!$G$16),1,0)</f>
        <v>1</v>
      </c>
      <c r="M3469" s="369" cm="1">
        <f t="array" ref="M3469">+_xlfn.IFS((C3469&gt;='Resultats - informe'!$D$26)*(C3469&lt;='Resultats - informe'!$E$26),0,(C3469&gt;='Resultats - informe'!$D$27)*(C3469&lt;='Resultats - informe'!$E$27),0,(C3469&gt;='Resultats - informe'!$D$28)*(C3469&lt;='Resultats - informe'!$E$28),0,(C3469&gt;='Resultats - informe'!$D$29)*(C3469&lt;='Resultats - informe'!$E$29),0,1,1)</f>
        <v>0</v>
      </c>
      <c r="N3469" s="366">
        <f>+VLOOKUP(D3469,'Resultats - informe'!$Y$18:$AG$42,'Introducció dades consum'!K3469+1,0)</f>
        <v>0</v>
      </c>
      <c r="O3469" s="370" cm="1">
        <f t="array" ref="O3469">+_xlfn.SWITCH(MONTH(C3469),1,1,2,1,3,1,4,2,5,2,6,3,7,3,8,3,9,3,10,2,11,2,12,1,2)</f>
        <v>1</v>
      </c>
      <c r="P3469" s="43"/>
    </row>
    <row r="3470" spans="1:16" ht="18" x14ac:dyDescent="0.35">
      <c r="A3470" s="43"/>
      <c r="C3470" s="393"/>
      <c r="E3470" s="394"/>
      <c r="F3470" s="394">
        <v>4.6130000000000004</v>
      </c>
      <c r="G3470" s="394"/>
      <c r="H3470" s="8" t="s">
        <v>61</v>
      </c>
      <c r="I3470" s="368">
        <f t="shared" si="163"/>
        <v>0</v>
      </c>
      <c r="J3470" s="365">
        <f t="shared" si="162"/>
        <v>0</v>
      </c>
      <c r="K3470" s="369">
        <f t="shared" si="164"/>
        <v>6</v>
      </c>
      <c r="L3470" s="369">
        <f>+IF((C3470&gt;='Resultats - informe'!$E$16)*(C3470&lt;='Resultats - informe'!$G$16),1,0)</f>
        <v>1</v>
      </c>
      <c r="M3470" s="369" cm="1">
        <f t="array" ref="M3470">+_xlfn.IFS((C3470&gt;='Resultats - informe'!$D$26)*(C3470&lt;='Resultats - informe'!$E$26),0,(C3470&gt;='Resultats - informe'!$D$27)*(C3470&lt;='Resultats - informe'!$E$27),0,(C3470&gt;='Resultats - informe'!$D$28)*(C3470&lt;='Resultats - informe'!$E$28),0,(C3470&gt;='Resultats - informe'!$D$29)*(C3470&lt;='Resultats - informe'!$E$29),0,1,1)</f>
        <v>0</v>
      </c>
      <c r="N3470" s="366">
        <f>+VLOOKUP(D3470,'Resultats - informe'!$Y$18:$AG$42,'Introducció dades consum'!K3470+1,0)</f>
        <v>0</v>
      </c>
      <c r="O3470" s="370" cm="1">
        <f t="array" ref="O3470">+_xlfn.SWITCH(MONTH(C3470),1,1,2,1,3,1,4,2,5,2,6,3,7,3,8,3,9,3,10,2,11,2,12,1,2)</f>
        <v>1</v>
      </c>
      <c r="P3470" s="43"/>
    </row>
    <row r="3471" spans="1:16" ht="18" x14ac:dyDescent="0.35">
      <c r="A3471" s="43"/>
      <c r="C3471" s="393"/>
      <c r="E3471" s="394"/>
      <c r="F3471" s="394">
        <v>5.9349999999999996</v>
      </c>
      <c r="G3471" s="394"/>
      <c r="H3471" s="8" t="s">
        <v>61</v>
      </c>
      <c r="I3471" s="368">
        <f t="shared" si="163"/>
        <v>0</v>
      </c>
      <c r="J3471" s="365">
        <f t="shared" si="162"/>
        <v>0</v>
      </c>
      <c r="K3471" s="369">
        <f t="shared" si="164"/>
        <v>6</v>
      </c>
      <c r="L3471" s="369">
        <f>+IF((C3471&gt;='Resultats - informe'!$E$16)*(C3471&lt;='Resultats - informe'!$G$16),1,0)</f>
        <v>1</v>
      </c>
      <c r="M3471" s="369" cm="1">
        <f t="array" ref="M3471">+_xlfn.IFS((C3471&gt;='Resultats - informe'!$D$26)*(C3471&lt;='Resultats - informe'!$E$26),0,(C3471&gt;='Resultats - informe'!$D$27)*(C3471&lt;='Resultats - informe'!$E$27),0,(C3471&gt;='Resultats - informe'!$D$28)*(C3471&lt;='Resultats - informe'!$E$28),0,(C3471&gt;='Resultats - informe'!$D$29)*(C3471&lt;='Resultats - informe'!$E$29),0,1,1)</f>
        <v>0</v>
      </c>
      <c r="N3471" s="366">
        <f>+VLOOKUP(D3471,'Resultats - informe'!$Y$18:$AG$42,'Introducció dades consum'!K3471+1,0)</f>
        <v>0</v>
      </c>
      <c r="O3471" s="370" cm="1">
        <f t="array" ref="O3471">+_xlfn.SWITCH(MONTH(C3471),1,1,2,1,3,1,4,2,5,2,6,3,7,3,8,3,9,3,10,2,11,2,12,1,2)</f>
        <v>1</v>
      </c>
      <c r="P3471" s="43"/>
    </row>
    <row r="3472" spans="1:16" ht="18" x14ac:dyDescent="0.35">
      <c r="A3472" s="43"/>
      <c r="C3472" s="393"/>
      <c r="E3472" s="394"/>
      <c r="F3472" s="394">
        <v>3.8929999999999998</v>
      </c>
      <c r="G3472" s="394"/>
      <c r="H3472" s="8" t="s">
        <v>235</v>
      </c>
      <c r="I3472" s="368">
        <f t="shared" si="163"/>
        <v>0</v>
      </c>
      <c r="J3472" s="365">
        <f t="shared" si="162"/>
        <v>0</v>
      </c>
      <c r="K3472" s="369">
        <f t="shared" si="164"/>
        <v>6</v>
      </c>
      <c r="L3472" s="369">
        <f>+IF((C3472&gt;='Resultats - informe'!$E$16)*(C3472&lt;='Resultats - informe'!$G$16),1,0)</f>
        <v>1</v>
      </c>
      <c r="M3472" s="369" cm="1">
        <f t="array" ref="M3472">+_xlfn.IFS((C3472&gt;='Resultats - informe'!$D$26)*(C3472&lt;='Resultats - informe'!$E$26),0,(C3472&gt;='Resultats - informe'!$D$27)*(C3472&lt;='Resultats - informe'!$E$27),0,(C3472&gt;='Resultats - informe'!$D$28)*(C3472&lt;='Resultats - informe'!$E$28),0,(C3472&gt;='Resultats - informe'!$D$29)*(C3472&lt;='Resultats - informe'!$E$29),0,1,1)</f>
        <v>0</v>
      </c>
      <c r="N3472" s="366">
        <f>+VLOOKUP(D3472,'Resultats - informe'!$Y$18:$AG$42,'Introducció dades consum'!K3472+1,0)</f>
        <v>0</v>
      </c>
      <c r="O3472" s="370" cm="1">
        <f t="array" ref="O3472">+_xlfn.SWITCH(MONTH(C3472),1,1,2,1,3,1,4,2,5,2,6,3,7,3,8,3,9,3,10,2,11,2,12,1,2)</f>
        <v>1</v>
      </c>
      <c r="P3472" s="43"/>
    </row>
    <row r="3473" spans="1:16" ht="18" x14ac:dyDescent="0.35">
      <c r="A3473" s="43"/>
      <c r="C3473" s="393"/>
      <c r="E3473" s="394"/>
      <c r="F3473" s="394">
        <v>3.3919999999999999</v>
      </c>
      <c r="G3473" s="394"/>
      <c r="H3473" s="8" t="s">
        <v>235</v>
      </c>
      <c r="I3473" s="368">
        <f t="shared" si="163"/>
        <v>0</v>
      </c>
      <c r="J3473" s="365">
        <f t="shared" si="162"/>
        <v>0</v>
      </c>
      <c r="K3473" s="369">
        <f t="shared" si="164"/>
        <v>6</v>
      </c>
      <c r="L3473" s="369">
        <f>+IF((C3473&gt;='Resultats - informe'!$E$16)*(C3473&lt;='Resultats - informe'!$G$16),1,0)</f>
        <v>1</v>
      </c>
      <c r="M3473" s="369" cm="1">
        <f t="array" ref="M3473">+_xlfn.IFS((C3473&gt;='Resultats - informe'!$D$26)*(C3473&lt;='Resultats - informe'!$E$26),0,(C3473&gt;='Resultats - informe'!$D$27)*(C3473&lt;='Resultats - informe'!$E$27),0,(C3473&gt;='Resultats - informe'!$D$28)*(C3473&lt;='Resultats - informe'!$E$28),0,(C3473&gt;='Resultats - informe'!$D$29)*(C3473&lt;='Resultats - informe'!$E$29),0,1,1)</f>
        <v>0</v>
      </c>
      <c r="N3473" s="366">
        <f>+VLOOKUP(D3473,'Resultats - informe'!$Y$18:$AG$42,'Introducció dades consum'!K3473+1,0)</f>
        <v>0</v>
      </c>
      <c r="O3473" s="370" cm="1">
        <f t="array" ref="O3473">+_xlfn.SWITCH(MONTH(C3473),1,1,2,1,3,1,4,2,5,2,6,3,7,3,8,3,9,3,10,2,11,2,12,1,2)</f>
        <v>1</v>
      </c>
      <c r="P3473" s="43"/>
    </row>
    <row r="3474" spans="1:16" ht="18" x14ac:dyDescent="0.35">
      <c r="A3474" s="43"/>
      <c r="C3474" s="393"/>
      <c r="E3474" s="394"/>
      <c r="F3474" s="394">
        <v>2.7530000000000001</v>
      </c>
      <c r="G3474" s="394"/>
      <c r="H3474" s="8" t="s">
        <v>235</v>
      </c>
      <c r="I3474" s="368">
        <f t="shared" si="163"/>
        <v>0</v>
      </c>
      <c r="J3474" s="365">
        <f t="shared" si="162"/>
        <v>0</v>
      </c>
      <c r="K3474" s="369">
        <f t="shared" si="164"/>
        <v>6</v>
      </c>
      <c r="L3474" s="369">
        <f>+IF((C3474&gt;='Resultats - informe'!$E$16)*(C3474&lt;='Resultats - informe'!$G$16),1,0)</f>
        <v>1</v>
      </c>
      <c r="M3474" s="369" cm="1">
        <f t="array" ref="M3474">+_xlfn.IFS((C3474&gt;='Resultats - informe'!$D$26)*(C3474&lt;='Resultats - informe'!$E$26),0,(C3474&gt;='Resultats - informe'!$D$27)*(C3474&lt;='Resultats - informe'!$E$27),0,(C3474&gt;='Resultats - informe'!$D$28)*(C3474&lt;='Resultats - informe'!$E$28),0,(C3474&gt;='Resultats - informe'!$D$29)*(C3474&lt;='Resultats - informe'!$E$29),0,1,1)</f>
        <v>0</v>
      </c>
      <c r="N3474" s="366">
        <f>+VLOOKUP(D3474,'Resultats - informe'!$Y$18:$AG$42,'Introducció dades consum'!K3474+1,0)</f>
        <v>0</v>
      </c>
      <c r="O3474" s="370" cm="1">
        <f t="array" ref="O3474">+_xlfn.SWITCH(MONTH(C3474),1,1,2,1,3,1,4,2,5,2,6,3,7,3,8,3,9,3,10,2,11,2,12,1,2)</f>
        <v>1</v>
      </c>
      <c r="P3474" s="43"/>
    </row>
    <row r="3475" spans="1:16" ht="18" x14ac:dyDescent="0.35">
      <c r="A3475" s="43"/>
      <c r="C3475" s="393"/>
      <c r="E3475" s="394"/>
      <c r="F3475" s="394">
        <v>2.8839999999999999</v>
      </c>
      <c r="G3475" s="394"/>
      <c r="H3475" s="8" t="s">
        <v>61</v>
      </c>
      <c r="I3475" s="368">
        <f t="shared" si="163"/>
        <v>0</v>
      </c>
      <c r="J3475" s="365">
        <f t="shared" si="162"/>
        <v>0</v>
      </c>
      <c r="K3475" s="369">
        <f t="shared" si="164"/>
        <v>6</v>
      </c>
      <c r="L3475" s="369">
        <f>+IF((C3475&gt;='Resultats - informe'!$E$16)*(C3475&lt;='Resultats - informe'!$G$16),1,0)</f>
        <v>1</v>
      </c>
      <c r="M3475" s="369" cm="1">
        <f t="array" ref="M3475">+_xlfn.IFS((C3475&gt;='Resultats - informe'!$D$26)*(C3475&lt;='Resultats - informe'!$E$26),0,(C3475&gt;='Resultats - informe'!$D$27)*(C3475&lt;='Resultats - informe'!$E$27),0,(C3475&gt;='Resultats - informe'!$D$28)*(C3475&lt;='Resultats - informe'!$E$28),0,(C3475&gt;='Resultats - informe'!$D$29)*(C3475&lt;='Resultats - informe'!$E$29),0,1,1)</f>
        <v>0</v>
      </c>
      <c r="N3475" s="366">
        <f>+VLOOKUP(D3475,'Resultats - informe'!$Y$18:$AG$42,'Introducció dades consum'!K3475+1,0)</f>
        <v>0</v>
      </c>
      <c r="O3475" s="370" cm="1">
        <f t="array" ref="O3475">+_xlfn.SWITCH(MONTH(C3475),1,1,2,1,3,1,4,2,5,2,6,3,7,3,8,3,9,3,10,2,11,2,12,1,2)</f>
        <v>1</v>
      </c>
      <c r="P3475" s="43"/>
    </row>
    <row r="3476" spans="1:16" ht="18" x14ac:dyDescent="0.35">
      <c r="A3476" s="43"/>
      <c r="C3476" s="393"/>
      <c r="E3476" s="394"/>
      <c r="F3476" s="394">
        <v>2.5430000000000001</v>
      </c>
      <c r="G3476" s="394"/>
      <c r="H3476" s="8" t="s">
        <v>61</v>
      </c>
      <c r="I3476" s="368">
        <f t="shared" si="163"/>
        <v>0</v>
      </c>
      <c r="J3476" s="365">
        <f t="shared" si="162"/>
        <v>0</v>
      </c>
      <c r="K3476" s="369">
        <f t="shared" si="164"/>
        <v>6</v>
      </c>
      <c r="L3476" s="369">
        <f>+IF((C3476&gt;='Resultats - informe'!$E$16)*(C3476&lt;='Resultats - informe'!$G$16),1,0)</f>
        <v>1</v>
      </c>
      <c r="M3476" s="369" cm="1">
        <f t="array" ref="M3476">+_xlfn.IFS((C3476&gt;='Resultats - informe'!$D$26)*(C3476&lt;='Resultats - informe'!$E$26),0,(C3476&gt;='Resultats - informe'!$D$27)*(C3476&lt;='Resultats - informe'!$E$27),0,(C3476&gt;='Resultats - informe'!$D$28)*(C3476&lt;='Resultats - informe'!$E$28),0,(C3476&gt;='Resultats - informe'!$D$29)*(C3476&lt;='Resultats - informe'!$E$29),0,1,1)</f>
        <v>0</v>
      </c>
      <c r="N3476" s="366">
        <f>+VLOOKUP(D3476,'Resultats - informe'!$Y$18:$AG$42,'Introducció dades consum'!K3476+1,0)</f>
        <v>0</v>
      </c>
      <c r="O3476" s="370" cm="1">
        <f t="array" ref="O3476">+_xlfn.SWITCH(MONTH(C3476),1,1,2,1,3,1,4,2,5,2,6,3,7,3,8,3,9,3,10,2,11,2,12,1,2)</f>
        <v>1</v>
      </c>
      <c r="P3476" s="43"/>
    </row>
    <row r="3477" spans="1:16" ht="18" x14ac:dyDescent="0.35">
      <c r="A3477" s="43"/>
      <c r="C3477" s="393"/>
      <c r="E3477" s="394"/>
      <c r="F3477" s="394">
        <v>1.319</v>
      </c>
      <c r="G3477" s="394"/>
      <c r="H3477" s="8" t="s">
        <v>61</v>
      </c>
      <c r="I3477" s="368">
        <f t="shared" si="163"/>
        <v>0</v>
      </c>
      <c r="J3477" s="365">
        <f t="shared" si="162"/>
        <v>0</v>
      </c>
      <c r="K3477" s="369">
        <f t="shared" si="164"/>
        <v>6</v>
      </c>
      <c r="L3477" s="369">
        <f>+IF((C3477&gt;='Resultats - informe'!$E$16)*(C3477&lt;='Resultats - informe'!$G$16),1,0)</f>
        <v>1</v>
      </c>
      <c r="M3477" s="369" cm="1">
        <f t="array" ref="M3477">+_xlfn.IFS((C3477&gt;='Resultats - informe'!$D$26)*(C3477&lt;='Resultats - informe'!$E$26),0,(C3477&gt;='Resultats - informe'!$D$27)*(C3477&lt;='Resultats - informe'!$E$27),0,(C3477&gt;='Resultats - informe'!$D$28)*(C3477&lt;='Resultats - informe'!$E$28),0,(C3477&gt;='Resultats - informe'!$D$29)*(C3477&lt;='Resultats - informe'!$E$29),0,1,1)</f>
        <v>0</v>
      </c>
      <c r="N3477" s="366">
        <f>+VLOOKUP(D3477,'Resultats - informe'!$Y$18:$AG$42,'Introducció dades consum'!K3477+1,0)</f>
        <v>0</v>
      </c>
      <c r="O3477" s="370" cm="1">
        <f t="array" ref="O3477">+_xlfn.SWITCH(MONTH(C3477),1,1,2,1,3,1,4,2,5,2,6,3,7,3,8,3,9,3,10,2,11,2,12,1,2)</f>
        <v>1</v>
      </c>
      <c r="P3477" s="43"/>
    </row>
    <row r="3478" spans="1:16" ht="18" x14ac:dyDescent="0.35">
      <c r="A3478" s="43"/>
      <c r="C3478" s="393"/>
      <c r="E3478" s="394"/>
      <c r="F3478" s="394">
        <v>0.25800000000000001</v>
      </c>
      <c r="G3478" s="394"/>
      <c r="H3478" s="8" t="s">
        <v>61</v>
      </c>
      <c r="I3478" s="368">
        <f t="shared" si="163"/>
        <v>0</v>
      </c>
      <c r="J3478" s="365">
        <f t="shared" si="162"/>
        <v>0</v>
      </c>
      <c r="K3478" s="369">
        <f t="shared" si="164"/>
        <v>6</v>
      </c>
      <c r="L3478" s="369">
        <f>+IF((C3478&gt;='Resultats - informe'!$E$16)*(C3478&lt;='Resultats - informe'!$G$16),1,0)</f>
        <v>1</v>
      </c>
      <c r="M3478" s="369" cm="1">
        <f t="array" ref="M3478">+_xlfn.IFS((C3478&gt;='Resultats - informe'!$D$26)*(C3478&lt;='Resultats - informe'!$E$26),0,(C3478&gt;='Resultats - informe'!$D$27)*(C3478&lt;='Resultats - informe'!$E$27),0,(C3478&gt;='Resultats - informe'!$D$28)*(C3478&lt;='Resultats - informe'!$E$28),0,(C3478&gt;='Resultats - informe'!$D$29)*(C3478&lt;='Resultats - informe'!$E$29),0,1,1)</f>
        <v>0</v>
      </c>
      <c r="N3478" s="366">
        <f>+VLOOKUP(D3478,'Resultats - informe'!$Y$18:$AG$42,'Introducció dades consum'!K3478+1,0)</f>
        <v>0</v>
      </c>
      <c r="O3478" s="370" cm="1">
        <f t="array" ref="O3478">+_xlfn.SWITCH(MONTH(C3478),1,1,2,1,3,1,4,2,5,2,6,3,7,3,8,3,9,3,10,2,11,2,12,1,2)</f>
        <v>1</v>
      </c>
      <c r="P3478" s="43"/>
    </row>
    <row r="3479" spans="1:16" ht="18" x14ac:dyDescent="0.35">
      <c r="A3479" s="43"/>
      <c r="C3479" s="393"/>
      <c r="E3479" s="394"/>
      <c r="F3479" s="394">
        <v>0</v>
      </c>
      <c r="G3479" s="394"/>
      <c r="H3479" s="8" t="s">
        <v>235</v>
      </c>
      <c r="I3479" s="368">
        <f t="shared" si="163"/>
        <v>0</v>
      </c>
      <c r="J3479" s="365">
        <f t="shared" si="162"/>
        <v>0</v>
      </c>
      <c r="K3479" s="369">
        <f t="shared" si="164"/>
        <v>6</v>
      </c>
      <c r="L3479" s="369">
        <f>+IF((C3479&gt;='Resultats - informe'!$E$16)*(C3479&lt;='Resultats - informe'!$G$16),1,0)</f>
        <v>1</v>
      </c>
      <c r="M3479" s="369" cm="1">
        <f t="array" ref="M3479">+_xlfn.IFS((C3479&gt;='Resultats - informe'!$D$26)*(C3479&lt;='Resultats - informe'!$E$26),0,(C3479&gt;='Resultats - informe'!$D$27)*(C3479&lt;='Resultats - informe'!$E$27),0,(C3479&gt;='Resultats - informe'!$D$28)*(C3479&lt;='Resultats - informe'!$E$28),0,(C3479&gt;='Resultats - informe'!$D$29)*(C3479&lt;='Resultats - informe'!$E$29),0,1,1)</f>
        <v>0</v>
      </c>
      <c r="N3479" s="366">
        <f>+VLOOKUP(D3479,'Resultats - informe'!$Y$18:$AG$42,'Introducció dades consum'!K3479+1,0)</f>
        <v>0</v>
      </c>
      <c r="O3479" s="370" cm="1">
        <f t="array" ref="O3479">+_xlfn.SWITCH(MONTH(C3479),1,1,2,1,3,1,4,2,5,2,6,3,7,3,8,3,9,3,10,2,11,2,12,1,2)</f>
        <v>1</v>
      </c>
      <c r="P3479" s="43"/>
    </row>
    <row r="3480" spans="1:16" ht="18" x14ac:dyDescent="0.35">
      <c r="A3480" s="43"/>
      <c r="C3480" s="393"/>
      <c r="E3480" s="394"/>
      <c r="F3480" s="394">
        <v>0</v>
      </c>
      <c r="G3480" s="394"/>
      <c r="H3480" s="8" t="s">
        <v>235</v>
      </c>
      <c r="I3480" s="368">
        <f t="shared" si="163"/>
        <v>0</v>
      </c>
      <c r="J3480" s="365">
        <f t="shared" si="162"/>
        <v>0</v>
      </c>
      <c r="K3480" s="369">
        <f t="shared" si="164"/>
        <v>6</v>
      </c>
      <c r="L3480" s="369">
        <f>+IF((C3480&gt;='Resultats - informe'!$E$16)*(C3480&lt;='Resultats - informe'!$G$16),1,0)</f>
        <v>1</v>
      </c>
      <c r="M3480" s="369" cm="1">
        <f t="array" ref="M3480">+_xlfn.IFS((C3480&gt;='Resultats - informe'!$D$26)*(C3480&lt;='Resultats - informe'!$E$26),0,(C3480&gt;='Resultats - informe'!$D$27)*(C3480&lt;='Resultats - informe'!$E$27),0,(C3480&gt;='Resultats - informe'!$D$28)*(C3480&lt;='Resultats - informe'!$E$28),0,(C3480&gt;='Resultats - informe'!$D$29)*(C3480&lt;='Resultats - informe'!$E$29),0,1,1)</f>
        <v>0</v>
      </c>
      <c r="N3480" s="366">
        <f>+VLOOKUP(D3480,'Resultats - informe'!$Y$18:$AG$42,'Introducció dades consum'!K3480+1,0)</f>
        <v>0</v>
      </c>
      <c r="O3480" s="370" cm="1">
        <f t="array" ref="O3480">+_xlfn.SWITCH(MONTH(C3480),1,1,2,1,3,1,4,2,5,2,6,3,7,3,8,3,9,3,10,2,11,2,12,1,2)</f>
        <v>1</v>
      </c>
      <c r="P3480" s="43"/>
    </row>
    <row r="3481" spans="1:16" ht="18" x14ac:dyDescent="0.35">
      <c r="A3481" s="43"/>
      <c r="C3481" s="393"/>
      <c r="E3481" s="394"/>
      <c r="F3481" s="394">
        <v>0</v>
      </c>
      <c r="G3481" s="394"/>
      <c r="H3481" s="8" t="s">
        <v>235</v>
      </c>
      <c r="I3481" s="368">
        <f t="shared" si="163"/>
        <v>0</v>
      </c>
      <c r="J3481" s="365">
        <f t="shared" si="162"/>
        <v>0</v>
      </c>
      <c r="K3481" s="369">
        <f t="shared" si="164"/>
        <v>6</v>
      </c>
      <c r="L3481" s="369">
        <f>+IF((C3481&gt;='Resultats - informe'!$E$16)*(C3481&lt;='Resultats - informe'!$G$16),1,0)</f>
        <v>1</v>
      </c>
      <c r="M3481" s="369" cm="1">
        <f t="array" ref="M3481">+_xlfn.IFS((C3481&gt;='Resultats - informe'!$D$26)*(C3481&lt;='Resultats - informe'!$E$26),0,(C3481&gt;='Resultats - informe'!$D$27)*(C3481&lt;='Resultats - informe'!$E$27),0,(C3481&gt;='Resultats - informe'!$D$28)*(C3481&lt;='Resultats - informe'!$E$28),0,(C3481&gt;='Resultats - informe'!$D$29)*(C3481&lt;='Resultats - informe'!$E$29),0,1,1)</f>
        <v>0</v>
      </c>
      <c r="N3481" s="366">
        <f>+VLOOKUP(D3481,'Resultats - informe'!$Y$18:$AG$42,'Introducció dades consum'!K3481+1,0)</f>
        <v>0</v>
      </c>
      <c r="O3481" s="370" cm="1">
        <f t="array" ref="O3481">+_xlfn.SWITCH(MONTH(C3481),1,1,2,1,3,1,4,2,5,2,6,3,7,3,8,3,9,3,10,2,11,2,12,1,2)</f>
        <v>1</v>
      </c>
      <c r="P3481" s="43"/>
    </row>
    <row r="3482" spans="1:16" ht="18" x14ac:dyDescent="0.35">
      <c r="A3482" s="43"/>
      <c r="C3482" s="393"/>
      <c r="E3482" s="394"/>
      <c r="F3482" s="394">
        <v>0</v>
      </c>
      <c r="G3482" s="394"/>
      <c r="H3482" s="8" t="s">
        <v>235</v>
      </c>
      <c r="I3482" s="368">
        <f t="shared" si="163"/>
        <v>0</v>
      </c>
      <c r="J3482" s="365">
        <f t="shared" si="162"/>
        <v>0</v>
      </c>
      <c r="K3482" s="369">
        <f t="shared" si="164"/>
        <v>6</v>
      </c>
      <c r="L3482" s="369">
        <f>+IF((C3482&gt;='Resultats - informe'!$E$16)*(C3482&lt;='Resultats - informe'!$G$16),1,0)</f>
        <v>1</v>
      </c>
      <c r="M3482" s="369" cm="1">
        <f t="array" ref="M3482">+_xlfn.IFS((C3482&gt;='Resultats - informe'!$D$26)*(C3482&lt;='Resultats - informe'!$E$26),0,(C3482&gt;='Resultats - informe'!$D$27)*(C3482&lt;='Resultats - informe'!$E$27),0,(C3482&gt;='Resultats - informe'!$D$28)*(C3482&lt;='Resultats - informe'!$E$28),0,(C3482&gt;='Resultats - informe'!$D$29)*(C3482&lt;='Resultats - informe'!$E$29),0,1,1)</f>
        <v>0</v>
      </c>
      <c r="N3482" s="366">
        <f>+VLOOKUP(D3482,'Resultats - informe'!$Y$18:$AG$42,'Introducció dades consum'!K3482+1,0)</f>
        <v>0</v>
      </c>
      <c r="O3482" s="370" cm="1">
        <f t="array" ref="O3482">+_xlfn.SWITCH(MONTH(C3482),1,1,2,1,3,1,4,2,5,2,6,3,7,3,8,3,9,3,10,2,11,2,12,1,2)</f>
        <v>1</v>
      </c>
      <c r="P3482" s="43"/>
    </row>
    <row r="3483" spans="1:16" ht="18" x14ac:dyDescent="0.35">
      <c r="A3483" s="43"/>
      <c r="C3483" s="393"/>
      <c r="E3483" s="394"/>
      <c r="F3483" s="394">
        <v>0</v>
      </c>
      <c r="G3483" s="394"/>
      <c r="H3483" s="8" t="s">
        <v>235</v>
      </c>
      <c r="I3483" s="368">
        <f t="shared" si="163"/>
        <v>0</v>
      </c>
      <c r="J3483" s="365">
        <f t="shared" si="162"/>
        <v>0</v>
      </c>
      <c r="K3483" s="369">
        <f t="shared" si="164"/>
        <v>6</v>
      </c>
      <c r="L3483" s="369">
        <f>+IF((C3483&gt;='Resultats - informe'!$E$16)*(C3483&lt;='Resultats - informe'!$G$16),1,0)</f>
        <v>1</v>
      </c>
      <c r="M3483" s="369" cm="1">
        <f t="array" ref="M3483">+_xlfn.IFS((C3483&gt;='Resultats - informe'!$D$26)*(C3483&lt;='Resultats - informe'!$E$26),0,(C3483&gt;='Resultats - informe'!$D$27)*(C3483&lt;='Resultats - informe'!$E$27),0,(C3483&gt;='Resultats - informe'!$D$28)*(C3483&lt;='Resultats - informe'!$E$28),0,(C3483&gt;='Resultats - informe'!$D$29)*(C3483&lt;='Resultats - informe'!$E$29),0,1,1)</f>
        <v>0</v>
      </c>
      <c r="N3483" s="366">
        <f>+VLOOKUP(D3483,'Resultats - informe'!$Y$18:$AG$42,'Introducció dades consum'!K3483+1,0)</f>
        <v>0</v>
      </c>
      <c r="O3483" s="370" cm="1">
        <f t="array" ref="O3483">+_xlfn.SWITCH(MONTH(C3483),1,1,2,1,3,1,4,2,5,2,6,3,7,3,8,3,9,3,10,2,11,2,12,1,2)</f>
        <v>1</v>
      </c>
      <c r="P3483" s="43"/>
    </row>
    <row r="3484" spans="1:16" ht="18" x14ac:dyDescent="0.35">
      <c r="A3484" s="43"/>
      <c r="C3484" s="393"/>
      <c r="E3484" s="394"/>
      <c r="F3484" s="394">
        <v>0</v>
      </c>
      <c r="G3484" s="394"/>
      <c r="H3484" s="8" t="s">
        <v>61</v>
      </c>
      <c r="I3484" s="368">
        <f t="shared" si="163"/>
        <v>0</v>
      </c>
      <c r="J3484" s="365">
        <f t="shared" si="162"/>
        <v>0</v>
      </c>
      <c r="K3484" s="369">
        <f t="shared" si="164"/>
        <v>6</v>
      </c>
      <c r="L3484" s="369">
        <f>+IF((C3484&gt;='Resultats - informe'!$E$16)*(C3484&lt;='Resultats - informe'!$G$16),1,0)</f>
        <v>1</v>
      </c>
      <c r="M3484" s="369" cm="1">
        <f t="array" ref="M3484">+_xlfn.IFS((C3484&gt;='Resultats - informe'!$D$26)*(C3484&lt;='Resultats - informe'!$E$26),0,(C3484&gt;='Resultats - informe'!$D$27)*(C3484&lt;='Resultats - informe'!$E$27),0,(C3484&gt;='Resultats - informe'!$D$28)*(C3484&lt;='Resultats - informe'!$E$28),0,(C3484&gt;='Resultats - informe'!$D$29)*(C3484&lt;='Resultats - informe'!$E$29),0,1,1)</f>
        <v>0</v>
      </c>
      <c r="N3484" s="366">
        <f>+VLOOKUP(D3484,'Resultats - informe'!$Y$18:$AG$42,'Introducció dades consum'!K3484+1,0)</f>
        <v>0</v>
      </c>
      <c r="O3484" s="370" cm="1">
        <f t="array" ref="O3484">+_xlfn.SWITCH(MONTH(C3484),1,1,2,1,3,1,4,2,5,2,6,3,7,3,8,3,9,3,10,2,11,2,12,1,2)</f>
        <v>1</v>
      </c>
      <c r="P3484" s="43"/>
    </row>
    <row r="3485" spans="1:16" ht="18" x14ac:dyDescent="0.35">
      <c r="A3485" s="43"/>
      <c r="C3485" s="393"/>
      <c r="E3485" s="394"/>
      <c r="F3485" s="394">
        <v>0</v>
      </c>
      <c r="G3485" s="394"/>
      <c r="H3485" s="8" t="s">
        <v>235</v>
      </c>
      <c r="I3485" s="368">
        <f t="shared" si="163"/>
        <v>0</v>
      </c>
      <c r="J3485" s="365">
        <f t="shared" si="162"/>
        <v>0</v>
      </c>
      <c r="K3485" s="369">
        <f t="shared" si="164"/>
        <v>6</v>
      </c>
      <c r="L3485" s="369">
        <f>+IF((C3485&gt;='Resultats - informe'!$E$16)*(C3485&lt;='Resultats - informe'!$G$16),1,0)</f>
        <v>1</v>
      </c>
      <c r="M3485" s="369" cm="1">
        <f t="array" ref="M3485">+_xlfn.IFS((C3485&gt;='Resultats - informe'!$D$26)*(C3485&lt;='Resultats - informe'!$E$26),0,(C3485&gt;='Resultats - informe'!$D$27)*(C3485&lt;='Resultats - informe'!$E$27),0,(C3485&gt;='Resultats - informe'!$D$28)*(C3485&lt;='Resultats - informe'!$E$28),0,(C3485&gt;='Resultats - informe'!$D$29)*(C3485&lt;='Resultats - informe'!$E$29),0,1,1)</f>
        <v>0</v>
      </c>
      <c r="N3485" s="366">
        <f>+VLOOKUP(D3485,'Resultats - informe'!$Y$18:$AG$42,'Introducció dades consum'!K3485+1,0)</f>
        <v>0</v>
      </c>
      <c r="O3485" s="370" cm="1">
        <f t="array" ref="O3485">+_xlfn.SWITCH(MONTH(C3485),1,1,2,1,3,1,4,2,5,2,6,3,7,3,8,3,9,3,10,2,11,2,12,1,2)</f>
        <v>1</v>
      </c>
      <c r="P3485" s="43"/>
    </row>
    <row r="3486" spans="1:16" ht="18" x14ac:dyDescent="0.35">
      <c r="A3486" s="43"/>
      <c r="C3486" s="393"/>
      <c r="E3486" s="394"/>
      <c r="F3486" s="394">
        <v>0</v>
      </c>
      <c r="G3486" s="394"/>
      <c r="H3486" s="8" t="s">
        <v>235</v>
      </c>
      <c r="I3486" s="368">
        <f t="shared" si="163"/>
        <v>0</v>
      </c>
      <c r="J3486" s="365">
        <f t="shared" si="162"/>
        <v>0</v>
      </c>
      <c r="K3486" s="369">
        <f t="shared" si="164"/>
        <v>6</v>
      </c>
      <c r="L3486" s="369">
        <f>+IF((C3486&gt;='Resultats - informe'!$E$16)*(C3486&lt;='Resultats - informe'!$G$16),1,0)</f>
        <v>1</v>
      </c>
      <c r="M3486" s="369" cm="1">
        <f t="array" ref="M3486">+_xlfn.IFS((C3486&gt;='Resultats - informe'!$D$26)*(C3486&lt;='Resultats - informe'!$E$26),0,(C3486&gt;='Resultats - informe'!$D$27)*(C3486&lt;='Resultats - informe'!$E$27),0,(C3486&gt;='Resultats - informe'!$D$28)*(C3486&lt;='Resultats - informe'!$E$28),0,(C3486&gt;='Resultats - informe'!$D$29)*(C3486&lt;='Resultats - informe'!$E$29),0,1,1)</f>
        <v>0</v>
      </c>
      <c r="N3486" s="366">
        <f>+VLOOKUP(D3486,'Resultats - informe'!$Y$18:$AG$42,'Introducció dades consum'!K3486+1,0)</f>
        <v>0</v>
      </c>
      <c r="O3486" s="370" cm="1">
        <f t="array" ref="O3486">+_xlfn.SWITCH(MONTH(C3486),1,1,2,1,3,1,4,2,5,2,6,3,7,3,8,3,9,3,10,2,11,2,12,1,2)</f>
        <v>1</v>
      </c>
      <c r="P3486" s="43"/>
    </row>
    <row r="3487" spans="1:16" ht="18" x14ac:dyDescent="0.35">
      <c r="A3487" s="43"/>
      <c r="C3487" s="393"/>
      <c r="E3487" s="394"/>
      <c r="F3487" s="394">
        <v>0</v>
      </c>
      <c r="G3487" s="394"/>
      <c r="H3487" s="8" t="s">
        <v>61</v>
      </c>
      <c r="I3487" s="368">
        <f t="shared" si="163"/>
        <v>0</v>
      </c>
      <c r="J3487" s="365">
        <f t="shared" si="162"/>
        <v>0</v>
      </c>
      <c r="K3487" s="369">
        <f t="shared" si="164"/>
        <v>6</v>
      </c>
      <c r="L3487" s="369">
        <f>+IF((C3487&gt;='Resultats - informe'!$E$16)*(C3487&lt;='Resultats - informe'!$G$16),1,0)</f>
        <v>1</v>
      </c>
      <c r="M3487" s="369" cm="1">
        <f t="array" ref="M3487">+_xlfn.IFS((C3487&gt;='Resultats - informe'!$D$26)*(C3487&lt;='Resultats - informe'!$E$26),0,(C3487&gt;='Resultats - informe'!$D$27)*(C3487&lt;='Resultats - informe'!$E$27),0,(C3487&gt;='Resultats - informe'!$D$28)*(C3487&lt;='Resultats - informe'!$E$28),0,(C3487&gt;='Resultats - informe'!$D$29)*(C3487&lt;='Resultats - informe'!$E$29),0,1,1)</f>
        <v>0</v>
      </c>
      <c r="N3487" s="366">
        <f>+VLOOKUP(D3487,'Resultats - informe'!$Y$18:$AG$42,'Introducció dades consum'!K3487+1,0)</f>
        <v>0</v>
      </c>
      <c r="O3487" s="370" cm="1">
        <f t="array" ref="O3487">+_xlfn.SWITCH(MONTH(C3487),1,1,2,1,3,1,4,2,5,2,6,3,7,3,8,3,9,3,10,2,11,2,12,1,2)</f>
        <v>1</v>
      </c>
      <c r="P3487" s="43"/>
    </row>
    <row r="3488" spans="1:16" ht="18" x14ac:dyDescent="0.35">
      <c r="A3488" s="43"/>
      <c r="C3488" s="393"/>
      <c r="E3488" s="394"/>
      <c r="F3488" s="394">
        <v>0</v>
      </c>
      <c r="G3488" s="394"/>
      <c r="H3488" s="8" t="s">
        <v>235</v>
      </c>
      <c r="I3488" s="368">
        <f t="shared" si="163"/>
        <v>0</v>
      </c>
      <c r="J3488" s="365">
        <f t="shared" si="162"/>
        <v>0</v>
      </c>
      <c r="K3488" s="369">
        <f t="shared" si="164"/>
        <v>6</v>
      </c>
      <c r="L3488" s="369">
        <f>+IF((C3488&gt;='Resultats - informe'!$E$16)*(C3488&lt;='Resultats - informe'!$G$16),1,0)</f>
        <v>1</v>
      </c>
      <c r="M3488" s="369" cm="1">
        <f t="array" ref="M3488">+_xlfn.IFS((C3488&gt;='Resultats - informe'!$D$26)*(C3488&lt;='Resultats - informe'!$E$26),0,(C3488&gt;='Resultats - informe'!$D$27)*(C3488&lt;='Resultats - informe'!$E$27),0,(C3488&gt;='Resultats - informe'!$D$28)*(C3488&lt;='Resultats - informe'!$E$28),0,(C3488&gt;='Resultats - informe'!$D$29)*(C3488&lt;='Resultats - informe'!$E$29),0,1,1)</f>
        <v>0</v>
      </c>
      <c r="N3488" s="366">
        <f>+VLOOKUP(D3488,'Resultats - informe'!$Y$18:$AG$42,'Introducció dades consum'!K3488+1,0)</f>
        <v>0</v>
      </c>
      <c r="O3488" s="370" cm="1">
        <f t="array" ref="O3488">+_xlfn.SWITCH(MONTH(C3488),1,1,2,1,3,1,4,2,5,2,6,3,7,3,8,3,9,3,10,2,11,2,12,1,2)</f>
        <v>1</v>
      </c>
      <c r="P3488" s="43"/>
    </row>
    <row r="3489" spans="1:16" ht="18" x14ac:dyDescent="0.35">
      <c r="A3489" s="43"/>
      <c r="C3489" s="393"/>
      <c r="E3489" s="394"/>
      <c r="F3489" s="394">
        <v>0.27100000000000002</v>
      </c>
      <c r="G3489" s="394"/>
      <c r="H3489" s="8" t="s">
        <v>235</v>
      </c>
      <c r="I3489" s="368">
        <f t="shared" si="163"/>
        <v>0</v>
      </c>
      <c r="J3489" s="365">
        <f t="shared" si="162"/>
        <v>0</v>
      </c>
      <c r="K3489" s="369">
        <f t="shared" si="164"/>
        <v>6</v>
      </c>
      <c r="L3489" s="369">
        <f>+IF((C3489&gt;='Resultats - informe'!$E$16)*(C3489&lt;='Resultats - informe'!$G$16),1,0)</f>
        <v>1</v>
      </c>
      <c r="M3489" s="369" cm="1">
        <f t="array" ref="M3489">+_xlfn.IFS((C3489&gt;='Resultats - informe'!$D$26)*(C3489&lt;='Resultats - informe'!$E$26),0,(C3489&gt;='Resultats - informe'!$D$27)*(C3489&lt;='Resultats - informe'!$E$27),0,(C3489&gt;='Resultats - informe'!$D$28)*(C3489&lt;='Resultats - informe'!$E$28),0,(C3489&gt;='Resultats - informe'!$D$29)*(C3489&lt;='Resultats - informe'!$E$29),0,1,1)</f>
        <v>0</v>
      </c>
      <c r="N3489" s="366">
        <f>+VLOOKUP(D3489,'Resultats - informe'!$Y$18:$AG$42,'Introducció dades consum'!K3489+1,0)</f>
        <v>0</v>
      </c>
      <c r="O3489" s="370" cm="1">
        <f t="array" ref="O3489">+_xlfn.SWITCH(MONTH(C3489),1,1,2,1,3,1,4,2,5,2,6,3,7,3,8,3,9,3,10,2,11,2,12,1,2)</f>
        <v>1</v>
      </c>
      <c r="P3489" s="43"/>
    </row>
    <row r="3490" spans="1:16" ht="18" x14ac:dyDescent="0.35">
      <c r="A3490" s="43"/>
      <c r="C3490" s="393"/>
      <c r="E3490" s="394"/>
      <c r="F3490" s="394">
        <v>1.0740000000000001</v>
      </c>
      <c r="G3490" s="394"/>
      <c r="H3490" s="8" t="s">
        <v>235</v>
      </c>
      <c r="I3490" s="368">
        <f t="shared" si="163"/>
        <v>0</v>
      </c>
      <c r="J3490" s="365">
        <f t="shared" si="162"/>
        <v>0</v>
      </c>
      <c r="K3490" s="369">
        <f t="shared" si="164"/>
        <v>6</v>
      </c>
      <c r="L3490" s="369">
        <f>+IF((C3490&gt;='Resultats - informe'!$E$16)*(C3490&lt;='Resultats - informe'!$G$16),1,0)</f>
        <v>1</v>
      </c>
      <c r="M3490" s="369" cm="1">
        <f t="array" ref="M3490">+_xlfn.IFS((C3490&gt;='Resultats - informe'!$D$26)*(C3490&lt;='Resultats - informe'!$E$26),0,(C3490&gt;='Resultats - informe'!$D$27)*(C3490&lt;='Resultats - informe'!$E$27),0,(C3490&gt;='Resultats - informe'!$D$28)*(C3490&lt;='Resultats - informe'!$E$28),0,(C3490&gt;='Resultats - informe'!$D$29)*(C3490&lt;='Resultats - informe'!$E$29),0,1,1)</f>
        <v>0</v>
      </c>
      <c r="N3490" s="366">
        <f>+VLOOKUP(D3490,'Resultats - informe'!$Y$18:$AG$42,'Introducció dades consum'!K3490+1,0)</f>
        <v>0</v>
      </c>
      <c r="O3490" s="370" cm="1">
        <f t="array" ref="O3490">+_xlfn.SWITCH(MONTH(C3490),1,1,2,1,3,1,4,2,5,2,6,3,7,3,8,3,9,3,10,2,11,2,12,1,2)</f>
        <v>1</v>
      </c>
      <c r="P3490" s="43"/>
    </row>
    <row r="3491" spans="1:16" ht="18" x14ac:dyDescent="0.35">
      <c r="A3491" s="43"/>
      <c r="C3491" s="393"/>
      <c r="E3491" s="394"/>
      <c r="F3491" s="394">
        <v>0</v>
      </c>
      <c r="G3491" s="394"/>
      <c r="H3491" s="8" t="s">
        <v>61</v>
      </c>
      <c r="I3491" s="368">
        <f t="shared" si="163"/>
        <v>0</v>
      </c>
      <c r="J3491" s="365">
        <f t="shared" si="162"/>
        <v>0</v>
      </c>
      <c r="K3491" s="369">
        <f t="shared" si="164"/>
        <v>6</v>
      </c>
      <c r="L3491" s="369">
        <f>+IF((C3491&gt;='Resultats - informe'!$E$16)*(C3491&lt;='Resultats - informe'!$G$16),1,0)</f>
        <v>1</v>
      </c>
      <c r="M3491" s="369" cm="1">
        <f t="array" ref="M3491">+_xlfn.IFS((C3491&gt;='Resultats - informe'!$D$26)*(C3491&lt;='Resultats - informe'!$E$26),0,(C3491&gt;='Resultats - informe'!$D$27)*(C3491&lt;='Resultats - informe'!$E$27),0,(C3491&gt;='Resultats - informe'!$D$28)*(C3491&lt;='Resultats - informe'!$E$28),0,(C3491&gt;='Resultats - informe'!$D$29)*(C3491&lt;='Resultats - informe'!$E$29),0,1,1)</f>
        <v>0</v>
      </c>
      <c r="N3491" s="366">
        <f>+VLOOKUP(D3491,'Resultats - informe'!$Y$18:$AG$42,'Introducció dades consum'!K3491+1,0)</f>
        <v>0</v>
      </c>
      <c r="O3491" s="370" cm="1">
        <f t="array" ref="O3491">+_xlfn.SWITCH(MONTH(C3491),1,1,2,1,3,1,4,2,5,2,6,3,7,3,8,3,9,3,10,2,11,2,12,1,2)</f>
        <v>1</v>
      </c>
      <c r="P3491" s="43"/>
    </row>
    <row r="3492" spans="1:16" ht="18" x14ac:dyDescent="0.35">
      <c r="A3492" s="43"/>
      <c r="C3492" s="393"/>
      <c r="E3492" s="394"/>
      <c r="F3492" s="394">
        <v>0</v>
      </c>
      <c r="G3492" s="394"/>
      <c r="H3492" s="8" t="s">
        <v>61</v>
      </c>
      <c r="I3492" s="368">
        <f t="shared" si="163"/>
        <v>0</v>
      </c>
      <c r="J3492" s="365">
        <f t="shared" si="162"/>
        <v>0</v>
      </c>
      <c r="K3492" s="369">
        <f t="shared" si="164"/>
        <v>6</v>
      </c>
      <c r="L3492" s="369">
        <f>+IF((C3492&gt;='Resultats - informe'!$E$16)*(C3492&lt;='Resultats - informe'!$G$16),1,0)</f>
        <v>1</v>
      </c>
      <c r="M3492" s="369" cm="1">
        <f t="array" ref="M3492">+_xlfn.IFS((C3492&gt;='Resultats - informe'!$D$26)*(C3492&lt;='Resultats - informe'!$E$26),0,(C3492&gt;='Resultats - informe'!$D$27)*(C3492&lt;='Resultats - informe'!$E$27),0,(C3492&gt;='Resultats - informe'!$D$28)*(C3492&lt;='Resultats - informe'!$E$28),0,(C3492&gt;='Resultats - informe'!$D$29)*(C3492&lt;='Resultats - informe'!$E$29),0,1,1)</f>
        <v>0</v>
      </c>
      <c r="N3492" s="366">
        <f>+VLOOKUP(D3492,'Resultats - informe'!$Y$18:$AG$42,'Introducció dades consum'!K3492+1,0)</f>
        <v>0</v>
      </c>
      <c r="O3492" s="370" cm="1">
        <f t="array" ref="O3492">+_xlfn.SWITCH(MONTH(C3492),1,1,2,1,3,1,4,2,5,2,6,3,7,3,8,3,9,3,10,2,11,2,12,1,2)</f>
        <v>1</v>
      </c>
      <c r="P3492" s="43"/>
    </row>
    <row r="3493" spans="1:16" ht="18" x14ac:dyDescent="0.35">
      <c r="A3493" s="43"/>
      <c r="C3493" s="393"/>
      <c r="E3493" s="394"/>
      <c r="F3493" s="394">
        <v>2.1469999999999998</v>
      </c>
      <c r="G3493" s="394"/>
      <c r="H3493" s="8" t="s">
        <v>235</v>
      </c>
      <c r="I3493" s="368">
        <f t="shared" si="163"/>
        <v>0</v>
      </c>
      <c r="J3493" s="365">
        <f t="shared" si="162"/>
        <v>0</v>
      </c>
      <c r="K3493" s="369">
        <f t="shared" si="164"/>
        <v>6</v>
      </c>
      <c r="L3493" s="369">
        <f>+IF((C3493&gt;='Resultats - informe'!$E$16)*(C3493&lt;='Resultats - informe'!$G$16),1,0)</f>
        <v>1</v>
      </c>
      <c r="M3493" s="369" cm="1">
        <f t="array" ref="M3493">+_xlfn.IFS((C3493&gt;='Resultats - informe'!$D$26)*(C3493&lt;='Resultats - informe'!$E$26),0,(C3493&gt;='Resultats - informe'!$D$27)*(C3493&lt;='Resultats - informe'!$E$27),0,(C3493&gt;='Resultats - informe'!$D$28)*(C3493&lt;='Resultats - informe'!$E$28),0,(C3493&gt;='Resultats - informe'!$D$29)*(C3493&lt;='Resultats - informe'!$E$29),0,1,1)</f>
        <v>0</v>
      </c>
      <c r="N3493" s="366">
        <f>+VLOOKUP(D3493,'Resultats - informe'!$Y$18:$AG$42,'Introducció dades consum'!K3493+1,0)</f>
        <v>0</v>
      </c>
      <c r="O3493" s="370" cm="1">
        <f t="array" ref="O3493">+_xlfn.SWITCH(MONTH(C3493),1,1,2,1,3,1,4,2,5,2,6,3,7,3,8,3,9,3,10,2,11,2,12,1,2)</f>
        <v>1</v>
      </c>
      <c r="P3493" s="43"/>
    </row>
    <row r="3494" spans="1:16" ht="18" x14ac:dyDescent="0.35">
      <c r="A3494" s="43"/>
      <c r="C3494" s="393"/>
      <c r="E3494" s="394"/>
      <c r="F3494" s="394">
        <v>2.919</v>
      </c>
      <c r="G3494" s="394"/>
      <c r="H3494" s="8" t="s">
        <v>235</v>
      </c>
      <c r="I3494" s="368">
        <f t="shared" si="163"/>
        <v>0</v>
      </c>
      <c r="J3494" s="365">
        <f t="shared" si="162"/>
        <v>0</v>
      </c>
      <c r="K3494" s="369">
        <f t="shared" si="164"/>
        <v>6</v>
      </c>
      <c r="L3494" s="369">
        <f>+IF((C3494&gt;='Resultats - informe'!$E$16)*(C3494&lt;='Resultats - informe'!$G$16),1,0)</f>
        <v>1</v>
      </c>
      <c r="M3494" s="369" cm="1">
        <f t="array" ref="M3494">+_xlfn.IFS((C3494&gt;='Resultats - informe'!$D$26)*(C3494&lt;='Resultats - informe'!$E$26),0,(C3494&gt;='Resultats - informe'!$D$27)*(C3494&lt;='Resultats - informe'!$E$27),0,(C3494&gt;='Resultats - informe'!$D$28)*(C3494&lt;='Resultats - informe'!$E$28),0,(C3494&gt;='Resultats - informe'!$D$29)*(C3494&lt;='Resultats - informe'!$E$29),0,1,1)</f>
        <v>0</v>
      </c>
      <c r="N3494" s="366">
        <f>+VLOOKUP(D3494,'Resultats - informe'!$Y$18:$AG$42,'Introducció dades consum'!K3494+1,0)</f>
        <v>0</v>
      </c>
      <c r="O3494" s="370" cm="1">
        <f t="array" ref="O3494">+_xlfn.SWITCH(MONTH(C3494),1,1,2,1,3,1,4,2,5,2,6,3,7,3,8,3,9,3,10,2,11,2,12,1,2)</f>
        <v>1</v>
      </c>
      <c r="P3494" s="43"/>
    </row>
    <row r="3495" spans="1:16" ht="18" x14ac:dyDescent="0.35">
      <c r="A3495" s="43"/>
      <c r="C3495" s="393"/>
      <c r="E3495" s="394"/>
      <c r="F3495" s="394">
        <v>2.9220000000000002</v>
      </c>
      <c r="G3495" s="394"/>
      <c r="H3495" s="8" t="s">
        <v>235</v>
      </c>
      <c r="I3495" s="368">
        <f t="shared" si="163"/>
        <v>0</v>
      </c>
      <c r="J3495" s="365">
        <f t="shared" si="162"/>
        <v>0</v>
      </c>
      <c r="K3495" s="369">
        <f t="shared" si="164"/>
        <v>6</v>
      </c>
      <c r="L3495" s="369">
        <f>+IF((C3495&gt;='Resultats - informe'!$E$16)*(C3495&lt;='Resultats - informe'!$G$16),1,0)</f>
        <v>1</v>
      </c>
      <c r="M3495" s="369" cm="1">
        <f t="array" ref="M3495">+_xlfn.IFS((C3495&gt;='Resultats - informe'!$D$26)*(C3495&lt;='Resultats - informe'!$E$26),0,(C3495&gt;='Resultats - informe'!$D$27)*(C3495&lt;='Resultats - informe'!$E$27),0,(C3495&gt;='Resultats - informe'!$D$28)*(C3495&lt;='Resultats - informe'!$E$28),0,(C3495&gt;='Resultats - informe'!$D$29)*(C3495&lt;='Resultats - informe'!$E$29),0,1,1)</f>
        <v>0</v>
      </c>
      <c r="N3495" s="366">
        <f>+VLOOKUP(D3495,'Resultats - informe'!$Y$18:$AG$42,'Introducció dades consum'!K3495+1,0)</f>
        <v>0</v>
      </c>
      <c r="O3495" s="370" cm="1">
        <f t="array" ref="O3495">+_xlfn.SWITCH(MONTH(C3495),1,1,2,1,3,1,4,2,5,2,6,3,7,3,8,3,9,3,10,2,11,2,12,1,2)</f>
        <v>1</v>
      </c>
      <c r="P3495" s="43"/>
    </row>
    <row r="3496" spans="1:16" ht="18" x14ac:dyDescent="0.35">
      <c r="A3496" s="43"/>
      <c r="C3496" s="393"/>
      <c r="E3496" s="394"/>
      <c r="F3496" s="394">
        <v>4.0119999999999996</v>
      </c>
      <c r="G3496" s="394"/>
      <c r="H3496" s="8" t="s">
        <v>61</v>
      </c>
      <c r="I3496" s="368">
        <f t="shared" si="163"/>
        <v>0</v>
      </c>
      <c r="J3496" s="365">
        <f t="shared" si="162"/>
        <v>0</v>
      </c>
      <c r="K3496" s="369">
        <f t="shared" si="164"/>
        <v>6</v>
      </c>
      <c r="L3496" s="369">
        <f>+IF((C3496&gt;='Resultats - informe'!$E$16)*(C3496&lt;='Resultats - informe'!$G$16),1,0)</f>
        <v>1</v>
      </c>
      <c r="M3496" s="369" cm="1">
        <f t="array" ref="M3496">+_xlfn.IFS((C3496&gt;='Resultats - informe'!$D$26)*(C3496&lt;='Resultats - informe'!$E$26),0,(C3496&gt;='Resultats - informe'!$D$27)*(C3496&lt;='Resultats - informe'!$E$27),0,(C3496&gt;='Resultats - informe'!$D$28)*(C3496&lt;='Resultats - informe'!$E$28),0,(C3496&gt;='Resultats - informe'!$D$29)*(C3496&lt;='Resultats - informe'!$E$29),0,1,1)</f>
        <v>0</v>
      </c>
      <c r="N3496" s="366">
        <f>+VLOOKUP(D3496,'Resultats - informe'!$Y$18:$AG$42,'Introducció dades consum'!K3496+1,0)</f>
        <v>0</v>
      </c>
      <c r="O3496" s="370" cm="1">
        <f t="array" ref="O3496">+_xlfn.SWITCH(MONTH(C3496),1,1,2,1,3,1,4,2,5,2,6,3,7,3,8,3,9,3,10,2,11,2,12,1,2)</f>
        <v>1</v>
      </c>
      <c r="P3496" s="43"/>
    </row>
    <row r="3497" spans="1:16" ht="18" x14ac:dyDescent="0.35">
      <c r="A3497" s="43"/>
      <c r="C3497" s="393"/>
      <c r="E3497" s="394"/>
      <c r="F3497" s="394">
        <v>2.9660000000000002</v>
      </c>
      <c r="G3497" s="394"/>
      <c r="H3497" s="8" t="s">
        <v>235</v>
      </c>
      <c r="I3497" s="368">
        <f t="shared" si="163"/>
        <v>0</v>
      </c>
      <c r="J3497" s="365">
        <f t="shared" si="162"/>
        <v>0</v>
      </c>
      <c r="K3497" s="369">
        <f t="shared" si="164"/>
        <v>6</v>
      </c>
      <c r="L3497" s="369">
        <f>+IF((C3497&gt;='Resultats - informe'!$E$16)*(C3497&lt;='Resultats - informe'!$G$16),1,0)</f>
        <v>1</v>
      </c>
      <c r="M3497" s="369" cm="1">
        <f t="array" ref="M3497">+_xlfn.IFS((C3497&gt;='Resultats - informe'!$D$26)*(C3497&lt;='Resultats - informe'!$E$26),0,(C3497&gt;='Resultats - informe'!$D$27)*(C3497&lt;='Resultats - informe'!$E$27),0,(C3497&gt;='Resultats - informe'!$D$28)*(C3497&lt;='Resultats - informe'!$E$28),0,(C3497&gt;='Resultats - informe'!$D$29)*(C3497&lt;='Resultats - informe'!$E$29),0,1,1)</f>
        <v>0</v>
      </c>
      <c r="N3497" s="366">
        <f>+VLOOKUP(D3497,'Resultats - informe'!$Y$18:$AG$42,'Introducció dades consum'!K3497+1,0)</f>
        <v>0</v>
      </c>
      <c r="O3497" s="370" cm="1">
        <f t="array" ref="O3497">+_xlfn.SWITCH(MONTH(C3497),1,1,2,1,3,1,4,2,5,2,6,3,7,3,8,3,9,3,10,2,11,2,12,1,2)</f>
        <v>1</v>
      </c>
      <c r="P3497" s="43"/>
    </row>
    <row r="3498" spans="1:16" ht="18" x14ac:dyDescent="0.35">
      <c r="A3498" s="43"/>
      <c r="C3498" s="393"/>
      <c r="E3498" s="394"/>
      <c r="F3498" s="394">
        <v>2.3620000000000001</v>
      </c>
      <c r="G3498" s="394"/>
      <c r="H3498" s="8" t="s">
        <v>235</v>
      </c>
      <c r="I3498" s="368">
        <f t="shared" si="163"/>
        <v>0</v>
      </c>
      <c r="J3498" s="365">
        <f t="shared" si="162"/>
        <v>0</v>
      </c>
      <c r="K3498" s="369">
        <f t="shared" si="164"/>
        <v>6</v>
      </c>
      <c r="L3498" s="369">
        <f>+IF((C3498&gt;='Resultats - informe'!$E$16)*(C3498&lt;='Resultats - informe'!$G$16),1,0)</f>
        <v>1</v>
      </c>
      <c r="M3498" s="369" cm="1">
        <f t="array" ref="M3498">+_xlfn.IFS((C3498&gt;='Resultats - informe'!$D$26)*(C3498&lt;='Resultats - informe'!$E$26),0,(C3498&gt;='Resultats - informe'!$D$27)*(C3498&lt;='Resultats - informe'!$E$27),0,(C3498&gt;='Resultats - informe'!$D$28)*(C3498&lt;='Resultats - informe'!$E$28),0,(C3498&gt;='Resultats - informe'!$D$29)*(C3498&lt;='Resultats - informe'!$E$29),0,1,1)</f>
        <v>0</v>
      </c>
      <c r="N3498" s="366">
        <f>+VLOOKUP(D3498,'Resultats - informe'!$Y$18:$AG$42,'Introducció dades consum'!K3498+1,0)</f>
        <v>0</v>
      </c>
      <c r="O3498" s="370" cm="1">
        <f t="array" ref="O3498">+_xlfn.SWITCH(MONTH(C3498),1,1,2,1,3,1,4,2,5,2,6,3,7,3,8,3,9,3,10,2,11,2,12,1,2)</f>
        <v>1</v>
      </c>
      <c r="P3498" s="43"/>
    </row>
    <row r="3499" spans="1:16" ht="18" x14ac:dyDescent="0.35">
      <c r="A3499" s="43"/>
      <c r="C3499" s="393"/>
      <c r="E3499" s="394"/>
      <c r="F3499" s="394">
        <v>1.946</v>
      </c>
      <c r="G3499" s="394"/>
      <c r="H3499" s="8" t="s">
        <v>235</v>
      </c>
      <c r="I3499" s="368">
        <f t="shared" si="163"/>
        <v>0</v>
      </c>
      <c r="J3499" s="365">
        <f t="shared" si="162"/>
        <v>0</v>
      </c>
      <c r="K3499" s="369">
        <f t="shared" si="164"/>
        <v>6</v>
      </c>
      <c r="L3499" s="369">
        <f>+IF((C3499&gt;='Resultats - informe'!$E$16)*(C3499&lt;='Resultats - informe'!$G$16),1,0)</f>
        <v>1</v>
      </c>
      <c r="M3499" s="369" cm="1">
        <f t="array" ref="M3499">+_xlfn.IFS((C3499&gt;='Resultats - informe'!$D$26)*(C3499&lt;='Resultats - informe'!$E$26),0,(C3499&gt;='Resultats - informe'!$D$27)*(C3499&lt;='Resultats - informe'!$E$27),0,(C3499&gt;='Resultats - informe'!$D$28)*(C3499&lt;='Resultats - informe'!$E$28),0,(C3499&gt;='Resultats - informe'!$D$29)*(C3499&lt;='Resultats - informe'!$E$29),0,1,1)</f>
        <v>0</v>
      </c>
      <c r="N3499" s="366">
        <f>+VLOOKUP(D3499,'Resultats - informe'!$Y$18:$AG$42,'Introducció dades consum'!K3499+1,0)</f>
        <v>0</v>
      </c>
      <c r="O3499" s="370" cm="1">
        <f t="array" ref="O3499">+_xlfn.SWITCH(MONTH(C3499),1,1,2,1,3,1,4,2,5,2,6,3,7,3,8,3,9,3,10,2,11,2,12,1,2)</f>
        <v>1</v>
      </c>
      <c r="P3499" s="43"/>
    </row>
    <row r="3500" spans="1:16" ht="18" x14ac:dyDescent="0.35">
      <c r="A3500" s="43"/>
      <c r="C3500" s="393"/>
      <c r="E3500" s="394"/>
      <c r="F3500" s="394">
        <v>4.1130000000000004</v>
      </c>
      <c r="G3500" s="394"/>
      <c r="H3500" s="8" t="s">
        <v>61</v>
      </c>
      <c r="I3500" s="368">
        <f t="shared" si="163"/>
        <v>0</v>
      </c>
      <c r="J3500" s="365">
        <f t="shared" si="162"/>
        <v>0</v>
      </c>
      <c r="K3500" s="369">
        <f t="shared" si="164"/>
        <v>6</v>
      </c>
      <c r="L3500" s="369">
        <f>+IF((C3500&gt;='Resultats - informe'!$E$16)*(C3500&lt;='Resultats - informe'!$G$16),1,0)</f>
        <v>1</v>
      </c>
      <c r="M3500" s="369" cm="1">
        <f t="array" ref="M3500">+_xlfn.IFS((C3500&gt;='Resultats - informe'!$D$26)*(C3500&lt;='Resultats - informe'!$E$26),0,(C3500&gt;='Resultats - informe'!$D$27)*(C3500&lt;='Resultats - informe'!$E$27),0,(C3500&gt;='Resultats - informe'!$D$28)*(C3500&lt;='Resultats - informe'!$E$28),0,(C3500&gt;='Resultats - informe'!$D$29)*(C3500&lt;='Resultats - informe'!$E$29),0,1,1)</f>
        <v>0</v>
      </c>
      <c r="N3500" s="366">
        <f>+VLOOKUP(D3500,'Resultats - informe'!$Y$18:$AG$42,'Introducció dades consum'!K3500+1,0)</f>
        <v>0</v>
      </c>
      <c r="O3500" s="370" cm="1">
        <f t="array" ref="O3500">+_xlfn.SWITCH(MONTH(C3500),1,1,2,1,3,1,4,2,5,2,6,3,7,3,8,3,9,3,10,2,11,2,12,1,2)</f>
        <v>1</v>
      </c>
      <c r="P3500" s="43"/>
    </row>
    <row r="3501" spans="1:16" ht="18" x14ac:dyDescent="0.35">
      <c r="A3501" s="43"/>
      <c r="C3501" s="393"/>
      <c r="E3501" s="394"/>
      <c r="F3501" s="394">
        <v>0</v>
      </c>
      <c r="G3501" s="394"/>
      <c r="H3501" s="8" t="s">
        <v>61</v>
      </c>
      <c r="I3501" s="368">
        <f t="shared" si="163"/>
        <v>0</v>
      </c>
      <c r="J3501" s="365">
        <f t="shared" si="162"/>
        <v>0</v>
      </c>
      <c r="K3501" s="369">
        <f t="shared" si="164"/>
        <v>6</v>
      </c>
      <c r="L3501" s="369">
        <f>+IF((C3501&gt;='Resultats - informe'!$E$16)*(C3501&lt;='Resultats - informe'!$G$16),1,0)</f>
        <v>1</v>
      </c>
      <c r="M3501" s="369" cm="1">
        <f t="array" ref="M3501">+_xlfn.IFS((C3501&gt;='Resultats - informe'!$D$26)*(C3501&lt;='Resultats - informe'!$E$26),0,(C3501&gt;='Resultats - informe'!$D$27)*(C3501&lt;='Resultats - informe'!$E$27),0,(C3501&gt;='Resultats - informe'!$D$28)*(C3501&lt;='Resultats - informe'!$E$28),0,(C3501&gt;='Resultats - informe'!$D$29)*(C3501&lt;='Resultats - informe'!$E$29),0,1,1)</f>
        <v>0</v>
      </c>
      <c r="N3501" s="366">
        <f>+VLOOKUP(D3501,'Resultats - informe'!$Y$18:$AG$42,'Introducció dades consum'!K3501+1,0)</f>
        <v>0</v>
      </c>
      <c r="O3501" s="370" cm="1">
        <f t="array" ref="O3501">+_xlfn.SWITCH(MONTH(C3501),1,1,2,1,3,1,4,2,5,2,6,3,7,3,8,3,9,3,10,2,11,2,12,1,2)</f>
        <v>1</v>
      </c>
      <c r="P3501" s="43"/>
    </row>
    <row r="3502" spans="1:16" ht="18" x14ac:dyDescent="0.35">
      <c r="A3502" s="43"/>
      <c r="C3502" s="393"/>
      <c r="E3502" s="394"/>
      <c r="F3502" s="394">
        <v>0</v>
      </c>
      <c r="G3502" s="394"/>
      <c r="H3502" s="8" t="s">
        <v>235</v>
      </c>
      <c r="I3502" s="368">
        <f t="shared" si="163"/>
        <v>0</v>
      </c>
      <c r="J3502" s="365">
        <f t="shared" si="162"/>
        <v>0</v>
      </c>
      <c r="K3502" s="369">
        <f t="shared" si="164"/>
        <v>6</v>
      </c>
      <c r="L3502" s="369">
        <f>+IF((C3502&gt;='Resultats - informe'!$E$16)*(C3502&lt;='Resultats - informe'!$G$16),1,0)</f>
        <v>1</v>
      </c>
      <c r="M3502" s="369" cm="1">
        <f t="array" ref="M3502">+_xlfn.IFS((C3502&gt;='Resultats - informe'!$D$26)*(C3502&lt;='Resultats - informe'!$E$26),0,(C3502&gt;='Resultats - informe'!$D$27)*(C3502&lt;='Resultats - informe'!$E$27),0,(C3502&gt;='Resultats - informe'!$D$28)*(C3502&lt;='Resultats - informe'!$E$28),0,(C3502&gt;='Resultats - informe'!$D$29)*(C3502&lt;='Resultats - informe'!$E$29),0,1,1)</f>
        <v>0</v>
      </c>
      <c r="N3502" s="366">
        <f>+VLOOKUP(D3502,'Resultats - informe'!$Y$18:$AG$42,'Introducció dades consum'!K3502+1,0)</f>
        <v>0</v>
      </c>
      <c r="O3502" s="370" cm="1">
        <f t="array" ref="O3502">+_xlfn.SWITCH(MONTH(C3502),1,1,2,1,3,1,4,2,5,2,6,3,7,3,8,3,9,3,10,2,11,2,12,1,2)</f>
        <v>1</v>
      </c>
      <c r="P3502" s="43"/>
    </row>
    <row r="3503" spans="1:16" ht="18" x14ac:dyDescent="0.35">
      <c r="A3503" s="43"/>
      <c r="C3503" s="393"/>
      <c r="E3503" s="394"/>
      <c r="F3503" s="394">
        <v>0</v>
      </c>
      <c r="G3503" s="394"/>
      <c r="H3503" s="8" t="s">
        <v>235</v>
      </c>
      <c r="I3503" s="368">
        <f t="shared" si="163"/>
        <v>0</v>
      </c>
      <c r="J3503" s="365">
        <f t="shared" si="162"/>
        <v>0</v>
      </c>
      <c r="K3503" s="369">
        <f t="shared" si="164"/>
        <v>6</v>
      </c>
      <c r="L3503" s="369">
        <f>+IF((C3503&gt;='Resultats - informe'!$E$16)*(C3503&lt;='Resultats - informe'!$G$16),1,0)</f>
        <v>1</v>
      </c>
      <c r="M3503" s="369" cm="1">
        <f t="array" ref="M3503">+_xlfn.IFS((C3503&gt;='Resultats - informe'!$D$26)*(C3503&lt;='Resultats - informe'!$E$26),0,(C3503&gt;='Resultats - informe'!$D$27)*(C3503&lt;='Resultats - informe'!$E$27),0,(C3503&gt;='Resultats - informe'!$D$28)*(C3503&lt;='Resultats - informe'!$E$28),0,(C3503&gt;='Resultats - informe'!$D$29)*(C3503&lt;='Resultats - informe'!$E$29),0,1,1)</f>
        <v>0</v>
      </c>
      <c r="N3503" s="366">
        <f>+VLOOKUP(D3503,'Resultats - informe'!$Y$18:$AG$42,'Introducció dades consum'!K3503+1,0)</f>
        <v>0</v>
      </c>
      <c r="O3503" s="370" cm="1">
        <f t="array" ref="O3503">+_xlfn.SWITCH(MONTH(C3503),1,1,2,1,3,1,4,2,5,2,6,3,7,3,8,3,9,3,10,2,11,2,12,1,2)</f>
        <v>1</v>
      </c>
      <c r="P3503" s="43"/>
    </row>
    <row r="3504" spans="1:16" ht="18" x14ac:dyDescent="0.35">
      <c r="A3504" s="43"/>
      <c r="C3504" s="393"/>
      <c r="E3504" s="394"/>
      <c r="F3504" s="394">
        <v>0</v>
      </c>
      <c r="G3504" s="394"/>
      <c r="H3504" s="8" t="s">
        <v>235</v>
      </c>
      <c r="I3504" s="368">
        <f t="shared" si="163"/>
        <v>0</v>
      </c>
      <c r="J3504" s="365">
        <f t="shared" si="162"/>
        <v>0</v>
      </c>
      <c r="K3504" s="369">
        <f t="shared" si="164"/>
        <v>6</v>
      </c>
      <c r="L3504" s="369">
        <f>+IF((C3504&gt;='Resultats - informe'!$E$16)*(C3504&lt;='Resultats - informe'!$G$16),1,0)</f>
        <v>1</v>
      </c>
      <c r="M3504" s="369" cm="1">
        <f t="array" ref="M3504">+_xlfn.IFS((C3504&gt;='Resultats - informe'!$D$26)*(C3504&lt;='Resultats - informe'!$E$26),0,(C3504&gt;='Resultats - informe'!$D$27)*(C3504&lt;='Resultats - informe'!$E$27),0,(C3504&gt;='Resultats - informe'!$D$28)*(C3504&lt;='Resultats - informe'!$E$28),0,(C3504&gt;='Resultats - informe'!$D$29)*(C3504&lt;='Resultats - informe'!$E$29),0,1,1)</f>
        <v>0</v>
      </c>
      <c r="N3504" s="366">
        <f>+VLOOKUP(D3504,'Resultats - informe'!$Y$18:$AG$42,'Introducció dades consum'!K3504+1,0)</f>
        <v>0</v>
      </c>
      <c r="O3504" s="370" cm="1">
        <f t="array" ref="O3504">+_xlfn.SWITCH(MONTH(C3504),1,1,2,1,3,1,4,2,5,2,6,3,7,3,8,3,9,3,10,2,11,2,12,1,2)</f>
        <v>1</v>
      </c>
      <c r="P3504" s="43"/>
    </row>
    <row r="3505" spans="1:16" ht="18" x14ac:dyDescent="0.35">
      <c r="A3505" s="43"/>
      <c r="C3505" s="393"/>
      <c r="E3505" s="394"/>
      <c r="F3505" s="394">
        <v>0</v>
      </c>
      <c r="G3505" s="394"/>
      <c r="H3505" s="8" t="s">
        <v>235</v>
      </c>
      <c r="I3505" s="368">
        <f t="shared" si="163"/>
        <v>0</v>
      </c>
      <c r="J3505" s="365">
        <f t="shared" si="162"/>
        <v>0</v>
      </c>
      <c r="K3505" s="369">
        <f t="shared" si="164"/>
        <v>6</v>
      </c>
      <c r="L3505" s="369">
        <f>+IF((C3505&gt;='Resultats - informe'!$E$16)*(C3505&lt;='Resultats - informe'!$G$16),1,0)</f>
        <v>1</v>
      </c>
      <c r="M3505" s="369" cm="1">
        <f t="array" ref="M3505">+_xlfn.IFS((C3505&gt;='Resultats - informe'!$D$26)*(C3505&lt;='Resultats - informe'!$E$26),0,(C3505&gt;='Resultats - informe'!$D$27)*(C3505&lt;='Resultats - informe'!$E$27),0,(C3505&gt;='Resultats - informe'!$D$28)*(C3505&lt;='Resultats - informe'!$E$28),0,(C3505&gt;='Resultats - informe'!$D$29)*(C3505&lt;='Resultats - informe'!$E$29),0,1,1)</f>
        <v>0</v>
      </c>
      <c r="N3505" s="366">
        <f>+VLOOKUP(D3505,'Resultats - informe'!$Y$18:$AG$42,'Introducció dades consum'!K3505+1,0)</f>
        <v>0</v>
      </c>
      <c r="O3505" s="370" cm="1">
        <f t="array" ref="O3505">+_xlfn.SWITCH(MONTH(C3505),1,1,2,1,3,1,4,2,5,2,6,3,7,3,8,3,9,3,10,2,11,2,12,1,2)</f>
        <v>1</v>
      </c>
      <c r="P3505" s="43"/>
    </row>
    <row r="3506" spans="1:16" ht="18" x14ac:dyDescent="0.35">
      <c r="A3506" s="43"/>
      <c r="C3506" s="393"/>
      <c r="E3506" s="394"/>
      <c r="F3506" s="394">
        <v>0</v>
      </c>
      <c r="G3506" s="394"/>
      <c r="H3506" s="8" t="s">
        <v>235</v>
      </c>
      <c r="I3506" s="368">
        <f t="shared" si="163"/>
        <v>0</v>
      </c>
      <c r="J3506" s="365">
        <f t="shared" si="162"/>
        <v>0</v>
      </c>
      <c r="K3506" s="369">
        <f t="shared" si="164"/>
        <v>6</v>
      </c>
      <c r="L3506" s="369">
        <f>+IF((C3506&gt;='Resultats - informe'!$E$16)*(C3506&lt;='Resultats - informe'!$G$16),1,0)</f>
        <v>1</v>
      </c>
      <c r="M3506" s="369" cm="1">
        <f t="array" ref="M3506">+_xlfn.IFS((C3506&gt;='Resultats - informe'!$D$26)*(C3506&lt;='Resultats - informe'!$E$26),0,(C3506&gt;='Resultats - informe'!$D$27)*(C3506&lt;='Resultats - informe'!$E$27),0,(C3506&gt;='Resultats - informe'!$D$28)*(C3506&lt;='Resultats - informe'!$E$28),0,(C3506&gt;='Resultats - informe'!$D$29)*(C3506&lt;='Resultats - informe'!$E$29),0,1,1)</f>
        <v>0</v>
      </c>
      <c r="N3506" s="366">
        <f>+VLOOKUP(D3506,'Resultats - informe'!$Y$18:$AG$42,'Introducció dades consum'!K3506+1,0)</f>
        <v>0</v>
      </c>
      <c r="O3506" s="370" cm="1">
        <f t="array" ref="O3506">+_xlfn.SWITCH(MONTH(C3506),1,1,2,1,3,1,4,2,5,2,6,3,7,3,8,3,9,3,10,2,11,2,12,1,2)</f>
        <v>1</v>
      </c>
      <c r="P3506" s="43"/>
    </row>
    <row r="3507" spans="1:16" ht="18" x14ac:dyDescent="0.35">
      <c r="A3507" s="43"/>
      <c r="C3507" s="393"/>
      <c r="E3507" s="394"/>
      <c r="F3507" s="394">
        <v>0</v>
      </c>
      <c r="G3507" s="394"/>
      <c r="H3507" s="8" t="s">
        <v>235</v>
      </c>
      <c r="I3507" s="368">
        <f t="shared" si="163"/>
        <v>0</v>
      </c>
      <c r="J3507" s="365">
        <f t="shared" si="162"/>
        <v>0</v>
      </c>
      <c r="K3507" s="369">
        <f t="shared" si="164"/>
        <v>6</v>
      </c>
      <c r="L3507" s="369">
        <f>+IF((C3507&gt;='Resultats - informe'!$E$16)*(C3507&lt;='Resultats - informe'!$G$16),1,0)</f>
        <v>1</v>
      </c>
      <c r="M3507" s="369" cm="1">
        <f t="array" ref="M3507">+_xlfn.IFS((C3507&gt;='Resultats - informe'!$D$26)*(C3507&lt;='Resultats - informe'!$E$26),0,(C3507&gt;='Resultats - informe'!$D$27)*(C3507&lt;='Resultats - informe'!$E$27),0,(C3507&gt;='Resultats - informe'!$D$28)*(C3507&lt;='Resultats - informe'!$E$28),0,(C3507&gt;='Resultats - informe'!$D$29)*(C3507&lt;='Resultats - informe'!$E$29),0,1,1)</f>
        <v>0</v>
      </c>
      <c r="N3507" s="366">
        <f>+VLOOKUP(D3507,'Resultats - informe'!$Y$18:$AG$42,'Introducció dades consum'!K3507+1,0)</f>
        <v>0</v>
      </c>
      <c r="O3507" s="370" cm="1">
        <f t="array" ref="O3507">+_xlfn.SWITCH(MONTH(C3507),1,1,2,1,3,1,4,2,5,2,6,3,7,3,8,3,9,3,10,2,11,2,12,1,2)</f>
        <v>1</v>
      </c>
      <c r="P3507" s="43"/>
    </row>
    <row r="3508" spans="1:16" ht="18" x14ac:dyDescent="0.35">
      <c r="A3508" s="43"/>
      <c r="C3508" s="393"/>
      <c r="E3508" s="394"/>
      <c r="F3508" s="394">
        <v>0</v>
      </c>
      <c r="G3508" s="394"/>
      <c r="H3508" s="8" t="s">
        <v>61</v>
      </c>
      <c r="I3508" s="368">
        <f t="shared" si="163"/>
        <v>0</v>
      </c>
      <c r="J3508" s="365">
        <f t="shared" si="162"/>
        <v>0</v>
      </c>
      <c r="K3508" s="369">
        <f t="shared" si="164"/>
        <v>6</v>
      </c>
      <c r="L3508" s="369">
        <f>+IF((C3508&gt;='Resultats - informe'!$E$16)*(C3508&lt;='Resultats - informe'!$G$16),1,0)</f>
        <v>1</v>
      </c>
      <c r="M3508" s="369" cm="1">
        <f t="array" ref="M3508">+_xlfn.IFS((C3508&gt;='Resultats - informe'!$D$26)*(C3508&lt;='Resultats - informe'!$E$26),0,(C3508&gt;='Resultats - informe'!$D$27)*(C3508&lt;='Resultats - informe'!$E$27),0,(C3508&gt;='Resultats - informe'!$D$28)*(C3508&lt;='Resultats - informe'!$E$28),0,(C3508&gt;='Resultats - informe'!$D$29)*(C3508&lt;='Resultats - informe'!$E$29),0,1,1)</f>
        <v>0</v>
      </c>
      <c r="N3508" s="366">
        <f>+VLOOKUP(D3508,'Resultats - informe'!$Y$18:$AG$42,'Introducció dades consum'!K3508+1,0)</f>
        <v>0</v>
      </c>
      <c r="O3508" s="370" cm="1">
        <f t="array" ref="O3508">+_xlfn.SWITCH(MONTH(C3508),1,1,2,1,3,1,4,2,5,2,6,3,7,3,8,3,9,3,10,2,11,2,12,1,2)</f>
        <v>1</v>
      </c>
      <c r="P3508" s="43"/>
    </row>
    <row r="3509" spans="1:16" ht="18" x14ac:dyDescent="0.35">
      <c r="A3509" s="43"/>
      <c r="C3509" s="393"/>
      <c r="E3509" s="394"/>
      <c r="F3509" s="394">
        <v>0</v>
      </c>
      <c r="G3509" s="394"/>
      <c r="H3509" s="8" t="s">
        <v>61</v>
      </c>
      <c r="I3509" s="368">
        <f t="shared" si="163"/>
        <v>0</v>
      </c>
      <c r="J3509" s="365">
        <f t="shared" si="162"/>
        <v>0</v>
      </c>
      <c r="K3509" s="369">
        <f t="shared" si="164"/>
        <v>6</v>
      </c>
      <c r="L3509" s="369">
        <f>+IF((C3509&gt;='Resultats - informe'!$E$16)*(C3509&lt;='Resultats - informe'!$G$16),1,0)</f>
        <v>1</v>
      </c>
      <c r="M3509" s="369" cm="1">
        <f t="array" ref="M3509">+_xlfn.IFS((C3509&gt;='Resultats - informe'!$D$26)*(C3509&lt;='Resultats - informe'!$E$26),0,(C3509&gt;='Resultats - informe'!$D$27)*(C3509&lt;='Resultats - informe'!$E$27),0,(C3509&gt;='Resultats - informe'!$D$28)*(C3509&lt;='Resultats - informe'!$E$28),0,(C3509&gt;='Resultats - informe'!$D$29)*(C3509&lt;='Resultats - informe'!$E$29),0,1,1)</f>
        <v>0</v>
      </c>
      <c r="N3509" s="366">
        <f>+VLOOKUP(D3509,'Resultats - informe'!$Y$18:$AG$42,'Introducció dades consum'!K3509+1,0)</f>
        <v>0</v>
      </c>
      <c r="O3509" s="370" cm="1">
        <f t="array" ref="O3509">+_xlfn.SWITCH(MONTH(C3509),1,1,2,1,3,1,4,2,5,2,6,3,7,3,8,3,9,3,10,2,11,2,12,1,2)</f>
        <v>1</v>
      </c>
      <c r="P3509" s="43"/>
    </row>
    <row r="3510" spans="1:16" ht="18" x14ac:dyDescent="0.35">
      <c r="A3510" s="43"/>
      <c r="C3510" s="393"/>
      <c r="E3510" s="394"/>
      <c r="F3510" s="394">
        <v>0</v>
      </c>
      <c r="G3510" s="394"/>
      <c r="H3510" s="8" t="s">
        <v>235</v>
      </c>
      <c r="I3510" s="368">
        <f t="shared" si="163"/>
        <v>0</v>
      </c>
      <c r="J3510" s="365">
        <f t="shared" si="162"/>
        <v>0</v>
      </c>
      <c r="K3510" s="369">
        <f t="shared" si="164"/>
        <v>6</v>
      </c>
      <c r="L3510" s="369">
        <f>+IF((C3510&gt;='Resultats - informe'!$E$16)*(C3510&lt;='Resultats - informe'!$G$16),1,0)</f>
        <v>1</v>
      </c>
      <c r="M3510" s="369" cm="1">
        <f t="array" ref="M3510">+_xlfn.IFS((C3510&gt;='Resultats - informe'!$D$26)*(C3510&lt;='Resultats - informe'!$E$26),0,(C3510&gt;='Resultats - informe'!$D$27)*(C3510&lt;='Resultats - informe'!$E$27),0,(C3510&gt;='Resultats - informe'!$D$28)*(C3510&lt;='Resultats - informe'!$E$28),0,(C3510&gt;='Resultats - informe'!$D$29)*(C3510&lt;='Resultats - informe'!$E$29),0,1,1)</f>
        <v>0</v>
      </c>
      <c r="N3510" s="366">
        <f>+VLOOKUP(D3510,'Resultats - informe'!$Y$18:$AG$42,'Introducció dades consum'!K3510+1,0)</f>
        <v>0</v>
      </c>
      <c r="O3510" s="370" cm="1">
        <f t="array" ref="O3510">+_xlfn.SWITCH(MONTH(C3510),1,1,2,1,3,1,4,2,5,2,6,3,7,3,8,3,9,3,10,2,11,2,12,1,2)</f>
        <v>1</v>
      </c>
      <c r="P3510" s="43"/>
    </row>
    <row r="3511" spans="1:16" ht="18" x14ac:dyDescent="0.35">
      <c r="A3511" s="43"/>
      <c r="C3511" s="393"/>
      <c r="E3511" s="394"/>
      <c r="F3511" s="394">
        <v>0</v>
      </c>
      <c r="G3511" s="394"/>
      <c r="H3511" s="8" t="s">
        <v>235</v>
      </c>
      <c r="I3511" s="368">
        <f t="shared" si="163"/>
        <v>0</v>
      </c>
      <c r="J3511" s="365">
        <f t="shared" si="162"/>
        <v>0</v>
      </c>
      <c r="K3511" s="369">
        <f t="shared" si="164"/>
        <v>6</v>
      </c>
      <c r="L3511" s="369">
        <f>+IF((C3511&gt;='Resultats - informe'!$E$16)*(C3511&lt;='Resultats - informe'!$G$16),1,0)</f>
        <v>1</v>
      </c>
      <c r="M3511" s="369" cm="1">
        <f t="array" ref="M3511">+_xlfn.IFS((C3511&gt;='Resultats - informe'!$D$26)*(C3511&lt;='Resultats - informe'!$E$26),0,(C3511&gt;='Resultats - informe'!$D$27)*(C3511&lt;='Resultats - informe'!$E$27),0,(C3511&gt;='Resultats - informe'!$D$28)*(C3511&lt;='Resultats - informe'!$E$28),0,(C3511&gt;='Resultats - informe'!$D$29)*(C3511&lt;='Resultats - informe'!$E$29),0,1,1)</f>
        <v>0</v>
      </c>
      <c r="N3511" s="366">
        <f>+VLOOKUP(D3511,'Resultats - informe'!$Y$18:$AG$42,'Introducció dades consum'!K3511+1,0)</f>
        <v>0</v>
      </c>
      <c r="O3511" s="370" cm="1">
        <f t="array" ref="O3511">+_xlfn.SWITCH(MONTH(C3511),1,1,2,1,3,1,4,2,5,2,6,3,7,3,8,3,9,3,10,2,11,2,12,1,2)</f>
        <v>1</v>
      </c>
      <c r="P3511" s="43"/>
    </row>
    <row r="3512" spans="1:16" ht="18" x14ac:dyDescent="0.35">
      <c r="A3512" s="43"/>
      <c r="C3512" s="393"/>
      <c r="E3512" s="394"/>
      <c r="F3512" s="394">
        <v>0</v>
      </c>
      <c r="G3512" s="394"/>
      <c r="H3512" s="8" t="s">
        <v>61</v>
      </c>
      <c r="I3512" s="368">
        <f t="shared" si="163"/>
        <v>0</v>
      </c>
      <c r="J3512" s="365">
        <f t="shared" si="162"/>
        <v>0</v>
      </c>
      <c r="K3512" s="369">
        <f t="shared" si="164"/>
        <v>6</v>
      </c>
      <c r="L3512" s="369">
        <f>+IF((C3512&gt;='Resultats - informe'!$E$16)*(C3512&lt;='Resultats - informe'!$G$16),1,0)</f>
        <v>1</v>
      </c>
      <c r="M3512" s="369" cm="1">
        <f t="array" ref="M3512">+_xlfn.IFS((C3512&gt;='Resultats - informe'!$D$26)*(C3512&lt;='Resultats - informe'!$E$26),0,(C3512&gt;='Resultats - informe'!$D$27)*(C3512&lt;='Resultats - informe'!$E$27),0,(C3512&gt;='Resultats - informe'!$D$28)*(C3512&lt;='Resultats - informe'!$E$28),0,(C3512&gt;='Resultats - informe'!$D$29)*(C3512&lt;='Resultats - informe'!$E$29),0,1,1)</f>
        <v>0</v>
      </c>
      <c r="N3512" s="366">
        <f>+VLOOKUP(D3512,'Resultats - informe'!$Y$18:$AG$42,'Introducció dades consum'!K3512+1,0)</f>
        <v>0</v>
      </c>
      <c r="O3512" s="370" cm="1">
        <f t="array" ref="O3512">+_xlfn.SWITCH(MONTH(C3512),1,1,2,1,3,1,4,2,5,2,6,3,7,3,8,3,9,3,10,2,11,2,12,1,2)</f>
        <v>1</v>
      </c>
      <c r="P3512" s="43"/>
    </row>
    <row r="3513" spans="1:16" ht="18" x14ac:dyDescent="0.35">
      <c r="A3513" s="43"/>
      <c r="C3513" s="393"/>
      <c r="E3513" s="394"/>
      <c r="F3513" s="394">
        <v>0</v>
      </c>
      <c r="G3513" s="394"/>
      <c r="H3513" s="8" t="s">
        <v>61</v>
      </c>
      <c r="I3513" s="368">
        <f t="shared" si="163"/>
        <v>0</v>
      </c>
      <c r="J3513" s="365">
        <f t="shared" si="162"/>
        <v>0</v>
      </c>
      <c r="K3513" s="369">
        <f t="shared" si="164"/>
        <v>6</v>
      </c>
      <c r="L3513" s="369">
        <f>+IF((C3513&gt;='Resultats - informe'!$E$16)*(C3513&lt;='Resultats - informe'!$G$16),1,0)</f>
        <v>1</v>
      </c>
      <c r="M3513" s="369" cm="1">
        <f t="array" ref="M3513">+_xlfn.IFS((C3513&gt;='Resultats - informe'!$D$26)*(C3513&lt;='Resultats - informe'!$E$26),0,(C3513&gt;='Resultats - informe'!$D$27)*(C3513&lt;='Resultats - informe'!$E$27),0,(C3513&gt;='Resultats - informe'!$D$28)*(C3513&lt;='Resultats - informe'!$E$28),0,(C3513&gt;='Resultats - informe'!$D$29)*(C3513&lt;='Resultats - informe'!$E$29),0,1,1)</f>
        <v>0</v>
      </c>
      <c r="N3513" s="366">
        <f>+VLOOKUP(D3513,'Resultats - informe'!$Y$18:$AG$42,'Introducció dades consum'!K3513+1,0)</f>
        <v>0</v>
      </c>
      <c r="O3513" s="370" cm="1">
        <f t="array" ref="O3513">+_xlfn.SWITCH(MONTH(C3513),1,1,2,1,3,1,4,2,5,2,6,3,7,3,8,3,9,3,10,2,11,2,12,1,2)</f>
        <v>1</v>
      </c>
      <c r="P3513" s="43"/>
    </row>
    <row r="3514" spans="1:16" ht="18" x14ac:dyDescent="0.35">
      <c r="A3514" s="43"/>
      <c r="C3514" s="393"/>
      <c r="E3514" s="394"/>
      <c r="F3514" s="394">
        <v>0</v>
      </c>
      <c r="G3514" s="394"/>
      <c r="H3514" s="8" t="s">
        <v>61</v>
      </c>
      <c r="I3514" s="368">
        <f t="shared" si="163"/>
        <v>0</v>
      </c>
      <c r="J3514" s="365">
        <f t="shared" si="162"/>
        <v>0</v>
      </c>
      <c r="K3514" s="369">
        <f t="shared" si="164"/>
        <v>6</v>
      </c>
      <c r="L3514" s="369">
        <f>+IF((C3514&gt;='Resultats - informe'!$E$16)*(C3514&lt;='Resultats - informe'!$G$16),1,0)</f>
        <v>1</v>
      </c>
      <c r="M3514" s="369" cm="1">
        <f t="array" ref="M3514">+_xlfn.IFS((C3514&gt;='Resultats - informe'!$D$26)*(C3514&lt;='Resultats - informe'!$E$26),0,(C3514&gt;='Resultats - informe'!$D$27)*(C3514&lt;='Resultats - informe'!$E$27),0,(C3514&gt;='Resultats - informe'!$D$28)*(C3514&lt;='Resultats - informe'!$E$28),0,(C3514&gt;='Resultats - informe'!$D$29)*(C3514&lt;='Resultats - informe'!$E$29),0,1,1)</f>
        <v>0</v>
      </c>
      <c r="N3514" s="366">
        <f>+VLOOKUP(D3514,'Resultats - informe'!$Y$18:$AG$42,'Introducció dades consum'!K3514+1,0)</f>
        <v>0</v>
      </c>
      <c r="O3514" s="370" cm="1">
        <f t="array" ref="O3514">+_xlfn.SWITCH(MONTH(C3514),1,1,2,1,3,1,4,2,5,2,6,3,7,3,8,3,9,3,10,2,11,2,12,1,2)</f>
        <v>1</v>
      </c>
      <c r="P3514" s="43"/>
    </row>
    <row r="3515" spans="1:16" ht="18" x14ac:dyDescent="0.35">
      <c r="A3515" s="43"/>
      <c r="C3515" s="393"/>
      <c r="E3515" s="394"/>
      <c r="F3515" s="394">
        <v>3.5999999999999997E-2</v>
      </c>
      <c r="G3515" s="394"/>
      <c r="H3515" s="8" t="s">
        <v>61</v>
      </c>
      <c r="I3515" s="368">
        <f t="shared" si="163"/>
        <v>0</v>
      </c>
      <c r="J3515" s="365">
        <f t="shared" ref="J3515:J3578" si="165">+C3515</f>
        <v>0</v>
      </c>
      <c r="K3515" s="369">
        <f t="shared" si="164"/>
        <v>6</v>
      </c>
      <c r="L3515" s="369">
        <f>+IF((C3515&gt;='Resultats - informe'!$E$16)*(C3515&lt;='Resultats - informe'!$G$16),1,0)</f>
        <v>1</v>
      </c>
      <c r="M3515" s="369" cm="1">
        <f t="array" ref="M3515">+_xlfn.IFS((C3515&gt;='Resultats - informe'!$D$26)*(C3515&lt;='Resultats - informe'!$E$26),0,(C3515&gt;='Resultats - informe'!$D$27)*(C3515&lt;='Resultats - informe'!$E$27),0,(C3515&gt;='Resultats - informe'!$D$28)*(C3515&lt;='Resultats - informe'!$E$28),0,(C3515&gt;='Resultats - informe'!$D$29)*(C3515&lt;='Resultats - informe'!$E$29),0,1,1)</f>
        <v>0</v>
      </c>
      <c r="N3515" s="366">
        <f>+VLOOKUP(D3515,'Resultats - informe'!$Y$18:$AG$42,'Introducció dades consum'!K3515+1,0)</f>
        <v>0</v>
      </c>
      <c r="O3515" s="370" cm="1">
        <f t="array" ref="O3515">+_xlfn.SWITCH(MONTH(C3515),1,1,2,1,3,1,4,2,5,2,6,3,7,3,8,3,9,3,10,2,11,2,12,1,2)</f>
        <v>1</v>
      </c>
      <c r="P3515" s="43"/>
    </row>
    <row r="3516" spans="1:16" ht="18" x14ac:dyDescent="0.35">
      <c r="A3516" s="43"/>
      <c r="C3516" s="393"/>
      <c r="E3516" s="394"/>
      <c r="F3516" s="394">
        <v>1.0840000000000001</v>
      </c>
      <c r="G3516" s="394"/>
      <c r="H3516" s="8" t="s">
        <v>235</v>
      </c>
      <c r="I3516" s="368">
        <f t="shared" si="163"/>
        <v>0</v>
      </c>
      <c r="J3516" s="365">
        <f t="shared" si="165"/>
        <v>0</v>
      </c>
      <c r="K3516" s="369">
        <f t="shared" si="164"/>
        <v>6</v>
      </c>
      <c r="L3516" s="369">
        <f>+IF((C3516&gt;='Resultats - informe'!$E$16)*(C3516&lt;='Resultats - informe'!$G$16),1,0)</f>
        <v>1</v>
      </c>
      <c r="M3516" s="369" cm="1">
        <f t="array" ref="M3516">+_xlfn.IFS((C3516&gt;='Resultats - informe'!$D$26)*(C3516&lt;='Resultats - informe'!$E$26),0,(C3516&gt;='Resultats - informe'!$D$27)*(C3516&lt;='Resultats - informe'!$E$27),0,(C3516&gt;='Resultats - informe'!$D$28)*(C3516&lt;='Resultats - informe'!$E$28),0,(C3516&gt;='Resultats - informe'!$D$29)*(C3516&lt;='Resultats - informe'!$E$29),0,1,1)</f>
        <v>0</v>
      </c>
      <c r="N3516" s="366">
        <f>+VLOOKUP(D3516,'Resultats - informe'!$Y$18:$AG$42,'Introducció dades consum'!K3516+1,0)</f>
        <v>0</v>
      </c>
      <c r="O3516" s="370" cm="1">
        <f t="array" ref="O3516">+_xlfn.SWITCH(MONTH(C3516),1,1,2,1,3,1,4,2,5,2,6,3,7,3,8,3,9,3,10,2,11,2,12,1,2)</f>
        <v>1</v>
      </c>
      <c r="P3516" s="43"/>
    </row>
    <row r="3517" spans="1:16" ht="18" x14ac:dyDescent="0.35">
      <c r="A3517" s="43"/>
      <c r="C3517" s="393"/>
      <c r="E3517" s="394"/>
      <c r="F3517" s="394">
        <v>2.46</v>
      </c>
      <c r="G3517" s="394"/>
      <c r="H3517" s="8" t="s">
        <v>235</v>
      </c>
      <c r="I3517" s="368">
        <f t="shared" si="163"/>
        <v>0</v>
      </c>
      <c r="J3517" s="365">
        <f t="shared" si="165"/>
        <v>0</v>
      </c>
      <c r="K3517" s="369">
        <f t="shared" si="164"/>
        <v>6</v>
      </c>
      <c r="L3517" s="369">
        <f>+IF((C3517&gt;='Resultats - informe'!$E$16)*(C3517&lt;='Resultats - informe'!$G$16),1,0)</f>
        <v>1</v>
      </c>
      <c r="M3517" s="369" cm="1">
        <f t="array" ref="M3517">+_xlfn.IFS((C3517&gt;='Resultats - informe'!$D$26)*(C3517&lt;='Resultats - informe'!$E$26),0,(C3517&gt;='Resultats - informe'!$D$27)*(C3517&lt;='Resultats - informe'!$E$27),0,(C3517&gt;='Resultats - informe'!$D$28)*(C3517&lt;='Resultats - informe'!$E$28),0,(C3517&gt;='Resultats - informe'!$D$29)*(C3517&lt;='Resultats - informe'!$E$29),0,1,1)</f>
        <v>0</v>
      </c>
      <c r="N3517" s="366">
        <f>+VLOOKUP(D3517,'Resultats - informe'!$Y$18:$AG$42,'Introducció dades consum'!K3517+1,0)</f>
        <v>0</v>
      </c>
      <c r="O3517" s="370" cm="1">
        <f t="array" ref="O3517">+_xlfn.SWITCH(MONTH(C3517),1,1,2,1,3,1,4,2,5,2,6,3,7,3,8,3,9,3,10,2,11,2,12,1,2)</f>
        <v>1</v>
      </c>
      <c r="P3517" s="43"/>
    </row>
    <row r="3518" spans="1:16" ht="18" x14ac:dyDescent="0.35">
      <c r="A3518" s="43"/>
      <c r="C3518" s="393"/>
      <c r="E3518" s="394"/>
      <c r="F3518" s="394">
        <v>3.8809999999999998</v>
      </c>
      <c r="G3518" s="394"/>
      <c r="H3518" s="8" t="s">
        <v>235</v>
      </c>
      <c r="I3518" s="368">
        <f t="shared" si="163"/>
        <v>0</v>
      </c>
      <c r="J3518" s="365">
        <f t="shared" si="165"/>
        <v>0</v>
      </c>
      <c r="K3518" s="369">
        <f t="shared" si="164"/>
        <v>6</v>
      </c>
      <c r="L3518" s="369">
        <f>+IF((C3518&gt;='Resultats - informe'!$E$16)*(C3518&lt;='Resultats - informe'!$G$16),1,0)</f>
        <v>1</v>
      </c>
      <c r="M3518" s="369" cm="1">
        <f t="array" ref="M3518">+_xlfn.IFS((C3518&gt;='Resultats - informe'!$D$26)*(C3518&lt;='Resultats - informe'!$E$26),0,(C3518&gt;='Resultats - informe'!$D$27)*(C3518&lt;='Resultats - informe'!$E$27),0,(C3518&gt;='Resultats - informe'!$D$28)*(C3518&lt;='Resultats - informe'!$E$28),0,(C3518&gt;='Resultats - informe'!$D$29)*(C3518&lt;='Resultats - informe'!$E$29),0,1,1)</f>
        <v>0</v>
      </c>
      <c r="N3518" s="366">
        <f>+VLOOKUP(D3518,'Resultats - informe'!$Y$18:$AG$42,'Introducció dades consum'!K3518+1,0)</f>
        <v>0</v>
      </c>
      <c r="O3518" s="370" cm="1">
        <f t="array" ref="O3518">+_xlfn.SWITCH(MONTH(C3518),1,1,2,1,3,1,4,2,5,2,6,3,7,3,8,3,9,3,10,2,11,2,12,1,2)</f>
        <v>1</v>
      </c>
      <c r="P3518" s="43"/>
    </row>
    <row r="3519" spans="1:16" ht="18" x14ac:dyDescent="0.35">
      <c r="A3519" s="43"/>
      <c r="C3519" s="393"/>
      <c r="E3519" s="394"/>
      <c r="F3519" s="394">
        <v>4.0830000000000002</v>
      </c>
      <c r="G3519" s="394"/>
      <c r="H3519" s="8" t="s">
        <v>235</v>
      </c>
      <c r="I3519" s="368">
        <f t="shared" si="163"/>
        <v>0</v>
      </c>
      <c r="J3519" s="365">
        <f t="shared" si="165"/>
        <v>0</v>
      </c>
      <c r="K3519" s="369">
        <f t="shared" si="164"/>
        <v>6</v>
      </c>
      <c r="L3519" s="369">
        <f>+IF((C3519&gt;='Resultats - informe'!$E$16)*(C3519&lt;='Resultats - informe'!$G$16),1,0)</f>
        <v>1</v>
      </c>
      <c r="M3519" s="369" cm="1">
        <f t="array" ref="M3519">+_xlfn.IFS((C3519&gt;='Resultats - informe'!$D$26)*(C3519&lt;='Resultats - informe'!$E$26),0,(C3519&gt;='Resultats - informe'!$D$27)*(C3519&lt;='Resultats - informe'!$E$27),0,(C3519&gt;='Resultats - informe'!$D$28)*(C3519&lt;='Resultats - informe'!$E$28),0,(C3519&gt;='Resultats - informe'!$D$29)*(C3519&lt;='Resultats - informe'!$E$29),0,1,1)</f>
        <v>0</v>
      </c>
      <c r="N3519" s="366">
        <f>+VLOOKUP(D3519,'Resultats - informe'!$Y$18:$AG$42,'Introducció dades consum'!K3519+1,0)</f>
        <v>0</v>
      </c>
      <c r="O3519" s="370" cm="1">
        <f t="array" ref="O3519">+_xlfn.SWITCH(MONTH(C3519),1,1,2,1,3,1,4,2,5,2,6,3,7,3,8,3,9,3,10,2,11,2,12,1,2)</f>
        <v>1</v>
      </c>
      <c r="P3519" s="43"/>
    </row>
    <row r="3520" spans="1:16" ht="18" x14ac:dyDescent="0.35">
      <c r="A3520" s="43"/>
      <c r="C3520" s="393"/>
      <c r="E3520" s="394"/>
      <c r="F3520" s="394">
        <v>5.6550000000000002</v>
      </c>
      <c r="G3520" s="394"/>
      <c r="H3520" s="8" t="s">
        <v>61</v>
      </c>
      <c r="I3520" s="368">
        <f t="shared" si="163"/>
        <v>0</v>
      </c>
      <c r="J3520" s="365">
        <f t="shared" si="165"/>
        <v>0</v>
      </c>
      <c r="K3520" s="369">
        <f t="shared" si="164"/>
        <v>6</v>
      </c>
      <c r="L3520" s="369">
        <f>+IF((C3520&gt;='Resultats - informe'!$E$16)*(C3520&lt;='Resultats - informe'!$G$16),1,0)</f>
        <v>1</v>
      </c>
      <c r="M3520" s="369" cm="1">
        <f t="array" ref="M3520">+_xlfn.IFS((C3520&gt;='Resultats - informe'!$D$26)*(C3520&lt;='Resultats - informe'!$E$26),0,(C3520&gt;='Resultats - informe'!$D$27)*(C3520&lt;='Resultats - informe'!$E$27),0,(C3520&gt;='Resultats - informe'!$D$28)*(C3520&lt;='Resultats - informe'!$E$28),0,(C3520&gt;='Resultats - informe'!$D$29)*(C3520&lt;='Resultats - informe'!$E$29),0,1,1)</f>
        <v>0</v>
      </c>
      <c r="N3520" s="366">
        <f>+VLOOKUP(D3520,'Resultats - informe'!$Y$18:$AG$42,'Introducció dades consum'!K3520+1,0)</f>
        <v>0</v>
      </c>
      <c r="O3520" s="370" cm="1">
        <f t="array" ref="O3520">+_xlfn.SWITCH(MONTH(C3520),1,1,2,1,3,1,4,2,5,2,6,3,7,3,8,3,9,3,10,2,11,2,12,1,2)</f>
        <v>1</v>
      </c>
      <c r="P3520" s="43"/>
    </row>
    <row r="3521" spans="1:16" ht="18" x14ac:dyDescent="0.35">
      <c r="A3521" s="43"/>
      <c r="C3521" s="393"/>
      <c r="E3521" s="394"/>
      <c r="F3521" s="394">
        <v>5.0110000000000001</v>
      </c>
      <c r="G3521" s="394"/>
      <c r="H3521" s="8" t="s">
        <v>61</v>
      </c>
      <c r="I3521" s="368">
        <f t="shared" si="163"/>
        <v>0</v>
      </c>
      <c r="J3521" s="365">
        <f t="shared" si="165"/>
        <v>0</v>
      </c>
      <c r="K3521" s="369">
        <f t="shared" si="164"/>
        <v>6</v>
      </c>
      <c r="L3521" s="369">
        <f>+IF((C3521&gt;='Resultats - informe'!$E$16)*(C3521&lt;='Resultats - informe'!$G$16),1,0)</f>
        <v>1</v>
      </c>
      <c r="M3521" s="369" cm="1">
        <f t="array" ref="M3521">+_xlfn.IFS((C3521&gt;='Resultats - informe'!$D$26)*(C3521&lt;='Resultats - informe'!$E$26),0,(C3521&gt;='Resultats - informe'!$D$27)*(C3521&lt;='Resultats - informe'!$E$27),0,(C3521&gt;='Resultats - informe'!$D$28)*(C3521&lt;='Resultats - informe'!$E$28),0,(C3521&gt;='Resultats - informe'!$D$29)*(C3521&lt;='Resultats - informe'!$E$29),0,1,1)</f>
        <v>0</v>
      </c>
      <c r="N3521" s="366">
        <f>+VLOOKUP(D3521,'Resultats - informe'!$Y$18:$AG$42,'Introducció dades consum'!K3521+1,0)</f>
        <v>0</v>
      </c>
      <c r="O3521" s="370" cm="1">
        <f t="array" ref="O3521">+_xlfn.SWITCH(MONTH(C3521),1,1,2,1,3,1,4,2,5,2,6,3,7,3,8,3,9,3,10,2,11,2,12,1,2)</f>
        <v>1</v>
      </c>
      <c r="P3521" s="43"/>
    </row>
    <row r="3522" spans="1:16" ht="18" x14ac:dyDescent="0.35">
      <c r="A3522" s="43"/>
      <c r="C3522" s="393"/>
      <c r="E3522" s="394"/>
      <c r="F3522" s="394">
        <v>2.2480000000000002</v>
      </c>
      <c r="G3522" s="394"/>
      <c r="H3522" s="8" t="s">
        <v>235</v>
      </c>
      <c r="I3522" s="368">
        <f t="shared" si="163"/>
        <v>0</v>
      </c>
      <c r="J3522" s="365">
        <f t="shared" si="165"/>
        <v>0</v>
      </c>
      <c r="K3522" s="369">
        <f t="shared" si="164"/>
        <v>6</v>
      </c>
      <c r="L3522" s="369">
        <f>+IF((C3522&gt;='Resultats - informe'!$E$16)*(C3522&lt;='Resultats - informe'!$G$16),1,0)</f>
        <v>1</v>
      </c>
      <c r="M3522" s="369" cm="1">
        <f t="array" ref="M3522">+_xlfn.IFS((C3522&gt;='Resultats - informe'!$D$26)*(C3522&lt;='Resultats - informe'!$E$26),0,(C3522&gt;='Resultats - informe'!$D$27)*(C3522&lt;='Resultats - informe'!$E$27),0,(C3522&gt;='Resultats - informe'!$D$28)*(C3522&lt;='Resultats - informe'!$E$28),0,(C3522&gt;='Resultats - informe'!$D$29)*(C3522&lt;='Resultats - informe'!$E$29),0,1,1)</f>
        <v>0</v>
      </c>
      <c r="N3522" s="366">
        <f>+VLOOKUP(D3522,'Resultats - informe'!$Y$18:$AG$42,'Introducció dades consum'!K3522+1,0)</f>
        <v>0</v>
      </c>
      <c r="O3522" s="370" cm="1">
        <f t="array" ref="O3522">+_xlfn.SWITCH(MONTH(C3522),1,1,2,1,3,1,4,2,5,2,6,3,7,3,8,3,9,3,10,2,11,2,12,1,2)</f>
        <v>1</v>
      </c>
      <c r="P3522" s="43"/>
    </row>
    <row r="3523" spans="1:16" ht="18" x14ac:dyDescent="0.35">
      <c r="A3523" s="43"/>
      <c r="C3523" s="393"/>
      <c r="E3523" s="394"/>
      <c r="F3523" s="394">
        <v>1.4710000000000001</v>
      </c>
      <c r="G3523" s="394"/>
      <c r="H3523" s="8" t="s">
        <v>235</v>
      </c>
      <c r="I3523" s="368">
        <f t="shared" si="163"/>
        <v>0</v>
      </c>
      <c r="J3523" s="365">
        <f t="shared" si="165"/>
        <v>0</v>
      </c>
      <c r="K3523" s="369">
        <f t="shared" si="164"/>
        <v>6</v>
      </c>
      <c r="L3523" s="369">
        <f>+IF((C3523&gt;='Resultats - informe'!$E$16)*(C3523&lt;='Resultats - informe'!$G$16),1,0)</f>
        <v>1</v>
      </c>
      <c r="M3523" s="369" cm="1">
        <f t="array" ref="M3523">+_xlfn.IFS((C3523&gt;='Resultats - informe'!$D$26)*(C3523&lt;='Resultats - informe'!$E$26),0,(C3523&gt;='Resultats - informe'!$D$27)*(C3523&lt;='Resultats - informe'!$E$27),0,(C3523&gt;='Resultats - informe'!$D$28)*(C3523&lt;='Resultats - informe'!$E$28),0,(C3523&gt;='Resultats - informe'!$D$29)*(C3523&lt;='Resultats - informe'!$E$29),0,1,1)</f>
        <v>0</v>
      </c>
      <c r="N3523" s="366">
        <f>+VLOOKUP(D3523,'Resultats - informe'!$Y$18:$AG$42,'Introducció dades consum'!K3523+1,0)</f>
        <v>0</v>
      </c>
      <c r="O3523" s="370" cm="1">
        <f t="array" ref="O3523">+_xlfn.SWITCH(MONTH(C3523),1,1,2,1,3,1,4,2,5,2,6,3,7,3,8,3,9,3,10,2,11,2,12,1,2)</f>
        <v>1</v>
      </c>
      <c r="P3523" s="43"/>
    </row>
    <row r="3524" spans="1:16" ht="18" x14ac:dyDescent="0.35">
      <c r="A3524" s="43"/>
      <c r="C3524" s="393"/>
      <c r="E3524" s="394"/>
      <c r="F3524" s="394">
        <v>0</v>
      </c>
      <c r="G3524" s="394"/>
      <c r="H3524" s="8" t="s">
        <v>235</v>
      </c>
      <c r="I3524" s="368">
        <f t="shared" si="163"/>
        <v>0</v>
      </c>
      <c r="J3524" s="365">
        <f t="shared" si="165"/>
        <v>0</v>
      </c>
      <c r="K3524" s="369">
        <f t="shared" si="164"/>
        <v>6</v>
      </c>
      <c r="L3524" s="369">
        <f>+IF((C3524&gt;='Resultats - informe'!$E$16)*(C3524&lt;='Resultats - informe'!$G$16),1,0)</f>
        <v>1</v>
      </c>
      <c r="M3524" s="369" cm="1">
        <f t="array" ref="M3524">+_xlfn.IFS((C3524&gt;='Resultats - informe'!$D$26)*(C3524&lt;='Resultats - informe'!$E$26),0,(C3524&gt;='Resultats - informe'!$D$27)*(C3524&lt;='Resultats - informe'!$E$27),0,(C3524&gt;='Resultats - informe'!$D$28)*(C3524&lt;='Resultats - informe'!$E$28),0,(C3524&gt;='Resultats - informe'!$D$29)*(C3524&lt;='Resultats - informe'!$E$29),0,1,1)</f>
        <v>0</v>
      </c>
      <c r="N3524" s="366">
        <f>+VLOOKUP(D3524,'Resultats - informe'!$Y$18:$AG$42,'Introducció dades consum'!K3524+1,0)</f>
        <v>0</v>
      </c>
      <c r="O3524" s="370" cm="1">
        <f t="array" ref="O3524">+_xlfn.SWITCH(MONTH(C3524),1,1,2,1,3,1,4,2,5,2,6,3,7,3,8,3,9,3,10,2,11,2,12,1,2)</f>
        <v>1</v>
      </c>
      <c r="P3524" s="43"/>
    </row>
    <row r="3525" spans="1:16" ht="18" x14ac:dyDescent="0.35">
      <c r="A3525" s="43"/>
      <c r="C3525" s="393"/>
      <c r="E3525" s="394"/>
      <c r="F3525" s="394">
        <v>0</v>
      </c>
      <c r="G3525" s="394"/>
      <c r="H3525" s="8" t="s">
        <v>235</v>
      </c>
      <c r="I3525" s="368">
        <f t="shared" si="163"/>
        <v>0</v>
      </c>
      <c r="J3525" s="365">
        <f t="shared" si="165"/>
        <v>0</v>
      </c>
      <c r="K3525" s="369">
        <f t="shared" si="164"/>
        <v>6</v>
      </c>
      <c r="L3525" s="369">
        <f>+IF((C3525&gt;='Resultats - informe'!$E$16)*(C3525&lt;='Resultats - informe'!$G$16),1,0)</f>
        <v>1</v>
      </c>
      <c r="M3525" s="369" cm="1">
        <f t="array" ref="M3525">+_xlfn.IFS((C3525&gt;='Resultats - informe'!$D$26)*(C3525&lt;='Resultats - informe'!$E$26),0,(C3525&gt;='Resultats - informe'!$D$27)*(C3525&lt;='Resultats - informe'!$E$27),0,(C3525&gt;='Resultats - informe'!$D$28)*(C3525&lt;='Resultats - informe'!$E$28),0,(C3525&gt;='Resultats - informe'!$D$29)*(C3525&lt;='Resultats - informe'!$E$29),0,1,1)</f>
        <v>0</v>
      </c>
      <c r="N3525" s="366">
        <f>+VLOOKUP(D3525,'Resultats - informe'!$Y$18:$AG$42,'Introducció dades consum'!K3525+1,0)</f>
        <v>0</v>
      </c>
      <c r="O3525" s="370" cm="1">
        <f t="array" ref="O3525">+_xlfn.SWITCH(MONTH(C3525),1,1,2,1,3,1,4,2,5,2,6,3,7,3,8,3,9,3,10,2,11,2,12,1,2)</f>
        <v>1</v>
      </c>
      <c r="P3525" s="43"/>
    </row>
    <row r="3526" spans="1:16" ht="18" x14ac:dyDescent="0.35">
      <c r="A3526" s="43"/>
      <c r="C3526" s="393"/>
      <c r="E3526" s="394"/>
      <c r="F3526" s="394">
        <v>0</v>
      </c>
      <c r="G3526" s="394"/>
      <c r="H3526" s="8" t="s">
        <v>235</v>
      </c>
      <c r="I3526" s="368">
        <f t="shared" ref="I3526:I3589" si="166">+E3526+G3526</f>
        <v>0</v>
      </c>
      <c r="J3526" s="365">
        <f t="shared" si="165"/>
        <v>0</v>
      </c>
      <c r="K3526" s="369">
        <f t="shared" ref="K3526:K3589" si="167">+WEEKDAY(C3526,2)</f>
        <v>6</v>
      </c>
      <c r="L3526" s="369">
        <f>+IF((C3526&gt;='Resultats - informe'!$E$16)*(C3526&lt;='Resultats - informe'!$G$16),1,0)</f>
        <v>1</v>
      </c>
      <c r="M3526" s="369" cm="1">
        <f t="array" ref="M3526">+_xlfn.IFS((C3526&gt;='Resultats - informe'!$D$26)*(C3526&lt;='Resultats - informe'!$E$26),0,(C3526&gt;='Resultats - informe'!$D$27)*(C3526&lt;='Resultats - informe'!$E$27),0,(C3526&gt;='Resultats - informe'!$D$28)*(C3526&lt;='Resultats - informe'!$E$28),0,(C3526&gt;='Resultats - informe'!$D$29)*(C3526&lt;='Resultats - informe'!$E$29),0,1,1)</f>
        <v>0</v>
      </c>
      <c r="N3526" s="366">
        <f>+VLOOKUP(D3526,'Resultats - informe'!$Y$18:$AG$42,'Introducció dades consum'!K3526+1,0)</f>
        <v>0</v>
      </c>
      <c r="O3526" s="370" cm="1">
        <f t="array" ref="O3526">+_xlfn.SWITCH(MONTH(C3526),1,1,2,1,3,1,4,2,5,2,6,3,7,3,8,3,9,3,10,2,11,2,12,1,2)</f>
        <v>1</v>
      </c>
      <c r="P3526" s="43"/>
    </row>
    <row r="3527" spans="1:16" ht="18" x14ac:dyDescent="0.35">
      <c r="A3527" s="43"/>
      <c r="C3527" s="393"/>
      <c r="E3527" s="394"/>
      <c r="F3527" s="394">
        <v>0</v>
      </c>
      <c r="G3527" s="394"/>
      <c r="H3527" s="8" t="s">
        <v>235</v>
      </c>
      <c r="I3527" s="368">
        <f t="shared" si="166"/>
        <v>0</v>
      </c>
      <c r="J3527" s="365">
        <f t="shared" si="165"/>
        <v>0</v>
      </c>
      <c r="K3527" s="369">
        <f t="shared" si="167"/>
        <v>6</v>
      </c>
      <c r="L3527" s="369">
        <f>+IF((C3527&gt;='Resultats - informe'!$E$16)*(C3527&lt;='Resultats - informe'!$G$16),1,0)</f>
        <v>1</v>
      </c>
      <c r="M3527" s="369" cm="1">
        <f t="array" ref="M3527">+_xlfn.IFS((C3527&gt;='Resultats - informe'!$D$26)*(C3527&lt;='Resultats - informe'!$E$26),0,(C3527&gt;='Resultats - informe'!$D$27)*(C3527&lt;='Resultats - informe'!$E$27),0,(C3527&gt;='Resultats - informe'!$D$28)*(C3527&lt;='Resultats - informe'!$E$28),0,(C3527&gt;='Resultats - informe'!$D$29)*(C3527&lt;='Resultats - informe'!$E$29),0,1,1)</f>
        <v>0</v>
      </c>
      <c r="N3527" s="366">
        <f>+VLOOKUP(D3527,'Resultats - informe'!$Y$18:$AG$42,'Introducció dades consum'!K3527+1,0)</f>
        <v>0</v>
      </c>
      <c r="O3527" s="370" cm="1">
        <f t="array" ref="O3527">+_xlfn.SWITCH(MONTH(C3527),1,1,2,1,3,1,4,2,5,2,6,3,7,3,8,3,9,3,10,2,11,2,12,1,2)</f>
        <v>1</v>
      </c>
      <c r="P3527" s="43"/>
    </row>
    <row r="3528" spans="1:16" ht="18" x14ac:dyDescent="0.35">
      <c r="A3528" s="43"/>
      <c r="C3528" s="393"/>
      <c r="E3528" s="394"/>
      <c r="F3528" s="394">
        <v>0</v>
      </c>
      <c r="G3528" s="394"/>
      <c r="H3528" s="8" t="s">
        <v>235</v>
      </c>
      <c r="I3528" s="368">
        <f t="shared" si="166"/>
        <v>0</v>
      </c>
      <c r="J3528" s="365">
        <f t="shared" si="165"/>
        <v>0</v>
      </c>
      <c r="K3528" s="369">
        <f t="shared" si="167"/>
        <v>6</v>
      </c>
      <c r="L3528" s="369">
        <f>+IF((C3528&gt;='Resultats - informe'!$E$16)*(C3528&lt;='Resultats - informe'!$G$16),1,0)</f>
        <v>1</v>
      </c>
      <c r="M3528" s="369" cm="1">
        <f t="array" ref="M3528">+_xlfn.IFS((C3528&gt;='Resultats - informe'!$D$26)*(C3528&lt;='Resultats - informe'!$E$26),0,(C3528&gt;='Resultats - informe'!$D$27)*(C3528&lt;='Resultats - informe'!$E$27),0,(C3528&gt;='Resultats - informe'!$D$28)*(C3528&lt;='Resultats - informe'!$E$28),0,(C3528&gt;='Resultats - informe'!$D$29)*(C3528&lt;='Resultats - informe'!$E$29),0,1,1)</f>
        <v>0</v>
      </c>
      <c r="N3528" s="366">
        <f>+VLOOKUP(D3528,'Resultats - informe'!$Y$18:$AG$42,'Introducció dades consum'!K3528+1,0)</f>
        <v>0</v>
      </c>
      <c r="O3528" s="370" cm="1">
        <f t="array" ref="O3528">+_xlfn.SWITCH(MONTH(C3528),1,1,2,1,3,1,4,2,5,2,6,3,7,3,8,3,9,3,10,2,11,2,12,1,2)</f>
        <v>1</v>
      </c>
      <c r="P3528" s="43"/>
    </row>
    <row r="3529" spans="1:16" ht="18" x14ac:dyDescent="0.35">
      <c r="A3529" s="43"/>
      <c r="C3529" s="393"/>
      <c r="E3529" s="394"/>
      <c r="F3529" s="394">
        <v>0</v>
      </c>
      <c r="G3529" s="394"/>
      <c r="H3529" s="8" t="s">
        <v>235</v>
      </c>
      <c r="I3529" s="368">
        <f t="shared" si="166"/>
        <v>0</v>
      </c>
      <c r="J3529" s="365">
        <f t="shared" si="165"/>
        <v>0</v>
      </c>
      <c r="K3529" s="369">
        <f t="shared" si="167"/>
        <v>6</v>
      </c>
      <c r="L3529" s="369">
        <f>+IF((C3529&gt;='Resultats - informe'!$E$16)*(C3529&lt;='Resultats - informe'!$G$16),1,0)</f>
        <v>1</v>
      </c>
      <c r="M3529" s="369" cm="1">
        <f t="array" ref="M3529">+_xlfn.IFS((C3529&gt;='Resultats - informe'!$D$26)*(C3529&lt;='Resultats - informe'!$E$26),0,(C3529&gt;='Resultats - informe'!$D$27)*(C3529&lt;='Resultats - informe'!$E$27),0,(C3529&gt;='Resultats - informe'!$D$28)*(C3529&lt;='Resultats - informe'!$E$28),0,(C3529&gt;='Resultats - informe'!$D$29)*(C3529&lt;='Resultats - informe'!$E$29),0,1,1)</f>
        <v>0</v>
      </c>
      <c r="N3529" s="366">
        <f>+VLOOKUP(D3529,'Resultats - informe'!$Y$18:$AG$42,'Introducció dades consum'!K3529+1,0)</f>
        <v>0</v>
      </c>
      <c r="O3529" s="370" cm="1">
        <f t="array" ref="O3529">+_xlfn.SWITCH(MONTH(C3529),1,1,2,1,3,1,4,2,5,2,6,3,7,3,8,3,9,3,10,2,11,2,12,1,2)</f>
        <v>1</v>
      </c>
      <c r="P3529" s="43"/>
    </row>
    <row r="3530" spans="1:16" ht="18" x14ac:dyDescent="0.35">
      <c r="A3530" s="43"/>
      <c r="C3530" s="393"/>
      <c r="E3530" s="394"/>
      <c r="F3530" s="394">
        <v>0</v>
      </c>
      <c r="G3530" s="394"/>
      <c r="H3530" s="8" t="s">
        <v>235</v>
      </c>
      <c r="I3530" s="368">
        <f t="shared" si="166"/>
        <v>0</v>
      </c>
      <c r="J3530" s="365">
        <f t="shared" si="165"/>
        <v>0</v>
      </c>
      <c r="K3530" s="369">
        <f t="shared" si="167"/>
        <v>6</v>
      </c>
      <c r="L3530" s="369">
        <f>+IF((C3530&gt;='Resultats - informe'!$E$16)*(C3530&lt;='Resultats - informe'!$G$16),1,0)</f>
        <v>1</v>
      </c>
      <c r="M3530" s="369" cm="1">
        <f t="array" ref="M3530">+_xlfn.IFS((C3530&gt;='Resultats - informe'!$D$26)*(C3530&lt;='Resultats - informe'!$E$26),0,(C3530&gt;='Resultats - informe'!$D$27)*(C3530&lt;='Resultats - informe'!$E$27),0,(C3530&gt;='Resultats - informe'!$D$28)*(C3530&lt;='Resultats - informe'!$E$28),0,(C3530&gt;='Resultats - informe'!$D$29)*(C3530&lt;='Resultats - informe'!$E$29),0,1,1)</f>
        <v>0</v>
      </c>
      <c r="N3530" s="366">
        <f>+VLOOKUP(D3530,'Resultats - informe'!$Y$18:$AG$42,'Introducció dades consum'!K3530+1,0)</f>
        <v>0</v>
      </c>
      <c r="O3530" s="370" cm="1">
        <f t="array" ref="O3530">+_xlfn.SWITCH(MONTH(C3530),1,1,2,1,3,1,4,2,5,2,6,3,7,3,8,3,9,3,10,2,11,2,12,1,2)</f>
        <v>1</v>
      </c>
      <c r="P3530" s="43"/>
    </row>
    <row r="3531" spans="1:16" ht="18" x14ac:dyDescent="0.35">
      <c r="A3531" s="43"/>
      <c r="C3531" s="393"/>
      <c r="E3531" s="394"/>
      <c r="F3531" s="394">
        <v>0</v>
      </c>
      <c r="G3531" s="394"/>
      <c r="H3531" s="8" t="s">
        <v>235</v>
      </c>
      <c r="I3531" s="368">
        <f t="shared" si="166"/>
        <v>0</v>
      </c>
      <c r="J3531" s="365">
        <f t="shared" si="165"/>
        <v>0</v>
      </c>
      <c r="K3531" s="369">
        <f t="shared" si="167"/>
        <v>6</v>
      </c>
      <c r="L3531" s="369">
        <f>+IF((C3531&gt;='Resultats - informe'!$E$16)*(C3531&lt;='Resultats - informe'!$G$16),1,0)</f>
        <v>1</v>
      </c>
      <c r="M3531" s="369" cm="1">
        <f t="array" ref="M3531">+_xlfn.IFS((C3531&gt;='Resultats - informe'!$D$26)*(C3531&lt;='Resultats - informe'!$E$26),0,(C3531&gt;='Resultats - informe'!$D$27)*(C3531&lt;='Resultats - informe'!$E$27),0,(C3531&gt;='Resultats - informe'!$D$28)*(C3531&lt;='Resultats - informe'!$E$28),0,(C3531&gt;='Resultats - informe'!$D$29)*(C3531&lt;='Resultats - informe'!$E$29),0,1,1)</f>
        <v>0</v>
      </c>
      <c r="N3531" s="366">
        <f>+VLOOKUP(D3531,'Resultats - informe'!$Y$18:$AG$42,'Introducció dades consum'!K3531+1,0)</f>
        <v>0</v>
      </c>
      <c r="O3531" s="370" cm="1">
        <f t="array" ref="O3531">+_xlfn.SWITCH(MONTH(C3531),1,1,2,1,3,1,4,2,5,2,6,3,7,3,8,3,9,3,10,2,11,2,12,1,2)</f>
        <v>1</v>
      </c>
      <c r="P3531" s="43"/>
    </row>
    <row r="3532" spans="1:16" ht="18" x14ac:dyDescent="0.35">
      <c r="A3532" s="43"/>
      <c r="C3532" s="393"/>
      <c r="E3532" s="394"/>
      <c r="F3532" s="394">
        <v>0</v>
      </c>
      <c r="G3532" s="394"/>
      <c r="H3532" s="8" t="s">
        <v>61</v>
      </c>
      <c r="I3532" s="368">
        <f t="shared" si="166"/>
        <v>0</v>
      </c>
      <c r="J3532" s="365">
        <f t="shared" si="165"/>
        <v>0</v>
      </c>
      <c r="K3532" s="369">
        <f t="shared" si="167"/>
        <v>6</v>
      </c>
      <c r="L3532" s="369">
        <f>+IF((C3532&gt;='Resultats - informe'!$E$16)*(C3532&lt;='Resultats - informe'!$G$16),1,0)</f>
        <v>1</v>
      </c>
      <c r="M3532" s="369" cm="1">
        <f t="array" ref="M3532">+_xlfn.IFS((C3532&gt;='Resultats - informe'!$D$26)*(C3532&lt;='Resultats - informe'!$E$26),0,(C3532&gt;='Resultats - informe'!$D$27)*(C3532&lt;='Resultats - informe'!$E$27),0,(C3532&gt;='Resultats - informe'!$D$28)*(C3532&lt;='Resultats - informe'!$E$28),0,(C3532&gt;='Resultats - informe'!$D$29)*(C3532&lt;='Resultats - informe'!$E$29),0,1,1)</f>
        <v>0</v>
      </c>
      <c r="N3532" s="366">
        <f>+VLOOKUP(D3532,'Resultats - informe'!$Y$18:$AG$42,'Introducció dades consum'!K3532+1,0)</f>
        <v>0</v>
      </c>
      <c r="O3532" s="370" cm="1">
        <f t="array" ref="O3532">+_xlfn.SWITCH(MONTH(C3532),1,1,2,1,3,1,4,2,5,2,6,3,7,3,8,3,9,3,10,2,11,2,12,1,2)</f>
        <v>1</v>
      </c>
      <c r="P3532" s="43"/>
    </row>
    <row r="3533" spans="1:16" ht="18" x14ac:dyDescent="0.35">
      <c r="A3533" s="43"/>
      <c r="C3533" s="393"/>
      <c r="E3533" s="394"/>
      <c r="F3533" s="394">
        <v>0</v>
      </c>
      <c r="G3533" s="394"/>
      <c r="H3533" s="8" t="s">
        <v>61</v>
      </c>
      <c r="I3533" s="368">
        <f t="shared" si="166"/>
        <v>0</v>
      </c>
      <c r="J3533" s="365">
        <f t="shared" si="165"/>
        <v>0</v>
      </c>
      <c r="K3533" s="369">
        <f t="shared" si="167"/>
        <v>6</v>
      </c>
      <c r="L3533" s="369">
        <f>+IF((C3533&gt;='Resultats - informe'!$E$16)*(C3533&lt;='Resultats - informe'!$G$16),1,0)</f>
        <v>1</v>
      </c>
      <c r="M3533" s="369" cm="1">
        <f t="array" ref="M3533">+_xlfn.IFS((C3533&gt;='Resultats - informe'!$D$26)*(C3533&lt;='Resultats - informe'!$E$26),0,(C3533&gt;='Resultats - informe'!$D$27)*(C3533&lt;='Resultats - informe'!$E$27),0,(C3533&gt;='Resultats - informe'!$D$28)*(C3533&lt;='Resultats - informe'!$E$28),0,(C3533&gt;='Resultats - informe'!$D$29)*(C3533&lt;='Resultats - informe'!$E$29),0,1,1)</f>
        <v>0</v>
      </c>
      <c r="N3533" s="366">
        <f>+VLOOKUP(D3533,'Resultats - informe'!$Y$18:$AG$42,'Introducció dades consum'!K3533+1,0)</f>
        <v>0</v>
      </c>
      <c r="O3533" s="370" cm="1">
        <f t="array" ref="O3533">+_xlfn.SWITCH(MONTH(C3533),1,1,2,1,3,1,4,2,5,2,6,3,7,3,8,3,9,3,10,2,11,2,12,1,2)</f>
        <v>1</v>
      </c>
      <c r="P3533" s="43"/>
    </row>
    <row r="3534" spans="1:16" ht="18" x14ac:dyDescent="0.35">
      <c r="A3534" s="43"/>
      <c r="C3534" s="393"/>
      <c r="E3534" s="394"/>
      <c r="F3534" s="394">
        <v>0</v>
      </c>
      <c r="G3534" s="394"/>
      <c r="H3534" s="8" t="s">
        <v>235</v>
      </c>
      <c r="I3534" s="368">
        <f t="shared" si="166"/>
        <v>0</v>
      </c>
      <c r="J3534" s="365">
        <f t="shared" si="165"/>
        <v>0</v>
      </c>
      <c r="K3534" s="369">
        <f t="shared" si="167"/>
        <v>6</v>
      </c>
      <c r="L3534" s="369">
        <f>+IF((C3534&gt;='Resultats - informe'!$E$16)*(C3534&lt;='Resultats - informe'!$G$16),1,0)</f>
        <v>1</v>
      </c>
      <c r="M3534" s="369" cm="1">
        <f t="array" ref="M3534">+_xlfn.IFS((C3534&gt;='Resultats - informe'!$D$26)*(C3534&lt;='Resultats - informe'!$E$26),0,(C3534&gt;='Resultats - informe'!$D$27)*(C3534&lt;='Resultats - informe'!$E$27),0,(C3534&gt;='Resultats - informe'!$D$28)*(C3534&lt;='Resultats - informe'!$E$28),0,(C3534&gt;='Resultats - informe'!$D$29)*(C3534&lt;='Resultats - informe'!$E$29),0,1,1)</f>
        <v>0</v>
      </c>
      <c r="N3534" s="366">
        <f>+VLOOKUP(D3534,'Resultats - informe'!$Y$18:$AG$42,'Introducció dades consum'!K3534+1,0)</f>
        <v>0</v>
      </c>
      <c r="O3534" s="370" cm="1">
        <f t="array" ref="O3534">+_xlfn.SWITCH(MONTH(C3534),1,1,2,1,3,1,4,2,5,2,6,3,7,3,8,3,9,3,10,2,11,2,12,1,2)</f>
        <v>1</v>
      </c>
      <c r="P3534" s="43"/>
    </row>
    <row r="3535" spans="1:16" ht="18" x14ac:dyDescent="0.35">
      <c r="A3535" s="43"/>
      <c r="C3535" s="393"/>
      <c r="E3535" s="394"/>
      <c r="F3535" s="394">
        <v>0</v>
      </c>
      <c r="G3535" s="394"/>
      <c r="H3535" s="8" t="s">
        <v>235</v>
      </c>
      <c r="I3535" s="368">
        <f t="shared" si="166"/>
        <v>0</v>
      </c>
      <c r="J3535" s="365">
        <f t="shared" si="165"/>
        <v>0</v>
      </c>
      <c r="K3535" s="369">
        <f t="shared" si="167"/>
        <v>6</v>
      </c>
      <c r="L3535" s="369">
        <f>+IF((C3535&gt;='Resultats - informe'!$E$16)*(C3535&lt;='Resultats - informe'!$G$16),1,0)</f>
        <v>1</v>
      </c>
      <c r="M3535" s="369" cm="1">
        <f t="array" ref="M3535">+_xlfn.IFS((C3535&gt;='Resultats - informe'!$D$26)*(C3535&lt;='Resultats - informe'!$E$26),0,(C3535&gt;='Resultats - informe'!$D$27)*(C3535&lt;='Resultats - informe'!$E$27),0,(C3535&gt;='Resultats - informe'!$D$28)*(C3535&lt;='Resultats - informe'!$E$28),0,(C3535&gt;='Resultats - informe'!$D$29)*(C3535&lt;='Resultats - informe'!$E$29),0,1,1)</f>
        <v>0</v>
      </c>
      <c r="N3535" s="366">
        <f>+VLOOKUP(D3535,'Resultats - informe'!$Y$18:$AG$42,'Introducció dades consum'!K3535+1,0)</f>
        <v>0</v>
      </c>
      <c r="O3535" s="370" cm="1">
        <f t="array" ref="O3535">+_xlfn.SWITCH(MONTH(C3535),1,1,2,1,3,1,4,2,5,2,6,3,7,3,8,3,9,3,10,2,11,2,12,1,2)</f>
        <v>1</v>
      </c>
      <c r="P3535" s="43"/>
    </row>
    <row r="3536" spans="1:16" ht="18" x14ac:dyDescent="0.35">
      <c r="A3536" s="43"/>
      <c r="C3536" s="393"/>
      <c r="E3536" s="394"/>
      <c r="F3536" s="394">
        <v>0</v>
      </c>
      <c r="G3536" s="394"/>
      <c r="H3536" s="8" t="s">
        <v>61</v>
      </c>
      <c r="I3536" s="368">
        <f t="shared" si="166"/>
        <v>0</v>
      </c>
      <c r="J3536" s="365">
        <f t="shared" si="165"/>
        <v>0</v>
      </c>
      <c r="K3536" s="369">
        <f t="shared" si="167"/>
        <v>6</v>
      </c>
      <c r="L3536" s="369">
        <f>+IF((C3536&gt;='Resultats - informe'!$E$16)*(C3536&lt;='Resultats - informe'!$G$16),1,0)</f>
        <v>1</v>
      </c>
      <c r="M3536" s="369" cm="1">
        <f t="array" ref="M3536">+_xlfn.IFS((C3536&gt;='Resultats - informe'!$D$26)*(C3536&lt;='Resultats - informe'!$E$26),0,(C3536&gt;='Resultats - informe'!$D$27)*(C3536&lt;='Resultats - informe'!$E$27),0,(C3536&gt;='Resultats - informe'!$D$28)*(C3536&lt;='Resultats - informe'!$E$28),0,(C3536&gt;='Resultats - informe'!$D$29)*(C3536&lt;='Resultats - informe'!$E$29),0,1,1)</f>
        <v>0</v>
      </c>
      <c r="N3536" s="366">
        <f>+VLOOKUP(D3536,'Resultats - informe'!$Y$18:$AG$42,'Introducció dades consum'!K3536+1,0)</f>
        <v>0</v>
      </c>
      <c r="O3536" s="370" cm="1">
        <f t="array" ref="O3536">+_xlfn.SWITCH(MONTH(C3536),1,1,2,1,3,1,4,2,5,2,6,3,7,3,8,3,9,3,10,2,11,2,12,1,2)</f>
        <v>1</v>
      </c>
      <c r="P3536" s="43"/>
    </row>
    <row r="3537" spans="1:16" ht="18" x14ac:dyDescent="0.35">
      <c r="A3537" s="43"/>
      <c r="C3537" s="393"/>
      <c r="E3537" s="394"/>
      <c r="F3537" s="394">
        <v>0.26600000000000001</v>
      </c>
      <c r="G3537" s="394"/>
      <c r="H3537" s="8" t="s">
        <v>235</v>
      </c>
      <c r="I3537" s="368">
        <f t="shared" si="166"/>
        <v>0</v>
      </c>
      <c r="J3537" s="365">
        <f t="shared" si="165"/>
        <v>0</v>
      </c>
      <c r="K3537" s="369">
        <f t="shared" si="167"/>
        <v>6</v>
      </c>
      <c r="L3537" s="369">
        <f>+IF((C3537&gt;='Resultats - informe'!$E$16)*(C3537&lt;='Resultats - informe'!$G$16),1,0)</f>
        <v>1</v>
      </c>
      <c r="M3537" s="369" cm="1">
        <f t="array" ref="M3537">+_xlfn.IFS((C3537&gt;='Resultats - informe'!$D$26)*(C3537&lt;='Resultats - informe'!$E$26),0,(C3537&gt;='Resultats - informe'!$D$27)*(C3537&lt;='Resultats - informe'!$E$27),0,(C3537&gt;='Resultats - informe'!$D$28)*(C3537&lt;='Resultats - informe'!$E$28),0,(C3537&gt;='Resultats - informe'!$D$29)*(C3537&lt;='Resultats - informe'!$E$29),0,1,1)</f>
        <v>0</v>
      </c>
      <c r="N3537" s="366">
        <f>+VLOOKUP(D3537,'Resultats - informe'!$Y$18:$AG$42,'Introducció dades consum'!K3537+1,0)</f>
        <v>0</v>
      </c>
      <c r="O3537" s="370" cm="1">
        <f t="array" ref="O3537">+_xlfn.SWITCH(MONTH(C3537),1,1,2,1,3,1,4,2,5,2,6,3,7,3,8,3,9,3,10,2,11,2,12,1,2)</f>
        <v>1</v>
      </c>
      <c r="P3537" s="43"/>
    </row>
    <row r="3538" spans="1:16" ht="18" x14ac:dyDescent="0.35">
      <c r="A3538" s="43"/>
      <c r="C3538" s="393"/>
      <c r="E3538" s="394"/>
      <c r="F3538" s="394">
        <v>1.028</v>
      </c>
      <c r="G3538" s="394"/>
      <c r="H3538" s="8" t="s">
        <v>235</v>
      </c>
      <c r="I3538" s="368">
        <f t="shared" si="166"/>
        <v>0</v>
      </c>
      <c r="J3538" s="365">
        <f t="shared" si="165"/>
        <v>0</v>
      </c>
      <c r="K3538" s="369">
        <f t="shared" si="167"/>
        <v>6</v>
      </c>
      <c r="L3538" s="369">
        <f>+IF((C3538&gt;='Resultats - informe'!$E$16)*(C3538&lt;='Resultats - informe'!$G$16),1,0)</f>
        <v>1</v>
      </c>
      <c r="M3538" s="369" cm="1">
        <f t="array" ref="M3538">+_xlfn.IFS((C3538&gt;='Resultats - informe'!$D$26)*(C3538&lt;='Resultats - informe'!$E$26),0,(C3538&gt;='Resultats - informe'!$D$27)*(C3538&lt;='Resultats - informe'!$E$27),0,(C3538&gt;='Resultats - informe'!$D$28)*(C3538&lt;='Resultats - informe'!$E$28),0,(C3538&gt;='Resultats - informe'!$D$29)*(C3538&lt;='Resultats - informe'!$E$29),0,1,1)</f>
        <v>0</v>
      </c>
      <c r="N3538" s="366">
        <f>+VLOOKUP(D3538,'Resultats - informe'!$Y$18:$AG$42,'Introducció dades consum'!K3538+1,0)</f>
        <v>0</v>
      </c>
      <c r="O3538" s="370" cm="1">
        <f t="array" ref="O3538">+_xlfn.SWITCH(MONTH(C3538),1,1,2,1,3,1,4,2,5,2,6,3,7,3,8,3,9,3,10,2,11,2,12,1,2)</f>
        <v>1</v>
      </c>
      <c r="P3538" s="43"/>
    </row>
    <row r="3539" spans="1:16" ht="18" x14ac:dyDescent="0.35">
      <c r="A3539" s="43"/>
      <c r="C3539" s="393"/>
      <c r="E3539" s="394"/>
      <c r="F3539" s="394">
        <v>1.8720000000000001</v>
      </c>
      <c r="G3539" s="394"/>
      <c r="H3539" s="8" t="s">
        <v>235</v>
      </c>
      <c r="I3539" s="368">
        <f t="shared" si="166"/>
        <v>0</v>
      </c>
      <c r="J3539" s="365">
        <f t="shared" si="165"/>
        <v>0</v>
      </c>
      <c r="K3539" s="369">
        <f t="shared" si="167"/>
        <v>6</v>
      </c>
      <c r="L3539" s="369">
        <f>+IF((C3539&gt;='Resultats - informe'!$E$16)*(C3539&lt;='Resultats - informe'!$G$16),1,0)</f>
        <v>1</v>
      </c>
      <c r="M3539" s="369" cm="1">
        <f t="array" ref="M3539">+_xlfn.IFS((C3539&gt;='Resultats - informe'!$D$26)*(C3539&lt;='Resultats - informe'!$E$26),0,(C3539&gt;='Resultats - informe'!$D$27)*(C3539&lt;='Resultats - informe'!$E$27),0,(C3539&gt;='Resultats - informe'!$D$28)*(C3539&lt;='Resultats - informe'!$E$28),0,(C3539&gt;='Resultats - informe'!$D$29)*(C3539&lt;='Resultats - informe'!$E$29),0,1,1)</f>
        <v>0</v>
      </c>
      <c r="N3539" s="366">
        <f>+VLOOKUP(D3539,'Resultats - informe'!$Y$18:$AG$42,'Introducció dades consum'!K3539+1,0)</f>
        <v>0</v>
      </c>
      <c r="O3539" s="370" cm="1">
        <f t="array" ref="O3539">+_xlfn.SWITCH(MONTH(C3539),1,1,2,1,3,1,4,2,5,2,6,3,7,3,8,3,9,3,10,2,11,2,12,1,2)</f>
        <v>1</v>
      </c>
      <c r="P3539" s="43"/>
    </row>
    <row r="3540" spans="1:16" ht="18" x14ac:dyDescent="0.35">
      <c r="A3540" s="43"/>
      <c r="C3540" s="393"/>
      <c r="E3540" s="394"/>
      <c r="F3540" s="394">
        <v>0</v>
      </c>
      <c r="G3540" s="394"/>
      <c r="H3540" s="8" t="s">
        <v>61</v>
      </c>
      <c r="I3540" s="368">
        <f t="shared" si="166"/>
        <v>0</v>
      </c>
      <c r="J3540" s="365">
        <f t="shared" si="165"/>
        <v>0</v>
      </c>
      <c r="K3540" s="369">
        <f t="shared" si="167"/>
        <v>6</v>
      </c>
      <c r="L3540" s="369">
        <f>+IF((C3540&gt;='Resultats - informe'!$E$16)*(C3540&lt;='Resultats - informe'!$G$16),1,0)</f>
        <v>1</v>
      </c>
      <c r="M3540" s="369" cm="1">
        <f t="array" ref="M3540">+_xlfn.IFS((C3540&gt;='Resultats - informe'!$D$26)*(C3540&lt;='Resultats - informe'!$E$26),0,(C3540&gt;='Resultats - informe'!$D$27)*(C3540&lt;='Resultats - informe'!$E$27),0,(C3540&gt;='Resultats - informe'!$D$28)*(C3540&lt;='Resultats - informe'!$E$28),0,(C3540&gt;='Resultats - informe'!$D$29)*(C3540&lt;='Resultats - informe'!$E$29),0,1,1)</f>
        <v>0</v>
      </c>
      <c r="N3540" s="366">
        <f>+VLOOKUP(D3540,'Resultats - informe'!$Y$18:$AG$42,'Introducció dades consum'!K3540+1,0)</f>
        <v>0</v>
      </c>
      <c r="O3540" s="370" cm="1">
        <f t="array" ref="O3540">+_xlfn.SWITCH(MONTH(C3540),1,1,2,1,3,1,4,2,5,2,6,3,7,3,8,3,9,3,10,2,11,2,12,1,2)</f>
        <v>1</v>
      </c>
      <c r="P3540" s="43"/>
    </row>
    <row r="3541" spans="1:16" ht="18" x14ac:dyDescent="0.35">
      <c r="A3541" s="43"/>
      <c r="C3541" s="393"/>
      <c r="E3541" s="394"/>
      <c r="F3541" s="394">
        <v>0.71099999999999997</v>
      </c>
      <c r="G3541" s="394"/>
      <c r="H3541" s="8" t="s">
        <v>61</v>
      </c>
      <c r="I3541" s="368">
        <f t="shared" si="166"/>
        <v>0</v>
      </c>
      <c r="J3541" s="365">
        <f t="shared" si="165"/>
        <v>0</v>
      </c>
      <c r="K3541" s="369">
        <f t="shared" si="167"/>
        <v>6</v>
      </c>
      <c r="L3541" s="369">
        <f>+IF((C3541&gt;='Resultats - informe'!$E$16)*(C3541&lt;='Resultats - informe'!$G$16),1,0)</f>
        <v>1</v>
      </c>
      <c r="M3541" s="369" cm="1">
        <f t="array" ref="M3541">+_xlfn.IFS((C3541&gt;='Resultats - informe'!$D$26)*(C3541&lt;='Resultats - informe'!$E$26),0,(C3541&gt;='Resultats - informe'!$D$27)*(C3541&lt;='Resultats - informe'!$E$27),0,(C3541&gt;='Resultats - informe'!$D$28)*(C3541&lt;='Resultats - informe'!$E$28),0,(C3541&gt;='Resultats - informe'!$D$29)*(C3541&lt;='Resultats - informe'!$E$29),0,1,1)</f>
        <v>0</v>
      </c>
      <c r="N3541" s="366">
        <f>+VLOOKUP(D3541,'Resultats - informe'!$Y$18:$AG$42,'Introducció dades consum'!K3541+1,0)</f>
        <v>0</v>
      </c>
      <c r="O3541" s="370" cm="1">
        <f t="array" ref="O3541">+_xlfn.SWITCH(MONTH(C3541),1,1,2,1,3,1,4,2,5,2,6,3,7,3,8,3,9,3,10,2,11,2,12,1,2)</f>
        <v>1</v>
      </c>
      <c r="P3541" s="43"/>
    </row>
    <row r="3542" spans="1:16" ht="18" x14ac:dyDescent="0.35">
      <c r="A3542" s="43"/>
      <c r="C3542" s="393"/>
      <c r="E3542" s="394"/>
      <c r="F3542" s="394">
        <v>3.008</v>
      </c>
      <c r="G3542" s="394"/>
      <c r="H3542" s="8" t="s">
        <v>61</v>
      </c>
      <c r="I3542" s="368">
        <f t="shared" si="166"/>
        <v>0</v>
      </c>
      <c r="J3542" s="365">
        <f t="shared" si="165"/>
        <v>0</v>
      </c>
      <c r="K3542" s="369">
        <f t="shared" si="167"/>
        <v>6</v>
      </c>
      <c r="L3542" s="369">
        <f>+IF((C3542&gt;='Resultats - informe'!$E$16)*(C3542&lt;='Resultats - informe'!$G$16),1,0)</f>
        <v>1</v>
      </c>
      <c r="M3542" s="369" cm="1">
        <f t="array" ref="M3542">+_xlfn.IFS((C3542&gt;='Resultats - informe'!$D$26)*(C3542&lt;='Resultats - informe'!$E$26),0,(C3542&gt;='Resultats - informe'!$D$27)*(C3542&lt;='Resultats - informe'!$E$27),0,(C3542&gt;='Resultats - informe'!$D$28)*(C3542&lt;='Resultats - informe'!$E$28),0,(C3542&gt;='Resultats - informe'!$D$29)*(C3542&lt;='Resultats - informe'!$E$29),0,1,1)</f>
        <v>0</v>
      </c>
      <c r="N3542" s="366">
        <f>+VLOOKUP(D3542,'Resultats - informe'!$Y$18:$AG$42,'Introducció dades consum'!K3542+1,0)</f>
        <v>0</v>
      </c>
      <c r="O3542" s="370" cm="1">
        <f t="array" ref="O3542">+_xlfn.SWITCH(MONTH(C3542),1,1,2,1,3,1,4,2,5,2,6,3,7,3,8,3,9,3,10,2,11,2,12,1,2)</f>
        <v>1</v>
      </c>
      <c r="P3542" s="43"/>
    </row>
    <row r="3543" spans="1:16" ht="18" x14ac:dyDescent="0.35">
      <c r="A3543" s="43"/>
      <c r="C3543" s="393"/>
      <c r="E3543" s="394"/>
      <c r="F3543" s="394">
        <v>4.5999999999999996</v>
      </c>
      <c r="G3543" s="394"/>
      <c r="H3543" s="8" t="s">
        <v>61</v>
      </c>
      <c r="I3543" s="368">
        <f t="shared" si="166"/>
        <v>0</v>
      </c>
      <c r="J3543" s="365">
        <f t="shared" si="165"/>
        <v>0</v>
      </c>
      <c r="K3543" s="369">
        <f t="shared" si="167"/>
        <v>6</v>
      </c>
      <c r="L3543" s="369">
        <f>+IF((C3543&gt;='Resultats - informe'!$E$16)*(C3543&lt;='Resultats - informe'!$G$16),1,0)</f>
        <v>1</v>
      </c>
      <c r="M3543" s="369" cm="1">
        <f t="array" ref="M3543">+_xlfn.IFS((C3543&gt;='Resultats - informe'!$D$26)*(C3543&lt;='Resultats - informe'!$E$26),0,(C3543&gt;='Resultats - informe'!$D$27)*(C3543&lt;='Resultats - informe'!$E$27),0,(C3543&gt;='Resultats - informe'!$D$28)*(C3543&lt;='Resultats - informe'!$E$28),0,(C3543&gt;='Resultats - informe'!$D$29)*(C3543&lt;='Resultats - informe'!$E$29),0,1,1)</f>
        <v>0</v>
      </c>
      <c r="N3543" s="366">
        <f>+VLOOKUP(D3543,'Resultats - informe'!$Y$18:$AG$42,'Introducció dades consum'!K3543+1,0)</f>
        <v>0</v>
      </c>
      <c r="O3543" s="370" cm="1">
        <f t="array" ref="O3543">+_xlfn.SWITCH(MONTH(C3543),1,1,2,1,3,1,4,2,5,2,6,3,7,3,8,3,9,3,10,2,11,2,12,1,2)</f>
        <v>1</v>
      </c>
      <c r="P3543" s="43"/>
    </row>
    <row r="3544" spans="1:16" ht="18" x14ac:dyDescent="0.35">
      <c r="A3544" s="43"/>
      <c r="C3544" s="393"/>
      <c r="E3544" s="394"/>
      <c r="F3544" s="394">
        <v>3.923</v>
      </c>
      <c r="G3544" s="394"/>
      <c r="H3544" s="8" t="s">
        <v>235</v>
      </c>
      <c r="I3544" s="368">
        <f t="shared" si="166"/>
        <v>0</v>
      </c>
      <c r="J3544" s="365">
        <f t="shared" si="165"/>
        <v>0</v>
      </c>
      <c r="K3544" s="369">
        <f t="shared" si="167"/>
        <v>6</v>
      </c>
      <c r="L3544" s="369">
        <f>+IF((C3544&gt;='Resultats - informe'!$E$16)*(C3544&lt;='Resultats - informe'!$G$16),1,0)</f>
        <v>1</v>
      </c>
      <c r="M3544" s="369" cm="1">
        <f t="array" ref="M3544">+_xlfn.IFS((C3544&gt;='Resultats - informe'!$D$26)*(C3544&lt;='Resultats - informe'!$E$26),0,(C3544&gt;='Resultats - informe'!$D$27)*(C3544&lt;='Resultats - informe'!$E$27),0,(C3544&gt;='Resultats - informe'!$D$28)*(C3544&lt;='Resultats - informe'!$E$28),0,(C3544&gt;='Resultats - informe'!$D$29)*(C3544&lt;='Resultats - informe'!$E$29),0,1,1)</f>
        <v>0</v>
      </c>
      <c r="N3544" s="366">
        <f>+VLOOKUP(D3544,'Resultats - informe'!$Y$18:$AG$42,'Introducció dades consum'!K3544+1,0)</f>
        <v>0</v>
      </c>
      <c r="O3544" s="370" cm="1">
        <f t="array" ref="O3544">+_xlfn.SWITCH(MONTH(C3544),1,1,2,1,3,1,4,2,5,2,6,3,7,3,8,3,9,3,10,2,11,2,12,1,2)</f>
        <v>1</v>
      </c>
      <c r="P3544" s="43"/>
    </row>
    <row r="3545" spans="1:16" ht="18" x14ac:dyDescent="0.35">
      <c r="A3545" s="43"/>
      <c r="C3545" s="393"/>
      <c r="E3545" s="394"/>
      <c r="F3545" s="394">
        <v>3.2989999999999999</v>
      </c>
      <c r="G3545" s="394"/>
      <c r="H3545" s="8" t="s">
        <v>235</v>
      </c>
      <c r="I3545" s="368">
        <f t="shared" si="166"/>
        <v>0</v>
      </c>
      <c r="J3545" s="365">
        <f t="shared" si="165"/>
        <v>0</v>
      </c>
      <c r="K3545" s="369">
        <f t="shared" si="167"/>
        <v>6</v>
      </c>
      <c r="L3545" s="369">
        <f>+IF((C3545&gt;='Resultats - informe'!$E$16)*(C3545&lt;='Resultats - informe'!$G$16),1,0)</f>
        <v>1</v>
      </c>
      <c r="M3545" s="369" cm="1">
        <f t="array" ref="M3545">+_xlfn.IFS((C3545&gt;='Resultats - informe'!$D$26)*(C3545&lt;='Resultats - informe'!$E$26),0,(C3545&gt;='Resultats - informe'!$D$27)*(C3545&lt;='Resultats - informe'!$E$27),0,(C3545&gt;='Resultats - informe'!$D$28)*(C3545&lt;='Resultats - informe'!$E$28),0,(C3545&gt;='Resultats - informe'!$D$29)*(C3545&lt;='Resultats - informe'!$E$29),0,1,1)</f>
        <v>0</v>
      </c>
      <c r="N3545" s="366">
        <f>+VLOOKUP(D3545,'Resultats - informe'!$Y$18:$AG$42,'Introducció dades consum'!K3545+1,0)</f>
        <v>0</v>
      </c>
      <c r="O3545" s="370" cm="1">
        <f t="array" ref="O3545">+_xlfn.SWITCH(MONTH(C3545),1,1,2,1,3,1,4,2,5,2,6,3,7,3,8,3,9,3,10,2,11,2,12,1,2)</f>
        <v>1</v>
      </c>
      <c r="P3545" s="43"/>
    </row>
    <row r="3546" spans="1:16" ht="18" x14ac:dyDescent="0.35">
      <c r="A3546" s="43"/>
      <c r="C3546" s="393"/>
      <c r="E3546" s="394"/>
      <c r="F3546" s="394">
        <v>2.5110000000000001</v>
      </c>
      <c r="G3546" s="394"/>
      <c r="H3546" s="8" t="s">
        <v>235</v>
      </c>
      <c r="I3546" s="368">
        <f t="shared" si="166"/>
        <v>0</v>
      </c>
      <c r="J3546" s="365">
        <f t="shared" si="165"/>
        <v>0</v>
      </c>
      <c r="K3546" s="369">
        <f t="shared" si="167"/>
        <v>6</v>
      </c>
      <c r="L3546" s="369">
        <f>+IF((C3546&gt;='Resultats - informe'!$E$16)*(C3546&lt;='Resultats - informe'!$G$16),1,0)</f>
        <v>1</v>
      </c>
      <c r="M3546" s="369" cm="1">
        <f t="array" ref="M3546">+_xlfn.IFS((C3546&gt;='Resultats - informe'!$D$26)*(C3546&lt;='Resultats - informe'!$E$26),0,(C3546&gt;='Resultats - informe'!$D$27)*(C3546&lt;='Resultats - informe'!$E$27),0,(C3546&gt;='Resultats - informe'!$D$28)*(C3546&lt;='Resultats - informe'!$E$28),0,(C3546&gt;='Resultats - informe'!$D$29)*(C3546&lt;='Resultats - informe'!$E$29),0,1,1)</f>
        <v>0</v>
      </c>
      <c r="N3546" s="366">
        <f>+VLOOKUP(D3546,'Resultats - informe'!$Y$18:$AG$42,'Introducció dades consum'!K3546+1,0)</f>
        <v>0</v>
      </c>
      <c r="O3546" s="370" cm="1">
        <f t="array" ref="O3546">+_xlfn.SWITCH(MONTH(C3546),1,1,2,1,3,1,4,2,5,2,6,3,7,3,8,3,9,3,10,2,11,2,12,1,2)</f>
        <v>1</v>
      </c>
      <c r="P3546" s="43"/>
    </row>
    <row r="3547" spans="1:16" ht="18" x14ac:dyDescent="0.35">
      <c r="A3547" s="43"/>
      <c r="C3547" s="393"/>
      <c r="E3547" s="394"/>
      <c r="F3547" s="394">
        <v>2.024</v>
      </c>
      <c r="G3547" s="394"/>
      <c r="H3547" s="8" t="s">
        <v>235</v>
      </c>
      <c r="I3547" s="368">
        <f t="shared" si="166"/>
        <v>0</v>
      </c>
      <c r="J3547" s="365">
        <f t="shared" si="165"/>
        <v>0</v>
      </c>
      <c r="K3547" s="369">
        <f t="shared" si="167"/>
        <v>6</v>
      </c>
      <c r="L3547" s="369">
        <f>+IF((C3547&gt;='Resultats - informe'!$E$16)*(C3547&lt;='Resultats - informe'!$G$16),1,0)</f>
        <v>1</v>
      </c>
      <c r="M3547" s="369" cm="1">
        <f t="array" ref="M3547">+_xlfn.IFS((C3547&gt;='Resultats - informe'!$D$26)*(C3547&lt;='Resultats - informe'!$E$26),0,(C3547&gt;='Resultats - informe'!$D$27)*(C3547&lt;='Resultats - informe'!$E$27),0,(C3547&gt;='Resultats - informe'!$D$28)*(C3547&lt;='Resultats - informe'!$E$28),0,(C3547&gt;='Resultats - informe'!$D$29)*(C3547&lt;='Resultats - informe'!$E$29),0,1,1)</f>
        <v>0</v>
      </c>
      <c r="N3547" s="366">
        <f>+VLOOKUP(D3547,'Resultats - informe'!$Y$18:$AG$42,'Introducció dades consum'!K3547+1,0)</f>
        <v>0</v>
      </c>
      <c r="O3547" s="370" cm="1">
        <f t="array" ref="O3547">+_xlfn.SWITCH(MONTH(C3547),1,1,2,1,3,1,4,2,5,2,6,3,7,3,8,3,9,3,10,2,11,2,12,1,2)</f>
        <v>1</v>
      </c>
      <c r="P3547" s="43"/>
    </row>
    <row r="3548" spans="1:16" ht="18" x14ac:dyDescent="0.35">
      <c r="A3548" s="43"/>
      <c r="C3548" s="393"/>
      <c r="E3548" s="394"/>
      <c r="F3548" s="394">
        <v>5.2050000000000001</v>
      </c>
      <c r="G3548" s="394"/>
      <c r="H3548" s="8" t="s">
        <v>61</v>
      </c>
      <c r="I3548" s="368">
        <f t="shared" si="166"/>
        <v>0</v>
      </c>
      <c r="J3548" s="365">
        <f t="shared" si="165"/>
        <v>0</v>
      </c>
      <c r="K3548" s="369">
        <f t="shared" si="167"/>
        <v>6</v>
      </c>
      <c r="L3548" s="369">
        <f>+IF((C3548&gt;='Resultats - informe'!$E$16)*(C3548&lt;='Resultats - informe'!$G$16),1,0)</f>
        <v>1</v>
      </c>
      <c r="M3548" s="369" cm="1">
        <f t="array" ref="M3548">+_xlfn.IFS((C3548&gt;='Resultats - informe'!$D$26)*(C3548&lt;='Resultats - informe'!$E$26),0,(C3548&gt;='Resultats - informe'!$D$27)*(C3548&lt;='Resultats - informe'!$E$27),0,(C3548&gt;='Resultats - informe'!$D$28)*(C3548&lt;='Resultats - informe'!$E$28),0,(C3548&gt;='Resultats - informe'!$D$29)*(C3548&lt;='Resultats - informe'!$E$29),0,1,1)</f>
        <v>0</v>
      </c>
      <c r="N3548" s="366">
        <f>+VLOOKUP(D3548,'Resultats - informe'!$Y$18:$AG$42,'Introducció dades consum'!K3548+1,0)</f>
        <v>0</v>
      </c>
      <c r="O3548" s="370" cm="1">
        <f t="array" ref="O3548">+_xlfn.SWITCH(MONTH(C3548),1,1,2,1,3,1,4,2,5,2,6,3,7,3,8,3,9,3,10,2,11,2,12,1,2)</f>
        <v>1</v>
      </c>
      <c r="P3548" s="43"/>
    </row>
    <row r="3549" spans="1:16" ht="18" x14ac:dyDescent="0.35">
      <c r="A3549" s="43"/>
      <c r="C3549" s="393"/>
      <c r="E3549" s="394"/>
      <c r="F3549" s="394">
        <v>0.76600000000000001</v>
      </c>
      <c r="G3549" s="394"/>
      <c r="H3549" s="8" t="s">
        <v>61</v>
      </c>
      <c r="I3549" s="368">
        <f t="shared" si="166"/>
        <v>0</v>
      </c>
      <c r="J3549" s="365">
        <f t="shared" si="165"/>
        <v>0</v>
      </c>
      <c r="K3549" s="369">
        <f t="shared" si="167"/>
        <v>6</v>
      </c>
      <c r="L3549" s="369">
        <f>+IF((C3549&gt;='Resultats - informe'!$E$16)*(C3549&lt;='Resultats - informe'!$G$16),1,0)</f>
        <v>1</v>
      </c>
      <c r="M3549" s="369" cm="1">
        <f t="array" ref="M3549">+_xlfn.IFS((C3549&gt;='Resultats - informe'!$D$26)*(C3549&lt;='Resultats - informe'!$E$26),0,(C3549&gt;='Resultats - informe'!$D$27)*(C3549&lt;='Resultats - informe'!$E$27),0,(C3549&gt;='Resultats - informe'!$D$28)*(C3549&lt;='Resultats - informe'!$E$28),0,(C3549&gt;='Resultats - informe'!$D$29)*(C3549&lt;='Resultats - informe'!$E$29),0,1,1)</f>
        <v>0</v>
      </c>
      <c r="N3549" s="366">
        <f>+VLOOKUP(D3549,'Resultats - informe'!$Y$18:$AG$42,'Introducció dades consum'!K3549+1,0)</f>
        <v>0</v>
      </c>
      <c r="O3549" s="370" cm="1">
        <f t="array" ref="O3549">+_xlfn.SWITCH(MONTH(C3549),1,1,2,1,3,1,4,2,5,2,6,3,7,3,8,3,9,3,10,2,11,2,12,1,2)</f>
        <v>1</v>
      </c>
      <c r="P3549" s="43"/>
    </row>
    <row r="3550" spans="1:16" ht="18" x14ac:dyDescent="0.35">
      <c r="A3550" s="43"/>
      <c r="C3550" s="393"/>
      <c r="E3550" s="394"/>
      <c r="F3550" s="394">
        <v>0.94099999999999995</v>
      </c>
      <c r="G3550" s="394"/>
      <c r="H3550" s="8" t="s">
        <v>61</v>
      </c>
      <c r="I3550" s="368">
        <f t="shared" si="166"/>
        <v>0</v>
      </c>
      <c r="J3550" s="365">
        <f t="shared" si="165"/>
        <v>0</v>
      </c>
      <c r="K3550" s="369">
        <f t="shared" si="167"/>
        <v>6</v>
      </c>
      <c r="L3550" s="369">
        <f>+IF((C3550&gt;='Resultats - informe'!$E$16)*(C3550&lt;='Resultats - informe'!$G$16),1,0)</f>
        <v>1</v>
      </c>
      <c r="M3550" s="369" cm="1">
        <f t="array" ref="M3550">+_xlfn.IFS((C3550&gt;='Resultats - informe'!$D$26)*(C3550&lt;='Resultats - informe'!$E$26),0,(C3550&gt;='Resultats - informe'!$D$27)*(C3550&lt;='Resultats - informe'!$E$27),0,(C3550&gt;='Resultats - informe'!$D$28)*(C3550&lt;='Resultats - informe'!$E$28),0,(C3550&gt;='Resultats - informe'!$D$29)*(C3550&lt;='Resultats - informe'!$E$29),0,1,1)</f>
        <v>0</v>
      </c>
      <c r="N3550" s="366">
        <f>+VLOOKUP(D3550,'Resultats - informe'!$Y$18:$AG$42,'Introducció dades consum'!K3550+1,0)</f>
        <v>0</v>
      </c>
      <c r="O3550" s="370" cm="1">
        <f t="array" ref="O3550">+_xlfn.SWITCH(MONTH(C3550),1,1,2,1,3,1,4,2,5,2,6,3,7,3,8,3,9,3,10,2,11,2,12,1,2)</f>
        <v>1</v>
      </c>
      <c r="P3550" s="43"/>
    </row>
    <row r="3551" spans="1:16" ht="18" x14ac:dyDescent="0.35">
      <c r="A3551" s="43"/>
      <c r="C3551" s="393"/>
      <c r="E3551" s="394"/>
      <c r="F3551" s="394">
        <v>0</v>
      </c>
      <c r="G3551" s="394"/>
      <c r="H3551" s="8" t="s">
        <v>235</v>
      </c>
      <c r="I3551" s="368">
        <f t="shared" si="166"/>
        <v>0</v>
      </c>
      <c r="J3551" s="365">
        <f t="shared" si="165"/>
        <v>0</v>
      </c>
      <c r="K3551" s="369">
        <f t="shared" si="167"/>
        <v>6</v>
      </c>
      <c r="L3551" s="369">
        <f>+IF((C3551&gt;='Resultats - informe'!$E$16)*(C3551&lt;='Resultats - informe'!$G$16),1,0)</f>
        <v>1</v>
      </c>
      <c r="M3551" s="369" cm="1">
        <f t="array" ref="M3551">+_xlfn.IFS((C3551&gt;='Resultats - informe'!$D$26)*(C3551&lt;='Resultats - informe'!$E$26),0,(C3551&gt;='Resultats - informe'!$D$27)*(C3551&lt;='Resultats - informe'!$E$27),0,(C3551&gt;='Resultats - informe'!$D$28)*(C3551&lt;='Resultats - informe'!$E$28),0,(C3551&gt;='Resultats - informe'!$D$29)*(C3551&lt;='Resultats - informe'!$E$29),0,1,1)</f>
        <v>0</v>
      </c>
      <c r="N3551" s="366">
        <f>+VLOOKUP(D3551,'Resultats - informe'!$Y$18:$AG$42,'Introducció dades consum'!K3551+1,0)</f>
        <v>0</v>
      </c>
      <c r="O3551" s="370" cm="1">
        <f t="array" ref="O3551">+_xlfn.SWITCH(MONTH(C3551),1,1,2,1,3,1,4,2,5,2,6,3,7,3,8,3,9,3,10,2,11,2,12,1,2)</f>
        <v>1</v>
      </c>
      <c r="P3551" s="43"/>
    </row>
    <row r="3552" spans="1:16" ht="18" x14ac:dyDescent="0.35">
      <c r="A3552" s="43"/>
      <c r="C3552" s="393"/>
      <c r="E3552" s="394"/>
      <c r="F3552" s="394">
        <v>0</v>
      </c>
      <c r="G3552" s="394"/>
      <c r="H3552" s="8" t="s">
        <v>235</v>
      </c>
      <c r="I3552" s="368">
        <f t="shared" si="166"/>
        <v>0</v>
      </c>
      <c r="J3552" s="365">
        <f t="shared" si="165"/>
        <v>0</v>
      </c>
      <c r="K3552" s="369">
        <f t="shared" si="167"/>
        <v>6</v>
      </c>
      <c r="L3552" s="369">
        <f>+IF((C3552&gt;='Resultats - informe'!$E$16)*(C3552&lt;='Resultats - informe'!$G$16),1,0)</f>
        <v>1</v>
      </c>
      <c r="M3552" s="369" cm="1">
        <f t="array" ref="M3552">+_xlfn.IFS((C3552&gt;='Resultats - informe'!$D$26)*(C3552&lt;='Resultats - informe'!$E$26),0,(C3552&gt;='Resultats - informe'!$D$27)*(C3552&lt;='Resultats - informe'!$E$27),0,(C3552&gt;='Resultats - informe'!$D$28)*(C3552&lt;='Resultats - informe'!$E$28),0,(C3552&gt;='Resultats - informe'!$D$29)*(C3552&lt;='Resultats - informe'!$E$29),0,1,1)</f>
        <v>0</v>
      </c>
      <c r="N3552" s="366">
        <f>+VLOOKUP(D3552,'Resultats - informe'!$Y$18:$AG$42,'Introducció dades consum'!K3552+1,0)</f>
        <v>0</v>
      </c>
      <c r="O3552" s="370" cm="1">
        <f t="array" ref="O3552">+_xlfn.SWITCH(MONTH(C3552),1,1,2,1,3,1,4,2,5,2,6,3,7,3,8,3,9,3,10,2,11,2,12,1,2)</f>
        <v>1</v>
      </c>
      <c r="P3552" s="43"/>
    </row>
    <row r="3553" spans="1:16" ht="18" x14ac:dyDescent="0.35">
      <c r="A3553" s="43"/>
      <c r="C3553" s="393"/>
      <c r="E3553" s="394"/>
      <c r="F3553" s="394">
        <v>0</v>
      </c>
      <c r="G3553" s="394"/>
      <c r="H3553" s="8" t="s">
        <v>235</v>
      </c>
      <c r="I3553" s="368">
        <f t="shared" si="166"/>
        <v>0</v>
      </c>
      <c r="J3553" s="365">
        <f t="shared" si="165"/>
        <v>0</v>
      </c>
      <c r="K3553" s="369">
        <f t="shared" si="167"/>
        <v>6</v>
      </c>
      <c r="L3553" s="369">
        <f>+IF((C3553&gt;='Resultats - informe'!$E$16)*(C3553&lt;='Resultats - informe'!$G$16),1,0)</f>
        <v>1</v>
      </c>
      <c r="M3553" s="369" cm="1">
        <f t="array" ref="M3553">+_xlfn.IFS((C3553&gt;='Resultats - informe'!$D$26)*(C3553&lt;='Resultats - informe'!$E$26),0,(C3553&gt;='Resultats - informe'!$D$27)*(C3553&lt;='Resultats - informe'!$E$27),0,(C3553&gt;='Resultats - informe'!$D$28)*(C3553&lt;='Resultats - informe'!$E$28),0,(C3553&gt;='Resultats - informe'!$D$29)*(C3553&lt;='Resultats - informe'!$E$29),0,1,1)</f>
        <v>0</v>
      </c>
      <c r="N3553" s="366">
        <f>+VLOOKUP(D3553,'Resultats - informe'!$Y$18:$AG$42,'Introducció dades consum'!K3553+1,0)</f>
        <v>0</v>
      </c>
      <c r="O3553" s="370" cm="1">
        <f t="array" ref="O3553">+_xlfn.SWITCH(MONTH(C3553),1,1,2,1,3,1,4,2,5,2,6,3,7,3,8,3,9,3,10,2,11,2,12,1,2)</f>
        <v>1</v>
      </c>
      <c r="P3553" s="43"/>
    </row>
    <row r="3554" spans="1:16" ht="18" x14ac:dyDescent="0.35">
      <c r="A3554" s="43"/>
      <c r="C3554" s="393"/>
      <c r="E3554" s="394"/>
      <c r="F3554" s="394">
        <v>0</v>
      </c>
      <c r="G3554" s="394"/>
      <c r="H3554" s="8" t="s">
        <v>61</v>
      </c>
      <c r="I3554" s="368">
        <f t="shared" si="166"/>
        <v>0</v>
      </c>
      <c r="J3554" s="365">
        <f t="shared" si="165"/>
        <v>0</v>
      </c>
      <c r="K3554" s="369">
        <f t="shared" si="167"/>
        <v>6</v>
      </c>
      <c r="L3554" s="369">
        <f>+IF((C3554&gt;='Resultats - informe'!$E$16)*(C3554&lt;='Resultats - informe'!$G$16),1,0)</f>
        <v>1</v>
      </c>
      <c r="M3554" s="369" cm="1">
        <f t="array" ref="M3554">+_xlfn.IFS((C3554&gt;='Resultats - informe'!$D$26)*(C3554&lt;='Resultats - informe'!$E$26),0,(C3554&gt;='Resultats - informe'!$D$27)*(C3554&lt;='Resultats - informe'!$E$27),0,(C3554&gt;='Resultats - informe'!$D$28)*(C3554&lt;='Resultats - informe'!$E$28),0,(C3554&gt;='Resultats - informe'!$D$29)*(C3554&lt;='Resultats - informe'!$E$29),0,1,1)</f>
        <v>0</v>
      </c>
      <c r="N3554" s="366">
        <f>+VLOOKUP(D3554,'Resultats - informe'!$Y$18:$AG$42,'Introducció dades consum'!K3554+1,0)</f>
        <v>0</v>
      </c>
      <c r="O3554" s="370" cm="1">
        <f t="array" ref="O3554">+_xlfn.SWITCH(MONTH(C3554),1,1,2,1,3,1,4,2,5,2,6,3,7,3,8,3,9,3,10,2,11,2,12,1,2)</f>
        <v>1</v>
      </c>
      <c r="P3554" s="43"/>
    </row>
    <row r="3555" spans="1:16" ht="18" x14ac:dyDescent="0.35">
      <c r="A3555" s="43"/>
      <c r="C3555" s="393"/>
      <c r="E3555" s="394"/>
      <c r="F3555" s="394">
        <v>0</v>
      </c>
      <c r="G3555" s="394"/>
      <c r="H3555" s="8" t="s">
        <v>235</v>
      </c>
      <c r="I3555" s="368">
        <f t="shared" si="166"/>
        <v>0</v>
      </c>
      <c r="J3555" s="365">
        <f t="shared" si="165"/>
        <v>0</v>
      </c>
      <c r="K3555" s="369">
        <f t="shared" si="167"/>
        <v>6</v>
      </c>
      <c r="L3555" s="369">
        <f>+IF((C3555&gt;='Resultats - informe'!$E$16)*(C3555&lt;='Resultats - informe'!$G$16),1,0)</f>
        <v>1</v>
      </c>
      <c r="M3555" s="369" cm="1">
        <f t="array" ref="M3555">+_xlfn.IFS((C3555&gt;='Resultats - informe'!$D$26)*(C3555&lt;='Resultats - informe'!$E$26),0,(C3555&gt;='Resultats - informe'!$D$27)*(C3555&lt;='Resultats - informe'!$E$27),0,(C3555&gt;='Resultats - informe'!$D$28)*(C3555&lt;='Resultats - informe'!$E$28),0,(C3555&gt;='Resultats - informe'!$D$29)*(C3555&lt;='Resultats - informe'!$E$29),0,1,1)</f>
        <v>0</v>
      </c>
      <c r="N3555" s="366">
        <f>+VLOOKUP(D3555,'Resultats - informe'!$Y$18:$AG$42,'Introducció dades consum'!K3555+1,0)</f>
        <v>0</v>
      </c>
      <c r="O3555" s="370" cm="1">
        <f t="array" ref="O3555">+_xlfn.SWITCH(MONTH(C3555),1,1,2,1,3,1,4,2,5,2,6,3,7,3,8,3,9,3,10,2,11,2,12,1,2)</f>
        <v>1</v>
      </c>
      <c r="P3555" s="43"/>
    </row>
    <row r="3556" spans="1:16" ht="18" x14ac:dyDescent="0.35">
      <c r="A3556" s="43"/>
      <c r="C3556" s="393"/>
      <c r="E3556" s="394"/>
      <c r="F3556" s="394">
        <v>0</v>
      </c>
      <c r="G3556" s="394"/>
      <c r="H3556" s="8" t="s">
        <v>235</v>
      </c>
      <c r="I3556" s="368">
        <f t="shared" si="166"/>
        <v>0</v>
      </c>
      <c r="J3556" s="365">
        <f t="shared" si="165"/>
        <v>0</v>
      </c>
      <c r="K3556" s="369">
        <f t="shared" si="167"/>
        <v>6</v>
      </c>
      <c r="L3556" s="369">
        <f>+IF((C3556&gt;='Resultats - informe'!$E$16)*(C3556&lt;='Resultats - informe'!$G$16),1,0)</f>
        <v>1</v>
      </c>
      <c r="M3556" s="369" cm="1">
        <f t="array" ref="M3556">+_xlfn.IFS((C3556&gt;='Resultats - informe'!$D$26)*(C3556&lt;='Resultats - informe'!$E$26),0,(C3556&gt;='Resultats - informe'!$D$27)*(C3556&lt;='Resultats - informe'!$E$27),0,(C3556&gt;='Resultats - informe'!$D$28)*(C3556&lt;='Resultats - informe'!$E$28),0,(C3556&gt;='Resultats - informe'!$D$29)*(C3556&lt;='Resultats - informe'!$E$29),0,1,1)</f>
        <v>0</v>
      </c>
      <c r="N3556" s="366">
        <f>+VLOOKUP(D3556,'Resultats - informe'!$Y$18:$AG$42,'Introducció dades consum'!K3556+1,0)</f>
        <v>0</v>
      </c>
      <c r="O3556" s="370" cm="1">
        <f t="array" ref="O3556">+_xlfn.SWITCH(MONTH(C3556),1,1,2,1,3,1,4,2,5,2,6,3,7,3,8,3,9,3,10,2,11,2,12,1,2)</f>
        <v>1</v>
      </c>
      <c r="P3556" s="43"/>
    </row>
    <row r="3557" spans="1:16" ht="18" x14ac:dyDescent="0.35">
      <c r="A3557" s="43"/>
      <c r="C3557" s="393"/>
      <c r="E3557" s="394"/>
      <c r="F3557" s="394">
        <v>0</v>
      </c>
      <c r="G3557" s="394"/>
      <c r="H3557" s="8" t="s">
        <v>235</v>
      </c>
      <c r="I3557" s="368">
        <f t="shared" si="166"/>
        <v>0</v>
      </c>
      <c r="J3557" s="365">
        <f t="shared" si="165"/>
        <v>0</v>
      </c>
      <c r="K3557" s="369">
        <f t="shared" si="167"/>
        <v>6</v>
      </c>
      <c r="L3557" s="369">
        <f>+IF((C3557&gt;='Resultats - informe'!$E$16)*(C3557&lt;='Resultats - informe'!$G$16),1,0)</f>
        <v>1</v>
      </c>
      <c r="M3557" s="369" cm="1">
        <f t="array" ref="M3557">+_xlfn.IFS((C3557&gt;='Resultats - informe'!$D$26)*(C3557&lt;='Resultats - informe'!$E$26),0,(C3557&gt;='Resultats - informe'!$D$27)*(C3557&lt;='Resultats - informe'!$E$27),0,(C3557&gt;='Resultats - informe'!$D$28)*(C3557&lt;='Resultats - informe'!$E$28),0,(C3557&gt;='Resultats - informe'!$D$29)*(C3557&lt;='Resultats - informe'!$E$29),0,1,1)</f>
        <v>0</v>
      </c>
      <c r="N3557" s="366">
        <f>+VLOOKUP(D3557,'Resultats - informe'!$Y$18:$AG$42,'Introducció dades consum'!K3557+1,0)</f>
        <v>0</v>
      </c>
      <c r="O3557" s="370" cm="1">
        <f t="array" ref="O3557">+_xlfn.SWITCH(MONTH(C3557),1,1,2,1,3,1,4,2,5,2,6,3,7,3,8,3,9,3,10,2,11,2,12,1,2)</f>
        <v>1</v>
      </c>
      <c r="P3557" s="43"/>
    </row>
    <row r="3558" spans="1:16" ht="18" x14ac:dyDescent="0.35">
      <c r="A3558" s="43"/>
      <c r="C3558" s="393"/>
      <c r="E3558" s="394"/>
      <c r="F3558" s="394">
        <v>0</v>
      </c>
      <c r="G3558" s="394"/>
      <c r="H3558" s="8" t="s">
        <v>235</v>
      </c>
      <c r="I3558" s="368">
        <f t="shared" si="166"/>
        <v>0</v>
      </c>
      <c r="J3558" s="365">
        <f t="shared" si="165"/>
        <v>0</v>
      </c>
      <c r="K3558" s="369">
        <f t="shared" si="167"/>
        <v>6</v>
      </c>
      <c r="L3558" s="369">
        <f>+IF((C3558&gt;='Resultats - informe'!$E$16)*(C3558&lt;='Resultats - informe'!$G$16),1,0)</f>
        <v>1</v>
      </c>
      <c r="M3558" s="369" cm="1">
        <f t="array" ref="M3558">+_xlfn.IFS((C3558&gt;='Resultats - informe'!$D$26)*(C3558&lt;='Resultats - informe'!$E$26),0,(C3558&gt;='Resultats - informe'!$D$27)*(C3558&lt;='Resultats - informe'!$E$27),0,(C3558&gt;='Resultats - informe'!$D$28)*(C3558&lt;='Resultats - informe'!$E$28),0,(C3558&gt;='Resultats - informe'!$D$29)*(C3558&lt;='Resultats - informe'!$E$29),0,1,1)</f>
        <v>0</v>
      </c>
      <c r="N3558" s="366">
        <f>+VLOOKUP(D3558,'Resultats - informe'!$Y$18:$AG$42,'Introducció dades consum'!K3558+1,0)</f>
        <v>0</v>
      </c>
      <c r="O3558" s="370" cm="1">
        <f t="array" ref="O3558">+_xlfn.SWITCH(MONTH(C3558),1,1,2,1,3,1,4,2,5,2,6,3,7,3,8,3,9,3,10,2,11,2,12,1,2)</f>
        <v>1</v>
      </c>
      <c r="P3558" s="43"/>
    </row>
    <row r="3559" spans="1:16" ht="18" x14ac:dyDescent="0.35">
      <c r="A3559" s="43"/>
      <c r="C3559" s="393"/>
      <c r="E3559" s="394"/>
      <c r="F3559" s="394">
        <v>0</v>
      </c>
      <c r="G3559" s="394"/>
      <c r="H3559" s="8" t="s">
        <v>235</v>
      </c>
      <c r="I3559" s="368">
        <f t="shared" si="166"/>
        <v>0</v>
      </c>
      <c r="J3559" s="365">
        <f t="shared" si="165"/>
        <v>0</v>
      </c>
      <c r="K3559" s="369">
        <f t="shared" si="167"/>
        <v>6</v>
      </c>
      <c r="L3559" s="369">
        <f>+IF((C3559&gt;='Resultats - informe'!$E$16)*(C3559&lt;='Resultats - informe'!$G$16),1,0)</f>
        <v>1</v>
      </c>
      <c r="M3559" s="369" cm="1">
        <f t="array" ref="M3559">+_xlfn.IFS((C3559&gt;='Resultats - informe'!$D$26)*(C3559&lt;='Resultats - informe'!$E$26),0,(C3559&gt;='Resultats - informe'!$D$27)*(C3559&lt;='Resultats - informe'!$E$27),0,(C3559&gt;='Resultats - informe'!$D$28)*(C3559&lt;='Resultats - informe'!$E$28),0,(C3559&gt;='Resultats - informe'!$D$29)*(C3559&lt;='Resultats - informe'!$E$29),0,1,1)</f>
        <v>0</v>
      </c>
      <c r="N3559" s="366">
        <f>+VLOOKUP(D3559,'Resultats - informe'!$Y$18:$AG$42,'Introducció dades consum'!K3559+1,0)</f>
        <v>0</v>
      </c>
      <c r="O3559" s="370" cm="1">
        <f t="array" ref="O3559">+_xlfn.SWITCH(MONTH(C3559),1,1,2,1,3,1,4,2,5,2,6,3,7,3,8,3,9,3,10,2,11,2,12,1,2)</f>
        <v>1</v>
      </c>
      <c r="P3559" s="43"/>
    </row>
    <row r="3560" spans="1:16" ht="18" x14ac:dyDescent="0.35">
      <c r="A3560" s="43"/>
      <c r="C3560" s="393"/>
      <c r="E3560" s="394"/>
      <c r="F3560" s="394">
        <v>0</v>
      </c>
      <c r="G3560" s="394"/>
      <c r="H3560" s="8" t="s">
        <v>235</v>
      </c>
      <c r="I3560" s="368">
        <f t="shared" si="166"/>
        <v>0</v>
      </c>
      <c r="J3560" s="365">
        <f t="shared" si="165"/>
        <v>0</v>
      </c>
      <c r="K3560" s="369">
        <f t="shared" si="167"/>
        <v>6</v>
      </c>
      <c r="L3560" s="369">
        <f>+IF((C3560&gt;='Resultats - informe'!$E$16)*(C3560&lt;='Resultats - informe'!$G$16),1,0)</f>
        <v>1</v>
      </c>
      <c r="M3560" s="369" cm="1">
        <f t="array" ref="M3560">+_xlfn.IFS((C3560&gt;='Resultats - informe'!$D$26)*(C3560&lt;='Resultats - informe'!$E$26),0,(C3560&gt;='Resultats - informe'!$D$27)*(C3560&lt;='Resultats - informe'!$E$27),0,(C3560&gt;='Resultats - informe'!$D$28)*(C3560&lt;='Resultats - informe'!$E$28),0,(C3560&gt;='Resultats - informe'!$D$29)*(C3560&lt;='Resultats - informe'!$E$29),0,1,1)</f>
        <v>0</v>
      </c>
      <c r="N3560" s="366">
        <f>+VLOOKUP(D3560,'Resultats - informe'!$Y$18:$AG$42,'Introducció dades consum'!K3560+1,0)</f>
        <v>0</v>
      </c>
      <c r="O3560" s="370" cm="1">
        <f t="array" ref="O3560">+_xlfn.SWITCH(MONTH(C3560),1,1,2,1,3,1,4,2,5,2,6,3,7,3,8,3,9,3,10,2,11,2,12,1,2)</f>
        <v>1</v>
      </c>
      <c r="P3560" s="43"/>
    </row>
    <row r="3561" spans="1:16" ht="18" x14ac:dyDescent="0.35">
      <c r="A3561" s="43"/>
      <c r="C3561" s="393"/>
      <c r="E3561" s="394"/>
      <c r="F3561" s="394">
        <v>0.24299999999999999</v>
      </c>
      <c r="G3561" s="394"/>
      <c r="H3561" s="8" t="s">
        <v>235</v>
      </c>
      <c r="I3561" s="368">
        <f t="shared" si="166"/>
        <v>0</v>
      </c>
      <c r="J3561" s="365">
        <f t="shared" si="165"/>
        <v>0</v>
      </c>
      <c r="K3561" s="369">
        <f t="shared" si="167"/>
        <v>6</v>
      </c>
      <c r="L3561" s="369">
        <f>+IF((C3561&gt;='Resultats - informe'!$E$16)*(C3561&lt;='Resultats - informe'!$G$16),1,0)</f>
        <v>1</v>
      </c>
      <c r="M3561" s="369" cm="1">
        <f t="array" ref="M3561">+_xlfn.IFS((C3561&gt;='Resultats - informe'!$D$26)*(C3561&lt;='Resultats - informe'!$E$26),0,(C3561&gt;='Resultats - informe'!$D$27)*(C3561&lt;='Resultats - informe'!$E$27),0,(C3561&gt;='Resultats - informe'!$D$28)*(C3561&lt;='Resultats - informe'!$E$28),0,(C3561&gt;='Resultats - informe'!$D$29)*(C3561&lt;='Resultats - informe'!$E$29),0,1,1)</f>
        <v>0</v>
      </c>
      <c r="N3561" s="366">
        <f>+VLOOKUP(D3561,'Resultats - informe'!$Y$18:$AG$42,'Introducció dades consum'!K3561+1,0)</f>
        <v>0</v>
      </c>
      <c r="O3561" s="370" cm="1">
        <f t="array" ref="O3561">+_xlfn.SWITCH(MONTH(C3561),1,1,2,1,3,1,4,2,5,2,6,3,7,3,8,3,9,3,10,2,11,2,12,1,2)</f>
        <v>1</v>
      </c>
      <c r="P3561" s="43"/>
    </row>
    <row r="3562" spans="1:16" ht="18" x14ac:dyDescent="0.35">
      <c r="A3562" s="43"/>
      <c r="C3562" s="393"/>
      <c r="E3562" s="394"/>
      <c r="F3562" s="394">
        <v>0</v>
      </c>
      <c r="G3562" s="394"/>
      <c r="H3562" s="8" t="s">
        <v>61</v>
      </c>
      <c r="I3562" s="368">
        <f t="shared" si="166"/>
        <v>0</v>
      </c>
      <c r="J3562" s="365">
        <f t="shared" si="165"/>
        <v>0</v>
      </c>
      <c r="K3562" s="369">
        <f t="shared" si="167"/>
        <v>6</v>
      </c>
      <c r="L3562" s="369">
        <f>+IF((C3562&gt;='Resultats - informe'!$E$16)*(C3562&lt;='Resultats - informe'!$G$16),1,0)</f>
        <v>1</v>
      </c>
      <c r="M3562" s="369" cm="1">
        <f t="array" ref="M3562">+_xlfn.IFS((C3562&gt;='Resultats - informe'!$D$26)*(C3562&lt;='Resultats - informe'!$E$26),0,(C3562&gt;='Resultats - informe'!$D$27)*(C3562&lt;='Resultats - informe'!$E$27),0,(C3562&gt;='Resultats - informe'!$D$28)*(C3562&lt;='Resultats - informe'!$E$28),0,(C3562&gt;='Resultats - informe'!$D$29)*(C3562&lt;='Resultats - informe'!$E$29),0,1,1)</f>
        <v>0</v>
      </c>
      <c r="N3562" s="366">
        <f>+VLOOKUP(D3562,'Resultats - informe'!$Y$18:$AG$42,'Introducció dades consum'!K3562+1,0)</f>
        <v>0</v>
      </c>
      <c r="O3562" s="370" cm="1">
        <f t="array" ref="O3562">+_xlfn.SWITCH(MONTH(C3562),1,1,2,1,3,1,4,2,5,2,6,3,7,3,8,3,9,3,10,2,11,2,12,1,2)</f>
        <v>1</v>
      </c>
      <c r="P3562" s="43"/>
    </row>
    <row r="3563" spans="1:16" ht="18" x14ac:dyDescent="0.35">
      <c r="A3563" s="43"/>
      <c r="C3563" s="393"/>
      <c r="E3563" s="394"/>
      <c r="F3563" s="394">
        <v>0</v>
      </c>
      <c r="G3563" s="394"/>
      <c r="H3563" s="8" t="s">
        <v>61</v>
      </c>
      <c r="I3563" s="368">
        <f t="shared" si="166"/>
        <v>0</v>
      </c>
      <c r="J3563" s="365">
        <f t="shared" si="165"/>
        <v>0</v>
      </c>
      <c r="K3563" s="369">
        <f t="shared" si="167"/>
        <v>6</v>
      </c>
      <c r="L3563" s="369">
        <f>+IF((C3563&gt;='Resultats - informe'!$E$16)*(C3563&lt;='Resultats - informe'!$G$16),1,0)</f>
        <v>1</v>
      </c>
      <c r="M3563" s="369" cm="1">
        <f t="array" ref="M3563">+_xlfn.IFS((C3563&gt;='Resultats - informe'!$D$26)*(C3563&lt;='Resultats - informe'!$E$26),0,(C3563&gt;='Resultats - informe'!$D$27)*(C3563&lt;='Resultats - informe'!$E$27),0,(C3563&gt;='Resultats - informe'!$D$28)*(C3563&lt;='Resultats - informe'!$E$28),0,(C3563&gt;='Resultats - informe'!$D$29)*(C3563&lt;='Resultats - informe'!$E$29),0,1,1)</f>
        <v>0</v>
      </c>
      <c r="N3563" s="366">
        <f>+VLOOKUP(D3563,'Resultats - informe'!$Y$18:$AG$42,'Introducció dades consum'!K3563+1,0)</f>
        <v>0</v>
      </c>
      <c r="O3563" s="370" cm="1">
        <f t="array" ref="O3563">+_xlfn.SWITCH(MONTH(C3563),1,1,2,1,3,1,4,2,5,2,6,3,7,3,8,3,9,3,10,2,11,2,12,1,2)</f>
        <v>1</v>
      </c>
      <c r="P3563" s="43"/>
    </row>
    <row r="3564" spans="1:16" ht="18" x14ac:dyDescent="0.35">
      <c r="A3564" s="43"/>
      <c r="C3564" s="393"/>
      <c r="E3564" s="394"/>
      <c r="F3564" s="394">
        <v>0</v>
      </c>
      <c r="G3564" s="394"/>
      <c r="H3564" s="8" t="s">
        <v>61</v>
      </c>
      <c r="I3564" s="368">
        <f t="shared" si="166"/>
        <v>0</v>
      </c>
      <c r="J3564" s="365">
        <f t="shared" si="165"/>
        <v>0</v>
      </c>
      <c r="K3564" s="369">
        <f t="shared" si="167"/>
        <v>6</v>
      </c>
      <c r="L3564" s="369">
        <f>+IF((C3564&gt;='Resultats - informe'!$E$16)*(C3564&lt;='Resultats - informe'!$G$16),1,0)</f>
        <v>1</v>
      </c>
      <c r="M3564" s="369" cm="1">
        <f t="array" ref="M3564">+_xlfn.IFS((C3564&gt;='Resultats - informe'!$D$26)*(C3564&lt;='Resultats - informe'!$E$26),0,(C3564&gt;='Resultats - informe'!$D$27)*(C3564&lt;='Resultats - informe'!$E$27),0,(C3564&gt;='Resultats - informe'!$D$28)*(C3564&lt;='Resultats - informe'!$E$28),0,(C3564&gt;='Resultats - informe'!$D$29)*(C3564&lt;='Resultats - informe'!$E$29),0,1,1)</f>
        <v>0</v>
      </c>
      <c r="N3564" s="366">
        <f>+VLOOKUP(D3564,'Resultats - informe'!$Y$18:$AG$42,'Introducció dades consum'!K3564+1,0)</f>
        <v>0</v>
      </c>
      <c r="O3564" s="370" cm="1">
        <f t="array" ref="O3564">+_xlfn.SWITCH(MONTH(C3564),1,1,2,1,3,1,4,2,5,2,6,3,7,3,8,3,9,3,10,2,11,2,12,1,2)</f>
        <v>1</v>
      </c>
      <c r="P3564" s="43"/>
    </row>
    <row r="3565" spans="1:16" ht="18" x14ac:dyDescent="0.35">
      <c r="A3565" s="43"/>
      <c r="C3565" s="393"/>
      <c r="E3565" s="394"/>
      <c r="F3565" s="394">
        <v>2.8050000000000002</v>
      </c>
      <c r="G3565" s="394"/>
      <c r="H3565" s="8" t="s">
        <v>235</v>
      </c>
      <c r="I3565" s="368">
        <f t="shared" si="166"/>
        <v>0</v>
      </c>
      <c r="J3565" s="365">
        <f t="shared" si="165"/>
        <v>0</v>
      </c>
      <c r="K3565" s="369">
        <f t="shared" si="167"/>
        <v>6</v>
      </c>
      <c r="L3565" s="369">
        <f>+IF((C3565&gt;='Resultats - informe'!$E$16)*(C3565&lt;='Resultats - informe'!$G$16),1,0)</f>
        <v>1</v>
      </c>
      <c r="M3565" s="369" cm="1">
        <f t="array" ref="M3565">+_xlfn.IFS((C3565&gt;='Resultats - informe'!$D$26)*(C3565&lt;='Resultats - informe'!$E$26),0,(C3565&gt;='Resultats - informe'!$D$27)*(C3565&lt;='Resultats - informe'!$E$27),0,(C3565&gt;='Resultats - informe'!$D$28)*(C3565&lt;='Resultats - informe'!$E$28),0,(C3565&gt;='Resultats - informe'!$D$29)*(C3565&lt;='Resultats - informe'!$E$29),0,1,1)</f>
        <v>0</v>
      </c>
      <c r="N3565" s="366">
        <f>+VLOOKUP(D3565,'Resultats - informe'!$Y$18:$AG$42,'Introducció dades consum'!K3565+1,0)</f>
        <v>0</v>
      </c>
      <c r="O3565" s="370" cm="1">
        <f t="array" ref="O3565">+_xlfn.SWITCH(MONTH(C3565),1,1,2,1,3,1,4,2,5,2,6,3,7,3,8,3,9,3,10,2,11,2,12,1,2)</f>
        <v>1</v>
      </c>
      <c r="P3565" s="43"/>
    </row>
    <row r="3566" spans="1:16" ht="18" x14ac:dyDescent="0.35">
      <c r="A3566" s="43"/>
      <c r="C3566" s="393"/>
      <c r="E3566" s="394"/>
      <c r="F3566" s="394">
        <v>3.7850000000000001</v>
      </c>
      <c r="G3566" s="394"/>
      <c r="H3566" s="8" t="s">
        <v>235</v>
      </c>
      <c r="I3566" s="368">
        <f t="shared" si="166"/>
        <v>0</v>
      </c>
      <c r="J3566" s="365">
        <f t="shared" si="165"/>
        <v>0</v>
      </c>
      <c r="K3566" s="369">
        <f t="shared" si="167"/>
        <v>6</v>
      </c>
      <c r="L3566" s="369">
        <f>+IF((C3566&gt;='Resultats - informe'!$E$16)*(C3566&lt;='Resultats - informe'!$G$16),1,0)</f>
        <v>1</v>
      </c>
      <c r="M3566" s="369" cm="1">
        <f t="array" ref="M3566">+_xlfn.IFS((C3566&gt;='Resultats - informe'!$D$26)*(C3566&lt;='Resultats - informe'!$E$26),0,(C3566&gt;='Resultats - informe'!$D$27)*(C3566&lt;='Resultats - informe'!$E$27),0,(C3566&gt;='Resultats - informe'!$D$28)*(C3566&lt;='Resultats - informe'!$E$28),0,(C3566&gt;='Resultats - informe'!$D$29)*(C3566&lt;='Resultats - informe'!$E$29),0,1,1)</f>
        <v>0</v>
      </c>
      <c r="N3566" s="366">
        <f>+VLOOKUP(D3566,'Resultats - informe'!$Y$18:$AG$42,'Introducció dades consum'!K3566+1,0)</f>
        <v>0</v>
      </c>
      <c r="O3566" s="370" cm="1">
        <f t="array" ref="O3566">+_xlfn.SWITCH(MONTH(C3566),1,1,2,1,3,1,4,2,5,2,6,3,7,3,8,3,9,3,10,2,11,2,12,1,2)</f>
        <v>1</v>
      </c>
      <c r="P3566" s="43"/>
    </row>
    <row r="3567" spans="1:16" ht="18" x14ac:dyDescent="0.35">
      <c r="A3567" s="43"/>
      <c r="C3567" s="393"/>
      <c r="E3567" s="394"/>
      <c r="F3567" s="394">
        <v>4.0259999999999998</v>
      </c>
      <c r="G3567" s="394"/>
      <c r="H3567" s="8" t="s">
        <v>235</v>
      </c>
      <c r="I3567" s="368">
        <f t="shared" si="166"/>
        <v>0</v>
      </c>
      <c r="J3567" s="365">
        <f t="shared" si="165"/>
        <v>0</v>
      </c>
      <c r="K3567" s="369">
        <f t="shared" si="167"/>
        <v>6</v>
      </c>
      <c r="L3567" s="369">
        <f>+IF((C3567&gt;='Resultats - informe'!$E$16)*(C3567&lt;='Resultats - informe'!$G$16),1,0)</f>
        <v>1</v>
      </c>
      <c r="M3567" s="369" cm="1">
        <f t="array" ref="M3567">+_xlfn.IFS((C3567&gt;='Resultats - informe'!$D$26)*(C3567&lt;='Resultats - informe'!$E$26),0,(C3567&gt;='Resultats - informe'!$D$27)*(C3567&lt;='Resultats - informe'!$E$27),0,(C3567&gt;='Resultats - informe'!$D$28)*(C3567&lt;='Resultats - informe'!$E$28),0,(C3567&gt;='Resultats - informe'!$D$29)*(C3567&lt;='Resultats - informe'!$E$29),0,1,1)</f>
        <v>0</v>
      </c>
      <c r="N3567" s="366">
        <f>+VLOOKUP(D3567,'Resultats - informe'!$Y$18:$AG$42,'Introducció dades consum'!K3567+1,0)</f>
        <v>0</v>
      </c>
      <c r="O3567" s="370" cm="1">
        <f t="array" ref="O3567">+_xlfn.SWITCH(MONTH(C3567),1,1,2,1,3,1,4,2,5,2,6,3,7,3,8,3,9,3,10,2,11,2,12,1,2)</f>
        <v>1</v>
      </c>
      <c r="P3567" s="43"/>
    </row>
    <row r="3568" spans="1:16" ht="18" x14ac:dyDescent="0.35">
      <c r="A3568" s="43"/>
      <c r="C3568" s="393"/>
      <c r="E3568" s="394"/>
      <c r="F3568" s="394">
        <v>3.5449999999999999</v>
      </c>
      <c r="G3568" s="394"/>
      <c r="H3568" s="8" t="s">
        <v>235</v>
      </c>
      <c r="I3568" s="368">
        <f t="shared" si="166"/>
        <v>0</v>
      </c>
      <c r="J3568" s="365">
        <f t="shared" si="165"/>
        <v>0</v>
      </c>
      <c r="K3568" s="369">
        <f t="shared" si="167"/>
        <v>6</v>
      </c>
      <c r="L3568" s="369">
        <f>+IF((C3568&gt;='Resultats - informe'!$E$16)*(C3568&lt;='Resultats - informe'!$G$16),1,0)</f>
        <v>1</v>
      </c>
      <c r="M3568" s="369" cm="1">
        <f t="array" ref="M3568">+_xlfn.IFS((C3568&gt;='Resultats - informe'!$D$26)*(C3568&lt;='Resultats - informe'!$E$26),0,(C3568&gt;='Resultats - informe'!$D$27)*(C3568&lt;='Resultats - informe'!$E$27),0,(C3568&gt;='Resultats - informe'!$D$28)*(C3568&lt;='Resultats - informe'!$E$28),0,(C3568&gt;='Resultats - informe'!$D$29)*(C3568&lt;='Resultats - informe'!$E$29),0,1,1)</f>
        <v>0</v>
      </c>
      <c r="N3568" s="366">
        <f>+VLOOKUP(D3568,'Resultats - informe'!$Y$18:$AG$42,'Introducció dades consum'!K3568+1,0)</f>
        <v>0</v>
      </c>
      <c r="O3568" s="370" cm="1">
        <f t="array" ref="O3568">+_xlfn.SWITCH(MONTH(C3568),1,1,2,1,3,1,4,2,5,2,6,3,7,3,8,3,9,3,10,2,11,2,12,1,2)</f>
        <v>1</v>
      </c>
      <c r="P3568" s="43"/>
    </row>
    <row r="3569" spans="1:16" ht="18" x14ac:dyDescent="0.35">
      <c r="A3569" s="43"/>
      <c r="C3569" s="393"/>
      <c r="E3569" s="394"/>
      <c r="F3569" s="394">
        <v>2.9369999999999998</v>
      </c>
      <c r="G3569" s="394"/>
      <c r="H3569" s="8" t="s">
        <v>235</v>
      </c>
      <c r="I3569" s="368">
        <f t="shared" si="166"/>
        <v>0</v>
      </c>
      <c r="J3569" s="365">
        <f t="shared" si="165"/>
        <v>0</v>
      </c>
      <c r="K3569" s="369">
        <f t="shared" si="167"/>
        <v>6</v>
      </c>
      <c r="L3569" s="369">
        <f>+IF((C3569&gt;='Resultats - informe'!$E$16)*(C3569&lt;='Resultats - informe'!$G$16),1,0)</f>
        <v>1</v>
      </c>
      <c r="M3569" s="369" cm="1">
        <f t="array" ref="M3569">+_xlfn.IFS((C3569&gt;='Resultats - informe'!$D$26)*(C3569&lt;='Resultats - informe'!$E$26),0,(C3569&gt;='Resultats - informe'!$D$27)*(C3569&lt;='Resultats - informe'!$E$27),0,(C3569&gt;='Resultats - informe'!$D$28)*(C3569&lt;='Resultats - informe'!$E$28),0,(C3569&gt;='Resultats - informe'!$D$29)*(C3569&lt;='Resultats - informe'!$E$29),0,1,1)</f>
        <v>0</v>
      </c>
      <c r="N3569" s="366">
        <f>+VLOOKUP(D3569,'Resultats - informe'!$Y$18:$AG$42,'Introducció dades consum'!K3569+1,0)</f>
        <v>0</v>
      </c>
      <c r="O3569" s="370" cm="1">
        <f t="array" ref="O3569">+_xlfn.SWITCH(MONTH(C3569),1,1,2,1,3,1,4,2,5,2,6,3,7,3,8,3,9,3,10,2,11,2,12,1,2)</f>
        <v>1</v>
      </c>
      <c r="P3569" s="43"/>
    </row>
    <row r="3570" spans="1:16" ht="18" x14ac:dyDescent="0.35">
      <c r="A3570" s="43"/>
      <c r="C3570" s="393"/>
      <c r="E3570" s="394"/>
      <c r="F3570" s="394">
        <v>5.202</v>
      </c>
      <c r="G3570" s="394"/>
      <c r="H3570" s="8" t="s">
        <v>61</v>
      </c>
      <c r="I3570" s="368">
        <f t="shared" si="166"/>
        <v>0</v>
      </c>
      <c r="J3570" s="365">
        <f t="shared" si="165"/>
        <v>0</v>
      </c>
      <c r="K3570" s="369">
        <f t="shared" si="167"/>
        <v>6</v>
      </c>
      <c r="L3570" s="369">
        <f>+IF((C3570&gt;='Resultats - informe'!$E$16)*(C3570&lt;='Resultats - informe'!$G$16),1,0)</f>
        <v>1</v>
      </c>
      <c r="M3570" s="369" cm="1">
        <f t="array" ref="M3570">+_xlfn.IFS((C3570&gt;='Resultats - informe'!$D$26)*(C3570&lt;='Resultats - informe'!$E$26),0,(C3570&gt;='Resultats - informe'!$D$27)*(C3570&lt;='Resultats - informe'!$E$27),0,(C3570&gt;='Resultats - informe'!$D$28)*(C3570&lt;='Resultats - informe'!$E$28),0,(C3570&gt;='Resultats - informe'!$D$29)*(C3570&lt;='Resultats - informe'!$E$29),0,1,1)</f>
        <v>0</v>
      </c>
      <c r="N3570" s="366">
        <f>+VLOOKUP(D3570,'Resultats - informe'!$Y$18:$AG$42,'Introducció dades consum'!K3570+1,0)</f>
        <v>0</v>
      </c>
      <c r="O3570" s="370" cm="1">
        <f t="array" ref="O3570">+_xlfn.SWITCH(MONTH(C3570),1,1,2,1,3,1,4,2,5,2,6,3,7,3,8,3,9,3,10,2,11,2,12,1,2)</f>
        <v>1</v>
      </c>
      <c r="P3570" s="43"/>
    </row>
    <row r="3571" spans="1:16" ht="18" x14ac:dyDescent="0.35">
      <c r="A3571" s="43"/>
      <c r="C3571" s="393"/>
      <c r="E3571" s="394"/>
      <c r="F3571" s="394">
        <v>5.6150000000000002</v>
      </c>
      <c r="G3571" s="394"/>
      <c r="H3571" s="8" t="s">
        <v>61</v>
      </c>
      <c r="I3571" s="368">
        <f t="shared" si="166"/>
        <v>0</v>
      </c>
      <c r="J3571" s="365">
        <f t="shared" si="165"/>
        <v>0</v>
      </c>
      <c r="K3571" s="369">
        <f t="shared" si="167"/>
        <v>6</v>
      </c>
      <c r="L3571" s="369">
        <f>+IF((C3571&gt;='Resultats - informe'!$E$16)*(C3571&lt;='Resultats - informe'!$G$16),1,0)</f>
        <v>1</v>
      </c>
      <c r="M3571" s="369" cm="1">
        <f t="array" ref="M3571">+_xlfn.IFS((C3571&gt;='Resultats - informe'!$D$26)*(C3571&lt;='Resultats - informe'!$E$26),0,(C3571&gt;='Resultats - informe'!$D$27)*(C3571&lt;='Resultats - informe'!$E$27),0,(C3571&gt;='Resultats - informe'!$D$28)*(C3571&lt;='Resultats - informe'!$E$28),0,(C3571&gt;='Resultats - informe'!$D$29)*(C3571&lt;='Resultats - informe'!$E$29),0,1,1)</f>
        <v>0</v>
      </c>
      <c r="N3571" s="366">
        <f>+VLOOKUP(D3571,'Resultats - informe'!$Y$18:$AG$42,'Introducció dades consum'!K3571+1,0)</f>
        <v>0</v>
      </c>
      <c r="O3571" s="370" cm="1">
        <f t="array" ref="O3571">+_xlfn.SWITCH(MONTH(C3571),1,1,2,1,3,1,4,2,5,2,6,3,7,3,8,3,9,3,10,2,11,2,12,1,2)</f>
        <v>1</v>
      </c>
      <c r="P3571" s="43"/>
    </row>
    <row r="3572" spans="1:16" ht="18" x14ac:dyDescent="0.35">
      <c r="A3572" s="43"/>
      <c r="C3572" s="393"/>
      <c r="E3572" s="394"/>
      <c r="F3572" s="394">
        <v>5.3659999999999997</v>
      </c>
      <c r="G3572" s="394"/>
      <c r="H3572" s="8" t="s">
        <v>61</v>
      </c>
      <c r="I3572" s="368">
        <f t="shared" si="166"/>
        <v>0</v>
      </c>
      <c r="J3572" s="365">
        <f t="shared" si="165"/>
        <v>0</v>
      </c>
      <c r="K3572" s="369">
        <f t="shared" si="167"/>
        <v>6</v>
      </c>
      <c r="L3572" s="369">
        <f>+IF((C3572&gt;='Resultats - informe'!$E$16)*(C3572&lt;='Resultats - informe'!$G$16),1,0)</f>
        <v>1</v>
      </c>
      <c r="M3572" s="369" cm="1">
        <f t="array" ref="M3572">+_xlfn.IFS((C3572&gt;='Resultats - informe'!$D$26)*(C3572&lt;='Resultats - informe'!$E$26),0,(C3572&gt;='Resultats - informe'!$D$27)*(C3572&lt;='Resultats - informe'!$E$27),0,(C3572&gt;='Resultats - informe'!$D$28)*(C3572&lt;='Resultats - informe'!$E$28),0,(C3572&gt;='Resultats - informe'!$D$29)*(C3572&lt;='Resultats - informe'!$E$29),0,1,1)</f>
        <v>0</v>
      </c>
      <c r="N3572" s="366">
        <f>+VLOOKUP(D3572,'Resultats - informe'!$Y$18:$AG$42,'Introducció dades consum'!K3572+1,0)</f>
        <v>0</v>
      </c>
      <c r="O3572" s="370" cm="1">
        <f t="array" ref="O3572">+_xlfn.SWITCH(MONTH(C3572),1,1,2,1,3,1,4,2,5,2,6,3,7,3,8,3,9,3,10,2,11,2,12,1,2)</f>
        <v>1</v>
      </c>
      <c r="P3572" s="43"/>
    </row>
    <row r="3573" spans="1:16" ht="18" x14ac:dyDescent="0.35">
      <c r="A3573" s="43"/>
      <c r="C3573" s="393"/>
      <c r="E3573" s="394"/>
      <c r="F3573" s="394">
        <v>3.6360000000000001</v>
      </c>
      <c r="G3573" s="394"/>
      <c r="H3573" s="8" t="s">
        <v>61</v>
      </c>
      <c r="I3573" s="368">
        <f t="shared" si="166"/>
        <v>0</v>
      </c>
      <c r="J3573" s="365">
        <f t="shared" si="165"/>
        <v>0</v>
      </c>
      <c r="K3573" s="369">
        <f t="shared" si="167"/>
        <v>6</v>
      </c>
      <c r="L3573" s="369">
        <f>+IF((C3573&gt;='Resultats - informe'!$E$16)*(C3573&lt;='Resultats - informe'!$G$16),1,0)</f>
        <v>1</v>
      </c>
      <c r="M3573" s="369" cm="1">
        <f t="array" ref="M3573">+_xlfn.IFS((C3573&gt;='Resultats - informe'!$D$26)*(C3573&lt;='Resultats - informe'!$E$26),0,(C3573&gt;='Resultats - informe'!$D$27)*(C3573&lt;='Resultats - informe'!$E$27),0,(C3573&gt;='Resultats - informe'!$D$28)*(C3573&lt;='Resultats - informe'!$E$28),0,(C3573&gt;='Resultats - informe'!$D$29)*(C3573&lt;='Resultats - informe'!$E$29),0,1,1)</f>
        <v>0</v>
      </c>
      <c r="N3573" s="366">
        <f>+VLOOKUP(D3573,'Resultats - informe'!$Y$18:$AG$42,'Introducció dades consum'!K3573+1,0)</f>
        <v>0</v>
      </c>
      <c r="O3573" s="370" cm="1">
        <f t="array" ref="O3573">+_xlfn.SWITCH(MONTH(C3573),1,1,2,1,3,1,4,2,5,2,6,3,7,3,8,3,9,3,10,2,11,2,12,1,2)</f>
        <v>1</v>
      </c>
      <c r="P3573" s="43"/>
    </row>
    <row r="3574" spans="1:16" ht="18" x14ac:dyDescent="0.35">
      <c r="A3574" s="43"/>
      <c r="C3574" s="393"/>
      <c r="E3574" s="394"/>
      <c r="F3574" s="394">
        <v>0</v>
      </c>
      <c r="G3574" s="394"/>
      <c r="H3574" s="8" t="s">
        <v>235</v>
      </c>
      <c r="I3574" s="368">
        <f t="shared" si="166"/>
        <v>0</v>
      </c>
      <c r="J3574" s="365">
        <f t="shared" si="165"/>
        <v>0</v>
      </c>
      <c r="K3574" s="369">
        <f t="shared" si="167"/>
        <v>6</v>
      </c>
      <c r="L3574" s="369">
        <f>+IF((C3574&gt;='Resultats - informe'!$E$16)*(C3574&lt;='Resultats - informe'!$G$16),1,0)</f>
        <v>1</v>
      </c>
      <c r="M3574" s="369" cm="1">
        <f t="array" ref="M3574">+_xlfn.IFS((C3574&gt;='Resultats - informe'!$D$26)*(C3574&lt;='Resultats - informe'!$E$26),0,(C3574&gt;='Resultats - informe'!$D$27)*(C3574&lt;='Resultats - informe'!$E$27),0,(C3574&gt;='Resultats - informe'!$D$28)*(C3574&lt;='Resultats - informe'!$E$28),0,(C3574&gt;='Resultats - informe'!$D$29)*(C3574&lt;='Resultats - informe'!$E$29),0,1,1)</f>
        <v>0</v>
      </c>
      <c r="N3574" s="366">
        <f>+VLOOKUP(D3574,'Resultats - informe'!$Y$18:$AG$42,'Introducció dades consum'!K3574+1,0)</f>
        <v>0</v>
      </c>
      <c r="O3574" s="370" cm="1">
        <f t="array" ref="O3574">+_xlfn.SWITCH(MONTH(C3574),1,1,2,1,3,1,4,2,5,2,6,3,7,3,8,3,9,3,10,2,11,2,12,1,2)</f>
        <v>1</v>
      </c>
      <c r="P3574" s="43"/>
    </row>
    <row r="3575" spans="1:16" ht="18" x14ac:dyDescent="0.35">
      <c r="A3575" s="43"/>
      <c r="C3575" s="393"/>
      <c r="E3575" s="394"/>
      <c r="F3575" s="394">
        <v>0</v>
      </c>
      <c r="G3575" s="394"/>
      <c r="H3575" s="8" t="s">
        <v>235</v>
      </c>
      <c r="I3575" s="368">
        <f t="shared" si="166"/>
        <v>0</v>
      </c>
      <c r="J3575" s="365">
        <f t="shared" si="165"/>
        <v>0</v>
      </c>
      <c r="K3575" s="369">
        <f t="shared" si="167"/>
        <v>6</v>
      </c>
      <c r="L3575" s="369">
        <f>+IF((C3575&gt;='Resultats - informe'!$E$16)*(C3575&lt;='Resultats - informe'!$G$16),1,0)</f>
        <v>1</v>
      </c>
      <c r="M3575" s="369" cm="1">
        <f t="array" ref="M3575">+_xlfn.IFS((C3575&gt;='Resultats - informe'!$D$26)*(C3575&lt;='Resultats - informe'!$E$26),0,(C3575&gt;='Resultats - informe'!$D$27)*(C3575&lt;='Resultats - informe'!$E$27),0,(C3575&gt;='Resultats - informe'!$D$28)*(C3575&lt;='Resultats - informe'!$E$28),0,(C3575&gt;='Resultats - informe'!$D$29)*(C3575&lt;='Resultats - informe'!$E$29),0,1,1)</f>
        <v>0</v>
      </c>
      <c r="N3575" s="366">
        <f>+VLOOKUP(D3575,'Resultats - informe'!$Y$18:$AG$42,'Introducció dades consum'!K3575+1,0)</f>
        <v>0</v>
      </c>
      <c r="O3575" s="370" cm="1">
        <f t="array" ref="O3575">+_xlfn.SWITCH(MONTH(C3575),1,1,2,1,3,1,4,2,5,2,6,3,7,3,8,3,9,3,10,2,11,2,12,1,2)</f>
        <v>1</v>
      </c>
      <c r="P3575" s="43"/>
    </row>
    <row r="3576" spans="1:16" ht="18" x14ac:dyDescent="0.35">
      <c r="A3576" s="43"/>
      <c r="C3576" s="393"/>
      <c r="E3576" s="394"/>
      <c r="F3576" s="394">
        <v>0</v>
      </c>
      <c r="G3576" s="394"/>
      <c r="H3576" s="8" t="s">
        <v>235</v>
      </c>
      <c r="I3576" s="368">
        <f t="shared" si="166"/>
        <v>0</v>
      </c>
      <c r="J3576" s="365">
        <f t="shared" si="165"/>
        <v>0</v>
      </c>
      <c r="K3576" s="369">
        <f t="shared" si="167"/>
        <v>6</v>
      </c>
      <c r="L3576" s="369">
        <f>+IF((C3576&gt;='Resultats - informe'!$E$16)*(C3576&lt;='Resultats - informe'!$G$16),1,0)</f>
        <v>1</v>
      </c>
      <c r="M3576" s="369" cm="1">
        <f t="array" ref="M3576">+_xlfn.IFS((C3576&gt;='Resultats - informe'!$D$26)*(C3576&lt;='Resultats - informe'!$E$26),0,(C3576&gt;='Resultats - informe'!$D$27)*(C3576&lt;='Resultats - informe'!$E$27),0,(C3576&gt;='Resultats - informe'!$D$28)*(C3576&lt;='Resultats - informe'!$E$28),0,(C3576&gt;='Resultats - informe'!$D$29)*(C3576&lt;='Resultats - informe'!$E$29),0,1,1)</f>
        <v>0</v>
      </c>
      <c r="N3576" s="366">
        <f>+VLOOKUP(D3576,'Resultats - informe'!$Y$18:$AG$42,'Introducció dades consum'!K3576+1,0)</f>
        <v>0</v>
      </c>
      <c r="O3576" s="370" cm="1">
        <f t="array" ref="O3576">+_xlfn.SWITCH(MONTH(C3576),1,1,2,1,3,1,4,2,5,2,6,3,7,3,8,3,9,3,10,2,11,2,12,1,2)</f>
        <v>1</v>
      </c>
      <c r="P3576" s="43"/>
    </row>
    <row r="3577" spans="1:16" ht="18" x14ac:dyDescent="0.35">
      <c r="A3577" s="43"/>
      <c r="C3577" s="393"/>
      <c r="E3577" s="394"/>
      <c r="F3577" s="394">
        <v>0</v>
      </c>
      <c r="G3577" s="394"/>
      <c r="H3577" s="8" t="s">
        <v>235</v>
      </c>
      <c r="I3577" s="368">
        <f t="shared" si="166"/>
        <v>0</v>
      </c>
      <c r="J3577" s="365">
        <f t="shared" si="165"/>
        <v>0</v>
      </c>
      <c r="K3577" s="369">
        <f t="shared" si="167"/>
        <v>6</v>
      </c>
      <c r="L3577" s="369">
        <f>+IF((C3577&gt;='Resultats - informe'!$E$16)*(C3577&lt;='Resultats - informe'!$G$16),1,0)</f>
        <v>1</v>
      </c>
      <c r="M3577" s="369" cm="1">
        <f t="array" ref="M3577">+_xlfn.IFS((C3577&gt;='Resultats - informe'!$D$26)*(C3577&lt;='Resultats - informe'!$E$26),0,(C3577&gt;='Resultats - informe'!$D$27)*(C3577&lt;='Resultats - informe'!$E$27),0,(C3577&gt;='Resultats - informe'!$D$28)*(C3577&lt;='Resultats - informe'!$E$28),0,(C3577&gt;='Resultats - informe'!$D$29)*(C3577&lt;='Resultats - informe'!$E$29),0,1,1)</f>
        <v>0</v>
      </c>
      <c r="N3577" s="366">
        <f>+VLOOKUP(D3577,'Resultats - informe'!$Y$18:$AG$42,'Introducció dades consum'!K3577+1,0)</f>
        <v>0</v>
      </c>
      <c r="O3577" s="370" cm="1">
        <f t="array" ref="O3577">+_xlfn.SWITCH(MONTH(C3577),1,1,2,1,3,1,4,2,5,2,6,3,7,3,8,3,9,3,10,2,11,2,12,1,2)</f>
        <v>1</v>
      </c>
      <c r="P3577" s="43"/>
    </row>
    <row r="3578" spans="1:16" ht="18" x14ac:dyDescent="0.35">
      <c r="A3578" s="43"/>
      <c r="C3578" s="393"/>
      <c r="E3578" s="394"/>
      <c r="F3578" s="394">
        <v>0</v>
      </c>
      <c r="G3578" s="394"/>
      <c r="H3578" s="8" t="s">
        <v>235</v>
      </c>
      <c r="I3578" s="368">
        <f t="shared" si="166"/>
        <v>0</v>
      </c>
      <c r="J3578" s="365">
        <f t="shared" si="165"/>
        <v>0</v>
      </c>
      <c r="K3578" s="369">
        <f t="shared" si="167"/>
        <v>6</v>
      </c>
      <c r="L3578" s="369">
        <f>+IF((C3578&gt;='Resultats - informe'!$E$16)*(C3578&lt;='Resultats - informe'!$G$16),1,0)</f>
        <v>1</v>
      </c>
      <c r="M3578" s="369" cm="1">
        <f t="array" ref="M3578">+_xlfn.IFS((C3578&gt;='Resultats - informe'!$D$26)*(C3578&lt;='Resultats - informe'!$E$26),0,(C3578&gt;='Resultats - informe'!$D$27)*(C3578&lt;='Resultats - informe'!$E$27),0,(C3578&gt;='Resultats - informe'!$D$28)*(C3578&lt;='Resultats - informe'!$E$28),0,(C3578&gt;='Resultats - informe'!$D$29)*(C3578&lt;='Resultats - informe'!$E$29),0,1,1)</f>
        <v>0</v>
      </c>
      <c r="N3578" s="366">
        <f>+VLOOKUP(D3578,'Resultats - informe'!$Y$18:$AG$42,'Introducció dades consum'!K3578+1,0)</f>
        <v>0</v>
      </c>
      <c r="O3578" s="370" cm="1">
        <f t="array" ref="O3578">+_xlfn.SWITCH(MONTH(C3578),1,1,2,1,3,1,4,2,5,2,6,3,7,3,8,3,9,3,10,2,11,2,12,1,2)</f>
        <v>1</v>
      </c>
      <c r="P3578" s="43"/>
    </row>
    <row r="3579" spans="1:16" ht="18" x14ac:dyDescent="0.35">
      <c r="A3579" s="43"/>
      <c r="C3579" s="393"/>
      <c r="E3579" s="394"/>
      <c r="F3579" s="394">
        <v>0</v>
      </c>
      <c r="G3579" s="394"/>
      <c r="H3579" s="8" t="s">
        <v>235</v>
      </c>
      <c r="I3579" s="368">
        <f t="shared" si="166"/>
        <v>0</v>
      </c>
      <c r="J3579" s="365">
        <f t="shared" ref="J3579:J3642" si="168">+C3579</f>
        <v>0</v>
      </c>
      <c r="K3579" s="369">
        <f t="shared" si="167"/>
        <v>6</v>
      </c>
      <c r="L3579" s="369">
        <f>+IF((C3579&gt;='Resultats - informe'!$E$16)*(C3579&lt;='Resultats - informe'!$G$16),1,0)</f>
        <v>1</v>
      </c>
      <c r="M3579" s="369" cm="1">
        <f t="array" ref="M3579">+_xlfn.IFS((C3579&gt;='Resultats - informe'!$D$26)*(C3579&lt;='Resultats - informe'!$E$26),0,(C3579&gt;='Resultats - informe'!$D$27)*(C3579&lt;='Resultats - informe'!$E$27),0,(C3579&gt;='Resultats - informe'!$D$28)*(C3579&lt;='Resultats - informe'!$E$28),0,(C3579&gt;='Resultats - informe'!$D$29)*(C3579&lt;='Resultats - informe'!$E$29),0,1,1)</f>
        <v>0</v>
      </c>
      <c r="N3579" s="366">
        <f>+VLOOKUP(D3579,'Resultats - informe'!$Y$18:$AG$42,'Introducció dades consum'!K3579+1,0)</f>
        <v>0</v>
      </c>
      <c r="O3579" s="370" cm="1">
        <f t="array" ref="O3579">+_xlfn.SWITCH(MONTH(C3579),1,1,2,1,3,1,4,2,5,2,6,3,7,3,8,3,9,3,10,2,11,2,12,1,2)</f>
        <v>1</v>
      </c>
      <c r="P3579" s="43"/>
    </row>
    <row r="3580" spans="1:16" ht="18" x14ac:dyDescent="0.35">
      <c r="A3580" s="43"/>
      <c r="C3580" s="393"/>
      <c r="E3580" s="394"/>
      <c r="F3580" s="394">
        <v>0</v>
      </c>
      <c r="G3580" s="394"/>
      <c r="H3580" s="8" t="s">
        <v>235</v>
      </c>
      <c r="I3580" s="368">
        <f t="shared" si="166"/>
        <v>0</v>
      </c>
      <c r="J3580" s="365">
        <f t="shared" si="168"/>
        <v>0</v>
      </c>
      <c r="K3580" s="369">
        <f t="shared" si="167"/>
        <v>6</v>
      </c>
      <c r="L3580" s="369">
        <f>+IF((C3580&gt;='Resultats - informe'!$E$16)*(C3580&lt;='Resultats - informe'!$G$16),1,0)</f>
        <v>1</v>
      </c>
      <c r="M3580" s="369" cm="1">
        <f t="array" ref="M3580">+_xlfn.IFS((C3580&gt;='Resultats - informe'!$D$26)*(C3580&lt;='Resultats - informe'!$E$26),0,(C3580&gt;='Resultats - informe'!$D$27)*(C3580&lt;='Resultats - informe'!$E$27),0,(C3580&gt;='Resultats - informe'!$D$28)*(C3580&lt;='Resultats - informe'!$E$28),0,(C3580&gt;='Resultats - informe'!$D$29)*(C3580&lt;='Resultats - informe'!$E$29),0,1,1)</f>
        <v>0</v>
      </c>
      <c r="N3580" s="366">
        <f>+VLOOKUP(D3580,'Resultats - informe'!$Y$18:$AG$42,'Introducció dades consum'!K3580+1,0)</f>
        <v>0</v>
      </c>
      <c r="O3580" s="370" cm="1">
        <f t="array" ref="O3580">+_xlfn.SWITCH(MONTH(C3580),1,1,2,1,3,1,4,2,5,2,6,3,7,3,8,3,9,3,10,2,11,2,12,1,2)</f>
        <v>1</v>
      </c>
      <c r="P3580" s="43"/>
    </row>
    <row r="3581" spans="1:16" ht="18" x14ac:dyDescent="0.35">
      <c r="A3581" s="43"/>
      <c r="C3581" s="393"/>
      <c r="E3581" s="394"/>
      <c r="F3581" s="394">
        <v>0</v>
      </c>
      <c r="G3581" s="394"/>
      <c r="H3581" s="8" t="s">
        <v>235</v>
      </c>
      <c r="I3581" s="368">
        <f t="shared" si="166"/>
        <v>0</v>
      </c>
      <c r="J3581" s="365">
        <f t="shared" si="168"/>
        <v>0</v>
      </c>
      <c r="K3581" s="369">
        <f t="shared" si="167"/>
        <v>6</v>
      </c>
      <c r="L3581" s="369">
        <f>+IF((C3581&gt;='Resultats - informe'!$E$16)*(C3581&lt;='Resultats - informe'!$G$16),1,0)</f>
        <v>1</v>
      </c>
      <c r="M3581" s="369" cm="1">
        <f t="array" ref="M3581">+_xlfn.IFS((C3581&gt;='Resultats - informe'!$D$26)*(C3581&lt;='Resultats - informe'!$E$26),0,(C3581&gt;='Resultats - informe'!$D$27)*(C3581&lt;='Resultats - informe'!$E$27),0,(C3581&gt;='Resultats - informe'!$D$28)*(C3581&lt;='Resultats - informe'!$E$28),0,(C3581&gt;='Resultats - informe'!$D$29)*(C3581&lt;='Resultats - informe'!$E$29),0,1,1)</f>
        <v>0</v>
      </c>
      <c r="N3581" s="366">
        <f>+VLOOKUP(D3581,'Resultats - informe'!$Y$18:$AG$42,'Introducció dades consum'!K3581+1,0)</f>
        <v>0</v>
      </c>
      <c r="O3581" s="370" cm="1">
        <f t="array" ref="O3581">+_xlfn.SWITCH(MONTH(C3581),1,1,2,1,3,1,4,2,5,2,6,3,7,3,8,3,9,3,10,2,11,2,12,1,2)</f>
        <v>1</v>
      </c>
      <c r="P3581" s="43"/>
    </row>
    <row r="3582" spans="1:16" ht="18" x14ac:dyDescent="0.35">
      <c r="A3582" s="43"/>
      <c r="C3582" s="393"/>
      <c r="E3582" s="394"/>
      <c r="F3582" s="394">
        <v>0</v>
      </c>
      <c r="G3582" s="394"/>
      <c r="H3582" s="8" t="s">
        <v>235</v>
      </c>
      <c r="I3582" s="368">
        <f t="shared" si="166"/>
        <v>0</v>
      </c>
      <c r="J3582" s="365">
        <f t="shared" si="168"/>
        <v>0</v>
      </c>
      <c r="K3582" s="369">
        <f t="shared" si="167"/>
        <v>6</v>
      </c>
      <c r="L3582" s="369">
        <f>+IF((C3582&gt;='Resultats - informe'!$E$16)*(C3582&lt;='Resultats - informe'!$G$16),1,0)</f>
        <v>1</v>
      </c>
      <c r="M3582" s="369" cm="1">
        <f t="array" ref="M3582">+_xlfn.IFS((C3582&gt;='Resultats - informe'!$D$26)*(C3582&lt;='Resultats - informe'!$E$26),0,(C3582&gt;='Resultats - informe'!$D$27)*(C3582&lt;='Resultats - informe'!$E$27),0,(C3582&gt;='Resultats - informe'!$D$28)*(C3582&lt;='Resultats - informe'!$E$28),0,(C3582&gt;='Resultats - informe'!$D$29)*(C3582&lt;='Resultats - informe'!$E$29),0,1,1)</f>
        <v>0</v>
      </c>
      <c r="N3582" s="366">
        <f>+VLOOKUP(D3582,'Resultats - informe'!$Y$18:$AG$42,'Introducció dades consum'!K3582+1,0)</f>
        <v>0</v>
      </c>
      <c r="O3582" s="370" cm="1">
        <f t="array" ref="O3582">+_xlfn.SWITCH(MONTH(C3582),1,1,2,1,3,1,4,2,5,2,6,3,7,3,8,3,9,3,10,2,11,2,12,1,2)</f>
        <v>1</v>
      </c>
      <c r="P3582" s="43"/>
    </row>
    <row r="3583" spans="1:16" ht="18" x14ac:dyDescent="0.35">
      <c r="A3583" s="43"/>
      <c r="C3583" s="393"/>
      <c r="E3583" s="394"/>
      <c r="F3583" s="394">
        <v>0</v>
      </c>
      <c r="G3583" s="394"/>
      <c r="H3583" s="8" t="s">
        <v>235</v>
      </c>
      <c r="I3583" s="368">
        <f t="shared" si="166"/>
        <v>0</v>
      </c>
      <c r="J3583" s="365">
        <f t="shared" si="168"/>
        <v>0</v>
      </c>
      <c r="K3583" s="369">
        <f t="shared" si="167"/>
        <v>6</v>
      </c>
      <c r="L3583" s="369">
        <f>+IF((C3583&gt;='Resultats - informe'!$E$16)*(C3583&lt;='Resultats - informe'!$G$16),1,0)</f>
        <v>1</v>
      </c>
      <c r="M3583" s="369" cm="1">
        <f t="array" ref="M3583">+_xlfn.IFS((C3583&gt;='Resultats - informe'!$D$26)*(C3583&lt;='Resultats - informe'!$E$26),0,(C3583&gt;='Resultats - informe'!$D$27)*(C3583&lt;='Resultats - informe'!$E$27),0,(C3583&gt;='Resultats - informe'!$D$28)*(C3583&lt;='Resultats - informe'!$E$28),0,(C3583&gt;='Resultats - informe'!$D$29)*(C3583&lt;='Resultats - informe'!$E$29),0,1,1)</f>
        <v>0</v>
      </c>
      <c r="N3583" s="366">
        <f>+VLOOKUP(D3583,'Resultats - informe'!$Y$18:$AG$42,'Introducció dades consum'!K3583+1,0)</f>
        <v>0</v>
      </c>
      <c r="O3583" s="370" cm="1">
        <f t="array" ref="O3583">+_xlfn.SWITCH(MONTH(C3583),1,1,2,1,3,1,4,2,5,2,6,3,7,3,8,3,9,3,10,2,11,2,12,1,2)</f>
        <v>1</v>
      </c>
      <c r="P3583" s="43"/>
    </row>
    <row r="3584" spans="1:16" ht="18" x14ac:dyDescent="0.35">
      <c r="A3584" s="43"/>
      <c r="C3584" s="393"/>
      <c r="E3584" s="394"/>
      <c r="F3584" s="394">
        <v>0</v>
      </c>
      <c r="G3584" s="394"/>
      <c r="H3584" s="8" t="s">
        <v>235</v>
      </c>
      <c r="I3584" s="368">
        <f t="shared" si="166"/>
        <v>0</v>
      </c>
      <c r="J3584" s="365">
        <f t="shared" si="168"/>
        <v>0</v>
      </c>
      <c r="K3584" s="369">
        <f t="shared" si="167"/>
        <v>6</v>
      </c>
      <c r="L3584" s="369">
        <f>+IF((C3584&gt;='Resultats - informe'!$E$16)*(C3584&lt;='Resultats - informe'!$G$16),1,0)</f>
        <v>1</v>
      </c>
      <c r="M3584" s="369" cm="1">
        <f t="array" ref="M3584">+_xlfn.IFS((C3584&gt;='Resultats - informe'!$D$26)*(C3584&lt;='Resultats - informe'!$E$26),0,(C3584&gt;='Resultats - informe'!$D$27)*(C3584&lt;='Resultats - informe'!$E$27),0,(C3584&gt;='Resultats - informe'!$D$28)*(C3584&lt;='Resultats - informe'!$E$28),0,(C3584&gt;='Resultats - informe'!$D$29)*(C3584&lt;='Resultats - informe'!$E$29),0,1,1)</f>
        <v>0</v>
      </c>
      <c r="N3584" s="366">
        <f>+VLOOKUP(D3584,'Resultats - informe'!$Y$18:$AG$42,'Introducció dades consum'!K3584+1,0)</f>
        <v>0</v>
      </c>
      <c r="O3584" s="370" cm="1">
        <f t="array" ref="O3584">+_xlfn.SWITCH(MONTH(C3584),1,1,2,1,3,1,4,2,5,2,6,3,7,3,8,3,9,3,10,2,11,2,12,1,2)</f>
        <v>1</v>
      </c>
      <c r="P3584" s="43"/>
    </row>
    <row r="3585" spans="1:16" ht="18" x14ac:dyDescent="0.35">
      <c r="A3585" s="43"/>
      <c r="C3585" s="393"/>
      <c r="E3585" s="394"/>
      <c r="F3585" s="394">
        <v>0.252</v>
      </c>
      <c r="G3585" s="394"/>
      <c r="H3585" s="8" t="s">
        <v>235</v>
      </c>
      <c r="I3585" s="368">
        <f t="shared" si="166"/>
        <v>0</v>
      </c>
      <c r="J3585" s="365">
        <f t="shared" si="168"/>
        <v>0</v>
      </c>
      <c r="K3585" s="369">
        <f t="shared" si="167"/>
        <v>6</v>
      </c>
      <c r="L3585" s="369">
        <f>+IF((C3585&gt;='Resultats - informe'!$E$16)*(C3585&lt;='Resultats - informe'!$G$16),1,0)</f>
        <v>1</v>
      </c>
      <c r="M3585" s="369" cm="1">
        <f t="array" ref="M3585">+_xlfn.IFS((C3585&gt;='Resultats - informe'!$D$26)*(C3585&lt;='Resultats - informe'!$E$26),0,(C3585&gt;='Resultats - informe'!$D$27)*(C3585&lt;='Resultats - informe'!$E$27),0,(C3585&gt;='Resultats - informe'!$D$28)*(C3585&lt;='Resultats - informe'!$E$28),0,(C3585&gt;='Resultats - informe'!$D$29)*(C3585&lt;='Resultats - informe'!$E$29),0,1,1)</f>
        <v>0</v>
      </c>
      <c r="N3585" s="366">
        <f>+VLOOKUP(D3585,'Resultats - informe'!$Y$18:$AG$42,'Introducció dades consum'!K3585+1,0)</f>
        <v>0</v>
      </c>
      <c r="O3585" s="370" cm="1">
        <f t="array" ref="O3585">+_xlfn.SWITCH(MONTH(C3585),1,1,2,1,3,1,4,2,5,2,6,3,7,3,8,3,9,3,10,2,11,2,12,1,2)</f>
        <v>1</v>
      </c>
      <c r="P3585" s="43"/>
    </row>
    <row r="3586" spans="1:16" ht="18" x14ac:dyDescent="0.35">
      <c r="A3586" s="43"/>
      <c r="C3586" s="393"/>
      <c r="E3586" s="394"/>
      <c r="F3586" s="394">
        <v>1.036</v>
      </c>
      <c r="G3586" s="394"/>
      <c r="H3586" s="8" t="s">
        <v>235</v>
      </c>
      <c r="I3586" s="368">
        <f t="shared" si="166"/>
        <v>0</v>
      </c>
      <c r="J3586" s="365">
        <f t="shared" si="168"/>
        <v>0</v>
      </c>
      <c r="K3586" s="369">
        <f t="shared" si="167"/>
        <v>6</v>
      </c>
      <c r="L3586" s="369">
        <f>+IF((C3586&gt;='Resultats - informe'!$E$16)*(C3586&lt;='Resultats - informe'!$G$16),1,0)</f>
        <v>1</v>
      </c>
      <c r="M3586" s="369" cm="1">
        <f t="array" ref="M3586">+_xlfn.IFS((C3586&gt;='Resultats - informe'!$D$26)*(C3586&lt;='Resultats - informe'!$E$26),0,(C3586&gt;='Resultats - informe'!$D$27)*(C3586&lt;='Resultats - informe'!$E$27),0,(C3586&gt;='Resultats - informe'!$D$28)*(C3586&lt;='Resultats - informe'!$E$28),0,(C3586&gt;='Resultats - informe'!$D$29)*(C3586&lt;='Resultats - informe'!$E$29),0,1,1)</f>
        <v>0</v>
      </c>
      <c r="N3586" s="366">
        <f>+VLOOKUP(D3586,'Resultats - informe'!$Y$18:$AG$42,'Introducció dades consum'!K3586+1,0)</f>
        <v>0</v>
      </c>
      <c r="O3586" s="370" cm="1">
        <f t="array" ref="O3586">+_xlfn.SWITCH(MONTH(C3586),1,1,2,1,3,1,4,2,5,2,6,3,7,3,8,3,9,3,10,2,11,2,12,1,2)</f>
        <v>1</v>
      </c>
      <c r="P3586" s="43"/>
    </row>
    <row r="3587" spans="1:16" ht="18" x14ac:dyDescent="0.35">
      <c r="A3587" s="43"/>
      <c r="C3587" s="393"/>
      <c r="E3587" s="394"/>
      <c r="F3587" s="394">
        <v>0</v>
      </c>
      <c r="G3587" s="394"/>
      <c r="H3587" s="8" t="s">
        <v>61</v>
      </c>
      <c r="I3587" s="368">
        <f t="shared" si="166"/>
        <v>0</v>
      </c>
      <c r="J3587" s="365">
        <f t="shared" si="168"/>
        <v>0</v>
      </c>
      <c r="K3587" s="369">
        <f t="shared" si="167"/>
        <v>6</v>
      </c>
      <c r="L3587" s="369">
        <f>+IF((C3587&gt;='Resultats - informe'!$E$16)*(C3587&lt;='Resultats - informe'!$G$16),1,0)</f>
        <v>1</v>
      </c>
      <c r="M3587" s="369" cm="1">
        <f t="array" ref="M3587">+_xlfn.IFS((C3587&gt;='Resultats - informe'!$D$26)*(C3587&lt;='Resultats - informe'!$E$26),0,(C3587&gt;='Resultats - informe'!$D$27)*(C3587&lt;='Resultats - informe'!$E$27),0,(C3587&gt;='Resultats - informe'!$D$28)*(C3587&lt;='Resultats - informe'!$E$28),0,(C3587&gt;='Resultats - informe'!$D$29)*(C3587&lt;='Resultats - informe'!$E$29),0,1,1)</f>
        <v>0</v>
      </c>
      <c r="N3587" s="366">
        <f>+VLOOKUP(D3587,'Resultats - informe'!$Y$18:$AG$42,'Introducció dades consum'!K3587+1,0)</f>
        <v>0</v>
      </c>
      <c r="O3587" s="370" cm="1">
        <f t="array" ref="O3587">+_xlfn.SWITCH(MONTH(C3587),1,1,2,1,3,1,4,2,5,2,6,3,7,3,8,3,9,3,10,2,11,2,12,1,2)</f>
        <v>1</v>
      </c>
      <c r="P3587" s="43"/>
    </row>
    <row r="3588" spans="1:16" ht="18" x14ac:dyDescent="0.35">
      <c r="A3588" s="43"/>
      <c r="C3588" s="393"/>
      <c r="E3588" s="394"/>
      <c r="F3588" s="394">
        <v>2.5499999999999998</v>
      </c>
      <c r="G3588" s="394"/>
      <c r="H3588" s="8" t="s">
        <v>235</v>
      </c>
      <c r="I3588" s="368">
        <f t="shared" si="166"/>
        <v>0</v>
      </c>
      <c r="J3588" s="365">
        <f t="shared" si="168"/>
        <v>0</v>
      </c>
      <c r="K3588" s="369">
        <f t="shared" si="167"/>
        <v>6</v>
      </c>
      <c r="L3588" s="369">
        <f>+IF((C3588&gt;='Resultats - informe'!$E$16)*(C3588&lt;='Resultats - informe'!$G$16),1,0)</f>
        <v>1</v>
      </c>
      <c r="M3588" s="369" cm="1">
        <f t="array" ref="M3588">+_xlfn.IFS((C3588&gt;='Resultats - informe'!$D$26)*(C3588&lt;='Resultats - informe'!$E$26),0,(C3588&gt;='Resultats - informe'!$D$27)*(C3588&lt;='Resultats - informe'!$E$27),0,(C3588&gt;='Resultats - informe'!$D$28)*(C3588&lt;='Resultats - informe'!$E$28),0,(C3588&gt;='Resultats - informe'!$D$29)*(C3588&lt;='Resultats - informe'!$E$29),0,1,1)</f>
        <v>0</v>
      </c>
      <c r="N3588" s="366">
        <f>+VLOOKUP(D3588,'Resultats - informe'!$Y$18:$AG$42,'Introducció dades consum'!K3588+1,0)</f>
        <v>0</v>
      </c>
      <c r="O3588" s="370" cm="1">
        <f t="array" ref="O3588">+_xlfn.SWITCH(MONTH(C3588),1,1,2,1,3,1,4,2,5,2,6,3,7,3,8,3,9,3,10,2,11,2,12,1,2)</f>
        <v>1</v>
      </c>
      <c r="P3588" s="43"/>
    </row>
    <row r="3589" spans="1:16" ht="18" x14ac:dyDescent="0.35">
      <c r="A3589" s="43"/>
      <c r="C3589" s="393"/>
      <c r="E3589" s="394"/>
      <c r="F3589" s="394">
        <v>3.101</v>
      </c>
      <c r="G3589" s="394"/>
      <c r="H3589" s="8" t="s">
        <v>235</v>
      </c>
      <c r="I3589" s="368">
        <f t="shared" si="166"/>
        <v>0</v>
      </c>
      <c r="J3589" s="365">
        <f t="shared" si="168"/>
        <v>0</v>
      </c>
      <c r="K3589" s="369">
        <f t="shared" si="167"/>
        <v>6</v>
      </c>
      <c r="L3589" s="369">
        <f>+IF((C3589&gt;='Resultats - informe'!$E$16)*(C3589&lt;='Resultats - informe'!$G$16),1,0)</f>
        <v>1</v>
      </c>
      <c r="M3589" s="369" cm="1">
        <f t="array" ref="M3589">+_xlfn.IFS((C3589&gt;='Resultats - informe'!$D$26)*(C3589&lt;='Resultats - informe'!$E$26),0,(C3589&gt;='Resultats - informe'!$D$27)*(C3589&lt;='Resultats - informe'!$E$27),0,(C3589&gt;='Resultats - informe'!$D$28)*(C3589&lt;='Resultats - informe'!$E$28),0,(C3589&gt;='Resultats - informe'!$D$29)*(C3589&lt;='Resultats - informe'!$E$29),0,1,1)</f>
        <v>0</v>
      </c>
      <c r="N3589" s="366">
        <f>+VLOOKUP(D3589,'Resultats - informe'!$Y$18:$AG$42,'Introducció dades consum'!K3589+1,0)</f>
        <v>0</v>
      </c>
      <c r="O3589" s="370" cm="1">
        <f t="array" ref="O3589">+_xlfn.SWITCH(MONTH(C3589),1,1,2,1,3,1,4,2,5,2,6,3,7,3,8,3,9,3,10,2,11,2,12,1,2)</f>
        <v>1</v>
      </c>
      <c r="P3589" s="43"/>
    </row>
    <row r="3590" spans="1:16" ht="18" x14ac:dyDescent="0.35">
      <c r="A3590" s="43"/>
      <c r="C3590" s="393"/>
      <c r="E3590" s="394"/>
      <c r="F3590" s="394">
        <v>3.157</v>
      </c>
      <c r="G3590" s="394"/>
      <c r="H3590" s="8" t="s">
        <v>61</v>
      </c>
      <c r="I3590" s="368">
        <f t="shared" ref="I3590:I3653" si="169">+E3590+G3590</f>
        <v>0</v>
      </c>
      <c r="J3590" s="365">
        <f t="shared" si="168"/>
        <v>0</v>
      </c>
      <c r="K3590" s="369">
        <f t="shared" ref="K3590:K3653" si="170">+WEEKDAY(C3590,2)</f>
        <v>6</v>
      </c>
      <c r="L3590" s="369">
        <f>+IF((C3590&gt;='Resultats - informe'!$E$16)*(C3590&lt;='Resultats - informe'!$G$16),1,0)</f>
        <v>1</v>
      </c>
      <c r="M3590" s="369" cm="1">
        <f t="array" ref="M3590">+_xlfn.IFS((C3590&gt;='Resultats - informe'!$D$26)*(C3590&lt;='Resultats - informe'!$E$26),0,(C3590&gt;='Resultats - informe'!$D$27)*(C3590&lt;='Resultats - informe'!$E$27),0,(C3590&gt;='Resultats - informe'!$D$28)*(C3590&lt;='Resultats - informe'!$E$28),0,(C3590&gt;='Resultats - informe'!$D$29)*(C3590&lt;='Resultats - informe'!$E$29),0,1,1)</f>
        <v>0</v>
      </c>
      <c r="N3590" s="366">
        <f>+VLOOKUP(D3590,'Resultats - informe'!$Y$18:$AG$42,'Introducció dades consum'!K3590+1,0)</f>
        <v>0</v>
      </c>
      <c r="O3590" s="370" cm="1">
        <f t="array" ref="O3590">+_xlfn.SWITCH(MONTH(C3590),1,1,2,1,3,1,4,2,5,2,6,3,7,3,8,3,9,3,10,2,11,2,12,1,2)</f>
        <v>1</v>
      </c>
      <c r="P3590" s="43"/>
    </row>
    <row r="3591" spans="1:16" ht="18" x14ac:dyDescent="0.35">
      <c r="A3591" s="43"/>
      <c r="C3591" s="393"/>
      <c r="E3591" s="394"/>
      <c r="F3591" s="394">
        <v>3.9420000000000002</v>
      </c>
      <c r="G3591" s="394"/>
      <c r="H3591" s="8" t="s">
        <v>235</v>
      </c>
      <c r="I3591" s="368">
        <f t="shared" si="169"/>
        <v>0</v>
      </c>
      <c r="J3591" s="365">
        <f t="shared" si="168"/>
        <v>0</v>
      </c>
      <c r="K3591" s="369">
        <f t="shared" si="170"/>
        <v>6</v>
      </c>
      <c r="L3591" s="369">
        <f>+IF((C3591&gt;='Resultats - informe'!$E$16)*(C3591&lt;='Resultats - informe'!$G$16),1,0)</f>
        <v>1</v>
      </c>
      <c r="M3591" s="369" cm="1">
        <f t="array" ref="M3591">+_xlfn.IFS((C3591&gt;='Resultats - informe'!$D$26)*(C3591&lt;='Resultats - informe'!$E$26),0,(C3591&gt;='Resultats - informe'!$D$27)*(C3591&lt;='Resultats - informe'!$E$27),0,(C3591&gt;='Resultats - informe'!$D$28)*(C3591&lt;='Resultats - informe'!$E$28),0,(C3591&gt;='Resultats - informe'!$D$29)*(C3591&lt;='Resultats - informe'!$E$29),0,1,1)</f>
        <v>0</v>
      </c>
      <c r="N3591" s="366">
        <f>+VLOOKUP(D3591,'Resultats - informe'!$Y$18:$AG$42,'Introducció dades consum'!K3591+1,0)</f>
        <v>0</v>
      </c>
      <c r="O3591" s="370" cm="1">
        <f t="array" ref="O3591">+_xlfn.SWITCH(MONTH(C3591),1,1,2,1,3,1,4,2,5,2,6,3,7,3,8,3,9,3,10,2,11,2,12,1,2)</f>
        <v>1</v>
      </c>
      <c r="P3591" s="43"/>
    </row>
    <row r="3592" spans="1:16" ht="18" x14ac:dyDescent="0.35">
      <c r="A3592" s="43"/>
      <c r="C3592" s="393"/>
      <c r="E3592" s="394"/>
      <c r="F3592" s="394">
        <v>3.835</v>
      </c>
      <c r="G3592" s="394"/>
      <c r="H3592" s="8" t="s">
        <v>235</v>
      </c>
      <c r="I3592" s="368">
        <f t="shared" si="169"/>
        <v>0</v>
      </c>
      <c r="J3592" s="365">
        <f t="shared" si="168"/>
        <v>0</v>
      </c>
      <c r="K3592" s="369">
        <f t="shared" si="170"/>
        <v>6</v>
      </c>
      <c r="L3592" s="369">
        <f>+IF((C3592&gt;='Resultats - informe'!$E$16)*(C3592&lt;='Resultats - informe'!$G$16),1,0)</f>
        <v>1</v>
      </c>
      <c r="M3592" s="369" cm="1">
        <f t="array" ref="M3592">+_xlfn.IFS((C3592&gt;='Resultats - informe'!$D$26)*(C3592&lt;='Resultats - informe'!$E$26),0,(C3592&gt;='Resultats - informe'!$D$27)*(C3592&lt;='Resultats - informe'!$E$27),0,(C3592&gt;='Resultats - informe'!$D$28)*(C3592&lt;='Resultats - informe'!$E$28),0,(C3592&gt;='Resultats - informe'!$D$29)*(C3592&lt;='Resultats - informe'!$E$29),0,1,1)</f>
        <v>0</v>
      </c>
      <c r="N3592" s="366">
        <f>+VLOOKUP(D3592,'Resultats - informe'!$Y$18:$AG$42,'Introducció dades consum'!K3592+1,0)</f>
        <v>0</v>
      </c>
      <c r="O3592" s="370" cm="1">
        <f t="array" ref="O3592">+_xlfn.SWITCH(MONTH(C3592),1,1,2,1,3,1,4,2,5,2,6,3,7,3,8,3,9,3,10,2,11,2,12,1,2)</f>
        <v>1</v>
      </c>
      <c r="P3592" s="43"/>
    </row>
    <row r="3593" spans="1:16" ht="18" x14ac:dyDescent="0.35">
      <c r="A3593" s="43"/>
      <c r="C3593" s="393"/>
      <c r="E3593" s="394"/>
      <c r="F3593" s="394">
        <v>3.1520000000000001</v>
      </c>
      <c r="G3593" s="394"/>
      <c r="H3593" s="8" t="s">
        <v>235</v>
      </c>
      <c r="I3593" s="368">
        <f t="shared" si="169"/>
        <v>0</v>
      </c>
      <c r="J3593" s="365">
        <f t="shared" si="168"/>
        <v>0</v>
      </c>
      <c r="K3593" s="369">
        <f t="shared" si="170"/>
        <v>6</v>
      </c>
      <c r="L3593" s="369">
        <f>+IF((C3593&gt;='Resultats - informe'!$E$16)*(C3593&lt;='Resultats - informe'!$G$16),1,0)</f>
        <v>1</v>
      </c>
      <c r="M3593" s="369" cm="1">
        <f t="array" ref="M3593">+_xlfn.IFS((C3593&gt;='Resultats - informe'!$D$26)*(C3593&lt;='Resultats - informe'!$E$26),0,(C3593&gt;='Resultats - informe'!$D$27)*(C3593&lt;='Resultats - informe'!$E$27),0,(C3593&gt;='Resultats - informe'!$D$28)*(C3593&lt;='Resultats - informe'!$E$28),0,(C3593&gt;='Resultats - informe'!$D$29)*(C3593&lt;='Resultats - informe'!$E$29),0,1,1)</f>
        <v>0</v>
      </c>
      <c r="N3593" s="366">
        <f>+VLOOKUP(D3593,'Resultats - informe'!$Y$18:$AG$42,'Introducció dades consum'!K3593+1,0)</f>
        <v>0</v>
      </c>
      <c r="O3593" s="370" cm="1">
        <f t="array" ref="O3593">+_xlfn.SWITCH(MONTH(C3593),1,1,2,1,3,1,4,2,5,2,6,3,7,3,8,3,9,3,10,2,11,2,12,1,2)</f>
        <v>1</v>
      </c>
      <c r="P3593" s="43"/>
    </row>
    <row r="3594" spans="1:16" ht="18" x14ac:dyDescent="0.35">
      <c r="A3594" s="43"/>
      <c r="C3594" s="393"/>
      <c r="E3594" s="394"/>
      <c r="F3594" s="394">
        <v>2.3069999999999999</v>
      </c>
      <c r="G3594" s="394"/>
      <c r="H3594" s="8" t="s">
        <v>235</v>
      </c>
      <c r="I3594" s="368">
        <f t="shared" si="169"/>
        <v>0</v>
      </c>
      <c r="J3594" s="365">
        <f t="shared" si="168"/>
        <v>0</v>
      </c>
      <c r="K3594" s="369">
        <f t="shared" si="170"/>
        <v>6</v>
      </c>
      <c r="L3594" s="369">
        <f>+IF((C3594&gt;='Resultats - informe'!$E$16)*(C3594&lt;='Resultats - informe'!$G$16),1,0)</f>
        <v>1</v>
      </c>
      <c r="M3594" s="369" cm="1">
        <f t="array" ref="M3594">+_xlfn.IFS((C3594&gt;='Resultats - informe'!$D$26)*(C3594&lt;='Resultats - informe'!$E$26),0,(C3594&gt;='Resultats - informe'!$D$27)*(C3594&lt;='Resultats - informe'!$E$27),0,(C3594&gt;='Resultats - informe'!$D$28)*(C3594&lt;='Resultats - informe'!$E$28),0,(C3594&gt;='Resultats - informe'!$D$29)*(C3594&lt;='Resultats - informe'!$E$29),0,1,1)</f>
        <v>0</v>
      </c>
      <c r="N3594" s="366">
        <f>+VLOOKUP(D3594,'Resultats - informe'!$Y$18:$AG$42,'Introducció dades consum'!K3594+1,0)</f>
        <v>0</v>
      </c>
      <c r="O3594" s="370" cm="1">
        <f t="array" ref="O3594">+_xlfn.SWITCH(MONTH(C3594),1,1,2,1,3,1,4,2,5,2,6,3,7,3,8,3,9,3,10,2,11,2,12,1,2)</f>
        <v>1</v>
      </c>
      <c r="P3594" s="43"/>
    </row>
    <row r="3595" spans="1:16" ht="18" x14ac:dyDescent="0.35">
      <c r="A3595" s="43"/>
      <c r="C3595" s="393"/>
      <c r="E3595" s="394"/>
      <c r="F3595" s="394">
        <v>2.351</v>
      </c>
      <c r="G3595" s="394"/>
      <c r="H3595" s="8" t="s">
        <v>235</v>
      </c>
      <c r="I3595" s="368">
        <f t="shared" si="169"/>
        <v>0</v>
      </c>
      <c r="J3595" s="365">
        <f t="shared" si="168"/>
        <v>0</v>
      </c>
      <c r="K3595" s="369">
        <f t="shared" si="170"/>
        <v>6</v>
      </c>
      <c r="L3595" s="369">
        <f>+IF((C3595&gt;='Resultats - informe'!$E$16)*(C3595&lt;='Resultats - informe'!$G$16),1,0)</f>
        <v>1</v>
      </c>
      <c r="M3595" s="369" cm="1">
        <f t="array" ref="M3595">+_xlfn.IFS((C3595&gt;='Resultats - informe'!$D$26)*(C3595&lt;='Resultats - informe'!$E$26),0,(C3595&gt;='Resultats - informe'!$D$27)*(C3595&lt;='Resultats - informe'!$E$27),0,(C3595&gt;='Resultats - informe'!$D$28)*(C3595&lt;='Resultats - informe'!$E$28),0,(C3595&gt;='Resultats - informe'!$D$29)*(C3595&lt;='Resultats - informe'!$E$29),0,1,1)</f>
        <v>0</v>
      </c>
      <c r="N3595" s="366">
        <f>+VLOOKUP(D3595,'Resultats - informe'!$Y$18:$AG$42,'Introducció dades consum'!K3595+1,0)</f>
        <v>0</v>
      </c>
      <c r="O3595" s="370" cm="1">
        <f t="array" ref="O3595">+_xlfn.SWITCH(MONTH(C3595),1,1,2,1,3,1,4,2,5,2,6,3,7,3,8,3,9,3,10,2,11,2,12,1,2)</f>
        <v>1</v>
      </c>
      <c r="P3595" s="43"/>
    </row>
    <row r="3596" spans="1:16" ht="18" x14ac:dyDescent="0.35">
      <c r="A3596" s="43"/>
      <c r="C3596" s="393"/>
      <c r="E3596" s="394"/>
      <c r="F3596" s="394">
        <v>1.343</v>
      </c>
      <c r="G3596" s="394"/>
      <c r="H3596" s="8" t="s">
        <v>235</v>
      </c>
      <c r="I3596" s="368">
        <f t="shared" si="169"/>
        <v>0</v>
      </c>
      <c r="J3596" s="365">
        <f t="shared" si="168"/>
        <v>0</v>
      </c>
      <c r="K3596" s="369">
        <f t="shared" si="170"/>
        <v>6</v>
      </c>
      <c r="L3596" s="369">
        <f>+IF((C3596&gt;='Resultats - informe'!$E$16)*(C3596&lt;='Resultats - informe'!$G$16),1,0)</f>
        <v>1</v>
      </c>
      <c r="M3596" s="369" cm="1">
        <f t="array" ref="M3596">+_xlfn.IFS((C3596&gt;='Resultats - informe'!$D$26)*(C3596&lt;='Resultats - informe'!$E$26),0,(C3596&gt;='Resultats - informe'!$D$27)*(C3596&lt;='Resultats - informe'!$E$27),0,(C3596&gt;='Resultats - informe'!$D$28)*(C3596&lt;='Resultats - informe'!$E$28),0,(C3596&gt;='Resultats - informe'!$D$29)*(C3596&lt;='Resultats - informe'!$E$29),0,1,1)</f>
        <v>0</v>
      </c>
      <c r="N3596" s="366">
        <f>+VLOOKUP(D3596,'Resultats - informe'!$Y$18:$AG$42,'Introducció dades consum'!K3596+1,0)</f>
        <v>0</v>
      </c>
      <c r="O3596" s="370" cm="1">
        <f t="array" ref="O3596">+_xlfn.SWITCH(MONTH(C3596),1,1,2,1,3,1,4,2,5,2,6,3,7,3,8,3,9,3,10,2,11,2,12,1,2)</f>
        <v>1</v>
      </c>
      <c r="P3596" s="43"/>
    </row>
    <row r="3597" spans="1:16" ht="18" x14ac:dyDescent="0.35">
      <c r="A3597" s="43"/>
      <c r="C3597" s="393"/>
      <c r="E3597" s="394"/>
      <c r="F3597" s="394">
        <v>0.32700000000000001</v>
      </c>
      <c r="G3597" s="394"/>
      <c r="H3597" s="8" t="s">
        <v>235</v>
      </c>
      <c r="I3597" s="368">
        <f t="shared" si="169"/>
        <v>0</v>
      </c>
      <c r="J3597" s="365">
        <f t="shared" si="168"/>
        <v>0</v>
      </c>
      <c r="K3597" s="369">
        <f t="shared" si="170"/>
        <v>6</v>
      </c>
      <c r="L3597" s="369">
        <f>+IF((C3597&gt;='Resultats - informe'!$E$16)*(C3597&lt;='Resultats - informe'!$G$16),1,0)</f>
        <v>1</v>
      </c>
      <c r="M3597" s="369" cm="1">
        <f t="array" ref="M3597">+_xlfn.IFS((C3597&gt;='Resultats - informe'!$D$26)*(C3597&lt;='Resultats - informe'!$E$26),0,(C3597&gt;='Resultats - informe'!$D$27)*(C3597&lt;='Resultats - informe'!$E$27),0,(C3597&gt;='Resultats - informe'!$D$28)*(C3597&lt;='Resultats - informe'!$E$28),0,(C3597&gt;='Resultats - informe'!$D$29)*(C3597&lt;='Resultats - informe'!$E$29),0,1,1)</f>
        <v>0</v>
      </c>
      <c r="N3597" s="366">
        <f>+VLOOKUP(D3597,'Resultats - informe'!$Y$18:$AG$42,'Introducció dades consum'!K3597+1,0)</f>
        <v>0</v>
      </c>
      <c r="O3597" s="370" cm="1">
        <f t="array" ref="O3597">+_xlfn.SWITCH(MONTH(C3597),1,1,2,1,3,1,4,2,5,2,6,3,7,3,8,3,9,3,10,2,11,2,12,1,2)</f>
        <v>1</v>
      </c>
      <c r="P3597" s="43"/>
    </row>
    <row r="3598" spans="1:16" ht="18" x14ac:dyDescent="0.35">
      <c r="A3598" s="43"/>
      <c r="C3598" s="393"/>
      <c r="E3598" s="394"/>
      <c r="F3598" s="394">
        <v>0.16200000000000001</v>
      </c>
      <c r="G3598" s="394"/>
      <c r="H3598" s="8" t="s">
        <v>61</v>
      </c>
      <c r="I3598" s="368">
        <f t="shared" si="169"/>
        <v>0</v>
      </c>
      <c r="J3598" s="365">
        <f t="shared" si="168"/>
        <v>0</v>
      </c>
      <c r="K3598" s="369">
        <f t="shared" si="170"/>
        <v>6</v>
      </c>
      <c r="L3598" s="369">
        <f>+IF((C3598&gt;='Resultats - informe'!$E$16)*(C3598&lt;='Resultats - informe'!$G$16),1,0)</f>
        <v>1</v>
      </c>
      <c r="M3598" s="369" cm="1">
        <f t="array" ref="M3598">+_xlfn.IFS((C3598&gt;='Resultats - informe'!$D$26)*(C3598&lt;='Resultats - informe'!$E$26),0,(C3598&gt;='Resultats - informe'!$D$27)*(C3598&lt;='Resultats - informe'!$E$27),0,(C3598&gt;='Resultats - informe'!$D$28)*(C3598&lt;='Resultats - informe'!$E$28),0,(C3598&gt;='Resultats - informe'!$D$29)*(C3598&lt;='Resultats - informe'!$E$29),0,1,1)</f>
        <v>0</v>
      </c>
      <c r="N3598" s="366">
        <f>+VLOOKUP(D3598,'Resultats - informe'!$Y$18:$AG$42,'Introducció dades consum'!K3598+1,0)</f>
        <v>0</v>
      </c>
      <c r="O3598" s="370" cm="1">
        <f t="array" ref="O3598">+_xlfn.SWITCH(MONTH(C3598),1,1,2,1,3,1,4,2,5,2,6,3,7,3,8,3,9,3,10,2,11,2,12,1,2)</f>
        <v>1</v>
      </c>
      <c r="P3598" s="43"/>
    </row>
    <row r="3599" spans="1:16" ht="18" x14ac:dyDescent="0.35">
      <c r="A3599" s="43"/>
      <c r="C3599" s="393"/>
      <c r="E3599" s="394"/>
      <c r="F3599" s="394">
        <v>2E-3</v>
      </c>
      <c r="G3599" s="394"/>
      <c r="H3599" s="8" t="s">
        <v>61</v>
      </c>
      <c r="I3599" s="368">
        <f t="shared" si="169"/>
        <v>0</v>
      </c>
      <c r="J3599" s="365">
        <f t="shared" si="168"/>
        <v>0</v>
      </c>
      <c r="K3599" s="369">
        <f t="shared" si="170"/>
        <v>6</v>
      </c>
      <c r="L3599" s="369">
        <f>+IF((C3599&gt;='Resultats - informe'!$E$16)*(C3599&lt;='Resultats - informe'!$G$16),1,0)</f>
        <v>1</v>
      </c>
      <c r="M3599" s="369" cm="1">
        <f t="array" ref="M3599">+_xlfn.IFS((C3599&gt;='Resultats - informe'!$D$26)*(C3599&lt;='Resultats - informe'!$E$26),0,(C3599&gt;='Resultats - informe'!$D$27)*(C3599&lt;='Resultats - informe'!$E$27),0,(C3599&gt;='Resultats - informe'!$D$28)*(C3599&lt;='Resultats - informe'!$E$28),0,(C3599&gt;='Resultats - informe'!$D$29)*(C3599&lt;='Resultats - informe'!$E$29),0,1,1)</f>
        <v>0</v>
      </c>
      <c r="N3599" s="366">
        <f>+VLOOKUP(D3599,'Resultats - informe'!$Y$18:$AG$42,'Introducció dades consum'!K3599+1,0)</f>
        <v>0</v>
      </c>
      <c r="O3599" s="370" cm="1">
        <f t="array" ref="O3599">+_xlfn.SWITCH(MONTH(C3599),1,1,2,1,3,1,4,2,5,2,6,3,7,3,8,3,9,3,10,2,11,2,12,1,2)</f>
        <v>1</v>
      </c>
      <c r="P3599" s="43"/>
    </row>
    <row r="3600" spans="1:16" ht="18" x14ac:dyDescent="0.35">
      <c r="A3600" s="43"/>
      <c r="C3600" s="393"/>
      <c r="E3600" s="394"/>
      <c r="F3600" s="394">
        <v>0</v>
      </c>
      <c r="G3600" s="394"/>
      <c r="H3600" s="8" t="s">
        <v>235</v>
      </c>
      <c r="I3600" s="368">
        <f t="shared" si="169"/>
        <v>0</v>
      </c>
      <c r="J3600" s="365">
        <f t="shared" si="168"/>
        <v>0</v>
      </c>
      <c r="K3600" s="369">
        <f t="shared" si="170"/>
        <v>6</v>
      </c>
      <c r="L3600" s="369">
        <f>+IF((C3600&gt;='Resultats - informe'!$E$16)*(C3600&lt;='Resultats - informe'!$G$16),1,0)</f>
        <v>1</v>
      </c>
      <c r="M3600" s="369" cm="1">
        <f t="array" ref="M3600">+_xlfn.IFS((C3600&gt;='Resultats - informe'!$D$26)*(C3600&lt;='Resultats - informe'!$E$26),0,(C3600&gt;='Resultats - informe'!$D$27)*(C3600&lt;='Resultats - informe'!$E$27),0,(C3600&gt;='Resultats - informe'!$D$28)*(C3600&lt;='Resultats - informe'!$E$28),0,(C3600&gt;='Resultats - informe'!$D$29)*(C3600&lt;='Resultats - informe'!$E$29),0,1,1)</f>
        <v>0</v>
      </c>
      <c r="N3600" s="366">
        <f>+VLOOKUP(D3600,'Resultats - informe'!$Y$18:$AG$42,'Introducció dades consum'!K3600+1,0)</f>
        <v>0</v>
      </c>
      <c r="O3600" s="370" cm="1">
        <f t="array" ref="O3600">+_xlfn.SWITCH(MONTH(C3600),1,1,2,1,3,1,4,2,5,2,6,3,7,3,8,3,9,3,10,2,11,2,12,1,2)</f>
        <v>1</v>
      </c>
      <c r="P3600" s="43"/>
    </row>
    <row r="3601" spans="1:16" ht="18" x14ac:dyDescent="0.35">
      <c r="A3601" s="43"/>
      <c r="C3601" s="393"/>
      <c r="E3601" s="394"/>
      <c r="F3601" s="394">
        <v>0</v>
      </c>
      <c r="G3601" s="394"/>
      <c r="H3601" s="8" t="s">
        <v>235</v>
      </c>
      <c r="I3601" s="368">
        <f t="shared" si="169"/>
        <v>0</v>
      </c>
      <c r="J3601" s="365">
        <f t="shared" si="168"/>
        <v>0</v>
      </c>
      <c r="K3601" s="369">
        <f t="shared" si="170"/>
        <v>6</v>
      </c>
      <c r="L3601" s="369">
        <f>+IF((C3601&gt;='Resultats - informe'!$E$16)*(C3601&lt;='Resultats - informe'!$G$16),1,0)</f>
        <v>1</v>
      </c>
      <c r="M3601" s="369" cm="1">
        <f t="array" ref="M3601">+_xlfn.IFS((C3601&gt;='Resultats - informe'!$D$26)*(C3601&lt;='Resultats - informe'!$E$26),0,(C3601&gt;='Resultats - informe'!$D$27)*(C3601&lt;='Resultats - informe'!$E$27),0,(C3601&gt;='Resultats - informe'!$D$28)*(C3601&lt;='Resultats - informe'!$E$28),0,(C3601&gt;='Resultats - informe'!$D$29)*(C3601&lt;='Resultats - informe'!$E$29),0,1,1)</f>
        <v>0</v>
      </c>
      <c r="N3601" s="366">
        <f>+VLOOKUP(D3601,'Resultats - informe'!$Y$18:$AG$42,'Introducció dades consum'!K3601+1,0)</f>
        <v>0</v>
      </c>
      <c r="O3601" s="370" cm="1">
        <f t="array" ref="O3601">+_xlfn.SWITCH(MONTH(C3601),1,1,2,1,3,1,4,2,5,2,6,3,7,3,8,3,9,3,10,2,11,2,12,1,2)</f>
        <v>1</v>
      </c>
      <c r="P3601" s="43"/>
    </row>
    <row r="3602" spans="1:16" ht="18" x14ac:dyDescent="0.35">
      <c r="A3602" s="43"/>
      <c r="C3602" s="393"/>
      <c r="E3602" s="394"/>
      <c r="F3602" s="394">
        <v>0</v>
      </c>
      <c r="G3602" s="394"/>
      <c r="H3602" s="8" t="s">
        <v>235</v>
      </c>
      <c r="I3602" s="368">
        <f t="shared" si="169"/>
        <v>0</v>
      </c>
      <c r="J3602" s="365">
        <f t="shared" si="168"/>
        <v>0</v>
      </c>
      <c r="K3602" s="369">
        <f t="shared" si="170"/>
        <v>6</v>
      </c>
      <c r="L3602" s="369">
        <f>+IF((C3602&gt;='Resultats - informe'!$E$16)*(C3602&lt;='Resultats - informe'!$G$16),1,0)</f>
        <v>1</v>
      </c>
      <c r="M3602" s="369" cm="1">
        <f t="array" ref="M3602">+_xlfn.IFS((C3602&gt;='Resultats - informe'!$D$26)*(C3602&lt;='Resultats - informe'!$E$26),0,(C3602&gt;='Resultats - informe'!$D$27)*(C3602&lt;='Resultats - informe'!$E$27),0,(C3602&gt;='Resultats - informe'!$D$28)*(C3602&lt;='Resultats - informe'!$E$28),0,(C3602&gt;='Resultats - informe'!$D$29)*(C3602&lt;='Resultats - informe'!$E$29),0,1,1)</f>
        <v>0</v>
      </c>
      <c r="N3602" s="366">
        <f>+VLOOKUP(D3602,'Resultats - informe'!$Y$18:$AG$42,'Introducció dades consum'!K3602+1,0)</f>
        <v>0</v>
      </c>
      <c r="O3602" s="370" cm="1">
        <f t="array" ref="O3602">+_xlfn.SWITCH(MONTH(C3602),1,1,2,1,3,1,4,2,5,2,6,3,7,3,8,3,9,3,10,2,11,2,12,1,2)</f>
        <v>1</v>
      </c>
      <c r="P3602" s="43"/>
    </row>
    <row r="3603" spans="1:16" ht="18" x14ac:dyDescent="0.35">
      <c r="A3603" s="43"/>
      <c r="C3603" s="393"/>
      <c r="E3603" s="394"/>
      <c r="F3603" s="394">
        <v>0</v>
      </c>
      <c r="G3603" s="394"/>
      <c r="H3603" s="8" t="s">
        <v>235</v>
      </c>
      <c r="I3603" s="368">
        <f t="shared" si="169"/>
        <v>0</v>
      </c>
      <c r="J3603" s="365">
        <f t="shared" si="168"/>
        <v>0</v>
      </c>
      <c r="K3603" s="369">
        <f t="shared" si="170"/>
        <v>6</v>
      </c>
      <c r="L3603" s="369">
        <f>+IF((C3603&gt;='Resultats - informe'!$E$16)*(C3603&lt;='Resultats - informe'!$G$16),1,0)</f>
        <v>1</v>
      </c>
      <c r="M3603" s="369" cm="1">
        <f t="array" ref="M3603">+_xlfn.IFS((C3603&gt;='Resultats - informe'!$D$26)*(C3603&lt;='Resultats - informe'!$E$26),0,(C3603&gt;='Resultats - informe'!$D$27)*(C3603&lt;='Resultats - informe'!$E$27),0,(C3603&gt;='Resultats - informe'!$D$28)*(C3603&lt;='Resultats - informe'!$E$28),0,(C3603&gt;='Resultats - informe'!$D$29)*(C3603&lt;='Resultats - informe'!$E$29),0,1,1)</f>
        <v>0</v>
      </c>
      <c r="N3603" s="366">
        <f>+VLOOKUP(D3603,'Resultats - informe'!$Y$18:$AG$42,'Introducció dades consum'!K3603+1,0)</f>
        <v>0</v>
      </c>
      <c r="O3603" s="370" cm="1">
        <f t="array" ref="O3603">+_xlfn.SWITCH(MONTH(C3603),1,1,2,1,3,1,4,2,5,2,6,3,7,3,8,3,9,3,10,2,11,2,12,1,2)</f>
        <v>1</v>
      </c>
      <c r="P3603" s="43"/>
    </row>
    <row r="3604" spans="1:16" ht="18" x14ac:dyDescent="0.35">
      <c r="A3604" s="43"/>
      <c r="C3604" s="393"/>
      <c r="E3604" s="394"/>
      <c r="F3604" s="394">
        <v>0</v>
      </c>
      <c r="G3604" s="394"/>
      <c r="H3604" s="8" t="s">
        <v>61</v>
      </c>
      <c r="I3604" s="368">
        <f t="shared" si="169"/>
        <v>0</v>
      </c>
      <c r="J3604" s="365">
        <f t="shared" si="168"/>
        <v>0</v>
      </c>
      <c r="K3604" s="369">
        <f t="shared" si="170"/>
        <v>6</v>
      </c>
      <c r="L3604" s="369">
        <f>+IF((C3604&gt;='Resultats - informe'!$E$16)*(C3604&lt;='Resultats - informe'!$G$16),1,0)</f>
        <v>1</v>
      </c>
      <c r="M3604" s="369" cm="1">
        <f t="array" ref="M3604">+_xlfn.IFS((C3604&gt;='Resultats - informe'!$D$26)*(C3604&lt;='Resultats - informe'!$E$26),0,(C3604&gt;='Resultats - informe'!$D$27)*(C3604&lt;='Resultats - informe'!$E$27),0,(C3604&gt;='Resultats - informe'!$D$28)*(C3604&lt;='Resultats - informe'!$E$28),0,(C3604&gt;='Resultats - informe'!$D$29)*(C3604&lt;='Resultats - informe'!$E$29),0,1,1)</f>
        <v>0</v>
      </c>
      <c r="N3604" s="366">
        <f>+VLOOKUP(D3604,'Resultats - informe'!$Y$18:$AG$42,'Introducció dades consum'!K3604+1,0)</f>
        <v>0</v>
      </c>
      <c r="O3604" s="370" cm="1">
        <f t="array" ref="O3604">+_xlfn.SWITCH(MONTH(C3604),1,1,2,1,3,1,4,2,5,2,6,3,7,3,8,3,9,3,10,2,11,2,12,1,2)</f>
        <v>1</v>
      </c>
      <c r="P3604" s="43"/>
    </row>
    <row r="3605" spans="1:16" ht="18" x14ac:dyDescent="0.35">
      <c r="A3605" s="43"/>
      <c r="C3605" s="393"/>
      <c r="E3605" s="394"/>
      <c r="F3605" s="394">
        <v>0</v>
      </c>
      <c r="G3605" s="394"/>
      <c r="H3605" s="8" t="s">
        <v>61</v>
      </c>
      <c r="I3605" s="368">
        <f t="shared" si="169"/>
        <v>0</v>
      </c>
      <c r="J3605" s="365">
        <f t="shared" si="168"/>
        <v>0</v>
      </c>
      <c r="K3605" s="369">
        <f t="shared" si="170"/>
        <v>6</v>
      </c>
      <c r="L3605" s="369">
        <f>+IF((C3605&gt;='Resultats - informe'!$E$16)*(C3605&lt;='Resultats - informe'!$G$16),1,0)</f>
        <v>1</v>
      </c>
      <c r="M3605" s="369" cm="1">
        <f t="array" ref="M3605">+_xlfn.IFS((C3605&gt;='Resultats - informe'!$D$26)*(C3605&lt;='Resultats - informe'!$E$26),0,(C3605&gt;='Resultats - informe'!$D$27)*(C3605&lt;='Resultats - informe'!$E$27),0,(C3605&gt;='Resultats - informe'!$D$28)*(C3605&lt;='Resultats - informe'!$E$28),0,(C3605&gt;='Resultats - informe'!$D$29)*(C3605&lt;='Resultats - informe'!$E$29),0,1,1)</f>
        <v>0</v>
      </c>
      <c r="N3605" s="366">
        <f>+VLOOKUP(D3605,'Resultats - informe'!$Y$18:$AG$42,'Introducció dades consum'!K3605+1,0)</f>
        <v>0</v>
      </c>
      <c r="O3605" s="370" cm="1">
        <f t="array" ref="O3605">+_xlfn.SWITCH(MONTH(C3605),1,1,2,1,3,1,4,2,5,2,6,3,7,3,8,3,9,3,10,2,11,2,12,1,2)</f>
        <v>1</v>
      </c>
      <c r="P3605" s="43"/>
    </row>
    <row r="3606" spans="1:16" ht="18" x14ac:dyDescent="0.35">
      <c r="A3606" s="43"/>
      <c r="C3606" s="393"/>
      <c r="E3606" s="394"/>
      <c r="F3606" s="394">
        <v>0</v>
      </c>
      <c r="G3606" s="394"/>
      <c r="H3606" s="8" t="s">
        <v>235</v>
      </c>
      <c r="I3606" s="368">
        <f t="shared" si="169"/>
        <v>0</v>
      </c>
      <c r="J3606" s="365">
        <f t="shared" si="168"/>
        <v>0</v>
      </c>
      <c r="K3606" s="369">
        <f t="shared" si="170"/>
        <v>6</v>
      </c>
      <c r="L3606" s="369">
        <f>+IF((C3606&gt;='Resultats - informe'!$E$16)*(C3606&lt;='Resultats - informe'!$G$16),1,0)</f>
        <v>1</v>
      </c>
      <c r="M3606" s="369" cm="1">
        <f t="array" ref="M3606">+_xlfn.IFS((C3606&gt;='Resultats - informe'!$D$26)*(C3606&lt;='Resultats - informe'!$E$26),0,(C3606&gt;='Resultats - informe'!$D$27)*(C3606&lt;='Resultats - informe'!$E$27),0,(C3606&gt;='Resultats - informe'!$D$28)*(C3606&lt;='Resultats - informe'!$E$28),0,(C3606&gt;='Resultats - informe'!$D$29)*(C3606&lt;='Resultats - informe'!$E$29),0,1,1)</f>
        <v>0</v>
      </c>
      <c r="N3606" s="366">
        <f>+VLOOKUP(D3606,'Resultats - informe'!$Y$18:$AG$42,'Introducció dades consum'!K3606+1,0)</f>
        <v>0</v>
      </c>
      <c r="O3606" s="370" cm="1">
        <f t="array" ref="O3606">+_xlfn.SWITCH(MONTH(C3606),1,1,2,1,3,1,4,2,5,2,6,3,7,3,8,3,9,3,10,2,11,2,12,1,2)</f>
        <v>1</v>
      </c>
      <c r="P3606" s="43"/>
    </row>
    <row r="3607" spans="1:16" ht="18" x14ac:dyDescent="0.35">
      <c r="A3607" s="43"/>
      <c r="C3607" s="393"/>
      <c r="E3607" s="394"/>
      <c r="F3607" s="394">
        <v>0</v>
      </c>
      <c r="G3607" s="394"/>
      <c r="H3607" s="8" t="s">
        <v>235</v>
      </c>
      <c r="I3607" s="368">
        <f t="shared" si="169"/>
        <v>0</v>
      </c>
      <c r="J3607" s="365">
        <f t="shared" si="168"/>
        <v>0</v>
      </c>
      <c r="K3607" s="369">
        <f t="shared" si="170"/>
        <v>6</v>
      </c>
      <c r="L3607" s="369">
        <f>+IF((C3607&gt;='Resultats - informe'!$E$16)*(C3607&lt;='Resultats - informe'!$G$16),1,0)</f>
        <v>1</v>
      </c>
      <c r="M3607" s="369" cm="1">
        <f t="array" ref="M3607">+_xlfn.IFS((C3607&gt;='Resultats - informe'!$D$26)*(C3607&lt;='Resultats - informe'!$E$26),0,(C3607&gt;='Resultats - informe'!$D$27)*(C3607&lt;='Resultats - informe'!$E$27),0,(C3607&gt;='Resultats - informe'!$D$28)*(C3607&lt;='Resultats - informe'!$E$28),0,(C3607&gt;='Resultats - informe'!$D$29)*(C3607&lt;='Resultats - informe'!$E$29),0,1,1)</f>
        <v>0</v>
      </c>
      <c r="N3607" s="366">
        <f>+VLOOKUP(D3607,'Resultats - informe'!$Y$18:$AG$42,'Introducció dades consum'!K3607+1,0)</f>
        <v>0</v>
      </c>
      <c r="O3607" s="370" cm="1">
        <f t="array" ref="O3607">+_xlfn.SWITCH(MONTH(C3607),1,1,2,1,3,1,4,2,5,2,6,3,7,3,8,3,9,3,10,2,11,2,12,1,2)</f>
        <v>1</v>
      </c>
      <c r="P3607" s="43"/>
    </row>
    <row r="3608" spans="1:16" ht="18" x14ac:dyDescent="0.35">
      <c r="A3608" s="43"/>
      <c r="C3608" s="393"/>
      <c r="E3608" s="394"/>
      <c r="F3608" s="394">
        <v>0</v>
      </c>
      <c r="G3608" s="394"/>
      <c r="H3608" s="8" t="s">
        <v>235</v>
      </c>
      <c r="I3608" s="368">
        <f t="shared" si="169"/>
        <v>0</v>
      </c>
      <c r="J3608" s="365">
        <f t="shared" si="168"/>
        <v>0</v>
      </c>
      <c r="K3608" s="369">
        <f t="shared" si="170"/>
        <v>6</v>
      </c>
      <c r="L3608" s="369">
        <f>+IF((C3608&gt;='Resultats - informe'!$E$16)*(C3608&lt;='Resultats - informe'!$G$16),1,0)</f>
        <v>1</v>
      </c>
      <c r="M3608" s="369" cm="1">
        <f t="array" ref="M3608">+_xlfn.IFS((C3608&gt;='Resultats - informe'!$D$26)*(C3608&lt;='Resultats - informe'!$E$26),0,(C3608&gt;='Resultats - informe'!$D$27)*(C3608&lt;='Resultats - informe'!$E$27),0,(C3608&gt;='Resultats - informe'!$D$28)*(C3608&lt;='Resultats - informe'!$E$28),0,(C3608&gt;='Resultats - informe'!$D$29)*(C3608&lt;='Resultats - informe'!$E$29),0,1,1)</f>
        <v>0</v>
      </c>
      <c r="N3608" s="366">
        <f>+VLOOKUP(D3608,'Resultats - informe'!$Y$18:$AG$42,'Introducció dades consum'!K3608+1,0)</f>
        <v>0</v>
      </c>
      <c r="O3608" s="370" cm="1">
        <f t="array" ref="O3608">+_xlfn.SWITCH(MONTH(C3608),1,1,2,1,3,1,4,2,5,2,6,3,7,3,8,3,9,3,10,2,11,2,12,1,2)</f>
        <v>1</v>
      </c>
      <c r="P3608" s="43"/>
    </row>
    <row r="3609" spans="1:16" ht="18" x14ac:dyDescent="0.35">
      <c r="A3609" s="43"/>
      <c r="C3609" s="393"/>
      <c r="E3609" s="394"/>
      <c r="F3609" s="394">
        <v>0.28799999999999998</v>
      </c>
      <c r="G3609" s="394"/>
      <c r="H3609" s="8" t="s">
        <v>235</v>
      </c>
      <c r="I3609" s="368">
        <f t="shared" si="169"/>
        <v>0</v>
      </c>
      <c r="J3609" s="365">
        <f t="shared" si="168"/>
        <v>0</v>
      </c>
      <c r="K3609" s="369">
        <f t="shared" si="170"/>
        <v>6</v>
      </c>
      <c r="L3609" s="369">
        <f>+IF((C3609&gt;='Resultats - informe'!$E$16)*(C3609&lt;='Resultats - informe'!$G$16),1,0)</f>
        <v>1</v>
      </c>
      <c r="M3609" s="369" cm="1">
        <f t="array" ref="M3609">+_xlfn.IFS((C3609&gt;='Resultats - informe'!$D$26)*(C3609&lt;='Resultats - informe'!$E$26),0,(C3609&gt;='Resultats - informe'!$D$27)*(C3609&lt;='Resultats - informe'!$E$27),0,(C3609&gt;='Resultats - informe'!$D$28)*(C3609&lt;='Resultats - informe'!$E$28),0,(C3609&gt;='Resultats - informe'!$D$29)*(C3609&lt;='Resultats - informe'!$E$29),0,1,1)</f>
        <v>0</v>
      </c>
      <c r="N3609" s="366">
        <f>+VLOOKUP(D3609,'Resultats - informe'!$Y$18:$AG$42,'Introducció dades consum'!K3609+1,0)</f>
        <v>0</v>
      </c>
      <c r="O3609" s="370" cm="1">
        <f t="array" ref="O3609">+_xlfn.SWITCH(MONTH(C3609),1,1,2,1,3,1,4,2,5,2,6,3,7,3,8,3,9,3,10,2,11,2,12,1,2)</f>
        <v>1</v>
      </c>
      <c r="P3609" s="43"/>
    </row>
    <row r="3610" spans="1:16" ht="18" x14ac:dyDescent="0.35">
      <c r="A3610" s="43"/>
      <c r="C3610" s="393"/>
      <c r="E3610" s="394"/>
      <c r="F3610" s="394">
        <v>1.012</v>
      </c>
      <c r="G3610" s="394"/>
      <c r="H3610" s="8" t="s">
        <v>235</v>
      </c>
      <c r="I3610" s="368">
        <f t="shared" si="169"/>
        <v>0</v>
      </c>
      <c r="J3610" s="365">
        <f t="shared" si="168"/>
        <v>0</v>
      </c>
      <c r="K3610" s="369">
        <f t="shared" si="170"/>
        <v>6</v>
      </c>
      <c r="L3610" s="369">
        <f>+IF((C3610&gt;='Resultats - informe'!$E$16)*(C3610&lt;='Resultats - informe'!$G$16),1,0)</f>
        <v>1</v>
      </c>
      <c r="M3610" s="369" cm="1">
        <f t="array" ref="M3610">+_xlfn.IFS((C3610&gt;='Resultats - informe'!$D$26)*(C3610&lt;='Resultats - informe'!$E$26),0,(C3610&gt;='Resultats - informe'!$D$27)*(C3610&lt;='Resultats - informe'!$E$27),0,(C3610&gt;='Resultats - informe'!$D$28)*(C3610&lt;='Resultats - informe'!$E$28),0,(C3610&gt;='Resultats - informe'!$D$29)*(C3610&lt;='Resultats - informe'!$E$29),0,1,1)</f>
        <v>0</v>
      </c>
      <c r="N3610" s="366">
        <f>+VLOOKUP(D3610,'Resultats - informe'!$Y$18:$AG$42,'Introducció dades consum'!K3610+1,0)</f>
        <v>0</v>
      </c>
      <c r="O3610" s="370" cm="1">
        <f t="array" ref="O3610">+_xlfn.SWITCH(MONTH(C3610),1,1,2,1,3,1,4,2,5,2,6,3,7,3,8,3,9,3,10,2,11,2,12,1,2)</f>
        <v>1</v>
      </c>
      <c r="P3610" s="43"/>
    </row>
    <row r="3611" spans="1:16" ht="18" x14ac:dyDescent="0.35">
      <c r="A3611" s="43"/>
      <c r="C3611" s="393"/>
      <c r="E3611" s="394"/>
      <c r="F3611" s="394">
        <v>0</v>
      </c>
      <c r="G3611" s="394"/>
      <c r="H3611" s="8" t="s">
        <v>61</v>
      </c>
      <c r="I3611" s="368">
        <f t="shared" si="169"/>
        <v>0</v>
      </c>
      <c r="J3611" s="365">
        <f t="shared" si="168"/>
        <v>0</v>
      </c>
      <c r="K3611" s="369">
        <f t="shared" si="170"/>
        <v>6</v>
      </c>
      <c r="L3611" s="369">
        <f>+IF((C3611&gt;='Resultats - informe'!$E$16)*(C3611&lt;='Resultats - informe'!$G$16),1,0)</f>
        <v>1</v>
      </c>
      <c r="M3611" s="369" cm="1">
        <f t="array" ref="M3611">+_xlfn.IFS((C3611&gt;='Resultats - informe'!$D$26)*(C3611&lt;='Resultats - informe'!$E$26),0,(C3611&gt;='Resultats - informe'!$D$27)*(C3611&lt;='Resultats - informe'!$E$27),0,(C3611&gt;='Resultats - informe'!$D$28)*(C3611&lt;='Resultats - informe'!$E$28),0,(C3611&gt;='Resultats - informe'!$D$29)*(C3611&lt;='Resultats - informe'!$E$29),0,1,1)</f>
        <v>0</v>
      </c>
      <c r="N3611" s="366">
        <f>+VLOOKUP(D3611,'Resultats - informe'!$Y$18:$AG$42,'Introducció dades consum'!K3611+1,0)</f>
        <v>0</v>
      </c>
      <c r="O3611" s="370" cm="1">
        <f t="array" ref="O3611">+_xlfn.SWITCH(MONTH(C3611),1,1,2,1,3,1,4,2,5,2,6,3,7,3,8,3,9,3,10,2,11,2,12,1,2)</f>
        <v>1</v>
      </c>
      <c r="P3611" s="43"/>
    </row>
    <row r="3612" spans="1:16" ht="18" x14ac:dyDescent="0.35">
      <c r="A3612" s="43"/>
      <c r="C3612" s="393"/>
      <c r="E3612" s="394"/>
      <c r="F3612" s="394">
        <v>2.67</v>
      </c>
      <c r="G3612" s="394"/>
      <c r="H3612" s="8" t="s">
        <v>235</v>
      </c>
      <c r="I3612" s="368">
        <f t="shared" si="169"/>
        <v>0</v>
      </c>
      <c r="J3612" s="365">
        <f t="shared" si="168"/>
        <v>0</v>
      </c>
      <c r="K3612" s="369">
        <f t="shared" si="170"/>
        <v>6</v>
      </c>
      <c r="L3612" s="369">
        <f>+IF((C3612&gt;='Resultats - informe'!$E$16)*(C3612&lt;='Resultats - informe'!$G$16),1,0)</f>
        <v>1</v>
      </c>
      <c r="M3612" s="369" cm="1">
        <f t="array" ref="M3612">+_xlfn.IFS((C3612&gt;='Resultats - informe'!$D$26)*(C3612&lt;='Resultats - informe'!$E$26),0,(C3612&gt;='Resultats - informe'!$D$27)*(C3612&lt;='Resultats - informe'!$E$27),0,(C3612&gt;='Resultats - informe'!$D$28)*(C3612&lt;='Resultats - informe'!$E$28),0,(C3612&gt;='Resultats - informe'!$D$29)*(C3612&lt;='Resultats - informe'!$E$29),0,1,1)</f>
        <v>0</v>
      </c>
      <c r="N3612" s="366">
        <f>+VLOOKUP(D3612,'Resultats - informe'!$Y$18:$AG$42,'Introducció dades consum'!K3612+1,0)</f>
        <v>0</v>
      </c>
      <c r="O3612" s="370" cm="1">
        <f t="array" ref="O3612">+_xlfn.SWITCH(MONTH(C3612),1,1,2,1,3,1,4,2,5,2,6,3,7,3,8,3,9,3,10,2,11,2,12,1,2)</f>
        <v>1</v>
      </c>
      <c r="P3612" s="43"/>
    </row>
    <row r="3613" spans="1:16" ht="18" x14ac:dyDescent="0.35">
      <c r="A3613" s="43"/>
      <c r="C3613" s="393"/>
      <c r="E3613" s="394"/>
      <c r="F3613" s="394">
        <v>2.4420000000000002</v>
      </c>
      <c r="G3613" s="394"/>
      <c r="H3613" s="8" t="s">
        <v>235</v>
      </c>
      <c r="I3613" s="368">
        <f t="shared" si="169"/>
        <v>0</v>
      </c>
      <c r="J3613" s="365">
        <f t="shared" si="168"/>
        <v>0</v>
      </c>
      <c r="K3613" s="369">
        <f t="shared" si="170"/>
        <v>6</v>
      </c>
      <c r="L3613" s="369">
        <f>+IF((C3613&gt;='Resultats - informe'!$E$16)*(C3613&lt;='Resultats - informe'!$G$16),1,0)</f>
        <v>1</v>
      </c>
      <c r="M3613" s="369" cm="1">
        <f t="array" ref="M3613">+_xlfn.IFS((C3613&gt;='Resultats - informe'!$D$26)*(C3613&lt;='Resultats - informe'!$E$26),0,(C3613&gt;='Resultats - informe'!$D$27)*(C3613&lt;='Resultats - informe'!$E$27),0,(C3613&gt;='Resultats - informe'!$D$28)*(C3613&lt;='Resultats - informe'!$E$28),0,(C3613&gt;='Resultats - informe'!$D$29)*(C3613&lt;='Resultats - informe'!$E$29),0,1,1)</f>
        <v>0</v>
      </c>
      <c r="N3613" s="366">
        <f>+VLOOKUP(D3613,'Resultats - informe'!$Y$18:$AG$42,'Introducció dades consum'!K3613+1,0)</f>
        <v>0</v>
      </c>
      <c r="O3613" s="370" cm="1">
        <f t="array" ref="O3613">+_xlfn.SWITCH(MONTH(C3613),1,1,2,1,3,1,4,2,5,2,6,3,7,3,8,3,9,3,10,2,11,2,12,1,2)</f>
        <v>1</v>
      </c>
      <c r="P3613" s="43"/>
    </row>
    <row r="3614" spans="1:16" ht="18" x14ac:dyDescent="0.35">
      <c r="A3614" s="43"/>
      <c r="C3614" s="393"/>
      <c r="E3614" s="394"/>
      <c r="F3614" s="394">
        <v>2.7509999999999999</v>
      </c>
      <c r="G3614" s="394"/>
      <c r="H3614" s="8" t="s">
        <v>235</v>
      </c>
      <c r="I3614" s="368">
        <f t="shared" si="169"/>
        <v>0</v>
      </c>
      <c r="J3614" s="365">
        <f t="shared" si="168"/>
        <v>0</v>
      </c>
      <c r="K3614" s="369">
        <f t="shared" si="170"/>
        <v>6</v>
      </c>
      <c r="L3614" s="369">
        <f>+IF((C3614&gt;='Resultats - informe'!$E$16)*(C3614&lt;='Resultats - informe'!$G$16),1,0)</f>
        <v>1</v>
      </c>
      <c r="M3614" s="369" cm="1">
        <f t="array" ref="M3614">+_xlfn.IFS((C3614&gt;='Resultats - informe'!$D$26)*(C3614&lt;='Resultats - informe'!$E$26),0,(C3614&gt;='Resultats - informe'!$D$27)*(C3614&lt;='Resultats - informe'!$E$27),0,(C3614&gt;='Resultats - informe'!$D$28)*(C3614&lt;='Resultats - informe'!$E$28),0,(C3614&gt;='Resultats - informe'!$D$29)*(C3614&lt;='Resultats - informe'!$E$29),0,1,1)</f>
        <v>0</v>
      </c>
      <c r="N3614" s="366">
        <f>+VLOOKUP(D3614,'Resultats - informe'!$Y$18:$AG$42,'Introducció dades consum'!K3614+1,0)</f>
        <v>0</v>
      </c>
      <c r="O3614" s="370" cm="1">
        <f t="array" ref="O3614">+_xlfn.SWITCH(MONTH(C3614),1,1,2,1,3,1,4,2,5,2,6,3,7,3,8,3,9,3,10,2,11,2,12,1,2)</f>
        <v>1</v>
      </c>
      <c r="P3614" s="43"/>
    </row>
    <row r="3615" spans="1:16" ht="18" x14ac:dyDescent="0.35">
      <c r="A3615" s="43"/>
      <c r="C3615" s="393"/>
      <c r="E3615" s="394"/>
      <c r="F3615" s="394">
        <v>4.109</v>
      </c>
      <c r="G3615" s="394"/>
      <c r="H3615" s="8" t="s">
        <v>61</v>
      </c>
      <c r="I3615" s="368">
        <f t="shared" si="169"/>
        <v>0</v>
      </c>
      <c r="J3615" s="365">
        <f t="shared" si="168"/>
        <v>0</v>
      </c>
      <c r="K3615" s="369">
        <f t="shared" si="170"/>
        <v>6</v>
      </c>
      <c r="L3615" s="369">
        <f>+IF((C3615&gt;='Resultats - informe'!$E$16)*(C3615&lt;='Resultats - informe'!$G$16),1,0)</f>
        <v>1</v>
      </c>
      <c r="M3615" s="369" cm="1">
        <f t="array" ref="M3615">+_xlfn.IFS((C3615&gt;='Resultats - informe'!$D$26)*(C3615&lt;='Resultats - informe'!$E$26),0,(C3615&gt;='Resultats - informe'!$D$27)*(C3615&lt;='Resultats - informe'!$E$27),0,(C3615&gt;='Resultats - informe'!$D$28)*(C3615&lt;='Resultats - informe'!$E$28),0,(C3615&gt;='Resultats - informe'!$D$29)*(C3615&lt;='Resultats - informe'!$E$29),0,1,1)</f>
        <v>0</v>
      </c>
      <c r="N3615" s="366">
        <f>+VLOOKUP(D3615,'Resultats - informe'!$Y$18:$AG$42,'Introducció dades consum'!K3615+1,0)</f>
        <v>0</v>
      </c>
      <c r="O3615" s="370" cm="1">
        <f t="array" ref="O3615">+_xlfn.SWITCH(MONTH(C3615),1,1,2,1,3,1,4,2,5,2,6,3,7,3,8,3,9,3,10,2,11,2,12,1,2)</f>
        <v>1</v>
      </c>
      <c r="P3615" s="43"/>
    </row>
    <row r="3616" spans="1:16" ht="18" x14ac:dyDescent="0.35">
      <c r="A3616" s="43"/>
      <c r="C3616" s="393"/>
      <c r="E3616" s="394"/>
      <c r="F3616" s="394">
        <v>5.077</v>
      </c>
      <c r="G3616" s="394"/>
      <c r="H3616" s="8" t="s">
        <v>61</v>
      </c>
      <c r="I3616" s="368">
        <f t="shared" si="169"/>
        <v>0</v>
      </c>
      <c r="J3616" s="365">
        <f t="shared" si="168"/>
        <v>0</v>
      </c>
      <c r="K3616" s="369">
        <f t="shared" si="170"/>
        <v>6</v>
      </c>
      <c r="L3616" s="369">
        <f>+IF((C3616&gt;='Resultats - informe'!$E$16)*(C3616&lt;='Resultats - informe'!$G$16),1,0)</f>
        <v>1</v>
      </c>
      <c r="M3616" s="369" cm="1">
        <f t="array" ref="M3616">+_xlfn.IFS((C3616&gt;='Resultats - informe'!$D$26)*(C3616&lt;='Resultats - informe'!$E$26),0,(C3616&gt;='Resultats - informe'!$D$27)*(C3616&lt;='Resultats - informe'!$E$27),0,(C3616&gt;='Resultats - informe'!$D$28)*(C3616&lt;='Resultats - informe'!$E$28),0,(C3616&gt;='Resultats - informe'!$D$29)*(C3616&lt;='Resultats - informe'!$E$29),0,1,1)</f>
        <v>0</v>
      </c>
      <c r="N3616" s="366">
        <f>+VLOOKUP(D3616,'Resultats - informe'!$Y$18:$AG$42,'Introducció dades consum'!K3616+1,0)</f>
        <v>0</v>
      </c>
      <c r="O3616" s="370" cm="1">
        <f t="array" ref="O3616">+_xlfn.SWITCH(MONTH(C3616),1,1,2,1,3,1,4,2,5,2,6,3,7,3,8,3,9,3,10,2,11,2,12,1,2)</f>
        <v>1</v>
      </c>
      <c r="P3616" s="43"/>
    </row>
    <row r="3617" spans="1:16" ht="18" x14ac:dyDescent="0.35">
      <c r="A3617" s="43"/>
      <c r="C3617" s="393"/>
      <c r="E3617" s="394"/>
      <c r="F3617" s="394">
        <v>5.48</v>
      </c>
      <c r="G3617" s="394"/>
      <c r="H3617" s="8" t="s">
        <v>61</v>
      </c>
      <c r="I3617" s="368">
        <f t="shared" si="169"/>
        <v>0</v>
      </c>
      <c r="J3617" s="365">
        <f t="shared" si="168"/>
        <v>0</v>
      </c>
      <c r="K3617" s="369">
        <f t="shared" si="170"/>
        <v>6</v>
      </c>
      <c r="L3617" s="369">
        <f>+IF((C3617&gt;='Resultats - informe'!$E$16)*(C3617&lt;='Resultats - informe'!$G$16),1,0)</f>
        <v>1</v>
      </c>
      <c r="M3617" s="369" cm="1">
        <f t="array" ref="M3617">+_xlfn.IFS((C3617&gt;='Resultats - informe'!$D$26)*(C3617&lt;='Resultats - informe'!$E$26),0,(C3617&gt;='Resultats - informe'!$D$27)*(C3617&lt;='Resultats - informe'!$E$27),0,(C3617&gt;='Resultats - informe'!$D$28)*(C3617&lt;='Resultats - informe'!$E$28),0,(C3617&gt;='Resultats - informe'!$D$29)*(C3617&lt;='Resultats - informe'!$E$29),0,1,1)</f>
        <v>0</v>
      </c>
      <c r="N3617" s="366">
        <f>+VLOOKUP(D3617,'Resultats - informe'!$Y$18:$AG$42,'Introducció dades consum'!K3617+1,0)</f>
        <v>0</v>
      </c>
      <c r="O3617" s="370" cm="1">
        <f t="array" ref="O3617">+_xlfn.SWITCH(MONTH(C3617),1,1,2,1,3,1,4,2,5,2,6,3,7,3,8,3,9,3,10,2,11,2,12,1,2)</f>
        <v>1</v>
      </c>
      <c r="P3617" s="43"/>
    </row>
    <row r="3618" spans="1:16" ht="18" x14ac:dyDescent="0.35">
      <c r="A3618" s="43"/>
      <c r="C3618" s="393"/>
      <c r="E3618" s="394"/>
      <c r="F3618" s="394">
        <v>2.7290000000000001</v>
      </c>
      <c r="G3618" s="394"/>
      <c r="H3618" s="8" t="s">
        <v>235</v>
      </c>
      <c r="I3618" s="368">
        <f t="shared" si="169"/>
        <v>0</v>
      </c>
      <c r="J3618" s="365">
        <f t="shared" si="168"/>
        <v>0</v>
      </c>
      <c r="K3618" s="369">
        <f t="shared" si="170"/>
        <v>6</v>
      </c>
      <c r="L3618" s="369">
        <f>+IF((C3618&gt;='Resultats - informe'!$E$16)*(C3618&lt;='Resultats - informe'!$G$16),1,0)</f>
        <v>1</v>
      </c>
      <c r="M3618" s="369" cm="1">
        <f t="array" ref="M3618">+_xlfn.IFS((C3618&gt;='Resultats - informe'!$D$26)*(C3618&lt;='Resultats - informe'!$E$26),0,(C3618&gt;='Resultats - informe'!$D$27)*(C3618&lt;='Resultats - informe'!$E$27),0,(C3618&gt;='Resultats - informe'!$D$28)*(C3618&lt;='Resultats - informe'!$E$28),0,(C3618&gt;='Resultats - informe'!$D$29)*(C3618&lt;='Resultats - informe'!$E$29),0,1,1)</f>
        <v>0</v>
      </c>
      <c r="N3618" s="366">
        <f>+VLOOKUP(D3618,'Resultats - informe'!$Y$18:$AG$42,'Introducció dades consum'!K3618+1,0)</f>
        <v>0</v>
      </c>
      <c r="O3618" s="370" cm="1">
        <f t="array" ref="O3618">+_xlfn.SWITCH(MONTH(C3618),1,1,2,1,3,1,4,2,5,2,6,3,7,3,8,3,9,3,10,2,11,2,12,1,2)</f>
        <v>1</v>
      </c>
      <c r="P3618" s="43"/>
    </row>
    <row r="3619" spans="1:16" ht="18" x14ac:dyDescent="0.35">
      <c r="A3619" s="43"/>
      <c r="C3619" s="393"/>
      <c r="E3619" s="394"/>
      <c r="F3619" s="394">
        <v>1.913</v>
      </c>
      <c r="G3619" s="394"/>
      <c r="H3619" s="8" t="s">
        <v>235</v>
      </c>
      <c r="I3619" s="368">
        <f t="shared" si="169"/>
        <v>0</v>
      </c>
      <c r="J3619" s="365">
        <f t="shared" si="168"/>
        <v>0</v>
      </c>
      <c r="K3619" s="369">
        <f t="shared" si="170"/>
        <v>6</v>
      </c>
      <c r="L3619" s="369">
        <f>+IF((C3619&gt;='Resultats - informe'!$E$16)*(C3619&lt;='Resultats - informe'!$G$16),1,0)</f>
        <v>1</v>
      </c>
      <c r="M3619" s="369" cm="1">
        <f t="array" ref="M3619">+_xlfn.IFS((C3619&gt;='Resultats - informe'!$D$26)*(C3619&lt;='Resultats - informe'!$E$26),0,(C3619&gt;='Resultats - informe'!$D$27)*(C3619&lt;='Resultats - informe'!$E$27),0,(C3619&gt;='Resultats - informe'!$D$28)*(C3619&lt;='Resultats - informe'!$E$28),0,(C3619&gt;='Resultats - informe'!$D$29)*(C3619&lt;='Resultats - informe'!$E$29),0,1,1)</f>
        <v>0</v>
      </c>
      <c r="N3619" s="366">
        <f>+VLOOKUP(D3619,'Resultats - informe'!$Y$18:$AG$42,'Introducció dades consum'!K3619+1,0)</f>
        <v>0</v>
      </c>
      <c r="O3619" s="370" cm="1">
        <f t="array" ref="O3619">+_xlfn.SWITCH(MONTH(C3619),1,1,2,1,3,1,4,2,5,2,6,3,7,3,8,3,9,3,10,2,11,2,12,1,2)</f>
        <v>1</v>
      </c>
      <c r="P3619" s="43"/>
    </row>
    <row r="3620" spans="1:16" ht="18" x14ac:dyDescent="0.35">
      <c r="A3620" s="43"/>
      <c r="C3620" s="393"/>
      <c r="E3620" s="394"/>
      <c r="F3620" s="394">
        <v>0</v>
      </c>
      <c r="G3620" s="394"/>
      <c r="H3620" s="8" t="s">
        <v>61</v>
      </c>
      <c r="I3620" s="368">
        <f t="shared" si="169"/>
        <v>0</v>
      </c>
      <c r="J3620" s="365">
        <f t="shared" si="168"/>
        <v>0</v>
      </c>
      <c r="K3620" s="369">
        <f t="shared" si="170"/>
        <v>6</v>
      </c>
      <c r="L3620" s="369">
        <f>+IF((C3620&gt;='Resultats - informe'!$E$16)*(C3620&lt;='Resultats - informe'!$G$16),1,0)</f>
        <v>1</v>
      </c>
      <c r="M3620" s="369" cm="1">
        <f t="array" ref="M3620">+_xlfn.IFS((C3620&gt;='Resultats - informe'!$D$26)*(C3620&lt;='Resultats - informe'!$E$26),0,(C3620&gt;='Resultats - informe'!$D$27)*(C3620&lt;='Resultats - informe'!$E$27),0,(C3620&gt;='Resultats - informe'!$D$28)*(C3620&lt;='Resultats - informe'!$E$28),0,(C3620&gt;='Resultats - informe'!$D$29)*(C3620&lt;='Resultats - informe'!$E$29),0,1,1)</f>
        <v>0</v>
      </c>
      <c r="N3620" s="366">
        <f>+VLOOKUP(D3620,'Resultats - informe'!$Y$18:$AG$42,'Introducció dades consum'!K3620+1,0)</f>
        <v>0</v>
      </c>
      <c r="O3620" s="370" cm="1">
        <f t="array" ref="O3620">+_xlfn.SWITCH(MONTH(C3620),1,1,2,1,3,1,4,2,5,2,6,3,7,3,8,3,9,3,10,2,11,2,12,1,2)</f>
        <v>1</v>
      </c>
      <c r="P3620" s="43"/>
    </row>
    <row r="3621" spans="1:16" ht="18" x14ac:dyDescent="0.35">
      <c r="A3621" s="43"/>
      <c r="C3621" s="393"/>
      <c r="E3621" s="394"/>
      <c r="F3621" s="394">
        <v>2.6429999999999998</v>
      </c>
      <c r="G3621" s="394"/>
      <c r="H3621" s="8" t="s">
        <v>61</v>
      </c>
      <c r="I3621" s="368">
        <f t="shared" si="169"/>
        <v>0</v>
      </c>
      <c r="J3621" s="365">
        <f t="shared" si="168"/>
        <v>0</v>
      </c>
      <c r="K3621" s="369">
        <f t="shared" si="170"/>
        <v>6</v>
      </c>
      <c r="L3621" s="369">
        <f>+IF((C3621&gt;='Resultats - informe'!$E$16)*(C3621&lt;='Resultats - informe'!$G$16),1,0)</f>
        <v>1</v>
      </c>
      <c r="M3621" s="369" cm="1">
        <f t="array" ref="M3621">+_xlfn.IFS((C3621&gt;='Resultats - informe'!$D$26)*(C3621&lt;='Resultats - informe'!$E$26),0,(C3621&gt;='Resultats - informe'!$D$27)*(C3621&lt;='Resultats - informe'!$E$27),0,(C3621&gt;='Resultats - informe'!$D$28)*(C3621&lt;='Resultats - informe'!$E$28),0,(C3621&gt;='Resultats - informe'!$D$29)*(C3621&lt;='Resultats - informe'!$E$29),0,1,1)</f>
        <v>0</v>
      </c>
      <c r="N3621" s="366">
        <f>+VLOOKUP(D3621,'Resultats - informe'!$Y$18:$AG$42,'Introducció dades consum'!K3621+1,0)</f>
        <v>0</v>
      </c>
      <c r="O3621" s="370" cm="1">
        <f t="array" ref="O3621">+_xlfn.SWITCH(MONTH(C3621),1,1,2,1,3,1,4,2,5,2,6,3,7,3,8,3,9,3,10,2,11,2,12,1,2)</f>
        <v>1</v>
      </c>
      <c r="P3621" s="43"/>
    </row>
    <row r="3622" spans="1:16" ht="18" x14ac:dyDescent="0.35">
      <c r="A3622" s="43"/>
      <c r="C3622" s="393"/>
      <c r="E3622" s="394"/>
      <c r="F3622" s="394">
        <v>0</v>
      </c>
      <c r="G3622" s="394"/>
      <c r="H3622" s="8" t="s">
        <v>235</v>
      </c>
      <c r="I3622" s="368">
        <f t="shared" si="169"/>
        <v>0</v>
      </c>
      <c r="J3622" s="365">
        <f t="shared" si="168"/>
        <v>0</v>
      </c>
      <c r="K3622" s="369">
        <f t="shared" si="170"/>
        <v>6</v>
      </c>
      <c r="L3622" s="369">
        <f>+IF((C3622&gt;='Resultats - informe'!$E$16)*(C3622&lt;='Resultats - informe'!$G$16),1,0)</f>
        <v>1</v>
      </c>
      <c r="M3622" s="369" cm="1">
        <f t="array" ref="M3622">+_xlfn.IFS((C3622&gt;='Resultats - informe'!$D$26)*(C3622&lt;='Resultats - informe'!$E$26),0,(C3622&gt;='Resultats - informe'!$D$27)*(C3622&lt;='Resultats - informe'!$E$27),0,(C3622&gt;='Resultats - informe'!$D$28)*(C3622&lt;='Resultats - informe'!$E$28),0,(C3622&gt;='Resultats - informe'!$D$29)*(C3622&lt;='Resultats - informe'!$E$29),0,1,1)</f>
        <v>0</v>
      </c>
      <c r="N3622" s="366">
        <f>+VLOOKUP(D3622,'Resultats - informe'!$Y$18:$AG$42,'Introducció dades consum'!K3622+1,0)</f>
        <v>0</v>
      </c>
      <c r="O3622" s="370" cm="1">
        <f t="array" ref="O3622">+_xlfn.SWITCH(MONTH(C3622),1,1,2,1,3,1,4,2,5,2,6,3,7,3,8,3,9,3,10,2,11,2,12,1,2)</f>
        <v>1</v>
      </c>
      <c r="P3622" s="43"/>
    </row>
    <row r="3623" spans="1:16" ht="18" x14ac:dyDescent="0.35">
      <c r="A3623" s="43"/>
      <c r="C3623" s="393"/>
      <c r="E3623" s="394"/>
      <c r="F3623" s="394">
        <v>0</v>
      </c>
      <c r="G3623" s="394"/>
      <c r="H3623" s="8" t="s">
        <v>235</v>
      </c>
      <c r="I3623" s="368">
        <f t="shared" si="169"/>
        <v>0</v>
      </c>
      <c r="J3623" s="365">
        <f t="shared" si="168"/>
        <v>0</v>
      </c>
      <c r="K3623" s="369">
        <f t="shared" si="170"/>
        <v>6</v>
      </c>
      <c r="L3623" s="369">
        <f>+IF((C3623&gt;='Resultats - informe'!$E$16)*(C3623&lt;='Resultats - informe'!$G$16),1,0)</f>
        <v>1</v>
      </c>
      <c r="M3623" s="369" cm="1">
        <f t="array" ref="M3623">+_xlfn.IFS((C3623&gt;='Resultats - informe'!$D$26)*(C3623&lt;='Resultats - informe'!$E$26),0,(C3623&gt;='Resultats - informe'!$D$27)*(C3623&lt;='Resultats - informe'!$E$27),0,(C3623&gt;='Resultats - informe'!$D$28)*(C3623&lt;='Resultats - informe'!$E$28),0,(C3623&gt;='Resultats - informe'!$D$29)*(C3623&lt;='Resultats - informe'!$E$29),0,1,1)</f>
        <v>0</v>
      </c>
      <c r="N3623" s="366">
        <f>+VLOOKUP(D3623,'Resultats - informe'!$Y$18:$AG$42,'Introducció dades consum'!K3623+1,0)</f>
        <v>0</v>
      </c>
      <c r="O3623" s="370" cm="1">
        <f t="array" ref="O3623">+_xlfn.SWITCH(MONTH(C3623),1,1,2,1,3,1,4,2,5,2,6,3,7,3,8,3,9,3,10,2,11,2,12,1,2)</f>
        <v>1</v>
      </c>
      <c r="P3623" s="43"/>
    </row>
    <row r="3624" spans="1:16" ht="18" x14ac:dyDescent="0.35">
      <c r="A3624" s="43"/>
      <c r="C3624" s="393"/>
      <c r="E3624" s="394"/>
      <c r="F3624" s="394">
        <v>0</v>
      </c>
      <c r="G3624" s="394"/>
      <c r="H3624" s="8" t="s">
        <v>235</v>
      </c>
      <c r="I3624" s="368">
        <f t="shared" si="169"/>
        <v>0</v>
      </c>
      <c r="J3624" s="365">
        <f t="shared" si="168"/>
        <v>0</v>
      </c>
      <c r="K3624" s="369">
        <f t="shared" si="170"/>
        <v>6</v>
      </c>
      <c r="L3624" s="369">
        <f>+IF((C3624&gt;='Resultats - informe'!$E$16)*(C3624&lt;='Resultats - informe'!$G$16),1,0)</f>
        <v>1</v>
      </c>
      <c r="M3624" s="369" cm="1">
        <f t="array" ref="M3624">+_xlfn.IFS((C3624&gt;='Resultats - informe'!$D$26)*(C3624&lt;='Resultats - informe'!$E$26),0,(C3624&gt;='Resultats - informe'!$D$27)*(C3624&lt;='Resultats - informe'!$E$27),0,(C3624&gt;='Resultats - informe'!$D$28)*(C3624&lt;='Resultats - informe'!$E$28),0,(C3624&gt;='Resultats - informe'!$D$29)*(C3624&lt;='Resultats - informe'!$E$29),0,1,1)</f>
        <v>0</v>
      </c>
      <c r="N3624" s="366">
        <f>+VLOOKUP(D3624,'Resultats - informe'!$Y$18:$AG$42,'Introducció dades consum'!K3624+1,0)</f>
        <v>0</v>
      </c>
      <c r="O3624" s="370" cm="1">
        <f t="array" ref="O3624">+_xlfn.SWITCH(MONTH(C3624),1,1,2,1,3,1,4,2,5,2,6,3,7,3,8,3,9,3,10,2,11,2,12,1,2)</f>
        <v>1</v>
      </c>
      <c r="P3624" s="43"/>
    </row>
    <row r="3625" spans="1:16" ht="18" x14ac:dyDescent="0.35">
      <c r="A3625" s="43"/>
      <c r="C3625" s="393"/>
      <c r="E3625" s="394"/>
      <c r="F3625" s="394">
        <v>0</v>
      </c>
      <c r="G3625" s="394"/>
      <c r="H3625" s="8" t="s">
        <v>235</v>
      </c>
      <c r="I3625" s="368">
        <f t="shared" si="169"/>
        <v>0</v>
      </c>
      <c r="J3625" s="365">
        <f t="shared" si="168"/>
        <v>0</v>
      </c>
      <c r="K3625" s="369">
        <f t="shared" si="170"/>
        <v>6</v>
      </c>
      <c r="L3625" s="369">
        <f>+IF((C3625&gt;='Resultats - informe'!$E$16)*(C3625&lt;='Resultats - informe'!$G$16),1,0)</f>
        <v>1</v>
      </c>
      <c r="M3625" s="369" cm="1">
        <f t="array" ref="M3625">+_xlfn.IFS((C3625&gt;='Resultats - informe'!$D$26)*(C3625&lt;='Resultats - informe'!$E$26),0,(C3625&gt;='Resultats - informe'!$D$27)*(C3625&lt;='Resultats - informe'!$E$27),0,(C3625&gt;='Resultats - informe'!$D$28)*(C3625&lt;='Resultats - informe'!$E$28),0,(C3625&gt;='Resultats - informe'!$D$29)*(C3625&lt;='Resultats - informe'!$E$29),0,1,1)</f>
        <v>0</v>
      </c>
      <c r="N3625" s="366">
        <f>+VLOOKUP(D3625,'Resultats - informe'!$Y$18:$AG$42,'Introducció dades consum'!K3625+1,0)</f>
        <v>0</v>
      </c>
      <c r="O3625" s="370" cm="1">
        <f t="array" ref="O3625">+_xlfn.SWITCH(MONTH(C3625),1,1,2,1,3,1,4,2,5,2,6,3,7,3,8,3,9,3,10,2,11,2,12,1,2)</f>
        <v>1</v>
      </c>
      <c r="P3625" s="43"/>
    </row>
    <row r="3626" spans="1:16" ht="18" x14ac:dyDescent="0.35">
      <c r="A3626" s="43"/>
      <c r="C3626" s="393"/>
      <c r="E3626" s="394"/>
      <c r="F3626" s="394">
        <v>0</v>
      </c>
      <c r="G3626" s="394"/>
      <c r="H3626" s="8" t="s">
        <v>235</v>
      </c>
      <c r="I3626" s="368">
        <f t="shared" si="169"/>
        <v>0</v>
      </c>
      <c r="J3626" s="365">
        <f t="shared" si="168"/>
        <v>0</v>
      </c>
      <c r="K3626" s="369">
        <f t="shared" si="170"/>
        <v>6</v>
      </c>
      <c r="L3626" s="369">
        <f>+IF((C3626&gt;='Resultats - informe'!$E$16)*(C3626&lt;='Resultats - informe'!$G$16),1,0)</f>
        <v>1</v>
      </c>
      <c r="M3626" s="369" cm="1">
        <f t="array" ref="M3626">+_xlfn.IFS((C3626&gt;='Resultats - informe'!$D$26)*(C3626&lt;='Resultats - informe'!$E$26),0,(C3626&gt;='Resultats - informe'!$D$27)*(C3626&lt;='Resultats - informe'!$E$27),0,(C3626&gt;='Resultats - informe'!$D$28)*(C3626&lt;='Resultats - informe'!$E$28),0,(C3626&gt;='Resultats - informe'!$D$29)*(C3626&lt;='Resultats - informe'!$E$29),0,1,1)</f>
        <v>0</v>
      </c>
      <c r="N3626" s="366">
        <f>+VLOOKUP(D3626,'Resultats - informe'!$Y$18:$AG$42,'Introducció dades consum'!K3626+1,0)</f>
        <v>0</v>
      </c>
      <c r="O3626" s="370" cm="1">
        <f t="array" ref="O3626">+_xlfn.SWITCH(MONTH(C3626),1,1,2,1,3,1,4,2,5,2,6,3,7,3,8,3,9,3,10,2,11,2,12,1,2)</f>
        <v>1</v>
      </c>
      <c r="P3626" s="43"/>
    </row>
    <row r="3627" spans="1:16" ht="18" x14ac:dyDescent="0.35">
      <c r="A3627" s="43"/>
      <c r="C3627" s="393"/>
      <c r="E3627" s="394"/>
      <c r="F3627" s="394">
        <v>0</v>
      </c>
      <c r="G3627" s="394"/>
      <c r="H3627" s="8" t="s">
        <v>235</v>
      </c>
      <c r="I3627" s="368">
        <f t="shared" si="169"/>
        <v>0</v>
      </c>
      <c r="J3627" s="365">
        <f t="shared" si="168"/>
        <v>0</v>
      </c>
      <c r="K3627" s="369">
        <f t="shared" si="170"/>
        <v>6</v>
      </c>
      <c r="L3627" s="369">
        <f>+IF((C3627&gt;='Resultats - informe'!$E$16)*(C3627&lt;='Resultats - informe'!$G$16),1,0)</f>
        <v>1</v>
      </c>
      <c r="M3627" s="369" cm="1">
        <f t="array" ref="M3627">+_xlfn.IFS((C3627&gt;='Resultats - informe'!$D$26)*(C3627&lt;='Resultats - informe'!$E$26),0,(C3627&gt;='Resultats - informe'!$D$27)*(C3627&lt;='Resultats - informe'!$E$27),0,(C3627&gt;='Resultats - informe'!$D$28)*(C3627&lt;='Resultats - informe'!$E$28),0,(C3627&gt;='Resultats - informe'!$D$29)*(C3627&lt;='Resultats - informe'!$E$29),0,1,1)</f>
        <v>0</v>
      </c>
      <c r="N3627" s="366">
        <f>+VLOOKUP(D3627,'Resultats - informe'!$Y$18:$AG$42,'Introducció dades consum'!K3627+1,0)</f>
        <v>0</v>
      </c>
      <c r="O3627" s="370" cm="1">
        <f t="array" ref="O3627">+_xlfn.SWITCH(MONTH(C3627),1,1,2,1,3,1,4,2,5,2,6,3,7,3,8,3,9,3,10,2,11,2,12,1,2)</f>
        <v>1</v>
      </c>
      <c r="P3627" s="43"/>
    </row>
    <row r="3628" spans="1:16" ht="18" x14ac:dyDescent="0.35">
      <c r="A3628" s="43"/>
      <c r="C3628" s="393"/>
      <c r="E3628" s="394"/>
      <c r="F3628" s="394">
        <v>0</v>
      </c>
      <c r="G3628" s="394"/>
      <c r="H3628" s="8" t="s">
        <v>235</v>
      </c>
      <c r="I3628" s="368">
        <f t="shared" si="169"/>
        <v>0</v>
      </c>
      <c r="J3628" s="365">
        <f t="shared" si="168"/>
        <v>0</v>
      </c>
      <c r="K3628" s="369">
        <f t="shared" si="170"/>
        <v>6</v>
      </c>
      <c r="L3628" s="369">
        <f>+IF((C3628&gt;='Resultats - informe'!$E$16)*(C3628&lt;='Resultats - informe'!$G$16),1,0)</f>
        <v>1</v>
      </c>
      <c r="M3628" s="369" cm="1">
        <f t="array" ref="M3628">+_xlfn.IFS((C3628&gt;='Resultats - informe'!$D$26)*(C3628&lt;='Resultats - informe'!$E$26),0,(C3628&gt;='Resultats - informe'!$D$27)*(C3628&lt;='Resultats - informe'!$E$27),0,(C3628&gt;='Resultats - informe'!$D$28)*(C3628&lt;='Resultats - informe'!$E$28),0,(C3628&gt;='Resultats - informe'!$D$29)*(C3628&lt;='Resultats - informe'!$E$29),0,1,1)</f>
        <v>0</v>
      </c>
      <c r="N3628" s="366">
        <f>+VLOOKUP(D3628,'Resultats - informe'!$Y$18:$AG$42,'Introducció dades consum'!K3628+1,0)</f>
        <v>0</v>
      </c>
      <c r="O3628" s="370" cm="1">
        <f t="array" ref="O3628">+_xlfn.SWITCH(MONTH(C3628),1,1,2,1,3,1,4,2,5,2,6,3,7,3,8,3,9,3,10,2,11,2,12,1,2)</f>
        <v>1</v>
      </c>
      <c r="P3628" s="43"/>
    </row>
    <row r="3629" spans="1:16" ht="18" x14ac:dyDescent="0.35">
      <c r="A3629" s="43"/>
      <c r="C3629" s="393"/>
      <c r="E3629" s="394"/>
      <c r="F3629" s="394">
        <v>0</v>
      </c>
      <c r="G3629" s="394"/>
      <c r="H3629" s="8" t="s">
        <v>235</v>
      </c>
      <c r="I3629" s="368">
        <f t="shared" si="169"/>
        <v>0</v>
      </c>
      <c r="J3629" s="365">
        <f t="shared" si="168"/>
        <v>0</v>
      </c>
      <c r="K3629" s="369">
        <f t="shared" si="170"/>
        <v>6</v>
      </c>
      <c r="L3629" s="369">
        <f>+IF((C3629&gt;='Resultats - informe'!$E$16)*(C3629&lt;='Resultats - informe'!$G$16),1,0)</f>
        <v>1</v>
      </c>
      <c r="M3629" s="369" cm="1">
        <f t="array" ref="M3629">+_xlfn.IFS((C3629&gt;='Resultats - informe'!$D$26)*(C3629&lt;='Resultats - informe'!$E$26),0,(C3629&gt;='Resultats - informe'!$D$27)*(C3629&lt;='Resultats - informe'!$E$27),0,(C3629&gt;='Resultats - informe'!$D$28)*(C3629&lt;='Resultats - informe'!$E$28),0,(C3629&gt;='Resultats - informe'!$D$29)*(C3629&lt;='Resultats - informe'!$E$29),0,1,1)</f>
        <v>0</v>
      </c>
      <c r="N3629" s="366">
        <f>+VLOOKUP(D3629,'Resultats - informe'!$Y$18:$AG$42,'Introducció dades consum'!K3629+1,0)</f>
        <v>0</v>
      </c>
      <c r="O3629" s="370" cm="1">
        <f t="array" ref="O3629">+_xlfn.SWITCH(MONTH(C3629),1,1,2,1,3,1,4,2,5,2,6,3,7,3,8,3,9,3,10,2,11,2,12,1,2)</f>
        <v>1</v>
      </c>
      <c r="P3629" s="43"/>
    </row>
    <row r="3630" spans="1:16" ht="18" x14ac:dyDescent="0.35">
      <c r="A3630" s="43"/>
      <c r="C3630" s="393"/>
      <c r="E3630" s="394"/>
      <c r="F3630" s="394">
        <v>0</v>
      </c>
      <c r="G3630" s="394"/>
      <c r="H3630" s="8" t="s">
        <v>61</v>
      </c>
      <c r="I3630" s="368">
        <f t="shared" si="169"/>
        <v>0</v>
      </c>
      <c r="J3630" s="365">
        <f t="shared" si="168"/>
        <v>0</v>
      </c>
      <c r="K3630" s="369">
        <f t="shared" si="170"/>
        <v>6</v>
      </c>
      <c r="L3630" s="369">
        <f>+IF((C3630&gt;='Resultats - informe'!$E$16)*(C3630&lt;='Resultats - informe'!$G$16),1,0)</f>
        <v>1</v>
      </c>
      <c r="M3630" s="369" cm="1">
        <f t="array" ref="M3630">+_xlfn.IFS((C3630&gt;='Resultats - informe'!$D$26)*(C3630&lt;='Resultats - informe'!$E$26),0,(C3630&gt;='Resultats - informe'!$D$27)*(C3630&lt;='Resultats - informe'!$E$27),0,(C3630&gt;='Resultats - informe'!$D$28)*(C3630&lt;='Resultats - informe'!$E$28),0,(C3630&gt;='Resultats - informe'!$D$29)*(C3630&lt;='Resultats - informe'!$E$29),0,1,1)</f>
        <v>0</v>
      </c>
      <c r="N3630" s="366">
        <f>+VLOOKUP(D3630,'Resultats - informe'!$Y$18:$AG$42,'Introducció dades consum'!K3630+1,0)</f>
        <v>0</v>
      </c>
      <c r="O3630" s="370" cm="1">
        <f t="array" ref="O3630">+_xlfn.SWITCH(MONTH(C3630),1,1,2,1,3,1,4,2,5,2,6,3,7,3,8,3,9,3,10,2,11,2,12,1,2)</f>
        <v>1</v>
      </c>
      <c r="P3630" s="43"/>
    </row>
    <row r="3631" spans="1:16" ht="18" x14ac:dyDescent="0.35">
      <c r="A3631" s="43"/>
      <c r="C3631" s="393"/>
      <c r="E3631" s="394"/>
      <c r="F3631" s="394">
        <v>0</v>
      </c>
      <c r="G3631" s="394"/>
      <c r="H3631" s="8" t="s">
        <v>235</v>
      </c>
      <c r="I3631" s="368">
        <f t="shared" si="169"/>
        <v>0</v>
      </c>
      <c r="J3631" s="365">
        <f t="shared" si="168"/>
        <v>0</v>
      </c>
      <c r="K3631" s="369">
        <f t="shared" si="170"/>
        <v>6</v>
      </c>
      <c r="L3631" s="369">
        <f>+IF((C3631&gt;='Resultats - informe'!$E$16)*(C3631&lt;='Resultats - informe'!$G$16),1,0)</f>
        <v>1</v>
      </c>
      <c r="M3631" s="369" cm="1">
        <f t="array" ref="M3631">+_xlfn.IFS((C3631&gt;='Resultats - informe'!$D$26)*(C3631&lt;='Resultats - informe'!$E$26),0,(C3631&gt;='Resultats - informe'!$D$27)*(C3631&lt;='Resultats - informe'!$E$27),0,(C3631&gt;='Resultats - informe'!$D$28)*(C3631&lt;='Resultats - informe'!$E$28),0,(C3631&gt;='Resultats - informe'!$D$29)*(C3631&lt;='Resultats - informe'!$E$29),0,1,1)</f>
        <v>0</v>
      </c>
      <c r="N3631" s="366">
        <f>+VLOOKUP(D3631,'Resultats - informe'!$Y$18:$AG$42,'Introducció dades consum'!K3631+1,0)</f>
        <v>0</v>
      </c>
      <c r="O3631" s="370" cm="1">
        <f t="array" ref="O3631">+_xlfn.SWITCH(MONTH(C3631),1,1,2,1,3,1,4,2,5,2,6,3,7,3,8,3,9,3,10,2,11,2,12,1,2)</f>
        <v>1</v>
      </c>
      <c r="P3631" s="43"/>
    </row>
    <row r="3632" spans="1:16" ht="18" x14ac:dyDescent="0.35">
      <c r="A3632" s="43"/>
      <c r="C3632" s="393"/>
      <c r="E3632" s="394"/>
      <c r="F3632" s="394">
        <v>0</v>
      </c>
      <c r="G3632" s="394"/>
      <c r="H3632" s="8" t="s">
        <v>235</v>
      </c>
      <c r="I3632" s="368">
        <f t="shared" si="169"/>
        <v>0</v>
      </c>
      <c r="J3632" s="365">
        <f t="shared" si="168"/>
        <v>0</v>
      </c>
      <c r="K3632" s="369">
        <f t="shared" si="170"/>
        <v>6</v>
      </c>
      <c r="L3632" s="369">
        <f>+IF((C3632&gt;='Resultats - informe'!$E$16)*(C3632&lt;='Resultats - informe'!$G$16),1,0)</f>
        <v>1</v>
      </c>
      <c r="M3632" s="369" cm="1">
        <f t="array" ref="M3632">+_xlfn.IFS((C3632&gt;='Resultats - informe'!$D$26)*(C3632&lt;='Resultats - informe'!$E$26),0,(C3632&gt;='Resultats - informe'!$D$27)*(C3632&lt;='Resultats - informe'!$E$27),0,(C3632&gt;='Resultats - informe'!$D$28)*(C3632&lt;='Resultats - informe'!$E$28),0,(C3632&gt;='Resultats - informe'!$D$29)*(C3632&lt;='Resultats - informe'!$E$29),0,1,1)</f>
        <v>0</v>
      </c>
      <c r="N3632" s="366">
        <f>+VLOOKUP(D3632,'Resultats - informe'!$Y$18:$AG$42,'Introducció dades consum'!K3632+1,0)</f>
        <v>0</v>
      </c>
      <c r="O3632" s="370" cm="1">
        <f t="array" ref="O3632">+_xlfn.SWITCH(MONTH(C3632),1,1,2,1,3,1,4,2,5,2,6,3,7,3,8,3,9,3,10,2,11,2,12,1,2)</f>
        <v>1</v>
      </c>
      <c r="P3632" s="43"/>
    </row>
    <row r="3633" spans="1:16" ht="18" x14ac:dyDescent="0.35">
      <c r="A3633" s="43"/>
      <c r="C3633" s="393"/>
      <c r="E3633" s="394"/>
      <c r="F3633" s="394">
        <v>0.222</v>
      </c>
      <c r="G3633" s="394"/>
      <c r="H3633" s="8" t="s">
        <v>235</v>
      </c>
      <c r="I3633" s="368">
        <f t="shared" si="169"/>
        <v>0</v>
      </c>
      <c r="J3633" s="365">
        <f t="shared" si="168"/>
        <v>0</v>
      </c>
      <c r="K3633" s="369">
        <f t="shared" si="170"/>
        <v>6</v>
      </c>
      <c r="L3633" s="369">
        <f>+IF((C3633&gt;='Resultats - informe'!$E$16)*(C3633&lt;='Resultats - informe'!$G$16),1,0)</f>
        <v>1</v>
      </c>
      <c r="M3633" s="369" cm="1">
        <f t="array" ref="M3633">+_xlfn.IFS((C3633&gt;='Resultats - informe'!$D$26)*(C3633&lt;='Resultats - informe'!$E$26),0,(C3633&gt;='Resultats - informe'!$D$27)*(C3633&lt;='Resultats - informe'!$E$27),0,(C3633&gt;='Resultats - informe'!$D$28)*(C3633&lt;='Resultats - informe'!$E$28),0,(C3633&gt;='Resultats - informe'!$D$29)*(C3633&lt;='Resultats - informe'!$E$29),0,1,1)</f>
        <v>0</v>
      </c>
      <c r="N3633" s="366">
        <f>+VLOOKUP(D3633,'Resultats - informe'!$Y$18:$AG$42,'Introducció dades consum'!K3633+1,0)</f>
        <v>0</v>
      </c>
      <c r="O3633" s="370" cm="1">
        <f t="array" ref="O3633">+_xlfn.SWITCH(MONTH(C3633),1,1,2,1,3,1,4,2,5,2,6,3,7,3,8,3,9,3,10,2,11,2,12,1,2)</f>
        <v>1</v>
      </c>
      <c r="P3633" s="43"/>
    </row>
    <row r="3634" spans="1:16" ht="18" x14ac:dyDescent="0.35">
      <c r="A3634" s="43"/>
      <c r="C3634" s="393"/>
      <c r="E3634" s="394"/>
      <c r="F3634" s="394">
        <v>0.82799999999999996</v>
      </c>
      <c r="G3634" s="394"/>
      <c r="H3634" s="8" t="s">
        <v>235</v>
      </c>
      <c r="I3634" s="368">
        <f t="shared" si="169"/>
        <v>0</v>
      </c>
      <c r="J3634" s="365">
        <f t="shared" si="168"/>
        <v>0</v>
      </c>
      <c r="K3634" s="369">
        <f t="shared" si="170"/>
        <v>6</v>
      </c>
      <c r="L3634" s="369">
        <f>+IF((C3634&gt;='Resultats - informe'!$E$16)*(C3634&lt;='Resultats - informe'!$G$16),1,0)</f>
        <v>1</v>
      </c>
      <c r="M3634" s="369" cm="1">
        <f t="array" ref="M3634">+_xlfn.IFS((C3634&gt;='Resultats - informe'!$D$26)*(C3634&lt;='Resultats - informe'!$E$26),0,(C3634&gt;='Resultats - informe'!$D$27)*(C3634&lt;='Resultats - informe'!$E$27),0,(C3634&gt;='Resultats - informe'!$D$28)*(C3634&lt;='Resultats - informe'!$E$28),0,(C3634&gt;='Resultats - informe'!$D$29)*(C3634&lt;='Resultats - informe'!$E$29),0,1,1)</f>
        <v>0</v>
      </c>
      <c r="N3634" s="366">
        <f>+VLOOKUP(D3634,'Resultats - informe'!$Y$18:$AG$42,'Introducció dades consum'!K3634+1,0)</f>
        <v>0</v>
      </c>
      <c r="O3634" s="370" cm="1">
        <f t="array" ref="O3634">+_xlfn.SWITCH(MONTH(C3634),1,1,2,1,3,1,4,2,5,2,6,3,7,3,8,3,9,3,10,2,11,2,12,1,2)</f>
        <v>1</v>
      </c>
      <c r="P3634" s="43"/>
    </row>
    <row r="3635" spans="1:16" ht="18" x14ac:dyDescent="0.35">
      <c r="A3635" s="43"/>
      <c r="C3635" s="393"/>
      <c r="E3635" s="394"/>
      <c r="F3635" s="394">
        <v>0.90100000000000002</v>
      </c>
      <c r="G3635" s="394"/>
      <c r="H3635" s="8" t="s">
        <v>235</v>
      </c>
      <c r="I3635" s="368">
        <f t="shared" si="169"/>
        <v>0</v>
      </c>
      <c r="J3635" s="365">
        <f t="shared" si="168"/>
        <v>0</v>
      </c>
      <c r="K3635" s="369">
        <f t="shared" si="170"/>
        <v>6</v>
      </c>
      <c r="L3635" s="369">
        <f>+IF((C3635&gt;='Resultats - informe'!$E$16)*(C3635&lt;='Resultats - informe'!$G$16),1,0)</f>
        <v>1</v>
      </c>
      <c r="M3635" s="369" cm="1">
        <f t="array" ref="M3635">+_xlfn.IFS((C3635&gt;='Resultats - informe'!$D$26)*(C3635&lt;='Resultats - informe'!$E$26),0,(C3635&gt;='Resultats - informe'!$D$27)*(C3635&lt;='Resultats - informe'!$E$27),0,(C3635&gt;='Resultats - informe'!$D$28)*(C3635&lt;='Resultats - informe'!$E$28),0,(C3635&gt;='Resultats - informe'!$D$29)*(C3635&lt;='Resultats - informe'!$E$29),0,1,1)</f>
        <v>0</v>
      </c>
      <c r="N3635" s="366">
        <f>+VLOOKUP(D3635,'Resultats - informe'!$Y$18:$AG$42,'Introducció dades consum'!K3635+1,0)</f>
        <v>0</v>
      </c>
      <c r="O3635" s="370" cm="1">
        <f t="array" ref="O3635">+_xlfn.SWITCH(MONTH(C3635),1,1,2,1,3,1,4,2,5,2,6,3,7,3,8,3,9,3,10,2,11,2,12,1,2)</f>
        <v>1</v>
      </c>
      <c r="P3635" s="43"/>
    </row>
    <row r="3636" spans="1:16" ht="18" x14ac:dyDescent="0.35">
      <c r="A3636" s="43"/>
      <c r="C3636" s="393"/>
      <c r="E3636" s="394"/>
      <c r="F3636" s="394">
        <v>1.2729999999999999</v>
      </c>
      <c r="G3636" s="394"/>
      <c r="H3636" s="8" t="s">
        <v>235</v>
      </c>
      <c r="I3636" s="368">
        <f t="shared" si="169"/>
        <v>0</v>
      </c>
      <c r="J3636" s="365">
        <f t="shared" si="168"/>
        <v>0</v>
      </c>
      <c r="K3636" s="369">
        <f t="shared" si="170"/>
        <v>6</v>
      </c>
      <c r="L3636" s="369">
        <f>+IF((C3636&gt;='Resultats - informe'!$E$16)*(C3636&lt;='Resultats - informe'!$G$16),1,0)</f>
        <v>1</v>
      </c>
      <c r="M3636" s="369" cm="1">
        <f t="array" ref="M3636">+_xlfn.IFS((C3636&gt;='Resultats - informe'!$D$26)*(C3636&lt;='Resultats - informe'!$E$26),0,(C3636&gt;='Resultats - informe'!$D$27)*(C3636&lt;='Resultats - informe'!$E$27),0,(C3636&gt;='Resultats - informe'!$D$28)*(C3636&lt;='Resultats - informe'!$E$28),0,(C3636&gt;='Resultats - informe'!$D$29)*(C3636&lt;='Resultats - informe'!$E$29),0,1,1)</f>
        <v>0</v>
      </c>
      <c r="N3636" s="366">
        <f>+VLOOKUP(D3636,'Resultats - informe'!$Y$18:$AG$42,'Introducció dades consum'!K3636+1,0)</f>
        <v>0</v>
      </c>
      <c r="O3636" s="370" cm="1">
        <f t="array" ref="O3636">+_xlfn.SWITCH(MONTH(C3636),1,1,2,1,3,1,4,2,5,2,6,3,7,3,8,3,9,3,10,2,11,2,12,1,2)</f>
        <v>1</v>
      </c>
      <c r="P3636" s="43"/>
    </row>
    <row r="3637" spans="1:16" ht="18" x14ac:dyDescent="0.35">
      <c r="A3637" s="43"/>
      <c r="C3637" s="393"/>
      <c r="E3637" s="394"/>
      <c r="F3637" s="394">
        <v>2.024</v>
      </c>
      <c r="G3637" s="394"/>
      <c r="H3637" s="8" t="s">
        <v>61</v>
      </c>
      <c r="I3637" s="368">
        <f t="shared" si="169"/>
        <v>0</v>
      </c>
      <c r="J3637" s="365">
        <f t="shared" si="168"/>
        <v>0</v>
      </c>
      <c r="K3637" s="369">
        <f t="shared" si="170"/>
        <v>6</v>
      </c>
      <c r="L3637" s="369">
        <f>+IF((C3637&gt;='Resultats - informe'!$E$16)*(C3637&lt;='Resultats - informe'!$G$16),1,0)</f>
        <v>1</v>
      </c>
      <c r="M3637" s="369" cm="1">
        <f t="array" ref="M3637">+_xlfn.IFS((C3637&gt;='Resultats - informe'!$D$26)*(C3637&lt;='Resultats - informe'!$E$26),0,(C3637&gt;='Resultats - informe'!$D$27)*(C3637&lt;='Resultats - informe'!$E$27),0,(C3637&gt;='Resultats - informe'!$D$28)*(C3637&lt;='Resultats - informe'!$E$28),0,(C3637&gt;='Resultats - informe'!$D$29)*(C3637&lt;='Resultats - informe'!$E$29),0,1,1)</f>
        <v>0</v>
      </c>
      <c r="N3637" s="366">
        <f>+VLOOKUP(D3637,'Resultats - informe'!$Y$18:$AG$42,'Introducció dades consum'!K3637+1,0)</f>
        <v>0</v>
      </c>
      <c r="O3637" s="370" cm="1">
        <f t="array" ref="O3637">+_xlfn.SWITCH(MONTH(C3637),1,1,2,1,3,1,4,2,5,2,6,3,7,3,8,3,9,3,10,2,11,2,12,1,2)</f>
        <v>1</v>
      </c>
      <c r="P3637" s="43"/>
    </row>
    <row r="3638" spans="1:16" ht="18" x14ac:dyDescent="0.35">
      <c r="A3638" s="43"/>
      <c r="C3638" s="393"/>
      <c r="E3638" s="394"/>
      <c r="F3638" s="394">
        <v>4.2859999999999996</v>
      </c>
      <c r="G3638" s="394"/>
      <c r="H3638" s="8" t="s">
        <v>61</v>
      </c>
      <c r="I3638" s="368">
        <f t="shared" si="169"/>
        <v>0</v>
      </c>
      <c r="J3638" s="365">
        <f t="shared" si="168"/>
        <v>0</v>
      </c>
      <c r="K3638" s="369">
        <f t="shared" si="170"/>
        <v>6</v>
      </c>
      <c r="L3638" s="369">
        <f>+IF((C3638&gt;='Resultats - informe'!$E$16)*(C3638&lt;='Resultats - informe'!$G$16),1,0)</f>
        <v>1</v>
      </c>
      <c r="M3638" s="369" cm="1">
        <f t="array" ref="M3638">+_xlfn.IFS((C3638&gt;='Resultats - informe'!$D$26)*(C3638&lt;='Resultats - informe'!$E$26),0,(C3638&gt;='Resultats - informe'!$D$27)*(C3638&lt;='Resultats - informe'!$E$27),0,(C3638&gt;='Resultats - informe'!$D$28)*(C3638&lt;='Resultats - informe'!$E$28),0,(C3638&gt;='Resultats - informe'!$D$29)*(C3638&lt;='Resultats - informe'!$E$29),0,1,1)</f>
        <v>0</v>
      </c>
      <c r="N3638" s="366">
        <f>+VLOOKUP(D3638,'Resultats - informe'!$Y$18:$AG$42,'Introducció dades consum'!K3638+1,0)</f>
        <v>0</v>
      </c>
      <c r="O3638" s="370" cm="1">
        <f t="array" ref="O3638">+_xlfn.SWITCH(MONTH(C3638),1,1,2,1,3,1,4,2,5,2,6,3,7,3,8,3,9,3,10,2,11,2,12,1,2)</f>
        <v>1</v>
      </c>
      <c r="P3638" s="43"/>
    </row>
    <row r="3639" spans="1:16" ht="18" x14ac:dyDescent="0.35">
      <c r="A3639" s="43"/>
      <c r="C3639" s="393"/>
      <c r="E3639" s="394"/>
      <c r="F3639" s="394">
        <v>2.8570000000000002</v>
      </c>
      <c r="G3639" s="394"/>
      <c r="H3639" s="8" t="s">
        <v>235</v>
      </c>
      <c r="I3639" s="368">
        <f t="shared" si="169"/>
        <v>0</v>
      </c>
      <c r="J3639" s="365">
        <f t="shared" si="168"/>
        <v>0</v>
      </c>
      <c r="K3639" s="369">
        <f t="shared" si="170"/>
        <v>6</v>
      </c>
      <c r="L3639" s="369">
        <f>+IF((C3639&gt;='Resultats - informe'!$E$16)*(C3639&lt;='Resultats - informe'!$G$16),1,0)</f>
        <v>1</v>
      </c>
      <c r="M3639" s="369" cm="1">
        <f t="array" ref="M3639">+_xlfn.IFS((C3639&gt;='Resultats - informe'!$D$26)*(C3639&lt;='Resultats - informe'!$E$26),0,(C3639&gt;='Resultats - informe'!$D$27)*(C3639&lt;='Resultats - informe'!$E$27),0,(C3639&gt;='Resultats - informe'!$D$28)*(C3639&lt;='Resultats - informe'!$E$28),0,(C3639&gt;='Resultats - informe'!$D$29)*(C3639&lt;='Resultats - informe'!$E$29),0,1,1)</f>
        <v>0</v>
      </c>
      <c r="N3639" s="366">
        <f>+VLOOKUP(D3639,'Resultats - informe'!$Y$18:$AG$42,'Introducció dades consum'!K3639+1,0)</f>
        <v>0</v>
      </c>
      <c r="O3639" s="370" cm="1">
        <f t="array" ref="O3639">+_xlfn.SWITCH(MONTH(C3639),1,1,2,1,3,1,4,2,5,2,6,3,7,3,8,3,9,3,10,2,11,2,12,1,2)</f>
        <v>1</v>
      </c>
      <c r="P3639" s="43"/>
    </row>
    <row r="3640" spans="1:16" ht="18" x14ac:dyDescent="0.35">
      <c r="A3640" s="43"/>
      <c r="C3640" s="393"/>
      <c r="E3640" s="394"/>
      <c r="F3640" s="394">
        <v>2.798</v>
      </c>
      <c r="G3640" s="394"/>
      <c r="H3640" s="8" t="s">
        <v>235</v>
      </c>
      <c r="I3640" s="368">
        <f t="shared" si="169"/>
        <v>0</v>
      </c>
      <c r="J3640" s="365">
        <f t="shared" si="168"/>
        <v>0</v>
      </c>
      <c r="K3640" s="369">
        <f t="shared" si="170"/>
        <v>6</v>
      </c>
      <c r="L3640" s="369">
        <f>+IF((C3640&gt;='Resultats - informe'!$E$16)*(C3640&lt;='Resultats - informe'!$G$16),1,0)</f>
        <v>1</v>
      </c>
      <c r="M3640" s="369" cm="1">
        <f t="array" ref="M3640">+_xlfn.IFS((C3640&gt;='Resultats - informe'!$D$26)*(C3640&lt;='Resultats - informe'!$E$26),0,(C3640&gt;='Resultats - informe'!$D$27)*(C3640&lt;='Resultats - informe'!$E$27),0,(C3640&gt;='Resultats - informe'!$D$28)*(C3640&lt;='Resultats - informe'!$E$28),0,(C3640&gt;='Resultats - informe'!$D$29)*(C3640&lt;='Resultats - informe'!$E$29),0,1,1)</f>
        <v>0</v>
      </c>
      <c r="N3640" s="366">
        <f>+VLOOKUP(D3640,'Resultats - informe'!$Y$18:$AG$42,'Introducció dades consum'!K3640+1,0)</f>
        <v>0</v>
      </c>
      <c r="O3640" s="370" cm="1">
        <f t="array" ref="O3640">+_xlfn.SWITCH(MONTH(C3640),1,1,2,1,3,1,4,2,5,2,6,3,7,3,8,3,9,3,10,2,11,2,12,1,2)</f>
        <v>1</v>
      </c>
      <c r="P3640" s="43"/>
    </row>
    <row r="3641" spans="1:16" ht="18" x14ac:dyDescent="0.35">
      <c r="A3641" s="43"/>
      <c r="C3641" s="393"/>
      <c r="E3641" s="394"/>
      <c r="F3641" s="394">
        <v>2.4710000000000001</v>
      </c>
      <c r="G3641" s="394"/>
      <c r="H3641" s="8" t="s">
        <v>235</v>
      </c>
      <c r="I3641" s="368">
        <f t="shared" si="169"/>
        <v>0</v>
      </c>
      <c r="J3641" s="365">
        <f t="shared" si="168"/>
        <v>0</v>
      </c>
      <c r="K3641" s="369">
        <f t="shared" si="170"/>
        <v>6</v>
      </c>
      <c r="L3641" s="369">
        <f>+IF((C3641&gt;='Resultats - informe'!$E$16)*(C3641&lt;='Resultats - informe'!$G$16),1,0)</f>
        <v>1</v>
      </c>
      <c r="M3641" s="369" cm="1">
        <f t="array" ref="M3641">+_xlfn.IFS((C3641&gt;='Resultats - informe'!$D$26)*(C3641&lt;='Resultats - informe'!$E$26),0,(C3641&gt;='Resultats - informe'!$D$27)*(C3641&lt;='Resultats - informe'!$E$27),0,(C3641&gt;='Resultats - informe'!$D$28)*(C3641&lt;='Resultats - informe'!$E$28),0,(C3641&gt;='Resultats - informe'!$D$29)*(C3641&lt;='Resultats - informe'!$E$29),0,1,1)</f>
        <v>0</v>
      </c>
      <c r="N3641" s="366">
        <f>+VLOOKUP(D3641,'Resultats - informe'!$Y$18:$AG$42,'Introducció dades consum'!K3641+1,0)</f>
        <v>0</v>
      </c>
      <c r="O3641" s="370" cm="1">
        <f t="array" ref="O3641">+_xlfn.SWITCH(MONTH(C3641),1,1,2,1,3,1,4,2,5,2,6,3,7,3,8,3,9,3,10,2,11,2,12,1,2)</f>
        <v>1</v>
      </c>
      <c r="P3641" s="43"/>
    </row>
    <row r="3642" spans="1:16" ht="18" x14ac:dyDescent="0.35">
      <c r="A3642" s="43"/>
      <c r="C3642" s="393"/>
      <c r="E3642" s="394"/>
      <c r="F3642" s="394">
        <v>1.996</v>
      </c>
      <c r="G3642" s="394"/>
      <c r="H3642" s="8" t="s">
        <v>235</v>
      </c>
      <c r="I3642" s="368">
        <f t="shared" si="169"/>
        <v>0</v>
      </c>
      <c r="J3642" s="365">
        <f t="shared" si="168"/>
        <v>0</v>
      </c>
      <c r="K3642" s="369">
        <f t="shared" si="170"/>
        <v>6</v>
      </c>
      <c r="L3642" s="369">
        <f>+IF((C3642&gt;='Resultats - informe'!$E$16)*(C3642&lt;='Resultats - informe'!$G$16),1,0)</f>
        <v>1</v>
      </c>
      <c r="M3642" s="369" cm="1">
        <f t="array" ref="M3642">+_xlfn.IFS((C3642&gt;='Resultats - informe'!$D$26)*(C3642&lt;='Resultats - informe'!$E$26),0,(C3642&gt;='Resultats - informe'!$D$27)*(C3642&lt;='Resultats - informe'!$E$27),0,(C3642&gt;='Resultats - informe'!$D$28)*(C3642&lt;='Resultats - informe'!$E$28),0,(C3642&gt;='Resultats - informe'!$D$29)*(C3642&lt;='Resultats - informe'!$E$29),0,1,1)</f>
        <v>0</v>
      </c>
      <c r="N3642" s="366">
        <f>+VLOOKUP(D3642,'Resultats - informe'!$Y$18:$AG$42,'Introducció dades consum'!K3642+1,0)</f>
        <v>0</v>
      </c>
      <c r="O3642" s="370" cm="1">
        <f t="array" ref="O3642">+_xlfn.SWITCH(MONTH(C3642),1,1,2,1,3,1,4,2,5,2,6,3,7,3,8,3,9,3,10,2,11,2,12,1,2)</f>
        <v>1</v>
      </c>
      <c r="P3642" s="43"/>
    </row>
    <row r="3643" spans="1:16" ht="18" x14ac:dyDescent="0.35">
      <c r="A3643" s="43"/>
      <c r="C3643" s="393"/>
      <c r="E3643" s="394"/>
      <c r="F3643" s="394">
        <v>1.405</v>
      </c>
      <c r="G3643" s="394"/>
      <c r="H3643" s="8" t="s">
        <v>235</v>
      </c>
      <c r="I3643" s="368">
        <f t="shared" si="169"/>
        <v>0</v>
      </c>
      <c r="J3643" s="365">
        <f t="shared" ref="J3643:J3706" si="171">+C3643</f>
        <v>0</v>
      </c>
      <c r="K3643" s="369">
        <f t="shared" si="170"/>
        <v>6</v>
      </c>
      <c r="L3643" s="369">
        <f>+IF((C3643&gt;='Resultats - informe'!$E$16)*(C3643&lt;='Resultats - informe'!$G$16),1,0)</f>
        <v>1</v>
      </c>
      <c r="M3643" s="369" cm="1">
        <f t="array" ref="M3643">+_xlfn.IFS((C3643&gt;='Resultats - informe'!$D$26)*(C3643&lt;='Resultats - informe'!$E$26),0,(C3643&gt;='Resultats - informe'!$D$27)*(C3643&lt;='Resultats - informe'!$E$27),0,(C3643&gt;='Resultats - informe'!$D$28)*(C3643&lt;='Resultats - informe'!$E$28),0,(C3643&gt;='Resultats - informe'!$D$29)*(C3643&lt;='Resultats - informe'!$E$29),0,1,1)</f>
        <v>0</v>
      </c>
      <c r="N3643" s="366">
        <f>+VLOOKUP(D3643,'Resultats - informe'!$Y$18:$AG$42,'Introducció dades consum'!K3643+1,0)</f>
        <v>0</v>
      </c>
      <c r="O3643" s="370" cm="1">
        <f t="array" ref="O3643">+_xlfn.SWITCH(MONTH(C3643),1,1,2,1,3,1,4,2,5,2,6,3,7,3,8,3,9,3,10,2,11,2,12,1,2)</f>
        <v>1</v>
      </c>
      <c r="P3643" s="43"/>
    </row>
    <row r="3644" spans="1:16" ht="18" x14ac:dyDescent="0.35">
      <c r="A3644" s="43"/>
      <c r="C3644" s="393"/>
      <c r="E3644" s="394"/>
      <c r="F3644" s="394">
        <v>0.80700000000000005</v>
      </c>
      <c r="G3644" s="394"/>
      <c r="H3644" s="8" t="s">
        <v>235</v>
      </c>
      <c r="I3644" s="368">
        <f t="shared" si="169"/>
        <v>0</v>
      </c>
      <c r="J3644" s="365">
        <f t="shared" si="171"/>
        <v>0</v>
      </c>
      <c r="K3644" s="369">
        <f t="shared" si="170"/>
        <v>6</v>
      </c>
      <c r="L3644" s="369">
        <f>+IF((C3644&gt;='Resultats - informe'!$E$16)*(C3644&lt;='Resultats - informe'!$G$16),1,0)</f>
        <v>1</v>
      </c>
      <c r="M3644" s="369" cm="1">
        <f t="array" ref="M3644">+_xlfn.IFS((C3644&gt;='Resultats - informe'!$D$26)*(C3644&lt;='Resultats - informe'!$E$26),0,(C3644&gt;='Resultats - informe'!$D$27)*(C3644&lt;='Resultats - informe'!$E$27),0,(C3644&gt;='Resultats - informe'!$D$28)*(C3644&lt;='Resultats - informe'!$E$28),0,(C3644&gt;='Resultats - informe'!$D$29)*(C3644&lt;='Resultats - informe'!$E$29),0,1,1)</f>
        <v>0</v>
      </c>
      <c r="N3644" s="366">
        <f>+VLOOKUP(D3644,'Resultats - informe'!$Y$18:$AG$42,'Introducció dades consum'!K3644+1,0)</f>
        <v>0</v>
      </c>
      <c r="O3644" s="370" cm="1">
        <f t="array" ref="O3644">+_xlfn.SWITCH(MONTH(C3644),1,1,2,1,3,1,4,2,5,2,6,3,7,3,8,3,9,3,10,2,11,2,12,1,2)</f>
        <v>1</v>
      </c>
      <c r="P3644" s="43"/>
    </row>
    <row r="3645" spans="1:16" ht="18" x14ac:dyDescent="0.35">
      <c r="A3645" s="43"/>
      <c r="C3645" s="393"/>
      <c r="E3645" s="394"/>
      <c r="F3645" s="394">
        <v>0.24199999999999999</v>
      </c>
      <c r="G3645" s="394"/>
      <c r="H3645" s="8" t="s">
        <v>235</v>
      </c>
      <c r="I3645" s="368">
        <f t="shared" si="169"/>
        <v>0</v>
      </c>
      <c r="J3645" s="365">
        <f t="shared" si="171"/>
        <v>0</v>
      </c>
      <c r="K3645" s="369">
        <f t="shared" si="170"/>
        <v>6</v>
      </c>
      <c r="L3645" s="369">
        <f>+IF((C3645&gt;='Resultats - informe'!$E$16)*(C3645&lt;='Resultats - informe'!$G$16),1,0)</f>
        <v>1</v>
      </c>
      <c r="M3645" s="369" cm="1">
        <f t="array" ref="M3645">+_xlfn.IFS((C3645&gt;='Resultats - informe'!$D$26)*(C3645&lt;='Resultats - informe'!$E$26),0,(C3645&gt;='Resultats - informe'!$D$27)*(C3645&lt;='Resultats - informe'!$E$27),0,(C3645&gt;='Resultats - informe'!$D$28)*(C3645&lt;='Resultats - informe'!$E$28),0,(C3645&gt;='Resultats - informe'!$D$29)*(C3645&lt;='Resultats - informe'!$E$29),0,1,1)</f>
        <v>0</v>
      </c>
      <c r="N3645" s="366">
        <f>+VLOOKUP(D3645,'Resultats - informe'!$Y$18:$AG$42,'Introducció dades consum'!K3645+1,0)</f>
        <v>0</v>
      </c>
      <c r="O3645" s="370" cm="1">
        <f t="array" ref="O3645">+_xlfn.SWITCH(MONTH(C3645),1,1,2,1,3,1,4,2,5,2,6,3,7,3,8,3,9,3,10,2,11,2,12,1,2)</f>
        <v>1</v>
      </c>
      <c r="P3645" s="43"/>
    </row>
    <row r="3646" spans="1:16" ht="18" x14ac:dyDescent="0.35">
      <c r="A3646" s="43"/>
      <c r="C3646" s="393"/>
      <c r="E3646" s="394"/>
      <c r="F3646" s="394">
        <v>0</v>
      </c>
      <c r="G3646" s="394"/>
      <c r="H3646" s="8" t="s">
        <v>235</v>
      </c>
      <c r="I3646" s="368">
        <f t="shared" si="169"/>
        <v>0</v>
      </c>
      <c r="J3646" s="365">
        <f t="shared" si="171"/>
        <v>0</v>
      </c>
      <c r="K3646" s="369">
        <f t="shared" si="170"/>
        <v>6</v>
      </c>
      <c r="L3646" s="369">
        <f>+IF((C3646&gt;='Resultats - informe'!$E$16)*(C3646&lt;='Resultats - informe'!$G$16),1,0)</f>
        <v>1</v>
      </c>
      <c r="M3646" s="369" cm="1">
        <f t="array" ref="M3646">+_xlfn.IFS((C3646&gt;='Resultats - informe'!$D$26)*(C3646&lt;='Resultats - informe'!$E$26),0,(C3646&gt;='Resultats - informe'!$D$27)*(C3646&lt;='Resultats - informe'!$E$27),0,(C3646&gt;='Resultats - informe'!$D$28)*(C3646&lt;='Resultats - informe'!$E$28),0,(C3646&gt;='Resultats - informe'!$D$29)*(C3646&lt;='Resultats - informe'!$E$29),0,1,1)</f>
        <v>0</v>
      </c>
      <c r="N3646" s="366">
        <f>+VLOOKUP(D3646,'Resultats - informe'!$Y$18:$AG$42,'Introducció dades consum'!K3646+1,0)</f>
        <v>0</v>
      </c>
      <c r="O3646" s="370" cm="1">
        <f t="array" ref="O3646">+_xlfn.SWITCH(MONTH(C3646),1,1,2,1,3,1,4,2,5,2,6,3,7,3,8,3,9,3,10,2,11,2,12,1,2)</f>
        <v>1</v>
      </c>
      <c r="P3646" s="43"/>
    </row>
    <row r="3647" spans="1:16" ht="18" x14ac:dyDescent="0.35">
      <c r="A3647" s="43"/>
      <c r="C3647" s="393"/>
      <c r="E3647" s="394"/>
      <c r="F3647" s="394">
        <v>0</v>
      </c>
      <c r="G3647" s="394"/>
      <c r="H3647" s="8" t="s">
        <v>235</v>
      </c>
      <c r="I3647" s="368">
        <f t="shared" si="169"/>
        <v>0</v>
      </c>
      <c r="J3647" s="365">
        <f t="shared" si="171"/>
        <v>0</v>
      </c>
      <c r="K3647" s="369">
        <f t="shared" si="170"/>
        <v>6</v>
      </c>
      <c r="L3647" s="369">
        <f>+IF((C3647&gt;='Resultats - informe'!$E$16)*(C3647&lt;='Resultats - informe'!$G$16),1,0)</f>
        <v>1</v>
      </c>
      <c r="M3647" s="369" cm="1">
        <f t="array" ref="M3647">+_xlfn.IFS((C3647&gt;='Resultats - informe'!$D$26)*(C3647&lt;='Resultats - informe'!$E$26),0,(C3647&gt;='Resultats - informe'!$D$27)*(C3647&lt;='Resultats - informe'!$E$27),0,(C3647&gt;='Resultats - informe'!$D$28)*(C3647&lt;='Resultats - informe'!$E$28),0,(C3647&gt;='Resultats - informe'!$D$29)*(C3647&lt;='Resultats - informe'!$E$29),0,1,1)</f>
        <v>0</v>
      </c>
      <c r="N3647" s="366">
        <f>+VLOOKUP(D3647,'Resultats - informe'!$Y$18:$AG$42,'Introducció dades consum'!K3647+1,0)</f>
        <v>0</v>
      </c>
      <c r="O3647" s="370" cm="1">
        <f t="array" ref="O3647">+_xlfn.SWITCH(MONTH(C3647),1,1,2,1,3,1,4,2,5,2,6,3,7,3,8,3,9,3,10,2,11,2,12,1,2)</f>
        <v>1</v>
      </c>
      <c r="P3647" s="43"/>
    </row>
    <row r="3648" spans="1:16" ht="18" x14ac:dyDescent="0.35">
      <c r="A3648" s="43"/>
      <c r="C3648" s="393"/>
      <c r="E3648" s="394"/>
      <c r="F3648" s="394">
        <v>0</v>
      </c>
      <c r="G3648" s="394"/>
      <c r="H3648" s="8" t="s">
        <v>235</v>
      </c>
      <c r="I3648" s="368">
        <f t="shared" si="169"/>
        <v>0</v>
      </c>
      <c r="J3648" s="365">
        <f t="shared" si="171"/>
        <v>0</v>
      </c>
      <c r="K3648" s="369">
        <f t="shared" si="170"/>
        <v>6</v>
      </c>
      <c r="L3648" s="369">
        <f>+IF((C3648&gt;='Resultats - informe'!$E$16)*(C3648&lt;='Resultats - informe'!$G$16),1,0)</f>
        <v>1</v>
      </c>
      <c r="M3648" s="369" cm="1">
        <f t="array" ref="M3648">+_xlfn.IFS((C3648&gt;='Resultats - informe'!$D$26)*(C3648&lt;='Resultats - informe'!$E$26),0,(C3648&gt;='Resultats - informe'!$D$27)*(C3648&lt;='Resultats - informe'!$E$27),0,(C3648&gt;='Resultats - informe'!$D$28)*(C3648&lt;='Resultats - informe'!$E$28),0,(C3648&gt;='Resultats - informe'!$D$29)*(C3648&lt;='Resultats - informe'!$E$29),0,1,1)</f>
        <v>0</v>
      </c>
      <c r="N3648" s="366">
        <f>+VLOOKUP(D3648,'Resultats - informe'!$Y$18:$AG$42,'Introducció dades consum'!K3648+1,0)</f>
        <v>0</v>
      </c>
      <c r="O3648" s="370" cm="1">
        <f t="array" ref="O3648">+_xlfn.SWITCH(MONTH(C3648),1,1,2,1,3,1,4,2,5,2,6,3,7,3,8,3,9,3,10,2,11,2,12,1,2)</f>
        <v>1</v>
      </c>
      <c r="P3648" s="43"/>
    </row>
    <row r="3649" spans="1:16" ht="18" x14ac:dyDescent="0.35">
      <c r="A3649" s="43"/>
      <c r="C3649" s="393"/>
      <c r="E3649" s="394"/>
      <c r="F3649" s="394">
        <v>0</v>
      </c>
      <c r="G3649" s="394"/>
      <c r="H3649" s="8" t="s">
        <v>235</v>
      </c>
      <c r="I3649" s="368">
        <f t="shared" si="169"/>
        <v>0</v>
      </c>
      <c r="J3649" s="365">
        <f t="shared" si="171"/>
        <v>0</v>
      </c>
      <c r="K3649" s="369">
        <f t="shared" si="170"/>
        <v>6</v>
      </c>
      <c r="L3649" s="369">
        <f>+IF((C3649&gt;='Resultats - informe'!$E$16)*(C3649&lt;='Resultats - informe'!$G$16),1,0)</f>
        <v>1</v>
      </c>
      <c r="M3649" s="369" cm="1">
        <f t="array" ref="M3649">+_xlfn.IFS((C3649&gt;='Resultats - informe'!$D$26)*(C3649&lt;='Resultats - informe'!$E$26),0,(C3649&gt;='Resultats - informe'!$D$27)*(C3649&lt;='Resultats - informe'!$E$27),0,(C3649&gt;='Resultats - informe'!$D$28)*(C3649&lt;='Resultats - informe'!$E$28),0,(C3649&gt;='Resultats - informe'!$D$29)*(C3649&lt;='Resultats - informe'!$E$29),0,1,1)</f>
        <v>0</v>
      </c>
      <c r="N3649" s="366">
        <f>+VLOOKUP(D3649,'Resultats - informe'!$Y$18:$AG$42,'Introducció dades consum'!K3649+1,0)</f>
        <v>0</v>
      </c>
      <c r="O3649" s="370" cm="1">
        <f t="array" ref="O3649">+_xlfn.SWITCH(MONTH(C3649),1,1,2,1,3,1,4,2,5,2,6,3,7,3,8,3,9,3,10,2,11,2,12,1,2)</f>
        <v>1</v>
      </c>
      <c r="P3649" s="43"/>
    </row>
    <row r="3650" spans="1:16" ht="18" x14ac:dyDescent="0.35">
      <c r="A3650" s="43"/>
      <c r="C3650" s="393"/>
      <c r="E3650" s="394"/>
      <c r="F3650" s="394">
        <v>0</v>
      </c>
      <c r="G3650" s="394"/>
      <c r="H3650" s="8" t="s">
        <v>61</v>
      </c>
      <c r="I3650" s="368">
        <f t="shared" si="169"/>
        <v>0</v>
      </c>
      <c r="J3650" s="365">
        <f t="shared" si="171"/>
        <v>0</v>
      </c>
      <c r="K3650" s="369">
        <f t="shared" si="170"/>
        <v>6</v>
      </c>
      <c r="L3650" s="369">
        <f>+IF((C3650&gt;='Resultats - informe'!$E$16)*(C3650&lt;='Resultats - informe'!$G$16),1,0)</f>
        <v>1</v>
      </c>
      <c r="M3650" s="369" cm="1">
        <f t="array" ref="M3650">+_xlfn.IFS((C3650&gt;='Resultats - informe'!$D$26)*(C3650&lt;='Resultats - informe'!$E$26),0,(C3650&gt;='Resultats - informe'!$D$27)*(C3650&lt;='Resultats - informe'!$E$27),0,(C3650&gt;='Resultats - informe'!$D$28)*(C3650&lt;='Resultats - informe'!$E$28),0,(C3650&gt;='Resultats - informe'!$D$29)*(C3650&lt;='Resultats - informe'!$E$29),0,1,1)</f>
        <v>0</v>
      </c>
      <c r="N3650" s="366">
        <f>+VLOOKUP(D3650,'Resultats - informe'!$Y$18:$AG$42,'Introducció dades consum'!K3650+1,0)</f>
        <v>0</v>
      </c>
      <c r="O3650" s="370" cm="1">
        <f t="array" ref="O3650">+_xlfn.SWITCH(MONTH(C3650),1,1,2,1,3,1,4,2,5,2,6,3,7,3,8,3,9,3,10,2,11,2,12,1,2)</f>
        <v>1</v>
      </c>
      <c r="P3650" s="43"/>
    </row>
    <row r="3651" spans="1:16" ht="18" x14ac:dyDescent="0.35">
      <c r="A3651" s="43"/>
      <c r="C3651" s="393"/>
      <c r="E3651" s="394"/>
      <c r="F3651" s="394">
        <v>0</v>
      </c>
      <c r="G3651" s="394"/>
      <c r="H3651" s="8" t="s">
        <v>61</v>
      </c>
      <c r="I3651" s="368">
        <f t="shared" si="169"/>
        <v>0</v>
      </c>
      <c r="J3651" s="365">
        <f t="shared" si="171"/>
        <v>0</v>
      </c>
      <c r="K3651" s="369">
        <f t="shared" si="170"/>
        <v>6</v>
      </c>
      <c r="L3651" s="369">
        <f>+IF((C3651&gt;='Resultats - informe'!$E$16)*(C3651&lt;='Resultats - informe'!$G$16),1,0)</f>
        <v>1</v>
      </c>
      <c r="M3651" s="369" cm="1">
        <f t="array" ref="M3651">+_xlfn.IFS((C3651&gt;='Resultats - informe'!$D$26)*(C3651&lt;='Resultats - informe'!$E$26),0,(C3651&gt;='Resultats - informe'!$D$27)*(C3651&lt;='Resultats - informe'!$E$27),0,(C3651&gt;='Resultats - informe'!$D$28)*(C3651&lt;='Resultats - informe'!$E$28),0,(C3651&gt;='Resultats - informe'!$D$29)*(C3651&lt;='Resultats - informe'!$E$29),0,1,1)</f>
        <v>0</v>
      </c>
      <c r="N3651" s="366">
        <f>+VLOOKUP(D3651,'Resultats - informe'!$Y$18:$AG$42,'Introducció dades consum'!K3651+1,0)</f>
        <v>0</v>
      </c>
      <c r="O3651" s="370" cm="1">
        <f t="array" ref="O3651">+_xlfn.SWITCH(MONTH(C3651),1,1,2,1,3,1,4,2,5,2,6,3,7,3,8,3,9,3,10,2,11,2,12,1,2)</f>
        <v>1</v>
      </c>
      <c r="P3651" s="43"/>
    </row>
    <row r="3652" spans="1:16" ht="18" x14ac:dyDescent="0.35">
      <c r="A3652" s="43"/>
      <c r="C3652" s="393"/>
      <c r="E3652" s="394"/>
      <c r="F3652" s="394">
        <v>0</v>
      </c>
      <c r="G3652" s="394"/>
      <c r="H3652" s="8" t="s">
        <v>235</v>
      </c>
      <c r="I3652" s="368">
        <f t="shared" si="169"/>
        <v>0</v>
      </c>
      <c r="J3652" s="365">
        <f t="shared" si="171"/>
        <v>0</v>
      </c>
      <c r="K3652" s="369">
        <f t="shared" si="170"/>
        <v>6</v>
      </c>
      <c r="L3652" s="369">
        <f>+IF((C3652&gt;='Resultats - informe'!$E$16)*(C3652&lt;='Resultats - informe'!$G$16),1,0)</f>
        <v>1</v>
      </c>
      <c r="M3652" s="369" cm="1">
        <f t="array" ref="M3652">+_xlfn.IFS((C3652&gt;='Resultats - informe'!$D$26)*(C3652&lt;='Resultats - informe'!$E$26),0,(C3652&gt;='Resultats - informe'!$D$27)*(C3652&lt;='Resultats - informe'!$E$27),0,(C3652&gt;='Resultats - informe'!$D$28)*(C3652&lt;='Resultats - informe'!$E$28),0,(C3652&gt;='Resultats - informe'!$D$29)*(C3652&lt;='Resultats - informe'!$E$29),0,1,1)</f>
        <v>0</v>
      </c>
      <c r="N3652" s="366">
        <f>+VLOOKUP(D3652,'Resultats - informe'!$Y$18:$AG$42,'Introducció dades consum'!K3652+1,0)</f>
        <v>0</v>
      </c>
      <c r="O3652" s="370" cm="1">
        <f t="array" ref="O3652">+_xlfn.SWITCH(MONTH(C3652),1,1,2,1,3,1,4,2,5,2,6,3,7,3,8,3,9,3,10,2,11,2,12,1,2)</f>
        <v>1</v>
      </c>
      <c r="P3652" s="43"/>
    </row>
    <row r="3653" spans="1:16" ht="18" x14ac:dyDescent="0.35">
      <c r="A3653" s="43"/>
      <c r="C3653" s="393"/>
      <c r="E3653" s="394"/>
      <c r="F3653" s="394">
        <v>0</v>
      </c>
      <c r="G3653" s="394"/>
      <c r="H3653" s="8" t="s">
        <v>235</v>
      </c>
      <c r="I3653" s="368">
        <f t="shared" si="169"/>
        <v>0</v>
      </c>
      <c r="J3653" s="365">
        <f t="shared" si="171"/>
        <v>0</v>
      </c>
      <c r="K3653" s="369">
        <f t="shared" si="170"/>
        <v>6</v>
      </c>
      <c r="L3653" s="369">
        <f>+IF((C3653&gt;='Resultats - informe'!$E$16)*(C3653&lt;='Resultats - informe'!$G$16),1,0)</f>
        <v>1</v>
      </c>
      <c r="M3653" s="369" cm="1">
        <f t="array" ref="M3653">+_xlfn.IFS((C3653&gt;='Resultats - informe'!$D$26)*(C3653&lt;='Resultats - informe'!$E$26),0,(C3653&gt;='Resultats - informe'!$D$27)*(C3653&lt;='Resultats - informe'!$E$27),0,(C3653&gt;='Resultats - informe'!$D$28)*(C3653&lt;='Resultats - informe'!$E$28),0,(C3653&gt;='Resultats - informe'!$D$29)*(C3653&lt;='Resultats - informe'!$E$29),0,1,1)</f>
        <v>0</v>
      </c>
      <c r="N3653" s="366">
        <f>+VLOOKUP(D3653,'Resultats - informe'!$Y$18:$AG$42,'Introducció dades consum'!K3653+1,0)</f>
        <v>0</v>
      </c>
      <c r="O3653" s="370" cm="1">
        <f t="array" ref="O3653">+_xlfn.SWITCH(MONTH(C3653),1,1,2,1,3,1,4,2,5,2,6,3,7,3,8,3,9,3,10,2,11,2,12,1,2)</f>
        <v>1</v>
      </c>
      <c r="P3653" s="43"/>
    </row>
    <row r="3654" spans="1:16" ht="18" x14ac:dyDescent="0.35">
      <c r="A3654" s="43"/>
      <c r="C3654" s="393"/>
      <c r="E3654" s="394"/>
      <c r="F3654" s="394">
        <v>0</v>
      </c>
      <c r="G3654" s="394"/>
      <c r="H3654" s="8" t="s">
        <v>235</v>
      </c>
      <c r="I3654" s="368">
        <f t="shared" ref="I3654:I3717" si="172">+E3654+G3654</f>
        <v>0</v>
      </c>
      <c r="J3654" s="365">
        <f t="shared" si="171"/>
        <v>0</v>
      </c>
      <c r="K3654" s="369">
        <f t="shared" ref="K3654:K3717" si="173">+WEEKDAY(C3654,2)</f>
        <v>6</v>
      </c>
      <c r="L3654" s="369">
        <f>+IF((C3654&gt;='Resultats - informe'!$E$16)*(C3654&lt;='Resultats - informe'!$G$16),1,0)</f>
        <v>1</v>
      </c>
      <c r="M3654" s="369" cm="1">
        <f t="array" ref="M3654">+_xlfn.IFS((C3654&gt;='Resultats - informe'!$D$26)*(C3654&lt;='Resultats - informe'!$E$26),0,(C3654&gt;='Resultats - informe'!$D$27)*(C3654&lt;='Resultats - informe'!$E$27),0,(C3654&gt;='Resultats - informe'!$D$28)*(C3654&lt;='Resultats - informe'!$E$28),0,(C3654&gt;='Resultats - informe'!$D$29)*(C3654&lt;='Resultats - informe'!$E$29),0,1,1)</f>
        <v>0</v>
      </c>
      <c r="N3654" s="366">
        <f>+VLOOKUP(D3654,'Resultats - informe'!$Y$18:$AG$42,'Introducció dades consum'!K3654+1,0)</f>
        <v>0</v>
      </c>
      <c r="O3654" s="370" cm="1">
        <f t="array" ref="O3654">+_xlfn.SWITCH(MONTH(C3654),1,1,2,1,3,1,4,2,5,2,6,3,7,3,8,3,9,3,10,2,11,2,12,1,2)</f>
        <v>1</v>
      </c>
      <c r="P3654" s="43"/>
    </row>
    <row r="3655" spans="1:16" ht="18" x14ac:dyDescent="0.35">
      <c r="A3655" s="43"/>
      <c r="C3655" s="393"/>
      <c r="E3655" s="394"/>
      <c r="F3655" s="394">
        <v>0</v>
      </c>
      <c r="G3655" s="394"/>
      <c r="H3655" s="8" t="s">
        <v>235</v>
      </c>
      <c r="I3655" s="368">
        <f t="shared" si="172"/>
        <v>0</v>
      </c>
      <c r="J3655" s="365">
        <f t="shared" si="171"/>
        <v>0</v>
      </c>
      <c r="K3655" s="369">
        <f t="shared" si="173"/>
        <v>6</v>
      </c>
      <c r="L3655" s="369">
        <f>+IF((C3655&gt;='Resultats - informe'!$E$16)*(C3655&lt;='Resultats - informe'!$G$16),1,0)</f>
        <v>1</v>
      </c>
      <c r="M3655" s="369" cm="1">
        <f t="array" ref="M3655">+_xlfn.IFS((C3655&gt;='Resultats - informe'!$D$26)*(C3655&lt;='Resultats - informe'!$E$26),0,(C3655&gt;='Resultats - informe'!$D$27)*(C3655&lt;='Resultats - informe'!$E$27),0,(C3655&gt;='Resultats - informe'!$D$28)*(C3655&lt;='Resultats - informe'!$E$28),0,(C3655&gt;='Resultats - informe'!$D$29)*(C3655&lt;='Resultats - informe'!$E$29),0,1,1)</f>
        <v>0</v>
      </c>
      <c r="N3655" s="366">
        <f>+VLOOKUP(D3655,'Resultats - informe'!$Y$18:$AG$42,'Introducció dades consum'!K3655+1,0)</f>
        <v>0</v>
      </c>
      <c r="O3655" s="370" cm="1">
        <f t="array" ref="O3655">+_xlfn.SWITCH(MONTH(C3655),1,1,2,1,3,1,4,2,5,2,6,3,7,3,8,3,9,3,10,2,11,2,12,1,2)</f>
        <v>1</v>
      </c>
      <c r="P3655" s="43"/>
    </row>
    <row r="3656" spans="1:16" ht="18" x14ac:dyDescent="0.35">
      <c r="A3656" s="43"/>
      <c r="C3656" s="393"/>
      <c r="E3656" s="394"/>
      <c r="F3656" s="394">
        <v>0</v>
      </c>
      <c r="G3656" s="394"/>
      <c r="H3656" s="8" t="s">
        <v>235</v>
      </c>
      <c r="I3656" s="368">
        <f t="shared" si="172"/>
        <v>0</v>
      </c>
      <c r="J3656" s="365">
        <f t="shared" si="171"/>
        <v>0</v>
      </c>
      <c r="K3656" s="369">
        <f t="shared" si="173"/>
        <v>6</v>
      </c>
      <c r="L3656" s="369">
        <f>+IF((C3656&gt;='Resultats - informe'!$E$16)*(C3656&lt;='Resultats - informe'!$G$16),1,0)</f>
        <v>1</v>
      </c>
      <c r="M3656" s="369" cm="1">
        <f t="array" ref="M3656">+_xlfn.IFS((C3656&gt;='Resultats - informe'!$D$26)*(C3656&lt;='Resultats - informe'!$E$26),0,(C3656&gt;='Resultats - informe'!$D$27)*(C3656&lt;='Resultats - informe'!$E$27),0,(C3656&gt;='Resultats - informe'!$D$28)*(C3656&lt;='Resultats - informe'!$E$28),0,(C3656&gt;='Resultats - informe'!$D$29)*(C3656&lt;='Resultats - informe'!$E$29),0,1,1)</f>
        <v>0</v>
      </c>
      <c r="N3656" s="366">
        <f>+VLOOKUP(D3656,'Resultats - informe'!$Y$18:$AG$42,'Introducció dades consum'!K3656+1,0)</f>
        <v>0</v>
      </c>
      <c r="O3656" s="370" cm="1">
        <f t="array" ref="O3656">+_xlfn.SWITCH(MONTH(C3656),1,1,2,1,3,1,4,2,5,2,6,3,7,3,8,3,9,3,10,2,11,2,12,1,2)</f>
        <v>1</v>
      </c>
      <c r="P3656" s="43"/>
    </row>
    <row r="3657" spans="1:16" ht="18" x14ac:dyDescent="0.35">
      <c r="A3657" s="43"/>
      <c r="C3657" s="393"/>
      <c r="E3657" s="394"/>
      <c r="F3657" s="394">
        <v>0.24399999999999999</v>
      </c>
      <c r="G3657" s="394"/>
      <c r="H3657" s="8" t="s">
        <v>235</v>
      </c>
      <c r="I3657" s="368">
        <f t="shared" si="172"/>
        <v>0</v>
      </c>
      <c r="J3657" s="365">
        <f t="shared" si="171"/>
        <v>0</v>
      </c>
      <c r="K3657" s="369">
        <f t="shared" si="173"/>
        <v>6</v>
      </c>
      <c r="L3657" s="369">
        <f>+IF((C3657&gt;='Resultats - informe'!$E$16)*(C3657&lt;='Resultats - informe'!$G$16),1,0)</f>
        <v>1</v>
      </c>
      <c r="M3657" s="369" cm="1">
        <f t="array" ref="M3657">+_xlfn.IFS((C3657&gt;='Resultats - informe'!$D$26)*(C3657&lt;='Resultats - informe'!$E$26),0,(C3657&gt;='Resultats - informe'!$D$27)*(C3657&lt;='Resultats - informe'!$E$27),0,(C3657&gt;='Resultats - informe'!$D$28)*(C3657&lt;='Resultats - informe'!$E$28),0,(C3657&gt;='Resultats - informe'!$D$29)*(C3657&lt;='Resultats - informe'!$E$29),0,1,1)</f>
        <v>0</v>
      </c>
      <c r="N3657" s="366">
        <f>+VLOOKUP(D3657,'Resultats - informe'!$Y$18:$AG$42,'Introducció dades consum'!K3657+1,0)</f>
        <v>0</v>
      </c>
      <c r="O3657" s="370" cm="1">
        <f t="array" ref="O3657">+_xlfn.SWITCH(MONTH(C3657),1,1,2,1,3,1,4,2,5,2,6,3,7,3,8,3,9,3,10,2,11,2,12,1,2)</f>
        <v>1</v>
      </c>
      <c r="P3657" s="43"/>
    </row>
    <row r="3658" spans="1:16" ht="18" x14ac:dyDescent="0.35">
      <c r="A3658" s="43"/>
      <c r="C3658" s="393"/>
      <c r="E3658" s="394"/>
      <c r="F3658" s="394">
        <v>0.80700000000000005</v>
      </c>
      <c r="G3658" s="394"/>
      <c r="H3658" s="8" t="s">
        <v>235</v>
      </c>
      <c r="I3658" s="368">
        <f t="shared" si="172"/>
        <v>0</v>
      </c>
      <c r="J3658" s="365">
        <f t="shared" si="171"/>
        <v>0</v>
      </c>
      <c r="K3658" s="369">
        <f t="shared" si="173"/>
        <v>6</v>
      </c>
      <c r="L3658" s="369">
        <f>+IF((C3658&gt;='Resultats - informe'!$E$16)*(C3658&lt;='Resultats - informe'!$G$16),1,0)</f>
        <v>1</v>
      </c>
      <c r="M3658" s="369" cm="1">
        <f t="array" ref="M3658">+_xlfn.IFS((C3658&gt;='Resultats - informe'!$D$26)*(C3658&lt;='Resultats - informe'!$E$26),0,(C3658&gt;='Resultats - informe'!$D$27)*(C3658&lt;='Resultats - informe'!$E$27),0,(C3658&gt;='Resultats - informe'!$D$28)*(C3658&lt;='Resultats - informe'!$E$28),0,(C3658&gt;='Resultats - informe'!$D$29)*(C3658&lt;='Resultats - informe'!$E$29),0,1,1)</f>
        <v>0</v>
      </c>
      <c r="N3658" s="366">
        <f>+VLOOKUP(D3658,'Resultats - informe'!$Y$18:$AG$42,'Introducció dades consum'!K3658+1,0)</f>
        <v>0</v>
      </c>
      <c r="O3658" s="370" cm="1">
        <f t="array" ref="O3658">+_xlfn.SWITCH(MONTH(C3658),1,1,2,1,3,1,4,2,5,2,6,3,7,3,8,3,9,3,10,2,11,2,12,1,2)</f>
        <v>1</v>
      </c>
      <c r="P3658" s="43"/>
    </row>
    <row r="3659" spans="1:16" ht="18" x14ac:dyDescent="0.35">
      <c r="A3659" s="43"/>
      <c r="C3659" s="393"/>
      <c r="E3659" s="394"/>
      <c r="F3659" s="394">
        <v>0</v>
      </c>
      <c r="G3659" s="394"/>
      <c r="H3659" s="8" t="s">
        <v>61</v>
      </c>
      <c r="I3659" s="368">
        <f t="shared" si="172"/>
        <v>0</v>
      </c>
      <c r="J3659" s="365">
        <f t="shared" si="171"/>
        <v>0</v>
      </c>
      <c r="K3659" s="369">
        <f t="shared" si="173"/>
        <v>6</v>
      </c>
      <c r="L3659" s="369">
        <f>+IF((C3659&gt;='Resultats - informe'!$E$16)*(C3659&lt;='Resultats - informe'!$G$16),1,0)</f>
        <v>1</v>
      </c>
      <c r="M3659" s="369" cm="1">
        <f t="array" ref="M3659">+_xlfn.IFS((C3659&gt;='Resultats - informe'!$D$26)*(C3659&lt;='Resultats - informe'!$E$26),0,(C3659&gt;='Resultats - informe'!$D$27)*(C3659&lt;='Resultats - informe'!$E$27),0,(C3659&gt;='Resultats - informe'!$D$28)*(C3659&lt;='Resultats - informe'!$E$28),0,(C3659&gt;='Resultats - informe'!$D$29)*(C3659&lt;='Resultats - informe'!$E$29),0,1,1)</f>
        <v>0</v>
      </c>
      <c r="N3659" s="366">
        <f>+VLOOKUP(D3659,'Resultats - informe'!$Y$18:$AG$42,'Introducció dades consum'!K3659+1,0)</f>
        <v>0</v>
      </c>
      <c r="O3659" s="370" cm="1">
        <f t="array" ref="O3659">+_xlfn.SWITCH(MONTH(C3659),1,1,2,1,3,1,4,2,5,2,6,3,7,3,8,3,9,3,10,2,11,2,12,1,2)</f>
        <v>1</v>
      </c>
      <c r="P3659" s="43"/>
    </row>
    <row r="3660" spans="1:16" ht="18" x14ac:dyDescent="0.35">
      <c r="A3660" s="43"/>
      <c r="C3660" s="393"/>
      <c r="E3660" s="394"/>
      <c r="F3660" s="394">
        <v>0</v>
      </c>
      <c r="G3660" s="394"/>
      <c r="H3660" s="8" t="s">
        <v>61</v>
      </c>
      <c r="I3660" s="368">
        <f t="shared" si="172"/>
        <v>0</v>
      </c>
      <c r="J3660" s="365">
        <f t="shared" si="171"/>
        <v>0</v>
      </c>
      <c r="K3660" s="369">
        <f t="shared" si="173"/>
        <v>6</v>
      </c>
      <c r="L3660" s="369">
        <f>+IF((C3660&gt;='Resultats - informe'!$E$16)*(C3660&lt;='Resultats - informe'!$G$16),1,0)</f>
        <v>1</v>
      </c>
      <c r="M3660" s="369" cm="1">
        <f t="array" ref="M3660">+_xlfn.IFS((C3660&gt;='Resultats - informe'!$D$26)*(C3660&lt;='Resultats - informe'!$E$26),0,(C3660&gt;='Resultats - informe'!$D$27)*(C3660&lt;='Resultats - informe'!$E$27),0,(C3660&gt;='Resultats - informe'!$D$28)*(C3660&lt;='Resultats - informe'!$E$28),0,(C3660&gt;='Resultats - informe'!$D$29)*(C3660&lt;='Resultats - informe'!$E$29),0,1,1)</f>
        <v>0</v>
      </c>
      <c r="N3660" s="366">
        <f>+VLOOKUP(D3660,'Resultats - informe'!$Y$18:$AG$42,'Introducció dades consum'!K3660+1,0)</f>
        <v>0</v>
      </c>
      <c r="O3660" s="370" cm="1">
        <f t="array" ref="O3660">+_xlfn.SWITCH(MONTH(C3660),1,1,2,1,3,1,4,2,5,2,6,3,7,3,8,3,9,3,10,2,11,2,12,1,2)</f>
        <v>1</v>
      </c>
      <c r="P3660" s="43"/>
    </row>
    <row r="3661" spans="1:16" ht="18" x14ac:dyDescent="0.35">
      <c r="A3661" s="43"/>
      <c r="C3661" s="393"/>
      <c r="E3661" s="394"/>
      <c r="F3661" s="394">
        <v>0</v>
      </c>
      <c r="G3661" s="394"/>
      <c r="H3661" s="8" t="s">
        <v>61</v>
      </c>
      <c r="I3661" s="368">
        <f t="shared" si="172"/>
        <v>0</v>
      </c>
      <c r="J3661" s="365">
        <f t="shared" si="171"/>
        <v>0</v>
      </c>
      <c r="K3661" s="369">
        <f t="shared" si="173"/>
        <v>6</v>
      </c>
      <c r="L3661" s="369">
        <f>+IF((C3661&gt;='Resultats - informe'!$E$16)*(C3661&lt;='Resultats - informe'!$G$16),1,0)</f>
        <v>1</v>
      </c>
      <c r="M3661" s="369" cm="1">
        <f t="array" ref="M3661">+_xlfn.IFS((C3661&gt;='Resultats - informe'!$D$26)*(C3661&lt;='Resultats - informe'!$E$26),0,(C3661&gt;='Resultats - informe'!$D$27)*(C3661&lt;='Resultats - informe'!$E$27),0,(C3661&gt;='Resultats - informe'!$D$28)*(C3661&lt;='Resultats - informe'!$E$28),0,(C3661&gt;='Resultats - informe'!$D$29)*(C3661&lt;='Resultats - informe'!$E$29),0,1,1)</f>
        <v>0</v>
      </c>
      <c r="N3661" s="366">
        <f>+VLOOKUP(D3661,'Resultats - informe'!$Y$18:$AG$42,'Introducció dades consum'!K3661+1,0)</f>
        <v>0</v>
      </c>
      <c r="O3661" s="370" cm="1">
        <f t="array" ref="O3661">+_xlfn.SWITCH(MONTH(C3661),1,1,2,1,3,1,4,2,5,2,6,3,7,3,8,3,9,3,10,2,11,2,12,1,2)</f>
        <v>1</v>
      </c>
      <c r="P3661" s="43"/>
    </row>
    <row r="3662" spans="1:16" ht="18" x14ac:dyDescent="0.35">
      <c r="A3662" s="43"/>
      <c r="C3662" s="393"/>
      <c r="E3662" s="394"/>
      <c r="F3662" s="394">
        <v>1.0469999999999999</v>
      </c>
      <c r="G3662" s="394"/>
      <c r="H3662" s="8" t="s">
        <v>61</v>
      </c>
      <c r="I3662" s="368">
        <f t="shared" si="172"/>
        <v>0</v>
      </c>
      <c r="J3662" s="365">
        <f t="shared" si="171"/>
        <v>0</v>
      </c>
      <c r="K3662" s="369">
        <f t="shared" si="173"/>
        <v>6</v>
      </c>
      <c r="L3662" s="369">
        <f>+IF((C3662&gt;='Resultats - informe'!$E$16)*(C3662&lt;='Resultats - informe'!$G$16),1,0)</f>
        <v>1</v>
      </c>
      <c r="M3662" s="369" cm="1">
        <f t="array" ref="M3662">+_xlfn.IFS((C3662&gt;='Resultats - informe'!$D$26)*(C3662&lt;='Resultats - informe'!$E$26),0,(C3662&gt;='Resultats - informe'!$D$27)*(C3662&lt;='Resultats - informe'!$E$27),0,(C3662&gt;='Resultats - informe'!$D$28)*(C3662&lt;='Resultats - informe'!$E$28),0,(C3662&gt;='Resultats - informe'!$D$29)*(C3662&lt;='Resultats - informe'!$E$29),0,1,1)</f>
        <v>0</v>
      </c>
      <c r="N3662" s="366">
        <f>+VLOOKUP(D3662,'Resultats - informe'!$Y$18:$AG$42,'Introducció dades consum'!K3662+1,0)</f>
        <v>0</v>
      </c>
      <c r="O3662" s="370" cm="1">
        <f t="array" ref="O3662">+_xlfn.SWITCH(MONTH(C3662),1,1,2,1,3,1,4,2,5,2,6,3,7,3,8,3,9,3,10,2,11,2,12,1,2)</f>
        <v>1</v>
      </c>
      <c r="P3662" s="43"/>
    </row>
    <row r="3663" spans="1:16" ht="18" x14ac:dyDescent="0.35">
      <c r="A3663" s="43"/>
      <c r="C3663" s="393"/>
      <c r="E3663" s="394"/>
      <c r="F3663" s="394">
        <v>1.7609999999999999</v>
      </c>
      <c r="G3663" s="394"/>
      <c r="H3663" s="8" t="s">
        <v>61</v>
      </c>
      <c r="I3663" s="368">
        <f t="shared" si="172"/>
        <v>0</v>
      </c>
      <c r="J3663" s="365">
        <f t="shared" si="171"/>
        <v>0</v>
      </c>
      <c r="K3663" s="369">
        <f t="shared" si="173"/>
        <v>6</v>
      </c>
      <c r="L3663" s="369">
        <f>+IF((C3663&gt;='Resultats - informe'!$E$16)*(C3663&lt;='Resultats - informe'!$G$16),1,0)</f>
        <v>1</v>
      </c>
      <c r="M3663" s="369" cm="1">
        <f t="array" ref="M3663">+_xlfn.IFS((C3663&gt;='Resultats - informe'!$D$26)*(C3663&lt;='Resultats - informe'!$E$26),0,(C3663&gt;='Resultats - informe'!$D$27)*(C3663&lt;='Resultats - informe'!$E$27),0,(C3663&gt;='Resultats - informe'!$D$28)*(C3663&lt;='Resultats - informe'!$E$28),0,(C3663&gt;='Resultats - informe'!$D$29)*(C3663&lt;='Resultats - informe'!$E$29),0,1,1)</f>
        <v>0</v>
      </c>
      <c r="N3663" s="366">
        <f>+VLOOKUP(D3663,'Resultats - informe'!$Y$18:$AG$42,'Introducció dades consum'!K3663+1,0)</f>
        <v>0</v>
      </c>
      <c r="O3663" s="370" cm="1">
        <f t="array" ref="O3663">+_xlfn.SWITCH(MONTH(C3663),1,1,2,1,3,1,4,2,5,2,6,3,7,3,8,3,9,3,10,2,11,2,12,1,2)</f>
        <v>1</v>
      </c>
      <c r="P3663" s="43"/>
    </row>
    <row r="3664" spans="1:16" ht="18" x14ac:dyDescent="0.35">
      <c r="A3664" s="43"/>
      <c r="C3664" s="393"/>
      <c r="E3664" s="394"/>
      <c r="F3664" s="394">
        <v>0.99399999999999999</v>
      </c>
      <c r="G3664" s="394"/>
      <c r="H3664" s="8" t="s">
        <v>61</v>
      </c>
      <c r="I3664" s="368">
        <f t="shared" si="172"/>
        <v>0</v>
      </c>
      <c r="J3664" s="365">
        <f t="shared" si="171"/>
        <v>0</v>
      </c>
      <c r="K3664" s="369">
        <f t="shared" si="173"/>
        <v>6</v>
      </c>
      <c r="L3664" s="369">
        <f>+IF((C3664&gt;='Resultats - informe'!$E$16)*(C3664&lt;='Resultats - informe'!$G$16),1,0)</f>
        <v>1</v>
      </c>
      <c r="M3664" s="369" cm="1">
        <f t="array" ref="M3664">+_xlfn.IFS((C3664&gt;='Resultats - informe'!$D$26)*(C3664&lt;='Resultats - informe'!$E$26),0,(C3664&gt;='Resultats - informe'!$D$27)*(C3664&lt;='Resultats - informe'!$E$27),0,(C3664&gt;='Resultats - informe'!$D$28)*(C3664&lt;='Resultats - informe'!$E$28),0,(C3664&gt;='Resultats - informe'!$D$29)*(C3664&lt;='Resultats - informe'!$E$29),0,1,1)</f>
        <v>0</v>
      </c>
      <c r="N3664" s="366">
        <f>+VLOOKUP(D3664,'Resultats - informe'!$Y$18:$AG$42,'Introducció dades consum'!K3664+1,0)</f>
        <v>0</v>
      </c>
      <c r="O3664" s="370" cm="1">
        <f t="array" ref="O3664">+_xlfn.SWITCH(MONTH(C3664),1,1,2,1,3,1,4,2,5,2,6,3,7,3,8,3,9,3,10,2,11,2,12,1,2)</f>
        <v>1</v>
      </c>
      <c r="P3664" s="43"/>
    </row>
    <row r="3665" spans="1:16" ht="18" x14ac:dyDescent="0.35">
      <c r="A3665" s="43"/>
      <c r="C3665" s="393"/>
      <c r="E3665" s="394"/>
      <c r="F3665" s="394">
        <v>0.374</v>
      </c>
      <c r="G3665" s="394"/>
      <c r="H3665" s="8" t="s">
        <v>61</v>
      </c>
      <c r="I3665" s="368">
        <f t="shared" si="172"/>
        <v>0</v>
      </c>
      <c r="J3665" s="365">
        <f t="shared" si="171"/>
        <v>0</v>
      </c>
      <c r="K3665" s="369">
        <f t="shared" si="173"/>
        <v>6</v>
      </c>
      <c r="L3665" s="369">
        <f>+IF((C3665&gt;='Resultats - informe'!$E$16)*(C3665&lt;='Resultats - informe'!$G$16),1,0)</f>
        <v>1</v>
      </c>
      <c r="M3665" s="369" cm="1">
        <f t="array" ref="M3665">+_xlfn.IFS((C3665&gt;='Resultats - informe'!$D$26)*(C3665&lt;='Resultats - informe'!$E$26),0,(C3665&gt;='Resultats - informe'!$D$27)*(C3665&lt;='Resultats - informe'!$E$27),0,(C3665&gt;='Resultats - informe'!$D$28)*(C3665&lt;='Resultats - informe'!$E$28),0,(C3665&gt;='Resultats - informe'!$D$29)*(C3665&lt;='Resultats - informe'!$E$29),0,1,1)</f>
        <v>0</v>
      </c>
      <c r="N3665" s="366">
        <f>+VLOOKUP(D3665,'Resultats - informe'!$Y$18:$AG$42,'Introducció dades consum'!K3665+1,0)</f>
        <v>0</v>
      </c>
      <c r="O3665" s="370" cm="1">
        <f t="array" ref="O3665">+_xlfn.SWITCH(MONTH(C3665),1,1,2,1,3,1,4,2,5,2,6,3,7,3,8,3,9,3,10,2,11,2,12,1,2)</f>
        <v>1</v>
      </c>
      <c r="P3665" s="43"/>
    </row>
    <row r="3666" spans="1:16" ht="18" x14ac:dyDescent="0.35">
      <c r="A3666" s="43"/>
      <c r="C3666" s="393"/>
      <c r="E3666" s="394"/>
      <c r="F3666" s="394">
        <v>0</v>
      </c>
      <c r="G3666" s="394"/>
      <c r="H3666" s="8" t="s">
        <v>61</v>
      </c>
      <c r="I3666" s="368">
        <f t="shared" si="172"/>
        <v>0</v>
      </c>
      <c r="J3666" s="365">
        <f t="shared" si="171"/>
        <v>0</v>
      </c>
      <c r="K3666" s="369">
        <f t="shared" si="173"/>
        <v>6</v>
      </c>
      <c r="L3666" s="369">
        <f>+IF((C3666&gt;='Resultats - informe'!$E$16)*(C3666&lt;='Resultats - informe'!$G$16),1,0)</f>
        <v>1</v>
      </c>
      <c r="M3666" s="369" cm="1">
        <f t="array" ref="M3666">+_xlfn.IFS((C3666&gt;='Resultats - informe'!$D$26)*(C3666&lt;='Resultats - informe'!$E$26),0,(C3666&gt;='Resultats - informe'!$D$27)*(C3666&lt;='Resultats - informe'!$E$27),0,(C3666&gt;='Resultats - informe'!$D$28)*(C3666&lt;='Resultats - informe'!$E$28),0,(C3666&gt;='Resultats - informe'!$D$29)*(C3666&lt;='Resultats - informe'!$E$29),0,1,1)</f>
        <v>0</v>
      </c>
      <c r="N3666" s="366">
        <f>+VLOOKUP(D3666,'Resultats - informe'!$Y$18:$AG$42,'Introducció dades consum'!K3666+1,0)</f>
        <v>0</v>
      </c>
      <c r="O3666" s="370" cm="1">
        <f t="array" ref="O3666">+_xlfn.SWITCH(MONTH(C3666),1,1,2,1,3,1,4,2,5,2,6,3,7,3,8,3,9,3,10,2,11,2,12,1,2)</f>
        <v>1</v>
      </c>
      <c r="P3666" s="43"/>
    </row>
    <row r="3667" spans="1:16" ht="18" x14ac:dyDescent="0.35">
      <c r="A3667" s="43"/>
      <c r="C3667" s="393"/>
      <c r="E3667" s="394"/>
      <c r="F3667" s="394">
        <v>2.2200000000000002</v>
      </c>
      <c r="G3667" s="394"/>
      <c r="H3667" s="8" t="s">
        <v>235</v>
      </c>
      <c r="I3667" s="368">
        <f t="shared" si="172"/>
        <v>0</v>
      </c>
      <c r="J3667" s="365">
        <f t="shared" si="171"/>
        <v>0</v>
      </c>
      <c r="K3667" s="369">
        <f t="shared" si="173"/>
        <v>6</v>
      </c>
      <c r="L3667" s="369">
        <f>+IF((C3667&gt;='Resultats - informe'!$E$16)*(C3667&lt;='Resultats - informe'!$G$16),1,0)</f>
        <v>1</v>
      </c>
      <c r="M3667" s="369" cm="1">
        <f t="array" ref="M3667">+_xlfn.IFS((C3667&gt;='Resultats - informe'!$D$26)*(C3667&lt;='Resultats - informe'!$E$26),0,(C3667&gt;='Resultats - informe'!$D$27)*(C3667&lt;='Resultats - informe'!$E$27),0,(C3667&gt;='Resultats - informe'!$D$28)*(C3667&lt;='Resultats - informe'!$E$28),0,(C3667&gt;='Resultats - informe'!$D$29)*(C3667&lt;='Resultats - informe'!$E$29),0,1,1)</f>
        <v>0</v>
      </c>
      <c r="N3667" s="366">
        <f>+VLOOKUP(D3667,'Resultats - informe'!$Y$18:$AG$42,'Introducció dades consum'!K3667+1,0)</f>
        <v>0</v>
      </c>
      <c r="O3667" s="370" cm="1">
        <f t="array" ref="O3667">+_xlfn.SWITCH(MONTH(C3667),1,1,2,1,3,1,4,2,5,2,6,3,7,3,8,3,9,3,10,2,11,2,12,1,2)</f>
        <v>1</v>
      </c>
      <c r="P3667" s="43"/>
    </row>
    <row r="3668" spans="1:16" ht="18" x14ac:dyDescent="0.35">
      <c r="A3668" s="43"/>
      <c r="C3668" s="393"/>
      <c r="E3668" s="394"/>
      <c r="F3668" s="394">
        <v>1.139</v>
      </c>
      <c r="G3668" s="394"/>
      <c r="H3668" s="8" t="s">
        <v>235</v>
      </c>
      <c r="I3668" s="368">
        <f t="shared" si="172"/>
        <v>0</v>
      </c>
      <c r="J3668" s="365">
        <f t="shared" si="171"/>
        <v>0</v>
      </c>
      <c r="K3668" s="369">
        <f t="shared" si="173"/>
        <v>6</v>
      </c>
      <c r="L3668" s="369">
        <f>+IF((C3668&gt;='Resultats - informe'!$E$16)*(C3668&lt;='Resultats - informe'!$G$16),1,0)</f>
        <v>1</v>
      </c>
      <c r="M3668" s="369" cm="1">
        <f t="array" ref="M3668">+_xlfn.IFS((C3668&gt;='Resultats - informe'!$D$26)*(C3668&lt;='Resultats - informe'!$E$26),0,(C3668&gt;='Resultats - informe'!$D$27)*(C3668&lt;='Resultats - informe'!$E$27),0,(C3668&gt;='Resultats - informe'!$D$28)*(C3668&lt;='Resultats - informe'!$E$28),0,(C3668&gt;='Resultats - informe'!$D$29)*(C3668&lt;='Resultats - informe'!$E$29),0,1,1)</f>
        <v>0</v>
      </c>
      <c r="N3668" s="366">
        <f>+VLOOKUP(D3668,'Resultats - informe'!$Y$18:$AG$42,'Introducció dades consum'!K3668+1,0)</f>
        <v>0</v>
      </c>
      <c r="O3668" s="370" cm="1">
        <f t="array" ref="O3668">+_xlfn.SWITCH(MONTH(C3668),1,1,2,1,3,1,4,2,5,2,6,3,7,3,8,3,9,3,10,2,11,2,12,1,2)</f>
        <v>1</v>
      </c>
      <c r="P3668" s="43"/>
    </row>
    <row r="3669" spans="1:16" ht="18" x14ac:dyDescent="0.35">
      <c r="A3669" s="43"/>
      <c r="C3669" s="393"/>
      <c r="E3669" s="394"/>
      <c r="F3669" s="394">
        <v>4.9000000000000002E-2</v>
      </c>
      <c r="G3669" s="394"/>
      <c r="H3669" s="8" t="s">
        <v>235</v>
      </c>
      <c r="I3669" s="368">
        <f t="shared" si="172"/>
        <v>0</v>
      </c>
      <c r="J3669" s="365">
        <f t="shared" si="171"/>
        <v>0</v>
      </c>
      <c r="K3669" s="369">
        <f t="shared" si="173"/>
        <v>6</v>
      </c>
      <c r="L3669" s="369">
        <f>+IF((C3669&gt;='Resultats - informe'!$E$16)*(C3669&lt;='Resultats - informe'!$G$16),1,0)</f>
        <v>1</v>
      </c>
      <c r="M3669" s="369" cm="1">
        <f t="array" ref="M3669">+_xlfn.IFS((C3669&gt;='Resultats - informe'!$D$26)*(C3669&lt;='Resultats - informe'!$E$26),0,(C3669&gt;='Resultats - informe'!$D$27)*(C3669&lt;='Resultats - informe'!$E$27),0,(C3669&gt;='Resultats - informe'!$D$28)*(C3669&lt;='Resultats - informe'!$E$28),0,(C3669&gt;='Resultats - informe'!$D$29)*(C3669&lt;='Resultats - informe'!$E$29),0,1,1)</f>
        <v>0</v>
      </c>
      <c r="N3669" s="366">
        <f>+VLOOKUP(D3669,'Resultats - informe'!$Y$18:$AG$42,'Introducció dades consum'!K3669+1,0)</f>
        <v>0</v>
      </c>
      <c r="O3669" s="370" cm="1">
        <f t="array" ref="O3669">+_xlfn.SWITCH(MONTH(C3669),1,1,2,1,3,1,4,2,5,2,6,3,7,3,8,3,9,3,10,2,11,2,12,1,2)</f>
        <v>1</v>
      </c>
      <c r="P3669" s="43"/>
    </row>
    <row r="3670" spans="1:16" ht="18" x14ac:dyDescent="0.35">
      <c r="A3670" s="43"/>
      <c r="C3670" s="393"/>
      <c r="E3670" s="394"/>
      <c r="F3670" s="394">
        <v>0.38200000000000001</v>
      </c>
      <c r="G3670" s="394"/>
      <c r="H3670" s="8" t="s">
        <v>61</v>
      </c>
      <c r="I3670" s="368">
        <f t="shared" si="172"/>
        <v>0</v>
      </c>
      <c r="J3670" s="365">
        <f t="shared" si="171"/>
        <v>0</v>
      </c>
      <c r="K3670" s="369">
        <f t="shared" si="173"/>
        <v>6</v>
      </c>
      <c r="L3670" s="369">
        <f>+IF((C3670&gt;='Resultats - informe'!$E$16)*(C3670&lt;='Resultats - informe'!$G$16),1,0)</f>
        <v>1</v>
      </c>
      <c r="M3670" s="369" cm="1">
        <f t="array" ref="M3670">+_xlfn.IFS((C3670&gt;='Resultats - informe'!$D$26)*(C3670&lt;='Resultats - informe'!$E$26),0,(C3670&gt;='Resultats - informe'!$D$27)*(C3670&lt;='Resultats - informe'!$E$27),0,(C3670&gt;='Resultats - informe'!$D$28)*(C3670&lt;='Resultats - informe'!$E$28),0,(C3670&gt;='Resultats - informe'!$D$29)*(C3670&lt;='Resultats - informe'!$E$29),0,1,1)</f>
        <v>0</v>
      </c>
      <c r="N3670" s="366">
        <f>+VLOOKUP(D3670,'Resultats - informe'!$Y$18:$AG$42,'Introducció dades consum'!K3670+1,0)</f>
        <v>0</v>
      </c>
      <c r="O3670" s="370" cm="1">
        <f t="array" ref="O3670">+_xlfn.SWITCH(MONTH(C3670),1,1,2,1,3,1,4,2,5,2,6,3,7,3,8,3,9,3,10,2,11,2,12,1,2)</f>
        <v>1</v>
      </c>
      <c r="P3670" s="43"/>
    </row>
    <row r="3671" spans="1:16" ht="18" x14ac:dyDescent="0.35">
      <c r="A3671" s="43"/>
      <c r="C3671" s="393"/>
      <c r="E3671" s="394"/>
      <c r="F3671" s="394">
        <v>0</v>
      </c>
      <c r="G3671" s="394"/>
      <c r="H3671" s="8" t="s">
        <v>61</v>
      </c>
      <c r="I3671" s="368">
        <f t="shared" si="172"/>
        <v>0</v>
      </c>
      <c r="J3671" s="365">
        <f t="shared" si="171"/>
        <v>0</v>
      </c>
      <c r="K3671" s="369">
        <f t="shared" si="173"/>
        <v>6</v>
      </c>
      <c r="L3671" s="369">
        <f>+IF((C3671&gt;='Resultats - informe'!$E$16)*(C3671&lt;='Resultats - informe'!$G$16),1,0)</f>
        <v>1</v>
      </c>
      <c r="M3671" s="369" cm="1">
        <f t="array" ref="M3671">+_xlfn.IFS((C3671&gt;='Resultats - informe'!$D$26)*(C3671&lt;='Resultats - informe'!$E$26),0,(C3671&gt;='Resultats - informe'!$D$27)*(C3671&lt;='Resultats - informe'!$E$27),0,(C3671&gt;='Resultats - informe'!$D$28)*(C3671&lt;='Resultats - informe'!$E$28),0,(C3671&gt;='Resultats - informe'!$D$29)*(C3671&lt;='Resultats - informe'!$E$29),0,1,1)</f>
        <v>0</v>
      </c>
      <c r="N3671" s="366">
        <f>+VLOOKUP(D3671,'Resultats - informe'!$Y$18:$AG$42,'Introducció dades consum'!K3671+1,0)</f>
        <v>0</v>
      </c>
      <c r="O3671" s="370" cm="1">
        <f t="array" ref="O3671">+_xlfn.SWITCH(MONTH(C3671),1,1,2,1,3,1,4,2,5,2,6,3,7,3,8,3,9,3,10,2,11,2,12,1,2)</f>
        <v>1</v>
      </c>
      <c r="P3671" s="43"/>
    </row>
    <row r="3672" spans="1:16" ht="18" x14ac:dyDescent="0.35">
      <c r="A3672" s="43"/>
      <c r="C3672" s="393"/>
      <c r="E3672" s="394"/>
      <c r="F3672" s="394">
        <v>0</v>
      </c>
      <c r="G3672" s="394"/>
      <c r="H3672" s="8" t="s">
        <v>61</v>
      </c>
      <c r="I3672" s="368">
        <f t="shared" si="172"/>
        <v>0</v>
      </c>
      <c r="J3672" s="365">
        <f t="shared" si="171"/>
        <v>0</v>
      </c>
      <c r="K3672" s="369">
        <f t="shared" si="173"/>
        <v>6</v>
      </c>
      <c r="L3672" s="369">
        <f>+IF((C3672&gt;='Resultats - informe'!$E$16)*(C3672&lt;='Resultats - informe'!$G$16),1,0)</f>
        <v>1</v>
      </c>
      <c r="M3672" s="369" cm="1">
        <f t="array" ref="M3672">+_xlfn.IFS((C3672&gt;='Resultats - informe'!$D$26)*(C3672&lt;='Resultats - informe'!$E$26),0,(C3672&gt;='Resultats - informe'!$D$27)*(C3672&lt;='Resultats - informe'!$E$27),0,(C3672&gt;='Resultats - informe'!$D$28)*(C3672&lt;='Resultats - informe'!$E$28),0,(C3672&gt;='Resultats - informe'!$D$29)*(C3672&lt;='Resultats - informe'!$E$29),0,1,1)</f>
        <v>0</v>
      </c>
      <c r="N3672" s="366">
        <f>+VLOOKUP(D3672,'Resultats - informe'!$Y$18:$AG$42,'Introducció dades consum'!K3672+1,0)</f>
        <v>0</v>
      </c>
      <c r="O3672" s="370" cm="1">
        <f t="array" ref="O3672">+_xlfn.SWITCH(MONTH(C3672),1,1,2,1,3,1,4,2,5,2,6,3,7,3,8,3,9,3,10,2,11,2,12,1,2)</f>
        <v>1</v>
      </c>
      <c r="P3672" s="43"/>
    </row>
    <row r="3673" spans="1:16" ht="18" x14ac:dyDescent="0.35">
      <c r="A3673" s="43"/>
      <c r="C3673" s="393"/>
      <c r="E3673" s="394"/>
      <c r="F3673" s="394">
        <v>0</v>
      </c>
      <c r="G3673" s="394"/>
      <c r="H3673" s="8" t="s">
        <v>61</v>
      </c>
      <c r="I3673" s="368">
        <f t="shared" si="172"/>
        <v>0</v>
      </c>
      <c r="J3673" s="365">
        <f t="shared" si="171"/>
        <v>0</v>
      </c>
      <c r="K3673" s="369">
        <f t="shared" si="173"/>
        <v>6</v>
      </c>
      <c r="L3673" s="369">
        <f>+IF((C3673&gt;='Resultats - informe'!$E$16)*(C3673&lt;='Resultats - informe'!$G$16),1,0)</f>
        <v>1</v>
      </c>
      <c r="M3673" s="369" cm="1">
        <f t="array" ref="M3673">+_xlfn.IFS((C3673&gt;='Resultats - informe'!$D$26)*(C3673&lt;='Resultats - informe'!$E$26),0,(C3673&gt;='Resultats - informe'!$D$27)*(C3673&lt;='Resultats - informe'!$E$27),0,(C3673&gt;='Resultats - informe'!$D$28)*(C3673&lt;='Resultats - informe'!$E$28),0,(C3673&gt;='Resultats - informe'!$D$29)*(C3673&lt;='Resultats - informe'!$E$29),0,1,1)</f>
        <v>0</v>
      </c>
      <c r="N3673" s="366">
        <f>+VLOOKUP(D3673,'Resultats - informe'!$Y$18:$AG$42,'Introducció dades consum'!K3673+1,0)</f>
        <v>0</v>
      </c>
      <c r="O3673" s="370" cm="1">
        <f t="array" ref="O3673">+_xlfn.SWITCH(MONTH(C3673),1,1,2,1,3,1,4,2,5,2,6,3,7,3,8,3,9,3,10,2,11,2,12,1,2)</f>
        <v>1</v>
      </c>
      <c r="P3673" s="43"/>
    </row>
    <row r="3674" spans="1:16" ht="18" x14ac:dyDescent="0.35">
      <c r="A3674" s="43"/>
      <c r="C3674" s="393"/>
      <c r="E3674" s="394"/>
      <c r="F3674" s="394">
        <v>0</v>
      </c>
      <c r="G3674" s="394"/>
      <c r="H3674" s="8" t="s">
        <v>235</v>
      </c>
      <c r="I3674" s="368">
        <f t="shared" si="172"/>
        <v>0</v>
      </c>
      <c r="J3674" s="365">
        <f t="shared" si="171"/>
        <v>0</v>
      </c>
      <c r="K3674" s="369">
        <f t="shared" si="173"/>
        <v>6</v>
      </c>
      <c r="L3674" s="369">
        <f>+IF((C3674&gt;='Resultats - informe'!$E$16)*(C3674&lt;='Resultats - informe'!$G$16),1,0)</f>
        <v>1</v>
      </c>
      <c r="M3674" s="369" cm="1">
        <f t="array" ref="M3674">+_xlfn.IFS((C3674&gt;='Resultats - informe'!$D$26)*(C3674&lt;='Resultats - informe'!$E$26),0,(C3674&gt;='Resultats - informe'!$D$27)*(C3674&lt;='Resultats - informe'!$E$27),0,(C3674&gt;='Resultats - informe'!$D$28)*(C3674&lt;='Resultats - informe'!$E$28),0,(C3674&gt;='Resultats - informe'!$D$29)*(C3674&lt;='Resultats - informe'!$E$29),0,1,1)</f>
        <v>0</v>
      </c>
      <c r="N3674" s="366">
        <f>+VLOOKUP(D3674,'Resultats - informe'!$Y$18:$AG$42,'Introducció dades consum'!K3674+1,0)</f>
        <v>0</v>
      </c>
      <c r="O3674" s="370" cm="1">
        <f t="array" ref="O3674">+_xlfn.SWITCH(MONTH(C3674),1,1,2,1,3,1,4,2,5,2,6,3,7,3,8,3,9,3,10,2,11,2,12,1,2)</f>
        <v>1</v>
      </c>
      <c r="P3674" s="43"/>
    </row>
    <row r="3675" spans="1:16" ht="18" x14ac:dyDescent="0.35">
      <c r="A3675" s="43"/>
      <c r="C3675" s="393"/>
      <c r="E3675" s="394"/>
      <c r="F3675" s="394">
        <v>0</v>
      </c>
      <c r="G3675" s="394"/>
      <c r="H3675" s="8" t="s">
        <v>235</v>
      </c>
      <c r="I3675" s="368">
        <f t="shared" si="172"/>
        <v>0</v>
      </c>
      <c r="J3675" s="365">
        <f t="shared" si="171"/>
        <v>0</v>
      </c>
      <c r="K3675" s="369">
        <f t="shared" si="173"/>
        <v>6</v>
      </c>
      <c r="L3675" s="369">
        <f>+IF((C3675&gt;='Resultats - informe'!$E$16)*(C3675&lt;='Resultats - informe'!$G$16),1,0)</f>
        <v>1</v>
      </c>
      <c r="M3675" s="369" cm="1">
        <f t="array" ref="M3675">+_xlfn.IFS((C3675&gt;='Resultats - informe'!$D$26)*(C3675&lt;='Resultats - informe'!$E$26),0,(C3675&gt;='Resultats - informe'!$D$27)*(C3675&lt;='Resultats - informe'!$E$27),0,(C3675&gt;='Resultats - informe'!$D$28)*(C3675&lt;='Resultats - informe'!$E$28),0,(C3675&gt;='Resultats - informe'!$D$29)*(C3675&lt;='Resultats - informe'!$E$29),0,1,1)</f>
        <v>0</v>
      </c>
      <c r="N3675" s="366">
        <f>+VLOOKUP(D3675,'Resultats - informe'!$Y$18:$AG$42,'Introducció dades consum'!K3675+1,0)</f>
        <v>0</v>
      </c>
      <c r="O3675" s="370" cm="1">
        <f t="array" ref="O3675">+_xlfn.SWITCH(MONTH(C3675),1,1,2,1,3,1,4,2,5,2,6,3,7,3,8,3,9,3,10,2,11,2,12,1,2)</f>
        <v>1</v>
      </c>
      <c r="P3675" s="43"/>
    </row>
    <row r="3676" spans="1:16" ht="18" x14ac:dyDescent="0.35">
      <c r="A3676" s="43"/>
      <c r="C3676" s="393"/>
      <c r="E3676" s="394"/>
      <c r="F3676" s="394">
        <v>0</v>
      </c>
      <c r="G3676" s="394"/>
      <c r="H3676" s="8" t="s">
        <v>61</v>
      </c>
      <c r="I3676" s="368">
        <f t="shared" si="172"/>
        <v>0</v>
      </c>
      <c r="J3676" s="365">
        <f t="shared" si="171"/>
        <v>0</v>
      </c>
      <c r="K3676" s="369">
        <f t="shared" si="173"/>
        <v>6</v>
      </c>
      <c r="L3676" s="369">
        <f>+IF((C3676&gt;='Resultats - informe'!$E$16)*(C3676&lt;='Resultats - informe'!$G$16),1,0)</f>
        <v>1</v>
      </c>
      <c r="M3676" s="369" cm="1">
        <f t="array" ref="M3676">+_xlfn.IFS((C3676&gt;='Resultats - informe'!$D$26)*(C3676&lt;='Resultats - informe'!$E$26),0,(C3676&gt;='Resultats - informe'!$D$27)*(C3676&lt;='Resultats - informe'!$E$27),0,(C3676&gt;='Resultats - informe'!$D$28)*(C3676&lt;='Resultats - informe'!$E$28),0,(C3676&gt;='Resultats - informe'!$D$29)*(C3676&lt;='Resultats - informe'!$E$29),0,1,1)</f>
        <v>0</v>
      </c>
      <c r="N3676" s="366">
        <f>+VLOOKUP(D3676,'Resultats - informe'!$Y$18:$AG$42,'Introducció dades consum'!K3676+1,0)</f>
        <v>0</v>
      </c>
      <c r="O3676" s="370" cm="1">
        <f t="array" ref="O3676">+_xlfn.SWITCH(MONTH(C3676),1,1,2,1,3,1,4,2,5,2,6,3,7,3,8,3,9,3,10,2,11,2,12,1,2)</f>
        <v>1</v>
      </c>
      <c r="P3676" s="43"/>
    </row>
    <row r="3677" spans="1:16" ht="18" x14ac:dyDescent="0.35">
      <c r="A3677" s="43"/>
      <c r="C3677" s="393"/>
      <c r="E3677" s="394"/>
      <c r="F3677" s="394">
        <v>0</v>
      </c>
      <c r="G3677" s="394"/>
      <c r="H3677" s="8" t="s">
        <v>61</v>
      </c>
      <c r="I3677" s="368">
        <f t="shared" si="172"/>
        <v>0</v>
      </c>
      <c r="J3677" s="365">
        <f t="shared" si="171"/>
        <v>0</v>
      </c>
      <c r="K3677" s="369">
        <f t="shared" si="173"/>
        <v>6</v>
      </c>
      <c r="L3677" s="369">
        <f>+IF((C3677&gt;='Resultats - informe'!$E$16)*(C3677&lt;='Resultats - informe'!$G$16),1,0)</f>
        <v>1</v>
      </c>
      <c r="M3677" s="369" cm="1">
        <f t="array" ref="M3677">+_xlfn.IFS((C3677&gt;='Resultats - informe'!$D$26)*(C3677&lt;='Resultats - informe'!$E$26),0,(C3677&gt;='Resultats - informe'!$D$27)*(C3677&lt;='Resultats - informe'!$E$27),0,(C3677&gt;='Resultats - informe'!$D$28)*(C3677&lt;='Resultats - informe'!$E$28),0,(C3677&gt;='Resultats - informe'!$D$29)*(C3677&lt;='Resultats - informe'!$E$29),0,1,1)</f>
        <v>0</v>
      </c>
      <c r="N3677" s="366">
        <f>+VLOOKUP(D3677,'Resultats - informe'!$Y$18:$AG$42,'Introducció dades consum'!K3677+1,0)</f>
        <v>0</v>
      </c>
      <c r="O3677" s="370" cm="1">
        <f t="array" ref="O3677">+_xlfn.SWITCH(MONTH(C3677),1,1,2,1,3,1,4,2,5,2,6,3,7,3,8,3,9,3,10,2,11,2,12,1,2)</f>
        <v>1</v>
      </c>
      <c r="P3677" s="43"/>
    </row>
    <row r="3678" spans="1:16" ht="18" x14ac:dyDescent="0.35">
      <c r="A3678" s="43"/>
      <c r="C3678" s="393"/>
      <c r="E3678" s="394"/>
      <c r="F3678" s="394">
        <v>0</v>
      </c>
      <c r="G3678" s="394"/>
      <c r="H3678" s="8" t="s">
        <v>235</v>
      </c>
      <c r="I3678" s="368">
        <f t="shared" si="172"/>
        <v>0</v>
      </c>
      <c r="J3678" s="365">
        <f t="shared" si="171"/>
        <v>0</v>
      </c>
      <c r="K3678" s="369">
        <f t="shared" si="173"/>
        <v>6</v>
      </c>
      <c r="L3678" s="369">
        <f>+IF((C3678&gt;='Resultats - informe'!$E$16)*(C3678&lt;='Resultats - informe'!$G$16),1,0)</f>
        <v>1</v>
      </c>
      <c r="M3678" s="369" cm="1">
        <f t="array" ref="M3678">+_xlfn.IFS((C3678&gt;='Resultats - informe'!$D$26)*(C3678&lt;='Resultats - informe'!$E$26),0,(C3678&gt;='Resultats - informe'!$D$27)*(C3678&lt;='Resultats - informe'!$E$27),0,(C3678&gt;='Resultats - informe'!$D$28)*(C3678&lt;='Resultats - informe'!$E$28),0,(C3678&gt;='Resultats - informe'!$D$29)*(C3678&lt;='Resultats - informe'!$E$29),0,1,1)</f>
        <v>0</v>
      </c>
      <c r="N3678" s="366">
        <f>+VLOOKUP(D3678,'Resultats - informe'!$Y$18:$AG$42,'Introducció dades consum'!K3678+1,0)</f>
        <v>0</v>
      </c>
      <c r="O3678" s="370" cm="1">
        <f t="array" ref="O3678">+_xlfn.SWITCH(MONTH(C3678),1,1,2,1,3,1,4,2,5,2,6,3,7,3,8,3,9,3,10,2,11,2,12,1,2)</f>
        <v>1</v>
      </c>
      <c r="P3678" s="43"/>
    </row>
    <row r="3679" spans="1:16" ht="18" x14ac:dyDescent="0.35">
      <c r="A3679" s="43"/>
      <c r="C3679" s="393"/>
      <c r="E3679" s="394"/>
      <c r="F3679" s="394">
        <v>0</v>
      </c>
      <c r="G3679" s="394"/>
      <c r="H3679" s="8" t="s">
        <v>235</v>
      </c>
      <c r="I3679" s="368">
        <f t="shared" si="172"/>
        <v>0</v>
      </c>
      <c r="J3679" s="365">
        <f t="shared" si="171"/>
        <v>0</v>
      </c>
      <c r="K3679" s="369">
        <f t="shared" si="173"/>
        <v>6</v>
      </c>
      <c r="L3679" s="369">
        <f>+IF((C3679&gt;='Resultats - informe'!$E$16)*(C3679&lt;='Resultats - informe'!$G$16),1,0)</f>
        <v>1</v>
      </c>
      <c r="M3679" s="369" cm="1">
        <f t="array" ref="M3679">+_xlfn.IFS((C3679&gt;='Resultats - informe'!$D$26)*(C3679&lt;='Resultats - informe'!$E$26),0,(C3679&gt;='Resultats - informe'!$D$27)*(C3679&lt;='Resultats - informe'!$E$27),0,(C3679&gt;='Resultats - informe'!$D$28)*(C3679&lt;='Resultats - informe'!$E$28),0,(C3679&gt;='Resultats - informe'!$D$29)*(C3679&lt;='Resultats - informe'!$E$29),0,1,1)</f>
        <v>0</v>
      </c>
      <c r="N3679" s="366">
        <f>+VLOOKUP(D3679,'Resultats - informe'!$Y$18:$AG$42,'Introducció dades consum'!K3679+1,0)</f>
        <v>0</v>
      </c>
      <c r="O3679" s="370" cm="1">
        <f t="array" ref="O3679">+_xlfn.SWITCH(MONTH(C3679),1,1,2,1,3,1,4,2,5,2,6,3,7,3,8,3,9,3,10,2,11,2,12,1,2)</f>
        <v>1</v>
      </c>
      <c r="P3679" s="43"/>
    </row>
    <row r="3680" spans="1:16" ht="18" x14ac:dyDescent="0.35">
      <c r="A3680" s="43"/>
      <c r="C3680" s="393"/>
      <c r="E3680" s="394"/>
      <c r="F3680" s="394">
        <v>0</v>
      </c>
      <c r="G3680" s="394"/>
      <c r="H3680" s="8" t="s">
        <v>235</v>
      </c>
      <c r="I3680" s="368">
        <f t="shared" si="172"/>
        <v>0</v>
      </c>
      <c r="J3680" s="365">
        <f t="shared" si="171"/>
        <v>0</v>
      </c>
      <c r="K3680" s="369">
        <f t="shared" si="173"/>
        <v>6</v>
      </c>
      <c r="L3680" s="369">
        <f>+IF((C3680&gt;='Resultats - informe'!$E$16)*(C3680&lt;='Resultats - informe'!$G$16),1,0)</f>
        <v>1</v>
      </c>
      <c r="M3680" s="369" cm="1">
        <f t="array" ref="M3680">+_xlfn.IFS((C3680&gt;='Resultats - informe'!$D$26)*(C3680&lt;='Resultats - informe'!$E$26),0,(C3680&gt;='Resultats - informe'!$D$27)*(C3680&lt;='Resultats - informe'!$E$27),0,(C3680&gt;='Resultats - informe'!$D$28)*(C3680&lt;='Resultats - informe'!$E$28),0,(C3680&gt;='Resultats - informe'!$D$29)*(C3680&lt;='Resultats - informe'!$E$29),0,1,1)</f>
        <v>0</v>
      </c>
      <c r="N3680" s="366">
        <f>+VLOOKUP(D3680,'Resultats - informe'!$Y$18:$AG$42,'Introducció dades consum'!K3680+1,0)</f>
        <v>0</v>
      </c>
      <c r="O3680" s="370" cm="1">
        <f t="array" ref="O3680">+_xlfn.SWITCH(MONTH(C3680),1,1,2,1,3,1,4,2,5,2,6,3,7,3,8,3,9,3,10,2,11,2,12,1,2)</f>
        <v>1</v>
      </c>
      <c r="P3680" s="43"/>
    </row>
    <row r="3681" spans="1:16" ht="18" x14ac:dyDescent="0.35">
      <c r="A3681" s="43"/>
      <c r="C3681" s="393"/>
      <c r="E3681" s="394"/>
      <c r="F3681" s="394">
        <v>0.13900000000000001</v>
      </c>
      <c r="G3681" s="394"/>
      <c r="H3681" s="8" t="s">
        <v>235</v>
      </c>
      <c r="I3681" s="368">
        <f t="shared" si="172"/>
        <v>0</v>
      </c>
      <c r="J3681" s="365">
        <f t="shared" si="171"/>
        <v>0</v>
      </c>
      <c r="K3681" s="369">
        <f t="shared" si="173"/>
        <v>6</v>
      </c>
      <c r="L3681" s="369">
        <f>+IF((C3681&gt;='Resultats - informe'!$E$16)*(C3681&lt;='Resultats - informe'!$G$16),1,0)</f>
        <v>1</v>
      </c>
      <c r="M3681" s="369" cm="1">
        <f t="array" ref="M3681">+_xlfn.IFS((C3681&gt;='Resultats - informe'!$D$26)*(C3681&lt;='Resultats - informe'!$E$26),0,(C3681&gt;='Resultats - informe'!$D$27)*(C3681&lt;='Resultats - informe'!$E$27),0,(C3681&gt;='Resultats - informe'!$D$28)*(C3681&lt;='Resultats - informe'!$E$28),0,(C3681&gt;='Resultats - informe'!$D$29)*(C3681&lt;='Resultats - informe'!$E$29),0,1,1)</f>
        <v>0</v>
      </c>
      <c r="N3681" s="366">
        <f>+VLOOKUP(D3681,'Resultats - informe'!$Y$18:$AG$42,'Introducció dades consum'!K3681+1,0)</f>
        <v>0</v>
      </c>
      <c r="O3681" s="370" cm="1">
        <f t="array" ref="O3681">+_xlfn.SWITCH(MONTH(C3681),1,1,2,1,3,1,4,2,5,2,6,3,7,3,8,3,9,3,10,2,11,2,12,1,2)</f>
        <v>1</v>
      </c>
      <c r="P3681" s="43"/>
    </row>
    <row r="3682" spans="1:16" ht="18" x14ac:dyDescent="0.35">
      <c r="A3682" s="43"/>
      <c r="C3682" s="393"/>
      <c r="E3682" s="394"/>
      <c r="F3682" s="394">
        <v>0.748</v>
      </c>
      <c r="G3682" s="394"/>
      <c r="H3682" s="8" t="s">
        <v>235</v>
      </c>
      <c r="I3682" s="368">
        <f t="shared" si="172"/>
        <v>0</v>
      </c>
      <c r="J3682" s="365">
        <f t="shared" si="171"/>
        <v>0</v>
      </c>
      <c r="K3682" s="369">
        <f t="shared" si="173"/>
        <v>6</v>
      </c>
      <c r="L3682" s="369">
        <f>+IF((C3682&gt;='Resultats - informe'!$E$16)*(C3682&lt;='Resultats - informe'!$G$16),1,0)</f>
        <v>1</v>
      </c>
      <c r="M3682" s="369" cm="1">
        <f t="array" ref="M3682">+_xlfn.IFS((C3682&gt;='Resultats - informe'!$D$26)*(C3682&lt;='Resultats - informe'!$E$26),0,(C3682&gt;='Resultats - informe'!$D$27)*(C3682&lt;='Resultats - informe'!$E$27),0,(C3682&gt;='Resultats - informe'!$D$28)*(C3682&lt;='Resultats - informe'!$E$28),0,(C3682&gt;='Resultats - informe'!$D$29)*(C3682&lt;='Resultats - informe'!$E$29),0,1,1)</f>
        <v>0</v>
      </c>
      <c r="N3682" s="366">
        <f>+VLOOKUP(D3682,'Resultats - informe'!$Y$18:$AG$42,'Introducció dades consum'!K3682+1,0)</f>
        <v>0</v>
      </c>
      <c r="O3682" s="370" cm="1">
        <f t="array" ref="O3682">+_xlfn.SWITCH(MONTH(C3682),1,1,2,1,3,1,4,2,5,2,6,3,7,3,8,3,9,3,10,2,11,2,12,1,2)</f>
        <v>1</v>
      </c>
      <c r="P3682" s="43"/>
    </row>
    <row r="3683" spans="1:16" ht="18" x14ac:dyDescent="0.35">
      <c r="A3683" s="43"/>
      <c r="C3683" s="393"/>
      <c r="E3683" s="394"/>
      <c r="F3683" s="394">
        <v>1.306</v>
      </c>
      <c r="G3683" s="394"/>
      <c r="H3683" s="8" t="s">
        <v>235</v>
      </c>
      <c r="I3683" s="368">
        <f t="shared" si="172"/>
        <v>0</v>
      </c>
      <c r="J3683" s="365">
        <f t="shared" si="171"/>
        <v>0</v>
      </c>
      <c r="K3683" s="369">
        <f t="shared" si="173"/>
        <v>6</v>
      </c>
      <c r="L3683" s="369">
        <f>+IF((C3683&gt;='Resultats - informe'!$E$16)*(C3683&lt;='Resultats - informe'!$G$16),1,0)</f>
        <v>1</v>
      </c>
      <c r="M3683" s="369" cm="1">
        <f t="array" ref="M3683">+_xlfn.IFS((C3683&gt;='Resultats - informe'!$D$26)*(C3683&lt;='Resultats - informe'!$E$26),0,(C3683&gt;='Resultats - informe'!$D$27)*(C3683&lt;='Resultats - informe'!$E$27),0,(C3683&gt;='Resultats - informe'!$D$28)*(C3683&lt;='Resultats - informe'!$E$28),0,(C3683&gt;='Resultats - informe'!$D$29)*(C3683&lt;='Resultats - informe'!$E$29),0,1,1)</f>
        <v>0</v>
      </c>
      <c r="N3683" s="366">
        <f>+VLOOKUP(D3683,'Resultats - informe'!$Y$18:$AG$42,'Introducció dades consum'!K3683+1,0)</f>
        <v>0</v>
      </c>
      <c r="O3683" s="370" cm="1">
        <f t="array" ref="O3683">+_xlfn.SWITCH(MONTH(C3683),1,1,2,1,3,1,4,2,5,2,6,3,7,3,8,3,9,3,10,2,11,2,12,1,2)</f>
        <v>1</v>
      </c>
      <c r="P3683" s="43"/>
    </row>
    <row r="3684" spans="1:16" ht="18" x14ac:dyDescent="0.35">
      <c r="A3684" s="43"/>
      <c r="C3684" s="393"/>
      <c r="E3684" s="394"/>
      <c r="F3684" s="394">
        <v>2.7850000000000001</v>
      </c>
      <c r="G3684" s="394"/>
      <c r="H3684" s="8" t="s">
        <v>235</v>
      </c>
      <c r="I3684" s="368">
        <f t="shared" si="172"/>
        <v>0</v>
      </c>
      <c r="J3684" s="365">
        <f t="shared" si="171"/>
        <v>0</v>
      </c>
      <c r="K3684" s="369">
        <f t="shared" si="173"/>
        <v>6</v>
      </c>
      <c r="L3684" s="369">
        <f>+IF((C3684&gt;='Resultats - informe'!$E$16)*(C3684&lt;='Resultats - informe'!$G$16),1,0)</f>
        <v>1</v>
      </c>
      <c r="M3684" s="369" cm="1">
        <f t="array" ref="M3684">+_xlfn.IFS((C3684&gt;='Resultats - informe'!$D$26)*(C3684&lt;='Resultats - informe'!$E$26),0,(C3684&gt;='Resultats - informe'!$D$27)*(C3684&lt;='Resultats - informe'!$E$27),0,(C3684&gt;='Resultats - informe'!$D$28)*(C3684&lt;='Resultats - informe'!$E$28),0,(C3684&gt;='Resultats - informe'!$D$29)*(C3684&lt;='Resultats - informe'!$E$29),0,1,1)</f>
        <v>0</v>
      </c>
      <c r="N3684" s="366">
        <f>+VLOOKUP(D3684,'Resultats - informe'!$Y$18:$AG$42,'Introducció dades consum'!K3684+1,0)</f>
        <v>0</v>
      </c>
      <c r="O3684" s="370" cm="1">
        <f t="array" ref="O3684">+_xlfn.SWITCH(MONTH(C3684),1,1,2,1,3,1,4,2,5,2,6,3,7,3,8,3,9,3,10,2,11,2,12,1,2)</f>
        <v>1</v>
      </c>
      <c r="P3684" s="43"/>
    </row>
    <row r="3685" spans="1:16" ht="18" x14ac:dyDescent="0.35">
      <c r="A3685" s="43"/>
      <c r="C3685" s="393"/>
      <c r="E3685" s="394"/>
      <c r="F3685" s="394">
        <v>0.57299999999999995</v>
      </c>
      <c r="G3685" s="394"/>
      <c r="H3685" s="8" t="s">
        <v>61</v>
      </c>
      <c r="I3685" s="368">
        <f t="shared" si="172"/>
        <v>0</v>
      </c>
      <c r="J3685" s="365">
        <f t="shared" si="171"/>
        <v>0</v>
      </c>
      <c r="K3685" s="369">
        <f t="shared" si="173"/>
        <v>6</v>
      </c>
      <c r="L3685" s="369">
        <f>+IF((C3685&gt;='Resultats - informe'!$E$16)*(C3685&lt;='Resultats - informe'!$G$16),1,0)</f>
        <v>1</v>
      </c>
      <c r="M3685" s="369" cm="1">
        <f t="array" ref="M3685">+_xlfn.IFS((C3685&gt;='Resultats - informe'!$D$26)*(C3685&lt;='Resultats - informe'!$E$26),0,(C3685&gt;='Resultats - informe'!$D$27)*(C3685&lt;='Resultats - informe'!$E$27),0,(C3685&gt;='Resultats - informe'!$D$28)*(C3685&lt;='Resultats - informe'!$E$28),0,(C3685&gt;='Resultats - informe'!$D$29)*(C3685&lt;='Resultats - informe'!$E$29),0,1,1)</f>
        <v>0</v>
      </c>
      <c r="N3685" s="366">
        <f>+VLOOKUP(D3685,'Resultats - informe'!$Y$18:$AG$42,'Introducció dades consum'!K3685+1,0)</f>
        <v>0</v>
      </c>
      <c r="O3685" s="370" cm="1">
        <f t="array" ref="O3685">+_xlfn.SWITCH(MONTH(C3685),1,1,2,1,3,1,4,2,5,2,6,3,7,3,8,3,9,3,10,2,11,2,12,1,2)</f>
        <v>1</v>
      </c>
      <c r="P3685" s="43"/>
    </row>
    <row r="3686" spans="1:16" ht="18" x14ac:dyDescent="0.35">
      <c r="A3686" s="43"/>
      <c r="C3686" s="393"/>
      <c r="E3686" s="394"/>
      <c r="F3686" s="394">
        <v>1.629</v>
      </c>
      <c r="G3686" s="394"/>
      <c r="H3686" s="8" t="s">
        <v>61</v>
      </c>
      <c r="I3686" s="368">
        <f t="shared" si="172"/>
        <v>0</v>
      </c>
      <c r="J3686" s="365">
        <f t="shared" si="171"/>
        <v>0</v>
      </c>
      <c r="K3686" s="369">
        <f t="shared" si="173"/>
        <v>6</v>
      </c>
      <c r="L3686" s="369">
        <f>+IF((C3686&gt;='Resultats - informe'!$E$16)*(C3686&lt;='Resultats - informe'!$G$16),1,0)</f>
        <v>1</v>
      </c>
      <c r="M3686" s="369" cm="1">
        <f t="array" ref="M3686">+_xlfn.IFS((C3686&gt;='Resultats - informe'!$D$26)*(C3686&lt;='Resultats - informe'!$E$26),0,(C3686&gt;='Resultats - informe'!$D$27)*(C3686&lt;='Resultats - informe'!$E$27),0,(C3686&gt;='Resultats - informe'!$D$28)*(C3686&lt;='Resultats - informe'!$E$28),0,(C3686&gt;='Resultats - informe'!$D$29)*(C3686&lt;='Resultats - informe'!$E$29),0,1,1)</f>
        <v>0</v>
      </c>
      <c r="N3686" s="366">
        <f>+VLOOKUP(D3686,'Resultats - informe'!$Y$18:$AG$42,'Introducció dades consum'!K3686+1,0)</f>
        <v>0</v>
      </c>
      <c r="O3686" s="370" cm="1">
        <f t="array" ref="O3686">+_xlfn.SWITCH(MONTH(C3686),1,1,2,1,3,1,4,2,5,2,6,3,7,3,8,3,9,3,10,2,11,2,12,1,2)</f>
        <v>1</v>
      </c>
      <c r="P3686" s="43"/>
    </row>
    <row r="3687" spans="1:16" ht="18" x14ac:dyDescent="0.35">
      <c r="A3687" s="43"/>
      <c r="C3687" s="393"/>
      <c r="E3687" s="394"/>
      <c r="F3687" s="394">
        <v>4.6689999999999996</v>
      </c>
      <c r="G3687" s="394"/>
      <c r="H3687" s="8" t="s">
        <v>61</v>
      </c>
      <c r="I3687" s="368">
        <f t="shared" si="172"/>
        <v>0</v>
      </c>
      <c r="J3687" s="365">
        <f t="shared" si="171"/>
        <v>0</v>
      </c>
      <c r="K3687" s="369">
        <f t="shared" si="173"/>
        <v>6</v>
      </c>
      <c r="L3687" s="369">
        <f>+IF((C3687&gt;='Resultats - informe'!$E$16)*(C3687&lt;='Resultats - informe'!$G$16),1,0)</f>
        <v>1</v>
      </c>
      <c r="M3687" s="369" cm="1">
        <f t="array" ref="M3687">+_xlfn.IFS((C3687&gt;='Resultats - informe'!$D$26)*(C3687&lt;='Resultats - informe'!$E$26),0,(C3687&gt;='Resultats - informe'!$D$27)*(C3687&lt;='Resultats - informe'!$E$27),0,(C3687&gt;='Resultats - informe'!$D$28)*(C3687&lt;='Resultats - informe'!$E$28),0,(C3687&gt;='Resultats - informe'!$D$29)*(C3687&lt;='Resultats - informe'!$E$29),0,1,1)</f>
        <v>0</v>
      </c>
      <c r="N3687" s="366">
        <f>+VLOOKUP(D3687,'Resultats - informe'!$Y$18:$AG$42,'Introducció dades consum'!K3687+1,0)</f>
        <v>0</v>
      </c>
      <c r="O3687" s="370" cm="1">
        <f t="array" ref="O3687">+_xlfn.SWITCH(MONTH(C3687),1,1,2,1,3,1,4,2,5,2,6,3,7,3,8,3,9,3,10,2,11,2,12,1,2)</f>
        <v>1</v>
      </c>
      <c r="P3687" s="43"/>
    </row>
    <row r="3688" spans="1:16" ht="18" x14ac:dyDescent="0.35">
      <c r="A3688" s="43"/>
      <c r="C3688" s="393"/>
      <c r="E3688" s="394"/>
      <c r="F3688" s="394">
        <v>4.3179999999999996</v>
      </c>
      <c r="G3688" s="394"/>
      <c r="H3688" s="8" t="s">
        <v>61</v>
      </c>
      <c r="I3688" s="368">
        <f t="shared" si="172"/>
        <v>0</v>
      </c>
      <c r="J3688" s="365">
        <f t="shared" si="171"/>
        <v>0</v>
      </c>
      <c r="K3688" s="369">
        <f t="shared" si="173"/>
        <v>6</v>
      </c>
      <c r="L3688" s="369">
        <f>+IF((C3688&gt;='Resultats - informe'!$E$16)*(C3688&lt;='Resultats - informe'!$G$16),1,0)</f>
        <v>1</v>
      </c>
      <c r="M3688" s="369" cm="1">
        <f t="array" ref="M3688">+_xlfn.IFS((C3688&gt;='Resultats - informe'!$D$26)*(C3688&lt;='Resultats - informe'!$E$26),0,(C3688&gt;='Resultats - informe'!$D$27)*(C3688&lt;='Resultats - informe'!$E$27),0,(C3688&gt;='Resultats - informe'!$D$28)*(C3688&lt;='Resultats - informe'!$E$28),0,(C3688&gt;='Resultats - informe'!$D$29)*(C3688&lt;='Resultats - informe'!$E$29),0,1,1)</f>
        <v>0</v>
      </c>
      <c r="N3688" s="366">
        <f>+VLOOKUP(D3688,'Resultats - informe'!$Y$18:$AG$42,'Introducció dades consum'!K3688+1,0)</f>
        <v>0</v>
      </c>
      <c r="O3688" s="370" cm="1">
        <f t="array" ref="O3688">+_xlfn.SWITCH(MONTH(C3688),1,1,2,1,3,1,4,2,5,2,6,3,7,3,8,3,9,3,10,2,11,2,12,1,2)</f>
        <v>1</v>
      </c>
      <c r="P3688" s="43"/>
    </row>
    <row r="3689" spans="1:16" ht="18" x14ac:dyDescent="0.35">
      <c r="A3689" s="43"/>
      <c r="C3689" s="393"/>
      <c r="E3689" s="394"/>
      <c r="F3689" s="394">
        <v>5.9880000000000004</v>
      </c>
      <c r="G3689" s="394"/>
      <c r="H3689" s="8" t="s">
        <v>61</v>
      </c>
      <c r="I3689" s="368">
        <f t="shared" si="172"/>
        <v>0</v>
      </c>
      <c r="J3689" s="365">
        <f t="shared" si="171"/>
        <v>0</v>
      </c>
      <c r="K3689" s="369">
        <f t="shared" si="173"/>
        <v>6</v>
      </c>
      <c r="L3689" s="369">
        <f>+IF((C3689&gt;='Resultats - informe'!$E$16)*(C3689&lt;='Resultats - informe'!$G$16),1,0)</f>
        <v>1</v>
      </c>
      <c r="M3689" s="369" cm="1">
        <f t="array" ref="M3689">+_xlfn.IFS((C3689&gt;='Resultats - informe'!$D$26)*(C3689&lt;='Resultats - informe'!$E$26),0,(C3689&gt;='Resultats - informe'!$D$27)*(C3689&lt;='Resultats - informe'!$E$27),0,(C3689&gt;='Resultats - informe'!$D$28)*(C3689&lt;='Resultats - informe'!$E$28),0,(C3689&gt;='Resultats - informe'!$D$29)*(C3689&lt;='Resultats - informe'!$E$29),0,1,1)</f>
        <v>0</v>
      </c>
      <c r="N3689" s="366">
        <f>+VLOOKUP(D3689,'Resultats - informe'!$Y$18:$AG$42,'Introducció dades consum'!K3689+1,0)</f>
        <v>0</v>
      </c>
      <c r="O3689" s="370" cm="1">
        <f t="array" ref="O3689">+_xlfn.SWITCH(MONTH(C3689),1,1,2,1,3,1,4,2,5,2,6,3,7,3,8,3,9,3,10,2,11,2,12,1,2)</f>
        <v>1</v>
      </c>
      <c r="P3689" s="43"/>
    </row>
    <row r="3690" spans="1:16" ht="18" x14ac:dyDescent="0.35">
      <c r="A3690" s="43"/>
      <c r="C3690" s="393"/>
      <c r="E3690" s="394"/>
      <c r="F3690" s="394">
        <v>2.782</v>
      </c>
      <c r="G3690" s="394"/>
      <c r="H3690" s="8" t="s">
        <v>235</v>
      </c>
      <c r="I3690" s="368">
        <f t="shared" si="172"/>
        <v>0</v>
      </c>
      <c r="J3690" s="365">
        <f t="shared" si="171"/>
        <v>0</v>
      </c>
      <c r="K3690" s="369">
        <f t="shared" si="173"/>
        <v>6</v>
      </c>
      <c r="L3690" s="369">
        <f>+IF((C3690&gt;='Resultats - informe'!$E$16)*(C3690&lt;='Resultats - informe'!$G$16),1,0)</f>
        <v>1</v>
      </c>
      <c r="M3690" s="369" cm="1">
        <f t="array" ref="M3690">+_xlfn.IFS((C3690&gt;='Resultats - informe'!$D$26)*(C3690&lt;='Resultats - informe'!$E$26),0,(C3690&gt;='Resultats - informe'!$D$27)*(C3690&lt;='Resultats - informe'!$E$27),0,(C3690&gt;='Resultats - informe'!$D$28)*(C3690&lt;='Resultats - informe'!$E$28),0,(C3690&gt;='Resultats - informe'!$D$29)*(C3690&lt;='Resultats - informe'!$E$29),0,1,1)</f>
        <v>0</v>
      </c>
      <c r="N3690" s="366">
        <f>+VLOOKUP(D3690,'Resultats - informe'!$Y$18:$AG$42,'Introducció dades consum'!K3690+1,0)</f>
        <v>0</v>
      </c>
      <c r="O3690" s="370" cm="1">
        <f t="array" ref="O3690">+_xlfn.SWITCH(MONTH(C3690),1,1,2,1,3,1,4,2,5,2,6,3,7,3,8,3,9,3,10,2,11,2,12,1,2)</f>
        <v>1</v>
      </c>
      <c r="P3690" s="43"/>
    </row>
    <row r="3691" spans="1:16" ht="18" x14ac:dyDescent="0.35">
      <c r="A3691" s="43"/>
      <c r="C3691" s="393"/>
      <c r="E3691" s="394"/>
      <c r="F3691" s="394">
        <v>1.907</v>
      </c>
      <c r="G3691" s="394"/>
      <c r="H3691" s="8" t="s">
        <v>235</v>
      </c>
      <c r="I3691" s="368">
        <f t="shared" si="172"/>
        <v>0</v>
      </c>
      <c r="J3691" s="365">
        <f t="shared" si="171"/>
        <v>0</v>
      </c>
      <c r="K3691" s="369">
        <f t="shared" si="173"/>
        <v>6</v>
      </c>
      <c r="L3691" s="369">
        <f>+IF((C3691&gt;='Resultats - informe'!$E$16)*(C3691&lt;='Resultats - informe'!$G$16),1,0)</f>
        <v>1</v>
      </c>
      <c r="M3691" s="369" cm="1">
        <f t="array" ref="M3691">+_xlfn.IFS((C3691&gt;='Resultats - informe'!$D$26)*(C3691&lt;='Resultats - informe'!$E$26),0,(C3691&gt;='Resultats - informe'!$D$27)*(C3691&lt;='Resultats - informe'!$E$27),0,(C3691&gt;='Resultats - informe'!$D$28)*(C3691&lt;='Resultats - informe'!$E$28),0,(C3691&gt;='Resultats - informe'!$D$29)*(C3691&lt;='Resultats - informe'!$E$29),0,1,1)</f>
        <v>0</v>
      </c>
      <c r="N3691" s="366">
        <f>+VLOOKUP(D3691,'Resultats - informe'!$Y$18:$AG$42,'Introducció dades consum'!K3691+1,0)</f>
        <v>0</v>
      </c>
      <c r="O3691" s="370" cm="1">
        <f t="array" ref="O3691">+_xlfn.SWITCH(MONTH(C3691),1,1,2,1,3,1,4,2,5,2,6,3,7,3,8,3,9,3,10,2,11,2,12,1,2)</f>
        <v>1</v>
      </c>
      <c r="P3691" s="43"/>
    </row>
    <row r="3692" spans="1:16" ht="18" x14ac:dyDescent="0.35">
      <c r="A3692" s="43"/>
      <c r="C3692" s="393"/>
      <c r="E3692" s="394"/>
      <c r="F3692" s="394">
        <v>2.3580000000000001</v>
      </c>
      <c r="G3692" s="394"/>
      <c r="H3692" s="8" t="s">
        <v>61</v>
      </c>
      <c r="I3692" s="368">
        <f t="shared" si="172"/>
        <v>0</v>
      </c>
      <c r="J3692" s="365">
        <f t="shared" si="171"/>
        <v>0</v>
      </c>
      <c r="K3692" s="369">
        <f t="shared" si="173"/>
        <v>6</v>
      </c>
      <c r="L3692" s="369">
        <f>+IF((C3692&gt;='Resultats - informe'!$E$16)*(C3692&lt;='Resultats - informe'!$G$16),1,0)</f>
        <v>1</v>
      </c>
      <c r="M3692" s="369" cm="1">
        <f t="array" ref="M3692">+_xlfn.IFS((C3692&gt;='Resultats - informe'!$D$26)*(C3692&lt;='Resultats - informe'!$E$26),0,(C3692&gt;='Resultats - informe'!$D$27)*(C3692&lt;='Resultats - informe'!$E$27),0,(C3692&gt;='Resultats - informe'!$D$28)*(C3692&lt;='Resultats - informe'!$E$28),0,(C3692&gt;='Resultats - informe'!$D$29)*(C3692&lt;='Resultats - informe'!$E$29),0,1,1)</f>
        <v>0</v>
      </c>
      <c r="N3692" s="366">
        <f>+VLOOKUP(D3692,'Resultats - informe'!$Y$18:$AG$42,'Introducció dades consum'!K3692+1,0)</f>
        <v>0</v>
      </c>
      <c r="O3692" s="370" cm="1">
        <f t="array" ref="O3692">+_xlfn.SWITCH(MONTH(C3692),1,1,2,1,3,1,4,2,5,2,6,3,7,3,8,3,9,3,10,2,11,2,12,1,2)</f>
        <v>1</v>
      </c>
      <c r="P3692" s="43"/>
    </row>
    <row r="3693" spans="1:16" ht="18" x14ac:dyDescent="0.35">
      <c r="A3693" s="43"/>
      <c r="C3693" s="393"/>
      <c r="E3693" s="394"/>
      <c r="F3693" s="394">
        <v>0</v>
      </c>
      <c r="G3693" s="394"/>
      <c r="H3693" s="8" t="s">
        <v>61</v>
      </c>
      <c r="I3693" s="368">
        <f t="shared" si="172"/>
        <v>0</v>
      </c>
      <c r="J3693" s="365">
        <f t="shared" si="171"/>
        <v>0</v>
      </c>
      <c r="K3693" s="369">
        <f t="shared" si="173"/>
        <v>6</v>
      </c>
      <c r="L3693" s="369">
        <f>+IF((C3693&gt;='Resultats - informe'!$E$16)*(C3693&lt;='Resultats - informe'!$G$16),1,0)</f>
        <v>1</v>
      </c>
      <c r="M3693" s="369" cm="1">
        <f t="array" ref="M3693">+_xlfn.IFS((C3693&gt;='Resultats - informe'!$D$26)*(C3693&lt;='Resultats - informe'!$E$26),0,(C3693&gt;='Resultats - informe'!$D$27)*(C3693&lt;='Resultats - informe'!$E$27),0,(C3693&gt;='Resultats - informe'!$D$28)*(C3693&lt;='Resultats - informe'!$E$28),0,(C3693&gt;='Resultats - informe'!$D$29)*(C3693&lt;='Resultats - informe'!$E$29),0,1,1)</f>
        <v>0</v>
      </c>
      <c r="N3693" s="366">
        <f>+VLOOKUP(D3693,'Resultats - informe'!$Y$18:$AG$42,'Introducció dades consum'!K3693+1,0)</f>
        <v>0</v>
      </c>
      <c r="O3693" s="370" cm="1">
        <f t="array" ref="O3693">+_xlfn.SWITCH(MONTH(C3693),1,1,2,1,3,1,4,2,5,2,6,3,7,3,8,3,9,3,10,2,11,2,12,1,2)</f>
        <v>1</v>
      </c>
      <c r="P3693" s="43"/>
    </row>
    <row r="3694" spans="1:16" ht="18" x14ac:dyDescent="0.35">
      <c r="A3694" s="43"/>
      <c r="C3694" s="393"/>
      <c r="E3694" s="394"/>
      <c r="F3694" s="394">
        <v>0</v>
      </c>
      <c r="G3694" s="394"/>
      <c r="H3694" s="8" t="s">
        <v>235</v>
      </c>
      <c r="I3694" s="368">
        <f t="shared" si="172"/>
        <v>0</v>
      </c>
      <c r="J3694" s="365">
        <f t="shared" si="171"/>
        <v>0</v>
      </c>
      <c r="K3694" s="369">
        <f t="shared" si="173"/>
        <v>6</v>
      </c>
      <c r="L3694" s="369">
        <f>+IF((C3694&gt;='Resultats - informe'!$E$16)*(C3694&lt;='Resultats - informe'!$G$16),1,0)</f>
        <v>1</v>
      </c>
      <c r="M3694" s="369" cm="1">
        <f t="array" ref="M3694">+_xlfn.IFS((C3694&gt;='Resultats - informe'!$D$26)*(C3694&lt;='Resultats - informe'!$E$26),0,(C3694&gt;='Resultats - informe'!$D$27)*(C3694&lt;='Resultats - informe'!$E$27),0,(C3694&gt;='Resultats - informe'!$D$28)*(C3694&lt;='Resultats - informe'!$E$28),0,(C3694&gt;='Resultats - informe'!$D$29)*(C3694&lt;='Resultats - informe'!$E$29),0,1,1)</f>
        <v>0</v>
      </c>
      <c r="N3694" s="366">
        <f>+VLOOKUP(D3694,'Resultats - informe'!$Y$18:$AG$42,'Introducció dades consum'!K3694+1,0)</f>
        <v>0</v>
      </c>
      <c r="O3694" s="370" cm="1">
        <f t="array" ref="O3694">+_xlfn.SWITCH(MONTH(C3694),1,1,2,1,3,1,4,2,5,2,6,3,7,3,8,3,9,3,10,2,11,2,12,1,2)</f>
        <v>1</v>
      </c>
      <c r="P3694" s="43"/>
    </row>
    <row r="3695" spans="1:16" ht="18" x14ac:dyDescent="0.35">
      <c r="A3695" s="43"/>
      <c r="C3695" s="393"/>
      <c r="E3695" s="394"/>
      <c r="F3695" s="394">
        <v>0</v>
      </c>
      <c r="G3695" s="394"/>
      <c r="H3695" s="8" t="s">
        <v>235</v>
      </c>
      <c r="I3695" s="368">
        <f t="shared" si="172"/>
        <v>0</v>
      </c>
      <c r="J3695" s="365">
        <f t="shared" si="171"/>
        <v>0</v>
      </c>
      <c r="K3695" s="369">
        <f t="shared" si="173"/>
        <v>6</v>
      </c>
      <c r="L3695" s="369">
        <f>+IF((C3695&gt;='Resultats - informe'!$E$16)*(C3695&lt;='Resultats - informe'!$G$16),1,0)</f>
        <v>1</v>
      </c>
      <c r="M3695" s="369" cm="1">
        <f t="array" ref="M3695">+_xlfn.IFS((C3695&gt;='Resultats - informe'!$D$26)*(C3695&lt;='Resultats - informe'!$E$26),0,(C3695&gt;='Resultats - informe'!$D$27)*(C3695&lt;='Resultats - informe'!$E$27),0,(C3695&gt;='Resultats - informe'!$D$28)*(C3695&lt;='Resultats - informe'!$E$28),0,(C3695&gt;='Resultats - informe'!$D$29)*(C3695&lt;='Resultats - informe'!$E$29),0,1,1)</f>
        <v>0</v>
      </c>
      <c r="N3695" s="366">
        <f>+VLOOKUP(D3695,'Resultats - informe'!$Y$18:$AG$42,'Introducció dades consum'!K3695+1,0)</f>
        <v>0</v>
      </c>
      <c r="O3695" s="370" cm="1">
        <f t="array" ref="O3695">+_xlfn.SWITCH(MONTH(C3695),1,1,2,1,3,1,4,2,5,2,6,3,7,3,8,3,9,3,10,2,11,2,12,1,2)</f>
        <v>1</v>
      </c>
      <c r="P3695" s="43"/>
    </row>
    <row r="3696" spans="1:16" ht="18" x14ac:dyDescent="0.35">
      <c r="A3696" s="43"/>
      <c r="C3696" s="393"/>
      <c r="E3696" s="394"/>
      <c r="F3696" s="394">
        <v>0</v>
      </c>
      <c r="G3696" s="394"/>
      <c r="H3696" s="8" t="s">
        <v>235</v>
      </c>
      <c r="I3696" s="368">
        <f t="shared" si="172"/>
        <v>0</v>
      </c>
      <c r="J3696" s="365">
        <f t="shared" si="171"/>
        <v>0</v>
      </c>
      <c r="K3696" s="369">
        <f t="shared" si="173"/>
        <v>6</v>
      </c>
      <c r="L3696" s="369">
        <f>+IF((C3696&gt;='Resultats - informe'!$E$16)*(C3696&lt;='Resultats - informe'!$G$16),1,0)</f>
        <v>1</v>
      </c>
      <c r="M3696" s="369" cm="1">
        <f t="array" ref="M3696">+_xlfn.IFS((C3696&gt;='Resultats - informe'!$D$26)*(C3696&lt;='Resultats - informe'!$E$26),0,(C3696&gt;='Resultats - informe'!$D$27)*(C3696&lt;='Resultats - informe'!$E$27),0,(C3696&gt;='Resultats - informe'!$D$28)*(C3696&lt;='Resultats - informe'!$E$28),0,(C3696&gt;='Resultats - informe'!$D$29)*(C3696&lt;='Resultats - informe'!$E$29),0,1,1)</f>
        <v>0</v>
      </c>
      <c r="N3696" s="366">
        <f>+VLOOKUP(D3696,'Resultats - informe'!$Y$18:$AG$42,'Introducció dades consum'!K3696+1,0)</f>
        <v>0</v>
      </c>
      <c r="O3696" s="370" cm="1">
        <f t="array" ref="O3696">+_xlfn.SWITCH(MONTH(C3696),1,1,2,1,3,1,4,2,5,2,6,3,7,3,8,3,9,3,10,2,11,2,12,1,2)</f>
        <v>1</v>
      </c>
      <c r="P3696" s="43"/>
    </row>
    <row r="3697" spans="1:16" ht="18" x14ac:dyDescent="0.35">
      <c r="A3697" s="43"/>
      <c r="C3697" s="393"/>
      <c r="E3697" s="394"/>
      <c r="F3697" s="394">
        <v>0</v>
      </c>
      <c r="G3697" s="394"/>
      <c r="H3697" s="8" t="s">
        <v>235</v>
      </c>
      <c r="I3697" s="368">
        <f t="shared" si="172"/>
        <v>0</v>
      </c>
      <c r="J3697" s="365">
        <f t="shared" si="171"/>
        <v>0</v>
      </c>
      <c r="K3697" s="369">
        <f t="shared" si="173"/>
        <v>6</v>
      </c>
      <c r="L3697" s="369">
        <f>+IF((C3697&gt;='Resultats - informe'!$E$16)*(C3697&lt;='Resultats - informe'!$G$16),1,0)</f>
        <v>1</v>
      </c>
      <c r="M3697" s="369" cm="1">
        <f t="array" ref="M3697">+_xlfn.IFS((C3697&gt;='Resultats - informe'!$D$26)*(C3697&lt;='Resultats - informe'!$E$26),0,(C3697&gt;='Resultats - informe'!$D$27)*(C3697&lt;='Resultats - informe'!$E$27),0,(C3697&gt;='Resultats - informe'!$D$28)*(C3697&lt;='Resultats - informe'!$E$28),0,(C3697&gt;='Resultats - informe'!$D$29)*(C3697&lt;='Resultats - informe'!$E$29),0,1,1)</f>
        <v>0</v>
      </c>
      <c r="N3697" s="366">
        <f>+VLOOKUP(D3697,'Resultats - informe'!$Y$18:$AG$42,'Introducció dades consum'!K3697+1,0)</f>
        <v>0</v>
      </c>
      <c r="O3697" s="370" cm="1">
        <f t="array" ref="O3697">+_xlfn.SWITCH(MONTH(C3697),1,1,2,1,3,1,4,2,5,2,6,3,7,3,8,3,9,3,10,2,11,2,12,1,2)</f>
        <v>1</v>
      </c>
      <c r="P3697" s="43"/>
    </row>
    <row r="3698" spans="1:16" ht="18" x14ac:dyDescent="0.35">
      <c r="A3698" s="43"/>
      <c r="C3698" s="393"/>
      <c r="E3698" s="394"/>
      <c r="F3698" s="394">
        <v>0</v>
      </c>
      <c r="G3698" s="394"/>
      <c r="H3698" s="8" t="s">
        <v>235</v>
      </c>
      <c r="I3698" s="368">
        <f t="shared" si="172"/>
        <v>0</v>
      </c>
      <c r="J3698" s="365">
        <f t="shared" si="171"/>
        <v>0</v>
      </c>
      <c r="K3698" s="369">
        <f t="shared" si="173"/>
        <v>6</v>
      </c>
      <c r="L3698" s="369">
        <f>+IF((C3698&gt;='Resultats - informe'!$E$16)*(C3698&lt;='Resultats - informe'!$G$16),1,0)</f>
        <v>1</v>
      </c>
      <c r="M3698" s="369" cm="1">
        <f t="array" ref="M3698">+_xlfn.IFS((C3698&gt;='Resultats - informe'!$D$26)*(C3698&lt;='Resultats - informe'!$E$26),0,(C3698&gt;='Resultats - informe'!$D$27)*(C3698&lt;='Resultats - informe'!$E$27),0,(C3698&gt;='Resultats - informe'!$D$28)*(C3698&lt;='Resultats - informe'!$E$28),0,(C3698&gt;='Resultats - informe'!$D$29)*(C3698&lt;='Resultats - informe'!$E$29),0,1,1)</f>
        <v>0</v>
      </c>
      <c r="N3698" s="366">
        <f>+VLOOKUP(D3698,'Resultats - informe'!$Y$18:$AG$42,'Introducció dades consum'!K3698+1,0)</f>
        <v>0</v>
      </c>
      <c r="O3698" s="370" cm="1">
        <f t="array" ref="O3698">+_xlfn.SWITCH(MONTH(C3698),1,1,2,1,3,1,4,2,5,2,6,3,7,3,8,3,9,3,10,2,11,2,12,1,2)</f>
        <v>1</v>
      </c>
      <c r="P3698" s="43"/>
    </row>
    <row r="3699" spans="1:16" ht="18" x14ac:dyDescent="0.35">
      <c r="A3699" s="43"/>
      <c r="C3699" s="393"/>
      <c r="E3699" s="394"/>
      <c r="F3699" s="394">
        <v>0</v>
      </c>
      <c r="G3699" s="394"/>
      <c r="H3699" s="8" t="s">
        <v>235</v>
      </c>
      <c r="I3699" s="368">
        <f t="shared" si="172"/>
        <v>0</v>
      </c>
      <c r="J3699" s="365">
        <f t="shared" si="171"/>
        <v>0</v>
      </c>
      <c r="K3699" s="369">
        <f t="shared" si="173"/>
        <v>6</v>
      </c>
      <c r="L3699" s="369">
        <f>+IF((C3699&gt;='Resultats - informe'!$E$16)*(C3699&lt;='Resultats - informe'!$G$16),1,0)</f>
        <v>1</v>
      </c>
      <c r="M3699" s="369" cm="1">
        <f t="array" ref="M3699">+_xlfn.IFS((C3699&gt;='Resultats - informe'!$D$26)*(C3699&lt;='Resultats - informe'!$E$26),0,(C3699&gt;='Resultats - informe'!$D$27)*(C3699&lt;='Resultats - informe'!$E$27),0,(C3699&gt;='Resultats - informe'!$D$28)*(C3699&lt;='Resultats - informe'!$E$28),0,(C3699&gt;='Resultats - informe'!$D$29)*(C3699&lt;='Resultats - informe'!$E$29),0,1,1)</f>
        <v>0</v>
      </c>
      <c r="N3699" s="366">
        <f>+VLOOKUP(D3699,'Resultats - informe'!$Y$18:$AG$42,'Introducció dades consum'!K3699+1,0)</f>
        <v>0</v>
      </c>
      <c r="O3699" s="370" cm="1">
        <f t="array" ref="O3699">+_xlfn.SWITCH(MONTH(C3699),1,1,2,1,3,1,4,2,5,2,6,3,7,3,8,3,9,3,10,2,11,2,12,1,2)</f>
        <v>1</v>
      </c>
      <c r="P3699" s="43"/>
    </row>
    <row r="3700" spans="1:16" ht="18" x14ac:dyDescent="0.35">
      <c r="A3700" s="43"/>
      <c r="C3700" s="393"/>
      <c r="E3700" s="394"/>
      <c r="F3700" s="394">
        <v>0</v>
      </c>
      <c r="G3700" s="394"/>
      <c r="H3700" s="8" t="s">
        <v>235</v>
      </c>
      <c r="I3700" s="368">
        <f t="shared" si="172"/>
        <v>0</v>
      </c>
      <c r="J3700" s="365">
        <f t="shared" si="171"/>
        <v>0</v>
      </c>
      <c r="K3700" s="369">
        <f t="shared" si="173"/>
        <v>6</v>
      </c>
      <c r="L3700" s="369">
        <f>+IF((C3700&gt;='Resultats - informe'!$E$16)*(C3700&lt;='Resultats - informe'!$G$16),1,0)</f>
        <v>1</v>
      </c>
      <c r="M3700" s="369" cm="1">
        <f t="array" ref="M3700">+_xlfn.IFS((C3700&gt;='Resultats - informe'!$D$26)*(C3700&lt;='Resultats - informe'!$E$26),0,(C3700&gt;='Resultats - informe'!$D$27)*(C3700&lt;='Resultats - informe'!$E$27),0,(C3700&gt;='Resultats - informe'!$D$28)*(C3700&lt;='Resultats - informe'!$E$28),0,(C3700&gt;='Resultats - informe'!$D$29)*(C3700&lt;='Resultats - informe'!$E$29),0,1,1)</f>
        <v>0</v>
      </c>
      <c r="N3700" s="366">
        <f>+VLOOKUP(D3700,'Resultats - informe'!$Y$18:$AG$42,'Introducció dades consum'!K3700+1,0)</f>
        <v>0</v>
      </c>
      <c r="O3700" s="370" cm="1">
        <f t="array" ref="O3700">+_xlfn.SWITCH(MONTH(C3700),1,1,2,1,3,1,4,2,5,2,6,3,7,3,8,3,9,3,10,2,11,2,12,1,2)</f>
        <v>1</v>
      </c>
      <c r="P3700" s="43"/>
    </row>
    <row r="3701" spans="1:16" ht="18" x14ac:dyDescent="0.35">
      <c r="A3701" s="43"/>
      <c r="C3701" s="393"/>
      <c r="E3701" s="394"/>
      <c r="F3701" s="394">
        <v>0</v>
      </c>
      <c r="G3701" s="394"/>
      <c r="H3701" s="8" t="s">
        <v>235</v>
      </c>
      <c r="I3701" s="368">
        <f t="shared" si="172"/>
        <v>0</v>
      </c>
      <c r="J3701" s="365">
        <f t="shared" si="171"/>
        <v>0</v>
      </c>
      <c r="K3701" s="369">
        <f t="shared" si="173"/>
        <v>6</v>
      </c>
      <c r="L3701" s="369">
        <f>+IF((C3701&gt;='Resultats - informe'!$E$16)*(C3701&lt;='Resultats - informe'!$G$16),1,0)</f>
        <v>1</v>
      </c>
      <c r="M3701" s="369" cm="1">
        <f t="array" ref="M3701">+_xlfn.IFS((C3701&gt;='Resultats - informe'!$D$26)*(C3701&lt;='Resultats - informe'!$E$26),0,(C3701&gt;='Resultats - informe'!$D$27)*(C3701&lt;='Resultats - informe'!$E$27),0,(C3701&gt;='Resultats - informe'!$D$28)*(C3701&lt;='Resultats - informe'!$E$28),0,(C3701&gt;='Resultats - informe'!$D$29)*(C3701&lt;='Resultats - informe'!$E$29),0,1,1)</f>
        <v>0</v>
      </c>
      <c r="N3701" s="366">
        <f>+VLOOKUP(D3701,'Resultats - informe'!$Y$18:$AG$42,'Introducció dades consum'!K3701+1,0)</f>
        <v>0</v>
      </c>
      <c r="O3701" s="370" cm="1">
        <f t="array" ref="O3701">+_xlfn.SWITCH(MONTH(C3701),1,1,2,1,3,1,4,2,5,2,6,3,7,3,8,3,9,3,10,2,11,2,12,1,2)</f>
        <v>1</v>
      </c>
      <c r="P3701" s="43"/>
    </row>
    <row r="3702" spans="1:16" ht="18" x14ac:dyDescent="0.35">
      <c r="A3702" s="43"/>
      <c r="C3702" s="393"/>
      <c r="E3702" s="394"/>
      <c r="F3702" s="394">
        <v>0</v>
      </c>
      <c r="G3702" s="394"/>
      <c r="H3702" s="8" t="s">
        <v>235</v>
      </c>
      <c r="I3702" s="368">
        <f t="shared" si="172"/>
        <v>0</v>
      </c>
      <c r="J3702" s="365">
        <f t="shared" si="171"/>
        <v>0</v>
      </c>
      <c r="K3702" s="369">
        <f t="shared" si="173"/>
        <v>6</v>
      </c>
      <c r="L3702" s="369">
        <f>+IF((C3702&gt;='Resultats - informe'!$E$16)*(C3702&lt;='Resultats - informe'!$G$16),1,0)</f>
        <v>1</v>
      </c>
      <c r="M3702" s="369" cm="1">
        <f t="array" ref="M3702">+_xlfn.IFS((C3702&gt;='Resultats - informe'!$D$26)*(C3702&lt;='Resultats - informe'!$E$26),0,(C3702&gt;='Resultats - informe'!$D$27)*(C3702&lt;='Resultats - informe'!$E$27),0,(C3702&gt;='Resultats - informe'!$D$28)*(C3702&lt;='Resultats - informe'!$E$28),0,(C3702&gt;='Resultats - informe'!$D$29)*(C3702&lt;='Resultats - informe'!$E$29),0,1,1)</f>
        <v>0</v>
      </c>
      <c r="N3702" s="366">
        <f>+VLOOKUP(D3702,'Resultats - informe'!$Y$18:$AG$42,'Introducció dades consum'!K3702+1,0)</f>
        <v>0</v>
      </c>
      <c r="O3702" s="370" cm="1">
        <f t="array" ref="O3702">+_xlfn.SWITCH(MONTH(C3702),1,1,2,1,3,1,4,2,5,2,6,3,7,3,8,3,9,3,10,2,11,2,12,1,2)</f>
        <v>1</v>
      </c>
      <c r="P3702" s="43"/>
    </row>
    <row r="3703" spans="1:16" ht="18" x14ac:dyDescent="0.35">
      <c r="A3703" s="43"/>
      <c r="C3703" s="393"/>
      <c r="E3703" s="394"/>
      <c r="F3703" s="394">
        <v>0</v>
      </c>
      <c r="G3703" s="394"/>
      <c r="H3703" s="8" t="s">
        <v>235</v>
      </c>
      <c r="I3703" s="368">
        <f t="shared" si="172"/>
        <v>0</v>
      </c>
      <c r="J3703" s="365">
        <f t="shared" si="171"/>
        <v>0</v>
      </c>
      <c r="K3703" s="369">
        <f t="shared" si="173"/>
        <v>6</v>
      </c>
      <c r="L3703" s="369">
        <f>+IF((C3703&gt;='Resultats - informe'!$E$16)*(C3703&lt;='Resultats - informe'!$G$16),1,0)</f>
        <v>1</v>
      </c>
      <c r="M3703" s="369" cm="1">
        <f t="array" ref="M3703">+_xlfn.IFS((C3703&gt;='Resultats - informe'!$D$26)*(C3703&lt;='Resultats - informe'!$E$26),0,(C3703&gt;='Resultats - informe'!$D$27)*(C3703&lt;='Resultats - informe'!$E$27),0,(C3703&gt;='Resultats - informe'!$D$28)*(C3703&lt;='Resultats - informe'!$E$28),0,(C3703&gt;='Resultats - informe'!$D$29)*(C3703&lt;='Resultats - informe'!$E$29),0,1,1)</f>
        <v>0</v>
      </c>
      <c r="N3703" s="366">
        <f>+VLOOKUP(D3703,'Resultats - informe'!$Y$18:$AG$42,'Introducció dades consum'!K3703+1,0)</f>
        <v>0</v>
      </c>
      <c r="O3703" s="370" cm="1">
        <f t="array" ref="O3703">+_xlfn.SWITCH(MONTH(C3703),1,1,2,1,3,1,4,2,5,2,6,3,7,3,8,3,9,3,10,2,11,2,12,1,2)</f>
        <v>1</v>
      </c>
      <c r="P3703" s="43"/>
    </row>
    <row r="3704" spans="1:16" ht="18" x14ac:dyDescent="0.35">
      <c r="A3704" s="43"/>
      <c r="C3704" s="393"/>
      <c r="E3704" s="394"/>
      <c r="F3704" s="394">
        <v>0</v>
      </c>
      <c r="G3704" s="394"/>
      <c r="H3704" s="8" t="s">
        <v>235</v>
      </c>
      <c r="I3704" s="368">
        <f t="shared" si="172"/>
        <v>0</v>
      </c>
      <c r="J3704" s="365">
        <f t="shared" si="171"/>
        <v>0</v>
      </c>
      <c r="K3704" s="369">
        <f t="shared" si="173"/>
        <v>6</v>
      </c>
      <c r="L3704" s="369">
        <f>+IF((C3704&gt;='Resultats - informe'!$E$16)*(C3704&lt;='Resultats - informe'!$G$16),1,0)</f>
        <v>1</v>
      </c>
      <c r="M3704" s="369" cm="1">
        <f t="array" ref="M3704">+_xlfn.IFS((C3704&gt;='Resultats - informe'!$D$26)*(C3704&lt;='Resultats - informe'!$E$26),0,(C3704&gt;='Resultats - informe'!$D$27)*(C3704&lt;='Resultats - informe'!$E$27),0,(C3704&gt;='Resultats - informe'!$D$28)*(C3704&lt;='Resultats - informe'!$E$28),0,(C3704&gt;='Resultats - informe'!$D$29)*(C3704&lt;='Resultats - informe'!$E$29),0,1,1)</f>
        <v>0</v>
      </c>
      <c r="N3704" s="366">
        <f>+VLOOKUP(D3704,'Resultats - informe'!$Y$18:$AG$42,'Introducció dades consum'!K3704+1,0)</f>
        <v>0</v>
      </c>
      <c r="O3704" s="370" cm="1">
        <f t="array" ref="O3704">+_xlfn.SWITCH(MONTH(C3704),1,1,2,1,3,1,4,2,5,2,6,3,7,3,8,3,9,3,10,2,11,2,12,1,2)</f>
        <v>1</v>
      </c>
      <c r="P3704" s="43"/>
    </row>
    <row r="3705" spans="1:16" ht="18" x14ac:dyDescent="0.35">
      <c r="A3705" s="43"/>
      <c r="C3705" s="393"/>
      <c r="E3705" s="394"/>
      <c r="F3705" s="394">
        <v>0.19900000000000001</v>
      </c>
      <c r="G3705" s="394"/>
      <c r="H3705" s="8" t="s">
        <v>235</v>
      </c>
      <c r="I3705" s="368">
        <f t="shared" si="172"/>
        <v>0</v>
      </c>
      <c r="J3705" s="365">
        <f t="shared" si="171"/>
        <v>0</v>
      </c>
      <c r="K3705" s="369">
        <f t="shared" si="173"/>
        <v>6</v>
      </c>
      <c r="L3705" s="369">
        <f>+IF((C3705&gt;='Resultats - informe'!$E$16)*(C3705&lt;='Resultats - informe'!$G$16),1,0)</f>
        <v>1</v>
      </c>
      <c r="M3705" s="369" cm="1">
        <f t="array" ref="M3705">+_xlfn.IFS((C3705&gt;='Resultats - informe'!$D$26)*(C3705&lt;='Resultats - informe'!$E$26),0,(C3705&gt;='Resultats - informe'!$D$27)*(C3705&lt;='Resultats - informe'!$E$27),0,(C3705&gt;='Resultats - informe'!$D$28)*(C3705&lt;='Resultats - informe'!$E$28),0,(C3705&gt;='Resultats - informe'!$D$29)*(C3705&lt;='Resultats - informe'!$E$29),0,1,1)</f>
        <v>0</v>
      </c>
      <c r="N3705" s="366">
        <f>+VLOOKUP(D3705,'Resultats - informe'!$Y$18:$AG$42,'Introducció dades consum'!K3705+1,0)</f>
        <v>0</v>
      </c>
      <c r="O3705" s="370" cm="1">
        <f t="array" ref="O3705">+_xlfn.SWITCH(MONTH(C3705),1,1,2,1,3,1,4,2,5,2,6,3,7,3,8,3,9,3,10,2,11,2,12,1,2)</f>
        <v>1</v>
      </c>
      <c r="P3705" s="43"/>
    </row>
    <row r="3706" spans="1:16" ht="18" x14ac:dyDescent="0.35">
      <c r="A3706" s="43"/>
      <c r="C3706" s="393"/>
      <c r="E3706" s="394"/>
      <c r="F3706" s="394">
        <v>0.80100000000000005</v>
      </c>
      <c r="G3706" s="394"/>
      <c r="H3706" s="8" t="s">
        <v>235</v>
      </c>
      <c r="I3706" s="368">
        <f t="shared" si="172"/>
        <v>0</v>
      </c>
      <c r="J3706" s="365">
        <f t="shared" si="171"/>
        <v>0</v>
      </c>
      <c r="K3706" s="369">
        <f t="shared" si="173"/>
        <v>6</v>
      </c>
      <c r="L3706" s="369">
        <f>+IF((C3706&gt;='Resultats - informe'!$E$16)*(C3706&lt;='Resultats - informe'!$G$16),1,0)</f>
        <v>1</v>
      </c>
      <c r="M3706" s="369" cm="1">
        <f t="array" ref="M3706">+_xlfn.IFS((C3706&gt;='Resultats - informe'!$D$26)*(C3706&lt;='Resultats - informe'!$E$26),0,(C3706&gt;='Resultats - informe'!$D$27)*(C3706&lt;='Resultats - informe'!$E$27),0,(C3706&gt;='Resultats - informe'!$D$28)*(C3706&lt;='Resultats - informe'!$E$28),0,(C3706&gt;='Resultats - informe'!$D$29)*(C3706&lt;='Resultats - informe'!$E$29),0,1,1)</f>
        <v>0</v>
      </c>
      <c r="N3706" s="366">
        <f>+VLOOKUP(D3706,'Resultats - informe'!$Y$18:$AG$42,'Introducció dades consum'!K3706+1,0)</f>
        <v>0</v>
      </c>
      <c r="O3706" s="370" cm="1">
        <f t="array" ref="O3706">+_xlfn.SWITCH(MONTH(C3706),1,1,2,1,3,1,4,2,5,2,6,3,7,3,8,3,9,3,10,2,11,2,12,1,2)</f>
        <v>1</v>
      </c>
      <c r="P3706" s="43"/>
    </row>
    <row r="3707" spans="1:16" ht="18" x14ac:dyDescent="0.35">
      <c r="A3707" s="43"/>
      <c r="C3707" s="393"/>
      <c r="E3707" s="394"/>
      <c r="F3707" s="394">
        <v>1.3620000000000001</v>
      </c>
      <c r="G3707" s="394"/>
      <c r="H3707" s="8" t="s">
        <v>235</v>
      </c>
      <c r="I3707" s="368">
        <f t="shared" si="172"/>
        <v>0</v>
      </c>
      <c r="J3707" s="365">
        <f t="shared" ref="J3707:J3770" si="174">+C3707</f>
        <v>0</v>
      </c>
      <c r="K3707" s="369">
        <f t="shared" si="173"/>
        <v>6</v>
      </c>
      <c r="L3707" s="369">
        <f>+IF((C3707&gt;='Resultats - informe'!$E$16)*(C3707&lt;='Resultats - informe'!$G$16),1,0)</f>
        <v>1</v>
      </c>
      <c r="M3707" s="369" cm="1">
        <f t="array" ref="M3707">+_xlfn.IFS((C3707&gt;='Resultats - informe'!$D$26)*(C3707&lt;='Resultats - informe'!$E$26),0,(C3707&gt;='Resultats - informe'!$D$27)*(C3707&lt;='Resultats - informe'!$E$27),0,(C3707&gt;='Resultats - informe'!$D$28)*(C3707&lt;='Resultats - informe'!$E$28),0,(C3707&gt;='Resultats - informe'!$D$29)*(C3707&lt;='Resultats - informe'!$E$29),0,1,1)</f>
        <v>0</v>
      </c>
      <c r="N3707" s="366">
        <f>+VLOOKUP(D3707,'Resultats - informe'!$Y$18:$AG$42,'Introducció dades consum'!K3707+1,0)</f>
        <v>0</v>
      </c>
      <c r="O3707" s="370" cm="1">
        <f t="array" ref="O3707">+_xlfn.SWITCH(MONTH(C3707),1,1,2,1,3,1,4,2,5,2,6,3,7,3,8,3,9,3,10,2,11,2,12,1,2)</f>
        <v>1</v>
      </c>
      <c r="P3707" s="43"/>
    </row>
    <row r="3708" spans="1:16" ht="18" x14ac:dyDescent="0.35">
      <c r="A3708" s="43"/>
      <c r="C3708" s="393"/>
      <c r="E3708" s="394"/>
      <c r="F3708" s="394">
        <v>2.8450000000000002</v>
      </c>
      <c r="G3708" s="394"/>
      <c r="H3708" s="8" t="s">
        <v>235</v>
      </c>
      <c r="I3708" s="368">
        <f t="shared" si="172"/>
        <v>0</v>
      </c>
      <c r="J3708" s="365">
        <f t="shared" si="174"/>
        <v>0</v>
      </c>
      <c r="K3708" s="369">
        <f t="shared" si="173"/>
        <v>6</v>
      </c>
      <c r="L3708" s="369">
        <f>+IF((C3708&gt;='Resultats - informe'!$E$16)*(C3708&lt;='Resultats - informe'!$G$16),1,0)</f>
        <v>1</v>
      </c>
      <c r="M3708" s="369" cm="1">
        <f t="array" ref="M3708">+_xlfn.IFS((C3708&gt;='Resultats - informe'!$D$26)*(C3708&lt;='Resultats - informe'!$E$26),0,(C3708&gt;='Resultats - informe'!$D$27)*(C3708&lt;='Resultats - informe'!$E$27),0,(C3708&gt;='Resultats - informe'!$D$28)*(C3708&lt;='Resultats - informe'!$E$28),0,(C3708&gt;='Resultats - informe'!$D$29)*(C3708&lt;='Resultats - informe'!$E$29),0,1,1)</f>
        <v>0</v>
      </c>
      <c r="N3708" s="366">
        <f>+VLOOKUP(D3708,'Resultats - informe'!$Y$18:$AG$42,'Introducció dades consum'!K3708+1,0)</f>
        <v>0</v>
      </c>
      <c r="O3708" s="370" cm="1">
        <f t="array" ref="O3708">+_xlfn.SWITCH(MONTH(C3708),1,1,2,1,3,1,4,2,5,2,6,3,7,3,8,3,9,3,10,2,11,2,12,1,2)</f>
        <v>1</v>
      </c>
      <c r="P3708" s="43"/>
    </row>
    <row r="3709" spans="1:16" ht="18" x14ac:dyDescent="0.35">
      <c r="A3709" s="43"/>
      <c r="C3709" s="393"/>
      <c r="E3709" s="394"/>
      <c r="F3709" s="394">
        <v>3.43</v>
      </c>
      <c r="G3709" s="394"/>
      <c r="H3709" s="8" t="s">
        <v>235</v>
      </c>
      <c r="I3709" s="368">
        <f t="shared" si="172"/>
        <v>0</v>
      </c>
      <c r="J3709" s="365">
        <f t="shared" si="174"/>
        <v>0</v>
      </c>
      <c r="K3709" s="369">
        <f t="shared" si="173"/>
        <v>6</v>
      </c>
      <c r="L3709" s="369">
        <f>+IF((C3709&gt;='Resultats - informe'!$E$16)*(C3709&lt;='Resultats - informe'!$G$16),1,0)</f>
        <v>1</v>
      </c>
      <c r="M3709" s="369" cm="1">
        <f t="array" ref="M3709">+_xlfn.IFS((C3709&gt;='Resultats - informe'!$D$26)*(C3709&lt;='Resultats - informe'!$E$26),0,(C3709&gt;='Resultats - informe'!$D$27)*(C3709&lt;='Resultats - informe'!$E$27),0,(C3709&gt;='Resultats - informe'!$D$28)*(C3709&lt;='Resultats - informe'!$E$28),0,(C3709&gt;='Resultats - informe'!$D$29)*(C3709&lt;='Resultats - informe'!$E$29),0,1,1)</f>
        <v>0</v>
      </c>
      <c r="N3709" s="366">
        <f>+VLOOKUP(D3709,'Resultats - informe'!$Y$18:$AG$42,'Introducció dades consum'!K3709+1,0)</f>
        <v>0</v>
      </c>
      <c r="O3709" s="370" cm="1">
        <f t="array" ref="O3709">+_xlfn.SWITCH(MONTH(C3709),1,1,2,1,3,1,4,2,5,2,6,3,7,3,8,3,9,3,10,2,11,2,12,1,2)</f>
        <v>1</v>
      </c>
      <c r="P3709" s="43"/>
    </row>
    <row r="3710" spans="1:16" ht="18" x14ac:dyDescent="0.35">
      <c r="A3710" s="43"/>
      <c r="C3710" s="393"/>
      <c r="E3710" s="394"/>
      <c r="F3710" s="394">
        <v>4.7750000000000004</v>
      </c>
      <c r="G3710" s="394"/>
      <c r="H3710" s="8" t="s">
        <v>235</v>
      </c>
      <c r="I3710" s="368">
        <f t="shared" si="172"/>
        <v>0</v>
      </c>
      <c r="J3710" s="365">
        <f t="shared" si="174"/>
        <v>0</v>
      </c>
      <c r="K3710" s="369">
        <f t="shared" si="173"/>
        <v>6</v>
      </c>
      <c r="L3710" s="369">
        <f>+IF((C3710&gt;='Resultats - informe'!$E$16)*(C3710&lt;='Resultats - informe'!$G$16),1,0)</f>
        <v>1</v>
      </c>
      <c r="M3710" s="369" cm="1">
        <f t="array" ref="M3710">+_xlfn.IFS((C3710&gt;='Resultats - informe'!$D$26)*(C3710&lt;='Resultats - informe'!$E$26),0,(C3710&gt;='Resultats - informe'!$D$27)*(C3710&lt;='Resultats - informe'!$E$27),0,(C3710&gt;='Resultats - informe'!$D$28)*(C3710&lt;='Resultats - informe'!$E$28),0,(C3710&gt;='Resultats - informe'!$D$29)*(C3710&lt;='Resultats - informe'!$E$29),0,1,1)</f>
        <v>0</v>
      </c>
      <c r="N3710" s="366">
        <f>+VLOOKUP(D3710,'Resultats - informe'!$Y$18:$AG$42,'Introducció dades consum'!K3710+1,0)</f>
        <v>0</v>
      </c>
      <c r="O3710" s="370" cm="1">
        <f t="array" ref="O3710">+_xlfn.SWITCH(MONTH(C3710),1,1,2,1,3,1,4,2,5,2,6,3,7,3,8,3,9,3,10,2,11,2,12,1,2)</f>
        <v>1</v>
      </c>
      <c r="P3710" s="43"/>
    </row>
    <row r="3711" spans="1:16" ht="18" x14ac:dyDescent="0.35">
      <c r="A3711" s="43"/>
      <c r="C3711" s="393"/>
      <c r="E3711" s="394"/>
      <c r="F3711" s="394">
        <v>4.9939999999999998</v>
      </c>
      <c r="G3711" s="394"/>
      <c r="H3711" s="8" t="s">
        <v>235</v>
      </c>
      <c r="I3711" s="368">
        <f t="shared" si="172"/>
        <v>0</v>
      </c>
      <c r="J3711" s="365">
        <f t="shared" si="174"/>
        <v>0</v>
      </c>
      <c r="K3711" s="369">
        <f t="shared" si="173"/>
        <v>6</v>
      </c>
      <c r="L3711" s="369">
        <f>+IF((C3711&gt;='Resultats - informe'!$E$16)*(C3711&lt;='Resultats - informe'!$G$16),1,0)</f>
        <v>1</v>
      </c>
      <c r="M3711" s="369" cm="1">
        <f t="array" ref="M3711">+_xlfn.IFS((C3711&gt;='Resultats - informe'!$D$26)*(C3711&lt;='Resultats - informe'!$E$26),0,(C3711&gt;='Resultats - informe'!$D$27)*(C3711&lt;='Resultats - informe'!$E$27),0,(C3711&gt;='Resultats - informe'!$D$28)*(C3711&lt;='Resultats - informe'!$E$28),0,(C3711&gt;='Resultats - informe'!$D$29)*(C3711&lt;='Resultats - informe'!$E$29),0,1,1)</f>
        <v>0</v>
      </c>
      <c r="N3711" s="366">
        <f>+VLOOKUP(D3711,'Resultats - informe'!$Y$18:$AG$42,'Introducció dades consum'!K3711+1,0)</f>
        <v>0</v>
      </c>
      <c r="O3711" s="370" cm="1">
        <f t="array" ref="O3711">+_xlfn.SWITCH(MONTH(C3711),1,1,2,1,3,1,4,2,5,2,6,3,7,3,8,3,9,3,10,2,11,2,12,1,2)</f>
        <v>1</v>
      </c>
      <c r="P3711" s="43"/>
    </row>
    <row r="3712" spans="1:16" ht="18" x14ac:dyDescent="0.35">
      <c r="A3712" s="43"/>
      <c r="C3712" s="393"/>
      <c r="E3712" s="394"/>
      <c r="F3712" s="394">
        <v>4.8230000000000004</v>
      </c>
      <c r="G3712" s="394"/>
      <c r="H3712" s="8" t="s">
        <v>235</v>
      </c>
      <c r="I3712" s="368">
        <f t="shared" si="172"/>
        <v>0</v>
      </c>
      <c r="J3712" s="365">
        <f t="shared" si="174"/>
        <v>0</v>
      </c>
      <c r="K3712" s="369">
        <f t="shared" si="173"/>
        <v>6</v>
      </c>
      <c r="L3712" s="369">
        <f>+IF((C3712&gt;='Resultats - informe'!$E$16)*(C3712&lt;='Resultats - informe'!$G$16),1,0)</f>
        <v>1</v>
      </c>
      <c r="M3712" s="369" cm="1">
        <f t="array" ref="M3712">+_xlfn.IFS((C3712&gt;='Resultats - informe'!$D$26)*(C3712&lt;='Resultats - informe'!$E$26),0,(C3712&gt;='Resultats - informe'!$D$27)*(C3712&lt;='Resultats - informe'!$E$27),0,(C3712&gt;='Resultats - informe'!$D$28)*(C3712&lt;='Resultats - informe'!$E$28),0,(C3712&gt;='Resultats - informe'!$D$29)*(C3712&lt;='Resultats - informe'!$E$29),0,1,1)</f>
        <v>0</v>
      </c>
      <c r="N3712" s="366">
        <f>+VLOOKUP(D3712,'Resultats - informe'!$Y$18:$AG$42,'Introducció dades consum'!K3712+1,0)</f>
        <v>0</v>
      </c>
      <c r="O3712" s="370" cm="1">
        <f t="array" ref="O3712">+_xlfn.SWITCH(MONTH(C3712),1,1,2,1,3,1,4,2,5,2,6,3,7,3,8,3,9,3,10,2,11,2,12,1,2)</f>
        <v>1</v>
      </c>
      <c r="P3712" s="43"/>
    </row>
    <row r="3713" spans="1:16" ht="18" x14ac:dyDescent="0.35">
      <c r="A3713" s="43"/>
      <c r="C3713" s="393"/>
      <c r="E3713" s="394"/>
      <c r="F3713" s="394">
        <v>4.1870000000000003</v>
      </c>
      <c r="G3713" s="394"/>
      <c r="H3713" s="8" t="s">
        <v>235</v>
      </c>
      <c r="I3713" s="368">
        <f t="shared" si="172"/>
        <v>0</v>
      </c>
      <c r="J3713" s="365">
        <f t="shared" si="174"/>
        <v>0</v>
      </c>
      <c r="K3713" s="369">
        <f t="shared" si="173"/>
        <v>6</v>
      </c>
      <c r="L3713" s="369">
        <f>+IF((C3713&gt;='Resultats - informe'!$E$16)*(C3713&lt;='Resultats - informe'!$G$16),1,0)</f>
        <v>1</v>
      </c>
      <c r="M3713" s="369" cm="1">
        <f t="array" ref="M3713">+_xlfn.IFS((C3713&gt;='Resultats - informe'!$D$26)*(C3713&lt;='Resultats - informe'!$E$26),0,(C3713&gt;='Resultats - informe'!$D$27)*(C3713&lt;='Resultats - informe'!$E$27),0,(C3713&gt;='Resultats - informe'!$D$28)*(C3713&lt;='Resultats - informe'!$E$28),0,(C3713&gt;='Resultats - informe'!$D$29)*(C3713&lt;='Resultats - informe'!$E$29),0,1,1)</f>
        <v>0</v>
      </c>
      <c r="N3713" s="366">
        <f>+VLOOKUP(D3713,'Resultats - informe'!$Y$18:$AG$42,'Introducció dades consum'!K3713+1,0)</f>
        <v>0</v>
      </c>
      <c r="O3713" s="370" cm="1">
        <f t="array" ref="O3713">+_xlfn.SWITCH(MONTH(C3713),1,1,2,1,3,1,4,2,5,2,6,3,7,3,8,3,9,3,10,2,11,2,12,1,2)</f>
        <v>1</v>
      </c>
      <c r="P3713" s="43"/>
    </row>
    <row r="3714" spans="1:16" ht="18" x14ac:dyDescent="0.35">
      <c r="A3714" s="43"/>
      <c r="C3714" s="393"/>
      <c r="E3714" s="394"/>
      <c r="F3714" s="394">
        <v>2.9670000000000001</v>
      </c>
      <c r="G3714" s="394"/>
      <c r="H3714" s="8" t="s">
        <v>235</v>
      </c>
      <c r="I3714" s="368">
        <f t="shared" si="172"/>
        <v>0</v>
      </c>
      <c r="J3714" s="365">
        <f t="shared" si="174"/>
        <v>0</v>
      </c>
      <c r="K3714" s="369">
        <f t="shared" si="173"/>
        <v>6</v>
      </c>
      <c r="L3714" s="369">
        <f>+IF((C3714&gt;='Resultats - informe'!$E$16)*(C3714&lt;='Resultats - informe'!$G$16),1,0)</f>
        <v>1</v>
      </c>
      <c r="M3714" s="369" cm="1">
        <f t="array" ref="M3714">+_xlfn.IFS((C3714&gt;='Resultats - informe'!$D$26)*(C3714&lt;='Resultats - informe'!$E$26),0,(C3714&gt;='Resultats - informe'!$D$27)*(C3714&lt;='Resultats - informe'!$E$27),0,(C3714&gt;='Resultats - informe'!$D$28)*(C3714&lt;='Resultats - informe'!$E$28),0,(C3714&gt;='Resultats - informe'!$D$29)*(C3714&lt;='Resultats - informe'!$E$29),0,1,1)</f>
        <v>0</v>
      </c>
      <c r="N3714" s="366">
        <f>+VLOOKUP(D3714,'Resultats - informe'!$Y$18:$AG$42,'Introducció dades consum'!K3714+1,0)</f>
        <v>0</v>
      </c>
      <c r="O3714" s="370" cm="1">
        <f t="array" ref="O3714">+_xlfn.SWITCH(MONTH(C3714),1,1,2,1,3,1,4,2,5,2,6,3,7,3,8,3,9,3,10,2,11,2,12,1,2)</f>
        <v>1</v>
      </c>
      <c r="P3714" s="43"/>
    </row>
    <row r="3715" spans="1:16" ht="18" x14ac:dyDescent="0.35">
      <c r="A3715" s="43"/>
      <c r="C3715" s="393"/>
      <c r="E3715" s="394"/>
      <c r="F3715" s="394">
        <v>2.5329999999999999</v>
      </c>
      <c r="G3715" s="394"/>
      <c r="H3715" s="8" t="s">
        <v>235</v>
      </c>
      <c r="I3715" s="368">
        <f t="shared" si="172"/>
        <v>0</v>
      </c>
      <c r="J3715" s="365">
        <f t="shared" si="174"/>
        <v>0</v>
      </c>
      <c r="K3715" s="369">
        <f t="shared" si="173"/>
        <v>6</v>
      </c>
      <c r="L3715" s="369">
        <f>+IF((C3715&gt;='Resultats - informe'!$E$16)*(C3715&lt;='Resultats - informe'!$G$16),1,0)</f>
        <v>1</v>
      </c>
      <c r="M3715" s="369" cm="1">
        <f t="array" ref="M3715">+_xlfn.IFS((C3715&gt;='Resultats - informe'!$D$26)*(C3715&lt;='Resultats - informe'!$E$26),0,(C3715&gt;='Resultats - informe'!$D$27)*(C3715&lt;='Resultats - informe'!$E$27),0,(C3715&gt;='Resultats - informe'!$D$28)*(C3715&lt;='Resultats - informe'!$E$28),0,(C3715&gt;='Resultats - informe'!$D$29)*(C3715&lt;='Resultats - informe'!$E$29),0,1,1)</f>
        <v>0</v>
      </c>
      <c r="N3715" s="366">
        <f>+VLOOKUP(D3715,'Resultats - informe'!$Y$18:$AG$42,'Introducció dades consum'!K3715+1,0)</f>
        <v>0</v>
      </c>
      <c r="O3715" s="370" cm="1">
        <f t="array" ref="O3715">+_xlfn.SWITCH(MONTH(C3715),1,1,2,1,3,1,4,2,5,2,6,3,7,3,8,3,9,3,10,2,11,2,12,1,2)</f>
        <v>1</v>
      </c>
      <c r="P3715" s="43"/>
    </row>
    <row r="3716" spans="1:16" ht="18" x14ac:dyDescent="0.35">
      <c r="A3716" s="43"/>
      <c r="C3716" s="393"/>
      <c r="E3716" s="394"/>
      <c r="F3716" s="394">
        <v>1.46</v>
      </c>
      <c r="G3716" s="394"/>
      <c r="H3716" s="8" t="s">
        <v>235</v>
      </c>
      <c r="I3716" s="368">
        <f t="shared" si="172"/>
        <v>0</v>
      </c>
      <c r="J3716" s="365">
        <f t="shared" si="174"/>
        <v>0</v>
      </c>
      <c r="K3716" s="369">
        <f t="shared" si="173"/>
        <v>6</v>
      </c>
      <c r="L3716" s="369">
        <f>+IF((C3716&gt;='Resultats - informe'!$E$16)*(C3716&lt;='Resultats - informe'!$G$16),1,0)</f>
        <v>1</v>
      </c>
      <c r="M3716" s="369" cm="1">
        <f t="array" ref="M3716">+_xlfn.IFS((C3716&gt;='Resultats - informe'!$D$26)*(C3716&lt;='Resultats - informe'!$E$26),0,(C3716&gt;='Resultats - informe'!$D$27)*(C3716&lt;='Resultats - informe'!$E$27),0,(C3716&gt;='Resultats - informe'!$D$28)*(C3716&lt;='Resultats - informe'!$E$28),0,(C3716&gt;='Resultats - informe'!$D$29)*(C3716&lt;='Resultats - informe'!$E$29),0,1,1)</f>
        <v>0</v>
      </c>
      <c r="N3716" s="366">
        <f>+VLOOKUP(D3716,'Resultats - informe'!$Y$18:$AG$42,'Introducció dades consum'!K3716+1,0)</f>
        <v>0</v>
      </c>
      <c r="O3716" s="370" cm="1">
        <f t="array" ref="O3716">+_xlfn.SWITCH(MONTH(C3716),1,1,2,1,3,1,4,2,5,2,6,3,7,3,8,3,9,3,10,2,11,2,12,1,2)</f>
        <v>1</v>
      </c>
      <c r="P3716" s="43"/>
    </row>
    <row r="3717" spans="1:16" ht="18" x14ac:dyDescent="0.35">
      <c r="A3717" s="43"/>
      <c r="C3717" s="393"/>
      <c r="E3717" s="394"/>
      <c r="F3717" s="394">
        <v>0.377</v>
      </c>
      <c r="G3717" s="394"/>
      <c r="H3717" s="8" t="s">
        <v>235</v>
      </c>
      <c r="I3717" s="368">
        <f t="shared" si="172"/>
        <v>0</v>
      </c>
      <c r="J3717" s="365">
        <f t="shared" si="174"/>
        <v>0</v>
      </c>
      <c r="K3717" s="369">
        <f t="shared" si="173"/>
        <v>6</v>
      </c>
      <c r="L3717" s="369">
        <f>+IF((C3717&gt;='Resultats - informe'!$E$16)*(C3717&lt;='Resultats - informe'!$G$16),1,0)</f>
        <v>1</v>
      </c>
      <c r="M3717" s="369" cm="1">
        <f t="array" ref="M3717">+_xlfn.IFS((C3717&gt;='Resultats - informe'!$D$26)*(C3717&lt;='Resultats - informe'!$E$26),0,(C3717&gt;='Resultats - informe'!$D$27)*(C3717&lt;='Resultats - informe'!$E$27),0,(C3717&gt;='Resultats - informe'!$D$28)*(C3717&lt;='Resultats - informe'!$E$28),0,(C3717&gt;='Resultats - informe'!$D$29)*(C3717&lt;='Resultats - informe'!$E$29),0,1,1)</f>
        <v>0</v>
      </c>
      <c r="N3717" s="366">
        <f>+VLOOKUP(D3717,'Resultats - informe'!$Y$18:$AG$42,'Introducció dades consum'!K3717+1,0)</f>
        <v>0</v>
      </c>
      <c r="O3717" s="370" cm="1">
        <f t="array" ref="O3717">+_xlfn.SWITCH(MONTH(C3717),1,1,2,1,3,1,4,2,5,2,6,3,7,3,8,3,9,3,10,2,11,2,12,1,2)</f>
        <v>1</v>
      </c>
      <c r="P3717" s="43"/>
    </row>
    <row r="3718" spans="1:16" ht="18" x14ac:dyDescent="0.35">
      <c r="A3718" s="43"/>
      <c r="C3718" s="393"/>
      <c r="E3718" s="394"/>
      <c r="F3718" s="394">
        <v>0</v>
      </c>
      <c r="G3718" s="394"/>
      <c r="H3718" s="8" t="s">
        <v>235</v>
      </c>
      <c r="I3718" s="368">
        <f t="shared" ref="I3718:I3781" si="175">+E3718+G3718</f>
        <v>0</v>
      </c>
      <c r="J3718" s="365">
        <f t="shared" si="174"/>
        <v>0</v>
      </c>
      <c r="K3718" s="369">
        <f t="shared" ref="K3718:K3781" si="176">+WEEKDAY(C3718,2)</f>
        <v>6</v>
      </c>
      <c r="L3718" s="369">
        <f>+IF((C3718&gt;='Resultats - informe'!$E$16)*(C3718&lt;='Resultats - informe'!$G$16),1,0)</f>
        <v>1</v>
      </c>
      <c r="M3718" s="369" cm="1">
        <f t="array" ref="M3718">+_xlfn.IFS((C3718&gt;='Resultats - informe'!$D$26)*(C3718&lt;='Resultats - informe'!$E$26),0,(C3718&gt;='Resultats - informe'!$D$27)*(C3718&lt;='Resultats - informe'!$E$27),0,(C3718&gt;='Resultats - informe'!$D$28)*(C3718&lt;='Resultats - informe'!$E$28),0,(C3718&gt;='Resultats - informe'!$D$29)*(C3718&lt;='Resultats - informe'!$E$29),0,1,1)</f>
        <v>0</v>
      </c>
      <c r="N3718" s="366">
        <f>+VLOOKUP(D3718,'Resultats - informe'!$Y$18:$AG$42,'Introducció dades consum'!K3718+1,0)</f>
        <v>0</v>
      </c>
      <c r="O3718" s="370" cm="1">
        <f t="array" ref="O3718">+_xlfn.SWITCH(MONTH(C3718),1,1,2,1,3,1,4,2,5,2,6,3,7,3,8,3,9,3,10,2,11,2,12,1,2)</f>
        <v>1</v>
      </c>
      <c r="P3718" s="43"/>
    </row>
    <row r="3719" spans="1:16" ht="18" x14ac:dyDescent="0.35">
      <c r="A3719" s="43"/>
      <c r="C3719" s="393"/>
      <c r="E3719" s="394"/>
      <c r="F3719" s="394">
        <v>0</v>
      </c>
      <c r="G3719" s="394"/>
      <c r="H3719" s="8" t="s">
        <v>235</v>
      </c>
      <c r="I3719" s="368">
        <f t="shared" si="175"/>
        <v>0</v>
      </c>
      <c r="J3719" s="365">
        <f t="shared" si="174"/>
        <v>0</v>
      </c>
      <c r="K3719" s="369">
        <f t="shared" si="176"/>
        <v>6</v>
      </c>
      <c r="L3719" s="369">
        <f>+IF((C3719&gt;='Resultats - informe'!$E$16)*(C3719&lt;='Resultats - informe'!$G$16),1,0)</f>
        <v>1</v>
      </c>
      <c r="M3719" s="369" cm="1">
        <f t="array" ref="M3719">+_xlfn.IFS((C3719&gt;='Resultats - informe'!$D$26)*(C3719&lt;='Resultats - informe'!$E$26),0,(C3719&gt;='Resultats - informe'!$D$27)*(C3719&lt;='Resultats - informe'!$E$27),0,(C3719&gt;='Resultats - informe'!$D$28)*(C3719&lt;='Resultats - informe'!$E$28),0,(C3719&gt;='Resultats - informe'!$D$29)*(C3719&lt;='Resultats - informe'!$E$29),0,1,1)</f>
        <v>0</v>
      </c>
      <c r="N3719" s="366">
        <f>+VLOOKUP(D3719,'Resultats - informe'!$Y$18:$AG$42,'Introducció dades consum'!K3719+1,0)</f>
        <v>0</v>
      </c>
      <c r="O3719" s="370" cm="1">
        <f t="array" ref="O3719">+_xlfn.SWITCH(MONTH(C3719),1,1,2,1,3,1,4,2,5,2,6,3,7,3,8,3,9,3,10,2,11,2,12,1,2)</f>
        <v>1</v>
      </c>
      <c r="P3719" s="43"/>
    </row>
    <row r="3720" spans="1:16" ht="18" x14ac:dyDescent="0.35">
      <c r="A3720" s="43"/>
      <c r="C3720" s="393"/>
      <c r="E3720" s="394"/>
      <c r="F3720" s="394">
        <v>0</v>
      </c>
      <c r="G3720" s="394"/>
      <c r="H3720" s="8" t="s">
        <v>235</v>
      </c>
      <c r="I3720" s="368">
        <f t="shared" si="175"/>
        <v>0</v>
      </c>
      <c r="J3720" s="365">
        <f t="shared" si="174"/>
        <v>0</v>
      </c>
      <c r="K3720" s="369">
        <f t="shared" si="176"/>
        <v>6</v>
      </c>
      <c r="L3720" s="369">
        <f>+IF((C3720&gt;='Resultats - informe'!$E$16)*(C3720&lt;='Resultats - informe'!$G$16),1,0)</f>
        <v>1</v>
      </c>
      <c r="M3720" s="369" cm="1">
        <f t="array" ref="M3720">+_xlfn.IFS((C3720&gt;='Resultats - informe'!$D$26)*(C3720&lt;='Resultats - informe'!$E$26),0,(C3720&gt;='Resultats - informe'!$D$27)*(C3720&lt;='Resultats - informe'!$E$27),0,(C3720&gt;='Resultats - informe'!$D$28)*(C3720&lt;='Resultats - informe'!$E$28),0,(C3720&gt;='Resultats - informe'!$D$29)*(C3720&lt;='Resultats - informe'!$E$29),0,1,1)</f>
        <v>0</v>
      </c>
      <c r="N3720" s="366">
        <f>+VLOOKUP(D3720,'Resultats - informe'!$Y$18:$AG$42,'Introducció dades consum'!K3720+1,0)</f>
        <v>0</v>
      </c>
      <c r="O3720" s="370" cm="1">
        <f t="array" ref="O3720">+_xlfn.SWITCH(MONTH(C3720),1,1,2,1,3,1,4,2,5,2,6,3,7,3,8,3,9,3,10,2,11,2,12,1,2)</f>
        <v>1</v>
      </c>
      <c r="P3720" s="43"/>
    </row>
    <row r="3721" spans="1:16" ht="18" x14ac:dyDescent="0.35">
      <c r="A3721" s="43"/>
      <c r="C3721" s="393"/>
      <c r="E3721" s="394"/>
      <c r="F3721" s="394">
        <v>0</v>
      </c>
      <c r="G3721" s="394"/>
      <c r="H3721" s="8" t="s">
        <v>235</v>
      </c>
      <c r="I3721" s="368">
        <f t="shared" si="175"/>
        <v>0</v>
      </c>
      <c r="J3721" s="365">
        <f t="shared" si="174"/>
        <v>0</v>
      </c>
      <c r="K3721" s="369">
        <f t="shared" si="176"/>
        <v>6</v>
      </c>
      <c r="L3721" s="369">
        <f>+IF((C3721&gt;='Resultats - informe'!$E$16)*(C3721&lt;='Resultats - informe'!$G$16),1,0)</f>
        <v>1</v>
      </c>
      <c r="M3721" s="369" cm="1">
        <f t="array" ref="M3721">+_xlfn.IFS((C3721&gt;='Resultats - informe'!$D$26)*(C3721&lt;='Resultats - informe'!$E$26),0,(C3721&gt;='Resultats - informe'!$D$27)*(C3721&lt;='Resultats - informe'!$E$27),0,(C3721&gt;='Resultats - informe'!$D$28)*(C3721&lt;='Resultats - informe'!$E$28),0,(C3721&gt;='Resultats - informe'!$D$29)*(C3721&lt;='Resultats - informe'!$E$29),0,1,1)</f>
        <v>0</v>
      </c>
      <c r="N3721" s="366">
        <f>+VLOOKUP(D3721,'Resultats - informe'!$Y$18:$AG$42,'Introducció dades consum'!K3721+1,0)</f>
        <v>0</v>
      </c>
      <c r="O3721" s="370" cm="1">
        <f t="array" ref="O3721">+_xlfn.SWITCH(MONTH(C3721),1,1,2,1,3,1,4,2,5,2,6,3,7,3,8,3,9,3,10,2,11,2,12,1,2)</f>
        <v>1</v>
      </c>
      <c r="P3721" s="43"/>
    </row>
    <row r="3722" spans="1:16" ht="18" x14ac:dyDescent="0.35">
      <c r="A3722" s="43"/>
      <c r="C3722" s="393"/>
      <c r="E3722" s="394"/>
      <c r="F3722" s="394">
        <v>0</v>
      </c>
      <c r="G3722" s="394"/>
      <c r="H3722" s="8" t="s">
        <v>235</v>
      </c>
      <c r="I3722" s="368">
        <f t="shared" si="175"/>
        <v>0</v>
      </c>
      <c r="J3722" s="365">
        <f t="shared" si="174"/>
        <v>0</v>
      </c>
      <c r="K3722" s="369">
        <f t="shared" si="176"/>
        <v>6</v>
      </c>
      <c r="L3722" s="369">
        <f>+IF((C3722&gt;='Resultats - informe'!$E$16)*(C3722&lt;='Resultats - informe'!$G$16),1,0)</f>
        <v>1</v>
      </c>
      <c r="M3722" s="369" cm="1">
        <f t="array" ref="M3722">+_xlfn.IFS((C3722&gt;='Resultats - informe'!$D$26)*(C3722&lt;='Resultats - informe'!$E$26),0,(C3722&gt;='Resultats - informe'!$D$27)*(C3722&lt;='Resultats - informe'!$E$27),0,(C3722&gt;='Resultats - informe'!$D$28)*(C3722&lt;='Resultats - informe'!$E$28),0,(C3722&gt;='Resultats - informe'!$D$29)*(C3722&lt;='Resultats - informe'!$E$29),0,1,1)</f>
        <v>0</v>
      </c>
      <c r="N3722" s="366">
        <f>+VLOOKUP(D3722,'Resultats - informe'!$Y$18:$AG$42,'Introducció dades consum'!K3722+1,0)</f>
        <v>0</v>
      </c>
      <c r="O3722" s="370" cm="1">
        <f t="array" ref="O3722">+_xlfn.SWITCH(MONTH(C3722),1,1,2,1,3,1,4,2,5,2,6,3,7,3,8,3,9,3,10,2,11,2,12,1,2)</f>
        <v>1</v>
      </c>
      <c r="P3722" s="43"/>
    </row>
    <row r="3723" spans="1:16" ht="18" x14ac:dyDescent="0.35">
      <c r="A3723" s="43"/>
      <c r="C3723" s="393"/>
      <c r="E3723" s="394"/>
      <c r="F3723" s="394">
        <v>0</v>
      </c>
      <c r="G3723" s="394"/>
      <c r="H3723" s="8" t="s">
        <v>235</v>
      </c>
      <c r="I3723" s="368">
        <f t="shared" si="175"/>
        <v>0</v>
      </c>
      <c r="J3723" s="365">
        <f t="shared" si="174"/>
        <v>0</v>
      </c>
      <c r="K3723" s="369">
        <f t="shared" si="176"/>
        <v>6</v>
      </c>
      <c r="L3723" s="369">
        <f>+IF((C3723&gt;='Resultats - informe'!$E$16)*(C3723&lt;='Resultats - informe'!$G$16),1,0)</f>
        <v>1</v>
      </c>
      <c r="M3723" s="369" cm="1">
        <f t="array" ref="M3723">+_xlfn.IFS((C3723&gt;='Resultats - informe'!$D$26)*(C3723&lt;='Resultats - informe'!$E$26),0,(C3723&gt;='Resultats - informe'!$D$27)*(C3723&lt;='Resultats - informe'!$E$27),0,(C3723&gt;='Resultats - informe'!$D$28)*(C3723&lt;='Resultats - informe'!$E$28),0,(C3723&gt;='Resultats - informe'!$D$29)*(C3723&lt;='Resultats - informe'!$E$29),0,1,1)</f>
        <v>0</v>
      </c>
      <c r="N3723" s="366">
        <f>+VLOOKUP(D3723,'Resultats - informe'!$Y$18:$AG$42,'Introducció dades consum'!K3723+1,0)</f>
        <v>0</v>
      </c>
      <c r="O3723" s="370" cm="1">
        <f t="array" ref="O3723">+_xlfn.SWITCH(MONTH(C3723),1,1,2,1,3,1,4,2,5,2,6,3,7,3,8,3,9,3,10,2,11,2,12,1,2)</f>
        <v>1</v>
      </c>
      <c r="P3723" s="43"/>
    </row>
    <row r="3724" spans="1:16" ht="18" x14ac:dyDescent="0.35">
      <c r="A3724" s="43"/>
      <c r="C3724" s="393"/>
      <c r="E3724" s="394"/>
      <c r="F3724" s="394">
        <v>0</v>
      </c>
      <c r="G3724" s="394"/>
      <c r="H3724" s="8" t="s">
        <v>235</v>
      </c>
      <c r="I3724" s="368">
        <f t="shared" si="175"/>
        <v>0</v>
      </c>
      <c r="J3724" s="365">
        <f t="shared" si="174"/>
        <v>0</v>
      </c>
      <c r="K3724" s="369">
        <f t="shared" si="176"/>
        <v>6</v>
      </c>
      <c r="L3724" s="369">
        <f>+IF((C3724&gt;='Resultats - informe'!$E$16)*(C3724&lt;='Resultats - informe'!$G$16),1,0)</f>
        <v>1</v>
      </c>
      <c r="M3724" s="369" cm="1">
        <f t="array" ref="M3724">+_xlfn.IFS((C3724&gt;='Resultats - informe'!$D$26)*(C3724&lt;='Resultats - informe'!$E$26),0,(C3724&gt;='Resultats - informe'!$D$27)*(C3724&lt;='Resultats - informe'!$E$27),0,(C3724&gt;='Resultats - informe'!$D$28)*(C3724&lt;='Resultats - informe'!$E$28),0,(C3724&gt;='Resultats - informe'!$D$29)*(C3724&lt;='Resultats - informe'!$E$29),0,1,1)</f>
        <v>0</v>
      </c>
      <c r="N3724" s="366">
        <f>+VLOOKUP(D3724,'Resultats - informe'!$Y$18:$AG$42,'Introducció dades consum'!K3724+1,0)</f>
        <v>0</v>
      </c>
      <c r="O3724" s="370" cm="1">
        <f t="array" ref="O3724">+_xlfn.SWITCH(MONTH(C3724),1,1,2,1,3,1,4,2,5,2,6,3,7,3,8,3,9,3,10,2,11,2,12,1,2)</f>
        <v>1</v>
      </c>
      <c r="P3724" s="43"/>
    </row>
    <row r="3725" spans="1:16" ht="18" x14ac:dyDescent="0.35">
      <c r="A3725" s="43"/>
      <c r="C3725" s="393"/>
      <c r="E3725" s="394"/>
      <c r="F3725" s="394">
        <v>0</v>
      </c>
      <c r="G3725" s="394"/>
      <c r="H3725" s="8" t="s">
        <v>235</v>
      </c>
      <c r="I3725" s="368">
        <f t="shared" si="175"/>
        <v>0</v>
      </c>
      <c r="J3725" s="365">
        <f t="shared" si="174"/>
        <v>0</v>
      </c>
      <c r="K3725" s="369">
        <f t="shared" si="176"/>
        <v>6</v>
      </c>
      <c r="L3725" s="369">
        <f>+IF((C3725&gt;='Resultats - informe'!$E$16)*(C3725&lt;='Resultats - informe'!$G$16),1,0)</f>
        <v>1</v>
      </c>
      <c r="M3725" s="369" cm="1">
        <f t="array" ref="M3725">+_xlfn.IFS((C3725&gt;='Resultats - informe'!$D$26)*(C3725&lt;='Resultats - informe'!$E$26),0,(C3725&gt;='Resultats - informe'!$D$27)*(C3725&lt;='Resultats - informe'!$E$27),0,(C3725&gt;='Resultats - informe'!$D$28)*(C3725&lt;='Resultats - informe'!$E$28),0,(C3725&gt;='Resultats - informe'!$D$29)*(C3725&lt;='Resultats - informe'!$E$29),0,1,1)</f>
        <v>0</v>
      </c>
      <c r="N3725" s="366">
        <f>+VLOOKUP(D3725,'Resultats - informe'!$Y$18:$AG$42,'Introducció dades consum'!K3725+1,0)</f>
        <v>0</v>
      </c>
      <c r="O3725" s="370" cm="1">
        <f t="array" ref="O3725">+_xlfn.SWITCH(MONTH(C3725),1,1,2,1,3,1,4,2,5,2,6,3,7,3,8,3,9,3,10,2,11,2,12,1,2)</f>
        <v>1</v>
      </c>
      <c r="P3725" s="43"/>
    </row>
    <row r="3726" spans="1:16" ht="18" x14ac:dyDescent="0.35">
      <c r="A3726" s="43"/>
      <c r="C3726" s="393"/>
      <c r="E3726" s="394"/>
      <c r="F3726" s="394">
        <v>0</v>
      </c>
      <c r="G3726" s="394"/>
      <c r="H3726" s="8" t="s">
        <v>235</v>
      </c>
      <c r="I3726" s="368">
        <f t="shared" si="175"/>
        <v>0</v>
      </c>
      <c r="J3726" s="365">
        <f t="shared" si="174"/>
        <v>0</v>
      </c>
      <c r="K3726" s="369">
        <f t="shared" si="176"/>
        <v>6</v>
      </c>
      <c r="L3726" s="369">
        <f>+IF((C3726&gt;='Resultats - informe'!$E$16)*(C3726&lt;='Resultats - informe'!$G$16),1,0)</f>
        <v>1</v>
      </c>
      <c r="M3726" s="369" cm="1">
        <f t="array" ref="M3726">+_xlfn.IFS((C3726&gt;='Resultats - informe'!$D$26)*(C3726&lt;='Resultats - informe'!$E$26),0,(C3726&gt;='Resultats - informe'!$D$27)*(C3726&lt;='Resultats - informe'!$E$27),0,(C3726&gt;='Resultats - informe'!$D$28)*(C3726&lt;='Resultats - informe'!$E$28),0,(C3726&gt;='Resultats - informe'!$D$29)*(C3726&lt;='Resultats - informe'!$E$29),0,1,1)</f>
        <v>0</v>
      </c>
      <c r="N3726" s="366">
        <f>+VLOOKUP(D3726,'Resultats - informe'!$Y$18:$AG$42,'Introducció dades consum'!K3726+1,0)</f>
        <v>0</v>
      </c>
      <c r="O3726" s="370" cm="1">
        <f t="array" ref="O3726">+_xlfn.SWITCH(MONTH(C3726),1,1,2,1,3,1,4,2,5,2,6,3,7,3,8,3,9,3,10,2,11,2,12,1,2)</f>
        <v>1</v>
      </c>
      <c r="P3726" s="43"/>
    </row>
    <row r="3727" spans="1:16" ht="18" x14ac:dyDescent="0.35">
      <c r="A3727" s="43"/>
      <c r="C3727" s="393"/>
      <c r="E3727" s="394"/>
      <c r="F3727" s="394">
        <v>0</v>
      </c>
      <c r="G3727" s="394"/>
      <c r="H3727" s="8" t="s">
        <v>61</v>
      </c>
      <c r="I3727" s="368">
        <f t="shared" si="175"/>
        <v>0</v>
      </c>
      <c r="J3727" s="365">
        <f t="shared" si="174"/>
        <v>0</v>
      </c>
      <c r="K3727" s="369">
        <f t="shared" si="176"/>
        <v>6</v>
      </c>
      <c r="L3727" s="369">
        <f>+IF((C3727&gt;='Resultats - informe'!$E$16)*(C3727&lt;='Resultats - informe'!$G$16),1,0)</f>
        <v>1</v>
      </c>
      <c r="M3727" s="369" cm="1">
        <f t="array" ref="M3727">+_xlfn.IFS((C3727&gt;='Resultats - informe'!$D$26)*(C3727&lt;='Resultats - informe'!$E$26),0,(C3727&gt;='Resultats - informe'!$D$27)*(C3727&lt;='Resultats - informe'!$E$27),0,(C3727&gt;='Resultats - informe'!$D$28)*(C3727&lt;='Resultats - informe'!$E$28),0,(C3727&gt;='Resultats - informe'!$D$29)*(C3727&lt;='Resultats - informe'!$E$29),0,1,1)</f>
        <v>0</v>
      </c>
      <c r="N3727" s="366">
        <f>+VLOOKUP(D3727,'Resultats - informe'!$Y$18:$AG$42,'Introducció dades consum'!K3727+1,0)</f>
        <v>0</v>
      </c>
      <c r="O3727" s="370" cm="1">
        <f t="array" ref="O3727">+_xlfn.SWITCH(MONTH(C3727),1,1,2,1,3,1,4,2,5,2,6,3,7,3,8,3,9,3,10,2,11,2,12,1,2)</f>
        <v>1</v>
      </c>
      <c r="P3727" s="43"/>
    </row>
    <row r="3728" spans="1:16" ht="18" x14ac:dyDescent="0.35">
      <c r="A3728" s="43"/>
      <c r="C3728" s="393"/>
      <c r="E3728" s="394"/>
      <c r="F3728" s="394">
        <v>0</v>
      </c>
      <c r="G3728" s="394"/>
      <c r="H3728" s="8" t="s">
        <v>235</v>
      </c>
      <c r="I3728" s="368">
        <f t="shared" si="175"/>
        <v>0</v>
      </c>
      <c r="J3728" s="365">
        <f t="shared" si="174"/>
        <v>0</v>
      </c>
      <c r="K3728" s="369">
        <f t="shared" si="176"/>
        <v>6</v>
      </c>
      <c r="L3728" s="369">
        <f>+IF((C3728&gt;='Resultats - informe'!$E$16)*(C3728&lt;='Resultats - informe'!$G$16),1,0)</f>
        <v>1</v>
      </c>
      <c r="M3728" s="369" cm="1">
        <f t="array" ref="M3728">+_xlfn.IFS((C3728&gt;='Resultats - informe'!$D$26)*(C3728&lt;='Resultats - informe'!$E$26),0,(C3728&gt;='Resultats - informe'!$D$27)*(C3728&lt;='Resultats - informe'!$E$27),0,(C3728&gt;='Resultats - informe'!$D$28)*(C3728&lt;='Resultats - informe'!$E$28),0,(C3728&gt;='Resultats - informe'!$D$29)*(C3728&lt;='Resultats - informe'!$E$29),0,1,1)</f>
        <v>0</v>
      </c>
      <c r="N3728" s="366">
        <f>+VLOOKUP(D3728,'Resultats - informe'!$Y$18:$AG$42,'Introducció dades consum'!K3728+1,0)</f>
        <v>0</v>
      </c>
      <c r="O3728" s="370" cm="1">
        <f t="array" ref="O3728">+_xlfn.SWITCH(MONTH(C3728),1,1,2,1,3,1,4,2,5,2,6,3,7,3,8,3,9,3,10,2,11,2,12,1,2)</f>
        <v>1</v>
      </c>
      <c r="P3728" s="43"/>
    </row>
    <row r="3729" spans="1:16" ht="18" x14ac:dyDescent="0.35">
      <c r="A3729" s="43"/>
      <c r="C3729" s="393"/>
      <c r="E3729" s="394"/>
      <c r="F3729" s="394">
        <v>0.21199999999999999</v>
      </c>
      <c r="G3729" s="394"/>
      <c r="H3729" s="8" t="s">
        <v>235</v>
      </c>
      <c r="I3729" s="368">
        <f t="shared" si="175"/>
        <v>0</v>
      </c>
      <c r="J3729" s="365">
        <f t="shared" si="174"/>
        <v>0</v>
      </c>
      <c r="K3729" s="369">
        <f t="shared" si="176"/>
        <v>6</v>
      </c>
      <c r="L3729" s="369">
        <f>+IF((C3729&gt;='Resultats - informe'!$E$16)*(C3729&lt;='Resultats - informe'!$G$16),1,0)</f>
        <v>1</v>
      </c>
      <c r="M3729" s="369" cm="1">
        <f t="array" ref="M3729">+_xlfn.IFS((C3729&gt;='Resultats - informe'!$D$26)*(C3729&lt;='Resultats - informe'!$E$26),0,(C3729&gt;='Resultats - informe'!$D$27)*(C3729&lt;='Resultats - informe'!$E$27),0,(C3729&gt;='Resultats - informe'!$D$28)*(C3729&lt;='Resultats - informe'!$E$28),0,(C3729&gt;='Resultats - informe'!$D$29)*(C3729&lt;='Resultats - informe'!$E$29),0,1,1)</f>
        <v>0</v>
      </c>
      <c r="N3729" s="366">
        <f>+VLOOKUP(D3729,'Resultats - informe'!$Y$18:$AG$42,'Introducció dades consum'!K3729+1,0)</f>
        <v>0</v>
      </c>
      <c r="O3729" s="370" cm="1">
        <f t="array" ref="O3729">+_xlfn.SWITCH(MONTH(C3729),1,1,2,1,3,1,4,2,5,2,6,3,7,3,8,3,9,3,10,2,11,2,12,1,2)</f>
        <v>1</v>
      </c>
      <c r="P3729" s="43"/>
    </row>
    <row r="3730" spans="1:16" ht="18" x14ac:dyDescent="0.35">
      <c r="A3730" s="43"/>
      <c r="C3730" s="393"/>
      <c r="E3730" s="394"/>
      <c r="F3730" s="394">
        <v>0.78800000000000003</v>
      </c>
      <c r="G3730" s="394"/>
      <c r="H3730" s="8" t="s">
        <v>235</v>
      </c>
      <c r="I3730" s="368">
        <f t="shared" si="175"/>
        <v>0</v>
      </c>
      <c r="J3730" s="365">
        <f t="shared" si="174"/>
        <v>0</v>
      </c>
      <c r="K3730" s="369">
        <f t="shared" si="176"/>
        <v>6</v>
      </c>
      <c r="L3730" s="369">
        <f>+IF((C3730&gt;='Resultats - informe'!$E$16)*(C3730&lt;='Resultats - informe'!$G$16),1,0)</f>
        <v>1</v>
      </c>
      <c r="M3730" s="369" cm="1">
        <f t="array" ref="M3730">+_xlfn.IFS((C3730&gt;='Resultats - informe'!$D$26)*(C3730&lt;='Resultats - informe'!$E$26),0,(C3730&gt;='Resultats - informe'!$D$27)*(C3730&lt;='Resultats - informe'!$E$27),0,(C3730&gt;='Resultats - informe'!$D$28)*(C3730&lt;='Resultats - informe'!$E$28),0,(C3730&gt;='Resultats - informe'!$D$29)*(C3730&lt;='Resultats - informe'!$E$29),0,1,1)</f>
        <v>0</v>
      </c>
      <c r="N3730" s="366">
        <f>+VLOOKUP(D3730,'Resultats - informe'!$Y$18:$AG$42,'Introducció dades consum'!K3730+1,0)</f>
        <v>0</v>
      </c>
      <c r="O3730" s="370" cm="1">
        <f t="array" ref="O3730">+_xlfn.SWITCH(MONTH(C3730),1,1,2,1,3,1,4,2,5,2,6,3,7,3,8,3,9,3,10,2,11,2,12,1,2)</f>
        <v>1</v>
      </c>
      <c r="P3730" s="43"/>
    </row>
    <row r="3731" spans="1:16" ht="18" x14ac:dyDescent="0.35">
      <c r="A3731" s="43"/>
      <c r="C3731" s="393"/>
      <c r="E3731" s="394"/>
      <c r="F3731" s="394">
        <v>1.3779999999999999</v>
      </c>
      <c r="G3731" s="394"/>
      <c r="H3731" s="8" t="s">
        <v>235</v>
      </c>
      <c r="I3731" s="368">
        <f t="shared" si="175"/>
        <v>0</v>
      </c>
      <c r="J3731" s="365">
        <f t="shared" si="174"/>
        <v>0</v>
      </c>
      <c r="K3731" s="369">
        <f t="shared" si="176"/>
        <v>6</v>
      </c>
      <c r="L3731" s="369">
        <f>+IF((C3731&gt;='Resultats - informe'!$E$16)*(C3731&lt;='Resultats - informe'!$G$16),1,0)</f>
        <v>1</v>
      </c>
      <c r="M3731" s="369" cm="1">
        <f t="array" ref="M3731">+_xlfn.IFS((C3731&gt;='Resultats - informe'!$D$26)*(C3731&lt;='Resultats - informe'!$E$26),0,(C3731&gt;='Resultats - informe'!$D$27)*(C3731&lt;='Resultats - informe'!$E$27),0,(C3731&gt;='Resultats - informe'!$D$28)*(C3731&lt;='Resultats - informe'!$E$28),0,(C3731&gt;='Resultats - informe'!$D$29)*(C3731&lt;='Resultats - informe'!$E$29),0,1,1)</f>
        <v>0</v>
      </c>
      <c r="N3731" s="366">
        <f>+VLOOKUP(D3731,'Resultats - informe'!$Y$18:$AG$42,'Introducció dades consum'!K3731+1,0)</f>
        <v>0</v>
      </c>
      <c r="O3731" s="370" cm="1">
        <f t="array" ref="O3731">+_xlfn.SWITCH(MONTH(C3731),1,1,2,1,3,1,4,2,5,2,6,3,7,3,8,3,9,3,10,2,11,2,12,1,2)</f>
        <v>1</v>
      </c>
      <c r="P3731" s="43"/>
    </row>
    <row r="3732" spans="1:16" ht="18" x14ac:dyDescent="0.35">
      <c r="A3732" s="43"/>
      <c r="C3732" s="393"/>
      <c r="E3732" s="394"/>
      <c r="F3732" s="394">
        <v>2.891</v>
      </c>
      <c r="G3732" s="394"/>
      <c r="H3732" s="8" t="s">
        <v>235</v>
      </c>
      <c r="I3732" s="368">
        <f t="shared" si="175"/>
        <v>0</v>
      </c>
      <c r="J3732" s="365">
        <f t="shared" si="174"/>
        <v>0</v>
      </c>
      <c r="K3732" s="369">
        <f t="shared" si="176"/>
        <v>6</v>
      </c>
      <c r="L3732" s="369">
        <f>+IF((C3732&gt;='Resultats - informe'!$E$16)*(C3732&lt;='Resultats - informe'!$G$16),1,0)</f>
        <v>1</v>
      </c>
      <c r="M3732" s="369" cm="1">
        <f t="array" ref="M3732">+_xlfn.IFS((C3732&gt;='Resultats - informe'!$D$26)*(C3732&lt;='Resultats - informe'!$E$26),0,(C3732&gt;='Resultats - informe'!$D$27)*(C3732&lt;='Resultats - informe'!$E$27),0,(C3732&gt;='Resultats - informe'!$D$28)*(C3732&lt;='Resultats - informe'!$E$28),0,(C3732&gt;='Resultats - informe'!$D$29)*(C3732&lt;='Resultats - informe'!$E$29),0,1,1)</f>
        <v>0</v>
      </c>
      <c r="N3732" s="366">
        <f>+VLOOKUP(D3732,'Resultats - informe'!$Y$18:$AG$42,'Introducció dades consum'!K3732+1,0)</f>
        <v>0</v>
      </c>
      <c r="O3732" s="370" cm="1">
        <f t="array" ref="O3732">+_xlfn.SWITCH(MONTH(C3732),1,1,2,1,3,1,4,2,5,2,6,3,7,3,8,3,9,3,10,2,11,2,12,1,2)</f>
        <v>1</v>
      </c>
      <c r="P3732" s="43"/>
    </row>
    <row r="3733" spans="1:16" ht="18" x14ac:dyDescent="0.35">
      <c r="A3733" s="43"/>
      <c r="C3733" s="393"/>
      <c r="E3733" s="394"/>
      <c r="F3733" s="394">
        <v>0</v>
      </c>
      <c r="G3733" s="394"/>
      <c r="H3733" s="8" t="s">
        <v>61</v>
      </c>
      <c r="I3733" s="368">
        <f t="shared" si="175"/>
        <v>0</v>
      </c>
      <c r="J3733" s="365">
        <f t="shared" si="174"/>
        <v>0</v>
      </c>
      <c r="K3733" s="369">
        <f t="shared" si="176"/>
        <v>6</v>
      </c>
      <c r="L3733" s="369">
        <f>+IF((C3733&gt;='Resultats - informe'!$E$16)*(C3733&lt;='Resultats - informe'!$G$16),1,0)</f>
        <v>1</v>
      </c>
      <c r="M3733" s="369" cm="1">
        <f t="array" ref="M3733">+_xlfn.IFS((C3733&gt;='Resultats - informe'!$D$26)*(C3733&lt;='Resultats - informe'!$E$26),0,(C3733&gt;='Resultats - informe'!$D$27)*(C3733&lt;='Resultats - informe'!$E$27),0,(C3733&gt;='Resultats - informe'!$D$28)*(C3733&lt;='Resultats - informe'!$E$28),0,(C3733&gt;='Resultats - informe'!$D$29)*(C3733&lt;='Resultats - informe'!$E$29),0,1,1)</f>
        <v>0</v>
      </c>
      <c r="N3733" s="366">
        <f>+VLOOKUP(D3733,'Resultats - informe'!$Y$18:$AG$42,'Introducció dades consum'!K3733+1,0)</f>
        <v>0</v>
      </c>
      <c r="O3733" s="370" cm="1">
        <f t="array" ref="O3733">+_xlfn.SWITCH(MONTH(C3733),1,1,2,1,3,1,4,2,5,2,6,3,7,3,8,3,9,3,10,2,11,2,12,1,2)</f>
        <v>1</v>
      </c>
      <c r="P3733" s="43"/>
    </row>
    <row r="3734" spans="1:16" ht="18" x14ac:dyDescent="0.35">
      <c r="A3734" s="43"/>
      <c r="C3734" s="393"/>
      <c r="E3734" s="394"/>
      <c r="F3734" s="394">
        <v>4.5220000000000002</v>
      </c>
      <c r="G3734" s="394"/>
      <c r="H3734" s="8" t="s">
        <v>235</v>
      </c>
      <c r="I3734" s="368">
        <f t="shared" si="175"/>
        <v>0</v>
      </c>
      <c r="J3734" s="365">
        <f t="shared" si="174"/>
        <v>0</v>
      </c>
      <c r="K3734" s="369">
        <f t="shared" si="176"/>
        <v>6</v>
      </c>
      <c r="L3734" s="369">
        <f>+IF((C3734&gt;='Resultats - informe'!$E$16)*(C3734&lt;='Resultats - informe'!$G$16),1,0)</f>
        <v>1</v>
      </c>
      <c r="M3734" s="369" cm="1">
        <f t="array" ref="M3734">+_xlfn.IFS((C3734&gt;='Resultats - informe'!$D$26)*(C3734&lt;='Resultats - informe'!$E$26),0,(C3734&gt;='Resultats - informe'!$D$27)*(C3734&lt;='Resultats - informe'!$E$27),0,(C3734&gt;='Resultats - informe'!$D$28)*(C3734&lt;='Resultats - informe'!$E$28),0,(C3734&gt;='Resultats - informe'!$D$29)*(C3734&lt;='Resultats - informe'!$E$29),0,1,1)</f>
        <v>0</v>
      </c>
      <c r="N3734" s="366">
        <f>+VLOOKUP(D3734,'Resultats - informe'!$Y$18:$AG$42,'Introducció dades consum'!K3734+1,0)</f>
        <v>0</v>
      </c>
      <c r="O3734" s="370" cm="1">
        <f t="array" ref="O3734">+_xlfn.SWITCH(MONTH(C3734),1,1,2,1,3,1,4,2,5,2,6,3,7,3,8,3,9,3,10,2,11,2,12,1,2)</f>
        <v>1</v>
      </c>
      <c r="P3734" s="43"/>
    </row>
    <row r="3735" spans="1:16" ht="18" x14ac:dyDescent="0.35">
      <c r="A3735" s="43"/>
      <c r="C3735" s="393"/>
      <c r="E3735" s="394"/>
      <c r="F3735" s="394">
        <v>4.9080000000000004</v>
      </c>
      <c r="G3735" s="394"/>
      <c r="H3735" s="8" t="s">
        <v>235</v>
      </c>
      <c r="I3735" s="368">
        <f t="shared" si="175"/>
        <v>0</v>
      </c>
      <c r="J3735" s="365">
        <f t="shared" si="174"/>
        <v>0</v>
      </c>
      <c r="K3735" s="369">
        <f t="shared" si="176"/>
        <v>6</v>
      </c>
      <c r="L3735" s="369">
        <f>+IF((C3735&gt;='Resultats - informe'!$E$16)*(C3735&lt;='Resultats - informe'!$G$16),1,0)</f>
        <v>1</v>
      </c>
      <c r="M3735" s="369" cm="1">
        <f t="array" ref="M3735">+_xlfn.IFS((C3735&gt;='Resultats - informe'!$D$26)*(C3735&lt;='Resultats - informe'!$E$26),0,(C3735&gt;='Resultats - informe'!$D$27)*(C3735&lt;='Resultats - informe'!$E$27),0,(C3735&gt;='Resultats - informe'!$D$28)*(C3735&lt;='Resultats - informe'!$E$28),0,(C3735&gt;='Resultats - informe'!$D$29)*(C3735&lt;='Resultats - informe'!$E$29),0,1,1)</f>
        <v>0</v>
      </c>
      <c r="N3735" s="366">
        <f>+VLOOKUP(D3735,'Resultats - informe'!$Y$18:$AG$42,'Introducció dades consum'!K3735+1,0)</f>
        <v>0</v>
      </c>
      <c r="O3735" s="370" cm="1">
        <f t="array" ref="O3735">+_xlfn.SWITCH(MONTH(C3735),1,1,2,1,3,1,4,2,5,2,6,3,7,3,8,3,9,3,10,2,11,2,12,1,2)</f>
        <v>1</v>
      </c>
      <c r="P3735" s="43"/>
    </row>
    <row r="3736" spans="1:16" ht="18" x14ac:dyDescent="0.35">
      <c r="A3736" s="43"/>
      <c r="C3736" s="393"/>
      <c r="E3736" s="394"/>
      <c r="F3736" s="394">
        <v>4.4790000000000001</v>
      </c>
      <c r="G3736" s="394"/>
      <c r="H3736" s="8" t="s">
        <v>61</v>
      </c>
      <c r="I3736" s="368">
        <f t="shared" si="175"/>
        <v>0</v>
      </c>
      <c r="J3736" s="365">
        <f t="shared" si="174"/>
        <v>0</v>
      </c>
      <c r="K3736" s="369">
        <f t="shared" si="176"/>
        <v>6</v>
      </c>
      <c r="L3736" s="369">
        <f>+IF((C3736&gt;='Resultats - informe'!$E$16)*(C3736&lt;='Resultats - informe'!$G$16),1,0)</f>
        <v>1</v>
      </c>
      <c r="M3736" s="369" cm="1">
        <f t="array" ref="M3736">+_xlfn.IFS((C3736&gt;='Resultats - informe'!$D$26)*(C3736&lt;='Resultats - informe'!$E$26),0,(C3736&gt;='Resultats - informe'!$D$27)*(C3736&lt;='Resultats - informe'!$E$27),0,(C3736&gt;='Resultats - informe'!$D$28)*(C3736&lt;='Resultats - informe'!$E$28),0,(C3736&gt;='Resultats - informe'!$D$29)*(C3736&lt;='Resultats - informe'!$E$29),0,1,1)</f>
        <v>0</v>
      </c>
      <c r="N3736" s="366">
        <f>+VLOOKUP(D3736,'Resultats - informe'!$Y$18:$AG$42,'Introducció dades consum'!K3736+1,0)</f>
        <v>0</v>
      </c>
      <c r="O3736" s="370" cm="1">
        <f t="array" ref="O3736">+_xlfn.SWITCH(MONTH(C3736),1,1,2,1,3,1,4,2,5,2,6,3,7,3,8,3,9,3,10,2,11,2,12,1,2)</f>
        <v>1</v>
      </c>
      <c r="P3736" s="43"/>
    </row>
    <row r="3737" spans="1:16" ht="18" x14ac:dyDescent="0.35">
      <c r="A3737" s="43"/>
      <c r="C3737" s="393"/>
      <c r="E3737" s="394"/>
      <c r="F3737" s="394">
        <v>4.0629999999999997</v>
      </c>
      <c r="G3737" s="394"/>
      <c r="H3737" s="8" t="s">
        <v>235</v>
      </c>
      <c r="I3737" s="368">
        <f t="shared" si="175"/>
        <v>0</v>
      </c>
      <c r="J3737" s="365">
        <f t="shared" si="174"/>
        <v>0</v>
      </c>
      <c r="K3737" s="369">
        <f t="shared" si="176"/>
        <v>6</v>
      </c>
      <c r="L3737" s="369">
        <f>+IF((C3737&gt;='Resultats - informe'!$E$16)*(C3737&lt;='Resultats - informe'!$G$16),1,0)</f>
        <v>1</v>
      </c>
      <c r="M3737" s="369" cm="1">
        <f t="array" ref="M3737">+_xlfn.IFS((C3737&gt;='Resultats - informe'!$D$26)*(C3737&lt;='Resultats - informe'!$E$26),0,(C3737&gt;='Resultats - informe'!$D$27)*(C3737&lt;='Resultats - informe'!$E$27),0,(C3737&gt;='Resultats - informe'!$D$28)*(C3737&lt;='Resultats - informe'!$E$28),0,(C3737&gt;='Resultats - informe'!$D$29)*(C3737&lt;='Resultats - informe'!$E$29),0,1,1)</f>
        <v>0</v>
      </c>
      <c r="N3737" s="366">
        <f>+VLOOKUP(D3737,'Resultats - informe'!$Y$18:$AG$42,'Introducció dades consum'!K3737+1,0)</f>
        <v>0</v>
      </c>
      <c r="O3737" s="370" cm="1">
        <f t="array" ref="O3737">+_xlfn.SWITCH(MONTH(C3737),1,1,2,1,3,1,4,2,5,2,6,3,7,3,8,3,9,3,10,2,11,2,12,1,2)</f>
        <v>1</v>
      </c>
      <c r="P3737" s="43"/>
    </row>
    <row r="3738" spans="1:16" ht="18" x14ac:dyDescent="0.35">
      <c r="A3738" s="43"/>
      <c r="C3738" s="393"/>
      <c r="E3738" s="394"/>
      <c r="F3738" s="394">
        <v>2.5920000000000001</v>
      </c>
      <c r="G3738" s="394"/>
      <c r="H3738" s="8" t="s">
        <v>235</v>
      </c>
      <c r="I3738" s="368">
        <f t="shared" si="175"/>
        <v>0</v>
      </c>
      <c r="J3738" s="365">
        <f t="shared" si="174"/>
        <v>0</v>
      </c>
      <c r="K3738" s="369">
        <f t="shared" si="176"/>
        <v>6</v>
      </c>
      <c r="L3738" s="369">
        <f>+IF((C3738&gt;='Resultats - informe'!$E$16)*(C3738&lt;='Resultats - informe'!$G$16),1,0)</f>
        <v>1</v>
      </c>
      <c r="M3738" s="369" cm="1">
        <f t="array" ref="M3738">+_xlfn.IFS((C3738&gt;='Resultats - informe'!$D$26)*(C3738&lt;='Resultats - informe'!$E$26),0,(C3738&gt;='Resultats - informe'!$D$27)*(C3738&lt;='Resultats - informe'!$E$27),0,(C3738&gt;='Resultats - informe'!$D$28)*(C3738&lt;='Resultats - informe'!$E$28),0,(C3738&gt;='Resultats - informe'!$D$29)*(C3738&lt;='Resultats - informe'!$E$29),0,1,1)</f>
        <v>0</v>
      </c>
      <c r="N3738" s="366">
        <f>+VLOOKUP(D3738,'Resultats - informe'!$Y$18:$AG$42,'Introducció dades consum'!K3738+1,0)</f>
        <v>0</v>
      </c>
      <c r="O3738" s="370" cm="1">
        <f t="array" ref="O3738">+_xlfn.SWITCH(MONTH(C3738),1,1,2,1,3,1,4,2,5,2,6,3,7,3,8,3,9,3,10,2,11,2,12,1,2)</f>
        <v>1</v>
      </c>
      <c r="P3738" s="43"/>
    </row>
    <row r="3739" spans="1:16" ht="18" x14ac:dyDescent="0.35">
      <c r="A3739" s="43"/>
      <c r="C3739" s="393"/>
      <c r="E3739" s="394"/>
      <c r="F3739" s="394">
        <v>2.4049999999999998</v>
      </c>
      <c r="G3739" s="394"/>
      <c r="H3739" s="8" t="s">
        <v>235</v>
      </c>
      <c r="I3739" s="368">
        <f t="shared" si="175"/>
        <v>0</v>
      </c>
      <c r="J3739" s="365">
        <f t="shared" si="174"/>
        <v>0</v>
      </c>
      <c r="K3739" s="369">
        <f t="shared" si="176"/>
        <v>6</v>
      </c>
      <c r="L3739" s="369">
        <f>+IF((C3739&gt;='Resultats - informe'!$E$16)*(C3739&lt;='Resultats - informe'!$G$16),1,0)</f>
        <v>1</v>
      </c>
      <c r="M3739" s="369" cm="1">
        <f t="array" ref="M3739">+_xlfn.IFS((C3739&gt;='Resultats - informe'!$D$26)*(C3739&lt;='Resultats - informe'!$E$26),0,(C3739&gt;='Resultats - informe'!$D$27)*(C3739&lt;='Resultats - informe'!$E$27),0,(C3739&gt;='Resultats - informe'!$D$28)*(C3739&lt;='Resultats - informe'!$E$28),0,(C3739&gt;='Resultats - informe'!$D$29)*(C3739&lt;='Resultats - informe'!$E$29),0,1,1)</f>
        <v>0</v>
      </c>
      <c r="N3739" s="366">
        <f>+VLOOKUP(D3739,'Resultats - informe'!$Y$18:$AG$42,'Introducció dades consum'!K3739+1,0)</f>
        <v>0</v>
      </c>
      <c r="O3739" s="370" cm="1">
        <f t="array" ref="O3739">+_xlfn.SWITCH(MONTH(C3739),1,1,2,1,3,1,4,2,5,2,6,3,7,3,8,3,9,3,10,2,11,2,12,1,2)</f>
        <v>1</v>
      </c>
      <c r="P3739" s="43"/>
    </row>
    <row r="3740" spans="1:16" ht="18" x14ac:dyDescent="0.35">
      <c r="A3740" s="43"/>
      <c r="C3740" s="393"/>
      <c r="E3740" s="394"/>
      <c r="F3740" s="394">
        <v>1.401</v>
      </c>
      <c r="G3740" s="394"/>
      <c r="H3740" s="8" t="s">
        <v>235</v>
      </c>
      <c r="I3740" s="368">
        <f t="shared" si="175"/>
        <v>0</v>
      </c>
      <c r="J3740" s="365">
        <f t="shared" si="174"/>
        <v>0</v>
      </c>
      <c r="K3740" s="369">
        <f t="shared" si="176"/>
        <v>6</v>
      </c>
      <c r="L3740" s="369">
        <f>+IF((C3740&gt;='Resultats - informe'!$E$16)*(C3740&lt;='Resultats - informe'!$G$16),1,0)</f>
        <v>1</v>
      </c>
      <c r="M3740" s="369" cm="1">
        <f t="array" ref="M3740">+_xlfn.IFS((C3740&gt;='Resultats - informe'!$D$26)*(C3740&lt;='Resultats - informe'!$E$26),0,(C3740&gt;='Resultats - informe'!$D$27)*(C3740&lt;='Resultats - informe'!$E$27),0,(C3740&gt;='Resultats - informe'!$D$28)*(C3740&lt;='Resultats - informe'!$E$28),0,(C3740&gt;='Resultats - informe'!$D$29)*(C3740&lt;='Resultats - informe'!$E$29),0,1,1)</f>
        <v>0</v>
      </c>
      <c r="N3740" s="366">
        <f>+VLOOKUP(D3740,'Resultats - informe'!$Y$18:$AG$42,'Introducció dades consum'!K3740+1,0)</f>
        <v>0</v>
      </c>
      <c r="O3740" s="370" cm="1">
        <f t="array" ref="O3740">+_xlfn.SWITCH(MONTH(C3740),1,1,2,1,3,1,4,2,5,2,6,3,7,3,8,3,9,3,10,2,11,2,12,1,2)</f>
        <v>1</v>
      </c>
      <c r="P3740" s="43"/>
    </row>
    <row r="3741" spans="1:16" ht="18" x14ac:dyDescent="0.35">
      <c r="A3741" s="43"/>
      <c r="C3741" s="393"/>
      <c r="E3741" s="394"/>
      <c r="F3741" s="394">
        <v>0.30499999999999999</v>
      </c>
      <c r="G3741" s="394"/>
      <c r="H3741" s="8" t="s">
        <v>235</v>
      </c>
      <c r="I3741" s="368">
        <f t="shared" si="175"/>
        <v>0</v>
      </c>
      <c r="J3741" s="365">
        <f t="shared" si="174"/>
        <v>0</v>
      </c>
      <c r="K3741" s="369">
        <f t="shared" si="176"/>
        <v>6</v>
      </c>
      <c r="L3741" s="369">
        <f>+IF((C3741&gt;='Resultats - informe'!$E$16)*(C3741&lt;='Resultats - informe'!$G$16),1,0)</f>
        <v>1</v>
      </c>
      <c r="M3741" s="369" cm="1">
        <f t="array" ref="M3741">+_xlfn.IFS((C3741&gt;='Resultats - informe'!$D$26)*(C3741&lt;='Resultats - informe'!$E$26),0,(C3741&gt;='Resultats - informe'!$D$27)*(C3741&lt;='Resultats - informe'!$E$27),0,(C3741&gt;='Resultats - informe'!$D$28)*(C3741&lt;='Resultats - informe'!$E$28),0,(C3741&gt;='Resultats - informe'!$D$29)*(C3741&lt;='Resultats - informe'!$E$29),0,1,1)</f>
        <v>0</v>
      </c>
      <c r="N3741" s="366">
        <f>+VLOOKUP(D3741,'Resultats - informe'!$Y$18:$AG$42,'Introducció dades consum'!K3741+1,0)</f>
        <v>0</v>
      </c>
      <c r="O3741" s="370" cm="1">
        <f t="array" ref="O3741">+_xlfn.SWITCH(MONTH(C3741),1,1,2,1,3,1,4,2,5,2,6,3,7,3,8,3,9,3,10,2,11,2,12,1,2)</f>
        <v>1</v>
      </c>
      <c r="P3741" s="43"/>
    </row>
    <row r="3742" spans="1:16" ht="18" x14ac:dyDescent="0.35">
      <c r="A3742" s="43"/>
      <c r="C3742" s="393"/>
      <c r="E3742" s="394"/>
      <c r="F3742" s="394">
        <v>0</v>
      </c>
      <c r="G3742" s="394"/>
      <c r="H3742" s="8" t="s">
        <v>235</v>
      </c>
      <c r="I3742" s="368">
        <f t="shared" si="175"/>
        <v>0</v>
      </c>
      <c r="J3742" s="365">
        <f t="shared" si="174"/>
        <v>0</v>
      </c>
      <c r="K3742" s="369">
        <f t="shared" si="176"/>
        <v>6</v>
      </c>
      <c r="L3742" s="369">
        <f>+IF((C3742&gt;='Resultats - informe'!$E$16)*(C3742&lt;='Resultats - informe'!$G$16),1,0)</f>
        <v>1</v>
      </c>
      <c r="M3742" s="369" cm="1">
        <f t="array" ref="M3742">+_xlfn.IFS((C3742&gt;='Resultats - informe'!$D$26)*(C3742&lt;='Resultats - informe'!$E$26),0,(C3742&gt;='Resultats - informe'!$D$27)*(C3742&lt;='Resultats - informe'!$E$27),0,(C3742&gt;='Resultats - informe'!$D$28)*(C3742&lt;='Resultats - informe'!$E$28),0,(C3742&gt;='Resultats - informe'!$D$29)*(C3742&lt;='Resultats - informe'!$E$29),0,1,1)</f>
        <v>0</v>
      </c>
      <c r="N3742" s="366">
        <f>+VLOOKUP(D3742,'Resultats - informe'!$Y$18:$AG$42,'Introducció dades consum'!K3742+1,0)</f>
        <v>0</v>
      </c>
      <c r="O3742" s="370" cm="1">
        <f t="array" ref="O3742">+_xlfn.SWITCH(MONTH(C3742),1,1,2,1,3,1,4,2,5,2,6,3,7,3,8,3,9,3,10,2,11,2,12,1,2)</f>
        <v>1</v>
      </c>
      <c r="P3742" s="43"/>
    </row>
    <row r="3743" spans="1:16" ht="18" x14ac:dyDescent="0.35">
      <c r="A3743" s="43"/>
      <c r="C3743" s="393"/>
      <c r="E3743" s="394"/>
      <c r="F3743" s="394">
        <v>0</v>
      </c>
      <c r="G3743" s="394"/>
      <c r="H3743" s="8" t="s">
        <v>235</v>
      </c>
      <c r="I3743" s="368">
        <f t="shared" si="175"/>
        <v>0</v>
      </c>
      <c r="J3743" s="365">
        <f t="shared" si="174"/>
        <v>0</v>
      </c>
      <c r="K3743" s="369">
        <f t="shared" si="176"/>
        <v>6</v>
      </c>
      <c r="L3743" s="369">
        <f>+IF((C3743&gt;='Resultats - informe'!$E$16)*(C3743&lt;='Resultats - informe'!$G$16),1,0)</f>
        <v>1</v>
      </c>
      <c r="M3743" s="369" cm="1">
        <f t="array" ref="M3743">+_xlfn.IFS((C3743&gt;='Resultats - informe'!$D$26)*(C3743&lt;='Resultats - informe'!$E$26),0,(C3743&gt;='Resultats - informe'!$D$27)*(C3743&lt;='Resultats - informe'!$E$27),0,(C3743&gt;='Resultats - informe'!$D$28)*(C3743&lt;='Resultats - informe'!$E$28),0,(C3743&gt;='Resultats - informe'!$D$29)*(C3743&lt;='Resultats - informe'!$E$29),0,1,1)</f>
        <v>0</v>
      </c>
      <c r="N3743" s="366">
        <f>+VLOOKUP(D3743,'Resultats - informe'!$Y$18:$AG$42,'Introducció dades consum'!K3743+1,0)</f>
        <v>0</v>
      </c>
      <c r="O3743" s="370" cm="1">
        <f t="array" ref="O3743">+_xlfn.SWITCH(MONTH(C3743),1,1,2,1,3,1,4,2,5,2,6,3,7,3,8,3,9,3,10,2,11,2,12,1,2)</f>
        <v>1</v>
      </c>
      <c r="P3743" s="43"/>
    </row>
    <row r="3744" spans="1:16" ht="18" x14ac:dyDescent="0.35">
      <c r="A3744" s="43"/>
      <c r="C3744" s="393"/>
      <c r="E3744" s="394"/>
      <c r="F3744" s="394">
        <v>0</v>
      </c>
      <c r="G3744" s="394"/>
      <c r="H3744" s="8" t="s">
        <v>235</v>
      </c>
      <c r="I3744" s="368">
        <f t="shared" si="175"/>
        <v>0</v>
      </c>
      <c r="J3744" s="365">
        <f t="shared" si="174"/>
        <v>0</v>
      </c>
      <c r="K3744" s="369">
        <f t="shared" si="176"/>
        <v>6</v>
      </c>
      <c r="L3744" s="369">
        <f>+IF((C3744&gt;='Resultats - informe'!$E$16)*(C3744&lt;='Resultats - informe'!$G$16),1,0)</f>
        <v>1</v>
      </c>
      <c r="M3744" s="369" cm="1">
        <f t="array" ref="M3744">+_xlfn.IFS((C3744&gt;='Resultats - informe'!$D$26)*(C3744&lt;='Resultats - informe'!$E$26),0,(C3744&gt;='Resultats - informe'!$D$27)*(C3744&lt;='Resultats - informe'!$E$27),0,(C3744&gt;='Resultats - informe'!$D$28)*(C3744&lt;='Resultats - informe'!$E$28),0,(C3744&gt;='Resultats - informe'!$D$29)*(C3744&lt;='Resultats - informe'!$E$29),0,1,1)</f>
        <v>0</v>
      </c>
      <c r="N3744" s="366">
        <f>+VLOOKUP(D3744,'Resultats - informe'!$Y$18:$AG$42,'Introducció dades consum'!K3744+1,0)</f>
        <v>0</v>
      </c>
      <c r="O3744" s="370" cm="1">
        <f t="array" ref="O3744">+_xlfn.SWITCH(MONTH(C3744),1,1,2,1,3,1,4,2,5,2,6,3,7,3,8,3,9,3,10,2,11,2,12,1,2)</f>
        <v>1</v>
      </c>
      <c r="P3744" s="43"/>
    </row>
    <row r="3745" spans="1:16" ht="18" x14ac:dyDescent="0.35">
      <c r="A3745" s="43"/>
      <c r="C3745" s="393"/>
      <c r="E3745" s="394"/>
      <c r="F3745" s="394">
        <v>0</v>
      </c>
      <c r="G3745" s="394"/>
      <c r="H3745" s="8" t="s">
        <v>235</v>
      </c>
      <c r="I3745" s="368">
        <f t="shared" si="175"/>
        <v>0</v>
      </c>
      <c r="J3745" s="365">
        <f t="shared" si="174"/>
        <v>0</v>
      </c>
      <c r="K3745" s="369">
        <f t="shared" si="176"/>
        <v>6</v>
      </c>
      <c r="L3745" s="369">
        <f>+IF((C3745&gt;='Resultats - informe'!$E$16)*(C3745&lt;='Resultats - informe'!$G$16),1,0)</f>
        <v>1</v>
      </c>
      <c r="M3745" s="369" cm="1">
        <f t="array" ref="M3745">+_xlfn.IFS((C3745&gt;='Resultats - informe'!$D$26)*(C3745&lt;='Resultats - informe'!$E$26),0,(C3745&gt;='Resultats - informe'!$D$27)*(C3745&lt;='Resultats - informe'!$E$27),0,(C3745&gt;='Resultats - informe'!$D$28)*(C3745&lt;='Resultats - informe'!$E$28),0,(C3745&gt;='Resultats - informe'!$D$29)*(C3745&lt;='Resultats - informe'!$E$29),0,1,1)</f>
        <v>0</v>
      </c>
      <c r="N3745" s="366">
        <f>+VLOOKUP(D3745,'Resultats - informe'!$Y$18:$AG$42,'Introducció dades consum'!K3745+1,0)</f>
        <v>0</v>
      </c>
      <c r="O3745" s="370" cm="1">
        <f t="array" ref="O3745">+_xlfn.SWITCH(MONTH(C3745),1,1,2,1,3,1,4,2,5,2,6,3,7,3,8,3,9,3,10,2,11,2,12,1,2)</f>
        <v>1</v>
      </c>
      <c r="P3745" s="43"/>
    </row>
    <row r="3746" spans="1:16" ht="18" x14ac:dyDescent="0.35">
      <c r="A3746" s="43"/>
      <c r="C3746" s="393"/>
      <c r="E3746" s="394"/>
      <c r="F3746" s="394">
        <v>0</v>
      </c>
      <c r="G3746" s="394"/>
      <c r="H3746" s="8" t="s">
        <v>235</v>
      </c>
      <c r="I3746" s="368">
        <f t="shared" si="175"/>
        <v>0</v>
      </c>
      <c r="J3746" s="365">
        <f t="shared" si="174"/>
        <v>0</v>
      </c>
      <c r="K3746" s="369">
        <f t="shared" si="176"/>
        <v>6</v>
      </c>
      <c r="L3746" s="369">
        <f>+IF((C3746&gt;='Resultats - informe'!$E$16)*(C3746&lt;='Resultats - informe'!$G$16),1,0)</f>
        <v>1</v>
      </c>
      <c r="M3746" s="369" cm="1">
        <f t="array" ref="M3746">+_xlfn.IFS((C3746&gt;='Resultats - informe'!$D$26)*(C3746&lt;='Resultats - informe'!$E$26),0,(C3746&gt;='Resultats - informe'!$D$27)*(C3746&lt;='Resultats - informe'!$E$27),0,(C3746&gt;='Resultats - informe'!$D$28)*(C3746&lt;='Resultats - informe'!$E$28),0,(C3746&gt;='Resultats - informe'!$D$29)*(C3746&lt;='Resultats - informe'!$E$29),0,1,1)</f>
        <v>0</v>
      </c>
      <c r="N3746" s="366">
        <f>+VLOOKUP(D3746,'Resultats - informe'!$Y$18:$AG$42,'Introducció dades consum'!K3746+1,0)</f>
        <v>0</v>
      </c>
      <c r="O3746" s="370" cm="1">
        <f t="array" ref="O3746">+_xlfn.SWITCH(MONTH(C3746),1,1,2,1,3,1,4,2,5,2,6,3,7,3,8,3,9,3,10,2,11,2,12,1,2)</f>
        <v>1</v>
      </c>
      <c r="P3746" s="43"/>
    </row>
    <row r="3747" spans="1:16" ht="18" x14ac:dyDescent="0.35">
      <c r="A3747" s="43"/>
      <c r="C3747" s="393"/>
      <c r="E3747" s="394"/>
      <c r="F3747" s="394">
        <v>0</v>
      </c>
      <c r="G3747" s="394"/>
      <c r="H3747" s="8" t="s">
        <v>235</v>
      </c>
      <c r="I3747" s="368">
        <f t="shared" si="175"/>
        <v>0</v>
      </c>
      <c r="J3747" s="365">
        <f t="shared" si="174"/>
        <v>0</v>
      </c>
      <c r="K3747" s="369">
        <f t="shared" si="176"/>
        <v>6</v>
      </c>
      <c r="L3747" s="369">
        <f>+IF((C3747&gt;='Resultats - informe'!$E$16)*(C3747&lt;='Resultats - informe'!$G$16),1,0)</f>
        <v>1</v>
      </c>
      <c r="M3747" s="369" cm="1">
        <f t="array" ref="M3747">+_xlfn.IFS((C3747&gt;='Resultats - informe'!$D$26)*(C3747&lt;='Resultats - informe'!$E$26),0,(C3747&gt;='Resultats - informe'!$D$27)*(C3747&lt;='Resultats - informe'!$E$27),0,(C3747&gt;='Resultats - informe'!$D$28)*(C3747&lt;='Resultats - informe'!$E$28),0,(C3747&gt;='Resultats - informe'!$D$29)*(C3747&lt;='Resultats - informe'!$E$29),0,1,1)</f>
        <v>0</v>
      </c>
      <c r="N3747" s="366">
        <f>+VLOOKUP(D3747,'Resultats - informe'!$Y$18:$AG$42,'Introducció dades consum'!K3747+1,0)</f>
        <v>0</v>
      </c>
      <c r="O3747" s="370" cm="1">
        <f t="array" ref="O3747">+_xlfn.SWITCH(MONTH(C3747),1,1,2,1,3,1,4,2,5,2,6,3,7,3,8,3,9,3,10,2,11,2,12,1,2)</f>
        <v>1</v>
      </c>
      <c r="P3747" s="43"/>
    </row>
    <row r="3748" spans="1:16" ht="18" x14ac:dyDescent="0.35">
      <c r="A3748" s="43"/>
      <c r="C3748" s="393"/>
      <c r="E3748" s="394"/>
      <c r="F3748" s="394">
        <v>0</v>
      </c>
      <c r="G3748" s="394"/>
      <c r="H3748" s="8" t="s">
        <v>61</v>
      </c>
      <c r="I3748" s="368">
        <f t="shared" si="175"/>
        <v>0</v>
      </c>
      <c r="J3748" s="365">
        <f t="shared" si="174"/>
        <v>0</v>
      </c>
      <c r="K3748" s="369">
        <f t="shared" si="176"/>
        <v>6</v>
      </c>
      <c r="L3748" s="369">
        <f>+IF((C3748&gt;='Resultats - informe'!$E$16)*(C3748&lt;='Resultats - informe'!$G$16),1,0)</f>
        <v>1</v>
      </c>
      <c r="M3748" s="369" cm="1">
        <f t="array" ref="M3748">+_xlfn.IFS((C3748&gt;='Resultats - informe'!$D$26)*(C3748&lt;='Resultats - informe'!$E$26),0,(C3748&gt;='Resultats - informe'!$D$27)*(C3748&lt;='Resultats - informe'!$E$27),0,(C3748&gt;='Resultats - informe'!$D$28)*(C3748&lt;='Resultats - informe'!$E$28),0,(C3748&gt;='Resultats - informe'!$D$29)*(C3748&lt;='Resultats - informe'!$E$29),0,1,1)</f>
        <v>0</v>
      </c>
      <c r="N3748" s="366">
        <f>+VLOOKUP(D3748,'Resultats - informe'!$Y$18:$AG$42,'Introducció dades consum'!K3748+1,0)</f>
        <v>0</v>
      </c>
      <c r="O3748" s="370" cm="1">
        <f t="array" ref="O3748">+_xlfn.SWITCH(MONTH(C3748),1,1,2,1,3,1,4,2,5,2,6,3,7,3,8,3,9,3,10,2,11,2,12,1,2)</f>
        <v>1</v>
      </c>
      <c r="P3748" s="43"/>
    </row>
    <row r="3749" spans="1:16" ht="18" x14ac:dyDescent="0.35">
      <c r="A3749" s="43"/>
      <c r="C3749" s="393"/>
      <c r="E3749" s="394"/>
      <c r="F3749" s="394">
        <v>0</v>
      </c>
      <c r="G3749" s="394"/>
      <c r="H3749" s="8" t="s">
        <v>61</v>
      </c>
      <c r="I3749" s="368">
        <f t="shared" si="175"/>
        <v>0</v>
      </c>
      <c r="J3749" s="365">
        <f t="shared" si="174"/>
        <v>0</v>
      </c>
      <c r="K3749" s="369">
        <f t="shared" si="176"/>
        <v>6</v>
      </c>
      <c r="L3749" s="369">
        <f>+IF((C3749&gt;='Resultats - informe'!$E$16)*(C3749&lt;='Resultats - informe'!$G$16),1,0)</f>
        <v>1</v>
      </c>
      <c r="M3749" s="369" cm="1">
        <f t="array" ref="M3749">+_xlfn.IFS((C3749&gt;='Resultats - informe'!$D$26)*(C3749&lt;='Resultats - informe'!$E$26),0,(C3749&gt;='Resultats - informe'!$D$27)*(C3749&lt;='Resultats - informe'!$E$27),0,(C3749&gt;='Resultats - informe'!$D$28)*(C3749&lt;='Resultats - informe'!$E$28),0,(C3749&gt;='Resultats - informe'!$D$29)*(C3749&lt;='Resultats - informe'!$E$29),0,1,1)</f>
        <v>0</v>
      </c>
      <c r="N3749" s="366">
        <f>+VLOOKUP(D3749,'Resultats - informe'!$Y$18:$AG$42,'Introducció dades consum'!K3749+1,0)</f>
        <v>0</v>
      </c>
      <c r="O3749" s="370" cm="1">
        <f t="array" ref="O3749">+_xlfn.SWITCH(MONTH(C3749),1,1,2,1,3,1,4,2,5,2,6,3,7,3,8,3,9,3,10,2,11,2,12,1,2)</f>
        <v>1</v>
      </c>
      <c r="P3749" s="43"/>
    </row>
    <row r="3750" spans="1:16" ht="18" x14ac:dyDescent="0.35">
      <c r="A3750" s="43"/>
      <c r="C3750" s="393"/>
      <c r="E3750" s="394"/>
      <c r="F3750" s="394">
        <v>0</v>
      </c>
      <c r="G3750" s="394"/>
      <c r="H3750" s="8" t="s">
        <v>61</v>
      </c>
      <c r="I3750" s="368">
        <f t="shared" si="175"/>
        <v>0</v>
      </c>
      <c r="J3750" s="365">
        <f t="shared" si="174"/>
        <v>0</v>
      </c>
      <c r="K3750" s="369">
        <f t="shared" si="176"/>
        <v>6</v>
      </c>
      <c r="L3750" s="369">
        <f>+IF((C3750&gt;='Resultats - informe'!$E$16)*(C3750&lt;='Resultats - informe'!$G$16),1,0)</f>
        <v>1</v>
      </c>
      <c r="M3750" s="369" cm="1">
        <f t="array" ref="M3750">+_xlfn.IFS((C3750&gt;='Resultats - informe'!$D$26)*(C3750&lt;='Resultats - informe'!$E$26),0,(C3750&gt;='Resultats - informe'!$D$27)*(C3750&lt;='Resultats - informe'!$E$27),0,(C3750&gt;='Resultats - informe'!$D$28)*(C3750&lt;='Resultats - informe'!$E$28),0,(C3750&gt;='Resultats - informe'!$D$29)*(C3750&lt;='Resultats - informe'!$E$29),0,1,1)</f>
        <v>0</v>
      </c>
      <c r="N3750" s="366">
        <f>+VLOOKUP(D3750,'Resultats - informe'!$Y$18:$AG$42,'Introducció dades consum'!K3750+1,0)</f>
        <v>0</v>
      </c>
      <c r="O3750" s="370" cm="1">
        <f t="array" ref="O3750">+_xlfn.SWITCH(MONTH(C3750),1,1,2,1,3,1,4,2,5,2,6,3,7,3,8,3,9,3,10,2,11,2,12,1,2)</f>
        <v>1</v>
      </c>
      <c r="P3750" s="43"/>
    </row>
    <row r="3751" spans="1:16" ht="18" x14ac:dyDescent="0.35">
      <c r="A3751" s="43"/>
      <c r="C3751" s="393"/>
      <c r="E3751" s="394"/>
      <c r="F3751" s="394">
        <v>0</v>
      </c>
      <c r="G3751" s="394"/>
      <c r="H3751" s="8" t="s">
        <v>61</v>
      </c>
      <c r="I3751" s="368">
        <f t="shared" si="175"/>
        <v>0</v>
      </c>
      <c r="J3751" s="365">
        <f t="shared" si="174"/>
        <v>0</v>
      </c>
      <c r="K3751" s="369">
        <f t="shared" si="176"/>
        <v>6</v>
      </c>
      <c r="L3751" s="369">
        <f>+IF((C3751&gt;='Resultats - informe'!$E$16)*(C3751&lt;='Resultats - informe'!$G$16),1,0)</f>
        <v>1</v>
      </c>
      <c r="M3751" s="369" cm="1">
        <f t="array" ref="M3751">+_xlfn.IFS((C3751&gt;='Resultats - informe'!$D$26)*(C3751&lt;='Resultats - informe'!$E$26),0,(C3751&gt;='Resultats - informe'!$D$27)*(C3751&lt;='Resultats - informe'!$E$27),0,(C3751&gt;='Resultats - informe'!$D$28)*(C3751&lt;='Resultats - informe'!$E$28),0,(C3751&gt;='Resultats - informe'!$D$29)*(C3751&lt;='Resultats - informe'!$E$29),0,1,1)</f>
        <v>0</v>
      </c>
      <c r="N3751" s="366">
        <f>+VLOOKUP(D3751,'Resultats - informe'!$Y$18:$AG$42,'Introducció dades consum'!K3751+1,0)</f>
        <v>0</v>
      </c>
      <c r="O3751" s="370" cm="1">
        <f t="array" ref="O3751">+_xlfn.SWITCH(MONTH(C3751),1,1,2,1,3,1,4,2,5,2,6,3,7,3,8,3,9,3,10,2,11,2,12,1,2)</f>
        <v>1</v>
      </c>
      <c r="P3751" s="43"/>
    </row>
    <row r="3752" spans="1:16" ht="18" x14ac:dyDescent="0.35">
      <c r="A3752" s="43"/>
      <c r="C3752" s="393"/>
      <c r="E3752" s="394"/>
      <c r="F3752" s="394">
        <v>0</v>
      </c>
      <c r="G3752" s="394"/>
      <c r="H3752" s="8" t="s">
        <v>235</v>
      </c>
      <c r="I3752" s="368">
        <f t="shared" si="175"/>
        <v>0</v>
      </c>
      <c r="J3752" s="365">
        <f t="shared" si="174"/>
        <v>0</v>
      </c>
      <c r="K3752" s="369">
        <f t="shared" si="176"/>
        <v>6</v>
      </c>
      <c r="L3752" s="369">
        <f>+IF((C3752&gt;='Resultats - informe'!$E$16)*(C3752&lt;='Resultats - informe'!$G$16),1,0)</f>
        <v>1</v>
      </c>
      <c r="M3752" s="369" cm="1">
        <f t="array" ref="M3752">+_xlfn.IFS((C3752&gt;='Resultats - informe'!$D$26)*(C3752&lt;='Resultats - informe'!$E$26),0,(C3752&gt;='Resultats - informe'!$D$27)*(C3752&lt;='Resultats - informe'!$E$27),0,(C3752&gt;='Resultats - informe'!$D$28)*(C3752&lt;='Resultats - informe'!$E$28),0,(C3752&gt;='Resultats - informe'!$D$29)*(C3752&lt;='Resultats - informe'!$E$29),0,1,1)</f>
        <v>0</v>
      </c>
      <c r="N3752" s="366">
        <f>+VLOOKUP(D3752,'Resultats - informe'!$Y$18:$AG$42,'Introducció dades consum'!K3752+1,0)</f>
        <v>0</v>
      </c>
      <c r="O3752" s="370" cm="1">
        <f t="array" ref="O3752">+_xlfn.SWITCH(MONTH(C3752),1,1,2,1,3,1,4,2,5,2,6,3,7,3,8,3,9,3,10,2,11,2,12,1,2)</f>
        <v>1</v>
      </c>
      <c r="P3752" s="43"/>
    </row>
    <row r="3753" spans="1:16" ht="18" x14ac:dyDescent="0.35">
      <c r="A3753" s="43"/>
      <c r="C3753" s="393"/>
      <c r="E3753" s="394"/>
      <c r="F3753" s="394">
        <v>0.20599999999999999</v>
      </c>
      <c r="G3753" s="394"/>
      <c r="H3753" s="8" t="s">
        <v>235</v>
      </c>
      <c r="I3753" s="368">
        <f t="shared" si="175"/>
        <v>0</v>
      </c>
      <c r="J3753" s="365">
        <f t="shared" si="174"/>
        <v>0</v>
      </c>
      <c r="K3753" s="369">
        <f t="shared" si="176"/>
        <v>6</v>
      </c>
      <c r="L3753" s="369">
        <f>+IF((C3753&gt;='Resultats - informe'!$E$16)*(C3753&lt;='Resultats - informe'!$G$16),1,0)</f>
        <v>1</v>
      </c>
      <c r="M3753" s="369" cm="1">
        <f t="array" ref="M3753">+_xlfn.IFS((C3753&gt;='Resultats - informe'!$D$26)*(C3753&lt;='Resultats - informe'!$E$26),0,(C3753&gt;='Resultats - informe'!$D$27)*(C3753&lt;='Resultats - informe'!$E$27),0,(C3753&gt;='Resultats - informe'!$D$28)*(C3753&lt;='Resultats - informe'!$E$28),0,(C3753&gt;='Resultats - informe'!$D$29)*(C3753&lt;='Resultats - informe'!$E$29),0,1,1)</f>
        <v>0</v>
      </c>
      <c r="N3753" s="366">
        <f>+VLOOKUP(D3753,'Resultats - informe'!$Y$18:$AG$42,'Introducció dades consum'!K3753+1,0)</f>
        <v>0</v>
      </c>
      <c r="O3753" s="370" cm="1">
        <f t="array" ref="O3753">+_xlfn.SWITCH(MONTH(C3753),1,1,2,1,3,1,4,2,5,2,6,3,7,3,8,3,9,3,10,2,11,2,12,1,2)</f>
        <v>1</v>
      </c>
      <c r="P3753" s="43"/>
    </row>
    <row r="3754" spans="1:16" ht="18" x14ac:dyDescent="0.35">
      <c r="A3754" s="43"/>
      <c r="C3754" s="393"/>
      <c r="E3754" s="394"/>
      <c r="F3754" s="394">
        <v>0.80500000000000005</v>
      </c>
      <c r="G3754" s="394"/>
      <c r="H3754" s="8" t="s">
        <v>235</v>
      </c>
      <c r="I3754" s="368">
        <f t="shared" si="175"/>
        <v>0</v>
      </c>
      <c r="J3754" s="365">
        <f t="shared" si="174"/>
        <v>0</v>
      </c>
      <c r="K3754" s="369">
        <f t="shared" si="176"/>
        <v>6</v>
      </c>
      <c r="L3754" s="369">
        <f>+IF((C3754&gt;='Resultats - informe'!$E$16)*(C3754&lt;='Resultats - informe'!$G$16),1,0)</f>
        <v>1</v>
      </c>
      <c r="M3754" s="369" cm="1">
        <f t="array" ref="M3754">+_xlfn.IFS((C3754&gt;='Resultats - informe'!$D$26)*(C3754&lt;='Resultats - informe'!$E$26),0,(C3754&gt;='Resultats - informe'!$D$27)*(C3754&lt;='Resultats - informe'!$E$27),0,(C3754&gt;='Resultats - informe'!$D$28)*(C3754&lt;='Resultats - informe'!$E$28),0,(C3754&gt;='Resultats - informe'!$D$29)*(C3754&lt;='Resultats - informe'!$E$29),0,1,1)</f>
        <v>0</v>
      </c>
      <c r="N3754" s="366">
        <f>+VLOOKUP(D3754,'Resultats - informe'!$Y$18:$AG$42,'Introducció dades consum'!K3754+1,0)</f>
        <v>0</v>
      </c>
      <c r="O3754" s="370" cm="1">
        <f t="array" ref="O3754">+_xlfn.SWITCH(MONTH(C3754),1,1,2,1,3,1,4,2,5,2,6,3,7,3,8,3,9,3,10,2,11,2,12,1,2)</f>
        <v>1</v>
      </c>
      <c r="P3754" s="43"/>
    </row>
    <row r="3755" spans="1:16" ht="18" x14ac:dyDescent="0.35">
      <c r="A3755" s="43"/>
      <c r="C3755" s="393"/>
      <c r="E3755" s="394"/>
      <c r="F3755" s="394">
        <v>0</v>
      </c>
      <c r="G3755" s="394"/>
      <c r="H3755" s="8" t="s">
        <v>61</v>
      </c>
      <c r="I3755" s="368">
        <f t="shared" si="175"/>
        <v>0</v>
      </c>
      <c r="J3755" s="365">
        <f t="shared" si="174"/>
        <v>0</v>
      </c>
      <c r="K3755" s="369">
        <f t="shared" si="176"/>
        <v>6</v>
      </c>
      <c r="L3755" s="369">
        <f>+IF((C3755&gt;='Resultats - informe'!$E$16)*(C3755&lt;='Resultats - informe'!$G$16),1,0)</f>
        <v>1</v>
      </c>
      <c r="M3755" s="369" cm="1">
        <f t="array" ref="M3755">+_xlfn.IFS((C3755&gt;='Resultats - informe'!$D$26)*(C3755&lt;='Resultats - informe'!$E$26),0,(C3755&gt;='Resultats - informe'!$D$27)*(C3755&lt;='Resultats - informe'!$E$27),0,(C3755&gt;='Resultats - informe'!$D$28)*(C3755&lt;='Resultats - informe'!$E$28),0,(C3755&gt;='Resultats - informe'!$D$29)*(C3755&lt;='Resultats - informe'!$E$29),0,1,1)</f>
        <v>0</v>
      </c>
      <c r="N3755" s="366">
        <f>+VLOOKUP(D3755,'Resultats - informe'!$Y$18:$AG$42,'Introducció dades consum'!K3755+1,0)</f>
        <v>0</v>
      </c>
      <c r="O3755" s="370" cm="1">
        <f t="array" ref="O3755">+_xlfn.SWITCH(MONTH(C3755),1,1,2,1,3,1,4,2,5,2,6,3,7,3,8,3,9,3,10,2,11,2,12,1,2)</f>
        <v>1</v>
      </c>
      <c r="P3755" s="43"/>
    </row>
    <row r="3756" spans="1:16" ht="18" x14ac:dyDescent="0.35">
      <c r="A3756" s="43"/>
      <c r="C3756" s="393"/>
      <c r="E3756" s="394"/>
      <c r="F3756" s="394">
        <v>0</v>
      </c>
      <c r="G3756" s="394"/>
      <c r="H3756" s="8" t="s">
        <v>61</v>
      </c>
      <c r="I3756" s="368">
        <f t="shared" si="175"/>
        <v>0</v>
      </c>
      <c r="J3756" s="365">
        <f t="shared" si="174"/>
        <v>0</v>
      </c>
      <c r="K3756" s="369">
        <f t="shared" si="176"/>
        <v>6</v>
      </c>
      <c r="L3756" s="369">
        <f>+IF((C3756&gt;='Resultats - informe'!$E$16)*(C3756&lt;='Resultats - informe'!$G$16),1,0)</f>
        <v>1</v>
      </c>
      <c r="M3756" s="369" cm="1">
        <f t="array" ref="M3756">+_xlfn.IFS((C3756&gt;='Resultats - informe'!$D$26)*(C3756&lt;='Resultats - informe'!$E$26),0,(C3756&gt;='Resultats - informe'!$D$27)*(C3756&lt;='Resultats - informe'!$E$27),0,(C3756&gt;='Resultats - informe'!$D$28)*(C3756&lt;='Resultats - informe'!$E$28),0,(C3756&gt;='Resultats - informe'!$D$29)*(C3756&lt;='Resultats - informe'!$E$29),0,1,1)</f>
        <v>0</v>
      </c>
      <c r="N3756" s="366">
        <f>+VLOOKUP(D3756,'Resultats - informe'!$Y$18:$AG$42,'Introducció dades consum'!K3756+1,0)</f>
        <v>0</v>
      </c>
      <c r="O3756" s="370" cm="1">
        <f t="array" ref="O3756">+_xlfn.SWITCH(MONTH(C3756),1,1,2,1,3,1,4,2,5,2,6,3,7,3,8,3,9,3,10,2,11,2,12,1,2)</f>
        <v>1</v>
      </c>
      <c r="P3756" s="43"/>
    </row>
    <row r="3757" spans="1:16" ht="18" x14ac:dyDescent="0.35">
      <c r="A3757" s="43"/>
      <c r="C3757" s="393"/>
      <c r="E3757" s="394"/>
      <c r="F3757" s="394">
        <v>3.6619999999999999</v>
      </c>
      <c r="G3757" s="394"/>
      <c r="H3757" s="8" t="s">
        <v>235</v>
      </c>
      <c r="I3757" s="368">
        <f t="shared" si="175"/>
        <v>0</v>
      </c>
      <c r="J3757" s="365">
        <f t="shared" si="174"/>
        <v>0</v>
      </c>
      <c r="K3757" s="369">
        <f t="shared" si="176"/>
        <v>6</v>
      </c>
      <c r="L3757" s="369">
        <f>+IF((C3757&gt;='Resultats - informe'!$E$16)*(C3757&lt;='Resultats - informe'!$G$16),1,0)</f>
        <v>1</v>
      </c>
      <c r="M3757" s="369" cm="1">
        <f t="array" ref="M3757">+_xlfn.IFS((C3757&gt;='Resultats - informe'!$D$26)*(C3757&lt;='Resultats - informe'!$E$26),0,(C3757&gt;='Resultats - informe'!$D$27)*(C3757&lt;='Resultats - informe'!$E$27),0,(C3757&gt;='Resultats - informe'!$D$28)*(C3757&lt;='Resultats - informe'!$E$28),0,(C3757&gt;='Resultats - informe'!$D$29)*(C3757&lt;='Resultats - informe'!$E$29),0,1,1)</f>
        <v>0</v>
      </c>
      <c r="N3757" s="366">
        <f>+VLOOKUP(D3757,'Resultats - informe'!$Y$18:$AG$42,'Introducció dades consum'!K3757+1,0)</f>
        <v>0</v>
      </c>
      <c r="O3757" s="370" cm="1">
        <f t="array" ref="O3757">+_xlfn.SWITCH(MONTH(C3757),1,1,2,1,3,1,4,2,5,2,6,3,7,3,8,3,9,3,10,2,11,2,12,1,2)</f>
        <v>1</v>
      </c>
      <c r="P3757" s="43"/>
    </row>
    <row r="3758" spans="1:16" ht="18" x14ac:dyDescent="0.35">
      <c r="A3758" s="43"/>
      <c r="C3758" s="393"/>
      <c r="E3758" s="394"/>
      <c r="F3758" s="394">
        <v>4.657</v>
      </c>
      <c r="G3758" s="394"/>
      <c r="H3758" s="8" t="s">
        <v>235</v>
      </c>
      <c r="I3758" s="368">
        <f t="shared" si="175"/>
        <v>0</v>
      </c>
      <c r="J3758" s="365">
        <f t="shared" si="174"/>
        <v>0</v>
      </c>
      <c r="K3758" s="369">
        <f t="shared" si="176"/>
        <v>6</v>
      </c>
      <c r="L3758" s="369">
        <f>+IF((C3758&gt;='Resultats - informe'!$E$16)*(C3758&lt;='Resultats - informe'!$G$16),1,0)</f>
        <v>1</v>
      </c>
      <c r="M3758" s="369" cm="1">
        <f t="array" ref="M3758">+_xlfn.IFS((C3758&gt;='Resultats - informe'!$D$26)*(C3758&lt;='Resultats - informe'!$E$26),0,(C3758&gt;='Resultats - informe'!$D$27)*(C3758&lt;='Resultats - informe'!$E$27),0,(C3758&gt;='Resultats - informe'!$D$28)*(C3758&lt;='Resultats - informe'!$E$28),0,(C3758&gt;='Resultats - informe'!$D$29)*(C3758&lt;='Resultats - informe'!$E$29),0,1,1)</f>
        <v>0</v>
      </c>
      <c r="N3758" s="366">
        <f>+VLOOKUP(D3758,'Resultats - informe'!$Y$18:$AG$42,'Introducció dades consum'!K3758+1,0)</f>
        <v>0</v>
      </c>
      <c r="O3758" s="370" cm="1">
        <f t="array" ref="O3758">+_xlfn.SWITCH(MONTH(C3758),1,1,2,1,3,1,4,2,5,2,6,3,7,3,8,3,9,3,10,2,11,2,12,1,2)</f>
        <v>1</v>
      </c>
      <c r="P3758" s="43"/>
    </row>
    <row r="3759" spans="1:16" ht="18" x14ac:dyDescent="0.35">
      <c r="A3759" s="43"/>
      <c r="C3759" s="393"/>
      <c r="E3759" s="394"/>
      <c r="F3759" s="394">
        <v>4.843</v>
      </c>
      <c r="G3759" s="394"/>
      <c r="H3759" s="8" t="s">
        <v>235</v>
      </c>
      <c r="I3759" s="368">
        <f t="shared" si="175"/>
        <v>0</v>
      </c>
      <c r="J3759" s="365">
        <f t="shared" si="174"/>
        <v>0</v>
      </c>
      <c r="K3759" s="369">
        <f t="shared" si="176"/>
        <v>6</v>
      </c>
      <c r="L3759" s="369">
        <f>+IF((C3759&gt;='Resultats - informe'!$E$16)*(C3759&lt;='Resultats - informe'!$G$16),1,0)</f>
        <v>1</v>
      </c>
      <c r="M3759" s="369" cm="1">
        <f t="array" ref="M3759">+_xlfn.IFS((C3759&gt;='Resultats - informe'!$D$26)*(C3759&lt;='Resultats - informe'!$E$26),0,(C3759&gt;='Resultats - informe'!$D$27)*(C3759&lt;='Resultats - informe'!$E$27),0,(C3759&gt;='Resultats - informe'!$D$28)*(C3759&lt;='Resultats - informe'!$E$28),0,(C3759&gt;='Resultats - informe'!$D$29)*(C3759&lt;='Resultats - informe'!$E$29),0,1,1)</f>
        <v>0</v>
      </c>
      <c r="N3759" s="366">
        <f>+VLOOKUP(D3759,'Resultats - informe'!$Y$18:$AG$42,'Introducció dades consum'!K3759+1,0)</f>
        <v>0</v>
      </c>
      <c r="O3759" s="370" cm="1">
        <f t="array" ref="O3759">+_xlfn.SWITCH(MONTH(C3759),1,1,2,1,3,1,4,2,5,2,6,3,7,3,8,3,9,3,10,2,11,2,12,1,2)</f>
        <v>1</v>
      </c>
      <c r="P3759" s="43"/>
    </row>
    <row r="3760" spans="1:16" ht="18" x14ac:dyDescent="0.35">
      <c r="A3760" s="43"/>
      <c r="C3760" s="393"/>
      <c r="E3760" s="394"/>
      <c r="F3760" s="394">
        <v>1.4059999999999999</v>
      </c>
      <c r="G3760" s="394"/>
      <c r="H3760" s="8" t="s">
        <v>61</v>
      </c>
      <c r="I3760" s="368">
        <f t="shared" si="175"/>
        <v>0</v>
      </c>
      <c r="J3760" s="365">
        <f t="shared" si="174"/>
        <v>0</v>
      </c>
      <c r="K3760" s="369">
        <f t="shared" si="176"/>
        <v>6</v>
      </c>
      <c r="L3760" s="369">
        <f>+IF((C3760&gt;='Resultats - informe'!$E$16)*(C3760&lt;='Resultats - informe'!$G$16),1,0)</f>
        <v>1</v>
      </c>
      <c r="M3760" s="369" cm="1">
        <f t="array" ref="M3760">+_xlfn.IFS((C3760&gt;='Resultats - informe'!$D$26)*(C3760&lt;='Resultats - informe'!$E$26),0,(C3760&gt;='Resultats - informe'!$D$27)*(C3760&lt;='Resultats - informe'!$E$27),0,(C3760&gt;='Resultats - informe'!$D$28)*(C3760&lt;='Resultats - informe'!$E$28),0,(C3760&gt;='Resultats - informe'!$D$29)*(C3760&lt;='Resultats - informe'!$E$29),0,1,1)</f>
        <v>0</v>
      </c>
      <c r="N3760" s="366">
        <f>+VLOOKUP(D3760,'Resultats - informe'!$Y$18:$AG$42,'Introducció dades consum'!K3760+1,0)</f>
        <v>0</v>
      </c>
      <c r="O3760" s="370" cm="1">
        <f t="array" ref="O3760">+_xlfn.SWITCH(MONTH(C3760),1,1,2,1,3,1,4,2,5,2,6,3,7,3,8,3,9,3,10,2,11,2,12,1,2)</f>
        <v>1</v>
      </c>
      <c r="P3760" s="43"/>
    </row>
    <row r="3761" spans="1:16" ht="18" x14ac:dyDescent="0.35">
      <c r="A3761" s="43"/>
      <c r="C3761" s="393"/>
      <c r="E3761" s="394"/>
      <c r="F3761" s="394">
        <v>4.1589999999999998</v>
      </c>
      <c r="G3761" s="394"/>
      <c r="H3761" s="8" t="s">
        <v>235</v>
      </c>
      <c r="I3761" s="368">
        <f t="shared" si="175"/>
        <v>0</v>
      </c>
      <c r="J3761" s="365">
        <f t="shared" si="174"/>
        <v>0</v>
      </c>
      <c r="K3761" s="369">
        <f t="shared" si="176"/>
        <v>6</v>
      </c>
      <c r="L3761" s="369">
        <f>+IF((C3761&gt;='Resultats - informe'!$E$16)*(C3761&lt;='Resultats - informe'!$G$16),1,0)</f>
        <v>1</v>
      </c>
      <c r="M3761" s="369" cm="1">
        <f t="array" ref="M3761">+_xlfn.IFS((C3761&gt;='Resultats - informe'!$D$26)*(C3761&lt;='Resultats - informe'!$E$26),0,(C3761&gt;='Resultats - informe'!$D$27)*(C3761&lt;='Resultats - informe'!$E$27),0,(C3761&gt;='Resultats - informe'!$D$28)*(C3761&lt;='Resultats - informe'!$E$28),0,(C3761&gt;='Resultats - informe'!$D$29)*(C3761&lt;='Resultats - informe'!$E$29),0,1,1)</f>
        <v>0</v>
      </c>
      <c r="N3761" s="366">
        <f>+VLOOKUP(D3761,'Resultats - informe'!$Y$18:$AG$42,'Introducció dades consum'!K3761+1,0)</f>
        <v>0</v>
      </c>
      <c r="O3761" s="370" cm="1">
        <f t="array" ref="O3761">+_xlfn.SWITCH(MONTH(C3761),1,1,2,1,3,1,4,2,5,2,6,3,7,3,8,3,9,3,10,2,11,2,12,1,2)</f>
        <v>1</v>
      </c>
      <c r="P3761" s="43"/>
    </row>
    <row r="3762" spans="1:16" ht="18" x14ac:dyDescent="0.35">
      <c r="A3762" s="43"/>
      <c r="C3762" s="393"/>
      <c r="E3762" s="394"/>
      <c r="F3762" s="394">
        <v>2.5920000000000001</v>
      </c>
      <c r="G3762" s="394"/>
      <c r="H3762" s="8" t="s">
        <v>235</v>
      </c>
      <c r="I3762" s="368">
        <f t="shared" si="175"/>
        <v>0</v>
      </c>
      <c r="J3762" s="365">
        <f t="shared" si="174"/>
        <v>0</v>
      </c>
      <c r="K3762" s="369">
        <f t="shared" si="176"/>
        <v>6</v>
      </c>
      <c r="L3762" s="369">
        <f>+IF((C3762&gt;='Resultats - informe'!$E$16)*(C3762&lt;='Resultats - informe'!$G$16),1,0)</f>
        <v>1</v>
      </c>
      <c r="M3762" s="369" cm="1">
        <f t="array" ref="M3762">+_xlfn.IFS((C3762&gt;='Resultats - informe'!$D$26)*(C3762&lt;='Resultats - informe'!$E$26),0,(C3762&gt;='Resultats - informe'!$D$27)*(C3762&lt;='Resultats - informe'!$E$27),0,(C3762&gt;='Resultats - informe'!$D$28)*(C3762&lt;='Resultats - informe'!$E$28),0,(C3762&gt;='Resultats - informe'!$D$29)*(C3762&lt;='Resultats - informe'!$E$29),0,1,1)</f>
        <v>0</v>
      </c>
      <c r="N3762" s="366">
        <f>+VLOOKUP(D3762,'Resultats - informe'!$Y$18:$AG$42,'Introducció dades consum'!K3762+1,0)</f>
        <v>0</v>
      </c>
      <c r="O3762" s="370" cm="1">
        <f t="array" ref="O3762">+_xlfn.SWITCH(MONTH(C3762),1,1,2,1,3,1,4,2,5,2,6,3,7,3,8,3,9,3,10,2,11,2,12,1,2)</f>
        <v>1</v>
      </c>
      <c r="P3762" s="43"/>
    </row>
    <row r="3763" spans="1:16" ht="18" x14ac:dyDescent="0.35">
      <c r="A3763" s="43"/>
      <c r="C3763" s="393"/>
      <c r="E3763" s="394"/>
      <c r="F3763" s="394">
        <v>2.621</v>
      </c>
      <c r="G3763" s="394"/>
      <c r="H3763" s="8" t="s">
        <v>235</v>
      </c>
      <c r="I3763" s="368">
        <f t="shared" si="175"/>
        <v>0</v>
      </c>
      <c r="J3763" s="365">
        <f t="shared" si="174"/>
        <v>0</v>
      </c>
      <c r="K3763" s="369">
        <f t="shared" si="176"/>
        <v>6</v>
      </c>
      <c r="L3763" s="369">
        <f>+IF((C3763&gt;='Resultats - informe'!$E$16)*(C3763&lt;='Resultats - informe'!$G$16),1,0)</f>
        <v>1</v>
      </c>
      <c r="M3763" s="369" cm="1">
        <f t="array" ref="M3763">+_xlfn.IFS((C3763&gt;='Resultats - informe'!$D$26)*(C3763&lt;='Resultats - informe'!$E$26),0,(C3763&gt;='Resultats - informe'!$D$27)*(C3763&lt;='Resultats - informe'!$E$27),0,(C3763&gt;='Resultats - informe'!$D$28)*(C3763&lt;='Resultats - informe'!$E$28),0,(C3763&gt;='Resultats - informe'!$D$29)*(C3763&lt;='Resultats - informe'!$E$29),0,1,1)</f>
        <v>0</v>
      </c>
      <c r="N3763" s="366">
        <f>+VLOOKUP(D3763,'Resultats - informe'!$Y$18:$AG$42,'Introducció dades consum'!K3763+1,0)</f>
        <v>0</v>
      </c>
      <c r="O3763" s="370" cm="1">
        <f t="array" ref="O3763">+_xlfn.SWITCH(MONTH(C3763),1,1,2,1,3,1,4,2,5,2,6,3,7,3,8,3,9,3,10,2,11,2,12,1,2)</f>
        <v>1</v>
      </c>
      <c r="P3763" s="43"/>
    </row>
    <row r="3764" spans="1:16" ht="18" x14ac:dyDescent="0.35">
      <c r="A3764" s="43"/>
      <c r="C3764" s="393"/>
      <c r="E3764" s="394"/>
      <c r="F3764" s="394">
        <v>1.6479999999999999</v>
      </c>
      <c r="G3764" s="394"/>
      <c r="H3764" s="8" t="s">
        <v>235</v>
      </c>
      <c r="I3764" s="368">
        <f t="shared" si="175"/>
        <v>0</v>
      </c>
      <c r="J3764" s="365">
        <f t="shared" si="174"/>
        <v>0</v>
      </c>
      <c r="K3764" s="369">
        <f t="shared" si="176"/>
        <v>6</v>
      </c>
      <c r="L3764" s="369">
        <f>+IF((C3764&gt;='Resultats - informe'!$E$16)*(C3764&lt;='Resultats - informe'!$G$16),1,0)</f>
        <v>1</v>
      </c>
      <c r="M3764" s="369" cm="1">
        <f t="array" ref="M3764">+_xlfn.IFS((C3764&gt;='Resultats - informe'!$D$26)*(C3764&lt;='Resultats - informe'!$E$26),0,(C3764&gt;='Resultats - informe'!$D$27)*(C3764&lt;='Resultats - informe'!$E$27),0,(C3764&gt;='Resultats - informe'!$D$28)*(C3764&lt;='Resultats - informe'!$E$28),0,(C3764&gt;='Resultats - informe'!$D$29)*(C3764&lt;='Resultats - informe'!$E$29),0,1,1)</f>
        <v>0</v>
      </c>
      <c r="N3764" s="366">
        <f>+VLOOKUP(D3764,'Resultats - informe'!$Y$18:$AG$42,'Introducció dades consum'!K3764+1,0)</f>
        <v>0</v>
      </c>
      <c r="O3764" s="370" cm="1">
        <f t="array" ref="O3764">+_xlfn.SWITCH(MONTH(C3764),1,1,2,1,3,1,4,2,5,2,6,3,7,3,8,3,9,3,10,2,11,2,12,1,2)</f>
        <v>1</v>
      </c>
      <c r="P3764" s="43"/>
    </row>
    <row r="3765" spans="1:16" ht="18" x14ac:dyDescent="0.35">
      <c r="A3765" s="43"/>
      <c r="C3765" s="393"/>
      <c r="E3765" s="394"/>
      <c r="F3765" s="394">
        <v>3.6840000000000002</v>
      </c>
      <c r="G3765" s="394"/>
      <c r="H3765" s="8" t="s">
        <v>61</v>
      </c>
      <c r="I3765" s="368">
        <f t="shared" si="175"/>
        <v>0</v>
      </c>
      <c r="J3765" s="365">
        <f t="shared" si="174"/>
        <v>0</v>
      </c>
      <c r="K3765" s="369">
        <f t="shared" si="176"/>
        <v>6</v>
      </c>
      <c r="L3765" s="369">
        <f>+IF((C3765&gt;='Resultats - informe'!$E$16)*(C3765&lt;='Resultats - informe'!$G$16),1,0)</f>
        <v>1</v>
      </c>
      <c r="M3765" s="369" cm="1">
        <f t="array" ref="M3765">+_xlfn.IFS((C3765&gt;='Resultats - informe'!$D$26)*(C3765&lt;='Resultats - informe'!$E$26),0,(C3765&gt;='Resultats - informe'!$D$27)*(C3765&lt;='Resultats - informe'!$E$27),0,(C3765&gt;='Resultats - informe'!$D$28)*(C3765&lt;='Resultats - informe'!$E$28),0,(C3765&gt;='Resultats - informe'!$D$29)*(C3765&lt;='Resultats - informe'!$E$29),0,1,1)</f>
        <v>0</v>
      </c>
      <c r="N3765" s="366">
        <f>+VLOOKUP(D3765,'Resultats - informe'!$Y$18:$AG$42,'Introducció dades consum'!K3765+1,0)</f>
        <v>0</v>
      </c>
      <c r="O3765" s="370" cm="1">
        <f t="array" ref="O3765">+_xlfn.SWITCH(MONTH(C3765),1,1,2,1,3,1,4,2,5,2,6,3,7,3,8,3,9,3,10,2,11,2,12,1,2)</f>
        <v>1</v>
      </c>
      <c r="P3765" s="43"/>
    </row>
    <row r="3766" spans="1:16" ht="18" x14ac:dyDescent="0.35">
      <c r="A3766" s="43"/>
      <c r="C3766" s="393"/>
      <c r="E3766" s="394"/>
      <c r="F3766" s="394">
        <v>2.431</v>
      </c>
      <c r="G3766" s="394"/>
      <c r="H3766" s="8" t="s">
        <v>61</v>
      </c>
      <c r="I3766" s="368">
        <f t="shared" si="175"/>
        <v>0</v>
      </c>
      <c r="J3766" s="365">
        <f t="shared" si="174"/>
        <v>0</v>
      </c>
      <c r="K3766" s="369">
        <f t="shared" si="176"/>
        <v>6</v>
      </c>
      <c r="L3766" s="369">
        <f>+IF((C3766&gt;='Resultats - informe'!$E$16)*(C3766&lt;='Resultats - informe'!$G$16),1,0)</f>
        <v>1</v>
      </c>
      <c r="M3766" s="369" cm="1">
        <f t="array" ref="M3766">+_xlfn.IFS((C3766&gt;='Resultats - informe'!$D$26)*(C3766&lt;='Resultats - informe'!$E$26),0,(C3766&gt;='Resultats - informe'!$D$27)*(C3766&lt;='Resultats - informe'!$E$27),0,(C3766&gt;='Resultats - informe'!$D$28)*(C3766&lt;='Resultats - informe'!$E$28),0,(C3766&gt;='Resultats - informe'!$D$29)*(C3766&lt;='Resultats - informe'!$E$29),0,1,1)</f>
        <v>0</v>
      </c>
      <c r="N3766" s="366">
        <f>+VLOOKUP(D3766,'Resultats - informe'!$Y$18:$AG$42,'Introducció dades consum'!K3766+1,0)</f>
        <v>0</v>
      </c>
      <c r="O3766" s="370" cm="1">
        <f t="array" ref="O3766">+_xlfn.SWITCH(MONTH(C3766),1,1,2,1,3,1,4,2,5,2,6,3,7,3,8,3,9,3,10,2,11,2,12,1,2)</f>
        <v>1</v>
      </c>
      <c r="P3766" s="43"/>
    </row>
    <row r="3767" spans="1:16" ht="18" x14ac:dyDescent="0.35">
      <c r="A3767" s="43"/>
      <c r="C3767" s="393"/>
      <c r="E3767" s="394"/>
      <c r="F3767" s="394">
        <v>0.84</v>
      </c>
      <c r="G3767" s="394"/>
      <c r="H3767" s="8" t="s">
        <v>61</v>
      </c>
      <c r="I3767" s="368">
        <f t="shared" si="175"/>
        <v>0</v>
      </c>
      <c r="J3767" s="365">
        <f t="shared" si="174"/>
        <v>0</v>
      </c>
      <c r="K3767" s="369">
        <f t="shared" si="176"/>
        <v>6</v>
      </c>
      <c r="L3767" s="369">
        <f>+IF((C3767&gt;='Resultats - informe'!$E$16)*(C3767&lt;='Resultats - informe'!$G$16),1,0)</f>
        <v>1</v>
      </c>
      <c r="M3767" s="369" cm="1">
        <f t="array" ref="M3767">+_xlfn.IFS((C3767&gt;='Resultats - informe'!$D$26)*(C3767&lt;='Resultats - informe'!$E$26),0,(C3767&gt;='Resultats - informe'!$D$27)*(C3767&lt;='Resultats - informe'!$E$27),0,(C3767&gt;='Resultats - informe'!$D$28)*(C3767&lt;='Resultats - informe'!$E$28),0,(C3767&gt;='Resultats - informe'!$D$29)*(C3767&lt;='Resultats - informe'!$E$29),0,1,1)</f>
        <v>0</v>
      </c>
      <c r="N3767" s="366">
        <f>+VLOOKUP(D3767,'Resultats - informe'!$Y$18:$AG$42,'Introducció dades consum'!K3767+1,0)</f>
        <v>0</v>
      </c>
      <c r="O3767" s="370" cm="1">
        <f t="array" ref="O3767">+_xlfn.SWITCH(MONTH(C3767),1,1,2,1,3,1,4,2,5,2,6,3,7,3,8,3,9,3,10,2,11,2,12,1,2)</f>
        <v>1</v>
      </c>
      <c r="P3767" s="43"/>
    </row>
    <row r="3768" spans="1:16" ht="18" x14ac:dyDescent="0.35">
      <c r="A3768" s="43"/>
      <c r="C3768" s="393"/>
      <c r="E3768" s="394"/>
      <c r="F3768" s="394">
        <v>0</v>
      </c>
      <c r="G3768" s="394"/>
      <c r="H3768" s="8" t="s">
        <v>61</v>
      </c>
      <c r="I3768" s="368">
        <f t="shared" si="175"/>
        <v>0</v>
      </c>
      <c r="J3768" s="365">
        <f t="shared" si="174"/>
        <v>0</v>
      </c>
      <c r="K3768" s="369">
        <f t="shared" si="176"/>
        <v>6</v>
      </c>
      <c r="L3768" s="369">
        <f>+IF((C3768&gt;='Resultats - informe'!$E$16)*(C3768&lt;='Resultats - informe'!$G$16),1,0)</f>
        <v>1</v>
      </c>
      <c r="M3768" s="369" cm="1">
        <f t="array" ref="M3768">+_xlfn.IFS((C3768&gt;='Resultats - informe'!$D$26)*(C3768&lt;='Resultats - informe'!$E$26),0,(C3768&gt;='Resultats - informe'!$D$27)*(C3768&lt;='Resultats - informe'!$E$27),0,(C3768&gt;='Resultats - informe'!$D$28)*(C3768&lt;='Resultats - informe'!$E$28),0,(C3768&gt;='Resultats - informe'!$D$29)*(C3768&lt;='Resultats - informe'!$E$29),0,1,1)</f>
        <v>0</v>
      </c>
      <c r="N3768" s="366">
        <f>+VLOOKUP(D3768,'Resultats - informe'!$Y$18:$AG$42,'Introducció dades consum'!K3768+1,0)</f>
        <v>0</v>
      </c>
      <c r="O3768" s="370" cm="1">
        <f t="array" ref="O3768">+_xlfn.SWITCH(MONTH(C3768),1,1,2,1,3,1,4,2,5,2,6,3,7,3,8,3,9,3,10,2,11,2,12,1,2)</f>
        <v>1</v>
      </c>
      <c r="P3768" s="43"/>
    </row>
    <row r="3769" spans="1:16" ht="18" x14ac:dyDescent="0.35">
      <c r="A3769" s="43"/>
      <c r="C3769" s="393"/>
      <c r="E3769" s="394"/>
      <c r="F3769" s="394">
        <v>0</v>
      </c>
      <c r="G3769" s="394"/>
      <c r="H3769" s="8" t="s">
        <v>235</v>
      </c>
      <c r="I3769" s="368">
        <f t="shared" si="175"/>
        <v>0</v>
      </c>
      <c r="J3769" s="365">
        <f t="shared" si="174"/>
        <v>0</v>
      </c>
      <c r="K3769" s="369">
        <f t="shared" si="176"/>
        <v>6</v>
      </c>
      <c r="L3769" s="369">
        <f>+IF((C3769&gt;='Resultats - informe'!$E$16)*(C3769&lt;='Resultats - informe'!$G$16),1,0)</f>
        <v>1</v>
      </c>
      <c r="M3769" s="369" cm="1">
        <f t="array" ref="M3769">+_xlfn.IFS((C3769&gt;='Resultats - informe'!$D$26)*(C3769&lt;='Resultats - informe'!$E$26),0,(C3769&gt;='Resultats - informe'!$D$27)*(C3769&lt;='Resultats - informe'!$E$27),0,(C3769&gt;='Resultats - informe'!$D$28)*(C3769&lt;='Resultats - informe'!$E$28),0,(C3769&gt;='Resultats - informe'!$D$29)*(C3769&lt;='Resultats - informe'!$E$29),0,1,1)</f>
        <v>0</v>
      </c>
      <c r="N3769" s="366">
        <f>+VLOOKUP(D3769,'Resultats - informe'!$Y$18:$AG$42,'Introducció dades consum'!K3769+1,0)</f>
        <v>0</v>
      </c>
      <c r="O3769" s="370" cm="1">
        <f t="array" ref="O3769">+_xlfn.SWITCH(MONTH(C3769),1,1,2,1,3,1,4,2,5,2,6,3,7,3,8,3,9,3,10,2,11,2,12,1,2)</f>
        <v>1</v>
      </c>
      <c r="P3769" s="43"/>
    </row>
    <row r="3770" spans="1:16" ht="18" x14ac:dyDescent="0.35">
      <c r="A3770" s="43"/>
      <c r="C3770" s="393"/>
      <c r="E3770" s="394"/>
      <c r="F3770" s="394">
        <v>0</v>
      </c>
      <c r="G3770" s="394"/>
      <c r="H3770" s="8" t="s">
        <v>235</v>
      </c>
      <c r="I3770" s="368">
        <f t="shared" si="175"/>
        <v>0</v>
      </c>
      <c r="J3770" s="365">
        <f t="shared" si="174"/>
        <v>0</v>
      </c>
      <c r="K3770" s="369">
        <f t="shared" si="176"/>
        <v>6</v>
      </c>
      <c r="L3770" s="369">
        <f>+IF((C3770&gt;='Resultats - informe'!$E$16)*(C3770&lt;='Resultats - informe'!$G$16),1,0)</f>
        <v>1</v>
      </c>
      <c r="M3770" s="369" cm="1">
        <f t="array" ref="M3770">+_xlfn.IFS((C3770&gt;='Resultats - informe'!$D$26)*(C3770&lt;='Resultats - informe'!$E$26),0,(C3770&gt;='Resultats - informe'!$D$27)*(C3770&lt;='Resultats - informe'!$E$27),0,(C3770&gt;='Resultats - informe'!$D$28)*(C3770&lt;='Resultats - informe'!$E$28),0,(C3770&gt;='Resultats - informe'!$D$29)*(C3770&lt;='Resultats - informe'!$E$29),0,1,1)</f>
        <v>0</v>
      </c>
      <c r="N3770" s="366">
        <f>+VLOOKUP(D3770,'Resultats - informe'!$Y$18:$AG$42,'Introducció dades consum'!K3770+1,0)</f>
        <v>0</v>
      </c>
      <c r="O3770" s="370" cm="1">
        <f t="array" ref="O3770">+_xlfn.SWITCH(MONTH(C3770),1,1,2,1,3,1,4,2,5,2,6,3,7,3,8,3,9,3,10,2,11,2,12,1,2)</f>
        <v>1</v>
      </c>
      <c r="P3770" s="43"/>
    </row>
    <row r="3771" spans="1:16" ht="18" x14ac:dyDescent="0.35">
      <c r="A3771" s="43"/>
      <c r="C3771" s="393"/>
      <c r="E3771" s="394"/>
      <c r="F3771" s="394">
        <v>0</v>
      </c>
      <c r="G3771" s="394"/>
      <c r="H3771" s="8" t="s">
        <v>61</v>
      </c>
      <c r="I3771" s="368">
        <f t="shared" si="175"/>
        <v>0</v>
      </c>
      <c r="J3771" s="365">
        <f t="shared" ref="J3771:J3834" si="177">+C3771</f>
        <v>0</v>
      </c>
      <c r="K3771" s="369">
        <f t="shared" si="176"/>
        <v>6</v>
      </c>
      <c r="L3771" s="369">
        <f>+IF((C3771&gt;='Resultats - informe'!$E$16)*(C3771&lt;='Resultats - informe'!$G$16),1,0)</f>
        <v>1</v>
      </c>
      <c r="M3771" s="369" cm="1">
        <f t="array" ref="M3771">+_xlfn.IFS((C3771&gt;='Resultats - informe'!$D$26)*(C3771&lt;='Resultats - informe'!$E$26),0,(C3771&gt;='Resultats - informe'!$D$27)*(C3771&lt;='Resultats - informe'!$E$27),0,(C3771&gt;='Resultats - informe'!$D$28)*(C3771&lt;='Resultats - informe'!$E$28),0,(C3771&gt;='Resultats - informe'!$D$29)*(C3771&lt;='Resultats - informe'!$E$29),0,1,1)</f>
        <v>0</v>
      </c>
      <c r="N3771" s="366">
        <f>+VLOOKUP(D3771,'Resultats - informe'!$Y$18:$AG$42,'Introducció dades consum'!K3771+1,0)</f>
        <v>0</v>
      </c>
      <c r="O3771" s="370" cm="1">
        <f t="array" ref="O3771">+_xlfn.SWITCH(MONTH(C3771),1,1,2,1,3,1,4,2,5,2,6,3,7,3,8,3,9,3,10,2,11,2,12,1,2)</f>
        <v>1</v>
      </c>
      <c r="P3771" s="43"/>
    </row>
    <row r="3772" spans="1:16" ht="18" x14ac:dyDescent="0.35">
      <c r="A3772" s="43"/>
      <c r="C3772" s="393"/>
      <c r="E3772" s="394"/>
      <c r="F3772" s="394">
        <v>0</v>
      </c>
      <c r="G3772" s="394"/>
      <c r="H3772" s="8" t="s">
        <v>61</v>
      </c>
      <c r="I3772" s="368">
        <f t="shared" si="175"/>
        <v>0</v>
      </c>
      <c r="J3772" s="365">
        <f t="shared" si="177"/>
        <v>0</v>
      </c>
      <c r="K3772" s="369">
        <f t="shared" si="176"/>
        <v>6</v>
      </c>
      <c r="L3772" s="369">
        <f>+IF((C3772&gt;='Resultats - informe'!$E$16)*(C3772&lt;='Resultats - informe'!$G$16),1,0)</f>
        <v>1</v>
      </c>
      <c r="M3772" s="369" cm="1">
        <f t="array" ref="M3772">+_xlfn.IFS((C3772&gt;='Resultats - informe'!$D$26)*(C3772&lt;='Resultats - informe'!$E$26),0,(C3772&gt;='Resultats - informe'!$D$27)*(C3772&lt;='Resultats - informe'!$E$27),0,(C3772&gt;='Resultats - informe'!$D$28)*(C3772&lt;='Resultats - informe'!$E$28),0,(C3772&gt;='Resultats - informe'!$D$29)*(C3772&lt;='Resultats - informe'!$E$29),0,1,1)</f>
        <v>0</v>
      </c>
      <c r="N3772" s="366">
        <f>+VLOOKUP(D3772,'Resultats - informe'!$Y$18:$AG$42,'Introducció dades consum'!K3772+1,0)</f>
        <v>0</v>
      </c>
      <c r="O3772" s="370" cm="1">
        <f t="array" ref="O3772">+_xlfn.SWITCH(MONTH(C3772),1,1,2,1,3,1,4,2,5,2,6,3,7,3,8,3,9,3,10,2,11,2,12,1,2)</f>
        <v>1</v>
      </c>
      <c r="P3772" s="43"/>
    </row>
    <row r="3773" spans="1:16" ht="18" x14ac:dyDescent="0.35">
      <c r="A3773" s="43"/>
      <c r="C3773" s="393"/>
      <c r="E3773" s="394"/>
      <c r="F3773" s="394">
        <v>0</v>
      </c>
      <c r="G3773" s="394"/>
      <c r="H3773" s="8" t="s">
        <v>235</v>
      </c>
      <c r="I3773" s="368">
        <f t="shared" si="175"/>
        <v>0</v>
      </c>
      <c r="J3773" s="365">
        <f t="shared" si="177"/>
        <v>0</v>
      </c>
      <c r="K3773" s="369">
        <f t="shared" si="176"/>
        <v>6</v>
      </c>
      <c r="L3773" s="369">
        <f>+IF((C3773&gt;='Resultats - informe'!$E$16)*(C3773&lt;='Resultats - informe'!$G$16),1,0)</f>
        <v>1</v>
      </c>
      <c r="M3773" s="369" cm="1">
        <f t="array" ref="M3773">+_xlfn.IFS((C3773&gt;='Resultats - informe'!$D$26)*(C3773&lt;='Resultats - informe'!$E$26),0,(C3773&gt;='Resultats - informe'!$D$27)*(C3773&lt;='Resultats - informe'!$E$27),0,(C3773&gt;='Resultats - informe'!$D$28)*(C3773&lt;='Resultats - informe'!$E$28),0,(C3773&gt;='Resultats - informe'!$D$29)*(C3773&lt;='Resultats - informe'!$E$29),0,1,1)</f>
        <v>0</v>
      </c>
      <c r="N3773" s="366">
        <f>+VLOOKUP(D3773,'Resultats - informe'!$Y$18:$AG$42,'Introducció dades consum'!K3773+1,0)</f>
        <v>0</v>
      </c>
      <c r="O3773" s="370" cm="1">
        <f t="array" ref="O3773">+_xlfn.SWITCH(MONTH(C3773),1,1,2,1,3,1,4,2,5,2,6,3,7,3,8,3,9,3,10,2,11,2,12,1,2)</f>
        <v>1</v>
      </c>
      <c r="P3773" s="43"/>
    </row>
    <row r="3774" spans="1:16" ht="18" x14ac:dyDescent="0.35">
      <c r="A3774" s="43"/>
      <c r="C3774" s="393"/>
      <c r="E3774" s="394"/>
      <c r="F3774" s="394">
        <v>0</v>
      </c>
      <c r="G3774" s="394"/>
      <c r="H3774" s="8" t="s">
        <v>235</v>
      </c>
      <c r="I3774" s="368">
        <f t="shared" si="175"/>
        <v>0</v>
      </c>
      <c r="J3774" s="365">
        <f t="shared" si="177"/>
        <v>0</v>
      </c>
      <c r="K3774" s="369">
        <f t="shared" si="176"/>
        <v>6</v>
      </c>
      <c r="L3774" s="369">
        <f>+IF((C3774&gt;='Resultats - informe'!$E$16)*(C3774&lt;='Resultats - informe'!$G$16),1,0)</f>
        <v>1</v>
      </c>
      <c r="M3774" s="369" cm="1">
        <f t="array" ref="M3774">+_xlfn.IFS((C3774&gt;='Resultats - informe'!$D$26)*(C3774&lt;='Resultats - informe'!$E$26),0,(C3774&gt;='Resultats - informe'!$D$27)*(C3774&lt;='Resultats - informe'!$E$27),0,(C3774&gt;='Resultats - informe'!$D$28)*(C3774&lt;='Resultats - informe'!$E$28),0,(C3774&gt;='Resultats - informe'!$D$29)*(C3774&lt;='Resultats - informe'!$E$29),0,1,1)</f>
        <v>0</v>
      </c>
      <c r="N3774" s="366">
        <f>+VLOOKUP(D3774,'Resultats - informe'!$Y$18:$AG$42,'Introducció dades consum'!K3774+1,0)</f>
        <v>0</v>
      </c>
      <c r="O3774" s="370" cm="1">
        <f t="array" ref="O3774">+_xlfn.SWITCH(MONTH(C3774),1,1,2,1,3,1,4,2,5,2,6,3,7,3,8,3,9,3,10,2,11,2,12,1,2)</f>
        <v>1</v>
      </c>
      <c r="P3774" s="43"/>
    </row>
    <row r="3775" spans="1:16" ht="18" x14ac:dyDescent="0.35">
      <c r="A3775" s="43"/>
      <c r="C3775" s="393"/>
      <c r="E3775" s="394"/>
      <c r="F3775" s="394">
        <v>0</v>
      </c>
      <c r="G3775" s="394"/>
      <c r="H3775" s="8" t="s">
        <v>61</v>
      </c>
      <c r="I3775" s="368">
        <f t="shared" si="175"/>
        <v>0</v>
      </c>
      <c r="J3775" s="365">
        <f t="shared" si="177"/>
        <v>0</v>
      </c>
      <c r="K3775" s="369">
        <f t="shared" si="176"/>
        <v>6</v>
      </c>
      <c r="L3775" s="369">
        <f>+IF((C3775&gt;='Resultats - informe'!$E$16)*(C3775&lt;='Resultats - informe'!$G$16),1,0)</f>
        <v>1</v>
      </c>
      <c r="M3775" s="369" cm="1">
        <f t="array" ref="M3775">+_xlfn.IFS((C3775&gt;='Resultats - informe'!$D$26)*(C3775&lt;='Resultats - informe'!$E$26),0,(C3775&gt;='Resultats - informe'!$D$27)*(C3775&lt;='Resultats - informe'!$E$27),0,(C3775&gt;='Resultats - informe'!$D$28)*(C3775&lt;='Resultats - informe'!$E$28),0,(C3775&gt;='Resultats - informe'!$D$29)*(C3775&lt;='Resultats - informe'!$E$29),0,1,1)</f>
        <v>0</v>
      </c>
      <c r="N3775" s="366">
        <f>+VLOOKUP(D3775,'Resultats - informe'!$Y$18:$AG$42,'Introducció dades consum'!K3775+1,0)</f>
        <v>0</v>
      </c>
      <c r="O3775" s="370" cm="1">
        <f t="array" ref="O3775">+_xlfn.SWITCH(MONTH(C3775),1,1,2,1,3,1,4,2,5,2,6,3,7,3,8,3,9,3,10,2,11,2,12,1,2)</f>
        <v>1</v>
      </c>
      <c r="P3775" s="43"/>
    </row>
    <row r="3776" spans="1:16" ht="18" x14ac:dyDescent="0.35">
      <c r="A3776" s="43"/>
      <c r="C3776" s="393"/>
      <c r="E3776" s="394"/>
      <c r="F3776" s="394">
        <v>0</v>
      </c>
      <c r="G3776" s="394"/>
      <c r="H3776" s="8" t="s">
        <v>61</v>
      </c>
      <c r="I3776" s="368">
        <f t="shared" si="175"/>
        <v>0</v>
      </c>
      <c r="J3776" s="365">
        <f t="shared" si="177"/>
        <v>0</v>
      </c>
      <c r="K3776" s="369">
        <f t="shared" si="176"/>
        <v>6</v>
      </c>
      <c r="L3776" s="369">
        <f>+IF((C3776&gt;='Resultats - informe'!$E$16)*(C3776&lt;='Resultats - informe'!$G$16),1,0)</f>
        <v>1</v>
      </c>
      <c r="M3776" s="369" cm="1">
        <f t="array" ref="M3776">+_xlfn.IFS((C3776&gt;='Resultats - informe'!$D$26)*(C3776&lt;='Resultats - informe'!$E$26),0,(C3776&gt;='Resultats - informe'!$D$27)*(C3776&lt;='Resultats - informe'!$E$27),0,(C3776&gt;='Resultats - informe'!$D$28)*(C3776&lt;='Resultats - informe'!$E$28),0,(C3776&gt;='Resultats - informe'!$D$29)*(C3776&lt;='Resultats - informe'!$E$29),0,1,1)</f>
        <v>0</v>
      </c>
      <c r="N3776" s="366">
        <f>+VLOOKUP(D3776,'Resultats - informe'!$Y$18:$AG$42,'Introducció dades consum'!K3776+1,0)</f>
        <v>0</v>
      </c>
      <c r="O3776" s="370" cm="1">
        <f t="array" ref="O3776">+_xlfn.SWITCH(MONTH(C3776),1,1,2,1,3,1,4,2,5,2,6,3,7,3,8,3,9,3,10,2,11,2,12,1,2)</f>
        <v>1</v>
      </c>
      <c r="P3776" s="43"/>
    </row>
    <row r="3777" spans="1:16" ht="18" x14ac:dyDescent="0.35">
      <c r="A3777" s="43"/>
      <c r="C3777" s="393"/>
      <c r="E3777" s="394"/>
      <c r="F3777" s="394">
        <v>0.22600000000000001</v>
      </c>
      <c r="G3777" s="394"/>
      <c r="H3777" s="8" t="s">
        <v>235</v>
      </c>
      <c r="I3777" s="368">
        <f t="shared" si="175"/>
        <v>0</v>
      </c>
      <c r="J3777" s="365">
        <f t="shared" si="177"/>
        <v>0</v>
      </c>
      <c r="K3777" s="369">
        <f t="shared" si="176"/>
        <v>6</v>
      </c>
      <c r="L3777" s="369">
        <f>+IF((C3777&gt;='Resultats - informe'!$E$16)*(C3777&lt;='Resultats - informe'!$G$16),1,0)</f>
        <v>1</v>
      </c>
      <c r="M3777" s="369" cm="1">
        <f t="array" ref="M3777">+_xlfn.IFS((C3777&gt;='Resultats - informe'!$D$26)*(C3777&lt;='Resultats - informe'!$E$26),0,(C3777&gt;='Resultats - informe'!$D$27)*(C3777&lt;='Resultats - informe'!$E$27),0,(C3777&gt;='Resultats - informe'!$D$28)*(C3777&lt;='Resultats - informe'!$E$28),0,(C3777&gt;='Resultats - informe'!$D$29)*(C3777&lt;='Resultats - informe'!$E$29),0,1,1)</f>
        <v>0</v>
      </c>
      <c r="N3777" s="366">
        <f>+VLOOKUP(D3777,'Resultats - informe'!$Y$18:$AG$42,'Introducció dades consum'!K3777+1,0)</f>
        <v>0</v>
      </c>
      <c r="O3777" s="370" cm="1">
        <f t="array" ref="O3777">+_xlfn.SWITCH(MONTH(C3777),1,1,2,1,3,1,4,2,5,2,6,3,7,3,8,3,9,3,10,2,11,2,12,1,2)</f>
        <v>1</v>
      </c>
      <c r="P3777" s="43"/>
    </row>
    <row r="3778" spans="1:16" ht="18" x14ac:dyDescent="0.35">
      <c r="A3778" s="43"/>
      <c r="C3778" s="393"/>
      <c r="E3778" s="394"/>
      <c r="F3778" s="394">
        <v>0.80300000000000005</v>
      </c>
      <c r="G3778" s="394"/>
      <c r="H3778" s="8" t="s">
        <v>235</v>
      </c>
      <c r="I3778" s="368">
        <f t="shared" si="175"/>
        <v>0</v>
      </c>
      <c r="J3778" s="365">
        <f t="shared" si="177"/>
        <v>0</v>
      </c>
      <c r="K3778" s="369">
        <f t="shared" si="176"/>
        <v>6</v>
      </c>
      <c r="L3778" s="369">
        <f>+IF((C3778&gt;='Resultats - informe'!$E$16)*(C3778&lt;='Resultats - informe'!$G$16),1,0)</f>
        <v>1</v>
      </c>
      <c r="M3778" s="369" cm="1">
        <f t="array" ref="M3778">+_xlfn.IFS((C3778&gt;='Resultats - informe'!$D$26)*(C3778&lt;='Resultats - informe'!$E$26),0,(C3778&gt;='Resultats - informe'!$D$27)*(C3778&lt;='Resultats - informe'!$E$27),0,(C3778&gt;='Resultats - informe'!$D$28)*(C3778&lt;='Resultats - informe'!$E$28),0,(C3778&gt;='Resultats - informe'!$D$29)*(C3778&lt;='Resultats - informe'!$E$29),0,1,1)</f>
        <v>0</v>
      </c>
      <c r="N3778" s="366">
        <f>+VLOOKUP(D3778,'Resultats - informe'!$Y$18:$AG$42,'Introducció dades consum'!K3778+1,0)</f>
        <v>0</v>
      </c>
      <c r="O3778" s="370" cm="1">
        <f t="array" ref="O3778">+_xlfn.SWITCH(MONTH(C3778),1,1,2,1,3,1,4,2,5,2,6,3,7,3,8,3,9,3,10,2,11,2,12,1,2)</f>
        <v>1</v>
      </c>
      <c r="P3778" s="43"/>
    </row>
    <row r="3779" spans="1:16" ht="18" x14ac:dyDescent="0.35">
      <c r="A3779" s="43"/>
      <c r="C3779" s="393"/>
      <c r="E3779" s="394"/>
      <c r="F3779" s="394">
        <v>0</v>
      </c>
      <c r="G3779" s="394"/>
      <c r="H3779" s="8" t="s">
        <v>61</v>
      </c>
      <c r="I3779" s="368">
        <f t="shared" si="175"/>
        <v>0</v>
      </c>
      <c r="J3779" s="365">
        <f t="shared" si="177"/>
        <v>0</v>
      </c>
      <c r="K3779" s="369">
        <f t="shared" si="176"/>
        <v>6</v>
      </c>
      <c r="L3779" s="369">
        <f>+IF((C3779&gt;='Resultats - informe'!$E$16)*(C3779&lt;='Resultats - informe'!$G$16),1,0)</f>
        <v>1</v>
      </c>
      <c r="M3779" s="369" cm="1">
        <f t="array" ref="M3779">+_xlfn.IFS((C3779&gt;='Resultats - informe'!$D$26)*(C3779&lt;='Resultats - informe'!$E$26),0,(C3779&gt;='Resultats - informe'!$D$27)*(C3779&lt;='Resultats - informe'!$E$27),0,(C3779&gt;='Resultats - informe'!$D$28)*(C3779&lt;='Resultats - informe'!$E$28),0,(C3779&gt;='Resultats - informe'!$D$29)*(C3779&lt;='Resultats - informe'!$E$29),0,1,1)</f>
        <v>0</v>
      </c>
      <c r="N3779" s="366">
        <f>+VLOOKUP(D3779,'Resultats - informe'!$Y$18:$AG$42,'Introducció dades consum'!K3779+1,0)</f>
        <v>0</v>
      </c>
      <c r="O3779" s="370" cm="1">
        <f t="array" ref="O3779">+_xlfn.SWITCH(MONTH(C3779),1,1,2,1,3,1,4,2,5,2,6,3,7,3,8,3,9,3,10,2,11,2,12,1,2)</f>
        <v>1</v>
      </c>
      <c r="P3779" s="43"/>
    </row>
    <row r="3780" spans="1:16" ht="18" x14ac:dyDescent="0.35">
      <c r="A3780" s="43"/>
      <c r="C3780" s="393"/>
      <c r="E3780" s="394"/>
      <c r="F3780" s="394">
        <v>0.68600000000000005</v>
      </c>
      <c r="G3780" s="394"/>
      <c r="H3780" s="8" t="s">
        <v>61</v>
      </c>
      <c r="I3780" s="368">
        <f t="shared" si="175"/>
        <v>0</v>
      </c>
      <c r="J3780" s="365">
        <f t="shared" si="177"/>
        <v>0</v>
      </c>
      <c r="K3780" s="369">
        <f t="shared" si="176"/>
        <v>6</v>
      </c>
      <c r="L3780" s="369">
        <f>+IF((C3780&gt;='Resultats - informe'!$E$16)*(C3780&lt;='Resultats - informe'!$G$16),1,0)</f>
        <v>1</v>
      </c>
      <c r="M3780" s="369" cm="1">
        <f t="array" ref="M3780">+_xlfn.IFS((C3780&gt;='Resultats - informe'!$D$26)*(C3780&lt;='Resultats - informe'!$E$26),0,(C3780&gt;='Resultats - informe'!$D$27)*(C3780&lt;='Resultats - informe'!$E$27),0,(C3780&gt;='Resultats - informe'!$D$28)*(C3780&lt;='Resultats - informe'!$E$28),0,(C3780&gt;='Resultats - informe'!$D$29)*(C3780&lt;='Resultats - informe'!$E$29),0,1,1)</f>
        <v>0</v>
      </c>
      <c r="N3780" s="366">
        <f>+VLOOKUP(D3780,'Resultats - informe'!$Y$18:$AG$42,'Introducció dades consum'!K3780+1,0)</f>
        <v>0</v>
      </c>
      <c r="O3780" s="370" cm="1">
        <f t="array" ref="O3780">+_xlfn.SWITCH(MONTH(C3780),1,1,2,1,3,1,4,2,5,2,6,3,7,3,8,3,9,3,10,2,11,2,12,1,2)</f>
        <v>1</v>
      </c>
      <c r="P3780" s="43"/>
    </row>
    <row r="3781" spans="1:16" ht="18" x14ac:dyDescent="0.35">
      <c r="A3781" s="43"/>
      <c r="C3781" s="393"/>
      <c r="E3781" s="394"/>
      <c r="F3781" s="394">
        <v>2.3180000000000001</v>
      </c>
      <c r="G3781" s="394"/>
      <c r="H3781" s="8" t="s">
        <v>61</v>
      </c>
      <c r="I3781" s="368">
        <f t="shared" si="175"/>
        <v>0</v>
      </c>
      <c r="J3781" s="365">
        <f t="shared" si="177"/>
        <v>0</v>
      </c>
      <c r="K3781" s="369">
        <f t="shared" si="176"/>
        <v>6</v>
      </c>
      <c r="L3781" s="369">
        <f>+IF((C3781&gt;='Resultats - informe'!$E$16)*(C3781&lt;='Resultats - informe'!$G$16),1,0)</f>
        <v>1</v>
      </c>
      <c r="M3781" s="369" cm="1">
        <f t="array" ref="M3781">+_xlfn.IFS((C3781&gt;='Resultats - informe'!$D$26)*(C3781&lt;='Resultats - informe'!$E$26),0,(C3781&gt;='Resultats - informe'!$D$27)*(C3781&lt;='Resultats - informe'!$E$27),0,(C3781&gt;='Resultats - informe'!$D$28)*(C3781&lt;='Resultats - informe'!$E$28),0,(C3781&gt;='Resultats - informe'!$D$29)*(C3781&lt;='Resultats - informe'!$E$29),0,1,1)</f>
        <v>0</v>
      </c>
      <c r="N3781" s="366">
        <f>+VLOOKUP(D3781,'Resultats - informe'!$Y$18:$AG$42,'Introducció dades consum'!K3781+1,0)</f>
        <v>0</v>
      </c>
      <c r="O3781" s="370" cm="1">
        <f t="array" ref="O3781">+_xlfn.SWITCH(MONTH(C3781),1,1,2,1,3,1,4,2,5,2,6,3,7,3,8,3,9,3,10,2,11,2,12,1,2)</f>
        <v>1</v>
      </c>
      <c r="P3781" s="43"/>
    </row>
    <row r="3782" spans="1:16" ht="18" x14ac:dyDescent="0.35">
      <c r="A3782" s="43"/>
      <c r="C3782" s="393"/>
      <c r="E3782" s="394"/>
      <c r="F3782" s="394">
        <v>4.2320000000000002</v>
      </c>
      <c r="G3782" s="394"/>
      <c r="H3782" s="8" t="s">
        <v>61</v>
      </c>
      <c r="I3782" s="368">
        <f t="shared" ref="I3782:I3845" si="178">+E3782+G3782</f>
        <v>0</v>
      </c>
      <c r="J3782" s="365">
        <f t="shared" si="177"/>
        <v>0</v>
      </c>
      <c r="K3782" s="369">
        <f t="shared" ref="K3782:K3845" si="179">+WEEKDAY(C3782,2)</f>
        <v>6</v>
      </c>
      <c r="L3782" s="369">
        <f>+IF((C3782&gt;='Resultats - informe'!$E$16)*(C3782&lt;='Resultats - informe'!$G$16),1,0)</f>
        <v>1</v>
      </c>
      <c r="M3782" s="369" cm="1">
        <f t="array" ref="M3782">+_xlfn.IFS((C3782&gt;='Resultats - informe'!$D$26)*(C3782&lt;='Resultats - informe'!$E$26),0,(C3782&gt;='Resultats - informe'!$D$27)*(C3782&lt;='Resultats - informe'!$E$27),0,(C3782&gt;='Resultats - informe'!$D$28)*(C3782&lt;='Resultats - informe'!$E$28),0,(C3782&gt;='Resultats - informe'!$D$29)*(C3782&lt;='Resultats - informe'!$E$29),0,1,1)</f>
        <v>0</v>
      </c>
      <c r="N3782" s="366">
        <f>+VLOOKUP(D3782,'Resultats - informe'!$Y$18:$AG$42,'Introducció dades consum'!K3782+1,0)</f>
        <v>0</v>
      </c>
      <c r="O3782" s="370" cm="1">
        <f t="array" ref="O3782">+_xlfn.SWITCH(MONTH(C3782),1,1,2,1,3,1,4,2,5,2,6,3,7,3,8,3,9,3,10,2,11,2,12,1,2)</f>
        <v>1</v>
      </c>
      <c r="P3782" s="43"/>
    </row>
    <row r="3783" spans="1:16" ht="18" x14ac:dyDescent="0.35">
      <c r="A3783" s="43"/>
      <c r="C3783" s="393"/>
      <c r="E3783" s="394"/>
      <c r="F3783" s="394">
        <v>2.8809999999999998</v>
      </c>
      <c r="G3783" s="394"/>
      <c r="H3783" s="8" t="s">
        <v>235</v>
      </c>
      <c r="I3783" s="368">
        <f t="shared" si="178"/>
        <v>0</v>
      </c>
      <c r="J3783" s="365">
        <f t="shared" si="177"/>
        <v>0</v>
      </c>
      <c r="K3783" s="369">
        <f t="shared" si="179"/>
        <v>6</v>
      </c>
      <c r="L3783" s="369">
        <f>+IF((C3783&gt;='Resultats - informe'!$E$16)*(C3783&lt;='Resultats - informe'!$G$16),1,0)</f>
        <v>1</v>
      </c>
      <c r="M3783" s="369" cm="1">
        <f t="array" ref="M3783">+_xlfn.IFS((C3783&gt;='Resultats - informe'!$D$26)*(C3783&lt;='Resultats - informe'!$E$26),0,(C3783&gt;='Resultats - informe'!$D$27)*(C3783&lt;='Resultats - informe'!$E$27),0,(C3783&gt;='Resultats - informe'!$D$28)*(C3783&lt;='Resultats - informe'!$E$28),0,(C3783&gt;='Resultats - informe'!$D$29)*(C3783&lt;='Resultats - informe'!$E$29),0,1,1)</f>
        <v>0</v>
      </c>
      <c r="N3783" s="366">
        <f>+VLOOKUP(D3783,'Resultats - informe'!$Y$18:$AG$42,'Introducció dades consum'!K3783+1,0)</f>
        <v>0</v>
      </c>
      <c r="O3783" s="370" cm="1">
        <f t="array" ref="O3783">+_xlfn.SWITCH(MONTH(C3783),1,1,2,1,3,1,4,2,5,2,6,3,7,3,8,3,9,3,10,2,11,2,12,1,2)</f>
        <v>1</v>
      </c>
      <c r="P3783" s="43"/>
    </row>
    <row r="3784" spans="1:16" ht="18" x14ac:dyDescent="0.35">
      <c r="A3784" s="43"/>
      <c r="C3784" s="393"/>
      <c r="E3784" s="394"/>
      <c r="F3784" s="394">
        <v>2.7629999999999999</v>
      </c>
      <c r="G3784" s="394"/>
      <c r="H3784" s="8" t="s">
        <v>235</v>
      </c>
      <c r="I3784" s="368">
        <f t="shared" si="178"/>
        <v>0</v>
      </c>
      <c r="J3784" s="365">
        <f t="shared" si="177"/>
        <v>0</v>
      </c>
      <c r="K3784" s="369">
        <f t="shared" si="179"/>
        <v>6</v>
      </c>
      <c r="L3784" s="369">
        <f>+IF((C3784&gt;='Resultats - informe'!$E$16)*(C3784&lt;='Resultats - informe'!$G$16),1,0)</f>
        <v>1</v>
      </c>
      <c r="M3784" s="369" cm="1">
        <f t="array" ref="M3784">+_xlfn.IFS((C3784&gt;='Resultats - informe'!$D$26)*(C3784&lt;='Resultats - informe'!$E$26),0,(C3784&gt;='Resultats - informe'!$D$27)*(C3784&lt;='Resultats - informe'!$E$27),0,(C3784&gt;='Resultats - informe'!$D$28)*(C3784&lt;='Resultats - informe'!$E$28),0,(C3784&gt;='Resultats - informe'!$D$29)*(C3784&lt;='Resultats - informe'!$E$29),0,1,1)</f>
        <v>0</v>
      </c>
      <c r="N3784" s="366">
        <f>+VLOOKUP(D3784,'Resultats - informe'!$Y$18:$AG$42,'Introducció dades consum'!K3784+1,0)</f>
        <v>0</v>
      </c>
      <c r="O3784" s="370" cm="1">
        <f t="array" ref="O3784">+_xlfn.SWITCH(MONTH(C3784),1,1,2,1,3,1,4,2,5,2,6,3,7,3,8,3,9,3,10,2,11,2,12,1,2)</f>
        <v>1</v>
      </c>
      <c r="P3784" s="43"/>
    </row>
    <row r="3785" spans="1:16" ht="18" x14ac:dyDescent="0.35">
      <c r="A3785" s="43"/>
      <c r="C3785" s="393"/>
      <c r="E3785" s="394"/>
      <c r="F3785" s="394">
        <v>2.4369999999999998</v>
      </c>
      <c r="G3785" s="394"/>
      <c r="H3785" s="8" t="s">
        <v>235</v>
      </c>
      <c r="I3785" s="368">
        <f t="shared" si="178"/>
        <v>0</v>
      </c>
      <c r="J3785" s="365">
        <f t="shared" si="177"/>
        <v>0</v>
      </c>
      <c r="K3785" s="369">
        <f t="shared" si="179"/>
        <v>6</v>
      </c>
      <c r="L3785" s="369">
        <f>+IF((C3785&gt;='Resultats - informe'!$E$16)*(C3785&lt;='Resultats - informe'!$G$16),1,0)</f>
        <v>1</v>
      </c>
      <c r="M3785" s="369" cm="1">
        <f t="array" ref="M3785">+_xlfn.IFS((C3785&gt;='Resultats - informe'!$D$26)*(C3785&lt;='Resultats - informe'!$E$26),0,(C3785&gt;='Resultats - informe'!$D$27)*(C3785&lt;='Resultats - informe'!$E$27),0,(C3785&gt;='Resultats - informe'!$D$28)*(C3785&lt;='Resultats - informe'!$E$28),0,(C3785&gt;='Resultats - informe'!$D$29)*(C3785&lt;='Resultats - informe'!$E$29),0,1,1)</f>
        <v>0</v>
      </c>
      <c r="N3785" s="366">
        <f>+VLOOKUP(D3785,'Resultats - informe'!$Y$18:$AG$42,'Introducció dades consum'!K3785+1,0)</f>
        <v>0</v>
      </c>
      <c r="O3785" s="370" cm="1">
        <f t="array" ref="O3785">+_xlfn.SWITCH(MONTH(C3785),1,1,2,1,3,1,4,2,5,2,6,3,7,3,8,3,9,3,10,2,11,2,12,1,2)</f>
        <v>1</v>
      </c>
      <c r="P3785" s="43"/>
    </row>
    <row r="3786" spans="1:16" ht="18" x14ac:dyDescent="0.35">
      <c r="A3786" s="43"/>
      <c r="C3786" s="393"/>
      <c r="E3786" s="394"/>
      <c r="F3786" s="394">
        <v>1.9930000000000001</v>
      </c>
      <c r="G3786" s="394"/>
      <c r="H3786" s="8" t="s">
        <v>235</v>
      </c>
      <c r="I3786" s="368">
        <f t="shared" si="178"/>
        <v>0</v>
      </c>
      <c r="J3786" s="365">
        <f t="shared" si="177"/>
        <v>0</v>
      </c>
      <c r="K3786" s="369">
        <f t="shared" si="179"/>
        <v>6</v>
      </c>
      <c r="L3786" s="369">
        <f>+IF((C3786&gt;='Resultats - informe'!$E$16)*(C3786&lt;='Resultats - informe'!$G$16),1,0)</f>
        <v>1</v>
      </c>
      <c r="M3786" s="369" cm="1">
        <f t="array" ref="M3786">+_xlfn.IFS((C3786&gt;='Resultats - informe'!$D$26)*(C3786&lt;='Resultats - informe'!$E$26),0,(C3786&gt;='Resultats - informe'!$D$27)*(C3786&lt;='Resultats - informe'!$E$27),0,(C3786&gt;='Resultats - informe'!$D$28)*(C3786&lt;='Resultats - informe'!$E$28),0,(C3786&gt;='Resultats - informe'!$D$29)*(C3786&lt;='Resultats - informe'!$E$29),0,1,1)</f>
        <v>0</v>
      </c>
      <c r="N3786" s="366">
        <f>+VLOOKUP(D3786,'Resultats - informe'!$Y$18:$AG$42,'Introducció dades consum'!K3786+1,0)</f>
        <v>0</v>
      </c>
      <c r="O3786" s="370" cm="1">
        <f t="array" ref="O3786">+_xlfn.SWITCH(MONTH(C3786),1,1,2,1,3,1,4,2,5,2,6,3,7,3,8,3,9,3,10,2,11,2,12,1,2)</f>
        <v>1</v>
      </c>
      <c r="P3786" s="43"/>
    </row>
    <row r="3787" spans="1:16" ht="18" x14ac:dyDescent="0.35">
      <c r="A3787" s="43"/>
      <c r="C3787" s="393"/>
      <c r="E3787" s="394"/>
      <c r="F3787" s="394">
        <v>1.3779999999999999</v>
      </c>
      <c r="G3787" s="394"/>
      <c r="H3787" s="8" t="s">
        <v>235</v>
      </c>
      <c r="I3787" s="368">
        <f t="shared" si="178"/>
        <v>0</v>
      </c>
      <c r="J3787" s="365">
        <f t="shared" si="177"/>
        <v>0</v>
      </c>
      <c r="K3787" s="369">
        <f t="shared" si="179"/>
        <v>6</v>
      </c>
      <c r="L3787" s="369">
        <f>+IF((C3787&gt;='Resultats - informe'!$E$16)*(C3787&lt;='Resultats - informe'!$G$16),1,0)</f>
        <v>1</v>
      </c>
      <c r="M3787" s="369" cm="1">
        <f t="array" ref="M3787">+_xlfn.IFS((C3787&gt;='Resultats - informe'!$D$26)*(C3787&lt;='Resultats - informe'!$E$26),0,(C3787&gt;='Resultats - informe'!$D$27)*(C3787&lt;='Resultats - informe'!$E$27),0,(C3787&gt;='Resultats - informe'!$D$28)*(C3787&lt;='Resultats - informe'!$E$28),0,(C3787&gt;='Resultats - informe'!$D$29)*(C3787&lt;='Resultats - informe'!$E$29),0,1,1)</f>
        <v>0</v>
      </c>
      <c r="N3787" s="366">
        <f>+VLOOKUP(D3787,'Resultats - informe'!$Y$18:$AG$42,'Introducció dades consum'!K3787+1,0)</f>
        <v>0</v>
      </c>
      <c r="O3787" s="370" cm="1">
        <f t="array" ref="O3787">+_xlfn.SWITCH(MONTH(C3787),1,1,2,1,3,1,4,2,5,2,6,3,7,3,8,3,9,3,10,2,11,2,12,1,2)</f>
        <v>1</v>
      </c>
      <c r="P3787" s="43"/>
    </row>
    <row r="3788" spans="1:16" ht="18" x14ac:dyDescent="0.35">
      <c r="A3788" s="43"/>
      <c r="C3788" s="393"/>
      <c r="E3788" s="394"/>
      <c r="F3788" s="394">
        <v>0.82</v>
      </c>
      <c r="G3788" s="394"/>
      <c r="H3788" s="8" t="s">
        <v>235</v>
      </c>
      <c r="I3788" s="368">
        <f t="shared" si="178"/>
        <v>0</v>
      </c>
      <c r="J3788" s="365">
        <f t="shared" si="177"/>
        <v>0</v>
      </c>
      <c r="K3788" s="369">
        <f t="shared" si="179"/>
        <v>6</v>
      </c>
      <c r="L3788" s="369">
        <f>+IF((C3788&gt;='Resultats - informe'!$E$16)*(C3788&lt;='Resultats - informe'!$G$16),1,0)</f>
        <v>1</v>
      </c>
      <c r="M3788" s="369" cm="1">
        <f t="array" ref="M3788">+_xlfn.IFS((C3788&gt;='Resultats - informe'!$D$26)*(C3788&lt;='Resultats - informe'!$E$26),0,(C3788&gt;='Resultats - informe'!$D$27)*(C3788&lt;='Resultats - informe'!$E$27),0,(C3788&gt;='Resultats - informe'!$D$28)*(C3788&lt;='Resultats - informe'!$E$28),0,(C3788&gt;='Resultats - informe'!$D$29)*(C3788&lt;='Resultats - informe'!$E$29),0,1,1)</f>
        <v>0</v>
      </c>
      <c r="N3788" s="366">
        <f>+VLOOKUP(D3788,'Resultats - informe'!$Y$18:$AG$42,'Introducció dades consum'!K3788+1,0)</f>
        <v>0</v>
      </c>
      <c r="O3788" s="370" cm="1">
        <f t="array" ref="O3788">+_xlfn.SWITCH(MONTH(C3788),1,1,2,1,3,1,4,2,5,2,6,3,7,3,8,3,9,3,10,2,11,2,12,1,2)</f>
        <v>1</v>
      </c>
      <c r="P3788" s="43"/>
    </row>
    <row r="3789" spans="1:16" ht="18" x14ac:dyDescent="0.35">
      <c r="A3789" s="43"/>
      <c r="C3789" s="393"/>
      <c r="E3789" s="394"/>
      <c r="F3789" s="394">
        <v>2.7610000000000001</v>
      </c>
      <c r="G3789" s="394"/>
      <c r="H3789" s="8" t="s">
        <v>61</v>
      </c>
      <c r="I3789" s="368">
        <f t="shared" si="178"/>
        <v>0</v>
      </c>
      <c r="J3789" s="365">
        <f t="shared" si="177"/>
        <v>0</v>
      </c>
      <c r="K3789" s="369">
        <f t="shared" si="179"/>
        <v>6</v>
      </c>
      <c r="L3789" s="369">
        <f>+IF((C3789&gt;='Resultats - informe'!$E$16)*(C3789&lt;='Resultats - informe'!$G$16),1,0)</f>
        <v>1</v>
      </c>
      <c r="M3789" s="369" cm="1">
        <f t="array" ref="M3789">+_xlfn.IFS((C3789&gt;='Resultats - informe'!$D$26)*(C3789&lt;='Resultats - informe'!$E$26),0,(C3789&gt;='Resultats - informe'!$D$27)*(C3789&lt;='Resultats - informe'!$E$27),0,(C3789&gt;='Resultats - informe'!$D$28)*(C3789&lt;='Resultats - informe'!$E$28),0,(C3789&gt;='Resultats - informe'!$D$29)*(C3789&lt;='Resultats - informe'!$E$29),0,1,1)</f>
        <v>0</v>
      </c>
      <c r="N3789" s="366">
        <f>+VLOOKUP(D3789,'Resultats - informe'!$Y$18:$AG$42,'Introducció dades consum'!K3789+1,0)</f>
        <v>0</v>
      </c>
      <c r="O3789" s="370" cm="1">
        <f t="array" ref="O3789">+_xlfn.SWITCH(MONTH(C3789),1,1,2,1,3,1,4,2,5,2,6,3,7,3,8,3,9,3,10,2,11,2,12,1,2)</f>
        <v>1</v>
      </c>
      <c r="P3789" s="43"/>
    </row>
    <row r="3790" spans="1:16" ht="18" x14ac:dyDescent="0.35">
      <c r="A3790" s="43"/>
      <c r="C3790" s="393"/>
      <c r="E3790" s="394"/>
      <c r="F3790" s="394">
        <v>1.7430000000000001</v>
      </c>
      <c r="G3790" s="394"/>
      <c r="H3790" s="8" t="s">
        <v>61</v>
      </c>
      <c r="I3790" s="368">
        <f t="shared" si="178"/>
        <v>0</v>
      </c>
      <c r="J3790" s="365">
        <f t="shared" si="177"/>
        <v>0</v>
      </c>
      <c r="K3790" s="369">
        <f t="shared" si="179"/>
        <v>6</v>
      </c>
      <c r="L3790" s="369">
        <f>+IF((C3790&gt;='Resultats - informe'!$E$16)*(C3790&lt;='Resultats - informe'!$G$16),1,0)</f>
        <v>1</v>
      </c>
      <c r="M3790" s="369" cm="1">
        <f t="array" ref="M3790">+_xlfn.IFS((C3790&gt;='Resultats - informe'!$D$26)*(C3790&lt;='Resultats - informe'!$E$26),0,(C3790&gt;='Resultats - informe'!$D$27)*(C3790&lt;='Resultats - informe'!$E$27),0,(C3790&gt;='Resultats - informe'!$D$28)*(C3790&lt;='Resultats - informe'!$E$28),0,(C3790&gt;='Resultats - informe'!$D$29)*(C3790&lt;='Resultats - informe'!$E$29),0,1,1)</f>
        <v>0</v>
      </c>
      <c r="N3790" s="366">
        <f>+VLOOKUP(D3790,'Resultats - informe'!$Y$18:$AG$42,'Introducció dades consum'!K3790+1,0)</f>
        <v>0</v>
      </c>
      <c r="O3790" s="370" cm="1">
        <f t="array" ref="O3790">+_xlfn.SWITCH(MONTH(C3790),1,1,2,1,3,1,4,2,5,2,6,3,7,3,8,3,9,3,10,2,11,2,12,1,2)</f>
        <v>1</v>
      </c>
      <c r="P3790" s="43"/>
    </row>
    <row r="3791" spans="1:16" ht="18" x14ac:dyDescent="0.35">
      <c r="A3791" s="43"/>
      <c r="C3791" s="393"/>
      <c r="E3791" s="394"/>
      <c r="F3791" s="394">
        <v>0</v>
      </c>
      <c r="G3791" s="394"/>
      <c r="H3791" s="8" t="s">
        <v>235</v>
      </c>
      <c r="I3791" s="368">
        <f t="shared" si="178"/>
        <v>0</v>
      </c>
      <c r="J3791" s="365">
        <f t="shared" si="177"/>
        <v>0</v>
      </c>
      <c r="K3791" s="369">
        <f t="shared" si="179"/>
        <v>6</v>
      </c>
      <c r="L3791" s="369">
        <f>+IF((C3791&gt;='Resultats - informe'!$E$16)*(C3791&lt;='Resultats - informe'!$G$16),1,0)</f>
        <v>1</v>
      </c>
      <c r="M3791" s="369" cm="1">
        <f t="array" ref="M3791">+_xlfn.IFS((C3791&gt;='Resultats - informe'!$D$26)*(C3791&lt;='Resultats - informe'!$E$26),0,(C3791&gt;='Resultats - informe'!$D$27)*(C3791&lt;='Resultats - informe'!$E$27),0,(C3791&gt;='Resultats - informe'!$D$28)*(C3791&lt;='Resultats - informe'!$E$28),0,(C3791&gt;='Resultats - informe'!$D$29)*(C3791&lt;='Resultats - informe'!$E$29),0,1,1)</f>
        <v>0</v>
      </c>
      <c r="N3791" s="366">
        <f>+VLOOKUP(D3791,'Resultats - informe'!$Y$18:$AG$42,'Introducció dades consum'!K3791+1,0)</f>
        <v>0</v>
      </c>
      <c r="O3791" s="370" cm="1">
        <f t="array" ref="O3791">+_xlfn.SWITCH(MONTH(C3791),1,1,2,1,3,1,4,2,5,2,6,3,7,3,8,3,9,3,10,2,11,2,12,1,2)</f>
        <v>1</v>
      </c>
      <c r="P3791" s="43"/>
    </row>
    <row r="3792" spans="1:16" ht="18" x14ac:dyDescent="0.35">
      <c r="A3792" s="43"/>
      <c r="C3792" s="393"/>
      <c r="E3792" s="394"/>
      <c r="F3792" s="394">
        <v>0</v>
      </c>
      <c r="G3792" s="394"/>
      <c r="H3792" s="8" t="s">
        <v>235</v>
      </c>
      <c r="I3792" s="368">
        <f t="shared" si="178"/>
        <v>0</v>
      </c>
      <c r="J3792" s="365">
        <f t="shared" si="177"/>
        <v>0</v>
      </c>
      <c r="K3792" s="369">
        <f t="shared" si="179"/>
        <v>6</v>
      </c>
      <c r="L3792" s="369">
        <f>+IF((C3792&gt;='Resultats - informe'!$E$16)*(C3792&lt;='Resultats - informe'!$G$16),1,0)</f>
        <v>1</v>
      </c>
      <c r="M3792" s="369" cm="1">
        <f t="array" ref="M3792">+_xlfn.IFS((C3792&gt;='Resultats - informe'!$D$26)*(C3792&lt;='Resultats - informe'!$E$26),0,(C3792&gt;='Resultats - informe'!$D$27)*(C3792&lt;='Resultats - informe'!$E$27),0,(C3792&gt;='Resultats - informe'!$D$28)*(C3792&lt;='Resultats - informe'!$E$28),0,(C3792&gt;='Resultats - informe'!$D$29)*(C3792&lt;='Resultats - informe'!$E$29),0,1,1)</f>
        <v>0</v>
      </c>
      <c r="N3792" s="366">
        <f>+VLOOKUP(D3792,'Resultats - informe'!$Y$18:$AG$42,'Introducció dades consum'!K3792+1,0)</f>
        <v>0</v>
      </c>
      <c r="O3792" s="370" cm="1">
        <f t="array" ref="O3792">+_xlfn.SWITCH(MONTH(C3792),1,1,2,1,3,1,4,2,5,2,6,3,7,3,8,3,9,3,10,2,11,2,12,1,2)</f>
        <v>1</v>
      </c>
      <c r="P3792" s="43"/>
    </row>
    <row r="3793" spans="1:16" ht="18" x14ac:dyDescent="0.35">
      <c r="A3793" s="43"/>
      <c r="C3793" s="393"/>
      <c r="E3793" s="394"/>
      <c r="F3793" s="394">
        <v>0</v>
      </c>
      <c r="G3793" s="394"/>
      <c r="H3793" s="8" t="s">
        <v>235</v>
      </c>
      <c r="I3793" s="368">
        <f t="shared" si="178"/>
        <v>0</v>
      </c>
      <c r="J3793" s="365">
        <f t="shared" si="177"/>
        <v>0</v>
      </c>
      <c r="K3793" s="369">
        <f t="shared" si="179"/>
        <v>6</v>
      </c>
      <c r="L3793" s="369">
        <f>+IF((C3793&gt;='Resultats - informe'!$E$16)*(C3793&lt;='Resultats - informe'!$G$16),1,0)</f>
        <v>1</v>
      </c>
      <c r="M3793" s="369" cm="1">
        <f t="array" ref="M3793">+_xlfn.IFS((C3793&gt;='Resultats - informe'!$D$26)*(C3793&lt;='Resultats - informe'!$E$26),0,(C3793&gt;='Resultats - informe'!$D$27)*(C3793&lt;='Resultats - informe'!$E$27),0,(C3793&gt;='Resultats - informe'!$D$28)*(C3793&lt;='Resultats - informe'!$E$28),0,(C3793&gt;='Resultats - informe'!$D$29)*(C3793&lt;='Resultats - informe'!$E$29),0,1,1)</f>
        <v>0</v>
      </c>
      <c r="N3793" s="366">
        <f>+VLOOKUP(D3793,'Resultats - informe'!$Y$18:$AG$42,'Introducció dades consum'!K3793+1,0)</f>
        <v>0</v>
      </c>
      <c r="O3793" s="370" cm="1">
        <f t="array" ref="O3793">+_xlfn.SWITCH(MONTH(C3793),1,1,2,1,3,1,4,2,5,2,6,3,7,3,8,3,9,3,10,2,11,2,12,1,2)</f>
        <v>1</v>
      </c>
      <c r="P3793" s="43"/>
    </row>
    <row r="3794" spans="1:16" ht="18" x14ac:dyDescent="0.35">
      <c r="A3794" s="43"/>
      <c r="C3794" s="393"/>
      <c r="E3794" s="394"/>
      <c r="F3794" s="394">
        <v>0</v>
      </c>
      <c r="G3794" s="394"/>
      <c r="H3794" s="8" t="s">
        <v>61</v>
      </c>
      <c r="I3794" s="368">
        <f t="shared" si="178"/>
        <v>0</v>
      </c>
      <c r="J3794" s="365">
        <f t="shared" si="177"/>
        <v>0</v>
      </c>
      <c r="K3794" s="369">
        <f t="shared" si="179"/>
        <v>6</v>
      </c>
      <c r="L3794" s="369">
        <f>+IF((C3794&gt;='Resultats - informe'!$E$16)*(C3794&lt;='Resultats - informe'!$G$16),1,0)</f>
        <v>1</v>
      </c>
      <c r="M3794" s="369" cm="1">
        <f t="array" ref="M3794">+_xlfn.IFS((C3794&gt;='Resultats - informe'!$D$26)*(C3794&lt;='Resultats - informe'!$E$26),0,(C3794&gt;='Resultats - informe'!$D$27)*(C3794&lt;='Resultats - informe'!$E$27),0,(C3794&gt;='Resultats - informe'!$D$28)*(C3794&lt;='Resultats - informe'!$E$28),0,(C3794&gt;='Resultats - informe'!$D$29)*(C3794&lt;='Resultats - informe'!$E$29),0,1,1)</f>
        <v>0</v>
      </c>
      <c r="N3794" s="366">
        <f>+VLOOKUP(D3794,'Resultats - informe'!$Y$18:$AG$42,'Introducció dades consum'!K3794+1,0)</f>
        <v>0</v>
      </c>
      <c r="O3794" s="370" cm="1">
        <f t="array" ref="O3794">+_xlfn.SWITCH(MONTH(C3794),1,1,2,1,3,1,4,2,5,2,6,3,7,3,8,3,9,3,10,2,11,2,12,1,2)</f>
        <v>1</v>
      </c>
      <c r="P3794" s="43"/>
    </row>
    <row r="3795" spans="1:16" ht="18" x14ac:dyDescent="0.35">
      <c r="A3795" s="43"/>
      <c r="C3795" s="393"/>
      <c r="E3795" s="394"/>
      <c r="F3795" s="394">
        <v>0</v>
      </c>
      <c r="G3795" s="394"/>
      <c r="H3795" s="8" t="s">
        <v>235</v>
      </c>
      <c r="I3795" s="368">
        <f t="shared" si="178"/>
        <v>0</v>
      </c>
      <c r="J3795" s="365">
        <f t="shared" si="177"/>
        <v>0</v>
      </c>
      <c r="K3795" s="369">
        <f t="shared" si="179"/>
        <v>6</v>
      </c>
      <c r="L3795" s="369">
        <f>+IF((C3795&gt;='Resultats - informe'!$E$16)*(C3795&lt;='Resultats - informe'!$G$16),1,0)</f>
        <v>1</v>
      </c>
      <c r="M3795" s="369" cm="1">
        <f t="array" ref="M3795">+_xlfn.IFS((C3795&gt;='Resultats - informe'!$D$26)*(C3795&lt;='Resultats - informe'!$E$26),0,(C3795&gt;='Resultats - informe'!$D$27)*(C3795&lt;='Resultats - informe'!$E$27),0,(C3795&gt;='Resultats - informe'!$D$28)*(C3795&lt;='Resultats - informe'!$E$28),0,(C3795&gt;='Resultats - informe'!$D$29)*(C3795&lt;='Resultats - informe'!$E$29),0,1,1)</f>
        <v>0</v>
      </c>
      <c r="N3795" s="366">
        <f>+VLOOKUP(D3795,'Resultats - informe'!$Y$18:$AG$42,'Introducció dades consum'!K3795+1,0)</f>
        <v>0</v>
      </c>
      <c r="O3795" s="370" cm="1">
        <f t="array" ref="O3795">+_xlfn.SWITCH(MONTH(C3795),1,1,2,1,3,1,4,2,5,2,6,3,7,3,8,3,9,3,10,2,11,2,12,1,2)</f>
        <v>1</v>
      </c>
      <c r="P3795" s="43"/>
    </row>
    <row r="3796" spans="1:16" ht="18" x14ac:dyDescent="0.35">
      <c r="A3796" s="43"/>
      <c r="C3796" s="393"/>
      <c r="E3796" s="394"/>
      <c r="F3796" s="394">
        <v>0</v>
      </c>
      <c r="G3796" s="394"/>
      <c r="H3796" s="8" t="s">
        <v>235</v>
      </c>
      <c r="I3796" s="368">
        <f t="shared" si="178"/>
        <v>0</v>
      </c>
      <c r="J3796" s="365">
        <f t="shared" si="177"/>
        <v>0</v>
      </c>
      <c r="K3796" s="369">
        <f t="shared" si="179"/>
        <v>6</v>
      </c>
      <c r="L3796" s="369">
        <f>+IF((C3796&gt;='Resultats - informe'!$E$16)*(C3796&lt;='Resultats - informe'!$G$16),1,0)</f>
        <v>1</v>
      </c>
      <c r="M3796" s="369" cm="1">
        <f t="array" ref="M3796">+_xlfn.IFS((C3796&gt;='Resultats - informe'!$D$26)*(C3796&lt;='Resultats - informe'!$E$26),0,(C3796&gt;='Resultats - informe'!$D$27)*(C3796&lt;='Resultats - informe'!$E$27),0,(C3796&gt;='Resultats - informe'!$D$28)*(C3796&lt;='Resultats - informe'!$E$28),0,(C3796&gt;='Resultats - informe'!$D$29)*(C3796&lt;='Resultats - informe'!$E$29),0,1,1)</f>
        <v>0</v>
      </c>
      <c r="N3796" s="366">
        <f>+VLOOKUP(D3796,'Resultats - informe'!$Y$18:$AG$42,'Introducció dades consum'!K3796+1,0)</f>
        <v>0</v>
      </c>
      <c r="O3796" s="370" cm="1">
        <f t="array" ref="O3796">+_xlfn.SWITCH(MONTH(C3796),1,1,2,1,3,1,4,2,5,2,6,3,7,3,8,3,9,3,10,2,11,2,12,1,2)</f>
        <v>1</v>
      </c>
      <c r="P3796" s="43"/>
    </row>
    <row r="3797" spans="1:16" ht="18" x14ac:dyDescent="0.35">
      <c r="A3797" s="43"/>
      <c r="C3797" s="393"/>
      <c r="E3797" s="394"/>
      <c r="F3797" s="394">
        <v>0</v>
      </c>
      <c r="G3797" s="394"/>
      <c r="H3797" s="8" t="s">
        <v>235</v>
      </c>
      <c r="I3797" s="368">
        <f t="shared" si="178"/>
        <v>0</v>
      </c>
      <c r="J3797" s="365">
        <f t="shared" si="177"/>
        <v>0</v>
      </c>
      <c r="K3797" s="369">
        <f t="shared" si="179"/>
        <v>6</v>
      </c>
      <c r="L3797" s="369">
        <f>+IF((C3797&gt;='Resultats - informe'!$E$16)*(C3797&lt;='Resultats - informe'!$G$16),1,0)</f>
        <v>1</v>
      </c>
      <c r="M3797" s="369" cm="1">
        <f t="array" ref="M3797">+_xlfn.IFS((C3797&gt;='Resultats - informe'!$D$26)*(C3797&lt;='Resultats - informe'!$E$26),0,(C3797&gt;='Resultats - informe'!$D$27)*(C3797&lt;='Resultats - informe'!$E$27),0,(C3797&gt;='Resultats - informe'!$D$28)*(C3797&lt;='Resultats - informe'!$E$28),0,(C3797&gt;='Resultats - informe'!$D$29)*(C3797&lt;='Resultats - informe'!$E$29),0,1,1)</f>
        <v>0</v>
      </c>
      <c r="N3797" s="366">
        <f>+VLOOKUP(D3797,'Resultats - informe'!$Y$18:$AG$42,'Introducció dades consum'!K3797+1,0)</f>
        <v>0</v>
      </c>
      <c r="O3797" s="370" cm="1">
        <f t="array" ref="O3797">+_xlfn.SWITCH(MONTH(C3797),1,1,2,1,3,1,4,2,5,2,6,3,7,3,8,3,9,3,10,2,11,2,12,1,2)</f>
        <v>1</v>
      </c>
      <c r="P3797" s="43"/>
    </row>
    <row r="3798" spans="1:16" ht="18" x14ac:dyDescent="0.35">
      <c r="A3798" s="43"/>
      <c r="C3798" s="393"/>
      <c r="E3798" s="394"/>
      <c r="F3798" s="394">
        <v>0</v>
      </c>
      <c r="G3798" s="394"/>
      <c r="H3798" s="8" t="s">
        <v>235</v>
      </c>
      <c r="I3798" s="368">
        <f t="shared" si="178"/>
        <v>0</v>
      </c>
      <c r="J3798" s="365">
        <f t="shared" si="177"/>
        <v>0</v>
      </c>
      <c r="K3798" s="369">
        <f t="shared" si="179"/>
        <v>6</v>
      </c>
      <c r="L3798" s="369">
        <f>+IF((C3798&gt;='Resultats - informe'!$E$16)*(C3798&lt;='Resultats - informe'!$G$16),1,0)</f>
        <v>1</v>
      </c>
      <c r="M3798" s="369" cm="1">
        <f t="array" ref="M3798">+_xlfn.IFS((C3798&gt;='Resultats - informe'!$D$26)*(C3798&lt;='Resultats - informe'!$E$26),0,(C3798&gt;='Resultats - informe'!$D$27)*(C3798&lt;='Resultats - informe'!$E$27),0,(C3798&gt;='Resultats - informe'!$D$28)*(C3798&lt;='Resultats - informe'!$E$28),0,(C3798&gt;='Resultats - informe'!$D$29)*(C3798&lt;='Resultats - informe'!$E$29),0,1,1)</f>
        <v>0</v>
      </c>
      <c r="N3798" s="366">
        <f>+VLOOKUP(D3798,'Resultats - informe'!$Y$18:$AG$42,'Introducció dades consum'!K3798+1,0)</f>
        <v>0</v>
      </c>
      <c r="O3798" s="370" cm="1">
        <f t="array" ref="O3798">+_xlfn.SWITCH(MONTH(C3798),1,1,2,1,3,1,4,2,5,2,6,3,7,3,8,3,9,3,10,2,11,2,12,1,2)</f>
        <v>1</v>
      </c>
      <c r="P3798" s="43"/>
    </row>
    <row r="3799" spans="1:16" ht="18" x14ac:dyDescent="0.35">
      <c r="A3799" s="43"/>
      <c r="C3799" s="393"/>
      <c r="E3799" s="394"/>
      <c r="F3799" s="394">
        <v>0</v>
      </c>
      <c r="G3799" s="394"/>
      <c r="H3799" s="8" t="s">
        <v>235</v>
      </c>
      <c r="I3799" s="368">
        <f t="shared" si="178"/>
        <v>0</v>
      </c>
      <c r="J3799" s="365">
        <f t="shared" si="177"/>
        <v>0</v>
      </c>
      <c r="K3799" s="369">
        <f t="shared" si="179"/>
        <v>6</v>
      </c>
      <c r="L3799" s="369">
        <f>+IF((C3799&gt;='Resultats - informe'!$E$16)*(C3799&lt;='Resultats - informe'!$G$16),1,0)</f>
        <v>1</v>
      </c>
      <c r="M3799" s="369" cm="1">
        <f t="array" ref="M3799">+_xlfn.IFS((C3799&gt;='Resultats - informe'!$D$26)*(C3799&lt;='Resultats - informe'!$E$26),0,(C3799&gt;='Resultats - informe'!$D$27)*(C3799&lt;='Resultats - informe'!$E$27),0,(C3799&gt;='Resultats - informe'!$D$28)*(C3799&lt;='Resultats - informe'!$E$28),0,(C3799&gt;='Resultats - informe'!$D$29)*(C3799&lt;='Resultats - informe'!$E$29),0,1,1)</f>
        <v>0</v>
      </c>
      <c r="N3799" s="366">
        <f>+VLOOKUP(D3799,'Resultats - informe'!$Y$18:$AG$42,'Introducció dades consum'!K3799+1,0)</f>
        <v>0</v>
      </c>
      <c r="O3799" s="370" cm="1">
        <f t="array" ref="O3799">+_xlfn.SWITCH(MONTH(C3799),1,1,2,1,3,1,4,2,5,2,6,3,7,3,8,3,9,3,10,2,11,2,12,1,2)</f>
        <v>1</v>
      </c>
      <c r="P3799" s="43"/>
    </row>
    <row r="3800" spans="1:16" ht="18" x14ac:dyDescent="0.35">
      <c r="A3800" s="43"/>
      <c r="C3800" s="393"/>
      <c r="E3800" s="394"/>
      <c r="F3800" s="394">
        <v>0</v>
      </c>
      <c r="G3800" s="394"/>
      <c r="H3800" s="8" t="s">
        <v>235</v>
      </c>
      <c r="I3800" s="368">
        <f t="shared" si="178"/>
        <v>0</v>
      </c>
      <c r="J3800" s="365">
        <f t="shared" si="177"/>
        <v>0</v>
      </c>
      <c r="K3800" s="369">
        <f t="shared" si="179"/>
        <v>6</v>
      </c>
      <c r="L3800" s="369">
        <f>+IF((C3800&gt;='Resultats - informe'!$E$16)*(C3800&lt;='Resultats - informe'!$G$16),1,0)</f>
        <v>1</v>
      </c>
      <c r="M3800" s="369" cm="1">
        <f t="array" ref="M3800">+_xlfn.IFS((C3800&gt;='Resultats - informe'!$D$26)*(C3800&lt;='Resultats - informe'!$E$26),0,(C3800&gt;='Resultats - informe'!$D$27)*(C3800&lt;='Resultats - informe'!$E$27),0,(C3800&gt;='Resultats - informe'!$D$28)*(C3800&lt;='Resultats - informe'!$E$28),0,(C3800&gt;='Resultats - informe'!$D$29)*(C3800&lt;='Resultats - informe'!$E$29),0,1,1)</f>
        <v>0</v>
      </c>
      <c r="N3800" s="366">
        <f>+VLOOKUP(D3800,'Resultats - informe'!$Y$18:$AG$42,'Introducció dades consum'!K3800+1,0)</f>
        <v>0</v>
      </c>
      <c r="O3800" s="370" cm="1">
        <f t="array" ref="O3800">+_xlfn.SWITCH(MONTH(C3800),1,1,2,1,3,1,4,2,5,2,6,3,7,3,8,3,9,3,10,2,11,2,12,1,2)</f>
        <v>1</v>
      </c>
      <c r="P3800" s="43"/>
    </row>
    <row r="3801" spans="1:16" ht="18" x14ac:dyDescent="0.35">
      <c r="A3801" s="43"/>
      <c r="C3801" s="393"/>
      <c r="E3801" s="394"/>
      <c r="F3801" s="394">
        <v>0.22500000000000001</v>
      </c>
      <c r="G3801" s="394"/>
      <c r="H3801" s="8" t="s">
        <v>235</v>
      </c>
      <c r="I3801" s="368">
        <f t="shared" si="178"/>
        <v>0</v>
      </c>
      <c r="J3801" s="365">
        <f t="shared" si="177"/>
        <v>0</v>
      </c>
      <c r="K3801" s="369">
        <f t="shared" si="179"/>
        <v>6</v>
      </c>
      <c r="L3801" s="369">
        <f>+IF((C3801&gt;='Resultats - informe'!$E$16)*(C3801&lt;='Resultats - informe'!$G$16),1,0)</f>
        <v>1</v>
      </c>
      <c r="M3801" s="369" cm="1">
        <f t="array" ref="M3801">+_xlfn.IFS((C3801&gt;='Resultats - informe'!$D$26)*(C3801&lt;='Resultats - informe'!$E$26),0,(C3801&gt;='Resultats - informe'!$D$27)*(C3801&lt;='Resultats - informe'!$E$27),0,(C3801&gt;='Resultats - informe'!$D$28)*(C3801&lt;='Resultats - informe'!$E$28),0,(C3801&gt;='Resultats - informe'!$D$29)*(C3801&lt;='Resultats - informe'!$E$29),0,1,1)</f>
        <v>0</v>
      </c>
      <c r="N3801" s="366">
        <f>+VLOOKUP(D3801,'Resultats - informe'!$Y$18:$AG$42,'Introducció dades consum'!K3801+1,0)</f>
        <v>0</v>
      </c>
      <c r="O3801" s="370" cm="1">
        <f t="array" ref="O3801">+_xlfn.SWITCH(MONTH(C3801),1,1,2,1,3,1,4,2,5,2,6,3,7,3,8,3,9,3,10,2,11,2,12,1,2)</f>
        <v>1</v>
      </c>
      <c r="P3801" s="43"/>
    </row>
    <row r="3802" spans="1:16" ht="18" x14ac:dyDescent="0.35">
      <c r="A3802" s="43"/>
      <c r="C3802" s="393"/>
      <c r="E3802" s="394"/>
      <c r="F3802" s="394">
        <v>0</v>
      </c>
      <c r="G3802" s="394"/>
      <c r="H3802" s="8" t="s">
        <v>61</v>
      </c>
      <c r="I3802" s="368">
        <f t="shared" si="178"/>
        <v>0</v>
      </c>
      <c r="J3802" s="365">
        <f t="shared" si="177"/>
        <v>0</v>
      </c>
      <c r="K3802" s="369">
        <f t="shared" si="179"/>
        <v>6</v>
      </c>
      <c r="L3802" s="369">
        <f>+IF((C3802&gt;='Resultats - informe'!$E$16)*(C3802&lt;='Resultats - informe'!$G$16),1,0)</f>
        <v>1</v>
      </c>
      <c r="M3802" s="369" cm="1">
        <f t="array" ref="M3802">+_xlfn.IFS((C3802&gt;='Resultats - informe'!$D$26)*(C3802&lt;='Resultats - informe'!$E$26),0,(C3802&gt;='Resultats - informe'!$D$27)*(C3802&lt;='Resultats - informe'!$E$27),0,(C3802&gt;='Resultats - informe'!$D$28)*(C3802&lt;='Resultats - informe'!$E$28),0,(C3802&gt;='Resultats - informe'!$D$29)*(C3802&lt;='Resultats - informe'!$E$29),0,1,1)</f>
        <v>0</v>
      </c>
      <c r="N3802" s="366">
        <f>+VLOOKUP(D3802,'Resultats - informe'!$Y$18:$AG$42,'Introducció dades consum'!K3802+1,0)</f>
        <v>0</v>
      </c>
      <c r="O3802" s="370" cm="1">
        <f t="array" ref="O3802">+_xlfn.SWITCH(MONTH(C3802),1,1,2,1,3,1,4,2,5,2,6,3,7,3,8,3,9,3,10,2,11,2,12,1,2)</f>
        <v>1</v>
      </c>
      <c r="P3802" s="43"/>
    </row>
    <row r="3803" spans="1:16" ht="18" x14ac:dyDescent="0.35">
      <c r="A3803" s="43"/>
      <c r="C3803" s="393"/>
      <c r="E3803" s="394"/>
      <c r="F3803" s="394">
        <v>2.1999999999999999E-2</v>
      </c>
      <c r="G3803" s="394"/>
      <c r="H3803" s="8" t="s">
        <v>61</v>
      </c>
      <c r="I3803" s="368">
        <f t="shared" si="178"/>
        <v>0</v>
      </c>
      <c r="J3803" s="365">
        <f t="shared" si="177"/>
        <v>0</v>
      </c>
      <c r="K3803" s="369">
        <f t="shared" si="179"/>
        <v>6</v>
      </c>
      <c r="L3803" s="369">
        <f>+IF((C3803&gt;='Resultats - informe'!$E$16)*(C3803&lt;='Resultats - informe'!$G$16),1,0)</f>
        <v>1</v>
      </c>
      <c r="M3803" s="369" cm="1">
        <f t="array" ref="M3803">+_xlfn.IFS((C3803&gt;='Resultats - informe'!$D$26)*(C3803&lt;='Resultats - informe'!$E$26),0,(C3803&gt;='Resultats - informe'!$D$27)*(C3803&lt;='Resultats - informe'!$E$27),0,(C3803&gt;='Resultats - informe'!$D$28)*(C3803&lt;='Resultats - informe'!$E$28),0,(C3803&gt;='Resultats - informe'!$D$29)*(C3803&lt;='Resultats - informe'!$E$29),0,1,1)</f>
        <v>0</v>
      </c>
      <c r="N3803" s="366">
        <f>+VLOOKUP(D3803,'Resultats - informe'!$Y$18:$AG$42,'Introducció dades consum'!K3803+1,0)</f>
        <v>0</v>
      </c>
      <c r="O3803" s="370" cm="1">
        <f t="array" ref="O3803">+_xlfn.SWITCH(MONTH(C3803),1,1,2,1,3,1,4,2,5,2,6,3,7,3,8,3,9,3,10,2,11,2,12,1,2)</f>
        <v>1</v>
      </c>
      <c r="P3803" s="43"/>
    </row>
    <row r="3804" spans="1:16" ht="18" x14ac:dyDescent="0.35">
      <c r="A3804" s="43"/>
      <c r="C3804" s="393"/>
      <c r="E3804" s="394"/>
      <c r="F3804" s="394">
        <v>2.0009999999999999</v>
      </c>
      <c r="G3804" s="394"/>
      <c r="H3804" s="8" t="s">
        <v>235</v>
      </c>
      <c r="I3804" s="368">
        <f t="shared" si="178"/>
        <v>0</v>
      </c>
      <c r="J3804" s="365">
        <f t="shared" si="177"/>
        <v>0</v>
      </c>
      <c r="K3804" s="369">
        <f t="shared" si="179"/>
        <v>6</v>
      </c>
      <c r="L3804" s="369">
        <f>+IF((C3804&gt;='Resultats - informe'!$E$16)*(C3804&lt;='Resultats - informe'!$G$16),1,0)</f>
        <v>1</v>
      </c>
      <c r="M3804" s="369" cm="1">
        <f t="array" ref="M3804">+_xlfn.IFS((C3804&gt;='Resultats - informe'!$D$26)*(C3804&lt;='Resultats - informe'!$E$26),0,(C3804&gt;='Resultats - informe'!$D$27)*(C3804&lt;='Resultats - informe'!$E$27),0,(C3804&gt;='Resultats - informe'!$D$28)*(C3804&lt;='Resultats - informe'!$E$28),0,(C3804&gt;='Resultats - informe'!$D$29)*(C3804&lt;='Resultats - informe'!$E$29),0,1,1)</f>
        <v>0</v>
      </c>
      <c r="N3804" s="366">
        <f>+VLOOKUP(D3804,'Resultats - informe'!$Y$18:$AG$42,'Introducció dades consum'!K3804+1,0)</f>
        <v>0</v>
      </c>
      <c r="O3804" s="370" cm="1">
        <f t="array" ref="O3804">+_xlfn.SWITCH(MONTH(C3804),1,1,2,1,3,1,4,2,5,2,6,3,7,3,8,3,9,3,10,2,11,2,12,1,2)</f>
        <v>1</v>
      </c>
      <c r="P3804" s="43"/>
    </row>
    <row r="3805" spans="1:16" ht="18" x14ac:dyDescent="0.35">
      <c r="A3805" s="43"/>
      <c r="C3805" s="393"/>
      <c r="E3805" s="394"/>
      <c r="F3805" s="394">
        <v>2.4750000000000001</v>
      </c>
      <c r="G3805" s="394"/>
      <c r="H3805" s="8" t="s">
        <v>235</v>
      </c>
      <c r="I3805" s="368">
        <f t="shared" si="178"/>
        <v>0</v>
      </c>
      <c r="J3805" s="365">
        <f t="shared" si="177"/>
        <v>0</v>
      </c>
      <c r="K3805" s="369">
        <f t="shared" si="179"/>
        <v>6</v>
      </c>
      <c r="L3805" s="369">
        <f>+IF((C3805&gt;='Resultats - informe'!$E$16)*(C3805&lt;='Resultats - informe'!$G$16),1,0)</f>
        <v>1</v>
      </c>
      <c r="M3805" s="369" cm="1">
        <f t="array" ref="M3805">+_xlfn.IFS((C3805&gt;='Resultats - informe'!$D$26)*(C3805&lt;='Resultats - informe'!$E$26),0,(C3805&gt;='Resultats - informe'!$D$27)*(C3805&lt;='Resultats - informe'!$E$27),0,(C3805&gt;='Resultats - informe'!$D$28)*(C3805&lt;='Resultats - informe'!$E$28),0,(C3805&gt;='Resultats - informe'!$D$29)*(C3805&lt;='Resultats - informe'!$E$29),0,1,1)</f>
        <v>0</v>
      </c>
      <c r="N3805" s="366">
        <f>+VLOOKUP(D3805,'Resultats - informe'!$Y$18:$AG$42,'Introducció dades consum'!K3805+1,0)</f>
        <v>0</v>
      </c>
      <c r="O3805" s="370" cm="1">
        <f t="array" ref="O3805">+_xlfn.SWITCH(MONTH(C3805),1,1,2,1,3,1,4,2,5,2,6,3,7,3,8,3,9,3,10,2,11,2,12,1,2)</f>
        <v>1</v>
      </c>
      <c r="P3805" s="43"/>
    </row>
    <row r="3806" spans="1:16" ht="18" x14ac:dyDescent="0.35">
      <c r="A3806" s="43"/>
      <c r="C3806" s="393"/>
      <c r="E3806" s="394"/>
      <c r="F3806" s="394">
        <v>2.81</v>
      </c>
      <c r="G3806" s="394"/>
      <c r="H3806" s="8" t="s">
        <v>235</v>
      </c>
      <c r="I3806" s="368">
        <f t="shared" si="178"/>
        <v>0</v>
      </c>
      <c r="J3806" s="365">
        <f t="shared" si="177"/>
        <v>0</v>
      </c>
      <c r="K3806" s="369">
        <f t="shared" si="179"/>
        <v>6</v>
      </c>
      <c r="L3806" s="369">
        <f>+IF((C3806&gt;='Resultats - informe'!$E$16)*(C3806&lt;='Resultats - informe'!$G$16),1,0)</f>
        <v>1</v>
      </c>
      <c r="M3806" s="369" cm="1">
        <f t="array" ref="M3806">+_xlfn.IFS((C3806&gt;='Resultats - informe'!$D$26)*(C3806&lt;='Resultats - informe'!$E$26),0,(C3806&gt;='Resultats - informe'!$D$27)*(C3806&lt;='Resultats - informe'!$E$27),0,(C3806&gt;='Resultats - informe'!$D$28)*(C3806&lt;='Resultats - informe'!$E$28),0,(C3806&gt;='Resultats - informe'!$D$29)*(C3806&lt;='Resultats - informe'!$E$29),0,1,1)</f>
        <v>0</v>
      </c>
      <c r="N3806" s="366">
        <f>+VLOOKUP(D3806,'Resultats - informe'!$Y$18:$AG$42,'Introducció dades consum'!K3806+1,0)</f>
        <v>0</v>
      </c>
      <c r="O3806" s="370" cm="1">
        <f t="array" ref="O3806">+_xlfn.SWITCH(MONTH(C3806),1,1,2,1,3,1,4,2,5,2,6,3,7,3,8,3,9,3,10,2,11,2,12,1,2)</f>
        <v>1</v>
      </c>
      <c r="P3806" s="43"/>
    </row>
    <row r="3807" spans="1:16" ht="18" x14ac:dyDescent="0.35">
      <c r="A3807" s="43"/>
      <c r="C3807" s="393"/>
      <c r="E3807" s="394"/>
      <c r="F3807" s="394">
        <v>2.8969999999999998</v>
      </c>
      <c r="G3807" s="394"/>
      <c r="H3807" s="8" t="s">
        <v>235</v>
      </c>
      <c r="I3807" s="368">
        <f t="shared" si="178"/>
        <v>0</v>
      </c>
      <c r="J3807" s="365">
        <f t="shared" si="177"/>
        <v>0</v>
      </c>
      <c r="K3807" s="369">
        <f t="shared" si="179"/>
        <v>6</v>
      </c>
      <c r="L3807" s="369">
        <f>+IF((C3807&gt;='Resultats - informe'!$E$16)*(C3807&lt;='Resultats - informe'!$G$16),1,0)</f>
        <v>1</v>
      </c>
      <c r="M3807" s="369" cm="1">
        <f t="array" ref="M3807">+_xlfn.IFS((C3807&gt;='Resultats - informe'!$D$26)*(C3807&lt;='Resultats - informe'!$E$26),0,(C3807&gt;='Resultats - informe'!$D$27)*(C3807&lt;='Resultats - informe'!$E$27),0,(C3807&gt;='Resultats - informe'!$D$28)*(C3807&lt;='Resultats - informe'!$E$28),0,(C3807&gt;='Resultats - informe'!$D$29)*(C3807&lt;='Resultats - informe'!$E$29),0,1,1)</f>
        <v>0</v>
      </c>
      <c r="N3807" s="366">
        <f>+VLOOKUP(D3807,'Resultats - informe'!$Y$18:$AG$42,'Introducció dades consum'!K3807+1,0)</f>
        <v>0</v>
      </c>
      <c r="O3807" s="370" cm="1">
        <f t="array" ref="O3807">+_xlfn.SWITCH(MONTH(C3807),1,1,2,1,3,1,4,2,5,2,6,3,7,3,8,3,9,3,10,2,11,2,12,1,2)</f>
        <v>1</v>
      </c>
      <c r="P3807" s="43"/>
    </row>
    <row r="3808" spans="1:16" ht="18" x14ac:dyDescent="0.35">
      <c r="A3808" s="43"/>
      <c r="C3808" s="393"/>
      <c r="E3808" s="394"/>
      <c r="F3808" s="394">
        <v>2.7559999999999998</v>
      </c>
      <c r="G3808" s="394"/>
      <c r="H3808" s="8" t="s">
        <v>235</v>
      </c>
      <c r="I3808" s="368">
        <f t="shared" si="178"/>
        <v>0</v>
      </c>
      <c r="J3808" s="365">
        <f t="shared" si="177"/>
        <v>0</v>
      </c>
      <c r="K3808" s="369">
        <f t="shared" si="179"/>
        <v>6</v>
      </c>
      <c r="L3808" s="369">
        <f>+IF((C3808&gt;='Resultats - informe'!$E$16)*(C3808&lt;='Resultats - informe'!$G$16),1,0)</f>
        <v>1</v>
      </c>
      <c r="M3808" s="369" cm="1">
        <f t="array" ref="M3808">+_xlfn.IFS((C3808&gt;='Resultats - informe'!$D$26)*(C3808&lt;='Resultats - informe'!$E$26),0,(C3808&gt;='Resultats - informe'!$D$27)*(C3808&lt;='Resultats - informe'!$E$27),0,(C3808&gt;='Resultats - informe'!$D$28)*(C3808&lt;='Resultats - informe'!$E$28),0,(C3808&gt;='Resultats - informe'!$D$29)*(C3808&lt;='Resultats - informe'!$E$29),0,1,1)</f>
        <v>0</v>
      </c>
      <c r="N3808" s="366">
        <f>+VLOOKUP(D3808,'Resultats - informe'!$Y$18:$AG$42,'Introducció dades consum'!K3808+1,0)</f>
        <v>0</v>
      </c>
      <c r="O3808" s="370" cm="1">
        <f t="array" ref="O3808">+_xlfn.SWITCH(MONTH(C3808),1,1,2,1,3,1,4,2,5,2,6,3,7,3,8,3,9,3,10,2,11,2,12,1,2)</f>
        <v>1</v>
      </c>
      <c r="P3808" s="43"/>
    </row>
    <row r="3809" spans="1:16" ht="18" x14ac:dyDescent="0.35">
      <c r="A3809" s="43"/>
      <c r="C3809" s="393"/>
      <c r="E3809" s="394"/>
      <c r="F3809" s="394">
        <v>2.4740000000000002</v>
      </c>
      <c r="G3809" s="394"/>
      <c r="H3809" s="8" t="s">
        <v>235</v>
      </c>
      <c r="I3809" s="368">
        <f t="shared" si="178"/>
        <v>0</v>
      </c>
      <c r="J3809" s="365">
        <f t="shared" si="177"/>
        <v>0</v>
      </c>
      <c r="K3809" s="369">
        <f t="shared" si="179"/>
        <v>6</v>
      </c>
      <c r="L3809" s="369">
        <f>+IF((C3809&gt;='Resultats - informe'!$E$16)*(C3809&lt;='Resultats - informe'!$G$16),1,0)</f>
        <v>1</v>
      </c>
      <c r="M3809" s="369" cm="1">
        <f t="array" ref="M3809">+_xlfn.IFS((C3809&gt;='Resultats - informe'!$D$26)*(C3809&lt;='Resultats - informe'!$E$26),0,(C3809&gt;='Resultats - informe'!$D$27)*(C3809&lt;='Resultats - informe'!$E$27),0,(C3809&gt;='Resultats - informe'!$D$28)*(C3809&lt;='Resultats - informe'!$E$28),0,(C3809&gt;='Resultats - informe'!$D$29)*(C3809&lt;='Resultats - informe'!$E$29),0,1,1)</f>
        <v>0</v>
      </c>
      <c r="N3809" s="366">
        <f>+VLOOKUP(D3809,'Resultats - informe'!$Y$18:$AG$42,'Introducció dades consum'!K3809+1,0)</f>
        <v>0</v>
      </c>
      <c r="O3809" s="370" cm="1">
        <f t="array" ref="O3809">+_xlfn.SWITCH(MONTH(C3809),1,1,2,1,3,1,4,2,5,2,6,3,7,3,8,3,9,3,10,2,11,2,12,1,2)</f>
        <v>1</v>
      </c>
      <c r="P3809" s="43"/>
    </row>
    <row r="3810" spans="1:16" ht="18" x14ac:dyDescent="0.35">
      <c r="A3810" s="43"/>
      <c r="C3810" s="393"/>
      <c r="E3810" s="394"/>
      <c r="F3810" s="394">
        <v>1.9990000000000001</v>
      </c>
      <c r="G3810" s="394"/>
      <c r="H3810" s="8" t="s">
        <v>235</v>
      </c>
      <c r="I3810" s="368">
        <f t="shared" si="178"/>
        <v>0</v>
      </c>
      <c r="J3810" s="365">
        <f t="shared" si="177"/>
        <v>0</v>
      </c>
      <c r="K3810" s="369">
        <f t="shared" si="179"/>
        <v>6</v>
      </c>
      <c r="L3810" s="369">
        <f>+IF((C3810&gt;='Resultats - informe'!$E$16)*(C3810&lt;='Resultats - informe'!$G$16),1,0)</f>
        <v>1</v>
      </c>
      <c r="M3810" s="369" cm="1">
        <f t="array" ref="M3810">+_xlfn.IFS((C3810&gt;='Resultats - informe'!$D$26)*(C3810&lt;='Resultats - informe'!$E$26),0,(C3810&gt;='Resultats - informe'!$D$27)*(C3810&lt;='Resultats - informe'!$E$27),0,(C3810&gt;='Resultats - informe'!$D$28)*(C3810&lt;='Resultats - informe'!$E$28),0,(C3810&gt;='Resultats - informe'!$D$29)*(C3810&lt;='Resultats - informe'!$E$29),0,1,1)</f>
        <v>0</v>
      </c>
      <c r="N3810" s="366">
        <f>+VLOOKUP(D3810,'Resultats - informe'!$Y$18:$AG$42,'Introducció dades consum'!K3810+1,0)</f>
        <v>0</v>
      </c>
      <c r="O3810" s="370" cm="1">
        <f t="array" ref="O3810">+_xlfn.SWITCH(MONTH(C3810),1,1,2,1,3,1,4,2,5,2,6,3,7,3,8,3,9,3,10,2,11,2,12,1,2)</f>
        <v>1</v>
      </c>
      <c r="P3810" s="43"/>
    </row>
    <row r="3811" spans="1:16" ht="18" x14ac:dyDescent="0.35">
      <c r="A3811" s="43"/>
      <c r="C3811" s="393"/>
      <c r="E3811" s="394"/>
      <c r="F3811" s="394">
        <v>2.2919999999999998</v>
      </c>
      <c r="G3811" s="394"/>
      <c r="H3811" s="8" t="s">
        <v>61</v>
      </c>
      <c r="I3811" s="368">
        <f t="shared" si="178"/>
        <v>0</v>
      </c>
      <c r="J3811" s="365">
        <f t="shared" si="177"/>
        <v>0</v>
      </c>
      <c r="K3811" s="369">
        <f t="shared" si="179"/>
        <v>6</v>
      </c>
      <c r="L3811" s="369">
        <f>+IF((C3811&gt;='Resultats - informe'!$E$16)*(C3811&lt;='Resultats - informe'!$G$16),1,0)</f>
        <v>1</v>
      </c>
      <c r="M3811" s="369" cm="1">
        <f t="array" ref="M3811">+_xlfn.IFS((C3811&gt;='Resultats - informe'!$D$26)*(C3811&lt;='Resultats - informe'!$E$26),0,(C3811&gt;='Resultats - informe'!$D$27)*(C3811&lt;='Resultats - informe'!$E$27),0,(C3811&gt;='Resultats - informe'!$D$28)*(C3811&lt;='Resultats - informe'!$E$28),0,(C3811&gt;='Resultats - informe'!$D$29)*(C3811&lt;='Resultats - informe'!$E$29),0,1,1)</f>
        <v>0</v>
      </c>
      <c r="N3811" s="366">
        <f>+VLOOKUP(D3811,'Resultats - informe'!$Y$18:$AG$42,'Introducció dades consum'!K3811+1,0)</f>
        <v>0</v>
      </c>
      <c r="O3811" s="370" cm="1">
        <f t="array" ref="O3811">+_xlfn.SWITCH(MONTH(C3811),1,1,2,1,3,1,4,2,5,2,6,3,7,3,8,3,9,3,10,2,11,2,12,1,2)</f>
        <v>1</v>
      </c>
      <c r="P3811" s="43"/>
    </row>
    <row r="3812" spans="1:16" ht="18" x14ac:dyDescent="0.35">
      <c r="A3812" s="43"/>
      <c r="C3812" s="393"/>
      <c r="E3812" s="394"/>
      <c r="F3812" s="394">
        <v>2.476</v>
      </c>
      <c r="G3812" s="394"/>
      <c r="H3812" s="8" t="s">
        <v>61</v>
      </c>
      <c r="I3812" s="368">
        <f t="shared" si="178"/>
        <v>0</v>
      </c>
      <c r="J3812" s="365">
        <f t="shared" si="177"/>
        <v>0</v>
      </c>
      <c r="K3812" s="369">
        <f t="shared" si="179"/>
        <v>6</v>
      </c>
      <c r="L3812" s="369">
        <f>+IF((C3812&gt;='Resultats - informe'!$E$16)*(C3812&lt;='Resultats - informe'!$G$16),1,0)</f>
        <v>1</v>
      </c>
      <c r="M3812" s="369" cm="1">
        <f t="array" ref="M3812">+_xlfn.IFS((C3812&gt;='Resultats - informe'!$D$26)*(C3812&lt;='Resultats - informe'!$E$26),0,(C3812&gt;='Resultats - informe'!$D$27)*(C3812&lt;='Resultats - informe'!$E$27),0,(C3812&gt;='Resultats - informe'!$D$28)*(C3812&lt;='Resultats - informe'!$E$28),0,(C3812&gt;='Resultats - informe'!$D$29)*(C3812&lt;='Resultats - informe'!$E$29),0,1,1)</f>
        <v>0</v>
      </c>
      <c r="N3812" s="366">
        <f>+VLOOKUP(D3812,'Resultats - informe'!$Y$18:$AG$42,'Introducció dades consum'!K3812+1,0)</f>
        <v>0</v>
      </c>
      <c r="O3812" s="370" cm="1">
        <f t="array" ref="O3812">+_xlfn.SWITCH(MONTH(C3812),1,1,2,1,3,1,4,2,5,2,6,3,7,3,8,3,9,3,10,2,11,2,12,1,2)</f>
        <v>1</v>
      </c>
      <c r="P3812" s="43"/>
    </row>
    <row r="3813" spans="1:16" ht="18" x14ac:dyDescent="0.35">
      <c r="A3813" s="43"/>
      <c r="C3813" s="393"/>
      <c r="E3813" s="394"/>
      <c r="F3813" s="394">
        <v>0.217</v>
      </c>
      <c r="G3813" s="394"/>
      <c r="H3813" s="8" t="s">
        <v>235</v>
      </c>
      <c r="I3813" s="368">
        <f t="shared" si="178"/>
        <v>0</v>
      </c>
      <c r="J3813" s="365">
        <f t="shared" si="177"/>
        <v>0</v>
      </c>
      <c r="K3813" s="369">
        <f t="shared" si="179"/>
        <v>6</v>
      </c>
      <c r="L3813" s="369">
        <f>+IF((C3813&gt;='Resultats - informe'!$E$16)*(C3813&lt;='Resultats - informe'!$G$16),1,0)</f>
        <v>1</v>
      </c>
      <c r="M3813" s="369" cm="1">
        <f t="array" ref="M3813">+_xlfn.IFS((C3813&gt;='Resultats - informe'!$D$26)*(C3813&lt;='Resultats - informe'!$E$26),0,(C3813&gt;='Resultats - informe'!$D$27)*(C3813&lt;='Resultats - informe'!$E$27),0,(C3813&gt;='Resultats - informe'!$D$28)*(C3813&lt;='Resultats - informe'!$E$28),0,(C3813&gt;='Resultats - informe'!$D$29)*(C3813&lt;='Resultats - informe'!$E$29),0,1,1)</f>
        <v>0</v>
      </c>
      <c r="N3813" s="366">
        <f>+VLOOKUP(D3813,'Resultats - informe'!$Y$18:$AG$42,'Introducció dades consum'!K3813+1,0)</f>
        <v>0</v>
      </c>
      <c r="O3813" s="370" cm="1">
        <f t="array" ref="O3813">+_xlfn.SWITCH(MONTH(C3813),1,1,2,1,3,1,4,2,5,2,6,3,7,3,8,3,9,3,10,2,11,2,12,1,2)</f>
        <v>1</v>
      </c>
      <c r="P3813" s="43"/>
    </row>
    <row r="3814" spans="1:16" ht="18" x14ac:dyDescent="0.35">
      <c r="A3814" s="43"/>
      <c r="C3814" s="393"/>
      <c r="E3814" s="394"/>
      <c r="F3814" s="394">
        <v>0</v>
      </c>
      <c r="G3814" s="394"/>
      <c r="H3814" s="8" t="s">
        <v>235</v>
      </c>
      <c r="I3814" s="368">
        <f t="shared" si="178"/>
        <v>0</v>
      </c>
      <c r="J3814" s="365">
        <f t="shared" si="177"/>
        <v>0</v>
      </c>
      <c r="K3814" s="369">
        <f t="shared" si="179"/>
        <v>6</v>
      </c>
      <c r="L3814" s="369">
        <f>+IF((C3814&gt;='Resultats - informe'!$E$16)*(C3814&lt;='Resultats - informe'!$G$16),1,0)</f>
        <v>1</v>
      </c>
      <c r="M3814" s="369" cm="1">
        <f t="array" ref="M3814">+_xlfn.IFS((C3814&gt;='Resultats - informe'!$D$26)*(C3814&lt;='Resultats - informe'!$E$26),0,(C3814&gt;='Resultats - informe'!$D$27)*(C3814&lt;='Resultats - informe'!$E$27),0,(C3814&gt;='Resultats - informe'!$D$28)*(C3814&lt;='Resultats - informe'!$E$28),0,(C3814&gt;='Resultats - informe'!$D$29)*(C3814&lt;='Resultats - informe'!$E$29),0,1,1)</f>
        <v>0</v>
      </c>
      <c r="N3814" s="366">
        <f>+VLOOKUP(D3814,'Resultats - informe'!$Y$18:$AG$42,'Introducció dades consum'!K3814+1,0)</f>
        <v>0</v>
      </c>
      <c r="O3814" s="370" cm="1">
        <f t="array" ref="O3814">+_xlfn.SWITCH(MONTH(C3814),1,1,2,1,3,1,4,2,5,2,6,3,7,3,8,3,9,3,10,2,11,2,12,1,2)</f>
        <v>1</v>
      </c>
      <c r="P3814" s="43"/>
    </row>
    <row r="3815" spans="1:16" ht="18" x14ac:dyDescent="0.35">
      <c r="A3815" s="43"/>
      <c r="C3815" s="393"/>
      <c r="E3815" s="394"/>
      <c r="F3815" s="394">
        <v>0</v>
      </c>
      <c r="G3815" s="394"/>
      <c r="H3815" s="8" t="s">
        <v>235</v>
      </c>
      <c r="I3815" s="368">
        <f t="shared" si="178"/>
        <v>0</v>
      </c>
      <c r="J3815" s="365">
        <f t="shared" si="177"/>
        <v>0</v>
      </c>
      <c r="K3815" s="369">
        <f t="shared" si="179"/>
        <v>6</v>
      </c>
      <c r="L3815" s="369">
        <f>+IF((C3815&gt;='Resultats - informe'!$E$16)*(C3815&lt;='Resultats - informe'!$G$16),1,0)</f>
        <v>1</v>
      </c>
      <c r="M3815" s="369" cm="1">
        <f t="array" ref="M3815">+_xlfn.IFS((C3815&gt;='Resultats - informe'!$D$26)*(C3815&lt;='Resultats - informe'!$E$26),0,(C3815&gt;='Resultats - informe'!$D$27)*(C3815&lt;='Resultats - informe'!$E$27),0,(C3815&gt;='Resultats - informe'!$D$28)*(C3815&lt;='Resultats - informe'!$E$28),0,(C3815&gt;='Resultats - informe'!$D$29)*(C3815&lt;='Resultats - informe'!$E$29),0,1,1)</f>
        <v>0</v>
      </c>
      <c r="N3815" s="366">
        <f>+VLOOKUP(D3815,'Resultats - informe'!$Y$18:$AG$42,'Introducció dades consum'!K3815+1,0)</f>
        <v>0</v>
      </c>
      <c r="O3815" s="370" cm="1">
        <f t="array" ref="O3815">+_xlfn.SWITCH(MONTH(C3815),1,1,2,1,3,1,4,2,5,2,6,3,7,3,8,3,9,3,10,2,11,2,12,1,2)</f>
        <v>1</v>
      </c>
      <c r="P3815" s="43"/>
    </row>
    <row r="3816" spans="1:16" ht="18" x14ac:dyDescent="0.35">
      <c r="A3816" s="43"/>
      <c r="C3816" s="393"/>
      <c r="E3816" s="394"/>
      <c r="F3816" s="394">
        <v>0</v>
      </c>
      <c r="G3816" s="394"/>
      <c r="H3816" s="8" t="s">
        <v>61</v>
      </c>
      <c r="I3816" s="368">
        <f t="shared" si="178"/>
        <v>0</v>
      </c>
      <c r="J3816" s="365">
        <f t="shared" si="177"/>
        <v>0</v>
      </c>
      <c r="K3816" s="369">
        <f t="shared" si="179"/>
        <v>6</v>
      </c>
      <c r="L3816" s="369">
        <f>+IF((C3816&gt;='Resultats - informe'!$E$16)*(C3816&lt;='Resultats - informe'!$G$16),1,0)</f>
        <v>1</v>
      </c>
      <c r="M3816" s="369" cm="1">
        <f t="array" ref="M3816">+_xlfn.IFS((C3816&gt;='Resultats - informe'!$D$26)*(C3816&lt;='Resultats - informe'!$E$26),0,(C3816&gt;='Resultats - informe'!$D$27)*(C3816&lt;='Resultats - informe'!$E$27),0,(C3816&gt;='Resultats - informe'!$D$28)*(C3816&lt;='Resultats - informe'!$E$28),0,(C3816&gt;='Resultats - informe'!$D$29)*(C3816&lt;='Resultats - informe'!$E$29),0,1,1)</f>
        <v>0</v>
      </c>
      <c r="N3816" s="366">
        <f>+VLOOKUP(D3816,'Resultats - informe'!$Y$18:$AG$42,'Introducció dades consum'!K3816+1,0)</f>
        <v>0</v>
      </c>
      <c r="O3816" s="370" cm="1">
        <f t="array" ref="O3816">+_xlfn.SWITCH(MONTH(C3816),1,1,2,1,3,1,4,2,5,2,6,3,7,3,8,3,9,3,10,2,11,2,12,1,2)</f>
        <v>1</v>
      </c>
      <c r="P3816" s="43"/>
    </row>
    <row r="3817" spans="1:16" ht="18" x14ac:dyDescent="0.35">
      <c r="A3817" s="43"/>
      <c r="C3817" s="393"/>
      <c r="E3817" s="394"/>
      <c r="F3817" s="394">
        <v>0</v>
      </c>
      <c r="G3817" s="394"/>
      <c r="H3817" s="8" t="s">
        <v>61</v>
      </c>
      <c r="I3817" s="368">
        <f t="shared" si="178"/>
        <v>0</v>
      </c>
      <c r="J3817" s="365">
        <f t="shared" si="177"/>
        <v>0</v>
      </c>
      <c r="K3817" s="369">
        <f t="shared" si="179"/>
        <v>6</v>
      </c>
      <c r="L3817" s="369">
        <f>+IF((C3817&gt;='Resultats - informe'!$E$16)*(C3817&lt;='Resultats - informe'!$G$16),1,0)</f>
        <v>1</v>
      </c>
      <c r="M3817" s="369" cm="1">
        <f t="array" ref="M3817">+_xlfn.IFS((C3817&gt;='Resultats - informe'!$D$26)*(C3817&lt;='Resultats - informe'!$E$26),0,(C3817&gt;='Resultats - informe'!$D$27)*(C3817&lt;='Resultats - informe'!$E$27),0,(C3817&gt;='Resultats - informe'!$D$28)*(C3817&lt;='Resultats - informe'!$E$28),0,(C3817&gt;='Resultats - informe'!$D$29)*(C3817&lt;='Resultats - informe'!$E$29),0,1,1)</f>
        <v>0</v>
      </c>
      <c r="N3817" s="366">
        <f>+VLOOKUP(D3817,'Resultats - informe'!$Y$18:$AG$42,'Introducció dades consum'!K3817+1,0)</f>
        <v>0</v>
      </c>
      <c r="O3817" s="370" cm="1">
        <f t="array" ref="O3817">+_xlfn.SWITCH(MONTH(C3817),1,1,2,1,3,1,4,2,5,2,6,3,7,3,8,3,9,3,10,2,11,2,12,1,2)</f>
        <v>1</v>
      </c>
      <c r="P3817" s="43"/>
    </row>
    <row r="3818" spans="1:16" ht="18" x14ac:dyDescent="0.35">
      <c r="A3818" s="43"/>
      <c r="C3818" s="393"/>
      <c r="E3818" s="394"/>
      <c r="F3818" s="394">
        <v>0</v>
      </c>
      <c r="G3818" s="394"/>
      <c r="H3818" s="8" t="s">
        <v>235</v>
      </c>
      <c r="I3818" s="368">
        <f t="shared" si="178"/>
        <v>0</v>
      </c>
      <c r="J3818" s="365">
        <f t="shared" si="177"/>
        <v>0</v>
      </c>
      <c r="K3818" s="369">
        <f t="shared" si="179"/>
        <v>6</v>
      </c>
      <c r="L3818" s="369">
        <f>+IF((C3818&gt;='Resultats - informe'!$E$16)*(C3818&lt;='Resultats - informe'!$G$16),1,0)</f>
        <v>1</v>
      </c>
      <c r="M3818" s="369" cm="1">
        <f t="array" ref="M3818">+_xlfn.IFS((C3818&gt;='Resultats - informe'!$D$26)*(C3818&lt;='Resultats - informe'!$E$26),0,(C3818&gt;='Resultats - informe'!$D$27)*(C3818&lt;='Resultats - informe'!$E$27),0,(C3818&gt;='Resultats - informe'!$D$28)*(C3818&lt;='Resultats - informe'!$E$28),0,(C3818&gt;='Resultats - informe'!$D$29)*(C3818&lt;='Resultats - informe'!$E$29),0,1,1)</f>
        <v>0</v>
      </c>
      <c r="N3818" s="366">
        <f>+VLOOKUP(D3818,'Resultats - informe'!$Y$18:$AG$42,'Introducció dades consum'!K3818+1,0)</f>
        <v>0</v>
      </c>
      <c r="O3818" s="370" cm="1">
        <f t="array" ref="O3818">+_xlfn.SWITCH(MONTH(C3818),1,1,2,1,3,1,4,2,5,2,6,3,7,3,8,3,9,3,10,2,11,2,12,1,2)</f>
        <v>1</v>
      </c>
      <c r="P3818" s="43"/>
    </row>
    <row r="3819" spans="1:16" ht="18" x14ac:dyDescent="0.35">
      <c r="A3819" s="43"/>
      <c r="C3819" s="393"/>
      <c r="E3819" s="394"/>
      <c r="F3819" s="394">
        <v>0</v>
      </c>
      <c r="G3819" s="394"/>
      <c r="H3819" s="8" t="s">
        <v>235</v>
      </c>
      <c r="I3819" s="368">
        <f t="shared" si="178"/>
        <v>0</v>
      </c>
      <c r="J3819" s="365">
        <f t="shared" si="177"/>
        <v>0</v>
      </c>
      <c r="K3819" s="369">
        <f t="shared" si="179"/>
        <v>6</v>
      </c>
      <c r="L3819" s="369">
        <f>+IF((C3819&gt;='Resultats - informe'!$E$16)*(C3819&lt;='Resultats - informe'!$G$16),1,0)</f>
        <v>1</v>
      </c>
      <c r="M3819" s="369" cm="1">
        <f t="array" ref="M3819">+_xlfn.IFS((C3819&gt;='Resultats - informe'!$D$26)*(C3819&lt;='Resultats - informe'!$E$26),0,(C3819&gt;='Resultats - informe'!$D$27)*(C3819&lt;='Resultats - informe'!$E$27),0,(C3819&gt;='Resultats - informe'!$D$28)*(C3819&lt;='Resultats - informe'!$E$28),0,(C3819&gt;='Resultats - informe'!$D$29)*(C3819&lt;='Resultats - informe'!$E$29),0,1,1)</f>
        <v>0</v>
      </c>
      <c r="N3819" s="366">
        <f>+VLOOKUP(D3819,'Resultats - informe'!$Y$18:$AG$42,'Introducció dades consum'!K3819+1,0)</f>
        <v>0</v>
      </c>
      <c r="O3819" s="370" cm="1">
        <f t="array" ref="O3819">+_xlfn.SWITCH(MONTH(C3819),1,1,2,1,3,1,4,2,5,2,6,3,7,3,8,3,9,3,10,2,11,2,12,1,2)</f>
        <v>1</v>
      </c>
      <c r="P3819" s="43"/>
    </row>
    <row r="3820" spans="1:16" ht="18" x14ac:dyDescent="0.35">
      <c r="A3820" s="43"/>
      <c r="C3820" s="393"/>
      <c r="E3820" s="394"/>
      <c r="F3820" s="394">
        <v>0</v>
      </c>
      <c r="G3820" s="394"/>
      <c r="H3820" s="8" t="s">
        <v>235</v>
      </c>
      <c r="I3820" s="368">
        <f t="shared" si="178"/>
        <v>0</v>
      </c>
      <c r="J3820" s="365">
        <f t="shared" si="177"/>
        <v>0</v>
      </c>
      <c r="K3820" s="369">
        <f t="shared" si="179"/>
        <v>6</v>
      </c>
      <c r="L3820" s="369">
        <f>+IF((C3820&gt;='Resultats - informe'!$E$16)*(C3820&lt;='Resultats - informe'!$G$16),1,0)</f>
        <v>1</v>
      </c>
      <c r="M3820" s="369" cm="1">
        <f t="array" ref="M3820">+_xlfn.IFS((C3820&gt;='Resultats - informe'!$D$26)*(C3820&lt;='Resultats - informe'!$E$26),0,(C3820&gt;='Resultats - informe'!$D$27)*(C3820&lt;='Resultats - informe'!$E$27),0,(C3820&gt;='Resultats - informe'!$D$28)*(C3820&lt;='Resultats - informe'!$E$28),0,(C3820&gt;='Resultats - informe'!$D$29)*(C3820&lt;='Resultats - informe'!$E$29),0,1,1)</f>
        <v>0</v>
      </c>
      <c r="N3820" s="366">
        <f>+VLOOKUP(D3820,'Resultats - informe'!$Y$18:$AG$42,'Introducció dades consum'!K3820+1,0)</f>
        <v>0</v>
      </c>
      <c r="O3820" s="370" cm="1">
        <f t="array" ref="O3820">+_xlfn.SWITCH(MONTH(C3820),1,1,2,1,3,1,4,2,5,2,6,3,7,3,8,3,9,3,10,2,11,2,12,1,2)</f>
        <v>1</v>
      </c>
      <c r="P3820" s="43"/>
    </row>
    <row r="3821" spans="1:16" ht="18" x14ac:dyDescent="0.35">
      <c r="A3821" s="43"/>
      <c r="C3821" s="393"/>
      <c r="E3821" s="394"/>
      <c r="F3821" s="394">
        <v>0</v>
      </c>
      <c r="G3821" s="394"/>
      <c r="H3821" s="8" t="s">
        <v>235</v>
      </c>
      <c r="I3821" s="368">
        <f t="shared" si="178"/>
        <v>0</v>
      </c>
      <c r="J3821" s="365">
        <f t="shared" si="177"/>
        <v>0</v>
      </c>
      <c r="K3821" s="369">
        <f t="shared" si="179"/>
        <v>6</v>
      </c>
      <c r="L3821" s="369">
        <f>+IF((C3821&gt;='Resultats - informe'!$E$16)*(C3821&lt;='Resultats - informe'!$G$16),1,0)</f>
        <v>1</v>
      </c>
      <c r="M3821" s="369" cm="1">
        <f t="array" ref="M3821">+_xlfn.IFS((C3821&gt;='Resultats - informe'!$D$26)*(C3821&lt;='Resultats - informe'!$E$26),0,(C3821&gt;='Resultats - informe'!$D$27)*(C3821&lt;='Resultats - informe'!$E$27),0,(C3821&gt;='Resultats - informe'!$D$28)*(C3821&lt;='Resultats - informe'!$E$28),0,(C3821&gt;='Resultats - informe'!$D$29)*(C3821&lt;='Resultats - informe'!$E$29),0,1,1)</f>
        <v>0</v>
      </c>
      <c r="N3821" s="366">
        <f>+VLOOKUP(D3821,'Resultats - informe'!$Y$18:$AG$42,'Introducció dades consum'!K3821+1,0)</f>
        <v>0</v>
      </c>
      <c r="O3821" s="370" cm="1">
        <f t="array" ref="O3821">+_xlfn.SWITCH(MONTH(C3821),1,1,2,1,3,1,4,2,5,2,6,3,7,3,8,3,9,3,10,2,11,2,12,1,2)</f>
        <v>1</v>
      </c>
      <c r="P3821" s="43"/>
    </row>
    <row r="3822" spans="1:16" ht="18" x14ac:dyDescent="0.35">
      <c r="A3822" s="43"/>
      <c r="C3822" s="393"/>
      <c r="E3822" s="394"/>
      <c r="F3822" s="394">
        <v>0</v>
      </c>
      <c r="G3822" s="394"/>
      <c r="H3822" s="8" t="s">
        <v>235</v>
      </c>
      <c r="I3822" s="368">
        <f t="shared" si="178"/>
        <v>0</v>
      </c>
      <c r="J3822" s="365">
        <f t="shared" si="177"/>
        <v>0</v>
      </c>
      <c r="K3822" s="369">
        <f t="shared" si="179"/>
        <v>6</v>
      </c>
      <c r="L3822" s="369">
        <f>+IF((C3822&gt;='Resultats - informe'!$E$16)*(C3822&lt;='Resultats - informe'!$G$16),1,0)</f>
        <v>1</v>
      </c>
      <c r="M3822" s="369" cm="1">
        <f t="array" ref="M3822">+_xlfn.IFS((C3822&gt;='Resultats - informe'!$D$26)*(C3822&lt;='Resultats - informe'!$E$26),0,(C3822&gt;='Resultats - informe'!$D$27)*(C3822&lt;='Resultats - informe'!$E$27),0,(C3822&gt;='Resultats - informe'!$D$28)*(C3822&lt;='Resultats - informe'!$E$28),0,(C3822&gt;='Resultats - informe'!$D$29)*(C3822&lt;='Resultats - informe'!$E$29),0,1,1)</f>
        <v>0</v>
      </c>
      <c r="N3822" s="366">
        <f>+VLOOKUP(D3822,'Resultats - informe'!$Y$18:$AG$42,'Introducció dades consum'!K3822+1,0)</f>
        <v>0</v>
      </c>
      <c r="O3822" s="370" cm="1">
        <f t="array" ref="O3822">+_xlfn.SWITCH(MONTH(C3822),1,1,2,1,3,1,4,2,5,2,6,3,7,3,8,3,9,3,10,2,11,2,12,1,2)</f>
        <v>1</v>
      </c>
      <c r="P3822" s="43"/>
    </row>
    <row r="3823" spans="1:16" ht="18" x14ac:dyDescent="0.35">
      <c r="A3823" s="43"/>
      <c r="C3823" s="393"/>
      <c r="E3823" s="394"/>
      <c r="F3823" s="394">
        <v>0</v>
      </c>
      <c r="G3823" s="394"/>
      <c r="H3823" s="8" t="s">
        <v>235</v>
      </c>
      <c r="I3823" s="368">
        <f t="shared" si="178"/>
        <v>0</v>
      </c>
      <c r="J3823" s="365">
        <f t="shared" si="177"/>
        <v>0</v>
      </c>
      <c r="K3823" s="369">
        <f t="shared" si="179"/>
        <v>6</v>
      </c>
      <c r="L3823" s="369">
        <f>+IF((C3823&gt;='Resultats - informe'!$E$16)*(C3823&lt;='Resultats - informe'!$G$16),1,0)</f>
        <v>1</v>
      </c>
      <c r="M3823" s="369" cm="1">
        <f t="array" ref="M3823">+_xlfn.IFS((C3823&gt;='Resultats - informe'!$D$26)*(C3823&lt;='Resultats - informe'!$E$26),0,(C3823&gt;='Resultats - informe'!$D$27)*(C3823&lt;='Resultats - informe'!$E$27),0,(C3823&gt;='Resultats - informe'!$D$28)*(C3823&lt;='Resultats - informe'!$E$28),0,(C3823&gt;='Resultats - informe'!$D$29)*(C3823&lt;='Resultats - informe'!$E$29),0,1,1)</f>
        <v>0</v>
      </c>
      <c r="N3823" s="366">
        <f>+VLOOKUP(D3823,'Resultats - informe'!$Y$18:$AG$42,'Introducció dades consum'!K3823+1,0)</f>
        <v>0</v>
      </c>
      <c r="O3823" s="370" cm="1">
        <f t="array" ref="O3823">+_xlfn.SWITCH(MONTH(C3823),1,1,2,1,3,1,4,2,5,2,6,3,7,3,8,3,9,3,10,2,11,2,12,1,2)</f>
        <v>1</v>
      </c>
      <c r="P3823" s="43"/>
    </row>
    <row r="3824" spans="1:16" ht="18" x14ac:dyDescent="0.35">
      <c r="A3824" s="43"/>
      <c r="C3824" s="393"/>
      <c r="E3824" s="394"/>
      <c r="F3824" s="394">
        <v>0</v>
      </c>
      <c r="G3824" s="394"/>
      <c r="H3824" s="8" t="s">
        <v>61</v>
      </c>
      <c r="I3824" s="368">
        <f t="shared" si="178"/>
        <v>0</v>
      </c>
      <c r="J3824" s="365">
        <f t="shared" si="177"/>
        <v>0</v>
      </c>
      <c r="K3824" s="369">
        <f t="shared" si="179"/>
        <v>6</v>
      </c>
      <c r="L3824" s="369">
        <f>+IF((C3824&gt;='Resultats - informe'!$E$16)*(C3824&lt;='Resultats - informe'!$G$16),1,0)</f>
        <v>1</v>
      </c>
      <c r="M3824" s="369" cm="1">
        <f t="array" ref="M3824">+_xlfn.IFS((C3824&gt;='Resultats - informe'!$D$26)*(C3824&lt;='Resultats - informe'!$E$26),0,(C3824&gt;='Resultats - informe'!$D$27)*(C3824&lt;='Resultats - informe'!$E$27),0,(C3824&gt;='Resultats - informe'!$D$28)*(C3824&lt;='Resultats - informe'!$E$28),0,(C3824&gt;='Resultats - informe'!$D$29)*(C3824&lt;='Resultats - informe'!$E$29),0,1,1)</f>
        <v>0</v>
      </c>
      <c r="N3824" s="366">
        <f>+VLOOKUP(D3824,'Resultats - informe'!$Y$18:$AG$42,'Introducció dades consum'!K3824+1,0)</f>
        <v>0</v>
      </c>
      <c r="O3824" s="370" cm="1">
        <f t="array" ref="O3824">+_xlfn.SWITCH(MONTH(C3824),1,1,2,1,3,1,4,2,5,2,6,3,7,3,8,3,9,3,10,2,11,2,12,1,2)</f>
        <v>1</v>
      </c>
      <c r="P3824" s="43"/>
    </row>
    <row r="3825" spans="1:16" ht="18" x14ac:dyDescent="0.35">
      <c r="A3825" s="43"/>
      <c r="C3825" s="393"/>
      <c r="E3825" s="394"/>
      <c r="F3825" s="394">
        <v>0</v>
      </c>
      <c r="G3825" s="394"/>
      <c r="H3825" s="8" t="s">
        <v>61</v>
      </c>
      <c r="I3825" s="368">
        <f t="shared" si="178"/>
        <v>0</v>
      </c>
      <c r="J3825" s="365">
        <f t="shared" si="177"/>
        <v>0</v>
      </c>
      <c r="K3825" s="369">
        <f t="shared" si="179"/>
        <v>6</v>
      </c>
      <c r="L3825" s="369">
        <f>+IF((C3825&gt;='Resultats - informe'!$E$16)*(C3825&lt;='Resultats - informe'!$G$16),1,0)</f>
        <v>1</v>
      </c>
      <c r="M3825" s="369" cm="1">
        <f t="array" ref="M3825">+_xlfn.IFS((C3825&gt;='Resultats - informe'!$D$26)*(C3825&lt;='Resultats - informe'!$E$26),0,(C3825&gt;='Resultats - informe'!$D$27)*(C3825&lt;='Resultats - informe'!$E$27),0,(C3825&gt;='Resultats - informe'!$D$28)*(C3825&lt;='Resultats - informe'!$E$28),0,(C3825&gt;='Resultats - informe'!$D$29)*(C3825&lt;='Resultats - informe'!$E$29),0,1,1)</f>
        <v>0</v>
      </c>
      <c r="N3825" s="366">
        <f>+VLOOKUP(D3825,'Resultats - informe'!$Y$18:$AG$42,'Introducció dades consum'!K3825+1,0)</f>
        <v>0</v>
      </c>
      <c r="O3825" s="370" cm="1">
        <f t="array" ref="O3825">+_xlfn.SWITCH(MONTH(C3825),1,1,2,1,3,1,4,2,5,2,6,3,7,3,8,3,9,3,10,2,11,2,12,1,2)</f>
        <v>1</v>
      </c>
      <c r="P3825" s="43"/>
    </row>
    <row r="3826" spans="1:16" ht="18" x14ac:dyDescent="0.35">
      <c r="A3826" s="43"/>
      <c r="C3826" s="393"/>
      <c r="E3826" s="394"/>
      <c r="F3826" s="394">
        <v>0.83199999999999996</v>
      </c>
      <c r="G3826" s="394"/>
      <c r="H3826" s="8" t="s">
        <v>235</v>
      </c>
      <c r="I3826" s="368">
        <f t="shared" si="178"/>
        <v>0</v>
      </c>
      <c r="J3826" s="365">
        <f t="shared" si="177"/>
        <v>0</v>
      </c>
      <c r="K3826" s="369">
        <f t="shared" si="179"/>
        <v>6</v>
      </c>
      <c r="L3826" s="369">
        <f>+IF((C3826&gt;='Resultats - informe'!$E$16)*(C3826&lt;='Resultats - informe'!$G$16),1,0)</f>
        <v>1</v>
      </c>
      <c r="M3826" s="369" cm="1">
        <f t="array" ref="M3826">+_xlfn.IFS((C3826&gt;='Resultats - informe'!$D$26)*(C3826&lt;='Resultats - informe'!$E$26),0,(C3826&gt;='Resultats - informe'!$D$27)*(C3826&lt;='Resultats - informe'!$E$27),0,(C3826&gt;='Resultats - informe'!$D$28)*(C3826&lt;='Resultats - informe'!$E$28),0,(C3826&gt;='Resultats - informe'!$D$29)*(C3826&lt;='Resultats - informe'!$E$29),0,1,1)</f>
        <v>0</v>
      </c>
      <c r="N3826" s="366">
        <f>+VLOOKUP(D3826,'Resultats - informe'!$Y$18:$AG$42,'Introducció dades consum'!K3826+1,0)</f>
        <v>0</v>
      </c>
      <c r="O3826" s="370" cm="1">
        <f t="array" ref="O3826">+_xlfn.SWITCH(MONTH(C3826),1,1,2,1,3,1,4,2,5,2,6,3,7,3,8,3,9,3,10,2,11,2,12,1,2)</f>
        <v>1</v>
      </c>
      <c r="P3826" s="43"/>
    </row>
    <row r="3827" spans="1:16" ht="18" x14ac:dyDescent="0.35">
      <c r="A3827" s="43"/>
      <c r="C3827" s="393"/>
      <c r="E3827" s="394"/>
      <c r="F3827" s="394">
        <v>1.399</v>
      </c>
      <c r="G3827" s="394"/>
      <c r="H3827" s="8" t="s">
        <v>235</v>
      </c>
      <c r="I3827" s="368">
        <f t="shared" si="178"/>
        <v>0</v>
      </c>
      <c r="J3827" s="365">
        <f t="shared" si="177"/>
        <v>0</v>
      </c>
      <c r="K3827" s="369">
        <f t="shared" si="179"/>
        <v>6</v>
      </c>
      <c r="L3827" s="369">
        <f>+IF((C3827&gt;='Resultats - informe'!$E$16)*(C3827&lt;='Resultats - informe'!$G$16),1,0)</f>
        <v>1</v>
      </c>
      <c r="M3827" s="369" cm="1">
        <f t="array" ref="M3827">+_xlfn.IFS((C3827&gt;='Resultats - informe'!$D$26)*(C3827&lt;='Resultats - informe'!$E$26),0,(C3827&gt;='Resultats - informe'!$D$27)*(C3827&lt;='Resultats - informe'!$E$27),0,(C3827&gt;='Resultats - informe'!$D$28)*(C3827&lt;='Resultats - informe'!$E$28),0,(C3827&gt;='Resultats - informe'!$D$29)*(C3827&lt;='Resultats - informe'!$E$29),0,1,1)</f>
        <v>0</v>
      </c>
      <c r="N3827" s="366">
        <f>+VLOOKUP(D3827,'Resultats - informe'!$Y$18:$AG$42,'Introducció dades consum'!K3827+1,0)</f>
        <v>0</v>
      </c>
      <c r="O3827" s="370" cm="1">
        <f t="array" ref="O3827">+_xlfn.SWITCH(MONTH(C3827),1,1,2,1,3,1,4,2,5,2,6,3,7,3,8,3,9,3,10,2,11,2,12,1,2)</f>
        <v>1</v>
      </c>
      <c r="P3827" s="43"/>
    </row>
    <row r="3828" spans="1:16" ht="18" x14ac:dyDescent="0.35">
      <c r="A3828" s="43"/>
      <c r="C3828" s="393"/>
      <c r="E3828" s="394"/>
      <c r="F3828" s="394">
        <v>3.758</v>
      </c>
      <c r="G3828" s="394"/>
      <c r="H3828" s="8" t="s">
        <v>235</v>
      </c>
      <c r="I3828" s="368">
        <f t="shared" si="178"/>
        <v>0</v>
      </c>
      <c r="J3828" s="365">
        <f t="shared" si="177"/>
        <v>0</v>
      </c>
      <c r="K3828" s="369">
        <f t="shared" si="179"/>
        <v>6</v>
      </c>
      <c r="L3828" s="369">
        <f>+IF((C3828&gt;='Resultats - informe'!$E$16)*(C3828&lt;='Resultats - informe'!$G$16),1,0)</f>
        <v>1</v>
      </c>
      <c r="M3828" s="369" cm="1">
        <f t="array" ref="M3828">+_xlfn.IFS((C3828&gt;='Resultats - informe'!$D$26)*(C3828&lt;='Resultats - informe'!$E$26),0,(C3828&gt;='Resultats - informe'!$D$27)*(C3828&lt;='Resultats - informe'!$E$27),0,(C3828&gt;='Resultats - informe'!$D$28)*(C3828&lt;='Resultats - informe'!$E$28),0,(C3828&gt;='Resultats - informe'!$D$29)*(C3828&lt;='Resultats - informe'!$E$29),0,1,1)</f>
        <v>0</v>
      </c>
      <c r="N3828" s="366">
        <f>+VLOOKUP(D3828,'Resultats - informe'!$Y$18:$AG$42,'Introducció dades consum'!K3828+1,0)</f>
        <v>0</v>
      </c>
      <c r="O3828" s="370" cm="1">
        <f t="array" ref="O3828">+_xlfn.SWITCH(MONTH(C3828),1,1,2,1,3,1,4,2,5,2,6,3,7,3,8,3,9,3,10,2,11,2,12,1,2)</f>
        <v>1</v>
      </c>
      <c r="P3828" s="43"/>
    </row>
    <row r="3829" spans="1:16" ht="18" x14ac:dyDescent="0.35">
      <c r="A3829" s="43"/>
      <c r="C3829" s="393"/>
      <c r="E3829" s="394"/>
      <c r="F3829" s="394">
        <v>2.282</v>
      </c>
      <c r="G3829" s="394"/>
      <c r="H3829" s="8" t="s">
        <v>61</v>
      </c>
      <c r="I3829" s="368">
        <f t="shared" si="178"/>
        <v>0</v>
      </c>
      <c r="J3829" s="365">
        <f t="shared" si="177"/>
        <v>0</v>
      </c>
      <c r="K3829" s="369">
        <f t="shared" si="179"/>
        <v>6</v>
      </c>
      <c r="L3829" s="369">
        <f>+IF((C3829&gt;='Resultats - informe'!$E$16)*(C3829&lt;='Resultats - informe'!$G$16),1,0)</f>
        <v>1</v>
      </c>
      <c r="M3829" s="369" cm="1">
        <f t="array" ref="M3829">+_xlfn.IFS((C3829&gt;='Resultats - informe'!$D$26)*(C3829&lt;='Resultats - informe'!$E$26),0,(C3829&gt;='Resultats - informe'!$D$27)*(C3829&lt;='Resultats - informe'!$E$27),0,(C3829&gt;='Resultats - informe'!$D$28)*(C3829&lt;='Resultats - informe'!$E$28),0,(C3829&gt;='Resultats - informe'!$D$29)*(C3829&lt;='Resultats - informe'!$E$29),0,1,1)</f>
        <v>0</v>
      </c>
      <c r="N3829" s="366">
        <f>+VLOOKUP(D3829,'Resultats - informe'!$Y$18:$AG$42,'Introducció dades consum'!K3829+1,0)</f>
        <v>0</v>
      </c>
      <c r="O3829" s="370" cm="1">
        <f t="array" ref="O3829">+_xlfn.SWITCH(MONTH(C3829),1,1,2,1,3,1,4,2,5,2,6,3,7,3,8,3,9,3,10,2,11,2,12,1,2)</f>
        <v>1</v>
      </c>
      <c r="P3829" s="43"/>
    </row>
    <row r="3830" spans="1:16" ht="18" x14ac:dyDescent="0.35">
      <c r="A3830" s="43"/>
      <c r="C3830" s="393"/>
      <c r="E3830" s="394"/>
      <c r="F3830" s="394">
        <v>4.3070000000000004</v>
      </c>
      <c r="G3830" s="394"/>
      <c r="H3830" s="8" t="s">
        <v>61</v>
      </c>
      <c r="I3830" s="368">
        <f t="shared" si="178"/>
        <v>0</v>
      </c>
      <c r="J3830" s="365">
        <f t="shared" si="177"/>
        <v>0</v>
      </c>
      <c r="K3830" s="369">
        <f t="shared" si="179"/>
        <v>6</v>
      </c>
      <c r="L3830" s="369">
        <f>+IF((C3830&gt;='Resultats - informe'!$E$16)*(C3830&lt;='Resultats - informe'!$G$16),1,0)</f>
        <v>1</v>
      </c>
      <c r="M3830" s="369" cm="1">
        <f t="array" ref="M3830">+_xlfn.IFS((C3830&gt;='Resultats - informe'!$D$26)*(C3830&lt;='Resultats - informe'!$E$26),0,(C3830&gt;='Resultats - informe'!$D$27)*(C3830&lt;='Resultats - informe'!$E$27),0,(C3830&gt;='Resultats - informe'!$D$28)*(C3830&lt;='Resultats - informe'!$E$28),0,(C3830&gt;='Resultats - informe'!$D$29)*(C3830&lt;='Resultats - informe'!$E$29),0,1,1)</f>
        <v>0</v>
      </c>
      <c r="N3830" s="366">
        <f>+VLOOKUP(D3830,'Resultats - informe'!$Y$18:$AG$42,'Introducció dades consum'!K3830+1,0)</f>
        <v>0</v>
      </c>
      <c r="O3830" s="370" cm="1">
        <f t="array" ref="O3830">+_xlfn.SWITCH(MONTH(C3830),1,1,2,1,3,1,4,2,5,2,6,3,7,3,8,3,9,3,10,2,11,2,12,1,2)</f>
        <v>1</v>
      </c>
      <c r="P3830" s="43"/>
    </row>
    <row r="3831" spans="1:16" ht="18" x14ac:dyDescent="0.35">
      <c r="A3831" s="43"/>
      <c r="C3831" s="393"/>
      <c r="E3831" s="394"/>
      <c r="F3831" s="394">
        <v>5.625</v>
      </c>
      <c r="G3831" s="394"/>
      <c r="H3831" s="8" t="s">
        <v>61</v>
      </c>
      <c r="I3831" s="368">
        <f t="shared" si="178"/>
        <v>0</v>
      </c>
      <c r="J3831" s="365">
        <f t="shared" si="177"/>
        <v>0</v>
      </c>
      <c r="K3831" s="369">
        <f t="shared" si="179"/>
        <v>6</v>
      </c>
      <c r="L3831" s="369">
        <f>+IF((C3831&gt;='Resultats - informe'!$E$16)*(C3831&lt;='Resultats - informe'!$G$16),1,0)</f>
        <v>1</v>
      </c>
      <c r="M3831" s="369" cm="1">
        <f t="array" ref="M3831">+_xlfn.IFS((C3831&gt;='Resultats - informe'!$D$26)*(C3831&lt;='Resultats - informe'!$E$26),0,(C3831&gt;='Resultats - informe'!$D$27)*(C3831&lt;='Resultats - informe'!$E$27),0,(C3831&gt;='Resultats - informe'!$D$28)*(C3831&lt;='Resultats - informe'!$E$28),0,(C3831&gt;='Resultats - informe'!$D$29)*(C3831&lt;='Resultats - informe'!$E$29),0,1,1)</f>
        <v>0</v>
      </c>
      <c r="N3831" s="366">
        <f>+VLOOKUP(D3831,'Resultats - informe'!$Y$18:$AG$42,'Introducció dades consum'!K3831+1,0)</f>
        <v>0</v>
      </c>
      <c r="O3831" s="370" cm="1">
        <f t="array" ref="O3831">+_xlfn.SWITCH(MONTH(C3831),1,1,2,1,3,1,4,2,5,2,6,3,7,3,8,3,9,3,10,2,11,2,12,1,2)</f>
        <v>1</v>
      </c>
      <c r="P3831" s="43"/>
    </row>
    <row r="3832" spans="1:16" ht="18" x14ac:dyDescent="0.35">
      <c r="A3832" s="43"/>
      <c r="C3832" s="393"/>
      <c r="E3832" s="394"/>
      <c r="F3832" s="394">
        <v>5.8150000000000004</v>
      </c>
      <c r="G3832" s="394"/>
      <c r="H3832" s="8" t="s">
        <v>235</v>
      </c>
      <c r="I3832" s="368">
        <f t="shared" si="178"/>
        <v>0</v>
      </c>
      <c r="J3832" s="365">
        <f t="shared" si="177"/>
        <v>0</v>
      </c>
      <c r="K3832" s="369">
        <f t="shared" si="179"/>
        <v>6</v>
      </c>
      <c r="L3832" s="369">
        <f>+IF((C3832&gt;='Resultats - informe'!$E$16)*(C3832&lt;='Resultats - informe'!$G$16),1,0)</f>
        <v>1</v>
      </c>
      <c r="M3832" s="369" cm="1">
        <f t="array" ref="M3832">+_xlfn.IFS((C3832&gt;='Resultats - informe'!$D$26)*(C3832&lt;='Resultats - informe'!$E$26),0,(C3832&gt;='Resultats - informe'!$D$27)*(C3832&lt;='Resultats - informe'!$E$27),0,(C3832&gt;='Resultats - informe'!$D$28)*(C3832&lt;='Resultats - informe'!$E$28),0,(C3832&gt;='Resultats - informe'!$D$29)*(C3832&lt;='Resultats - informe'!$E$29),0,1,1)</f>
        <v>0</v>
      </c>
      <c r="N3832" s="366">
        <f>+VLOOKUP(D3832,'Resultats - informe'!$Y$18:$AG$42,'Introducció dades consum'!K3832+1,0)</f>
        <v>0</v>
      </c>
      <c r="O3832" s="370" cm="1">
        <f t="array" ref="O3832">+_xlfn.SWITCH(MONTH(C3832),1,1,2,1,3,1,4,2,5,2,6,3,7,3,8,3,9,3,10,2,11,2,12,1,2)</f>
        <v>1</v>
      </c>
      <c r="P3832" s="43"/>
    </row>
    <row r="3833" spans="1:16" ht="18" x14ac:dyDescent="0.35">
      <c r="A3833" s="43"/>
      <c r="C3833" s="393"/>
      <c r="E3833" s="394"/>
      <c r="F3833" s="394">
        <v>5.2249999999999996</v>
      </c>
      <c r="G3833" s="394"/>
      <c r="H3833" s="8" t="s">
        <v>235</v>
      </c>
      <c r="I3833" s="368">
        <f t="shared" si="178"/>
        <v>0</v>
      </c>
      <c r="J3833" s="365">
        <f t="shared" si="177"/>
        <v>0</v>
      </c>
      <c r="K3833" s="369">
        <f t="shared" si="179"/>
        <v>6</v>
      </c>
      <c r="L3833" s="369">
        <f>+IF((C3833&gt;='Resultats - informe'!$E$16)*(C3833&lt;='Resultats - informe'!$G$16),1,0)</f>
        <v>1</v>
      </c>
      <c r="M3833" s="369" cm="1">
        <f t="array" ref="M3833">+_xlfn.IFS((C3833&gt;='Resultats - informe'!$D$26)*(C3833&lt;='Resultats - informe'!$E$26),0,(C3833&gt;='Resultats - informe'!$D$27)*(C3833&lt;='Resultats - informe'!$E$27),0,(C3833&gt;='Resultats - informe'!$D$28)*(C3833&lt;='Resultats - informe'!$E$28),0,(C3833&gt;='Resultats - informe'!$D$29)*(C3833&lt;='Resultats - informe'!$E$29),0,1,1)</f>
        <v>0</v>
      </c>
      <c r="N3833" s="366">
        <f>+VLOOKUP(D3833,'Resultats - informe'!$Y$18:$AG$42,'Introducció dades consum'!K3833+1,0)</f>
        <v>0</v>
      </c>
      <c r="O3833" s="370" cm="1">
        <f t="array" ref="O3833">+_xlfn.SWITCH(MONTH(C3833),1,1,2,1,3,1,4,2,5,2,6,3,7,3,8,3,9,3,10,2,11,2,12,1,2)</f>
        <v>1</v>
      </c>
      <c r="P3833" s="43"/>
    </row>
    <row r="3834" spans="1:16" ht="18" x14ac:dyDescent="0.35">
      <c r="A3834" s="43"/>
      <c r="C3834" s="393"/>
      <c r="E3834" s="394"/>
      <c r="F3834" s="394">
        <v>6.8520000000000003</v>
      </c>
      <c r="G3834" s="394"/>
      <c r="H3834" s="8" t="s">
        <v>61</v>
      </c>
      <c r="I3834" s="368">
        <f t="shared" si="178"/>
        <v>0</v>
      </c>
      <c r="J3834" s="365">
        <f t="shared" si="177"/>
        <v>0</v>
      </c>
      <c r="K3834" s="369">
        <f t="shared" si="179"/>
        <v>6</v>
      </c>
      <c r="L3834" s="369">
        <f>+IF((C3834&gt;='Resultats - informe'!$E$16)*(C3834&lt;='Resultats - informe'!$G$16),1,0)</f>
        <v>1</v>
      </c>
      <c r="M3834" s="369" cm="1">
        <f t="array" ref="M3834">+_xlfn.IFS((C3834&gt;='Resultats - informe'!$D$26)*(C3834&lt;='Resultats - informe'!$E$26),0,(C3834&gt;='Resultats - informe'!$D$27)*(C3834&lt;='Resultats - informe'!$E$27),0,(C3834&gt;='Resultats - informe'!$D$28)*(C3834&lt;='Resultats - informe'!$E$28),0,(C3834&gt;='Resultats - informe'!$D$29)*(C3834&lt;='Resultats - informe'!$E$29),0,1,1)</f>
        <v>0</v>
      </c>
      <c r="N3834" s="366">
        <f>+VLOOKUP(D3834,'Resultats - informe'!$Y$18:$AG$42,'Introducció dades consum'!K3834+1,0)</f>
        <v>0</v>
      </c>
      <c r="O3834" s="370" cm="1">
        <f t="array" ref="O3834">+_xlfn.SWITCH(MONTH(C3834),1,1,2,1,3,1,4,2,5,2,6,3,7,3,8,3,9,3,10,2,11,2,12,1,2)</f>
        <v>1</v>
      </c>
      <c r="P3834" s="43"/>
    </row>
    <row r="3835" spans="1:16" ht="18" x14ac:dyDescent="0.35">
      <c r="A3835" s="43"/>
      <c r="C3835" s="393"/>
      <c r="E3835" s="394"/>
      <c r="F3835" s="394">
        <v>2.7280000000000002</v>
      </c>
      <c r="G3835" s="394"/>
      <c r="H3835" s="8" t="s">
        <v>235</v>
      </c>
      <c r="I3835" s="368">
        <f t="shared" si="178"/>
        <v>0</v>
      </c>
      <c r="J3835" s="365">
        <f t="shared" ref="J3835:J3898" si="180">+C3835</f>
        <v>0</v>
      </c>
      <c r="K3835" s="369">
        <f t="shared" si="179"/>
        <v>6</v>
      </c>
      <c r="L3835" s="369">
        <f>+IF((C3835&gt;='Resultats - informe'!$E$16)*(C3835&lt;='Resultats - informe'!$G$16),1,0)</f>
        <v>1</v>
      </c>
      <c r="M3835" s="369" cm="1">
        <f t="array" ref="M3835">+_xlfn.IFS((C3835&gt;='Resultats - informe'!$D$26)*(C3835&lt;='Resultats - informe'!$E$26),0,(C3835&gt;='Resultats - informe'!$D$27)*(C3835&lt;='Resultats - informe'!$E$27),0,(C3835&gt;='Resultats - informe'!$D$28)*(C3835&lt;='Resultats - informe'!$E$28),0,(C3835&gt;='Resultats - informe'!$D$29)*(C3835&lt;='Resultats - informe'!$E$29),0,1,1)</f>
        <v>0</v>
      </c>
      <c r="N3835" s="366">
        <f>+VLOOKUP(D3835,'Resultats - informe'!$Y$18:$AG$42,'Introducció dades consum'!K3835+1,0)</f>
        <v>0</v>
      </c>
      <c r="O3835" s="370" cm="1">
        <f t="array" ref="O3835">+_xlfn.SWITCH(MONTH(C3835),1,1,2,1,3,1,4,2,5,2,6,3,7,3,8,3,9,3,10,2,11,2,12,1,2)</f>
        <v>1</v>
      </c>
      <c r="P3835" s="43"/>
    </row>
    <row r="3836" spans="1:16" ht="18" x14ac:dyDescent="0.35">
      <c r="A3836" s="43"/>
      <c r="C3836" s="393"/>
      <c r="E3836" s="394"/>
      <c r="F3836" s="394">
        <v>1.738</v>
      </c>
      <c r="G3836" s="394"/>
      <c r="H3836" s="8" t="s">
        <v>235</v>
      </c>
      <c r="I3836" s="368">
        <f t="shared" si="178"/>
        <v>0</v>
      </c>
      <c r="J3836" s="365">
        <f t="shared" si="180"/>
        <v>0</v>
      </c>
      <c r="K3836" s="369">
        <f t="shared" si="179"/>
        <v>6</v>
      </c>
      <c r="L3836" s="369">
        <f>+IF((C3836&gt;='Resultats - informe'!$E$16)*(C3836&lt;='Resultats - informe'!$G$16),1,0)</f>
        <v>1</v>
      </c>
      <c r="M3836" s="369" cm="1">
        <f t="array" ref="M3836">+_xlfn.IFS((C3836&gt;='Resultats - informe'!$D$26)*(C3836&lt;='Resultats - informe'!$E$26),0,(C3836&gt;='Resultats - informe'!$D$27)*(C3836&lt;='Resultats - informe'!$E$27),0,(C3836&gt;='Resultats - informe'!$D$28)*(C3836&lt;='Resultats - informe'!$E$28),0,(C3836&gt;='Resultats - informe'!$D$29)*(C3836&lt;='Resultats - informe'!$E$29),0,1,1)</f>
        <v>0</v>
      </c>
      <c r="N3836" s="366">
        <f>+VLOOKUP(D3836,'Resultats - informe'!$Y$18:$AG$42,'Introducció dades consum'!K3836+1,0)</f>
        <v>0</v>
      </c>
      <c r="O3836" s="370" cm="1">
        <f t="array" ref="O3836">+_xlfn.SWITCH(MONTH(C3836),1,1,2,1,3,1,4,2,5,2,6,3,7,3,8,3,9,3,10,2,11,2,12,1,2)</f>
        <v>1</v>
      </c>
      <c r="P3836" s="43"/>
    </row>
    <row r="3837" spans="1:16" ht="18" x14ac:dyDescent="0.35">
      <c r="A3837" s="43"/>
      <c r="C3837" s="393"/>
      <c r="E3837" s="394"/>
      <c r="F3837" s="394">
        <v>0.71299999999999997</v>
      </c>
      <c r="G3837" s="394"/>
      <c r="H3837" s="8" t="s">
        <v>235</v>
      </c>
      <c r="I3837" s="368">
        <f t="shared" si="178"/>
        <v>0</v>
      </c>
      <c r="J3837" s="365">
        <f t="shared" si="180"/>
        <v>0</v>
      </c>
      <c r="K3837" s="369">
        <f t="shared" si="179"/>
        <v>6</v>
      </c>
      <c r="L3837" s="369">
        <f>+IF((C3837&gt;='Resultats - informe'!$E$16)*(C3837&lt;='Resultats - informe'!$G$16),1,0)</f>
        <v>1</v>
      </c>
      <c r="M3837" s="369" cm="1">
        <f t="array" ref="M3837">+_xlfn.IFS((C3837&gt;='Resultats - informe'!$D$26)*(C3837&lt;='Resultats - informe'!$E$26),0,(C3837&gt;='Resultats - informe'!$D$27)*(C3837&lt;='Resultats - informe'!$E$27),0,(C3837&gt;='Resultats - informe'!$D$28)*(C3837&lt;='Resultats - informe'!$E$28),0,(C3837&gt;='Resultats - informe'!$D$29)*(C3837&lt;='Resultats - informe'!$E$29),0,1,1)</f>
        <v>0</v>
      </c>
      <c r="N3837" s="366">
        <f>+VLOOKUP(D3837,'Resultats - informe'!$Y$18:$AG$42,'Introducció dades consum'!K3837+1,0)</f>
        <v>0</v>
      </c>
      <c r="O3837" s="370" cm="1">
        <f t="array" ref="O3837">+_xlfn.SWITCH(MONTH(C3837),1,1,2,1,3,1,4,2,5,2,6,3,7,3,8,3,9,3,10,2,11,2,12,1,2)</f>
        <v>1</v>
      </c>
      <c r="P3837" s="43"/>
    </row>
    <row r="3838" spans="1:16" ht="18" x14ac:dyDescent="0.35">
      <c r="A3838" s="43"/>
      <c r="C3838" s="393"/>
      <c r="E3838" s="394"/>
      <c r="F3838" s="394">
        <v>0.51600000000000001</v>
      </c>
      <c r="G3838" s="394"/>
      <c r="H3838" s="8" t="s">
        <v>61</v>
      </c>
      <c r="I3838" s="368">
        <f t="shared" si="178"/>
        <v>0</v>
      </c>
      <c r="J3838" s="365">
        <f t="shared" si="180"/>
        <v>0</v>
      </c>
      <c r="K3838" s="369">
        <f t="shared" si="179"/>
        <v>6</v>
      </c>
      <c r="L3838" s="369">
        <f>+IF((C3838&gt;='Resultats - informe'!$E$16)*(C3838&lt;='Resultats - informe'!$G$16),1,0)</f>
        <v>1</v>
      </c>
      <c r="M3838" s="369" cm="1">
        <f t="array" ref="M3838">+_xlfn.IFS((C3838&gt;='Resultats - informe'!$D$26)*(C3838&lt;='Resultats - informe'!$E$26),0,(C3838&gt;='Resultats - informe'!$D$27)*(C3838&lt;='Resultats - informe'!$E$27),0,(C3838&gt;='Resultats - informe'!$D$28)*(C3838&lt;='Resultats - informe'!$E$28),0,(C3838&gt;='Resultats - informe'!$D$29)*(C3838&lt;='Resultats - informe'!$E$29),0,1,1)</f>
        <v>0</v>
      </c>
      <c r="N3838" s="366">
        <f>+VLOOKUP(D3838,'Resultats - informe'!$Y$18:$AG$42,'Introducció dades consum'!K3838+1,0)</f>
        <v>0</v>
      </c>
      <c r="O3838" s="370" cm="1">
        <f t="array" ref="O3838">+_xlfn.SWITCH(MONTH(C3838),1,1,2,1,3,1,4,2,5,2,6,3,7,3,8,3,9,3,10,2,11,2,12,1,2)</f>
        <v>1</v>
      </c>
      <c r="P3838" s="43"/>
    </row>
    <row r="3839" spans="1:16" ht="18" x14ac:dyDescent="0.35">
      <c r="A3839" s="43"/>
      <c r="C3839" s="393"/>
      <c r="E3839" s="394"/>
      <c r="F3839" s="394">
        <v>0.23</v>
      </c>
      <c r="G3839" s="394"/>
      <c r="H3839" s="8" t="s">
        <v>61</v>
      </c>
      <c r="I3839" s="368">
        <f t="shared" si="178"/>
        <v>0</v>
      </c>
      <c r="J3839" s="365">
        <f t="shared" si="180"/>
        <v>0</v>
      </c>
      <c r="K3839" s="369">
        <f t="shared" si="179"/>
        <v>6</v>
      </c>
      <c r="L3839" s="369">
        <f>+IF((C3839&gt;='Resultats - informe'!$E$16)*(C3839&lt;='Resultats - informe'!$G$16),1,0)</f>
        <v>1</v>
      </c>
      <c r="M3839" s="369" cm="1">
        <f t="array" ref="M3839">+_xlfn.IFS((C3839&gt;='Resultats - informe'!$D$26)*(C3839&lt;='Resultats - informe'!$E$26),0,(C3839&gt;='Resultats - informe'!$D$27)*(C3839&lt;='Resultats - informe'!$E$27),0,(C3839&gt;='Resultats - informe'!$D$28)*(C3839&lt;='Resultats - informe'!$E$28),0,(C3839&gt;='Resultats - informe'!$D$29)*(C3839&lt;='Resultats - informe'!$E$29),0,1,1)</f>
        <v>0</v>
      </c>
      <c r="N3839" s="366">
        <f>+VLOOKUP(D3839,'Resultats - informe'!$Y$18:$AG$42,'Introducció dades consum'!K3839+1,0)</f>
        <v>0</v>
      </c>
      <c r="O3839" s="370" cm="1">
        <f t="array" ref="O3839">+_xlfn.SWITCH(MONTH(C3839),1,1,2,1,3,1,4,2,5,2,6,3,7,3,8,3,9,3,10,2,11,2,12,1,2)</f>
        <v>1</v>
      </c>
      <c r="P3839" s="43"/>
    </row>
    <row r="3840" spans="1:16" ht="18" x14ac:dyDescent="0.35">
      <c r="A3840" s="43"/>
      <c r="C3840" s="393"/>
      <c r="E3840" s="394"/>
      <c r="F3840" s="394">
        <v>0</v>
      </c>
      <c r="G3840" s="394"/>
      <c r="H3840" s="8" t="s">
        <v>235</v>
      </c>
      <c r="I3840" s="368">
        <f t="shared" si="178"/>
        <v>0</v>
      </c>
      <c r="J3840" s="365">
        <f t="shared" si="180"/>
        <v>0</v>
      </c>
      <c r="K3840" s="369">
        <f t="shared" si="179"/>
        <v>6</v>
      </c>
      <c r="L3840" s="369">
        <f>+IF((C3840&gt;='Resultats - informe'!$E$16)*(C3840&lt;='Resultats - informe'!$G$16),1,0)</f>
        <v>1</v>
      </c>
      <c r="M3840" s="369" cm="1">
        <f t="array" ref="M3840">+_xlfn.IFS((C3840&gt;='Resultats - informe'!$D$26)*(C3840&lt;='Resultats - informe'!$E$26),0,(C3840&gt;='Resultats - informe'!$D$27)*(C3840&lt;='Resultats - informe'!$E$27),0,(C3840&gt;='Resultats - informe'!$D$28)*(C3840&lt;='Resultats - informe'!$E$28),0,(C3840&gt;='Resultats - informe'!$D$29)*(C3840&lt;='Resultats - informe'!$E$29),0,1,1)</f>
        <v>0</v>
      </c>
      <c r="N3840" s="366">
        <f>+VLOOKUP(D3840,'Resultats - informe'!$Y$18:$AG$42,'Introducció dades consum'!K3840+1,0)</f>
        <v>0</v>
      </c>
      <c r="O3840" s="370" cm="1">
        <f t="array" ref="O3840">+_xlfn.SWITCH(MONTH(C3840),1,1,2,1,3,1,4,2,5,2,6,3,7,3,8,3,9,3,10,2,11,2,12,1,2)</f>
        <v>1</v>
      </c>
      <c r="P3840" s="43"/>
    </row>
    <row r="3841" spans="1:16" ht="18" x14ac:dyDescent="0.35">
      <c r="A3841" s="43"/>
      <c r="C3841" s="393"/>
      <c r="E3841" s="394"/>
      <c r="F3841" s="394">
        <v>0</v>
      </c>
      <c r="G3841" s="394"/>
      <c r="H3841" s="8" t="s">
        <v>235</v>
      </c>
      <c r="I3841" s="368">
        <f t="shared" si="178"/>
        <v>0</v>
      </c>
      <c r="J3841" s="365">
        <f t="shared" si="180"/>
        <v>0</v>
      </c>
      <c r="K3841" s="369">
        <f t="shared" si="179"/>
        <v>6</v>
      </c>
      <c r="L3841" s="369">
        <f>+IF((C3841&gt;='Resultats - informe'!$E$16)*(C3841&lt;='Resultats - informe'!$G$16),1,0)</f>
        <v>1</v>
      </c>
      <c r="M3841" s="369" cm="1">
        <f t="array" ref="M3841">+_xlfn.IFS((C3841&gt;='Resultats - informe'!$D$26)*(C3841&lt;='Resultats - informe'!$E$26),0,(C3841&gt;='Resultats - informe'!$D$27)*(C3841&lt;='Resultats - informe'!$E$27),0,(C3841&gt;='Resultats - informe'!$D$28)*(C3841&lt;='Resultats - informe'!$E$28),0,(C3841&gt;='Resultats - informe'!$D$29)*(C3841&lt;='Resultats - informe'!$E$29),0,1,1)</f>
        <v>0</v>
      </c>
      <c r="N3841" s="366">
        <f>+VLOOKUP(D3841,'Resultats - informe'!$Y$18:$AG$42,'Introducció dades consum'!K3841+1,0)</f>
        <v>0</v>
      </c>
      <c r="O3841" s="370" cm="1">
        <f t="array" ref="O3841">+_xlfn.SWITCH(MONTH(C3841),1,1,2,1,3,1,4,2,5,2,6,3,7,3,8,3,9,3,10,2,11,2,12,1,2)</f>
        <v>1</v>
      </c>
      <c r="P3841" s="43"/>
    </row>
    <row r="3842" spans="1:16" ht="18" x14ac:dyDescent="0.35">
      <c r="A3842" s="43"/>
      <c r="C3842" s="393"/>
      <c r="E3842" s="394"/>
      <c r="F3842" s="394">
        <v>0</v>
      </c>
      <c r="G3842" s="394"/>
      <c r="H3842" s="8" t="s">
        <v>235</v>
      </c>
      <c r="I3842" s="368">
        <f t="shared" si="178"/>
        <v>0</v>
      </c>
      <c r="J3842" s="365">
        <f t="shared" si="180"/>
        <v>0</v>
      </c>
      <c r="K3842" s="369">
        <f t="shared" si="179"/>
        <v>6</v>
      </c>
      <c r="L3842" s="369">
        <f>+IF((C3842&gt;='Resultats - informe'!$E$16)*(C3842&lt;='Resultats - informe'!$G$16),1,0)</f>
        <v>1</v>
      </c>
      <c r="M3842" s="369" cm="1">
        <f t="array" ref="M3842">+_xlfn.IFS((C3842&gt;='Resultats - informe'!$D$26)*(C3842&lt;='Resultats - informe'!$E$26),0,(C3842&gt;='Resultats - informe'!$D$27)*(C3842&lt;='Resultats - informe'!$E$27),0,(C3842&gt;='Resultats - informe'!$D$28)*(C3842&lt;='Resultats - informe'!$E$28),0,(C3842&gt;='Resultats - informe'!$D$29)*(C3842&lt;='Resultats - informe'!$E$29),0,1,1)</f>
        <v>0</v>
      </c>
      <c r="N3842" s="366">
        <f>+VLOOKUP(D3842,'Resultats - informe'!$Y$18:$AG$42,'Introducció dades consum'!K3842+1,0)</f>
        <v>0</v>
      </c>
      <c r="O3842" s="370" cm="1">
        <f t="array" ref="O3842">+_xlfn.SWITCH(MONTH(C3842),1,1,2,1,3,1,4,2,5,2,6,3,7,3,8,3,9,3,10,2,11,2,12,1,2)</f>
        <v>1</v>
      </c>
      <c r="P3842" s="43"/>
    </row>
    <row r="3843" spans="1:16" ht="18" x14ac:dyDescent="0.35">
      <c r="A3843" s="43"/>
      <c r="C3843" s="393"/>
      <c r="E3843" s="394"/>
      <c r="F3843" s="394">
        <v>0</v>
      </c>
      <c r="G3843" s="394"/>
      <c r="H3843" s="8" t="s">
        <v>235</v>
      </c>
      <c r="I3843" s="368">
        <f t="shared" si="178"/>
        <v>0</v>
      </c>
      <c r="J3843" s="365">
        <f t="shared" si="180"/>
        <v>0</v>
      </c>
      <c r="K3843" s="369">
        <f t="shared" si="179"/>
        <v>6</v>
      </c>
      <c r="L3843" s="369">
        <f>+IF((C3843&gt;='Resultats - informe'!$E$16)*(C3843&lt;='Resultats - informe'!$G$16),1,0)</f>
        <v>1</v>
      </c>
      <c r="M3843" s="369" cm="1">
        <f t="array" ref="M3843">+_xlfn.IFS((C3843&gt;='Resultats - informe'!$D$26)*(C3843&lt;='Resultats - informe'!$E$26),0,(C3843&gt;='Resultats - informe'!$D$27)*(C3843&lt;='Resultats - informe'!$E$27),0,(C3843&gt;='Resultats - informe'!$D$28)*(C3843&lt;='Resultats - informe'!$E$28),0,(C3843&gt;='Resultats - informe'!$D$29)*(C3843&lt;='Resultats - informe'!$E$29),0,1,1)</f>
        <v>0</v>
      </c>
      <c r="N3843" s="366">
        <f>+VLOOKUP(D3843,'Resultats - informe'!$Y$18:$AG$42,'Introducció dades consum'!K3843+1,0)</f>
        <v>0</v>
      </c>
      <c r="O3843" s="370" cm="1">
        <f t="array" ref="O3843">+_xlfn.SWITCH(MONTH(C3843),1,1,2,1,3,1,4,2,5,2,6,3,7,3,8,3,9,3,10,2,11,2,12,1,2)</f>
        <v>1</v>
      </c>
      <c r="P3843" s="43"/>
    </row>
    <row r="3844" spans="1:16" ht="18" x14ac:dyDescent="0.35">
      <c r="A3844" s="43"/>
      <c r="C3844" s="393"/>
      <c r="E3844" s="394"/>
      <c r="F3844" s="394">
        <v>0</v>
      </c>
      <c r="G3844" s="394"/>
      <c r="H3844" s="8" t="s">
        <v>235</v>
      </c>
      <c r="I3844" s="368">
        <f t="shared" si="178"/>
        <v>0</v>
      </c>
      <c r="J3844" s="365">
        <f t="shared" si="180"/>
        <v>0</v>
      </c>
      <c r="K3844" s="369">
        <f t="shared" si="179"/>
        <v>6</v>
      </c>
      <c r="L3844" s="369">
        <f>+IF((C3844&gt;='Resultats - informe'!$E$16)*(C3844&lt;='Resultats - informe'!$G$16),1,0)</f>
        <v>1</v>
      </c>
      <c r="M3844" s="369" cm="1">
        <f t="array" ref="M3844">+_xlfn.IFS((C3844&gt;='Resultats - informe'!$D$26)*(C3844&lt;='Resultats - informe'!$E$26),0,(C3844&gt;='Resultats - informe'!$D$27)*(C3844&lt;='Resultats - informe'!$E$27),0,(C3844&gt;='Resultats - informe'!$D$28)*(C3844&lt;='Resultats - informe'!$E$28),0,(C3844&gt;='Resultats - informe'!$D$29)*(C3844&lt;='Resultats - informe'!$E$29),0,1,1)</f>
        <v>0</v>
      </c>
      <c r="N3844" s="366">
        <f>+VLOOKUP(D3844,'Resultats - informe'!$Y$18:$AG$42,'Introducció dades consum'!K3844+1,0)</f>
        <v>0</v>
      </c>
      <c r="O3844" s="370" cm="1">
        <f t="array" ref="O3844">+_xlfn.SWITCH(MONTH(C3844),1,1,2,1,3,1,4,2,5,2,6,3,7,3,8,3,9,3,10,2,11,2,12,1,2)</f>
        <v>1</v>
      </c>
      <c r="P3844" s="43"/>
    </row>
    <row r="3845" spans="1:16" ht="18" x14ac:dyDescent="0.35">
      <c r="A3845" s="43"/>
      <c r="C3845" s="393"/>
      <c r="E3845" s="394"/>
      <c r="F3845" s="394">
        <v>0</v>
      </c>
      <c r="G3845" s="394"/>
      <c r="H3845" s="8" t="s">
        <v>235</v>
      </c>
      <c r="I3845" s="368">
        <f t="shared" si="178"/>
        <v>0</v>
      </c>
      <c r="J3845" s="365">
        <f t="shared" si="180"/>
        <v>0</v>
      </c>
      <c r="K3845" s="369">
        <f t="shared" si="179"/>
        <v>6</v>
      </c>
      <c r="L3845" s="369">
        <f>+IF((C3845&gt;='Resultats - informe'!$E$16)*(C3845&lt;='Resultats - informe'!$G$16),1,0)</f>
        <v>1</v>
      </c>
      <c r="M3845" s="369" cm="1">
        <f t="array" ref="M3845">+_xlfn.IFS((C3845&gt;='Resultats - informe'!$D$26)*(C3845&lt;='Resultats - informe'!$E$26),0,(C3845&gt;='Resultats - informe'!$D$27)*(C3845&lt;='Resultats - informe'!$E$27),0,(C3845&gt;='Resultats - informe'!$D$28)*(C3845&lt;='Resultats - informe'!$E$28),0,(C3845&gt;='Resultats - informe'!$D$29)*(C3845&lt;='Resultats - informe'!$E$29),0,1,1)</f>
        <v>0</v>
      </c>
      <c r="N3845" s="366">
        <f>+VLOOKUP(D3845,'Resultats - informe'!$Y$18:$AG$42,'Introducció dades consum'!K3845+1,0)</f>
        <v>0</v>
      </c>
      <c r="O3845" s="370" cm="1">
        <f t="array" ref="O3845">+_xlfn.SWITCH(MONTH(C3845),1,1,2,1,3,1,4,2,5,2,6,3,7,3,8,3,9,3,10,2,11,2,12,1,2)</f>
        <v>1</v>
      </c>
      <c r="P3845" s="43"/>
    </row>
    <row r="3846" spans="1:16" ht="18" x14ac:dyDescent="0.35">
      <c r="A3846" s="43"/>
      <c r="C3846" s="393"/>
      <c r="E3846" s="394"/>
      <c r="F3846" s="394">
        <v>0</v>
      </c>
      <c r="G3846" s="394"/>
      <c r="H3846" s="8" t="s">
        <v>61</v>
      </c>
      <c r="I3846" s="368">
        <f t="shared" ref="I3846:I3909" si="181">+E3846+G3846</f>
        <v>0</v>
      </c>
      <c r="J3846" s="365">
        <f t="shared" si="180"/>
        <v>0</v>
      </c>
      <c r="K3846" s="369">
        <f t="shared" ref="K3846:K3909" si="182">+WEEKDAY(C3846,2)</f>
        <v>6</v>
      </c>
      <c r="L3846" s="369">
        <f>+IF((C3846&gt;='Resultats - informe'!$E$16)*(C3846&lt;='Resultats - informe'!$G$16),1,0)</f>
        <v>1</v>
      </c>
      <c r="M3846" s="369" cm="1">
        <f t="array" ref="M3846">+_xlfn.IFS((C3846&gt;='Resultats - informe'!$D$26)*(C3846&lt;='Resultats - informe'!$E$26),0,(C3846&gt;='Resultats - informe'!$D$27)*(C3846&lt;='Resultats - informe'!$E$27),0,(C3846&gt;='Resultats - informe'!$D$28)*(C3846&lt;='Resultats - informe'!$E$28),0,(C3846&gt;='Resultats - informe'!$D$29)*(C3846&lt;='Resultats - informe'!$E$29),0,1,1)</f>
        <v>0</v>
      </c>
      <c r="N3846" s="366">
        <f>+VLOOKUP(D3846,'Resultats - informe'!$Y$18:$AG$42,'Introducció dades consum'!K3846+1,0)</f>
        <v>0</v>
      </c>
      <c r="O3846" s="370" cm="1">
        <f t="array" ref="O3846">+_xlfn.SWITCH(MONTH(C3846),1,1,2,1,3,1,4,2,5,2,6,3,7,3,8,3,9,3,10,2,11,2,12,1,2)</f>
        <v>1</v>
      </c>
      <c r="P3846" s="43"/>
    </row>
    <row r="3847" spans="1:16" ht="18" x14ac:dyDescent="0.35">
      <c r="A3847" s="43"/>
      <c r="C3847" s="393"/>
      <c r="E3847" s="394"/>
      <c r="F3847" s="394">
        <v>0</v>
      </c>
      <c r="G3847" s="394"/>
      <c r="H3847" s="8" t="s">
        <v>61</v>
      </c>
      <c r="I3847" s="368">
        <f t="shared" si="181"/>
        <v>0</v>
      </c>
      <c r="J3847" s="365">
        <f t="shared" si="180"/>
        <v>0</v>
      </c>
      <c r="K3847" s="369">
        <f t="shared" si="182"/>
        <v>6</v>
      </c>
      <c r="L3847" s="369">
        <f>+IF((C3847&gt;='Resultats - informe'!$E$16)*(C3847&lt;='Resultats - informe'!$G$16),1,0)</f>
        <v>1</v>
      </c>
      <c r="M3847" s="369" cm="1">
        <f t="array" ref="M3847">+_xlfn.IFS((C3847&gt;='Resultats - informe'!$D$26)*(C3847&lt;='Resultats - informe'!$E$26),0,(C3847&gt;='Resultats - informe'!$D$27)*(C3847&lt;='Resultats - informe'!$E$27),0,(C3847&gt;='Resultats - informe'!$D$28)*(C3847&lt;='Resultats - informe'!$E$28),0,(C3847&gt;='Resultats - informe'!$D$29)*(C3847&lt;='Resultats - informe'!$E$29),0,1,1)</f>
        <v>0</v>
      </c>
      <c r="N3847" s="366">
        <f>+VLOOKUP(D3847,'Resultats - informe'!$Y$18:$AG$42,'Introducció dades consum'!K3847+1,0)</f>
        <v>0</v>
      </c>
      <c r="O3847" s="370" cm="1">
        <f t="array" ref="O3847">+_xlfn.SWITCH(MONTH(C3847),1,1,2,1,3,1,4,2,5,2,6,3,7,3,8,3,9,3,10,2,11,2,12,1,2)</f>
        <v>1</v>
      </c>
      <c r="P3847" s="43"/>
    </row>
    <row r="3848" spans="1:16" ht="18" x14ac:dyDescent="0.35">
      <c r="A3848" s="43"/>
      <c r="C3848" s="393"/>
      <c r="E3848" s="394"/>
      <c r="F3848" s="394">
        <v>0</v>
      </c>
      <c r="G3848" s="394"/>
      <c r="H3848" s="8" t="s">
        <v>235</v>
      </c>
      <c r="I3848" s="368">
        <f t="shared" si="181"/>
        <v>0</v>
      </c>
      <c r="J3848" s="365">
        <f t="shared" si="180"/>
        <v>0</v>
      </c>
      <c r="K3848" s="369">
        <f t="shared" si="182"/>
        <v>6</v>
      </c>
      <c r="L3848" s="369">
        <f>+IF((C3848&gt;='Resultats - informe'!$E$16)*(C3848&lt;='Resultats - informe'!$G$16),1,0)</f>
        <v>1</v>
      </c>
      <c r="M3848" s="369" cm="1">
        <f t="array" ref="M3848">+_xlfn.IFS((C3848&gt;='Resultats - informe'!$D$26)*(C3848&lt;='Resultats - informe'!$E$26),0,(C3848&gt;='Resultats - informe'!$D$27)*(C3848&lt;='Resultats - informe'!$E$27),0,(C3848&gt;='Resultats - informe'!$D$28)*(C3848&lt;='Resultats - informe'!$E$28),0,(C3848&gt;='Resultats - informe'!$D$29)*(C3848&lt;='Resultats - informe'!$E$29),0,1,1)</f>
        <v>0</v>
      </c>
      <c r="N3848" s="366">
        <f>+VLOOKUP(D3848,'Resultats - informe'!$Y$18:$AG$42,'Introducció dades consum'!K3848+1,0)</f>
        <v>0</v>
      </c>
      <c r="O3848" s="370" cm="1">
        <f t="array" ref="O3848">+_xlfn.SWITCH(MONTH(C3848),1,1,2,1,3,1,4,2,5,2,6,3,7,3,8,3,9,3,10,2,11,2,12,1,2)</f>
        <v>1</v>
      </c>
      <c r="P3848" s="43"/>
    </row>
    <row r="3849" spans="1:16" ht="18" x14ac:dyDescent="0.35">
      <c r="A3849" s="43"/>
      <c r="C3849" s="393"/>
      <c r="E3849" s="394"/>
      <c r="F3849" s="394">
        <v>0.24399999999999999</v>
      </c>
      <c r="G3849" s="394"/>
      <c r="H3849" s="8" t="s">
        <v>235</v>
      </c>
      <c r="I3849" s="368">
        <f t="shared" si="181"/>
        <v>0</v>
      </c>
      <c r="J3849" s="365">
        <f t="shared" si="180"/>
        <v>0</v>
      </c>
      <c r="K3849" s="369">
        <f t="shared" si="182"/>
        <v>6</v>
      </c>
      <c r="L3849" s="369">
        <f>+IF((C3849&gt;='Resultats - informe'!$E$16)*(C3849&lt;='Resultats - informe'!$G$16),1,0)</f>
        <v>1</v>
      </c>
      <c r="M3849" s="369" cm="1">
        <f t="array" ref="M3849">+_xlfn.IFS((C3849&gt;='Resultats - informe'!$D$26)*(C3849&lt;='Resultats - informe'!$E$26),0,(C3849&gt;='Resultats - informe'!$D$27)*(C3849&lt;='Resultats - informe'!$E$27),0,(C3849&gt;='Resultats - informe'!$D$28)*(C3849&lt;='Resultats - informe'!$E$28),0,(C3849&gt;='Resultats - informe'!$D$29)*(C3849&lt;='Resultats - informe'!$E$29),0,1,1)</f>
        <v>0</v>
      </c>
      <c r="N3849" s="366">
        <f>+VLOOKUP(D3849,'Resultats - informe'!$Y$18:$AG$42,'Introducció dades consum'!K3849+1,0)</f>
        <v>0</v>
      </c>
      <c r="O3849" s="370" cm="1">
        <f t="array" ref="O3849">+_xlfn.SWITCH(MONTH(C3849),1,1,2,1,3,1,4,2,5,2,6,3,7,3,8,3,9,3,10,2,11,2,12,1,2)</f>
        <v>1</v>
      </c>
      <c r="P3849" s="43"/>
    </row>
    <row r="3850" spans="1:16" ht="18" x14ac:dyDescent="0.35">
      <c r="A3850" s="43"/>
      <c r="C3850" s="393"/>
      <c r="E3850" s="394"/>
      <c r="F3850" s="394">
        <v>0.747</v>
      </c>
      <c r="G3850" s="394"/>
      <c r="H3850" s="8" t="s">
        <v>235</v>
      </c>
      <c r="I3850" s="368">
        <f t="shared" si="181"/>
        <v>0</v>
      </c>
      <c r="J3850" s="365">
        <f t="shared" si="180"/>
        <v>0</v>
      </c>
      <c r="K3850" s="369">
        <f t="shared" si="182"/>
        <v>6</v>
      </c>
      <c r="L3850" s="369">
        <f>+IF((C3850&gt;='Resultats - informe'!$E$16)*(C3850&lt;='Resultats - informe'!$G$16),1,0)</f>
        <v>1</v>
      </c>
      <c r="M3850" s="369" cm="1">
        <f t="array" ref="M3850">+_xlfn.IFS((C3850&gt;='Resultats - informe'!$D$26)*(C3850&lt;='Resultats - informe'!$E$26),0,(C3850&gt;='Resultats - informe'!$D$27)*(C3850&lt;='Resultats - informe'!$E$27),0,(C3850&gt;='Resultats - informe'!$D$28)*(C3850&lt;='Resultats - informe'!$E$28),0,(C3850&gt;='Resultats - informe'!$D$29)*(C3850&lt;='Resultats - informe'!$E$29),0,1,1)</f>
        <v>0</v>
      </c>
      <c r="N3850" s="366">
        <f>+VLOOKUP(D3850,'Resultats - informe'!$Y$18:$AG$42,'Introducció dades consum'!K3850+1,0)</f>
        <v>0</v>
      </c>
      <c r="O3850" s="370" cm="1">
        <f t="array" ref="O3850">+_xlfn.SWITCH(MONTH(C3850),1,1,2,1,3,1,4,2,5,2,6,3,7,3,8,3,9,3,10,2,11,2,12,1,2)</f>
        <v>1</v>
      </c>
      <c r="P3850" s="43"/>
    </row>
    <row r="3851" spans="1:16" ht="18" x14ac:dyDescent="0.35">
      <c r="A3851" s="43"/>
      <c r="C3851" s="393"/>
      <c r="E3851" s="394"/>
      <c r="F3851" s="394">
        <v>1.2290000000000001</v>
      </c>
      <c r="G3851" s="394"/>
      <c r="H3851" s="8" t="s">
        <v>235</v>
      </c>
      <c r="I3851" s="368">
        <f t="shared" si="181"/>
        <v>0</v>
      </c>
      <c r="J3851" s="365">
        <f t="shared" si="180"/>
        <v>0</v>
      </c>
      <c r="K3851" s="369">
        <f t="shared" si="182"/>
        <v>6</v>
      </c>
      <c r="L3851" s="369">
        <f>+IF((C3851&gt;='Resultats - informe'!$E$16)*(C3851&lt;='Resultats - informe'!$G$16),1,0)</f>
        <v>1</v>
      </c>
      <c r="M3851" s="369" cm="1">
        <f t="array" ref="M3851">+_xlfn.IFS((C3851&gt;='Resultats - informe'!$D$26)*(C3851&lt;='Resultats - informe'!$E$26),0,(C3851&gt;='Resultats - informe'!$D$27)*(C3851&lt;='Resultats - informe'!$E$27),0,(C3851&gt;='Resultats - informe'!$D$28)*(C3851&lt;='Resultats - informe'!$E$28),0,(C3851&gt;='Resultats - informe'!$D$29)*(C3851&lt;='Resultats - informe'!$E$29),0,1,1)</f>
        <v>0</v>
      </c>
      <c r="N3851" s="366">
        <f>+VLOOKUP(D3851,'Resultats - informe'!$Y$18:$AG$42,'Introducció dades consum'!K3851+1,0)</f>
        <v>0</v>
      </c>
      <c r="O3851" s="370" cm="1">
        <f t="array" ref="O3851">+_xlfn.SWITCH(MONTH(C3851),1,1,2,1,3,1,4,2,5,2,6,3,7,3,8,3,9,3,10,2,11,2,12,1,2)</f>
        <v>1</v>
      </c>
      <c r="P3851" s="43"/>
    </row>
    <row r="3852" spans="1:16" ht="18" x14ac:dyDescent="0.35">
      <c r="A3852" s="43"/>
      <c r="C3852" s="393"/>
      <c r="E3852" s="394"/>
      <c r="F3852" s="394">
        <v>2.8029999999999999</v>
      </c>
      <c r="G3852" s="394"/>
      <c r="H3852" s="8" t="s">
        <v>235</v>
      </c>
      <c r="I3852" s="368">
        <f t="shared" si="181"/>
        <v>0</v>
      </c>
      <c r="J3852" s="365">
        <f t="shared" si="180"/>
        <v>0</v>
      </c>
      <c r="K3852" s="369">
        <f t="shared" si="182"/>
        <v>6</v>
      </c>
      <c r="L3852" s="369">
        <f>+IF((C3852&gt;='Resultats - informe'!$E$16)*(C3852&lt;='Resultats - informe'!$G$16),1,0)</f>
        <v>1</v>
      </c>
      <c r="M3852" s="369" cm="1">
        <f t="array" ref="M3852">+_xlfn.IFS((C3852&gt;='Resultats - informe'!$D$26)*(C3852&lt;='Resultats - informe'!$E$26),0,(C3852&gt;='Resultats - informe'!$D$27)*(C3852&lt;='Resultats - informe'!$E$27),0,(C3852&gt;='Resultats - informe'!$D$28)*(C3852&lt;='Resultats - informe'!$E$28),0,(C3852&gt;='Resultats - informe'!$D$29)*(C3852&lt;='Resultats - informe'!$E$29),0,1,1)</f>
        <v>0</v>
      </c>
      <c r="N3852" s="366">
        <f>+VLOOKUP(D3852,'Resultats - informe'!$Y$18:$AG$42,'Introducció dades consum'!K3852+1,0)</f>
        <v>0</v>
      </c>
      <c r="O3852" s="370" cm="1">
        <f t="array" ref="O3852">+_xlfn.SWITCH(MONTH(C3852),1,1,2,1,3,1,4,2,5,2,6,3,7,3,8,3,9,3,10,2,11,2,12,1,2)</f>
        <v>1</v>
      </c>
      <c r="P3852" s="43"/>
    </row>
    <row r="3853" spans="1:16" ht="18" x14ac:dyDescent="0.35">
      <c r="A3853" s="43"/>
      <c r="C3853" s="393"/>
      <c r="E3853" s="394"/>
      <c r="F3853" s="394">
        <v>1.2270000000000001</v>
      </c>
      <c r="G3853" s="394"/>
      <c r="H3853" s="8" t="s">
        <v>61</v>
      </c>
      <c r="I3853" s="368">
        <f t="shared" si="181"/>
        <v>0</v>
      </c>
      <c r="J3853" s="365">
        <f t="shared" si="180"/>
        <v>0</v>
      </c>
      <c r="K3853" s="369">
        <f t="shared" si="182"/>
        <v>6</v>
      </c>
      <c r="L3853" s="369">
        <f>+IF((C3853&gt;='Resultats - informe'!$E$16)*(C3853&lt;='Resultats - informe'!$G$16),1,0)</f>
        <v>1</v>
      </c>
      <c r="M3853" s="369" cm="1">
        <f t="array" ref="M3853">+_xlfn.IFS((C3853&gt;='Resultats - informe'!$D$26)*(C3853&lt;='Resultats - informe'!$E$26),0,(C3853&gt;='Resultats - informe'!$D$27)*(C3853&lt;='Resultats - informe'!$E$27),0,(C3853&gt;='Resultats - informe'!$D$28)*(C3853&lt;='Resultats - informe'!$E$28),0,(C3853&gt;='Resultats - informe'!$D$29)*(C3853&lt;='Resultats - informe'!$E$29),0,1,1)</f>
        <v>0</v>
      </c>
      <c r="N3853" s="366">
        <f>+VLOOKUP(D3853,'Resultats - informe'!$Y$18:$AG$42,'Introducció dades consum'!K3853+1,0)</f>
        <v>0</v>
      </c>
      <c r="O3853" s="370" cm="1">
        <f t="array" ref="O3853">+_xlfn.SWITCH(MONTH(C3853),1,1,2,1,3,1,4,2,5,2,6,3,7,3,8,3,9,3,10,2,11,2,12,1,2)</f>
        <v>1</v>
      </c>
      <c r="P3853" s="43"/>
    </row>
    <row r="3854" spans="1:16" ht="18" x14ac:dyDescent="0.35">
      <c r="A3854" s="43"/>
      <c r="C3854" s="393"/>
      <c r="E3854" s="394"/>
      <c r="F3854" s="394">
        <v>4.819</v>
      </c>
      <c r="G3854" s="394"/>
      <c r="H3854" s="8" t="s">
        <v>235</v>
      </c>
      <c r="I3854" s="368">
        <f t="shared" si="181"/>
        <v>0</v>
      </c>
      <c r="J3854" s="365">
        <f t="shared" si="180"/>
        <v>0</v>
      </c>
      <c r="K3854" s="369">
        <f t="shared" si="182"/>
        <v>6</v>
      </c>
      <c r="L3854" s="369">
        <f>+IF((C3854&gt;='Resultats - informe'!$E$16)*(C3854&lt;='Resultats - informe'!$G$16),1,0)</f>
        <v>1</v>
      </c>
      <c r="M3854" s="369" cm="1">
        <f t="array" ref="M3854">+_xlfn.IFS((C3854&gt;='Resultats - informe'!$D$26)*(C3854&lt;='Resultats - informe'!$E$26),0,(C3854&gt;='Resultats - informe'!$D$27)*(C3854&lt;='Resultats - informe'!$E$27),0,(C3854&gt;='Resultats - informe'!$D$28)*(C3854&lt;='Resultats - informe'!$E$28),0,(C3854&gt;='Resultats - informe'!$D$29)*(C3854&lt;='Resultats - informe'!$E$29),0,1,1)</f>
        <v>0</v>
      </c>
      <c r="N3854" s="366">
        <f>+VLOOKUP(D3854,'Resultats - informe'!$Y$18:$AG$42,'Introducció dades consum'!K3854+1,0)</f>
        <v>0</v>
      </c>
      <c r="O3854" s="370" cm="1">
        <f t="array" ref="O3854">+_xlfn.SWITCH(MONTH(C3854),1,1,2,1,3,1,4,2,5,2,6,3,7,3,8,3,9,3,10,2,11,2,12,1,2)</f>
        <v>1</v>
      </c>
      <c r="P3854" s="43"/>
    </row>
    <row r="3855" spans="1:16" ht="18" x14ac:dyDescent="0.35">
      <c r="A3855" s="43"/>
      <c r="C3855" s="393"/>
      <c r="E3855" s="394"/>
      <c r="F3855" s="394">
        <v>5.0709999999999997</v>
      </c>
      <c r="G3855" s="394"/>
      <c r="H3855" s="8" t="s">
        <v>235</v>
      </c>
      <c r="I3855" s="368">
        <f t="shared" si="181"/>
        <v>0</v>
      </c>
      <c r="J3855" s="365">
        <f t="shared" si="180"/>
        <v>0</v>
      </c>
      <c r="K3855" s="369">
        <f t="shared" si="182"/>
        <v>6</v>
      </c>
      <c r="L3855" s="369">
        <f>+IF((C3855&gt;='Resultats - informe'!$E$16)*(C3855&lt;='Resultats - informe'!$G$16),1,0)</f>
        <v>1</v>
      </c>
      <c r="M3855" s="369" cm="1">
        <f t="array" ref="M3855">+_xlfn.IFS((C3855&gt;='Resultats - informe'!$D$26)*(C3855&lt;='Resultats - informe'!$E$26),0,(C3855&gt;='Resultats - informe'!$D$27)*(C3855&lt;='Resultats - informe'!$E$27),0,(C3855&gt;='Resultats - informe'!$D$28)*(C3855&lt;='Resultats - informe'!$E$28),0,(C3855&gt;='Resultats - informe'!$D$29)*(C3855&lt;='Resultats - informe'!$E$29),0,1,1)</f>
        <v>0</v>
      </c>
      <c r="N3855" s="366">
        <f>+VLOOKUP(D3855,'Resultats - informe'!$Y$18:$AG$42,'Introducció dades consum'!K3855+1,0)</f>
        <v>0</v>
      </c>
      <c r="O3855" s="370" cm="1">
        <f t="array" ref="O3855">+_xlfn.SWITCH(MONTH(C3855),1,1,2,1,3,1,4,2,5,2,6,3,7,3,8,3,9,3,10,2,11,2,12,1,2)</f>
        <v>1</v>
      </c>
      <c r="P3855" s="43"/>
    </row>
    <row r="3856" spans="1:16" ht="18" x14ac:dyDescent="0.35">
      <c r="A3856" s="43"/>
      <c r="C3856" s="393"/>
      <c r="E3856" s="394"/>
      <c r="F3856" s="394">
        <v>4.6260000000000003</v>
      </c>
      <c r="G3856" s="394"/>
      <c r="H3856" s="8" t="s">
        <v>235</v>
      </c>
      <c r="I3856" s="368">
        <f t="shared" si="181"/>
        <v>0</v>
      </c>
      <c r="J3856" s="365">
        <f t="shared" si="180"/>
        <v>0</v>
      </c>
      <c r="K3856" s="369">
        <f t="shared" si="182"/>
        <v>6</v>
      </c>
      <c r="L3856" s="369">
        <f>+IF((C3856&gt;='Resultats - informe'!$E$16)*(C3856&lt;='Resultats - informe'!$G$16),1,0)</f>
        <v>1</v>
      </c>
      <c r="M3856" s="369" cm="1">
        <f t="array" ref="M3856">+_xlfn.IFS((C3856&gt;='Resultats - informe'!$D$26)*(C3856&lt;='Resultats - informe'!$E$26),0,(C3856&gt;='Resultats - informe'!$D$27)*(C3856&lt;='Resultats - informe'!$E$27),0,(C3856&gt;='Resultats - informe'!$D$28)*(C3856&lt;='Resultats - informe'!$E$28),0,(C3856&gt;='Resultats - informe'!$D$29)*(C3856&lt;='Resultats - informe'!$E$29),0,1,1)</f>
        <v>0</v>
      </c>
      <c r="N3856" s="366">
        <f>+VLOOKUP(D3856,'Resultats - informe'!$Y$18:$AG$42,'Introducció dades consum'!K3856+1,0)</f>
        <v>0</v>
      </c>
      <c r="O3856" s="370" cm="1">
        <f t="array" ref="O3856">+_xlfn.SWITCH(MONTH(C3856),1,1,2,1,3,1,4,2,5,2,6,3,7,3,8,3,9,3,10,2,11,2,12,1,2)</f>
        <v>1</v>
      </c>
      <c r="P3856" s="43"/>
    </row>
    <row r="3857" spans="1:16" ht="18" x14ac:dyDescent="0.35">
      <c r="A3857" s="43"/>
      <c r="C3857" s="393"/>
      <c r="E3857" s="394"/>
      <c r="F3857" s="394">
        <v>4.0540000000000003</v>
      </c>
      <c r="G3857" s="394"/>
      <c r="H3857" s="8" t="s">
        <v>235</v>
      </c>
      <c r="I3857" s="368">
        <f t="shared" si="181"/>
        <v>0</v>
      </c>
      <c r="J3857" s="365">
        <f t="shared" si="180"/>
        <v>0</v>
      </c>
      <c r="K3857" s="369">
        <f t="shared" si="182"/>
        <v>6</v>
      </c>
      <c r="L3857" s="369">
        <f>+IF((C3857&gt;='Resultats - informe'!$E$16)*(C3857&lt;='Resultats - informe'!$G$16),1,0)</f>
        <v>1</v>
      </c>
      <c r="M3857" s="369" cm="1">
        <f t="array" ref="M3857">+_xlfn.IFS((C3857&gt;='Resultats - informe'!$D$26)*(C3857&lt;='Resultats - informe'!$E$26),0,(C3857&gt;='Resultats - informe'!$D$27)*(C3857&lt;='Resultats - informe'!$E$27),0,(C3857&gt;='Resultats - informe'!$D$28)*(C3857&lt;='Resultats - informe'!$E$28),0,(C3857&gt;='Resultats - informe'!$D$29)*(C3857&lt;='Resultats - informe'!$E$29),0,1,1)</f>
        <v>0</v>
      </c>
      <c r="N3857" s="366">
        <f>+VLOOKUP(D3857,'Resultats - informe'!$Y$18:$AG$42,'Introducció dades consum'!K3857+1,0)</f>
        <v>0</v>
      </c>
      <c r="O3857" s="370" cm="1">
        <f t="array" ref="O3857">+_xlfn.SWITCH(MONTH(C3857),1,1,2,1,3,1,4,2,5,2,6,3,7,3,8,3,9,3,10,2,11,2,12,1,2)</f>
        <v>1</v>
      </c>
      <c r="P3857" s="43"/>
    </row>
    <row r="3858" spans="1:16" ht="18" x14ac:dyDescent="0.35">
      <c r="A3858" s="43"/>
      <c r="C3858" s="393"/>
      <c r="E3858" s="394"/>
      <c r="F3858" s="394">
        <v>2.7949999999999999</v>
      </c>
      <c r="G3858" s="394"/>
      <c r="H3858" s="8" t="s">
        <v>235</v>
      </c>
      <c r="I3858" s="368">
        <f t="shared" si="181"/>
        <v>0</v>
      </c>
      <c r="J3858" s="365">
        <f t="shared" si="180"/>
        <v>0</v>
      </c>
      <c r="K3858" s="369">
        <f t="shared" si="182"/>
        <v>6</v>
      </c>
      <c r="L3858" s="369">
        <f>+IF((C3858&gt;='Resultats - informe'!$E$16)*(C3858&lt;='Resultats - informe'!$G$16),1,0)</f>
        <v>1</v>
      </c>
      <c r="M3858" s="369" cm="1">
        <f t="array" ref="M3858">+_xlfn.IFS((C3858&gt;='Resultats - informe'!$D$26)*(C3858&lt;='Resultats - informe'!$E$26),0,(C3858&gt;='Resultats - informe'!$D$27)*(C3858&lt;='Resultats - informe'!$E$27),0,(C3858&gt;='Resultats - informe'!$D$28)*(C3858&lt;='Resultats - informe'!$E$28),0,(C3858&gt;='Resultats - informe'!$D$29)*(C3858&lt;='Resultats - informe'!$E$29),0,1,1)</f>
        <v>0</v>
      </c>
      <c r="N3858" s="366">
        <f>+VLOOKUP(D3858,'Resultats - informe'!$Y$18:$AG$42,'Introducció dades consum'!K3858+1,0)</f>
        <v>0</v>
      </c>
      <c r="O3858" s="370" cm="1">
        <f t="array" ref="O3858">+_xlfn.SWITCH(MONTH(C3858),1,1,2,1,3,1,4,2,5,2,6,3,7,3,8,3,9,3,10,2,11,2,12,1,2)</f>
        <v>1</v>
      </c>
      <c r="P3858" s="43"/>
    </row>
    <row r="3859" spans="1:16" ht="18" x14ac:dyDescent="0.35">
      <c r="A3859" s="43"/>
      <c r="C3859" s="393"/>
      <c r="E3859" s="394"/>
      <c r="F3859" s="394">
        <v>0.75800000000000001</v>
      </c>
      <c r="G3859" s="394"/>
      <c r="H3859" s="8" t="s">
        <v>235</v>
      </c>
      <c r="I3859" s="368">
        <f t="shared" si="181"/>
        <v>0</v>
      </c>
      <c r="J3859" s="365">
        <f t="shared" si="180"/>
        <v>0</v>
      </c>
      <c r="K3859" s="369">
        <f t="shared" si="182"/>
        <v>6</v>
      </c>
      <c r="L3859" s="369">
        <f>+IF((C3859&gt;='Resultats - informe'!$E$16)*(C3859&lt;='Resultats - informe'!$G$16),1,0)</f>
        <v>1</v>
      </c>
      <c r="M3859" s="369" cm="1">
        <f t="array" ref="M3859">+_xlfn.IFS((C3859&gt;='Resultats - informe'!$D$26)*(C3859&lt;='Resultats - informe'!$E$26),0,(C3859&gt;='Resultats - informe'!$D$27)*(C3859&lt;='Resultats - informe'!$E$27),0,(C3859&gt;='Resultats - informe'!$D$28)*(C3859&lt;='Resultats - informe'!$E$28),0,(C3859&gt;='Resultats - informe'!$D$29)*(C3859&lt;='Resultats - informe'!$E$29),0,1,1)</f>
        <v>0</v>
      </c>
      <c r="N3859" s="366">
        <f>+VLOOKUP(D3859,'Resultats - informe'!$Y$18:$AG$42,'Introducció dades consum'!K3859+1,0)</f>
        <v>0</v>
      </c>
      <c r="O3859" s="370" cm="1">
        <f t="array" ref="O3859">+_xlfn.SWITCH(MONTH(C3859),1,1,2,1,3,1,4,2,5,2,6,3,7,3,8,3,9,3,10,2,11,2,12,1,2)</f>
        <v>1</v>
      </c>
      <c r="P3859" s="43"/>
    </row>
    <row r="3860" spans="1:16" ht="18" x14ac:dyDescent="0.35">
      <c r="A3860" s="43"/>
      <c r="C3860" s="393"/>
      <c r="E3860" s="394"/>
      <c r="F3860" s="394">
        <v>0</v>
      </c>
      <c r="G3860" s="394"/>
      <c r="H3860" s="8" t="s">
        <v>61</v>
      </c>
      <c r="I3860" s="368">
        <f t="shared" si="181"/>
        <v>0</v>
      </c>
      <c r="J3860" s="365">
        <f t="shared" si="180"/>
        <v>0</v>
      </c>
      <c r="K3860" s="369">
        <f t="shared" si="182"/>
        <v>6</v>
      </c>
      <c r="L3860" s="369">
        <f>+IF((C3860&gt;='Resultats - informe'!$E$16)*(C3860&lt;='Resultats - informe'!$G$16),1,0)</f>
        <v>1</v>
      </c>
      <c r="M3860" s="369" cm="1">
        <f t="array" ref="M3860">+_xlfn.IFS((C3860&gt;='Resultats - informe'!$D$26)*(C3860&lt;='Resultats - informe'!$E$26),0,(C3860&gt;='Resultats - informe'!$D$27)*(C3860&lt;='Resultats - informe'!$E$27),0,(C3860&gt;='Resultats - informe'!$D$28)*(C3860&lt;='Resultats - informe'!$E$28),0,(C3860&gt;='Resultats - informe'!$D$29)*(C3860&lt;='Resultats - informe'!$E$29),0,1,1)</f>
        <v>0</v>
      </c>
      <c r="N3860" s="366">
        <f>+VLOOKUP(D3860,'Resultats - informe'!$Y$18:$AG$42,'Introducció dades consum'!K3860+1,0)</f>
        <v>0</v>
      </c>
      <c r="O3860" s="370" cm="1">
        <f t="array" ref="O3860">+_xlfn.SWITCH(MONTH(C3860),1,1,2,1,3,1,4,2,5,2,6,3,7,3,8,3,9,3,10,2,11,2,12,1,2)</f>
        <v>1</v>
      </c>
      <c r="P3860" s="43"/>
    </row>
    <row r="3861" spans="1:16" ht="18" x14ac:dyDescent="0.35">
      <c r="A3861" s="43"/>
      <c r="C3861" s="393"/>
      <c r="E3861" s="394"/>
      <c r="F3861" s="394">
        <v>0</v>
      </c>
      <c r="G3861" s="394"/>
      <c r="H3861" s="8" t="s">
        <v>61</v>
      </c>
      <c r="I3861" s="368">
        <f t="shared" si="181"/>
        <v>0</v>
      </c>
      <c r="J3861" s="365">
        <f t="shared" si="180"/>
        <v>0</v>
      </c>
      <c r="K3861" s="369">
        <f t="shared" si="182"/>
        <v>6</v>
      </c>
      <c r="L3861" s="369">
        <f>+IF((C3861&gt;='Resultats - informe'!$E$16)*(C3861&lt;='Resultats - informe'!$G$16),1,0)</f>
        <v>1</v>
      </c>
      <c r="M3861" s="369" cm="1">
        <f t="array" ref="M3861">+_xlfn.IFS((C3861&gt;='Resultats - informe'!$D$26)*(C3861&lt;='Resultats - informe'!$E$26),0,(C3861&gt;='Resultats - informe'!$D$27)*(C3861&lt;='Resultats - informe'!$E$27),0,(C3861&gt;='Resultats - informe'!$D$28)*(C3861&lt;='Resultats - informe'!$E$28),0,(C3861&gt;='Resultats - informe'!$D$29)*(C3861&lt;='Resultats - informe'!$E$29),0,1,1)</f>
        <v>0</v>
      </c>
      <c r="N3861" s="366">
        <f>+VLOOKUP(D3861,'Resultats - informe'!$Y$18:$AG$42,'Introducció dades consum'!K3861+1,0)</f>
        <v>0</v>
      </c>
      <c r="O3861" s="370" cm="1">
        <f t="array" ref="O3861">+_xlfn.SWITCH(MONTH(C3861),1,1,2,1,3,1,4,2,5,2,6,3,7,3,8,3,9,3,10,2,11,2,12,1,2)</f>
        <v>1</v>
      </c>
      <c r="P3861" s="43"/>
    </row>
    <row r="3862" spans="1:16" ht="18" x14ac:dyDescent="0.35">
      <c r="A3862" s="43"/>
      <c r="C3862" s="393"/>
      <c r="E3862" s="394"/>
      <c r="F3862" s="394">
        <v>0</v>
      </c>
      <c r="G3862" s="394"/>
      <c r="H3862" s="8" t="s">
        <v>61</v>
      </c>
      <c r="I3862" s="368">
        <f t="shared" si="181"/>
        <v>0</v>
      </c>
      <c r="J3862" s="365">
        <f t="shared" si="180"/>
        <v>0</v>
      </c>
      <c r="K3862" s="369">
        <f t="shared" si="182"/>
        <v>6</v>
      </c>
      <c r="L3862" s="369">
        <f>+IF((C3862&gt;='Resultats - informe'!$E$16)*(C3862&lt;='Resultats - informe'!$G$16),1,0)</f>
        <v>1</v>
      </c>
      <c r="M3862" s="369" cm="1">
        <f t="array" ref="M3862">+_xlfn.IFS((C3862&gt;='Resultats - informe'!$D$26)*(C3862&lt;='Resultats - informe'!$E$26),0,(C3862&gt;='Resultats - informe'!$D$27)*(C3862&lt;='Resultats - informe'!$E$27),0,(C3862&gt;='Resultats - informe'!$D$28)*(C3862&lt;='Resultats - informe'!$E$28),0,(C3862&gt;='Resultats - informe'!$D$29)*(C3862&lt;='Resultats - informe'!$E$29),0,1,1)</f>
        <v>0</v>
      </c>
      <c r="N3862" s="366">
        <f>+VLOOKUP(D3862,'Resultats - informe'!$Y$18:$AG$42,'Introducció dades consum'!K3862+1,0)</f>
        <v>0</v>
      </c>
      <c r="O3862" s="370" cm="1">
        <f t="array" ref="O3862">+_xlfn.SWITCH(MONTH(C3862),1,1,2,1,3,1,4,2,5,2,6,3,7,3,8,3,9,3,10,2,11,2,12,1,2)</f>
        <v>1</v>
      </c>
      <c r="P3862" s="43"/>
    </row>
    <row r="3863" spans="1:16" ht="18" x14ac:dyDescent="0.35">
      <c r="A3863" s="43"/>
      <c r="C3863" s="393"/>
      <c r="E3863" s="394"/>
      <c r="F3863" s="394">
        <v>0</v>
      </c>
      <c r="G3863" s="394"/>
      <c r="H3863" s="8" t="s">
        <v>61</v>
      </c>
      <c r="I3863" s="368">
        <f t="shared" si="181"/>
        <v>0</v>
      </c>
      <c r="J3863" s="365">
        <f t="shared" si="180"/>
        <v>0</v>
      </c>
      <c r="K3863" s="369">
        <f t="shared" si="182"/>
        <v>6</v>
      </c>
      <c r="L3863" s="369">
        <f>+IF((C3863&gt;='Resultats - informe'!$E$16)*(C3863&lt;='Resultats - informe'!$G$16),1,0)</f>
        <v>1</v>
      </c>
      <c r="M3863" s="369" cm="1">
        <f t="array" ref="M3863">+_xlfn.IFS((C3863&gt;='Resultats - informe'!$D$26)*(C3863&lt;='Resultats - informe'!$E$26),0,(C3863&gt;='Resultats - informe'!$D$27)*(C3863&lt;='Resultats - informe'!$E$27),0,(C3863&gt;='Resultats - informe'!$D$28)*(C3863&lt;='Resultats - informe'!$E$28),0,(C3863&gt;='Resultats - informe'!$D$29)*(C3863&lt;='Resultats - informe'!$E$29),0,1,1)</f>
        <v>0</v>
      </c>
      <c r="N3863" s="366">
        <f>+VLOOKUP(D3863,'Resultats - informe'!$Y$18:$AG$42,'Introducció dades consum'!K3863+1,0)</f>
        <v>0</v>
      </c>
      <c r="O3863" s="370" cm="1">
        <f t="array" ref="O3863">+_xlfn.SWITCH(MONTH(C3863),1,1,2,1,3,1,4,2,5,2,6,3,7,3,8,3,9,3,10,2,11,2,12,1,2)</f>
        <v>1</v>
      </c>
      <c r="P3863" s="43"/>
    </row>
    <row r="3864" spans="1:16" ht="18" x14ac:dyDescent="0.35">
      <c r="A3864" s="43"/>
      <c r="C3864" s="393"/>
      <c r="E3864" s="394"/>
      <c r="F3864" s="394">
        <v>0</v>
      </c>
      <c r="G3864" s="394"/>
      <c r="H3864" s="8" t="s">
        <v>61</v>
      </c>
      <c r="I3864" s="368">
        <f t="shared" si="181"/>
        <v>0</v>
      </c>
      <c r="J3864" s="365">
        <f t="shared" si="180"/>
        <v>0</v>
      </c>
      <c r="K3864" s="369">
        <f t="shared" si="182"/>
        <v>6</v>
      </c>
      <c r="L3864" s="369">
        <f>+IF((C3864&gt;='Resultats - informe'!$E$16)*(C3864&lt;='Resultats - informe'!$G$16),1,0)</f>
        <v>1</v>
      </c>
      <c r="M3864" s="369" cm="1">
        <f t="array" ref="M3864">+_xlfn.IFS((C3864&gt;='Resultats - informe'!$D$26)*(C3864&lt;='Resultats - informe'!$E$26),0,(C3864&gt;='Resultats - informe'!$D$27)*(C3864&lt;='Resultats - informe'!$E$27),0,(C3864&gt;='Resultats - informe'!$D$28)*(C3864&lt;='Resultats - informe'!$E$28),0,(C3864&gt;='Resultats - informe'!$D$29)*(C3864&lt;='Resultats - informe'!$E$29),0,1,1)</f>
        <v>0</v>
      </c>
      <c r="N3864" s="366">
        <f>+VLOOKUP(D3864,'Resultats - informe'!$Y$18:$AG$42,'Introducció dades consum'!K3864+1,0)</f>
        <v>0</v>
      </c>
      <c r="O3864" s="370" cm="1">
        <f t="array" ref="O3864">+_xlfn.SWITCH(MONTH(C3864),1,1,2,1,3,1,4,2,5,2,6,3,7,3,8,3,9,3,10,2,11,2,12,1,2)</f>
        <v>1</v>
      </c>
      <c r="P3864" s="43"/>
    </row>
    <row r="3865" spans="1:16" ht="18" x14ac:dyDescent="0.35">
      <c r="A3865" s="43"/>
      <c r="C3865" s="393"/>
      <c r="E3865" s="394"/>
      <c r="F3865" s="394">
        <v>0</v>
      </c>
      <c r="G3865" s="394"/>
      <c r="H3865" s="8" t="s">
        <v>61</v>
      </c>
      <c r="I3865" s="368">
        <f t="shared" si="181"/>
        <v>0</v>
      </c>
      <c r="J3865" s="365">
        <f t="shared" si="180"/>
        <v>0</v>
      </c>
      <c r="K3865" s="369">
        <f t="shared" si="182"/>
        <v>6</v>
      </c>
      <c r="L3865" s="369">
        <f>+IF((C3865&gt;='Resultats - informe'!$E$16)*(C3865&lt;='Resultats - informe'!$G$16),1,0)</f>
        <v>1</v>
      </c>
      <c r="M3865" s="369" cm="1">
        <f t="array" ref="M3865">+_xlfn.IFS((C3865&gt;='Resultats - informe'!$D$26)*(C3865&lt;='Resultats - informe'!$E$26),0,(C3865&gt;='Resultats - informe'!$D$27)*(C3865&lt;='Resultats - informe'!$E$27),0,(C3865&gt;='Resultats - informe'!$D$28)*(C3865&lt;='Resultats - informe'!$E$28),0,(C3865&gt;='Resultats - informe'!$D$29)*(C3865&lt;='Resultats - informe'!$E$29),0,1,1)</f>
        <v>0</v>
      </c>
      <c r="N3865" s="366">
        <f>+VLOOKUP(D3865,'Resultats - informe'!$Y$18:$AG$42,'Introducció dades consum'!K3865+1,0)</f>
        <v>0</v>
      </c>
      <c r="O3865" s="370" cm="1">
        <f t="array" ref="O3865">+_xlfn.SWITCH(MONTH(C3865),1,1,2,1,3,1,4,2,5,2,6,3,7,3,8,3,9,3,10,2,11,2,12,1,2)</f>
        <v>1</v>
      </c>
      <c r="P3865" s="43"/>
    </row>
    <row r="3866" spans="1:16" ht="18" x14ac:dyDescent="0.35">
      <c r="A3866" s="43"/>
      <c r="C3866" s="393"/>
      <c r="E3866" s="394"/>
      <c r="F3866" s="394">
        <v>0</v>
      </c>
      <c r="G3866" s="394"/>
      <c r="H3866" s="8" t="s">
        <v>235</v>
      </c>
      <c r="I3866" s="368">
        <f t="shared" si="181"/>
        <v>0</v>
      </c>
      <c r="J3866" s="365">
        <f t="shared" si="180"/>
        <v>0</v>
      </c>
      <c r="K3866" s="369">
        <f t="shared" si="182"/>
        <v>6</v>
      </c>
      <c r="L3866" s="369">
        <f>+IF((C3866&gt;='Resultats - informe'!$E$16)*(C3866&lt;='Resultats - informe'!$G$16),1,0)</f>
        <v>1</v>
      </c>
      <c r="M3866" s="369" cm="1">
        <f t="array" ref="M3866">+_xlfn.IFS((C3866&gt;='Resultats - informe'!$D$26)*(C3866&lt;='Resultats - informe'!$E$26),0,(C3866&gt;='Resultats - informe'!$D$27)*(C3866&lt;='Resultats - informe'!$E$27),0,(C3866&gt;='Resultats - informe'!$D$28)*(C3866&lt;='Resultats - informe'!$E$28),0,(C3866&gt;='Resultats - informe'!$D$29)*(C3866&lt;='Resultats - informe'!$E$29),0,1,1)</f>
        <v>0</v>
      </c>
      <c r="N3866" s="366">
        <f>+VLOOKUP(D3866,'Resultats - informe'!$Y$18:$AG$42,'Introducció dades consum'!K3866+1,0)</f>
        <v>0</v>
      </c>
      <c r="O3866" s="370" cm="1">
        <f t="array" ref="O3866">+_xlfn.SWITCH(MONTH(C3866),1,1,2,1,3,1,4,2,5,2,6,3,7,3,8,3,9,3,10,2,11,2,12,1,2)</f>
        <v>1</v>
      </c>
      <c r="P3866" s="43"/>
    </row>
    <row r="3867" spans="1:16" ht="18" x14ac:dyDescent="0.35">
      <c r="A3867" s="43"/>
      <c r="C3867" s="393"/>
      <c r="E3867" s="394"/>
      <c r="F3867" s="394">
        <v>0</v>
      </c>
      <c r="G3867" s="394"/>
      <c r="H3867" s="8" t="s">
        <v>235</v>
      </c>
      <c r="I3867" s="368">
        <f t="shared" si="181"/>
        <v>0</v>
      </c>
      <c r="J3867" s="365">
        <f t="shared" si="180"/>
        <v>0</v>
      </c>
      <c r="K3867" s="369">
        <f t="shared" si="182"/>
        <v>6</v>
      </c>
      <c r="L3867" s="369">
        <f>+IF((C3867&gt;='Resultats - informe'!$E$16)*(C3867&lt;='Resultats - informe'!$G$16),1,0)</f>
        <v>1</v>
      </c>
      <c r="M3867" s="369" cm="1">
        <f t="array" ref="M3867">+_xlfn.IFS((C3867&gt;='Resultats - informe'!$D$26)*(C3867&lt;='Resultats - informe'!$E$26),0,(C3867&gt;='Resultats - informe'!$D$27)*(C3867&lt;='Resultats - informe'!$E$27),0,(C3867&gt;='Resultats - informe'!$D$28)*(C3867&lt;='Resultats - informe'!$E$28),0,(C3867&gt;='Resultats - informe'!$D$29)*(C3867&lt;='Resultats - informe'!$E$29),0,1,1)</f>
        <v>0</v>
      </c>
      <c r="N3867" s="366">
        <f>+VLOOKUP(D3867,'Resultats - informe'!$Y$18:$AG$42,'Introducció dades consum'!K3867+1,0)</f>
        <v>0</v>
      </c>
      <c r="O3867" s="370" cm="1">
        <f t="array" ref="O3867">+_xlfn.SWITCH(MONTH(C3867),1,1,2,1,3,1,4,2,5,2,6,3,7,3,8,3,9,3,10,2,11,2,12,1,2)</f>
        <v>1</v>
      </c>
      <c r="P3867" s="43"/>
    </row>
    <row r="3868" spans="1:16" ht="18" x14ac:dyDescent="0.35">
      <c r="A3868" s="43"/>
      <c r="C3868" s="393"/>
      <c r="E3868" s="394"/>
      <c r="F3868" s="394">
        <v>0</v>
      </c>
      <c r="G3868" s="394"/>
      <c r="H3868" s="8" t="s">
        <v>61</v>
      </c>
      <c r="I3868" s="368">
        <f t="shared" si="181"/>
        <v>0</v>
      </c>
      <c r="J3868" s="365">
        <f t="shared" si="180"/>
        <v>0</v>
      </c>
      <c r="K3868" s="369">
        <f t="shared" si="182"/>
        <v>6</v>
      </c>
      <c r="L3868" s="369">
        <f>+IF((C3868&gt;='Resultats - informe'!$E$16)*(C3868&lt;='Resultats - informe'!$G$16),1,0)</f>
        <v>1</v>
      </c>
      <c r="M3868" s="369" cm="1">
        <f t="array" ref="M3868">+_xlfn.IFS((C3868&gt;='Resultats - informe'!$D$26)*(C3868&lt;='Resultats - informe'!$E$26),0,(C3868&gt;='Resultats - informe'!$D$27)*(C3868&lt;='Resultats - informe'!$E$27),0,(C3868&gt;='Resultats - informe'!$D$28)*(C3868&lt;='Resultats - informe'!$E$28),0,(C3868&gt;='Resultats - informe'!$D$29)*(C3868&lt;='Resultats - informe'!$E$29),0,1,1)</f>
        <v>0</v>
      </c>
      <c r="N3868" s="366">
        <f>+VLOOKUP(D3868,'Resultats - informe'!$Y$18:$AG$42,'Introducció dades consum'!K3868+1,0)</f>
        <v>0</v>
      </c>
      <c r="O3868" s="370" cm="1">
        <f t="array" ref="O3868">+_xlfn.SWITCH(MONTH(C3868),1,1,2,1,3,1,4,2,5,2,6,3,7,3,8,3,9,3,10,2,11,2,12,1,2)</f>
        <v>1</v>
      </c>
      <c r="P3868" s="43"/>
    </row>
    <row r="3869" spans="1:16" ht="18" x14ac:dyDescent="0.35">
      <c r="A3869" s="43"/>
      <c r="C3869" s="393"/>
      <c r="E3869" s="394"/>
      <c r="F3869" s="394">
        <v>0</v>
      </c>
      <c r="G3869" s="394"/>
      <c r="H3869" s="8" t="s">
        <v>61</v>
      </c>
      <c r="I3869" s="368">
        <f t="shared" si="181"/>
        <v>0</v>
      </c>
      <c r="J3869" s="365">
        <f t="shared" si="180"/>
        <v>0</v>
      </c>
      <c r="K3869" s="369">
        <f t="shared" si="182"/>
        <v>6</v>
      </c>
      <c r="L3869" s="369">
        <f>+IF((C3869&gt;='Resultats - informe'!$E$16)*(C3869&lt;='Resultats - informe'!$G$16),1,0)</f>
        <v>1</v>
      </c>
      <c r="M3869" s="369" cm="1">
        <f t="array" ref="M3869">+_xlfn.IFS((C3869&gt;='Resultats - informe'!$D$26)*(C3869&lt;='Resultats - informe'!$E$26),0,(C3869&gt;='Resultats - informe'!$D$27)*(C3869&lt;='Resultats - informe'!$E$27),0,(C3869&gt;='Resultats - informe'!$D$28)*(C3869&lt;='Resultats - informe'!$E$28),0,(C3869&gt;='Resultats - informe'!$D$29)*(C3869&lt;='Resultats - informe'!$E$29),0,1,1)</f>
        <v>0</v>
      </c>
      <c r="N3869" s="366">
        <f>+VLOOKUP(D3869,'Resultats - informe'!$Y$18:$AG$42,'Introducció dades consum'!K3869+1,0)</f>
        <v>0</v>
      </c>
      <c r="O3869" s="370" cm="1">
        <f t="array" ref="O3869">+_xlfn.SWITCH(MONTH(C3869),1,1,2,1,3,1,4,2,5,2,6,3,7,3,8,3,9,3,10,2,11,2,12,1,2)</f>
        <v>1</v>
      </c>
      <c r="P3869" s="43"/>
    </row>
    <row r="3870" spans="1:16" ht="18" x14ac:dyDescent="0.35">
      <c r="A3870" s="43"/>
      <c r="C3870" s="393"/>
      <c r="E3870" s="394"/>
      <c r="F3870" s="394">
        <v>0</v>
      </c>
      <c r="G3870" s="394"/>
      <c r="H3870" s="8" t="s">
        <v>235</v>
      </c>
      <c r="I3870" s="368">
        <f t="shared" si="181"/>
        <v>0</v>
      </c>
      <c r="J3870" s="365">
        <f t="shared" si="180"/>
        <v>0</v>
      </c>
      <c r="K3870" s="369">
        <f t="shared" si="182"/>
        <v>6</v>
      </c>
      <c r="L3870" s="369">
        <f>+IF((C3870&gt;='Resultats - informe'!$E$16)*(C3870&lt;='Resultats - informe'!$G$16),1,0)</f>
        <v>1</v>
      </c>
      <c r="M3870" s="369" cm="1">
        <f t="array" ref="M3870">+_xlfn.IFS((C3870&gt;='Resultats - informe'!$D$26)*(C3870&lt;='Resultats - informe'!$E$26),0,(C3870&gt;='Resultats - informe'!$D$27)*(C3870&lt;='Resultats - informe'!$E$27),0,(C3870&gt;='Resultats - informe'!$D$28)*(C3870&lt;='Resultats - informe'!$E$28),0,(C3870&gt;='Resultats - informe'!$D$29)*(C3870&lt;='Resultats - informe'!$E$29),0,1,1)</f>
        <v>0</v>
      </c>
      <c r="N3870" s="366">
        <f>+VLOOKUP(D3870,'Resultats - informe'!$Y$18:$AG$42,'Introducció dades consum'!K3870+1,0)</f>
        <v>0</v>
      </c>
      <c r="O3870" s="370" cm="1">
        <f t="array" ref="O3870">+_xlfn.SWITCH(MONTH(C3870),1,1,2,1,3,1,4,2,5,2,6,3,7,3,8,3,9,3,10,2,11,2,12,1,2)</f>
        <v>1</v>
      </c>
      <c r="P3870" s="43"/>
    </row>
    <row r="3871" spans="1:16" ht="18" x14ac:dyDescent="0.35">
      <c r="A3871" s="43"/>
      <c r="C3871" s="393"/>
      <c r="E3871" s="394"/>
      <c r="F3871" s="394">
        <v>0</v>
      </c>
      <c r="G3871" s="394"/>
      <c r="H3871" s="8" t="s">
        <v>235</v>
      </c>
      <c r="I3871" s="368">
        <f t="shared" si="181"/>
        <v>0</v>
      </c>
      <c r="J3871" s="365">
        <f t="shared" si="180"/>
        <v>0</v>
      </c>
      <c r="K3871" s="369">
        <f t="shared" si="182"/>
        <v>6</v>
      </c>
      <c r="L3871" s="369">
        <f>+IF((C3871&gt;='Resultats - informe'!$E$16)*(C3871&lt;='Resultats - informe'!$G$16),1,0)</f>
        <v>1</v>
      </c>
      <c r="M3871" s="369" cm="1">
        <f t="array" ref="M3871">+_xlfn.IFS((C3871&gt;='Resultats - informe'!$D$26)*(C3871&lt;='Resultats - informe'!$E$26),0,(C3871&gt;='Resultats - informe'!$D$27)*(C3871&lt;='Resultats - informe'!$E$27),0,(C3871&gt;='Resultats - informe'!$D$28)*(C3871&lt;='Resultats - informe'!$E$28),0,(C3871&gt;='Resultats - informe'!$D$29)*(C3871&lt;='Resultats - informe'!$E$29),0,1,1)</f>
        <v>0</v>
      </c>
      <c r="N3871" s="366">
        <f>+VLOOKUP(D3871,'Resultats - informe'!$Y$18:$AG$42,'Introducció dades consum'!K3871+1,0)</f>
        <v>0</v>
      </c>
      <c r="O3871" s="370" cm="1">
        <f t="array" ref="O3871">+_xlfn.SWITCH(MONTH(C3871),1,1,2,1,3,1,4,2,5,2,6,3,7,3,8,3,9,3,10,2,11,2,12,1,2)</f>
        <v>1</v>
      </c>
      <c r="P3871" s="43"/>
    </row>
    <row r="3872" spans="1:16" ht="18" x14ac:dyDescent="0.35">
      <c r="A3872" s="43"/>
      <c r="C3872" s="393"/>
      <c r="E3872" s="394"/>
      <c r="F3872" s="394">
        <v>0</v>
      </c>
      <c r="G3872" s="394"/>
      <c r="H3872" s="8" t="s">
        <v>235</v>
      </c>
      <c r="I3872" s="368">
        <f t="shared" si="181"/>
        <v>0</v>
      </c>
      <c r="J3872" s="365">
        <f t="shared" si="180"/>
        <v>0</v>
      </c>
      <c r="K3872" s="369">
        <f t="shared" si="182"/>
        <v>6</v>
      </c>
      <c r="L3872" s="369">
        <f>+IF((C3872&gt;='Resultats - informe'!$E$16)*(C3872&lt;='Resultats - informe'!$G$16),1,0)</f>
        <v>1</v>
      </c>
      <c r="M3872" s="369" cm="1">
        <f t="array" ref="M3872">+_xlfn.IFS((C3872&gt;='Resultats - informe'!$D$26)*(C3872&lt;='Resultats - informe'!$E$26),0,(C3872&gt;='Resultats - informe'!$D$27)*(C3872&lt;='Resultats - informe'!$E$27),0,(C3872&gt;='Resultats - informe'!$D$28)*(C3872&lt;='Resultats - informe'!$E$28),0,(C3872&gt;='Resultats - informe'!$D$29)*(C3872&lt;='Resultats - informe'!$E$29),0,1,1)</f>
        <v>0</v>
      </c>
      <c r="N3872" s="366">
        <f>+VLOOKUP(D3872,'Resultats - informe'!$Y$18:$AG$42,'Introducció dades consum'!K3872+1,0)</f>
        <v>0</v>
      </c>
      <c r="O3872" s="370" cm="1">
        <f t="array" ref="O3872">+_xlfn.SWITCH(MONTH(C3872),1,1,2,1,3,1,4,2,5,2,6,3,7,3,8,3,9,3,10,2,11,2,12,1,2)</f>
        <v>1</v>
      </c>
      <c r="P3872" s="43"/>
    </row>
    <row r="3873" spans="1:16" ht="18" x14ac:dyDescent="0.35">
      <c r="A3873" s="43"/>
      <c r="C3873" s="393"/>
      <c r="E3873" s="394"/>
      <c r="F3873" s="394">
        <v>0.20699999999999999</v>
      </c>
      <c r="G3873" s="394"/>
      <c r="H3873" s="8" t="s">
        <v>235</v>
      </c>
      <c r="I3873" s="368">
        <f t="shared" si="181"/>
        <v>0</v>
      </c>
      <c r="J3873" s="365">
        <f t="shared" si="180"/>
        <v>0</v>
      </c>
      <c r="K3873" s="369">
        <f t="shared" si="182"/>
        <v>6</v>
      </c>
      <c r="L3873" s="369">
        <f>+IF((C3873&gt;='Resultats - informe'!$E$16)*(C3873&lt;='Resultats - informe'!$G$16),1,0)</f>
        <v>1</v>
      </c>
      <c r="M3873" s="369" cm="1">
        <f t="array" ref="M3873">+_xlfn.IFS((C3873&gt;='Resultats - informe'!$D$26)*(C3873&lt;='Resultats - informe'!$E$26),0,(C3873&gt;='Resultats - informe'!$D$27)*(C3873&lt;='Resultats - informe'!$E$27),0,(C3873&gt;='Resultats - informe'!$D$28)*(C3873&lt;='Resultats - informe'!$E$28),0,(C3873&gt;='Resultats - informe'!$D$29)*(C3873&lt;='Resultats - informe'!$E$29),0,1,1)</f>
        <v>0</v>
      </c>
      <c r="N3873" s="366">
        <f>+VLOOKUP(D3873,'Resultats - informe'!$Y$18:$AG$42,'Introducció dades consum'!K3873+1,0)</f>
        <v>0</v>
      </c>
      <c r="O3873" s="370" cm="1">
        <f t="array" ref="O3873">+_xlfn.SWITCH(MONTH(C3873),1,1,2,1,3,1,4,2,5,2,6,3,7,3,8,3,9,3,10,2,11,2,12,1,2)</f>
        <v>1</v>
      </c>
      <c r="P3873" s="43"/>
    </row>
    <row r="3874" spans="1:16" ht="18" x14ac:dyDescent="0.35">
      <c r="A3874" s="43"/>
      <c r="C3874" s="393"/>
      <c r="E3874" s="394"/>
      <c r="F3874" s="394">
        <v>0.79900000000000004</v>
      </c>
      <c r="G3874" s="394"/>
      <c r="H3874" s="8" t="s">
        <v>235</v>
      </c>
      <c r="I3874" s="368">
        <f t="shared" si="181"/>
        <v>0</v>
      </c>
      <c r="J3874" s="365">
        <f t="shared" si="180"/>
        <v>0</v>
      </c>
      <c r="K3874" s="369">
        <f t="shared" si="182"/>
        <v>6</v>
      </c>
      <c r="L3874" s="369">
        <f>+IF((C3874&gt;='Resultats - informe'!$E$16)*(C3874&lt;='Resultats - informe'!$G$16),1,0)</f>
        <v>1</v>
      </c>
      <c r="M3874" s="369" cm="1">
        <f t="array" ref="M3874">+_xlfn.IFS((C3874&gt;='Resultats - informe'!$D$26)*(C3874&lt;='Resultats - informe'!$E$26),0,(C3874&gt;='Resultats - informe'!$D$27)*(C3874&lt;='Resultats - informe'!$E$27),0,(C3874&gt;='Resultats - informe'!$D$28)*(C3874&lt;='Resultats - informe'!$E$28),0,(C3874&gt;='Resultats - informe'!$D$29)*(C3874&lt;='Resultats - informe'!$E$29),0,1,1)</f>
        <v>0</v>
      </c>
      <c r="N3874" s="366">
        <f>+VLOOKUP(D3874,'Resultats - informe'!$Y$18:$AG$42,'Introducció dades consum'!K3874+1,0)</f>
        <v>0</v>
      </c>
      <c r="O3874" s="370" cm="1">
        <f t="array" ref="O3874">+_xlfn.SWITCH(MONTH(C3874),1,1,2,1,3,1,4,2,5,2,6,3,7,3,8,3,9,3,10,2,11,2,12,1,2)</f>
        <v>1</v>
      </c>
      <c r="P3874" s="43"/>
    </row>
    <row r="3875" spans="1:16" ht="18" x14ac:dyDescent="0.35">
      <c r="A3875" s="43"/>
      <c r="C3875" s="393"/>
      <c r="E3875" s="394"/>
      <c r="F3875" s="394">
        <v>1.359</v>
      </c>
      <c r="G3875" s="394"/>
      <c r="H3875" s="8" t="s">
        <v>235</v>
      </c>
      <c r="I3875" s="368">
        <f t="shared" si="181"/>
        <v>0</v>
      </c>
      <c r="J3875" s="365">
        <f t="shared" si="180"/>
        <v>0</v>
      </c>
      <c r="K3875" s="369">
        <f t="shared" si="182"/>
        <v>6</v>
      </c>
      <c r="L3875" s="369">
        <f>+IF((C3875&gt;='Resultats - informe'!$E$16)*(C3875&lt;='Resultats - informe'!$G$16),1,0)</f>
        <v>1</v>
      </c>
      <c r="M3875" s="369" cm="1">
        <f t="array" ref="M3875">+_xlfn.IFS((C3875&gt;='Resultats - informe'!$D$26)*(C3875&lt;='Resultats - informe'!$E$26),0,(C3875&gt;='Resultats - informe'!$D$27)*(C3875&lt;='Resultats - informe'!$E$27),0,(C3875&gt;='Resultats - informe'!$D$28)*(C3875&lt;='Resultats - informe'!$E$28),0,(C3875&gt;='Resultats - informe'!$D$29)*(C3875&lt;='Resultats - informe'!$E$29),0,1,1)</f>
        <v>0</v>
      </c>
      <c r="N3875" s="366">
        <f>+VLOOKUP(D3875,'Resultats - informe'!$Y$18:$AG$42,'Introducció dades consum'!K3875+1,0)</f>
        <v>0</v>
      </c>
      <c r="O3875" s="370" cm="1">
        <f t="array" ref="O3875">+_xlfn.SWITCH(MONTH(C3875),1,1,2,1,3,1,4,2,5,2,6,3,7,3,8,3,9,3,10,2,11,2,12,1,2)</f>
        <v>1</v>
      </c>
      <c r="P3875" s="43"/>
    </row>
    <row r="3876" spans="1:16" ht="18" x14ac:dyDescent="0.35">
      <c r="A3876" s="43"/>
      <c r="C3876" s="393"/>
      <c r="E3876" s="394"/>
      <c r="F3876" s="394">
        <v>2.9729999999999999</v>
      </c>
      <c r="G3876" s="394"/>
      <c r="H3876" s="8" t="s">
        <v>235</v>
      </c>
      <c r="I3876" s="368">
        <f t="shared" si="181"/>
        <v>0</v>
      </c>
      <c r="J3876" s="365">
        <f t="shared" si="180"/>
        <v>0</v>
      </c>
      <c r="K3876" s="369">
        <f t="shared" si="182"/>
        <v>6</v>
      </c>
      <c r="L3876" s="369">
        <f>+IF((C3876&gt;='Resultats - informe'!$E$16)*(C3876&lt;='Resultats - informe'!$G$16),1,0)</f>
        <v>1</v>
      </c>
      <c r="M3876" s="369" cm="1">
        <f t="array" ref="M3876">+_xlfn.IFS((C3876&gt;='Resultats - informe'!$D$26)*(C3876&lt;='Resultats - informe'!$E$26),0,(C3876&gt;='Resultats - informe'!$D$27)*(C3876&lt;='Resultats - informe'!$E$27),0,(C3876&gt;='Resultats - informe'!$D$28)*(C3876&lt;='Resultats - informe'!$E$28),0,(C3876&gt;='Resultats - informe'!$D$29)*(C3876&lt;='Resultats - informe'!$E$29),0,1,1)</f>
        <v>0</v>
      </c>
      <c r="N3876" s="366">
        <f>+VLOOKUP(D3876,'Resultats - informe'!$Y$18:$AG$42,'Introducció dades consum'!K3876+1,0)</f>
        <v>0</v>
      </c>
      <c r="O3876" s="370" cm="1">
        <f t="array" ref="O3876">+_xlfn.SWITCH(MONTH(C3876),1,1,2,1,3,1,4,2,5,2,6,3,7,3,8,3,9,3,10,2,11,2,12,1,2)</f>
        <v>1</v>
      </c>
      <c r="P3876" s="43"/>
    </row>
    <row r="3877" spans="1:16" ht="18" x14ac:dyDescent="0.35">
      <c r="A3877" s="43"/>
      <c r="C3877" s="393"/>
      <c r="E3877" s="394"/>
      <c r="F3877" s="394">
        <v>1.4019999999999999</v>
      </c>
      <c r="G3877" s="394"/>
      <c r="H3877" s="8" t="s">
        <v>61</v>
      </c>
      <c r="I3877" s="368">
        <f t="shared" si="181"/>
        <v>0</v>
      </c>
      <c r="J3877" s="365">
        <f t="shared" si="180"/>
        <v>0</v>
      </c>
      <c r="K3877" s="369">
        <f t="shared" si="182"/>
        <v>6</v>
      </c>
      <c r="L3877" s="369">
        <f>+IF((C3877&gt;='Resultats - informe'!$E$16)*(C3877&lt;='Resultats - informe'!$G$16),1,0)</f>
        <v>1</v>
      </c>
      <c r="M3877" s="369" cm="1">
        <f t="array" ref="M3877">+_xlfn.IFS((C3877&gt;='Resultats - informe'!$D$26)*(C3877&lt;='Resultats - informe'!$E$26),0,(C3877&gt;='Resultats - informe'!$D$27)*(C3877&lt;='Resultats - informe'!$E$27),0,(C3877&gt;='Resultats - informe'!$D$28)*(C3877&lt;='Resultats - informe'!$E$28),0,(C3877&gt;='Resultats - informe'!$D$29)*(C3877&lt;='Resultats - informe'!$E$29),0,1,1)</f>
        <v>0</v>
      </c>
      <c r="N3877" s="366">
        <f>+VLOOKUP(D3877,'Resultats - informe'!$Y$18:$AG$42,'Introducció dades consum'!K3877+1,0)</f>
        <v>0</v>
      </c>
      <c r="O3877" s="370" cm="1">
        <f t="array" ref="O3877">+_xlfn.SWITCH(MONTH(C3877),1,1,2,1,3,1,4,2,5,2,6,3,7,3,8,3,9,3,10,2,11,2,12,1,2)</f>
        <v>1</v>
      </c>
      <c r="P3877" s="43"/>
    </row>
    <row r="3878" spans="1:16" ht="18" x14ac:dyDescent="0.35">
      <c r="A3878" s="43"/>
      <c r="C3878" s="393"/>
      <c r="E3878" s="394"/>
      <c r="F3878" s="394">
        <v>3.121</v>
      </c>
      <c r="G3878" s="394"/>
      <c r="H3878" s="8" t="s">
        <v>61</v>
      </c>
      <c r="I3878" s="368">
        <f t="shared" si="181"/>
        <v>0</v>
      </c>
      <c r="J3878" s="365">
        <f t="shared" si="180"/>
        <v>0</v>
      </c>
      <c r="K3878" s="369">
        <f t="shared" si="182"/>
        <v>6</v>
      </c>
      <c r="L3878" s="369">
        <f>+IF((C3878&gt;='Resultats - informe'!$E$16)*(C3878&lt;='Resultats - informe'!$G$16),1,0)</f>
        <v>1</v>
      </c>
      <c r="M3878" s="369" cm="1">
        <f t="array" ref="M3878">+_xlfn.IFS((C3878&gt;='Resultats - informe'!$D$26)*(C3878&lt;='Resultats - informe'!$E$26),0,(C3878&gt;='Resultats - informe'!$D$27)*(C3878&lt;='Resultats - informe'!$E$27),0,(C3878&gt;='Resultats - informe'!$D$28)*(C3878&lt;='Resultats - informe'!$E$28),0,(C3878&gt;='Resultats - informe'!$D$29)*(C3878&lt;='Resultats - informe'!$E$29),0,1,1)</f>
        <v>0</v>
      </c>
      <c r="N3878" s="366">
        <f>+VLOOKUP(D3878,'Resultats - informe'!$Y$18:$AG$42,'Introducció dades consum'!K3878+1,0)</f>
        <v>0</v>
      </c>
      <c r="O3878" s="370" cm="1">
        <f t="array" ref="O3878">+_xlfn.SWITCH(MONTH(C3878),1,1,2,1,3,1,4,2,5,2,6,3,7,3,8,3,9,3,10,2,11,2,12,1,2)</f>
        <v>1</v>
      </c>
      <c r="P3878" s="43"/>
    </row>
    <row r="3879" spans="1:16" ht="18" x14ac:dyDescent="0.35">
      <c r="A3879" s="43"/>
      <c r="C3879" s="393"/>
      <c r="E3879" s="394"/>
      <c r="F3879" s="394">
        <v>4.3600000000000003</v>
      </c>
      <c r="G3879" s="394"/>
      <c r="H3879" s="8" t="s">
        <v>61</v>
      </c>
      <c r="I3879" s="368">
        <f t="shared" si="181"/>
        <v>0</v>
      </c>
      <c r="J3879" s="365">
        <f t="shared" si="180"/>
        <v>0</v>
      </c>
      <c r="K3879" s="369">
        <f t="shared" si="182"/>
        <v>6</v>
      </c>
      <c r="L3879" s="369">
        <f>+IF((C3879&gt;='Resultats - informe'!$E$16)*(C3879&lt;='Resultats - informe'!$G$16),1,0)</f>
        <v>1</v>
      </c>
      <c r="M3879" s="369" cm="1">
        <f t="array" ref="M3879">+_xlfn.IFS((C3879&gt;='Resultats - informe'!$D$26)*(C3879&lt;='Resultats - informe'!$E$26),0,(C3879&gt;='Resultats - informe'!$D$27)*(C3879&lt;='Resultats - informe'!$E$27),0,(C3879&gt;='Resultats - informe'!$D$28)*(C3879&lt;='Resultats - informe'!$E$28),0,(C3879&gt;='Resultats - informe'!$D$29)*(C3879&lt;='Resultats - informe'!$E$29),0,1,1)</f>
        <v>0</v>
      </c>
      <c r="N3879" s="366">
        <f>+VLOOKUP(D3879,'Resultats - informe'!$Y$18:$AG$42,'Introducció dades consum'!K3879+1,0)</f>
        <v>0</v>
      </c>
      <c r="O3879" s="370" cm="1">
        <f t="array" ref="O3879">+_xlfn.SWITCH(MONTH(C3879),1,1,2,1,3,1,4,2,5,2,6,3,7,3,8,3,9,3,10,2,11,2,12,1,2)</f>
        <v>1</v>
      </c>
      <c r="P3879" s="43"/>
    </row>
    <row r="3880" spans="1:16" ht="18" x14ac:dyDescent="0.35">
      <c r="A3880" s="43"/>
      <c r="C3880" s="393"/>
      <c r="E3880" s="394"/>
      <c r="F3880" s="394">
        <v>4.8230000000000004</v>
      </c>
      <c r="G3880" s="394"/>
      <c r="H3880" s="8" t="s">
        <v>235</v>
      </c>
      <c r="I3880" s="368">
        <f t="shared" si="181"/>
        <v>0</v>
      </c>
      <c r="J3880" s="365">
        <f t="shared" si="180"/>
        <v>0</v>
      </c>
      <c r="K3880" s="369">
        <f t="shared" si="182"/>
        <v>6</v>
      </c>
      <c r="L3880" s="369">
        <f>+IF((C3880&gt;='Resultats - informe'!$E$16)*(C3880&lt;='Resultats - informe'!$G$16),1,0)</f>
        <v>1</v>
      </c>
      <c r="M3880" s="369" cm="1">
        <f t="array" ref="M3880">+_xlfn.IFS((C3880&gt;='Resultats - informe'!$D$26)*(C3880&lt;='Resultats - informe'!$E$26),0,(C3880&gt;='Resultats - informe'!$D$27)*(C3880&lt;='Resultats - informe'!$E$27),0,(C3880&gt;='Resultats - informe'!$D$28)*(C3880&lt;='Resultats - informe'!$E$28),0,(C3880&gt;='Resultats - informe'!$D$29)*(C3880&lt;='Resultats - informe'!$E$29),0,1,1)</f>
        <v>0</v>
      </c>
      <c r="N3880" s="366">
        <f>+VLOOKUP(D3880,'Resultats - informe'!$Y$18:$AG$42,'Introducció dades consum'!K3880+1,0)</f>
        <v>0</v>
      </c>
      <c r="O3880" s="370" cm="1">
        <f t="array" ref="O3880">+_xlfn.SWITCH(MONTH(C3880),1,1,2,1,3,1,4,2,5,2,6,3,7,3,8,3,9,3,10,2,11,2,12,1,2)</f>
        <v>1</v>
      </c>
      <c r="P3880" s="43"/>
    </row>
    <row r="3881" spans="1:16" ht="18" x14ac:dyDescent="0.35">
      <c r="A3881" s="43"/>
      <c r="C3881" s="393"/>
      <c r="E3881" s="394"/>
      <c r="F3881" s="394">
        <v>4.1760000000000002</v>
      </c>
      <c r="G3881" s="394"/>
      <c r="H3881" s="8" t="s">
        <v>235</v>
      </c>
      <c r="I3881" s="368">
        <f t="shared" si="181"/>
        <v>0</v>
      </c>
      <c r="J3881" s="365">
        <f t="shared" si="180"/>
        <v>0</v>
      </c>
      <c r="K3881" s="369">
        <f t="shared" si="182"/>
        <v>6</v>
      </c>
      <c r="L3881" s="369">
        <f>+IF((C3881&gt;='Resultats - informe'!$E$16)*(C3881&lt;='Resultats - informe'!$G$16),1,0)</f>
        <v>1</v>
      </c>
      <c r="M3881" s="369" cm="1">
        <f t="array" ref="M3881">+_xlfn.IFS((C3881&gt;='Resultats - informe'!$D$26)*(C3881&lt;='Resultats - informe'!$E$26),0,(C3881&gt;='Resultats - informe'!$D$27)*(C3881&lt;='Resultats - informe'!$E$27),0,(C3881&gt;='Resultats - informe'!$D$28)*(C3881&lt;='Resultats - informe'!$E$28),0,(C3881&gt;='Resultats - informe'!$D$29)*(C3881&lt;='Resultats - informe'!$E$29),0,1,1)</f>
        <v>0</v>
      </c>
      <c r="N3881" s="366">
        <f>+VLOOKUP(D3881,'Resultats - informe'!$Y$18:$AG$42,'Introducció dades consum'!K3881+1,0)</f>
        <v>0</v>
      </c>
      <c r="O3881" s="370" cm="1">
        <f t="array" ref="O3881">+_xlfn.SWITCH(MONTH(C3881),1,1,2,1,3,1,4,2,5,2,6,3,7,3,8,3,9,3,10,2,11,2,12,1,2)</f>
        <v>1</v>
      </c>
      <c r="P3881" s="43"/>
    </row>
    <row r="3882" spans="1:16" ht="18" x14ac:dyDescent="0.35">
      <c r="A3882" s="43"/>
      <c r="C3882" s="393"/>
      <c r="E3882" s="394"/>
      <c r="F3882" s="394">
        <v>5.5759999999999996</v>
      </c>
      <c r="G3882" s="394"/>
      <c r="H3882" s="8" t="s">
        <v>61</v>
      </c>
      <c r="I3882" s="368">
        <f t="shared" si="181"/>
        <v>0</v>
      </c>
      <c r="J3882" s="365">
        <f t="shared" si="180"/>
        <v>0</v>
      </c>
      <c r="K3882" s="369">
        <f t="shared" si="182"/>
        <v>6</v>
      </c>
      <c r="L3882" s="369">
        <f>+IF((C3882&gt;='Resultats - informe'!$E$16)*(C3882&lt;='Resultats - informe'!$G$16),1,0)</f>
        <v>1</v>
      </c>
      <c r="M3882" s="369" cm="1">
        <f t="array" ref="M3882">+_xlfn.IFS((C3882&gt;='Resultats - informe'!$D$26)*(C3882&lt;='Resultats - informe'!$E$26),0,(C3882&gt;='Resultats - informe'!$D$27)*(C3882&lt;='Resultats - informe'!$E$27),0,(C3882&gt;='Resultats - informe'!$D$28)*(C3882&lt;='Resultats - informe'!$E$28),0,(C3882&gt;='Resultats - informe'!$D$29)*(C3882&lt;='Resultats - informe'!$E$29),0,1,1)</f>
        <v>0</v>
      </c>
      <c r="N3882" s="366">
        <f>+VLOOKUP(D3882,'Resultats - informe'!$Y$18:$AG$42,'Introducció dades consum'!K3882+1,0)</f>
        <v>0</v>
      </c>
      <c r="O3882" s="370" cm="1">
        <f t="array" ref="O3882">+_xlfn.SWITCH(MONTH(C3882),1,1,2,1,3,1,4,2,5,2,6,3,7,3,8,3,9,3,10,2,11,2,12,1,2)</f>
        <v>1</v>
      </c>
      <c r="P3882" s="43"/>
    </row>
    <row r="3883" spans="1:16" ht="18" x14ac:dyDescent="0.35">
      <c r="A3883" s="43"/>
      <c r="C3883" s="393"/>
      <c r="E3883" s="394"/>
      <c r="F3883" s="394">
        <v>5.9420000000000002</v>
      </c>
      <c r="G3883" s="394"/>
      <c r="H3883" s="8" t="s">
        <v>61</v>
      </c>
      <c r="I3883" s="368">
        <f t="shared" si="181"/>
        <v>0</v>
      </c>
      <c r="J3883" s="365">
        <f t="shared" si="180"/>
        <v>0</v>
      </c>
      <c r="K3883" s="369">
        <f t="shared" si="182"/>
        <v>6</v>
      </c>
      <c r="L3883" s="369">
        <f>+IF((C3883&gt;='Resultats - informe'!$E$16)*(C3883&lt;='Resultats - informe'!$G$16),1,0)</f>
        <v>1</v>
      </c>
      <c r="M3883" s="369" cm="1">
        <f t="array" ref="M3883">+_xlfn.IFS((C3883&gt;='Resultats - informe'!$D$26)*(C3883&lt;='Resultats - informe'!$E$26),0,(C3883&gt;='Resultats - informe'!$D$27)*(C3883&lt;='Resultats - informe'!$E$27),0,(C3883&gt;='Resultats - informe'!$D$28)*(C3883&lt;='Resultats - informe'!$E$28),0,(C3883&gt;='Resultats - informe'!$D$29)*(C3883&lt;='Resultats - informe'!$E$29),0,1,1)</f>
        <v>0</v>
      </c>
      <c r="N3883" s="366">
        <f>+VLOOKUP(D3883,'Resultats - informe'!$Y$18:$AG$42,'Introducció dades consum'!K3883+1,0)</f>
        <v>0</v>
      </c>
      <c r="O3883" s="370" cm="1">
        <f t="array" ref="O3883">+_xlfn.SWITCH(MONTH(C3883),1,1,2,1,3,1,4,2,5,2,6,3,7,3,8,3,9,3,10,2,11,2,12,1,2)</f>
        <v>1</v>
      </c>
      <c r="P3883" s="43"/>
    </row>
    <row r="3884" spans="1:16" ht="18" x14ac:dyDescent="0.35">
      <c r="A3884" s="43"/>
      <c r="C3884" s="393"/>
      <c r="E3884" s="394"/>
      <c r="F3884" s="394">
        <v>1.4059999999999999</v>
      </c>
      <c r="G3884" s="394"/>
      <c r="H3884" s="8" t="s">
        <v>235</v>
      </c>
      <c r="I3884" s="368">
        <f t="shared" si="181"/>
        <v>0</v>
      </c>
      <c r="J3884" s="365">
        <f t="shared" si="180"/>
        <v>0</v>
      </c>
      <c r="K3884" s="369">
        <f t="shared" si="182"/>
        <v>6</v>
      </c>
      <c r="L3884" s="369">
        <f>+IF((C3884&gt;='Resultats - informe'!$E$16)*(C3884&lt;='Resultats - informe'!$G$16),1,0)</f>
        <v>1</v>
      </c>
      <c r="M3884" s="369" cm="1">
        <f t="array" ref="M3884">+_xlfn.IFS((C3884&gt;='Resultats - informe'!$D$26)*(C3884&lt;='Resultats - informe'!$E$26),0,(C3884&gt;='Resultats - informe'!$D$27)*(C3884&lt;='Resultats - informe'!$E$27),0,(C3884&gt;='Resultats - informe'!$D$28)*(C3884&lt;='Resultats - informe'!$E$28),0,(C3884&gt;='Resultats - informe'!$D$29)*(C3884&lt;='Resultats - informe'!$E$29),0,1,1)</f>
        <v>0</v>
      </c>
      <c r="N3884" s="366">
        <f>+VLOOKUP(D3884,'Resultats - informe'!$Y$18:$AG$42,'Introducció dades consum'!K3884+1,0)</f>
        <v>0</v>
      </c>
      <c r="O3884" s="370" cm="1">
        <f t="array" ref="O3884">+_xlfn.SWITCH(MONTH(C3884),1,1,2,1,3,1,4,2,5,2,6,3,7,3,8,3,9,3,10,2,11,2,12,1,2)</f>
        <v>1</v>
      </c>
      <c r="P3884" s="43"/>
    </row>
    <row r="3885" spans="1:16" ht="18" x14ac:dyDescent="0.35">
      <c r="A3885" s="43"/>
      <c r="C3885" s="393"/>
      <c r="E3885" s="394"/>
      <c r="F3885" s="394">
        <v>0.28199999999999997</v>
      </c>
      <c r="G3885" s="394"/>
      <c r="H3885" s="8" t="s">
        <v>235</v>
      </c>
      <c r="I3885" s="368">
        <f t="shared" si="181"/>
        <v>0</v>
      </c>
      <c r="J3885" s="365">
        <f t="shared" si="180"/>
        <v>0</v>
      </c>
      <c r="K3885" s="369">
        <f t="shared" si="182"/>
        <v>6</v>
      </c>
      <c r="L3885" s="369">
        <f>+IF((C3885&gt;='Resultats - informe'!$E$16)*(C3885&lt;='Resultats - informe'!$G$16),1,0)</f>
        <v>1</v>
      </c>
      <c r="M3885" s="369" cm="1">
        <f t="array" ref="M3885">+_xlfn.IFS((C3885&gt;='Resultats - informe'!$D$26)*(C3885&lt;='Resultats - informe'!$E$26),0,(C3885&gt;='Resultats - informe'!$D$27)*(C3885&lt;='Resultats - informe'!$E$27),0,(C3885&gt;='Resultats - informe'!$D$28)*(C3885&lt;='Resultats - informe'!$E$28),0,(C3885&gt;='Resultats - informe'!$D$29)*(C3885&lt;='Resultats - informe'!$E$29),0,1,1)</f>
        <v>0</v>
      </c>
      <c r="N3885" s="366">
        <f>+VLOOKUP(D3885,'Resultats - informe'!$Y$18:$AG$42,'Introducció dades consum'!K3885+1,0)</f>
        <v>0</v>
      </c>
      <c r="O3885" s="370" cm="1">
        <f t="array" ref="O3885">+_xlfn.SWITCH(MONTH(C3885),1,1,2,1,3,1,4,2,5,2,6,3,7,3,8,3,9,3,10,2,11,2,12,1,2)</f>
        <v>1</v>
      </c>
      <c r="P3885" s="43"/>
    </row>
    <row r="3886" spans="1:16" ht="18" x14ac:dyDescent="0.35">
      <c r="A3886" s="43"/>
      <c r="C3886" s="393"/>
      <c r="E3886" s="394"/>
      <c r="F3886" s="394">
        <v>0</v>
      </c>
      <c r="G3886" s="394"/>
      <c r="H3886" s="8" t="s">
        <v>235</v>
      </c>
      <c r="I3886" s="368">
        <f t="shared" si="181"/>
        <v>0</v>
      </c>
      <c r="J3886" s="365">
        <f t="shared" si="180"/>
        <v>0</v>
      </c>
      <c r="K3886" s="369">
        <f t="shared" si="182"/>
        <v>6</v>
      </c>
      <c r="L3886" s="369">
        <f>+IF((C3886&gt;='Resultats - informe'!$E$16)*(C3886&lt;='Resultats - informe'!$G$16),1,0)</f>
        <v>1</v>
      </c>
      <c r="M3886" s="369" cm="1">
        <f t="array" ref="M3886">+_xlfn.IFS((C3886&gt;='Resultats - informe'!$D$26)*(C3886&lt;='Resultats - informe'!$E$26),0,(C3886&gt;='Resultats - informe'!$D$27)*(C3886&lt;='Resultats - informe'!$E$27),0,(C3886&gt;='Resultats - informe'!$D$28)*(C3886&lt;='Resultats - informe'!$E$28),0,(C3886&gt;='Resultats - informe'!$D$29)*(C3886&lt;='Resultats - informe'!$E$29),0,1,1)</f>
        <v>0</v>
      </c>
      <c r="N3886" s="366">
        <f>+VLOOKUP(D3886,'Resultats - informe'!$Y$18:$AG$42,'Introducció dades consum'!K3886+1,0)</f>
        <v>0</v>
      </c>
      <c r="O3886" s="370" cm="1">
        <f t="array" ref="O3886">+_xlfn.SWITCH(MONTH(C3886),1,1,2,1,3,1,4,2,5,2,6,3,7,3,8,3,9,3,10,2,11,2,12,1,2)</f>
        <v>1</v>
      </c>
      <c r="P3886" s="43"/>
    </row>
    <row r="3887" spans="1:16" ht="18" x14ac:dyDescent="0.35">
      <c r="A3887" s="43"/>
      <c r="C3887" s="393"/>
      <c r="E3887" s="394"/>
      <c r="F3887" s="394">
        <v>0</v>
      </c>
      <c r="G3887" s="394"/>
      <c r="H3887" s="8" t="s">
        <v>235</v>
      </c>
      <c r="I3887" s="368">
        <f t="shared" si="181"/>
        <v>0</v>
      </c>
      <c r="J3887" s="365">
        <f t="shared" si="180"/>
        <v>0</v>
      </c>
      <c r="K3887" s="369">
        <f t="shared" si="182"/>
        <v>6</v>
      </c>
      <c r="L3887" s="369">
        <f>+IF((C3887&gt;='Resultats - informe'!$E$16)*(C3887&lt;='Resultats - informe'!$G$16),1,0)</f>
        <v>1</v>
      </c>
      <c r="M3887" s="369" cm="1">
        <f t="array" ref="M3887">+_xlfn.IFS((C3887&gt;='Resultats - informe'!$D$26)*(C3887&lt;='Resultats - informe'!$E$26),0,(C3887&gt;='Resultats - informe'!$D$27)*(C3887&lt;='Resultats - informe'!$E$27),0,(C3887&gt;='Resultats - informe'!$D$28)*(C3887&lt;='Resultats - informe'!$E$28),0,(C3887&gt;='Resultats - informe'!$D$29)*(C3887&lt;='Resultats - informe'!$E$29),0,1,1)</f>
        <v>0</v>
      </c>
      <c r="N3887" s="366">
        <f>+VLOOKUP(D3887,'Resultats - informe'!$Y$18:$AG$42,'Introducció dades consum'!K3887+1,0)</f>
        <v>0</v>
      </c>
      <c r="O3887" s="370" cm="1">
        <f t="array" ref="O3887">+_xlfn.SWITCH(MONTH(C3887),1,1,2,1,3,1,4,2,5,2,6,3,7,3,8,3,9,3,10,2,11,2,12,1,2)</f>
        <v>1</v>
      </c>
      <c r="P3887" s="43"/>
    </row>
    <row r="3888" spans="1:16" ht="18" x14ac:dyDescent="0.35">
      <c r="A3888" s="43"/>
      <c r="C3888" s="393"/>
      <c r="E3888" s="394"/>
      <c r="F3888" s="394">
        <v>0</v>
      </c>
      <c r="G3888" s="394"/>
      <c r="H3888" s="8" t="s">
        <v>235</v>
      </c>
      <c r="I3888" s="368">
        <f t="shared" si="181"/>
        <v>0</v>
      </c>
      <c r="J3888" s="365">
        <f t="shared" si="180"/>
        <v>0</v>
      </c>
      <c r="K3888" s="369">
        <f t="shared" si="182"/>
        <v>6</v>
      </c>
      <c r="L3888" s="369">
        <f>+IF((C3888&gt;='Resultats - informe'!$E$16)*(C3888&lt;='Resultats - informe'!$G$16),1,0)</f>
        <v>1</v>
      </c>
      <c r="M3888" s="369" cm="1">
        <f t="array" ref="M3888">+_xlfn.IFS((C3888&gt;='Resultats - informe'!$D$26)*(C3888&lt;='Resultats - informe'!$E$26),0,(C3888&gt;='Resultats - informe'!$D$27)*(C3888&lt;='Resultats - informe'!$E$27),0,(C3888&gt;='Resultats - informe'!$D$28)*(C3888&lt;='Resultats - informe'!$E$28),0,(C3888&gt;='Resultats - informe'!$D$29)*(C3888&lt;='Resultats - informe'!$E$29),0,1,1)</f>
        <v>0</v>
      </c>
      <c r="N3888" s="366">
        <f>+VLOOKUP(D3888,'Resultats - informe'!$Y$18:$AG$42,'Introducció dades consum'!K3888+1,0)</f>
        <v>0</v>
      </c>
      <c r="O3888" s="370" cm="1">
        <f t="array" ref="O3888">+_xlfn.SWITCH(MONTH(C3888),1,1,2,1,3,1,4,2,5,2,6,3,7,3,8,3,9,3,10,2,11,2,12,1,2)</f>
        <v>1</v>
      </c>
      <c r="P3888" s="43"/>
    </row>
    <row r="3889" spans="1:16" ht="18" x14ac:dyDescent="0.35">
      <c r="A3889" s="43"/>
      <c r="C3889" s="393"/>
      <c r="E3889" s="394"/>
      <c r="F3889" s="394">
        <v>0</v>
      </c>
      <c r="G3889" s="394"/>
      <c r="H3889" s="8" t="s">
        <v>235</v>
      </c>
      <c r="I3889" s="368">
        <f t="shared" si="181"/>
        <v>0</v>
      </c>
      <c r="J3889" s="365">
        <f t="shared" si="180"/>
        <v>0</v>
      </c>
      <c r="K3889" s="369">
        <f t="shared" si="182"/>
        <v>6</v>
      </c>
      <c r="L3889" s="369">
        <f>+IF((C3889&gt;='Resultats - informe'!$E$16)*(C3889&lt;='Resultats - informe'!$G$16),1,0)</f>
        <v>1</v>
      </c>
      <c r="M3889" s="369" cm="1">
        <f t="array" ref="M3889">+_xlfn.IFS((C3889&gt;='Resultats - informe'!$D$26)*(C3889&lt;='Resultats - informe'!$E$26),0,(C3889&gt;='Resultats - informe'!$D$27)*(C3889&lt;='Resultats - informe'!$E$27),0,(C3889&gt;='Resultats - informe'!$D$28)*(C3889&lt;='Resultats - informe'!$E$28),0,(C3889&gt;='Resultats - informe'!$D$29)*(C3889&lt;='Resultats - informe'!$E$29),0,1,1)</f>
        <v>0</v>
      </c>
      <c r="N3889" s="366">
        <f>+VLOOKUP(D3889,'Resultats - informe'!$Y$18:$AG$42,'Introducció dades consum'!K3889+1,0)</f>
        <v>0</v>
      </c>
      <c r="O3889" s="370" cm="1">
        <f t="array" ref="O3889">+_xlfn.SWITCH(MONTH(C3889),1,1,2,1,3,1,4,2,5,2,6,3,7,3,8,3,9,3,10,2,11,2,12,1,2)</f>
        <v>1</v>
      </c>
      <c r="P3889" s="43"/>
    </row>
    <row r="3890" spans="1:16" ht="18" x14ac:dyDescent="0.35">
      <c r="A3890" s="43"/>
      <c r="C3890" s="393"/>
      <c r="E3890" s="394"/>
      <c r="F3890" s="394">
        <v>0</v>
      </c>
      <c r="G3890" s="394"/>
      <c r="H3890" s="8" t="s">
        <v>61</v>
      </c>
      <c r="I3890" s="368">
        <f t="shared" si="181"/>
        <v>0</v>
      </c>
      <c r="J3890" s="365">
        <f t="shared" si="180"/>
        <v>0</v>
      </c>
      <c r="K3890" s="369">
        <f t="shared" si="182"/>
        <v>6</v>
      </c>
      <c r="L3890" s="369">
        <f>+IF((C3890&gt;='Resultats - informe'!$E$16)*(C3890&lt;='Resultats - informe'!$G$16),1,0)</f>
        <v>1</v>
      </c>
      <c r="M3890" s="369" cm="1">
        <f t="array" ref="M3890">+_xlfn.IFS((C3890&gt;='Resultats - informe'!$D$26)*(C3890&lt;='Resultats - informe'!$E$26),0,(C3890&gt;='Resultats - informe'!$D$27)*(C3890&lt;='Resultats - informe'!$E$27),0,(C3890&gt;='Resultats - informe'!$D$28)*(C3890&lt;='Resultats - informe'!$E$28),0,(C3890&gt;='Resultats - informe'!$D$29)*(C3890&lt;='Resultats - informe'!$E$29),0,1,1)</f>
        <v>0</v>
      </c>
      <c r="N3890" s="366">
        <f>+VLOOKUP(D3890,'Resultats - informe'!$Y$18:$AG$42,'Introducció dades consum'!K3890+1,0)</f>
        <v>0</v>
      </c>
      <c r="O3890" s="370" cm="1">
        <f t="array" ref="O3890">+_xlfn.SWITCH(MONTH(C3890),1,1,2,1,3,1,4,2,5,2,6,3,7,3,8,3,9,3,10,2,11,2,12,1,2)</f>
        <v>1</v>
      </c>
      <c r="P3890" s="43"/>
    </row>
    <row r="3891" spans="1:16" ht="18" x14ac:dyDescent="0.35">
      <c r="A3891" s="43"/>
      <c r="C3891" s="393"/>
      <c r="E3891" s="394"/>
      <c r="F3891" s="394">
        <v>0</v>
      </c>
      <c r="G3891" s="394"/>
      <c r="H3891" s="8" t="s">
        <v>61</v>
      </c>
      <c r="I3891" s="368">
        <f t="shared" si="181"/>
        <v>0</v>
      </c>
      <c r="J3891" s="365">
        <f t="shared" si="180"/>
        <v>0</v>
      </c>
      <c r="K3891" s="369">
        <f t="shared" si="182"/>
        <v>6</v>
      </c>
      <c r="L3891" s="369">
        <f>+IF((C3891&gt;='Resultats - informe'!$E$16)*(C3891&lt;='Resultats - informe'!$G$16),1,0)</f>
        <v>1</v>
      </c>
      <c r="M3891" s="369" cm="1">
        <f t="array" ref="M3891">+_xlfn.IFS((C3891&gt;='Resultats - informe'!$D$26)*(C3891&lt;='Resultats - informe'!$E$26),0,(C3891&gt;='Resultats - informe'!$D$27)*(C3891&lt;='Resultats - informe'!$E$27),0,(C3891&gt;='Resultats - informe'!$D$28)*(C3891&lt;='Resultats - informe'!$E$28),0,(C3891&gt;='Resultats - informe'!$D$29)*(C3891&lt;='Resultats - informe'!$E$29),0,1,1)</f>
        <v>0</v>
      </c>
      <c r="N3891" s="366">
        <f>+VLOOKUP(D3891,'Resultats - informe'!$Y$18:$AG$42,'Introducció dades consum'!K3891+1,0)</f>
        <v>0</v>
      </c>
      <c r="O3891" s="370" cm="1">
        <f t="array" ref="O3891">+_xlfn.SWITCH(MONTH(C3891),1,1,2,1,3,1,4,2,5,2,6,3,7,3,8,3,9,3,10,2,11,2,12,1,2)</f>
        <v>1</v>
      </c>
      <c r="P3891" s="43"/>
    </row>
    <row r="3892" spans="1:16" ht="18" x14ac:dyDescent="0.35">
      <c r="A3892" s="43"/>
      <c r="C3892" s="393"/>
      <c r="E3892" s="394"/>
      <c r="F3892" s="394">
        <v>0</v>
      </c>
      <c r="G3892" s="394"/>
      <c r="H3892" s="8" t="s">
        <v>61</v>
      </c>
      <c r="I3892" s="368">
        <f t="shared" si="181"/>
        <v>0</v>
      </c>
      <c r="J3892" s="365">
        <f t="shared" si="180"/>
        <v>0</v>
      </c>
      <c r="K3892" s="369">
        <f t="shared" si="182"/>
        <v>6</v>
      </c>
      <c r="L3892" s="369">
        <f>+IF((C3892&gt;='Resultats - informe'!$E$16)*(C3892&lt;='Resultats - informe'!$G$16),1,0)</f>
        <v>1</v>
      </c>
      <c r="M3892" s="369" cm="1">
        <f t="array" ref="M3892">+_xlfn.IFS((C3892&gt;='Resultats - informe'!$D$26)*(C3892&lt;='Resultats - informe'!$E$26),0,(C3892&gt;='Resultats - informe'!$D$27)*(C3892&lt;='Resultats - informe'!$E$27),0,(C3892&gt;='Resultats - informe'!$D$28)*(C3892&lt;='Resultats - informe'!$E$28),0,(C3892&gt;='Resultats - informe'!$D$29)*(C3892&lt;='Resultats - informe'!$E$29),0,1,1)</f>
        <v>0</v>
      </c>
      <c r="N3892" s="366">
        <f>+VLOOKUP(D3892,'Resultats - informe'!$Y$18:$AG$42,'Introducció dades consum'!K3892+1,0)</f>
        <v>0</v>
      </c>
      <c r="O3892" s="370" cm="1">
        <f t="array" ref="O3892">+_xlfn.SWITCH(MONTH(C3892),1,1,2,1,3,1,4,2,5,2,6,3,7,3,8,3,9,3,10,2,11,2,12,1,2)</f>
        <v>1</v>
      </c>
      <c r="P3892" s="43"/>
    </row>
    <row r="3893" spans="1:16" ht="18" x14ac:dyDescent="0.35">
      <c r="A3893" s="43"/>
      <c r="C3893" s="393"/>
      <c r="E3893" s="394"/>
      <c r="F3893" s="394">
        <v>0</v>
      </c>
      <c r="G3893" s="394"/>
      <c r="H3893" s="8" t="s">
        <v>235</v>
      </c>
      <c r="I3893" s="368">
        <f t="shared" si="181"/>
        <v>0</v>
      </c>
      <c r="J3893" s="365">
        <f t="shared" si="180"/>
        <v>0</v>
      </c>
      <c r="K3893" s="369">
        <f t="shared" si="182"/>
        <v>6</v>
      </c>
      <c r="L3893" s="369">
        <f>+IF((C3893&gt;='Resultats - informe'!$E$16)*(C3893&lt;='Resultats - informe'!$G$16),1,0)</f>
        <v>1</v>
      </c>
      <c r="M3893" s="369" cm="1">
        <f t="array" ref="M3893">+_xlfn.IFS((C3893&gt;='Resultats - informe'!$D$26)*(C3893&lt;='Resultats - informe'!$E$26),0,(C3893&gt;='Resultats - informe'!$D$27)*(C3893&lt;='Resultats - informe'!$E$27),0,(C3893&gt;='Resultats - informe'!$D$28)*(C3893&lt;='Resultats - informe'!$E$28),0,(C3893&gt;='Resultats - informe'!$D$29)*(C3893&lt;='Resultats - informe'!$E$29),0,1,1)</f>
        <v>0</v>
      </c>
      <c r="N3893" s="366">
        <f>+VLOOKUP(D3893,'Resultats - informe'!$Y$18:$AG$42,'Introducció dades consum'!K3893+1,0)</f>
        <v>0</v>
      </c>
      <c r="O3893" s="370" cm="1">
        <f t="array" ref="O3893">+_xlfn.SWITCH(MONTH(C3893),1,1,2,1,3,1,4,2,5,2,6,3,7,3,8,3,9,3,10,2,11,2,12,1,2)</f>
        <v>1</v>
      </c>
      <c r="P3893" s="43"/>
    </row>
    <row r="3894" spans="1:16" ht="18" x14ac:dyDescent="0.35">
      <c r="A3894" s="43"/>
      <c r="C3894" s="393"/>
      <c r="E3894" s="394"/>
      <c r="F3894" s="394">
        <v>0</v>
      </c>
      <c r="G3894" s="394"/>
      <c r="H3894" s="8" t="s">
        <v>235</v>
      </c>
      <c r="I3894" s="368">
        <f t="shared" si="181"/>
        <v>0</v>
      </c>
      <c r="J3894" s="365">
        <f t="shared" si="180"/>
        <v>0</v>
      </c>
      <c r="K3894" s="369">
        <f t="shared" si="182"/>
        <v>6</v>
      </c>
      <c r="L3894" s="369">
        <f>+IF((C3894&gt;='Resultats - informe'!$E$16)*(C3894&lt;='Resultats - informe'!$G$16),1,0)</f>
        <v>1</v>
      </c>
      <c r="M3894" s="369" cm="1">
        <f t="array" ref="M3894">+_xlfn.IFS((C3894&gt;='Resultats - informe'!$D$26)*(C3894&lt;='Resultats - informe'!$E$26),0,(C3894&gt;='Resultats - informe'!$D$27)*(C3894&lt;='Resultats - informe'!$E$27),0,(C3894&gt;='Resultats - informe'!$D$28)*(C3894&lt;='Resultats - informe'!$E$28),0,(C3894&gt;='Resultats - informe'!$D$29)*(C3894&lt;='Resultats - informe'!$E$29),0,1,1)</f>
        <v>0</v>
      </c>
      <c r="N3894" s="366">
        <f>+VLOOKUP(D3894,'Resultats - informe'!$Y$18:$AG$42,'Introducció dades consum'!K3894+1,0)</f>
        <v>0</v>
      </c>
      <c r="O3894" s="370" cm="1">
        <f t="array" ref="O3894">+_xlfn.SWITCH(MONTH(C3894),1,1,2,1,3,1,4,2,5,2,6,3,7,3,8,3,9,3,10,2,11,2,12,1,2)</f>
        <v>1</v>
      </c>
      <c r="P3894" s="43"/>
    </row>
    <row r="3895" spans="1:16" ht="18" x14ac:dyDescent="0.35">
      <c r="A3895" s="43"/>
      <c r="C3895" s="393"/>
      <c r="E3895" s="394"/>
      <c r="F3895" s="394">
        <v>0</v>
      </c>
      <c r="G3895" s="394"/>
      <c r="H3895" s="8" t="s">
        <v>61</v>
      </c>
      <c r="I3895" s="368">
        <f t="shared" si="181"/>
        <v>0</v>
      </c>
      <c r="J3895" s="365">
        <f t="shared" si="180"/>
        <v>0</v>
      </c>
      <c r="K3895" s="369">
        <f t="shared" si="182"/>
        <v>6</v>
      </c>
      <c r="L3895" s="369">
        <f>+IF((C3895&gt;='Resultats - informe'!$E$16)*(C3895&lt;='Resultats - informe'!$G$16),1,0)</f>
        <v>1</v>
      </c>
      <c r="M3895" s="369" cm="1">
        <f t="array" ref="M3895">+_xlfn.IFS((C3895&gt;='Resultats - informe'!$D$26)*(C3895&lt;='Resultats - informe'!$E$26),0,(C3895&gt;='Resultats - informe'!$D$27)*(C3895&lt;='Resultats - informe'!$E$27),0,(C3895&gt;='Resultats - informe'!$D$28)*(C3895&lt;='Resultats - informe'!$E$28),0,(C3895&gt;='Resultats - informe'!$D$29)*(C3895&lt;='Resultats - informe'!$E$29),0,1,1)</f>
        <v>0</v>
      </c>
      <c r="N3895" s="366">
        <f>+VLOOKUP(D3895,'Resultats - informe'!$Y$18:$AG$42,'Introducció dades consum'!K3895+1,0)</f>
        <v>0</v>
      </c>
      <c r="O3895" s="370" cm="1">
        <f t="array" ref="O3895">+_xlfn.SWITCH(MONTH(C3895),1,1,2,1,3,1,4,2,5,2,6,3,7,3,8,3,9,3,10,2,11,2,12,1,2)</f>
        <v>1</v>
      </c>
      <c r="P3895" s="43"/>
    </row>
    <row r="3896" spans="1:16" ht="18" x14ac:dyDescent="0.35">
      <c r="A3896" s="43"/>
      <c r="C3896" s="393"/>
      <c r="E3896" s="394"/>
      <c r="F3896" s="394">
        <v>0</v>
      </c>
      <c r="G3896" s="394"/>
      <c r="H3896" s="8" t="s">
        <v>61</v>
      </c>
      <c r="I3896" s="368">
        <f t="shared" si="181"/>
        <v>0</v>
      </c>
      <c r="J3896" s="365">
        <f t="shared" si="180"/>
        <v>0</v>
      </c>
      <c r="K3896" s="369">
        <f t="shared" si="182"/>
        <v>6</v>
      </c>
      <c r="L3896" s="369">
        <f>+IF((C3896&gt;='Resultats - informe'!$E$16)*(C3896&lt;='Resultats - informe'!$G$16),1,0)</f>
        <v>1</v>
      </c>
      <c r="M3896" s="369" cm="1">
        <f t="array" ref="M3896">+_xlfn.IFS((C3896&gt;='Resultats - informe'!$D$26)*(C3896&lt;='Resultats - informe'!$E$26),0,(C3896&gt;='Resultats - informe'!$D$27)*(C3896&lt;='Resultats - informe'!$E$27),0,(C3896&gt;='Resultats - informe'!$D$28)*(C3896&lt;='Resultats - informe'!$E$28),0,(C3896&gt;='Resultats - informe'!$D$29)*(C3896&lt;='Resultats - informe'!$E$29),0,1,1)</f>
        <v>0</v>
      </c>
      <c r="N3896" s="366">
        <f>+VLOOKUP(D3896,'Resultats - informe'!$Y$18:$AG$42,'Introducció dades consum'!K3896+1,0)</f>
        <v>0</v>
      </c>
      <c r="O3896" s="370" cm="1">
        <f t="array" ref="O3896">+_xlfn.SWITCH(MONTH(C3896),1,1,2,1,3,1,4,2,5,2,6,3,7,3,8,3,9,3,10,2,11,2,12,1,2)</f>
        <v>1</v>
      </c>
      <c r="P3896" s="43"/>
    </row>
    <row r="3897" spans="1:16" ht="18" x14ac:dyDescent="0.35">
      <c r="A3897" s="43"/>
      <c r="C3897" s="393"/>
      <c r="E3897" s="394"/>
      <c r="F3897" s="394">
        <v>0.16600000000000001</v>
      </c>
      <c r="G3897" s="394"/>
      <c r="H3897" s="8" t="s">
        <v>235</v>
      </c>
      <c r="I3897" s="368">
        <f t="shared" si="181"/>
        <v>0</v>
      </c>
      <c r="J3897" s="365">
        <f t="shared" si="180"/>
        <v>0</v>
      </c>
      <c r="K3897" s="369">
        <f t="shared" si="182"/>
        <v>6</v>
      </c>
      <c r="L3897" s="369">
        <f>+IF((C3897&gt;='Resultats - informe'!$E$16)*(C3897&lt;='Resultats - informe'!$G$16),1,0)</f>
        <v>1</v>
      </c>
      <c r="M3897" s="369" cm="1">
        <f t="array" ref="M3897">+_xlfn.IFS((C3897&gt;='Resultats - informe'!$D$26)*(C3897&lt;='Resultats - informe'!$E$26),0,(C3897&gt;='Resultats - informe'!$D$27)*(C3897&lt;='Resultats - informe'!$E$27),0,(C3897&gt;='Resultats - informe'!$D$28)*(C3897&lt;='Resultats - informe'!$E$28),0,(C3897&gt;='Resultats - informe'!$D$29)*(C3897&lt;='Resultats - informe'!$E$29),0,1,1)</f>
        <v>0</v>
      </c>
      <c r="N3897" s="366">
        <f>+VLOOKUP(D3897,'Resultats - informe'!$Y$18:$AG$42,'Introducció dades consum'!K3897+1,0)</f>
        <v>0</v>
      </c>
      <c r="O3897" s="370" cm="1">
        <f t="array" ref="O3897">+_xlfn.SWITCH(MONTH(C3897),1,1,2,1,3,1,4,2,5,2,6,3,7,3,8,3,9,3,10,2,11,2,12,1,2)</f>
        <v>1</v>
      </c>
      <c r="P3897" s="43"/>
    </row>
    <row r="3898" spans="1:16" ht="18" x14ac:dyDescent="0.35">
      <c r="A3898" s="43"/>
      <c r="C3898" s="393"/>
      <c r="E3898" s="394"/>
      <c r="F3898" s="394">
        <v>0.749</v>
      </c>
      <c r="G3898" s="394"/>
      <c r="H3898" s="8" t="s">
        <v>235</v>
      </c>
      <c r="I3898" s="368">
        <f t="shared" si="181"/>
        <v>0</v>
      </c>
      <c r="J3898" s="365">
        <f t="shared" si="180"/>
        <v>0</v>
      </c>
      <c r="K3898" s="369">
        <f t="shared" si="182"/>
        <v>6</v>
      </c>
      <c r="L3898" s="369">
        <f>+IF((C3898&gt;='Resultats - informe'!$E$16)*(C3898&lt;='Resultats - informe'!$G$16),1,0)</f>
        <v>1</v>
      </c>
      <c r="M3898" s="369" cm="1">
        <f t="array" ref="M3898">+_xlfn.IFS((C3898&gt;='Resultats - informe'!$D$26)*(C3898&lt;='Resultats - informe'!$E$26),0,(C3898&gt;='Resultats - informe'!$D$27)*(C3898&lt;='Resultats - informe'!$E$27),0,(C3898&gt;='Resultats - informe'!$D$28)*(C3898&lt;='Resultats - informe'!$E$28),0,(C3898&gt;='Resultats - informe'!$D$29)*(C3898&lt;='Resultats - informe'!$E$29),0,1,1)</f>
        <v>0</v>
      </c>
      <c r="N3898" s="366">
        <f>+VLOOKUP(D3898,'Resultats - informe'!$Y$18:$AG$42,'Introducció dades consum'!K3898+1,0)</f>
        <v>0</v>
      </c>
      <c r="O3898" s="370" cm="1">
        <f t="array" ref="O3898">+_xlfn.SWITCH(MONTH(C3898),1,1,2,1,3,1,4,2,5,2,6,3,7,3,8,3,9,3,10,2,11,2,12,1,2)</f>
        <v>1</v>
      </c>
      <c r="P3898" s="43"/>
    </row>
    <row r="3899" spans="1:16" ht="18" x14ac:dyDescent="0.35">
      <c r="A3899" s="43"/>
      <c r="C3899" s="393"/>
      <c r="E3899" s="394"/>
      <c r="F3899" s="394">
        <v>1.343</v>
      </c>
      <c r="G3899" s="394"/>
      <c r="H3899" s="8" t="s">
        <v>235</v>
      </c>
      <c r="I3899" s="368">
        <f t="shared" si="181"/>
        <v>0</v>
      </c>
      <c r="J3899" s="365">
        <f t="shared" ref="J3899:J3962" si="183">+C3899</f>
        <v>0</v>
      </c>
      <c r="K3899" s="369">
        <f t="shared" si="182"/>
        <v>6</v>
      </c>
      <c r="L3899" s="369">
        <f>+IF((C3899&gt;='Resultats - informe'!$E$16)*(C3899&lt;='Resultats - informe'!$G$16),1,0)</f>
        <v>1</v>
      </c>
      <c r="M3899" s="369" cm="1">
        <f t="array" ref="M3899">+_xlfn.IFS((C3899&gt;='Resultats - informe'!$D$26)*(C3899&lt;='Resultats - informe'!$E$26),0,(C3899&gt;='Resultats - informe'!$D$27)*(C3899&lt;='Resultats - informe'!$E$27),0,(C3899&gt;='Resultats - informe'!$D$28)*(C3899&lt;='Resultats - informe'!$E$28),0,(C3899&gt;='Resultats - informe'!$D$29)*(C3899&lt;='Resultats - informe'!$E$29),0,1,1)</f>
        <v>0</v>
      </c>
      <c r="N3899" s="366">
        <f>+VLOOKUP(D3899,'Resultats - informe'!$Y$18:$AG$42,'Introducció dades consum'!K3899+1,0)</f>
        <v>0</v>
      </c>
      <c r="O3899" s="370" cm="1">
        <f t="array" ref="O3899">+_xlfn.SWITCH(MONTH(C3899),1,1,2,1,3,1,4,2,5,2,6,3,7,3,8,3,9,3,10,2,11,2,12,1,2)</f>
        <v>1</v>
      </c>
      <c r="P3899" s="43"/>
    </row>
    <row r="3900" spans="1:16" ht="18" x14ac:dyDescent="0.35">
      <c r="A3900" s="43"/>
      <c r="C3900" s="393"/>
      <c r="E3900" s="394"/>
      <c r="F3900" s="394">
        <v>2.7429999999999999</v>
      </c>
      <c r="G3900" s="394"/>
      <c r="H3900" s="8" t="s">
        <v>235</v>
      </c>
      <c r="I3900" s="368">
        <f t="shared" si="181"/>
        <v>0</v>
      </c>
      <c r="J3900" s="365">
        <f t="shared" si="183"/>
        <v>0</v>
      </c>
      <c r="K3900" s="369">
        <f t="shared" si="182"/>
        <v>6</v>
      </c>
      <c r="L3900" s="369">
        <f>+IF((C3900&gt;='Resultats - informe'!$E$16)*(C3900&lt;='Resultats - informe'!$G$16),1,0)</f>
        <v>1</v>
      </c>
      <c r="M3900" s="369" cm="1">
        <f t="array" ref="M3900">+_xlfn.IFS((C3900&gt;='Resultats - informe'!$D$26)*(C3900&lt;='Resultats - informe'!$E$26),0,(C3900&gt;='Resultats - informe'!$D$27)*(C3900&lt;='Resultats - informe'!$E$27),0,(C3900&gt;='Resultats - informe'!$D$28)*(C3900&lt;='Resultats - informe'!$E$28),0,(C3900&gt;='Resultats - informe'!$D$29)*(C3900&lt;='Resultats - informe'!$E$29),0,1,1)</f>
        <v>0</v>
      </c>
      <c r="N3900" s="366">
        <f>+VLOOKUP(D3900,'Resultats - informe'!$Y$18:$AG$42,'Introducció dades consum'!K3900+1,0)</f>
        <v>0</v>
      </c>
      <c r="O3900" s="370" cm="1">
        <f t="array" ref="O3900">+_xlfn.SWITCH(MONTH(C3900),1,1,2,1,3,1,4,2,5,2,6,3,7,3,8,3,9,3,10,2,11,2,12,1,2)</f>
        <v>1</v>
      </c>
      <c r="P3900" s="43"/>
    </row>
    <row r="3901" spans="1:16" ht="18" x14ac:dyDescent="0.35">
      <c r="A3901" s="43"/>
      <c r="C3901" s="393"/>
      <c r="E3901" s="394"/>
      <c r="F3901" s="394">
        <v>3.5710000000000002</v>
      </c>
      <c r="G3901" s="394"/>
      <c r="H3901" s="8" t="s">
        <v>235</v>
      </c>
      <c r="I3901" s="368">
        <f t="shared" si="181"/>
        <v>0</v>
      </c>
      <c r="J3901" s="365">
        <f t="shared" si="183"/>
        <v>0</v>
      </c>
      <c r="K3901" s="369">
        <f t="shared" si="182"/>
        <v>6</v>
      </c>
      <c r="L3901" s="369">
        <f>+IF((C3901&gt;='Resultats - informe'!$E$16)*(C3901&lt;='Resultats - informe'!$G$16),1,0)</f>
        <v>1</v>
      </c>
      <c r="M3901" s="369" cm="1">
        <f t="array" ref="M3901">+_xlfn.IFS((C3901&gt;='Resultats - informe'!$D$26)*(C3901&lt;='Resultats - informe'!$E$26),0,(C3901&gt;='Resultats - informe'!$D$27)*(C3901&lt;='Resultats - informe'!$E$27),0,(C3901&gt;='Resultats - informe'!$D$28)*(C3901&lt;='Resultats - informe'!$E$28),0,(C3901&gt;='Resultats - informe'!$D$29)*(C3901&lt;='Resultats - informe'!$E$29),0,1,1)</f>
        <v>0</v>
      </c>
      <c r="N3901" s="366">
        <f>+VLOOKUP(D3901,'Resultats - informe'!$Y$18:$AG$42,'Introducció dades consum'!K3901+1,0)</f>
        <v>0</v>
      </c>
      <c r="O3901" s="370" cm="1">
        <f t="array" ref="O3901">+_xlfn.SWITCH(MONTH(C3901),1,1,2,1,3,1,4,2,5,2,6,3,7,3,8,3,9,3,10,2,11,2,12,1,2)</f>
        <v>1</v>
      </c>
      <c r="P3901" s="43"/>
    </row>
    <row r="3902" spans="1:16" ht="18" x14ac:dyDescent="0.35">
      <c r="A3902" s="43"/>
      <c r="C3902" s="393"/>
      <c r="E3902" s="394"/>
      <c r="F3902" s="394">
        <v>3.3159999999999998</v>
      </c>
      <c r="G3902" s="394"/>
      <c r="H3902" s="8" t="s">
        <v>61</v>
      </c>
      <c r="I3902" s="368">
        <f t="shared" si="181"/>
        <v>0</v>
      </c>
      <c r="J3902" s="365">
        <f t="shared" si="183"/>
        <v>0</v>
      </c>
      <c r="K3902" s="369">
        <f t="shared" si="182"/>
        <v>6</v>
      </c>
      <c r="L3902" s="369">
        <f>+IF((C3902&gt;='Resultats - informe'!$E$16)*(C3902&lt;='Resultats - informe'!$G$16),1,0)</f>
        <v>1</v>
      </c>
      <c r="M3902" s="369" cm="1">
        <f t="array" ref="M3902">+_xlfn.IFS((C3902&gt;='Resultats - informe'!$D$26)*(C3902&lt;='Resultats - informe'!$E$26),0,(C3902&gt;='Resultats - informe'!$D$27)*(C3902&lt;='Resultats - informe'!$E$27),0,(C3902&gt;='Resultats - informe'!$D$28)*(C3902&lt;='Resultats - informe'!$E$28),0,(C3902&gt;='Resultats - informe'!$D$29)*(C3902&lt;='Resultats - informe'!$E$29),0,1,1)</f>
        <v>0</v>
      </c>
      <c r="N3902" s="366">
        <f>+VLOOKUP(D3902,'Resultats - informe'!$Y$18:$AG$42,'Introducció dades consum'!K3902+1,0)</f>
        <v>0</v>
      </c>
      <c r="O3902" s="370" cm="1">
        <f t="array" ref="O3902">+_xlfn.SWITCH(MONTH(C3902),1,1,2,1,3,1,4,2,5,2,6,3,7,3,8,3,9,3,10,2,11,2,12,1,2)</f>
        <v>1</v>
      </c>
      <c r="P3902" s="43"/>
    </row>
    <row r="3903" spans="1:16" ht="18" x14ac:dyDescent="0.35">
      <c r="A3903" s="43"/>
      <c r="C3903" s="393"/>
      <c r="E3903" s="394"/>
      <c r="F3903" s="394">
        <v>4.524</v>
      </c>
      <c r="G3903" s="394"/>
      <c r="H3903" s="8" t="s">
        <v>61</v>
      </c>
      <c r="I3903" s="368">
        <f t="shared" si="181"/>
        <v>0</v>
      </c>
      <c r="J3903" s="365">
        <f t="shared" si="183"/>
        <v>0</v>
      </c>
      <c r="K3903" s="369">
        <f t="shared" si="182"/>
        <v>6</v>
      </c>
      <c r="L3903" s="369">
        <f>+IF((C3903&gt;='Resultats - informe'!$E$16)*(C3903&lt;='Resultats - informe'!$G$16),1,0)</f>
        <v>1</v>
      </c>
      <c r="M3903" s="369" cm="1">
        <f t="array" ref="M3903">+_xlfn.IFS((C3903&gt;='Resultats - informe'!$D$26)*(C3903&lt;='Resultats - informe'!$E$26),0,(C3903&gt;='Resultats - informe'!$D$27)*(C3903&lt;='Resultats - informe'!$E$27),0,(C3903&gt;='Resultats - informe'!$D$28)*(C3903&lt;='Resultats - informe'!$E$28),0,(C3903&gt;='Resultats - informe'!$D$29)*(C3903&lt;='Resultats - informe'!$E$29),0,1,1)</f>
        <v>0</v>
      </c>
      <c r="N3903" s="366">
        <f>+VLOOKUP(D3903,'Resultats - informe'!$Y$18:$AG$42,'Introducció dades consum'!K3903+1,0)</f>
        <v>0</v>
      </c>
      <c r="O3903" s="370" cm="1">
        <f t="array" ref="O3903">+_xlfn.SWITCH(MONTH(C3903),1,1,2,1,3,1,4,2,5,2,6,3,7,3,8,3,9,3,10,2,11,2,12,1,2)</f>
        <v>1</v>
      </c>
      <c r="P3903" s="43"/>
    </row>
    <row r="3904" spans="1:16" ht="18" x14ac:dyDescent="0.35">
      <c r="A3904" s="43"/>
      <c r="C3904" s="393"/>
      <c r="E3904" s="394"/>
      <c r="F3904" s="394">
        <v>5.3330000000000002</v>
      </c>
      <c r="G3904" s="394"/>
      <c r="H3904" s="8" t="s">
        <v>61</v>
      </c>
      <c r="I3904" s="368">
        <f t="shared" si="181"/>
        <v>0</v>
      </c>
      <c r="J3904" s="365">
        <f t="shared" si="183"/>
        <v>0</v>
      </c>
      <c r="K3904" s="369">
        <f t="shared" si="182"/>
        <v>6</v>
      </c>
      <c r="L3904" s="369">
        <f>+IF((C3904&gt;='Resultats - informe'!$E$16)*(C3904&lt;='Resultats - informe'!$G$16),1,0)</f>
        <v>1</v>
      </c>
      <c r="M3904" s="369" cm="1">
        <f t="array" ref="M3904">+_xlfn.IFS((C3904&gt;='Resultats - informe'!$D$26)*(C3904&lt;='Resultats - informe'!$E$26),0,(C3904&gt;='Resultats - informe'!$D$27)*(C3904&lt;='Resultats - informe'!$E$27),0,(C3904&gt;='Resultats - informe'!$D$28)*(C3904&lt;='Resultats - informe'!$E$28),0,(C3904&gt;='Resultats - informe'!$D$29)*(C3904&lt;='Resultats - informe'!$E$29),0,1,1)</f>
        <v>0</v>
      </c>
      <c r="N3904" s="366">
        <f>+VLOOKUP(D3904,'Resultats - informe'!$Y$18:$AG$42,'Introducció dades consum'!K3904+1,0)</f>
        <v>0</v>
      </c>
      <c r="O3904" s="370" cm="1">
        <f t="array" ref="O3904">+_xlfn.SWITCH(MONTH(C3904),1,1,2,1,3,1,4,2,5,2,6,3,7,3,8,3,9,3,10,2,11,2,12,1,2)</f>
        <v>1</v>
      </c>
      <c r="P3904" s="43"/>
    </row>
    <row r="3905" spans="1:16" ht="18" x14ac:dyDescent="0.35">
      <c r="A3905" s="43"/>
      <c r="C3905" s="393"/>
      <c r="E3905" s="394"/>
      <c r="F3905" s="394">
        <v>5.6550000000000002</v>
      </c>
      <c r="G3905" s="394"/>
      <c r="H3905" s="8" t="s">
        <v>61</v>
      </c>
      <c r="I3905" s="368">
        <f t="shared" si="181"/>
        <v>0</v>
      </c>
      <c r="J3905" s="365">
        <f t="shared" si="183"/>
        <v>0</v>
      </c>
      <c r="K3905" s="369">
        <f t="shared" si="182"/>
        <v>6</v>
      </c>
      <c r="L3905" s="369">
        <f>+IF((C3905&gt;='Resultats - informe'!$E$16)*(C3905&lt;='Resultats - informe'!$G$16),1,0)</f>
        <v>1</v>
      </c>
      <c r="M3905" s="369" cm="1">
        <f t="array" ref="M3905">+_xlfn.IFS((C3905&gt;='Resultats - informe'!$D$26)*(C3905&lt;='Resultats - informe'!$E$26),0,(C3905&gt;='Resultats - informe'!$D$27)*(C3905&lt;='Resultats - informe'!$E$27),0,(C3905&gt;='Resultats - informe'!$D$28)*(C3905&lt;='Resultats - informe'!$E$28),0,(C3905&gt;='Resultats - informe'!$D$29)*(C3905&lt;='Resultats - informe'!$E$29),0,1,1)</f>
        <v>0</v>
      </c>
      <c r="N3905" s="366">
        <f>+VLOOKUP(D3905,'Resultats - informe'!$Y$18:$AG$42,'Introducció dades consum'!K3905+1,0)</f>
        <v>0</v>
      </c>
      <c r="O3905" s="370" cm="1">
        <f t="array" ref="O3905">+_xlfn.SWITCH(MONTH(C3905),1,1,2,1,3,1,4,2,5,2,6,3,7,3,8,3,9,3,10,2,11,2,12,1,2)</f>
        <v>1</v>
      </c>
      <c r="P3905" s="43"/>
    </row>
    <row r="3906" spans="1:16" ht="18" x14ac:dyDescent="0.35">
      <c r="A3906" s="43"/>
      <c r="C3906" s="393"/>
      <c r="E3906" s="394"/>
      <c r="F3906" s="394">
        <v>5.6529999999999996</v>
      </c>
      <c r="G3906" s="394"/>
      <c r="H3906" s="8" t="s">
        <v>61</v>
      </c>
      <c r="I3906" s="368">
        <f t="shared" si="181"/>
        <v>0</v>
      </c>
      <c r="J3906" s="365">
        <f t="shared" si="183"/>
        <v>0</v>
      </c>
      <c r="K3906" s="369">
        <f t="shared" si="182"/>
        <v>6</v>
      </c>
      <c r="L3906" s="369">
        <f>+IF((C3906&gt;='Resultats - informe'!$E$16)*(C3906&lt;='Resultats - informe'!$G$16),1,0)</f>
        <v>1</v>
      </c>
      <c r="M3906" s="369" cm="1">
        <f t="array" ref="M3906">+_xlfn.IFS((C3906&gt;='Resultats - informe'!$D$26)*(C3906&lt;='Resultats - informe'!$E$26),0,(C3906&gt;='Resultats - informe'!$D$27)*(C3906&lt;='Resultats - informe'!$E$27),0,(C3906&gt;='Resultats - informe'!$D$28)*(C3906&lt;='Resultats - informe'!$E$28),0,(C3906&gt;='Resultats - informe'!$D$29)*(C3906&lt;='Resultats - informe'!$E$29),0,1,1)</f>
        <v>0</v>
      </c>
      <c r="N3906" s="366">
        <f>+VLOOKUP(D3906,'Resultats - informe'!$Y$18:$AG$42,'Introducció dades consum'!K3906+1,0)</f>
        <v>0</v>
      </c>
      <c r="O3906" s="370" cm="1">
        <f t="array" ref="O3906">+_xlfn.SWITCH(MONTH(C3906),1,1,2,1,3,1,4,2,5,2,6,3,7,3,8,3,9,3,10,2,11,2,12,1,2)</f>
        <v>1</v>
      </c>
      <c r="P3906" s="43"/>
    </row>
    <row r="3907" spans="1:16" ht="18" x14ac:dyDescent="0.35">
      <c r="A3907" s="43"/>
      <c r="C3907" s="393"/>
      <c r="E3907" s="394"/>
      <c r="F3907" s="394">
        <v>6.1029999999999998</v>
      </c>
      <c r="G3907" s="394"/>
      <c r="H3907" s="8" t="s">
        <v>61</v>
      </c>
      <c r="I3907" s="368">
        <f t="shared" si="181"/>
        <v>0</v>
      </c>
      <c r="J3907" s="365">
        <f t="shared" si="183"/>
        <v>0</v>
      </c>
      <c r="K3907" s="369">
        <f t="shared" si="182"/>
        <v>6</v>
      </c>
      <c r="L3907" s="369">
        <f>+IF((C3907&gt;='Resultats - informe'!$E$16)*(C3907&lt;='Resultats - informe'!$G$16),1,0)</f>
        <v>1</v>
      </c>
      <c r="M3907" s="369" cm="1">
        <f t="array" ref="M3907">+_xlfn.IFS((C3907&gt;='Resultats - informe'!$D$26)*(C3907&lt;='Resultats - informe'!$E$26),0,(C3907&gt;='Resultats - informe'!$D$27)*(C3907&lt;='Resultats - informe'!$E$27),0,(C3907&gt;='Resultats - informe'!$D$28)*(C3907&lt;='Resultats - informe'!$E$28),0,(C3907&gt;='Resultats - informe'!$D$29)*(C3907&lt;='Resultats - informe'!$E$29),0,1,1)</f>
        <v>0</v>
      </c>
      <c r="N3907" s="366">
        <f>+VLOOKUP(D3907,'Resultats - informe'!$Y$18:$AG$42,'Introducció dades consum'!K3907+1,0)</f>
        <v>0</v>
      </c>
      <c r="O3907" s="370" cm="1">
        <f t="array" ref="O3907">+_xlfn.SWITCH(MONTH(C3907),1,1,2,1,3,1,4,2,5,2,6,3,7,3,8,3,9,3,10,2,11,2,12,1,2)</f>
        <v>1</v>
      </c>
      <c r="P3907" s="43"/>
    </row>
    <row r="3908" spans="1:16" ht="18" x14ac:dyDescent="0.35">
      <c r="A3908" s="43"/>
      <c r="C3908" s="393"/>
      <c r="E3908" s="394"/>
      <c r="F3908" s="394">
        <v>5.359</v>
      </c>
      <c r="G3908" s="394"/>
      <c r="H3908" s="8" t="s">
        <v>61</v>
      </c>
      <c r="I3908" s="368">
        <f t="shared" si="181"/>
        <v>0</v>
      </c>
      <c r="J3908" s="365">
        <f t="shared" si="183"/>
        <v>0</v>
      </c>
      <c r="K3908" s="369">
        <f t="shared" si="182"/>
        <v>6</v>
      </c>
      <c r="L3908" s="369">
        <f>+IF((C3908&gt;='Resultats - informe'!$E$16)*(C3908&lt;='Resultats - informe'!$G$16),1,0)</f>
        <v>1</v>
      </c>
      <c r="M3908" s="369" cm="1">
        <f t="array" ref="M3908">+_xlfn.IFS((C3908&gt;='Resultats - informe'!$D$26)*(C3908&lt;='Resultats - informe'!$E$26),0,(C3908&gt;='Resultats - informe'!$D$27)*(C3908&lt;='Resultats - informe'!$E$27),0,(C3908&gt;='Resultats - informe'!$D$28)*(C3908&lt;='Resultats - informe'!$E$28),0,(C3908&gt;='Resultats - informe'!$D$29)*(C3908&lt;='Resultats - informe'!$E$29),0,1,1)</f>
        <v>0</v>
      </c>
      <c r="N3908" s="366">
        <f>+VLOOKUP(D3908,'Resultats - informe'!$Y$18:$AG$42,'Introducció dades consum'!K3908+1,0)</f>
        <v>0</v>
      </c>
      <c r="O3908" s="370" cm="1">
        <f t="array" ref="O3908">+_xlfn.SWITCH(MONTH(C3908),1,1,2,1,3,1,4,2,5,2,6,3,7,3,8,3,9,3,10,2,11,2,12,1,2)</f>
        <v>1</v>
      </c>
      <c r="P3908" s="43"/>
    </row>
    <row r="3909" spans="1:16" ht="18" x14ac:dyDescent="0.35">
      <c r="A3909" s="43"/>
      <c r="C3909" s="393"/>
      <c r="E3909" s="394"/>
      <c r="F3909" s="394">
        <v>4.0279999999999996</v>
      </c>
      <c r="G3909" s="394"/>
      <c r="H3909" s="8" t="s">
        <v>61</v>
      </c>
      <c r="I3909" s="368">
        <f t="shared" si="181"/>
        <v>0</v>
      </c>
      <c r="J3909" s="365">
        <f t="shared" si="183"/>
        <v>0</v>
      </c>
      <c r="K3909" s="369">
        <f t="shared" si="182"/>
        <v>6</v>
      </c>
      <c r="L3909" s="369">
        <f>+IF((C3909&gt;='Resultats - informe'!$E$16)*(C3909&lt;='Resultats - informe'!$G$16),1,0)</f>
        <v>1</v>
      </c>
      <c r="M3909" s="369" cm="1">
        <f t="array" ref="M3909">+_xlfn.IFS((C3909&gt;='Resultats - informe'!$D$26)*(C3909&lt;='Resultats - informe'!$E$26),0,(C3909&gt;='Resultats - informe'!$D$27)*(C3909&lt;='Resultats - informe'!$E$27),0,(C3909&gt;='Resultats - informe'!$D$28)*(C3909&lt;='Resultats - informe'!$E$28),0,(C3909&gt;='Resultats - informe'!$D$29)*(C3909&lt;='Resultats - informe'!$E$29),0,1,1)</f>
        <v>0</v>
      </c>
      <c r="N3909" s="366">
        <f>+VLOOKUP(D3909,'Resultats - informe'!$Y$18:$AG$42,'Introducció dades consum'!K3909+1,0)</f>
        <v>0</v>
      </c>
      <c r="O3909" s="370" cm="1">
        <f t="array" ref="O3909">+_xlfn.SWITCH(MONTH(C3909),1,1,2,1,3,1,4,2,5,2,6,3,7,3,8,3,9,3,10,2,11,2,12,1,2)</f>
        <v>1</v>
      </c>
      <c r="P3909" s="43"/>
    </row>
    <row r="3910" spans="1:16" ht="18" x14ac:dyDescent="0.35">
      <c r="A3910" s="43"/>
      <c r="C3910" s="393"/>
      <c r="E3910" s="394"/>
      <c r="F3910" s="394">
        <v>2.3809999999999998</v>
      </c>
      <c r="G3910" s="394"/>
      <c r="H3910" s="8" t="s">
        <v>61</v>
      </c>
      <c r="I3910" s="368">
        <f t="shared" ref="I3910:I3973" si="184">+E3910+G3910</f>
        <v>0</v>
      </c>
      <c r="J3910" s="365">
        <f t="shared" si="183"/>
        <v>0</v>
      </c>
      <c r="K3910" s="369">
        <f t="shared" ref="K3910:K3973" si="185">+WEEKDAY(C3910,2)</f>
        <v>6</v>
      </c>
      <c r="L3910" s="369">
        <f>+IF((C3910&gt;='Resultats - informe'!$E$16)*(C3910&lt;='Resultats - informe'!$G$16),1,0)</f>
        <v>1</v>
      </c>
      <c r="M3910" s="369" cm="1">
        <f t="array" ref="M3910">+_xlfn.IFS((C3910&gt;='Resultats - informe'!$D$26)*(C3910&lt;='Resultats - informe'!$E$26),0,(C3910&gt;='Resultats - informe'!$D$27)*(C3910&lt;='Resultats - informe'!$E$27),0,(C3910&gt;='Resultats - informe'!$D$28)*(C3910&lt;='Resultats - informe'!$E$28),0,(C3910&gt;='Resultats - informe'!$D$29)*(C3910&lt;='Resultats - informe'!$E$29),0,1,1)</f>
        <v>0</v>
      </c>
      <c r="N3910" s="366">
        <f>+VLOOKUP(D3910,'Resultats - informe'!$Y$18:$AG$42,'Introducció dades consum'!K3910+1,0)</f>
        <v>0</v>
      </c>
      <c r="O3910" s="370" cm="1">
        <f t="array" ref="O3910">+_xlfn.SWITCH(MONTH(C3910),1,1,2,1,3,1,4,2,5,2,6,3,7,3,8,3,9,3,10,2,11,2,12,1,2)</f>
        <v>1</v>
      </c>
      <c r="P3910" s="43"/>
    </row>
    <row r="3911" spans="1:16" ht="18" x14ac:dyDescent="0.35">
      <c r="A3911" s="43"/>
      <c r="C3911" s="393"/>
      <c r="E3911" s="394"/>
      <c r="F3911" s="394">
        <v>0.68600000000000005</v>
      </c>
      <c r="G3911" s="394"/>
      <c r="H3911" s="8" t="s">
        <v>61</v>
      </c>
      <c r="I3911" s="368">
        <f t="shared" si="184"/>
        <v>0</v>
      </c>
      <c r="J3911" s="365">
        <f t="shared" si="183"/>
        <v>0</v>
      </c>
      <c r="K3911" s="369">
        <f t="shared" si="185"/>
        <v>6</v>
      </c>
      <c r="L3911" s="369">
        <f>+IF((C3911&gt;='Resultats - informe'!$E$16)*(C3911&lt;='Resultats - informe'!$G$16),1,0)</f>
        <v>1</v>
      </c>
      <c r="M3911" s="369" cm="1">
        <f t="array" ref="M3911">+_xlfn.IFS((C3911&gt;='Resultats - informe'!$D$26)*(C3911&lt;='Resultats - informe'!$E$26),0,(C3911&gt;='Resultats - informe'!$D$27)*(C3911&lt;='Resultats - informe'!$E$27),0,(C3911&gt;='Resultats - informe'!$D$28)*(C3911&lt;='Resultats - informe'!$E$28),0,(C3911&gt;='Resultats - informe'!$D$29)*(C3911&lt;='Resultats - informe'!$E$29),0,1,1)</f>
        <v>0</v>
      </c>
      <c r="N3911" s="366">
        <f>+VLOOKUP(D3911,'Resultats - informe'!$Y$18:$AG$42,'Introducció dades consum'!K3911+1,0)</f>
        <v>0</v>
      </c>
      <c r="O3911" s="370" cm="1">
        <f t="array" ref="O3911">+_xlfn.SWITCH(MONTH(C3911),1,1,2,1,3,1,4,2,5,2,6,3,7,3,8,3,9,3,10,2,11,2,12,1,2)</f>
        <v>1</v>
      </c>
      <c r="P3911" s="43"/>
    </row>
    <row r="3912" spans="1:16" ht="18" x14ac:dyDescent="0.35">
      <c r="A3912" s="43"/>
      <c r="C3912" s="393"/>
      <c r="E3912" s="394"/>
      <c r="F3912" s="394">
        <v>0</v>
      </c>
      <c r="G3912" s="394"/>
      <c r="H3912" s="8" t="s">
        <v>61</v>
      </c>
      <c r="I3912" s="368">
        <f t="shared" si="184"/>
        <v>0</v>
      </c>
      <c r="J3912" s="365">
        <f t="shared" si="183"/>
        <v>0</v>
      </c>
      <c r="K3912" s="369">
        <f t="shared" si="185"/>
        <v>6</v>
      </c>
      <c r="L3912" s="369">
        <f>+IF((C3912&gt;='Resultats - informe'!$E$16)*(C3912&lt;='Resultats - informe'!$G$16),1,0)</f>
        <v>1</v>
      </c>
      <c r="M3912" s="369" cm="1">
        <f t="array" ref="M3912">+_xlfn.IFS((C3912&gt;='Resultats - informe'!$D$26)*(C3912&lt;='Resultats - informe'!$E$26),0,(C3912&gt;='Resultats - informe'!$D$27)*(C3912&lt;='Resultats - informe'!$E$27),0,(C3912&gt;='Resultats - informe'!$D$28)*(C3912&lt;='Resultats - informe'!$E$28),0,(C3912&gt;='Resultats - informe'!$D$29)*(C3912&lt;='Resultats - informe'!$E$29),0,1,1)</f>
        <v>0</v>
      </c>
      <c r="N3912" s="366">
        <f>+VLOOKUP(D3912,'Resultats - informe'!$Y$18:$AG$42,'Introducció dades consum'!K3912+1,0)</f>
        <v>0</v>
      </c>
      <c r="O3912" s="370" cm="1">
        <f t="array" ref="O3912">+_xlfn.SWITCH(MONTH(C3912),1,1,2,1,3,1,4,2,5,2,6,3,7,3,8,3,9,3,10,2,11,2,12,1,2)</f>
        <v>1</v>
      </c>
      <c r="P3912" s="43"/>
    </row>
    <row r="3913" spans="1:16" ht="18" x14ac:dyDescent="0.35">
      <c r="A3913" s="43"/>
      <c r="C3913" s="393"/>
      <c r="E3913" s="394"/>
      <c r="F3913" s="394">
        <v>0</v>
      </c>
      <c r="G3913" s="394"/>
      <c r="H3913" s="8" t="s">
        <v>61</v>
      </c>
      <c r="I3913" s="368">
        <f t="shared" si="184"/>
        <v>0</v>
      </c>
      <c r="J3913" s="365">
        <f t="shared" si="183"/>
        <v>0</v>
      </c>
      <c r="K3913" s="369">
        <f t="shared" si="185"/>
        <v>6</v>
      </c>
      <c r="L3913" s="369">
        <f>+IF((C3913&gt;='Resultats - informe'!$E$16)*(C3913&lt;='Resultats - informe'!$G$16),1,0)</f>
        <v>1</v>
      </c>
      <c r="M3913" s="369" cm="1">
        <f t="array" ref="M3913">+_xlfn.IFS((C3913&gt;='Resultats - informe'!$D$26)*(C3913&lt;='Resultats - informe'!$E$26),0,(C3913&gt;='Resultats - informe'!$D$27)*(C3913&lt;='Resultats - informe'!$E$27),0,(C3913&gt;='Resultats - informe'!$D$28)*(C3913&lt;='Resultats - informe'!$E$28),0,(C3913&gt;='Resultats - informe'!$D$29)*(C3913&lt;='Resultats - informe'!$E$29),0,1,1)</f>
        <v>0</v>
      </c>
      <c r="N3913" s="366">
        <f>+VLOOKUP(D3913,'Resultats - informe'!$Y$18:$AG$42,'Introducció dades consum'!K3913+1,0)</f>
        <v>0</v>
      </c>
      <c r="O3913" s="370" cm="1">
        <f t="array" ref="O3913">+_xlfn.SWITCH(MONTH(C3913),1,1,2,1,3,1,4,2,5,2,6,3,7,3,8,3,9,3,10,2,11,2,12,1,2)</f>
        <v>1</v>
      </c>
      <c r="P3913" s="43"/>
    </row>
    <row r="3914" spans="1:16" ht="18" x14ac:dyDescent="0.35">
      <c r="A3914" s="43"/>
      <c r="C3914" s="393"/>
      <c r="E3914" s="394"/>
      <c r="F3914" s="394">
        <v>0</v>
      </c>
      <c r="G3914" s="394"/>
      <c r="H3914" s="8" t="s">
        <v>235</v>
      </c>
      <c r="I3914" s="368">
        <f t="shared" si="184"/>
        <v>0</v>
      </c>
      <c r="J3914" s="365">
        <f t="shared" si="183"/>
        <v>0</v>
      </c>
      <c r="K3914" s="369">
        <f t="shared" si="185"/>
        <v>6</v>
      </c>
      <c r="L3914" s="369">
        <f>+IF((C3914&gt;='Resultats - informe'!$E$16)*(C3914&lt;='Resultats - informe'!$G$16),1,0)</f>
        <v>1</v>
      </c>
      <c r="M3914" s="369" cm="1">
        <f t="array" ref="M3914">+_xlfn.IFS((C3914&gt;='Resultats - informe'!$D$26)*(C3914&lt;='Resultats - informe'!$E$26),0,(C3914&gt;='Resultats - informe'!$D$27)*(C3914&lt;='Resultats - informe'!$E$27),0,(C3914&gt;='Resultats - informe'!$D$28)*(C3914&lt;='Resultats - informe'!$E$28),0,(C3914&gt;='Resultats - informe'!$D$29)*(C3914&lt;='Resultats - informe'!$E$29),0,1,1)</f>
        <v>0</v>
      </c>
      <c r="N3914" s="366">
        <f>+VLOOKUP(D3914,'Resultats - informe'!$Y$18:$AG$42,'Introducció dades consum'!K3914+1,0)</f>
        <v>0</v>
      </c>
      <c r="O3914" s="370" cm="1">
        <f t="array" ref="O3914">+_xlfn.SWITCH(MONTH(C3914),1,1,2,1,3,1,4,2,5,2,6,3,7,3,8,3,9,3,10,2,11,2,12,1,2)</f>
        <v>1</v>
      </c>
      <c r="P3914" s="43"/>
    </row>
    <row r="3915" spans="1:16" ht="18" x14ac:dyDescent="0.35">
      <c r="A3915" s="43"/>
      <c r="C3915" s="393"/>
      <c r="E3915" s="394"/>
      <c r="F3915" s="394">
        <v>0</v>
      </c>
      <c r="G3915" s="394"/>
      <c r="H3915" s="8" t="s">
        <v>235</v>
      </c>
      <c r="I3915" s="368">
        <f t="shared" si="184"/>
        <v>0</v>
      </c>
      <c r="J3915" s="365">
        <f t="shared" si="183"/>
        <v>0</v>
      </c>
      <c r="K3915" s="369">
        <f t="shared" si="185"/>
        <v>6</v>
      </c>
      <c r="L3915" s="369">
        <f>+IF((C3915&gt;='Resultats - informe'!$E$16)*(C3915&lt;='Resultats - informe'!$G$16),1,0)</f>
        <v>1</v>
      </c>
      <c r="M3915" s="369" cm="1">
        <f t="array" ref="M3915">+_xlfn.IFS((C3915&gt;='Resultats - informe'!$D$26)*(C3915&lt;='Resultats - informe'!$E$26),0,(C3915&gt;='Resultats - informe'!$D$27)*(C3915&lt;='Resultats - informe'!$E$27),0,(C3915&gt;='Resultats - informe'!$D$28)*(C3915&lt;='Resultats - informe'!$E$28),0,(C3915&gt;='Resultats - informe'!$D$29)*(C3915&lt;='Resultats - informe'!$E$29),0,1,1)</f>
        <v>0</v>
      </c>
      <c r="N3915" s="366">
        <f>+VLOOKUP(D3915,'Resultats - informe'!$Y$18:$AG$42,'Introducció dades consum'!K3915+1,0)</f>
        <v>0</v>
      </c>
      <c r="O3915" s="370" cm="1">
        <f t="array" ref="O3915">+_xlfn.SWITCH(MONTH(C3915),1,1,2,1,3,1,4,2,5,2,6,3,7,3,8,3,9,3,10,2,11,2,12,1,2)</f>
        <v>1</v>
      </c>
      <c r="P3915" s="43"/>
    </row>
    <row r="3916" spans="1:16" ht="18" x14ac:dyDescent="0.35">
      <c r="A3916" s="43"/>
      <c r="C3916" s="393"/>
      <c r="E3916" s="394"/>
      <c r="F3916" s="394">
        <v>0</v>
      </c>
      <c r="G3916" s="394"/>
      <c r="H3916" s="8" t="s">
        <v>235</v>
      </c>
      <c r="I3916" s="368">
        <f t="shared" si="184"/>
        <v>0</v>
      </c>
      <c r="J3916" s="365">
        <f t="shared" si="183"/>
        <v>0</v>
      </c>
      <c r="K3916" s="369">
        <f t="shared" si="185"/>
        <v>6</v>
      </c>
      <c r="L3916" s="369">
        <f>+IF((C3916&gt;='Resultats - informe'!$E$16)*(C3916&lt;='Resultats - informe'!$G$16),1,0)</f>
        <v>1</v>
      </c>
      <c r="M3916" s="369" cm="1">
        <f t="array" ref="M3916">+_xlfn.IFS((C3916&gt;='Resultats - informe'!$D$26)*(C3916&lt;='Resultats - informe'!$E$26),0,(C3916&gt;='Resultats - informe'!$D$27)*(C3916&lt;='Resultats - informe'!$E$27),0,(C3916&gt;='Resultats - informe'!$D$28)*(C3916&lt;='Resultats - informe'!$E$28),0,(C3916&gt;='Resultats - informe'!$D$29)*(C3916&lt;='Resultats - informe'!$E$29),0,1,1)</f>
        <v>0</v>
      </c>
      <c r="N3916" s="366">
        <f>+VLOOKUP(D3916,'Resultats - informe'!$Y$18:$AG$42,'Introducció dades consum'!K3916+1,0)</f>
        <v>0</v>
      </c>
      <c r="O3916" s="370" cm="1">
        <f t="array" ref="O3916">+_xlfn.SWITCH(MONTH(C3916),1,1,2,1,3,1,4,2,5,2,6,3,7,3,8,3,9,3,10,2,11,2,12,1,2)</f>
        <v>1</v>
      </c>
      <c r="P3916" s="43"/>
    </row>
    <row r="3917" spans="1:16" ht="18" x14ac:dyDescent="0.35">
      <c r="A3917" s="43"/>
      <c r="C3917" s="393"/>
      <c r="E3917" s="394"/>
      <c r="F3917" s="394">
        <v>0</v>
      </c>
      <c r="G3917" s="394"/>
      <c r="H3917" s="8" t="s">
        <v>235</v>
      </c>
      <c r="I3917" s="368">
        <f t="shared" si="184"/>
        <v>0</v>
      </c>
      <c r="J3917" s="365">
        <f t="shared" si="183"/>
        <v>0</v>
      </c>
      <c r="K3917" s="369">
        <f t="shared" si="185"/>
        <v>6</v>
      </c>
      <c r="L3917" s="369">
        <f>+IF((C3917&gt;='Resultats - informe'!$E$16)*(C3917&lt;='Resultats - informe'!$G$16),1,0)</f>
        <v>1</v>
      </c>
      <c r="M3917" s="369" cm="1">
        <f t="array" ref="M3917">+_xlfn.IFS((C3917&gt;='Resultats - informe'!$D$26)*(C3917&lt;='Resultats - informe'!$E$26),0,(C3917&gt;='Resultats - informe'!$D$27)*(C3917&lt;='Resultats - informe'!$E$27),0,(C3917&gt;='Resultats - informe'!$D$28)*(C3917&lt;='Resultats - informe'!$E$28),0,(C3917&gt;='Resultats - informe'!$D$29)*(C3917&lt;='Resultats - informe'!$E$29),0,1,1)</f>
        <v>0</v>
      </c>
      <c r="N3917" s="366">
        <f>+VLOOKUP(D3917,'Resultats - informe'!$Y$18:$AG$42,'Introducció dades consum'!K3917+1,0)</f>
        <v>0</v>
      </c>
      <c r="O3917" s="370" cm="1">
        <f t="array" ref="O3917">+_xlfn.SWITCH(MONTH(C3917),1,1,2,1,3,1,4,2,5,2,6,3,7,3,8,3,9,3,10,2,11,2,12,1,2)</f>
        <v>1</v>
      </c>
      <c r="P3917" s="43"/>
    </row>
    <row r="3918" spans="1:16" ht="18" x14ac:dyDescent="0.35">
      <c r="A3918" s="43"/>
      <c r="C3918" s="393"/>
      <c r="E3918" s="394"/>
      <c r="F3918" s="394">
        <v>0</v>
      </c>
      <c r="G3918" s="394"/>
      <c r="H3918" s="8" t="s">
        <v>235</v>
      </c>
      <c r="I3918" s="368">
        <f t="shared" si="184"/>
        <v>0</v>
      </c>
      <c r="J3918" s="365">
        <f t="shared" si="183"/>
        <v>0</v>
      </c>
      <c r="K3918" s="369">
        <f t="shared" si="185"/>
        <v>6</v>
      </c>
      <c r="L3918" s="369">
        <f>+IF((C3918&gt;='Resultats - informe'!$E$16)*(C3918&lt;='Resultats - informe'!$G$16),1,0)</f>
        <v>1</v>
      </c>
      <c r="M3918" s="369" cm="1">
        <f t="array" ref="M3918">+_xlfn.IFS((C3918&gt;='Resultats - informe'!$D$26)*(C3918&lt;='Resultats - informe'!$E$26),0,(C3918&gt;='Resultats - informe'!$D$27)*(C3918&lt;='Resultats - informe'!$E$27),0,(C3918&gt;='Resultats - informe'!$D$28)*(C3918&lt;='Resultats - informe'!$E$28),0,(C3918&gt;='Resultats - informe'!$D$29)*(C3918&lt;='Resultats - informe'!$E$29),0,1,1)</f>
        <v>0</v>
      </c>
      <c r="N3918" s="366">
        <f>+VLOOKUP(D3918,'Resultats - informe'!$Y$18:$AG$42,'Introducció dades consum'!K3918+1,0)</f>
        <v>0</v>
      </c>
      <c r="O3918" s="370" cm="1">
        <f t="array" ref="O3918">+_xlfn.SWITCH(MONTH(C3918),1,1,2,1,3,1,4,2,5,2,6,3,7,3,8,3,9,3,10,2,11,2,12,1,2)</f>
        <v>1</v>
      </c>
      <c r="P3918" s="43"/>
    </row>
    <row r="3919" spans="1:16" ht="18" x14ac:dyDescent="0.35">
      <c r="A3919" s="43"/>
      <c r="C3919" s="393"/>
      <c r="E3919" s="394"/>
      <c r="F3919" s="394">
        <v>0</v>
      </c>
      <c r="G3919" s="394"/>
      <c r="H3919" s="8" t="s">
        <v>235</v>
      </c>
      <c r="I3919" s="368">
        <f t="shared" si="184"/>
        <v>0</v>
      </c>
      <c r="J3919" s="365">
        <f t="shared" si="183"/>
        <v>0</v>
      </c>
      <c r="K3919" s="369">
        <f t="shared" si="185"/>
        <v>6</v>
      </c>
      <c r="L3919" s="369">
        <f>+IF((C3919&gt;='Resultats - informe'!$E$16)*(C3919&lt;='Resultats - informe'!$G$16),1,0)</f>
        <v>1</v>
      </c>
      <c r="M3919" s="369" cm="1">
        <f t="array" ref="M3919">+_xlfn.IFS((C3919&gt;='Resultats - informe'!$D$26)*(C3919&lt;='Resultats - informe'!$E$26),0,(C3919&gt;='Resultats - informe'!$D$27)*(C3919&lt;='Resultats - informe'!$E$27),0,(C3919&gt;='Resultats - informe'!$D$28)*(C3919&lt;='Resultats - informe'!$E$28),0,(C3919&gt;='Resultats - informe'!$D$29)*(C3919&lt;='Resultats - informe'!$E$29),0,1,1)</f>
        <v>0</v>
      </c>
      <c r="N3919" s="366">
        <f>+VLOOKUP(D3919,'Resultats - informe'!$Y$18:$AG$42,'Introducció dades consum'!K3919+1,0)</f>
        <v>0</v>
      </c>
      <c r="O3919" s="370" cm="1">
        <f t="array" ref="O3919">+_xlfn.SWITCH(MONTH(C3919),1,1,2,1,3,1,4,2,5,2,6,3,7,3,8,3,9,3,10,2,11,2,12,1,2)</f>
        <v>1</v>
      </c>
      <c r="P3919" s="43"/>
    </row>
    <row r="3920" spans="1:16" ht="18" x14ac:dyDescent="0.35">
      <c r="A3920" s="43"/>
      <c r="C3920" s="393"/>
      <c r="E3920" s="394"/>
      <c r="F3920" s="394">
        <v>0</v>
      </c>
      <c r="G3920" s="394"/>
      <c r="H3920" s="8" t="s">
        <v>61</v>
      </c>
      <c r="I3920" s="368">
        <f t="shared" si="184"/>
        <v>0</v>
      </c>
      <c r="J3920" s="365">
        <f t="shared" si="183"/>
        <v>0</v>
      </c>
      <c r="K3920" s="369">
        <f t="shared" si="185"/>
        <v>6</v>
      </c>
      <c r="L3920" s="369">
        <f>+IF((C3920&gt;='Resultats - informe'!$E$16)*(C3920&lt;='Resultats - informe'!$G$16),1,0)</f>
        <v>1</v>
      </c>
      <c r="M3920" s="369" cm="1">
        <f t="array" ref="M3920">+_xlfn.IFS((C3920&gt;='Resultats - informe'!$D$26)*(C3920&lt;='Resultats - informe'!$E$26),0,(C3920&gt;='Resultats - informe'!$D$27)*(C3920&lt;='Resultats - informe'!$E$27),0,(C3920&gt;='Resultats - informe'!$D$28)*(C3920&lt;='Resultats - informe'!$E$28),0,(C3920&gt;='Resultats - informe'!$D$29)*(C3920&lt;='Resultats - informe'!$E$29),0,1,1)</f>
        <v>0</v>
      </c>
      <c r="N3920" s="366">
        <f>+VLOOKUP(D3920,'Resultats - informe'!$Y$18:$AG$42,'Introducció dades consum'!K3920+1,0)</f>
        <v>0</v>
      </c>
      <c r="O3920" s="370" cm="1">
        <f t="array" ref="O3920">+_xlfn.SWITCH(MONTH(C3920),1,1,2,1,3,1,4,2,5,2,6,3,7,3,8,3,9,3,10,2,11,2,12,1,2)</f>
        <v>1</v>
      </c>
      <c r="P3920" s="43"/>
    </row>
    <row r="3921" spans="1:16" ht="18" x14ac:dyDescent="0.35">
      <c r="A3921" s="43"/>
      <c r="C3921" s="393"/>
      <c r="E3921" s="394"/>
      <c r="F3921" s="394">
        <v>0</v>
      </c>
      <c r="G3921" s="394"/>
      <c r="H3921" s="8" t="s">
        <v>61</v>
      </c>
      <c r="I3921" s="368">
        <f t="shared" si="184"/>
        <v>0</v>
      </c>
      <c r="J3921" s="365">
        <f t="shared" si="183"/>
        <v>0</v>
      </c>
      <c r="K3921" s="369">
        <f t="shared" si="185"/>
        <v>6</v>
      </c>
      <c r="L3921" s="369">
        <f>+IF((C3921&gt;='Resultats - informe'!$E$16)*(C3921&lt;='Resultats - informe'!$G$16),1,0)</f>
        <v>1</v>
      </c>
      <c r="M3921" s="369" cm="1">
        <f t="array" ref="M3921">+_xlfn.IFS((C3921&gt;='Resultats - informe'!$D$26)*(C3921&lt;='Resultats - informe'!$E$26),0,(C3921&gt;='Resultats - informe'!$D$27)*(C3921&lt;='Resultats - informe'!$E$27),0,(C3921&gt;='Resultats - informe'!$D$28)*(C3921&lt;='Resultats - informe'!$E$28),0,(C3921&gt;='Resultats - informe'!$D$29)*(C3921&lt;='Resultats - informe'!$E$29),0,1,1)</f>
        <v>0</v>
      </c>
      <c r="N3921" s="366">
        <f>+VLOOKUP(D3921,'Resultats - informe'!$Y$18:$AG$42,'Introducció dades consum'!K3921+1,0)</f>
        <v>0</v>
      </c>
      <c r="O3921" s="370" cm="1">
        <f t="array" ref="O3921">+_xlfn.SWITCH(MONTH(C3921),1,1,2,1,3,1,4,2,5,2,6,3,7,3,8,3,9,3,10,2,11,2,12,1,2)</f>
        <v>1</v>
      </c>
      <c r="P3921" s="43"/>
    </row>
    <row r="3922" spans="1:16" ht="18" x14ac:dyDescent="0.35">
      <c r="A3922" s="43"/>
      <c r="C3922" s="393"/>
      <c r="E3922" s="394"/>
      <c r="F3922" s="394">
        <v>0</v>
      </c>
      <c r="G3922" s="394"/>
      <c r="H3922" s="8" t="s">
        <v>61</v>
      </c>
      <c r="I3922" s="368">
        <f t="shared" si="184"/>
        <v>0</v>
      </c>
      <c r="J3922" s="365">
        <f t="shared" si="183"/>
        <v>0</v>
      </c>
      <c r="K3922" s="369">
        <f t="shared" si="185"/>
        <v>6</v>
      </c>
      <c r="L3922" s="369">
        <f>+IF((C3922&gt;='Resultats - informe'!$E$16)*(C3922&lt;='Resultats - informe'!$G$16),1,0)</f>
        <v>1</v>
      </c>
      <c r="M3922" s="369" cm="1">
        <f t="array" ref="M3922">+_xlfn.IFS((C3922&gt;='Resultats - informe'!$D$26)*(C3922&lt;='Resultats - informe'!$E$26),0,(C3922&gt;='Resultats - informe'!$D$27)*(C3922&lt;='Resultats - informe'!$E$27),0,(C3922&gt;='Resultats - informe'!$D$28)*(C3922&lt;='Resultats - informe'!$E$28),0,(C3922&gt;='Resultats - informe'!$D$29)*(C3922&lt;='Resultats - informe'!$E$29),0,1,1)</f>
        <v>0</v>
      </c>
      <c r="N3922" s="366">
        <f>+VLOOKUP(D3922,'Resultats - informe'!$Y$18:$AG$42,'Introducció dades consum'!K3922+1,0)</f>
        <v>0</v>
      </c>
      <c r="O3922" s="370" cm="1">
        <f t="array" ref="O3922">+_xlfn.SWITCH(MONTH(C3922),1,1,2,1,3,1,4,2,5,2,6,3,7,3,8,3,9,3,10,2,11,2,12,1,2)</f>
        <v>1</v>
      </c>
      <c r="P3922" s="43"/>
    </row>
    <row r="3923" spans="1:16" ht="18" x14ac:dyDescent="0.35">
      <c r="A3923" s="43"/>
      <c r="C3923" s="393"/>
      <c r="E3923" s="394"/>
      <c r="F3923" s="394">
        <v>0</v>
      </c>
      <c r="G3923" s="394"/>
      <c r="H3923" s="8" t="s">
        <v>61</v>
      </c>
      <c r="I3923" s="368">
        <f t="shared" si="184"/>
        <v>0</v>
      </c>
      <c r="J3923" s="365">
        <f t="shared" si="183"/>
        <v>0</v>
      </c>
      <c r="K3923" s="369">
        <f t="shared" si="185"/>
        <v>6</v>
      </c>
      <c r="L3923" s="369">
        <f>+IF((C3923&gt;='Resultats - informe'!$E$16)*(C3923&lt;='Resultats - informe'!$G$16),1,0)</f>
        <v>1</v>
      </c>
      <c r="M3923" s="369" cm="1">
        <f t="array" ref="M3923">+_xlfn.IFS((C3923&gt;='Resultats - informe'!$D$26)*(C3923&lt;='Resultats - informe'!$E$26),0,(C3923&gt;='Resultats - informe'!$D$27)*(C3923&lt;='Resultats - informe'!$E$27),0,(C3923&gt;='Resultats - informe'!$D$28)*(C3923&lt;='Resultats - informe'!$E$28),0,(C3923&gt;='Resultats - informe'!$D$29)*(C3923&lt;='Resultats - informe'!$E$29),0,1,1)</f>
        <v>0</v>
      </c>
      <c r="N3923" s="366">
        <f>+VLOOKUP(D3923,'Resultats - informe'!$Y$18:$AG$42,'Introducció dades consum'!K3923+1,0)</f>
        <v>0</v>
      </c>
      <c r="O3923" s="370" cm="1">
        <f t="array" ref="O3923">+_xlfn.SWITCH(MONTH(C3923),1,1,2,1,3,1,4,2,5,2,6,3,7,3,8,3,9,3,10,2,11,2,12,1,2)</f>
        <v>1</v>
      </c>
      <c r="P3923" s="43"/>
    </row>
    <row r="3924" spans="1:16" ht="18" x14ac:dyDescent="0.35">
      <c r="A3924" s="43"/>
      <c r="C3924" s="393"/>
      <c r="E3924" s="394"/>
      <c r="F3924" s="394">
        <v>0</v>
      </c>
      <c r="G3924" s="394"/>
      <c r="H3924" s="8" t="s">
        <v>61</v>
      </c>
      <c r="I3924" s="368">
        <f t="shared" si="184"/>
        <v>0</v>
      </c>
      <c r="J3924" s="365">
        <f t="shared" si="183"/>
        <v>0</v>
      </c>
      <c r="K3924" s="369">
        <f t="shared" si="185"/>
        <v>6</v>
      </c>
      <c r="L3924" s="369">
        <f>+IF((C3924&gt;='Resultats - informe'!$E$16)*(C3924&lt;='Resultats - informe'!$G$16),1,0)</f>
        <v>1</v>
      </c>
      <c r="M3924" s="369" cm="1">
        <f t="array" ref="M3924">+_xlfn.IFS((C3924&gt;='Resultats - informe'!$D$26)*(C3924&lt;='Resultats - informe'!$E$26),0,(C3924&gt;='Resultats - informe'!$D$27)*(C3924&lt;='Resultats - informe'!$E$27),0,(C3924&gt;='Resultats - informe'!$D$28)*(C3924&lt;='Resultats - informe'!$E$28),0,(C3924&gt;='Resultats - informe'!$D$29)*(C3924&lt;='Resultats - informe'!$E$29),0,1,1)</f>
        <v>0</v>
      </c>
      <c r="N3924" s="366">
        <f>+VLOOKUP(D3924,'Resultats - informe'!$Y$18:$AG$42,'Introducció dades consum'!K3924+1,0)</f>
        <v>0</v>
      </c>
      <c r="O3924" s="370" cm="1">
        <f t="array" ref="O3924">+_xlfn.SWITCH(MONTH(C3924),1,1,2,1,3,1,4,2,5,2,6,3,7,3,8,3,9,3,10,2,11,2,12,1,2)</f>
        <v>1</v>
      </c>
      <c r="P3924" s="43"/>
    </row>
    <row r="3925" spans="1:16" ht="18" x14ac:dyDescent="0.35">
      <c r="A3925" s="43"/>
      <c r="C3925" s="393"/>
      <c r="E3925" s="394"/>
      <c r="F3925" s="394">
        <v>0.98899999999999999</v>
      </c>
      <c r="G3925" s="394"/>
      <c r="H3925" s="8" t="s">
        <v>61</v>
      </c>
      <c r="I3925" s="368">
        <f t="shared" si="184"/>
        <v>0</v>
      </c>
      <c r="J3925" s="365">
        <f t="shared" si="183"/>
        <v>0</v>
      </c>
      <c r="K3925" s="369">
        <f t="shared" si="185"/>
        <v>6</v>
      </c>
      <c r="L3925" s="369">
        <f>+IF((C3925&gt;='Resultats - informe'!$E$16)*(C3925&lt;='Resultats - informe'!$G$16),1,0)</f>
        <v>1</v>
      </c>
      <c r="M3925" s="369" cm="1">
        <f t="array" ref="M3925">+_xlfn.IFS((C3925&gt;='Resultats - informe'!$D$26)*(C3925&lt;='Resultats - informe'!$E$26),0,(C3925&gt;='Resultats - informe'!$D$27)*(C3925&lt;='Resultats - informe'!$E$27),0,(C3925&gt;='Resultats - informe'!$D$28)*(C3925&lt;='Resultats - informe'!$E$28),0,(C3925&gt;='Resultats - informe'!$D$29)*(C3925&lt;='Resultats - informe'!$E$29),0,1,1)</f>
        <v>0</v>
      </c>
      <c r="N3925" s="366">
        <f>+VLOOKUP(D3925,'Resultats - informe'!$Y$18:$AG$42,'Introducció dades consum'!K3925+1,0)</f>
        <v>0</v>
      </c>
      <c r="O3925" s="370" cm="1">
        <f t="array" ref="O3925">+_xlfn.SWITCH(MONTH(C3925),1,1,2,1,3,1,4,2,5,2,6,3,7,3,8,3,9,3,10,2,11,2,12,1,2)</f>
        <v>1</v>
      </c>
      <c r="P3925" s="43"/>
    </row>
    <row r="3926" spans="1:16" ht="18" x14ac:dyDescent="0.35">
      <c r="A3926" s="43"/>
      <c r="C3926" s="393"/>
      <c r="E3926" s="394"/>
      <c r="F3926" s="394">
        <v>4.5039999999999996</v>
      </c>
      <c r="G3926" s="394"/>
      <c r="H3926" s="8" t="s">
        <v>235</v>
      </c>
      <c r="I3926" s="368">
        <f t="shared" si="184"/>
        <v>0</v>
      </c>
      <c r="J3926" s="365">
        <f t="shared" si="183"/>
        <v>0</v>
      </c>
      <c r="K3926" s="369">
        <f t="shared" si="185"/>
        <v>6</v>
      </c>
      <c r="L3926" s="369">
        <f>+IF((C3926&gt;='Resultats - informe'!$E$16)*(C3926&lt;='Resultats - informe'!$G$16),1,0)</f>
        <v>1</v>
      </c>
      <c r="M3926" s="369" cm="1">
        <f t="array" ref="M3926">+_xlfn.IFS((C3926&gt;='Resultats - informe'!$D$26)*(C3926&lt;='Resultats - informe'!$E$26),0,(C3926&gt;='Resultats - informe'!$D$27)*(C3926&lt;='Resultats - informe'!$E$27),0,(C3926&gt;='Resultats - informe'!$D$28)*(C3926&lt;='Resultats - informe'!$E$28),0,(C3926&gt;='Resultats - informe'!$D$29)*(C3926&lt;='Resultats - informe'!$E$29),0,1,1)</f>
        <v>0</v>
      </c>
      <c r="N3926" s="366">
        <f>+VLOOKUP(D3926,'Resultats - informe'!$Y$18:$AG$42,'Introducció dades consum'!K3926+1,0)</f>
        <v>0</v>
      </c>
      <c r="O3926" s="370" cm="1">
        <f t="array" ref="O3926">+_xlfn.SWITCH(MONTH(C3926),1,1,2,1,3,1,4,2,5,2,6,3,7,3,8,3,9,3,10,2,11,2,12,1,2)</f>
        <v>1</v>
      </c>
      <c r="P3926" s="43"/>
    </row>
    <row r="3927" spans="1:16" ht="18" x14ac:dyDescent="0.35">
      <c r="A3927" s="43"/>
      <c r="C3927" s="393"/>
      <c r="E3927" s="394"/>
      <c r="F3927" s="394">
        <v>5.117</v>
      </c>
      <c r="G3927" s="394"/>
      <c r="H3927" s="8" t="s">
        <v>235</v>
      </c>
      <c r="I3927" s="368">
        <f t="shared" si="184"/>
        <v>0</v>
      </c>
      <c r="J3927" s="365">
        <f t="shared" si="183"/>
        <v>0</v>
      </c>
      <c r="K3927" s="369">
        <f t="shared" si="185"/>
        <v>6</v>
      </c>
      <c r="L3927" s="369">
        <f>+IF((C3927&gt;='Resultats - informe'!$E$16)*(C3927&lt;='Resultats - informe'!$G$16),1,0)</f>
        <v>1</v>
      </c>
      <c r="M3927" s="369" cm="1">
        <f t="array" ref="M3927">+_xlfn.IFS((C3927&gt;='Resultats - informe'!$D$26)*(C3927&lt;='Resultats - informe'!$E$26),0,(C3927&gt;='Resultats - informe'!$D$27)*(C3927&lt;='Resultats - informe'!$E$27),0,(C3927&gt;='Resultats - informe'!$D$28)*(C3927&lt;='Resultats - informe'!$E$28),0,(C3927&gt;='Resultats - informe'!$D$29)*(C3927&lt;='Resultats - informe'!$E$29),0,1,1)</f>
        <v>0</v>
      </c>
      <c r="N3927" s="366">
        <f>+VLOOKUP(D3927,'Resultats - informe'!$Y$18:$AG$42,'Introducció dades consum'!K3927+1,0)</f>
        <v>0</v>
      </c>
      <c r="O3927" s="370" cm="1">
        <f t="array" ref="O3927">+_xlfn.SWITCH(MONTH(C3927),1,1,2,1,3,1,4,2,5,2,6,3,7,3,8,3,9,3,10,2,11,2,12,1,2)</f>
        <v>1</v>
      </c>
      <c r="P3927" s="43"/>
    </row>
    <row r="3928" spans="1:16" ht="18" x14ac:dyDescent="0.35">
      <c r="A3928" s="43"/>
      <c r="C3928" s="393"/>
      <c r="E3928" s="394"/>
      <c r="F3928" s="394">
        <v>3.7130000000000001</v>
      </c>
      <c r="G3928" s="394"/>
      <c r="H3928" s="8" t="s">
        <v>61</v>
      </c>
      <c r="I3928" s="368">
        <f t="shared" si="184"/>
        <v>0</v>
      </c>
      <c r="J3928" s="365">
        <f t="shared" si="183"/>
        <v>0</v>
      </c>
      <c r="K3928" s="369">
        <f t="shared" si="185"/>
        <v>6</v>
      </c>
      <c r="L3928" s="369">
        <f>+IF((C3928&gt;='Resultats - informe'!$E$16)*(C3928&lt;='Resultats - informe'!$G$16),1,0)</f>
        <v>1</v>
      </c>
      <c r="M3928" s="369" cm="1">
        <f t="array" ref="M3928">+_xlfn.IFS((C3928&gt;='Resultats - informe'!$D$26)*(C3928&lt;='Resultats - informe'!$E$26),0,(C3928&gt;='Resultats - informe'!$D$27)*(C3928&lt;='Resultats - informe'!$E$27),0,(C3928&gt;='Resultats - informe'!$D$28)*(C3928&lt;='Resultats - informe'!$E$28),0,(C3928&gt;='Resultats - informe'!$D$29)*(C3928&lt;='Resultats - informe'!$E$29),0,1,1)</f>
        <v>0</v>
      </c>
      <c r="N3928" s="366">
        <f>+VLOOKUP(D3928,'Resultats - informe'!$Y$18:$AG$42,'Introducció dades consum'!K3928+1,0)</f>
        <v>0</v>
      </c>
      <c r="O3928" s="370" cm="1">
        <f t="array" ref="O3928">+_xlfn.SWITCH(MONTH(C3928),1,1,2,1,3,1,4,2,5,2,6,3,7,3,8,3,9,3,10,2,11,2,12,1,2)</f>
        <v>1</v>
      </c>
      <c r="P3928" s="43"/>
    </row>
    <row r="3929" spans="1:16" ht="18" x14ac:dyDescent="0.35">
      <c r="A3929" s="43"/>
      <c r="C3929" s="393"/>
      <c r="E3929" s="394"/>
      <c r="F3929" s="394">
        <v>5.3970000000000002</v>
      </c>
      <c r="G3929" s="394"/>
      <c r="H3929" s="8" t="s">
        <v>61</v>
      </c>
      <c r="I3929" s="368">
        <f t="shared" si="184"/>
        <v>0</v>
      </c>
      <c r="J3929" s="365">
        <f t="shared" si="183"/>
        <v>0</v>
      </c>
      <c r="K3929" s="369">
        <f t="shared" si="185"/>
        <v>6</v>
      </c>
      <c r="L3929" s="369">
        <f>+IF((C3929&gt;='Resultats - informe'!$E$16)*(C3929&lt;='Resultats - informe'!$G$16),1,0)</f>
        <v>1</v>
      </c>
      <c r="M3929" s="369" cm="1">
        <f t="array" ref="M3929">+_xlfn.IFS((C3929&gt;='Resultats - informe'!$D$26)*(C3929&lt;='Resultats - informe'!$E$26),0,(C3929&gt;='Resultats - informe'!$D$27)*(C3929&lt;='Resultats - informe'!$E$27),0,(C3929&gt;='Resultats - informe'!$D$28)*(C3929&lt;='Resultats - informe'!$E$28),0,(C3929&gt;='Resultats - informe'!$D$29)*(C3929&lt;='Resultats - informe'!$E$29),0,1,1)</f>
        <v>0</v>
      </c>
      <c r="N3929" s="366">
        <f>+VLOOKUP(D3929,'Resultats - informe'!$Y$18:$AG$42,'Introducció dades consum'!K3929+1,0)</f>
        <v>0</v>
      </c>
      <c r="O3929" s="370" cm="1">
        <f t="array" ref="O3929">+_xlfn.SWITCH(MONTH(C3929),1,1,2,1,3,1,4,2,5,2,6,3,7,3,8,3,9,3,10,2,11,2,12,1,2)</f>
        <v>1</v>
      </c>
      <c r="P3929" s="43"/>
    </row>
    <row r="3930" spans="1:16" ht="18" x14ac:dyDescent="0.35">
      <c r="A3930" s="43"/>
      <c r="C3930" s="393"/>
      <c r="E3930" s="394"/>
      <c r="F3930" s="394">
        <v>2.7730000000000001</v>
      </c>
      <c r="G3930" s="394"/>
      <c r="H3930" s="8" t="s">
        <v>235</v>
      </c>
      <c r="I3930" s="368">
        <f t="shared" si="184"/>
        <v>0</v>
      </c>
      <c r="J3930" s="365">
        <f t="shared" si="183"/>
        <v>0</v>
      </c>
      <c r="K3930" s="369">
        <f t="shared" si="185"/>
        <v>6</v>
      </c>
      <c r="L3930" s="369">
        <f>+IF((C3930&gt;='Resultats - informe'!$E$16)*(C3930&lt;='Resultats - informe'!$G$16),1,0)</f>
        <v>1</v>
      </c>
      <c r="M3930" s="369" cm="1">
        <f t="array" ref="M3930">+_xlfn.IFS((C3930&gt;='Resultats - informe'!$D$26)*(C3930&lt;='Resultats - informe'!$E$26),0,(C3930&gt;='Resultats - informe'!$D$27)*(C3930&lt;='Resultats - informe'!$E$27),0,(C3930&gt;='Resultats - informe'!$D$28)*(C3930&lt;='Resultats - informe'!$E$28),0,(C3930&gt;='Resultats - informe'!$D$29)*(C3930&lt;='Resultats - informe'!$E$29),0,1,1)</f>
        <v>0</v>
      </c>
      <c r="N3930" s="366">
        <f>+VLOOKUP(D3930,'Resultats - informe'!$Y$18:$AG$42,'Introducció dades consum'!K3930+1,0)</f>
        <v>0</v>
      </c>
      <c r="O3930" s="370" cm="1">
        <f t="array" ref="O3930">+_xlfn.SWITCH(MONTH(C3930),1,1,2,1,3,1,4,2,5,2,6,3,7,3,8,3,9,3,10,2,11,2,12,1,2)</f>
        <v>1</v>
      </c>
      <c r="P3930" s="43"/>
    </row>
    <row r="3931" spans="1:16" ht="18" x14ac:dyDescent="0.35">
      <c r="A3931" s="43"/>
      <c r="C3931" s="393"/>
      <c r="E3931" s="394"/>
      <c r="F3931" s="394">
        <v>2.577</v>
      </c>
      <c r="G3931" s="394"/>
      <c r="H3931" s="8" t="s">
        <v>235</v>
      </c>
      <c r="I3931" s="368">
        <f t="shared" si="184"/>
        <v>0</v>
      </c>
      <c r="J3931" s="365">
        <f t="shared" si="183"/>
        <v>0</v>
      </c>
      <c r="K3931" s="369">
        <f t="shared" si="185"/>
        <v>6</v>
      </c>
      <c r="L3931" s="369">
        <f>+IF((C3931&gt;='Resultats - informe'!$E$16)*(C3931&lt;='Resultats - informe'!$G$16),1,0)</f>
        <v>1</v>
      </c>
      <c r="M3931" s="369" cm="1">
        <f t="array" ref="M3931">+_xlfn.IFS((C3931&gt;='Resultats - informe'!$D$26)*(C3931&lt;='Resultats - informe'!$E$26),0,(C3931&gt;='Resultats - informe'!$D$27)*(C3931&lt;='Resultats - informe'!$E$27),0,(C3931&gt;='Resultats - informe'!$D$28)*(C3931&lt;='Resultats - informe'!$E$28),0,(C3931&gt;='Resultats - informe'!$D$29)*(C3931&lt;='Resultats - informe'!$E$29),0,1,1)</f>
        <v>0</v>
      </c>
      <c r="N3931" s="366">
        <f>+VLOOKUP(D3931,'Resultats - informe'!$Y$18:$AG$42,'Introducció dades consum'!K3931+1,0)</f>
        <v>0</v>
      </c>
      <c r="O3931" s="370" cm="1">
        <f t="array" ref="O3931">+_xlfn.SWITCH(MONTH(C3931),1,1,2,1,3,1,4,2,5,2,6,3,7,3,8,3,9,3,10,2,11,2,12,1,2)</f>
        <v>1</v>
      </c>
      <c r="P3931" s="43"/>
    </row>
    <row r="3932" spans="1:16" ht="18" x14ac:dyDescent="0.35">
      <c r="A3932" s="43"/>
      <c r="C3932" s="393"/>
      <c r="E3932" s="394"/>
      <c r="F3932" s="394">
        <v>5.1310000000000002</v>
      </c>
      <c r="G3932" s="394"/>
      <c r="H3932" s="8" t="s">
        <v>61</v>
      </c>
      <c r="I3932" s="368">
        <f t="shared" si="184"/>
        <v>0</v>
      </c>
      <c r="J3932" s="365">
        <f t="shared" si="183"/>
        <v>0</v>
      </c>
      <c r="K3932" s="369">
        <f t="shared" si="185"/>
        <v>6</v>
      </c>
      <c r="L3932" s="369">
        <f>+IF((C3932&gt;='Resultats - informe'!$E$16)*(C3932&lt;='Resultats - informe'!$G$16),1,0)</f>
        <v>1</v>
      </c>
      <c r="M3932" s="369" cm="1">
        <f t="array" ref="M3932">+_xlfn.IFS((C3932&gt;='Resultats - informe'!$D$26)*(C3932&lt;='Resultats - informe'!$E$26),0,(C3932&gt;='Resultats - informe'!$D$27)*(C3932&lt;='Resultats - informe'!$E$27),0,(C3932&gt;='Resultats - informe'!$D$28)*(C3932&lt;='Resultats - informe'!$E$28),0,(C3932&gt;='Resultats - informe'!$D$29)*(C3932&lt;='Resultats - informe'!$E$29),0,1,1)</f>
        <v>0</v>
      </c>
      <c r="N3932" s="366">
        <f>+VLOOKUP(D3932,'Resultats - informe'!$Y$18:$AG$42,'Introducció dades consum'!K3932+1,0)</f>
        <v>0</v>
      </c>
      <c r="O3932" s="370" cm="1">
        <f t="array" ref="O3932">+_xlfn.SWITCH(MONTH(C3932),1,1,2,1,3,1,4,2,5,2,6,3,7,3,8,3,9,3,10,2,11,2,12,1,2)</f>
        <v>1</v>
      </c>
      <c r="P3932" s="43"/>
    </row>
    <row r="3933" spans="1:16" ht="18" x14ac:dyDescent="0.35">
      <c r="A3933" s="43"/>
      <c r="C3933" s="393"/>
      <c r="E3933" s="394"/>
      <c r="F3933" s="394">
        <v>3.7370000000000001</v>
      </c>
      <c r="G3933" s="394"/>
      <c r="H3933" s="8" t="s">
        <v>61</v>
      </c>
      <c r="I3933" s="368">
        <f t="shared" si="184"/>
        <v>0</v>
      </c>
      <c r="J3933" s="365">
        <f t="shared" si="183"/>
        <v>0</v>
      </c>
      <c r="K3933" s="369">
        <f t="shared" si="185"/>
        <v>6</v>
      </c>
      <c r="L3933" s="369">
        <f>+IF((C3933&gt;='Resultats - informe'!$E$16)*(C3933&lt;='Resultats - informe'!$G$16),1,0)</f>
        <v>1</v>
      </c>
      <c r="M3933" s="369" cm="1">
        <f t="array" ref="M3933">+_xlfn.IFS((C3933&gt;='Resultats - informe'!$D$26)*(C3933&lt;='Resultats - informe'!$E$26),0,(C3933&gt;='Resultats - informe'!$D$27)*(C3933&lt;='Resultats - informe'!$E$27),0,(C3933&gt;='Resultats - informe'!$D$28)*(C3933&lt;='Resultats - informe'!$E$28),0,(C3933&gt;='Resultats - informe'!$D$29)*(C3933&lt;='Resultats - informe'!$E$29),0,1,1)</f>
        <v>0</v>
      </c>
      <c r="N3933" s="366">
        <f>+VLOOKUP(D3933,'Resultats - informe'!$Y$18:$AG$42,'Introducció dades consum'!K3933+1,0)</f>
        <v>0</v>
      </c>
      <c r="O3933" s="370" cm="1">
        <f t="array" ref="O3933">+_xlfn.SWITCH(MONTH(C3933),1,1,2,1,3,1,4,2,5,2,6,3,7,3,8,3,9,3,10,2,11,2,12,1,2)</f>
        <v>1</v>
      </c>
      <c r="P3933" s="43"/>
    </row>
    <row r="3934" spans="1:16" ht="18" x14ac:dyDescent="0.35">
      <c r="A3934" s="43"/>
      <c r="C3934" s="393"/>
      <c r="E3934" s="394"/>
      <c r="F3934" s="394">
        <v>0</v>
      </c>
      <c r="G3934" s="394"/>
      <c r="H3934" s="8" t="s">
        <v>235</v>
      </c>
      <c r="I3934" s="368">
        <f t="shared" si="184"/>
        <v>0</v>
      </c>
      <c r="J3934" s="365">
        <f t="shared" si="183"/>
        <v>0</v>
      </c>
      <c r="K3934" s="369">
        <f t="shared" si="185"/>
        <v>6</v>
      </c>
      <c r="L3934" s="369">
        <f>+IF((C3934&gt;='Resultats - informe'!$E$16)*(C3934&lt;='Resultats - informe'!$G$16),1,0)</f>
        <v>1</v>
      </c>
      <c r="M3934" s="369" cm="1">
        <f t="array" ref="M3934">+_xlfn.IFS((C3934&gt;='Resultats - informe'!$D$26)*(C3934&lt;='Resultats - informe'!$E$26),0,(C3934&gt;='Resultats - informe'!$D$27)*(C3934&lt;='Resultats - informe'!$E$27),0,(C3934&gt;='Resultats - informe'!$D$28)*(C3934&lt;='Resultats - informe'!$E$28),0,(C3934&gt;='Resultats - informe'!$D$29)*(C3934&lt;='Resultats - informe'!$E$29),0,1,1)</f>
        <v>0</v>
      </c>
      <c r="N3934" s="366">
        <f>+VLOOKUP(D3934,'Resultats - informe'!$Y$18:$AG$42,'Introducció dades consum'!K3934+1,0)</f>
        <v>0</v>
      </c>
      <c r="O3934" s="370" cm="1">
        <f t="array" ref="O3934">+_xlfn.SWITCH(MONTH(C3934),1,1,2,1,3,1,4,2,5,2,6,3,7,3,8,3,9,3,10,2,11,2,12,1,2)</f>
        <v>1</v>
      </c>
      <c r="P3934" s="43"/>
    </row>
    <row r="3935" spans="1:16" ht="18" x14ac:dyDescent="0.35">
      <c r="A3935" s="43"/>
      <c r="C3935" s="393"/>
      <c r="E3935" s="394"/>
      <c r="F3935" s="394">
        <v>0</v>
      </c>
      <c r="G3935" s="394"/>
      <c r="H3935" s="8" t="s">
        <v>235</v>
      </c>
      <c r="I3935" s="368">
        <f t="shared" si="184"/>
        <v>0</v>
      </c>
      <c r="J3935" s="365">
        <f t="shared" si="183"/>
        <v>0</v>
      </c>
      <c r="K3935" s="369">
        <f t="shared" si="185"/>
        <v>6</v>
      </c>
      <c r="L3935" s="369">
        <f>+IF((C3935&gt;='Resultats - informe'!$E$16)*(C3935&lt;='Resultats - informe'!$G$16),1,0)</f>
        <v>1</v>
      </c>
      <c r="M3935" s="369" cm="1">
        <f t="array" ref="M3935">+_xlfn.IFS((C3935&gt;='Resultats - informe'!$D$26)*(C3935&lt;='Resultats - informe'!$E$26),0,(C3935&gt;='Resultats - informe'!$D$27)*(C3935&lt;='Resultats - informe'!$E$27),0,(C3935&gt;='Resultats - informe'!$D$28)*(C3935&lt;='Resultats - informe'!$E$28),0,(C3935&gt;='Resultats - informe'!$D$29)*(C3935&lt;='Resultats - informe'!$E$29),0,1,1)</f>
        <v>0</v>
      </c>
      <c r="N3935" s="366">
        <f>+VLOOKUP(D3935,'Resultats - informe'!$Y$18:$AG$42,'Introducció dades consum'!K3935+1,0)</f>
        <v>0</v>
      </c>
      <c r="O3935" s="370" cm="1">
        <f t="array" ref="O3935">+_xlfn.SWITCH(MONTH(C3935),1,1,2,1,3,1,4,2,5,2,6,3,7,3,8,3,9,3,10,2,11,2,12,1,2)</f>
        <v>1</v>
      </c>
      <c r="P3935" s="43"/>
    </row>
    <row r="3936" spans="1:16" ht="18" x14ac:dyDescent="0.35">
      <c r="A3936" s="43"/>
      <c r="C3936" s="393"/>
      <c r="E3936" s="394"/>
      <c r="F3936" s="394">
        <v>0</v>
      </c>
      <c r="G3936" s="394"/>
      <c r="H3936" s="8" t="s">
        <v>61</v>
      </c>
      <c r="I3936" s="368">
        <f t="shared" si="184"/>
        <v>0</v>
      </c>
      <c r="J3936" s="365">
        <f t="shared" si="183"/>
        <v>0</v>
      </c>
      <c r="K3936" s="369">
        <f t="shared" si="185"/>
        <v>6</v>
      </c>
      <c r="L3936" s="369">
        <f>+IF((C3936&gt;='Resultats - informe'!$E$16)*(C3936&lt;='Resultats - informe'!$G$16),1,0)</f>
        <v>1</v>
      </c>
      <c r="M3936" s="369" cm="1">
        <f t="array" ref="M3936">+_xlfn.IFS((C3936&gt;='Resultats - informe'!$D$26)*(C3936&lt;='Resultats - informe'!$E$26),0,(C3936&gt;='Resultats - informe'!$D$27)*(C3936&lt;='Resultats - informe'!$E$27),0,(C3936&gt;='Resultats - informe'!$D$28)*(C3936&lt;='Resultats - informe'!$E$28),0,(C3936&gt;='Resultats - informe'!$D$29)*(C3936&lt;='Resultats - informe'!$E$29),0,1,1)</f>
        <v>0</v>
      </c>
      <c r="N3936" s="366">
        <f>+VLOOKUP(D3936,'Resultats - informe'!$Y$18:$AG$42,'Introducció dades consum'!K3936+1,0)</f>
        <v>0</v>
      </c>
      <c r="O3936" s="370" cm="1">
        <f t="array" ref="O3936">+_xlfn.SWITCH(MONTH(C3936),1,1,2,1,3,1,4,2,5,2,6,3,7,3,8,3,9,3,10,2,11,2,12,1,2)</f>
        <v>1</v>
      </c>
      <c r="P3936" s="43"/>
    </row>
    <row r="3937" spans="1:16" ht="18" x14ac:dyDescent="0.35">
      <c r="A3937" s="43"/>
      <c r="C3937" s="393"/>
      <c r="E3937" s="394"/>
      <c r="F3937" s="394">
        <v>0</v>
      </c>
      <c r="G3937" s="394"/>
      <c r="H3937" s="8" t="s">
        <v>235</v>
      </c>
      <c r="I3937" s="368">
        <f t="shared" si="184"/>
        <v>0</v>
      </c>
      <c r="J3937" s="365">
        <f t="shared" si="183"/>
        <v>0</v>
      </c>
      <c r="K3937" s="369">
        <f t="shared" si="185"/>
        <v>6</v>
      </c>
      <c r="L3937" s="369">
        <f>+IF((C3937&gt;='Resultats - informe'!$E$16)*(C3937&lt;='Resultats - informe'!$G$16),1,0)</f>
        <v>1</v>
      </c>
      <c r="M3937" s="369" cm="1">
        <f t="array" ref="M3937">+_xlfn.IFS((C3937&gt;='Resultats - informe'!$D$26)*(C3937&lt;='Resultats - informe'!$E$26),0,(C3937&gt;='Resultats - informe'!$D$27)*(C3937&lt;='Resultats - informe'!$E$27),0,(C3937&gt;='Resultats - informe'!$D$28)*(C3937&lt;='Resultats - informe'!$E$28),0,(C3937&gt;='Resultats - informe'!$D$29)*(C3937&lt;='Resultats - informe'!$E$29),0,1,1)</f>
        <v>0</v>
      </c>
      <c r="N3937" s="366">
        <f>+VLOOKUP(D3937,'Resultats - informe'!$Y$18:$AG$42,'Introducció dades consum'!K3937+1,0)</f>
        <v>0</v>
      </c>
      <c r="O3937" s="370" cm="1">
        <f t="array" ref="O3937">+_xlfn.SWITCH(MONTH(C3937),1,1,2,1,3,1,4,2,5,2,6,3,7,3,8,3,9,3,10,2,11,2,12,1,2)</f>
        <v>1</v>
      </c>
      <c r="P3937" s="43"/>
    </row>
    <row r="3938" spans="1:16" ht="18" x14ac:dyDescent="0.35">
      <c r="A3938" s="43"/>
      <c r="C3938" s="393"/>
      <c r="E3938" s="394"/>
      <c r="F3938" s="394">
        <v>0</v>
      </c>
      <c r="G3938" s="394"/>
      <c r="H3938" s="8" t="s">
        <v>235</v>
      </c>
      <c r="I3938" s="368">
        <f t="shared" si="184"/>
        <v>0</v>
      </c>
      <c r="J3938" s="365">
        <f t="shared" si="183"/>
        <v>0</v>
      </c>
      <c r="K3938" s="369">
        <f t="shared" si="185"/>
        <v>6</v>
      </c>
      <c r="L3938" s="369">
        <f>+IF((C3938&gt;='Resultats - informe'!$E$16)*(C3938&lt;='Resultats - informe'!$G$16),1,0)</f>
        <v>1</v>
      </c>
      <c r="M3938" s="369" cm="1">
        <f t="array" ref="M3938">+_xlfn.IFS((C3938&gt;='Resultats - informe'!$D$26)*(C3938&lt;='Resultats - informe'!$E$26),0,(C3938&gt;='Resultats - informe'!$D$27)*(C3938&lt;='Resultats - informe'!$E$27),0,(C3938&gt;='Resultats - informe'!$D$28)*(C3938&lt;='Resultats - informe'!$E$28),0,(C3938&gt;='Resultats - informe'!$D$29)*(C3938&lt;='Resultats - informe'!$E$29),0,1,1)</f>
        <v>0</v>
      </c>
      <c r="N3938" s="366">
        <f>+VLOOKUP(D3938,'Resultats - informe'!$Y$18:$AG$42,'Introducció dades consum'!K3938+1,0)</f>
        <v>0</v>
      </c>
      <c r="O3938" s="370" cm="1">
        <f t="array" ref="O3938">+_xlfn.SWITCH(MONTH(C3938),1,1,2,1,3,1,4,2,5,2,6,3,7,3,8,3,9,3,10,2,11,2,12,1,2)</f>
        <v>1</v>
      </c>
      <c r="P3938" s="43"/>
    </row>
    <row r="3939" spans="1:16" ht="18" x14ac:dyDescent="0.35">
      <c r="A3939" s="43"/>
      <c r="C3939" s="393"/>
      <c r="E3939" s="394"/>
      <c r="F3939" s="394">
        <v>0</v>
      </c>
      <c r="G3939" s="394"/>
      <c r="H3939" s="8" t="s">
        <v>235</v>
      </c>
      <c r="I3939" s="368">
        <f t="shared" si="184"/>
        <v>0</v>
      </c>
      <c r="J3939" s="365">
        <f t="shared" si="183"/>
        <v>0</v>
      </c>
      <c r="K3939" s="369">
        <f t="shared" si="185"/>
        <v>6</v>
      </c>
      <c r="L3939" s="369">
        <f>+IF((C3939&gt;='Resultats - informe'!$E$16)*(C3939&lt;='Resultats - informe'!$G$16),1,0)</f>
        <v>1</v>
      </c>
      <c r="M3939" s="369" cm="1">
        <f t="array" ref="M3939">+_xlfn.IFS((C3939&gt;='Resultats - informe'!$D$26)*(C3939&lt;='Resultats - informe'!$E$26),0,(C3939&gt;='Resultats - informe'!$D$27)*(C3939&lt;='Resultats - informe'!$E$27),0,(C3939&gt;='Resultats - informe'!$D$28)*(C3939&lt;='Resultats - informe'!$E$28),0,(C3939&gt;='Resultats - informe'!$D$29)*(C3939&lt;='Resultats - informe'!$E$29),0,1,1)</f>
        <v>0</v>
      </c>
      <c r="N3939" s="366">
        <f>+VLOOKUP(D3939,'Resultats - informe'!$Y$18:$AG$42,'Introducció dades consum'!K3939+1,0)</f>
        <v>0</v>
      </c>
      <c r="O3939" s="370" cm="1">
        <f t="array" ref="O3939">+_xlfn.SWITCH(MONTH(C3939),1,1,2,1,3,1,4,2,5,2,6,3,7,3,8,3,9,3,10,2,11,2,12,1,2)</f>
        <v>1</v>
      </c>
      <c r="P3939" s="43"/>
    </row>
    <row r="3940" spans="1:16" ht="18" x14ac:dyDescent="0.35">
      <c r="A3940" s="43"/>
      <c r="C3940" s="393"/>
      <c r="E3940" s="394"/>
      <c r="F3940" s="394">
        <v>0</v>
      </c>
      <c r="G3940" s="394"/>
      <c r="H3940" s="8" t="s">
        <v>235</v>
      </c>
      <c r="I3940" s="368">
        <f t="shared" si="184"/>
        <v>0</v>
      </c>
      <c r="J3940" s="365">
        <f t="shared" si="183"/>
        <v>0</v>
      </c>
      <c r="K3940" s="369">
        <f t="shared" si="185"/>
        <v>6</v>
      </c>
      <c r="L3940" s="369">
        <f>+IF((C3940&gt;='Resultats - informe'!$E$16)*(C3940&lt;='Resultats - informe'!$G$16),1,0)</f>
        <v>1</v>
      </c>
      <c r="M3940" s="369" cm="1">
        <f t="array" ref="M3940">+_xlfn.IFS((C3940&gt;='Resultats - informe'!$D$26)*(C3940&lt;='Resultats - informe'!$E$26),0,(C3940&gt;='Resultats - informe'!$D$27)*(C3940&lt;='Resultats - informe'!$E$27),0,(C3940&gt;='Resultats - informe'!$D$28)*(C3940&lt;='Resultats - informe'!$E$28),0,(C3940&gt;='Resultats - informe'!$D$29)*(C3940&lt;='Resultats - informe'!$E$29),0,1,1)</f>
        <v>0</v>
      </c>
      <c r="N3940" s="366">
        <f>+VLOOKUP(D3940,'Resultats - informe'!$Y$18:$AG$42,'Introducció dades consum'!K3940+1,0)</f>
        <v>0</v>
      </c>
      <c r="O3940" s="370" cm="1">
        <f t="array" ref="O3940">+_xlfn.SWITCH(MONTH(C3940),1,1,2,1,3,1,4,2,5,2,6,3,7,3,8,3,9,3,10,2,11,2,12,1,2)</f>
        <v>1</v>
      </c>
      <c r="P3940" s="43"/>
    </row>
    <row r="3941" spans="1:16" ht="18" x14ac:dyDescent="0.35">
      <c r="A3941" s="43"/>
      <c r="C3941" s="393"/>
      <c r="E3941" s="394"/>
      <c r="F3941" s="394">
        <v>0</v>
      </c>
      <c r="G3941" s="394"/>
      <c r="H3941" s="8" t="s">
        <v>61</v>
      </c>
      <c r="I3941" s="368">
        <f t="shared" si="184"/>
        <v>0</v>
      </c>
      <c r="J3941" s="365">
        <f t="shared" si="183"/>
        <v>0</v>
      </c>
      <c r="K3941" s="369">
        <f t="shared" si="185"/>
        <v>6</v>
      </c>
      <c r="L3941" s="369">
        <f>+IF((C3941&gt;='Resultats - informe'!$E$16)*(C3941&lt;='Resultats - informe'!$G$16),1,0)</f>
        <v>1</v>
      </c>
      <c r="M3941" s="369" cm="1">
        <f t="array" ref="M3941">+_xlfn.IFS((C3941&gt;='Resultats - informe'!$D$26)*(C3941&lt;='Resultats - informe'!$E$26),0,(C3941&gt;='Resultats - informe'!$D$27)*(C3941&lt;='Resultats - informe'!$E$27),0,(C3941&gt;='Resultats - informe'!$D$28)*(C3941&lt;='Resultats - informe'!$E$28),0,(C3941&gt;='Resultats - informe'!$D$29)*(C3941&lt;='Resultats - informe'!$E$29),0,1,1)</f>
        <v>0</v>
      </c>
      <c r="N3941" s="366">
        <f>+VLOOKUP(D3941,'Resultats - informe'!$Y$18:$AG$42,'Introducció dades consum'!K3941+1,0)</f>
        <v>0</v>
      </c>
      <c r="O3941" s="370" cm="1">
        <f t="array" ref="O3941">+_xlfn.SWITCH(MONTH(C3941),1,1,2,1,3,1,4,2,5,2,6,3,7,3,8,3,9,3,10,2,11,2,12,1,2)</f>
        <v>1</v>
      </c>
      <c r="P3941" s="43"/>
    </row>
    <row r="3942" spans="1:16" ht="18" x14ac:dyDescent="0.35">
      <c r="A3942" s="43"/>
      <c r="C3942" s="393"/>
      <c r="E3942" s="394"/>
      <c r="F3942" s="394">
        <v>0</v>
      </c>
      <c r="G3942" s="394"/>
      <c r="H3942" s="8" t="s">
        <v>235</v>
      </c>
      <c r="I3942" s="368">
        <f t="shared" si="184"/>
        <v>0</v>
      </c>
      <c r="J3942" s="365">
        <f t="shared" si="183"/>
        <v>0</v>
      </c>
      <c r="K3942" s="369">
        <f t="shared" si="185"/>
        <v>6</v>
      </c>
      <c r="L3942" s="369">
        <f>+IF((C3942&gt;='Resultats - informe'!$E$16)*(C3942&lt;='Resultats - informe'!$G$16),1,0)</f>
        <v>1</v>
      </c>
      <c r="M3942" s="369" cm="1">
        <f t="array" ref="M3942">+_xlfn.IFS((C3942&gt;='Resultats - informe'!$D$26)*(C3942&lt;='Resultats - informe'!$E$26),0,(C3942&gt;='Resultats - informe'!$D$27)*(C3942&lt;='Resultats - informe'!$E$27),0,(C3942&gt;='Resultats - informe'!$D$28)*(C3942&lt;='Resultats - informe'!$E$28),0,(C3942&gt;='Resultats - informe'!$D$29)*(C3942&lt;='Resultats - informe'!$E$29),0,1,1)</f>
        <v>0</v>
      </c>
      <c r="N3942" s="366">
        <f>+VLOOKUP(D3942,'Resultats - informe'!$Y$18:$AG$42,'Introducció dades consum'!K3942+1,0)</f>
        <v>0</v>
      </c>
      <c r="O3942" s="370" cm="1">
        <f t="array" ref="O3942">+_xlfn.SWITCH(MONTH(C3942),1,1,2,1,3,1,4,2,5,2,6,3,7,3,8,3,9,3,10,2,11,2,12,1,2)</f>
        <v>1</v>
      </c>
      <c r="P3942" s="43"/>
    </row>
    <row r="3943" spans="1:16" ht="18" x14ac:dyDescent="0.35">
      <c r="A3943" s="43"/>
      <c r="C3943" s="393"/>
      <c r="E3943" s="394"/>
      <c r="F3943" s="394">
        <v>0</v>
      </c>
      <c r="G3943" s="394"/>
      <c r="H3943" s="8" t="s">
        <v>235</v>
      </c>
      <c r="I3943" s="368">
        <f t="shared" si="184"/>
        <v>0</v>
      </c>
      <c r="J3943" s="365">
        <f t="shared" si="183"/>
        <v>0</v>
      </c>
      <c r="K3943" s="369">
        <f t="shared" si="185"/>
        <v>6</v>
      </c>
      <c r="L3943" s="369">
        <f>+IF((C3943&gt;='Resultats - informe'!$E$16)*(C3943&lt;='Resultats - informe'!$G$16),1,0)</f>
        <v>1</v>
      </c>
      <c r="M3943" s="369" cm="1">
        <f t="array" ref="M3943">+_xlfn.IFS((C3943&gt;='Resultats - informe'!$D$26)*(C3943&lt;='Resultats - informe'!$E$26),0,(C3943&gt;='Resultats - informe'!$D$27)*(C3943&lt;='Resultats - informe'!$E$27),0,(C3943&gt;='Resultats - informe'!$D$28)*(C3943&lt;='Resultats - informe'!$E$28),0,(C3943&gt;='Resultats - informe'!$D$29)*(C3943&lt;='Resultats - informe'!$E$29),0,1,1)</f>
        <v>0</v>
      </c>
      <c r="N3943" s="366">
        <f>+VLOOKUP(D3943,'Resultats - informe'!$Y$18:$AG$42,'Introducció dades consum'!K3943+1,0)</f>
        <v>0</v>
      </c>
      <c r="O3943" s="370" cm="1">
        <f t="array" ref="O3943">+_xlfn.SWITCH(MONTH(C3943),1,1,2,1,3,1,4,2,5,2,6,3,7,3,8,3,9,3,10,2,11,2,12,1,2)</f>
        <v>1</v>
      </c>
      <c r="P3943" s="43"/>
    </row>
    <row r="3944" spans="1:16" ht="18" x14ac:dyDescent="0.35">
      <c r="A3944" s="43"/>
      <c r="C3944" s="393"/>
      <c r="E3944" s="394"/>
      <c r="F3944" s="394">
        <v>0</v>
      </c>
      <c r="G3944" s="394"/>
      <c r="H3944" s="8" t="s">
        <v>235</v>
      </c>
      <c r="I3944" s="368">
        <f t="shared" si="184"/>
        <v>0</v>
      </c>
      <c r="J3944" s="365">
        <f t="shared" si="183"/>
        <v>0</v>
      </c>
      <c r="K3944" s="369">
        <f t="shared" si="185"/>
        <v>6</v>
      </c>
      <c r="L3944" s="369">
        <f>+IF((C3944&gt;='Resultats - informe'!$E$16)*(C3944&lt;='Resultats - informe'!$G$16),1,0)</f>
        <v>1</v>
      </c>
      <c r="M3944" s="369" cm="1">
        <f t="array" ref="M3944">+_xlfn.IFS((C3944&gt;='Resultats - informe'!$D$26)*(C3944&lt;='Resultats - informe'!$E$26),0,(C3944&gt;='Resultats - informe'!$D$27)*(C3944&lt;='Resultats - informe'!$E$27),0,(C3944&gt;='Resultats - informe'!$D$28)*(C3944&lt;='Resultats - informe'!$E$28),0,(C3944&gt;='Resultats - informe'!$D$29)*(C3944&lt;='Resultats - informe'!$E$29),0,1,1)</f>
        <v>0</v>
      </c>
      <c r="N3944" s="366">
        <f>+VLOOKUP(D3944,'Resultats - informe'!$Y$18:$AG$42,'Introducció dades consum'!K3944+1,0)</f>
        <v>0</v>
      </c>
      <c r="O3944" s="370" cm="1">
        <f t="array" ref="O3944">+_xlfn.SWITCH(MONTH(C3944),1,1,2,1,3,1,4,2,5,2,6,3,7,3,8,3,9,3,10,2,11,2,12,1,2)</f>
        <v>1</v>
      </c>
      <c r="P3944" s="43"/>
    </row>
    <row r="3945" spans="1:16" ht="18" x14ac:dyDescent="0.35">
      <c r="A3945" s="43"/>
      <c r="C3945" s="393"/>
      <c r="E3945" s="394"/>
      <c r="F3945" s="394">
        <v>0.221</v>
      </c>
      <c r="G3945" s="394"/>
      <c r="H3945" s="8" t="s">
        <v>235</v>
      </c>
      <c r="I3945" s="368">
        <f t="shared" si="184"/>
        <v>0</v>
      </c>
      <c r="J3945" s="365">
        <f t="shared" si="183"/>
        <v>0</v>
      </c>
      <c r="K3945" s="369">
        <f t="shared" si="185"/>
        <v>6</v>
      </c>
      <c r="L3945" s="369">
        <f>+IF((C3945&gt;='Resultats - informe'!$E$16)*(C3945&lt;='Resultats - informe'!$G$16),1,0)</f>
        <v>1</v>
      </c>
      <c r="M3945" s="369" cm="1">
        <f t="array" ref="M3945">+_xlfn.IFS((C3945&gt;='Resultats - informe'!$D$26)*(C3945&lt;='Resultats - informe'!$E$26),0,(C3945&gt;='Resultats - informe'!$D$27)*(C3945&lt;='Resultats - informe'!$E$27),0,(C3945&gt;='Resultats - informe'!$D$28)*(C3945&lt;='Resultats - informe'!$E$28),0,(C3945&gt;='Resultats - informe'!$D$29)*(C3945&lt;='Resultats - informe'!$E$29),0,1,1)</f>
        <v>0</v>
      </c>
      <c r="N3945" s="366">
        <f>+VLOOKUP(D3945,'Resultats - informe'!$Y$18:$AG$42,'Introducció dades consum'!K3945+1,0)</f>
        <v>0</v>
      </c>
      <c r="O3945" s="370" cm="1">
        <f t="array" ref="O3945">+_xlfn.SWITCH(MONTH(C3945),1,1,2,1,3,1,4,2,5,2,6,3,7,3,8,3,9,3,10,2,11,2,12,1,2)</f>
        <v>1</v>
      </c>
      <c r="P3945" s="43"/>
    </row>
    <row r="3946" spans="1:16" ht="18" x14ac:dyDescent="0.35">
      <c r="A3946" s="43"/>
      <c r="C3946" s="393"/>
      <c r="E3946" s="394"/>
      <c r="F3946" s="394">
        <v>0</v>
      </c>
      <c r="G3946" s="394"/>
      <c r="H3946" s="8" t="s">
        <v>61</v>
      </c>
      <c r="I3946" s="368">
        <f t="shared" si="184"/>
        <v>0</v>
      </c>
      <c r="J3946" s="365">
        <f t="shared" si="183"/>
        <v>0</v>
      </c>
      <c r="K3946" s="369">
        <f t="shared" si="185"/>
        <v>6</v>
      </c>
      <c r="L3946" s="369">
        <f>+IF((C3946&gt;='Resultats - informe'!$E$16)*(C3946&lt;='Resultats - informe'!$G$16),1,0)</f>
        <v>1</v>
      </c>
      <c r="M3946" s="369" cm="1">
        <f t="array" ref="M3946">+_xlfn.IFS((C3946&gt;='Resultats - informe'!$D$26)*(C3946&lt;='Resultats - informe'!$E$26),0,(C3946&gt;='Resultats - informe'!$D$27)*(C3946&lt;='Resultats - informe'!$E$27),0,(C3946&gt;='Resultats - informe'!$D$28)*(C3946&lt;='Resultats - informe'!$E$28),0,(C3946&gt;='Resultats - informe'!$D$29)*(C3946&lt;='Resultats - informe'!$E$29),0,1,1)</f>
        <v>0</v>
      </c>
      <c r="N3946" s="366">
        <f>+VLOOKUP(D3946,'Resultats - informe'!$Y$18:$AG$42,'Introducció dades consum'!K3946+1,0)</f>
        <v>0</v>
      </c>
      <c r="O3946" s="370" cm="1">
        <f t="array" ref="O3946">+_xlfn.SWITCH(MONTH(C3946),1,1,2,1,3,1,4,2,5,2,6,3,7,3,8,3,9,3,10,2,11,2,12,1,2)</f>
        <v>1</v>
      </c>
      <c r="P3946" s="43"/>
    </row>
    <row r="3947" spans="1:16" ht="18" x14ac:dyDescent="0.35">
      <c r="A3947" s="43"/>
      <c r="C3947" s="393"/>
      <c r="E3947" s="394"/>
      <c r="F3947" s="394">
        <v>0.11799999999999999</v>
      </c>
      <c r="G3947" s="394"/>
      <c r="H3947" s="8" t="s">
        <v>61</v>
      </c>
      <c r="I3947" s="368">
        <f t="shared" si="184"/>
        <v>0</v>
      </c>
      <c r="J3947" s="365">
        <f t="shared" si="183"/>
        <v>0</v>
      </c>
      <c r="K3947" s="369">
        <f t="shared" si="185"/>
        <v>6</v>
      </c>
      <c r="L3947" s="369">
        <f>+IF((C3947&gt;='Resultats - informe'!$E$16)*(C3947&lt;='Resultats - informe'!$G$16),1,0)</f>
        <v>1</v>
      </c>
      <c r="M3947" s="369" cm="1">
        <f t="array" ref="M3947">+_xlfn.IFS((C3947&gt;='Resultats - informe'!$D$26)*(C3947&lt;='Resultats - informe'!$E$26),0,(C3947&gt;='Resultats - informe'!$D$27)*(C3947&lt;='Resultats - informe'!$E$27),0,(C3947&gt;='Resultats - informe'!$D$28)*(C3947&lt;='Resultats - informe'!$E$28),0,(C3947&gt;='Resultats - informe'!$D$29)*(C3947&lt;='Resultats - informe'!$E$29),0,1,1)</f>
        <v>0</v>
      </c>
      <c r="N3947" s="366">
        <f>+VLOOKUP(D3947,'Resultats - informe'!$Y$18:$AG$42,'Introducció dades consum'!K3947+1,0)</f>
        <v>0</v>
      </c>
      <c r="O3947" s="370" cm="1">
        <f t="array" ref="O3947">+_xlfn.SWITCH(MONTH(C3947),1,1,2,1,3,1,4,2,5,2,6,3,7,3,8,3,9,3,10,2,11,2,12,1,2)</f>
        <v>1</v>
      </c>
      <c r="P3947" s="43"/>
    </row>
    <row r="3948" spans="1:16" ht="18" x14ac:dyDescent="0.35">
      <c r="A3948" s="43"/>
      <c r="C3948" s="393"/>
      <c r="E3948" s="394"/>
      <c r="F3948" s="394">
        <v>1.948</v>
      </c>
      <c r="G3948" s="394"/>
      <c r="H3948" s="8" t="s">
        <v>235</v>
      </c>
      <c r="I3948" s="368">
        <f t="shared" si="184"/>
        <v>0</v>
      </c>
      <c r="J3948" s="365">
        <f t="shared" si="183"/>
        <v>0</v>
      </c>
      <c r="K3948" s="369">
        <f t="shared" si="185"/>
        <v>6</v>
      </c>
      <c r="L3948" s="369">
        <f>+IF((C3948&gt;='Resultats - informe'!$E$16)*(C3948&lt;='Resultats - informe'!$G$16),1,0)</f>
        <v>1</v>
      </c>
      <c r="M3948" s="369" cm="1">
        <f t="array" ref="M3948">+_xlfn.IFS((C3948&gt;='Resultats - informe'!$D$26)*(C3948&lt;='Resultats - informe'!$E$26),0,(C3948&gt;='Resultats - informe'!$D$27)*(C3948&lt;='Resultats - informe'!$E$27),0,(C3948&gt;='Resultats - informe'!$D$28)*(C3948&lt;='Resultats - informe'!$E$28),0,(C3948&gt;='Resultats - informe'!$D$29)*(C3948&lt;='Resultats - informe'!$E$29),0,1,1)</f>
        <v>0</v>
      </c>
      <c r="N3948" s="366">
        <f>+VLOOKUP(D3948,'Resultats - informe'!$Y$18:$AG$42,'Introducció dades consum'!K3948+1,0)</f>
        <v>0</v>
      </c>
      <c r="O3948" s="370" cm="1">
        <f t="array" ref="O3948">+_xlfn.SWITCH(MONTH(C3948),1,1,2,1,3,1,4,2,5,2,6,3,7,3,8,3,9,3,10,2,11,2,12,1,2)</f>
        <v>1</v>
      </c>
      <c r="P3948" s="43"/>
    </row>
    <row r="3949" spans="1:16" ht="18" x14ac:dyDescent="0.35">
      <c r="A3949" s="43"/>
      <c r="C3949" s="393"/>
      <c r="E3949" s="394"/>
      <c r="F3949" s="394">
        <v>2.4590000000000001</v>
      </c>
      <c r="G3949" s="394"/>
      <c r="H3949" s="8" t="s">
        <v>235</v>
      </c>
      <c r="I3949" s="368">
        <f t="shared" si="184"/>
        <v>0</v>
      </c>
      <c r="J3949" s="365">
        <f t="shared" si="183"/>
        <v>0</v>
      </c>
      <c r="K3949" s="369">
        <f t="shared" si="185"/>
        <v>6</v>
      </c>
      <c r="L3949" s="369">
        <f>+IF((C3949&gt;='Resultats - informe'!$E$16)*(C3949&lt;='Resultats - informe'!$G$16),1,0)</f>
        <v>1</v>
      </c>
      <c r="M3949" s="369" cm="1">
        <f t="array" ref="M3949">+_xlfn.IFS((C3949&gt;='Resultats - informe'!$D$26)*(C3949&lt;='Resultats - informe'!$E$26),0,(C3949&gt;='Resultats - informe'!$D$27)*(C3949&lt;='Resultats - informe'!$E$27),0,(C3949&gt;='Resultats - informe'!$D$28)*(C3949&lt;='Resultats - informe'!$E$28),0,(C3949&gt;='Resultats - informe'!$D$29)*(C3949&lt;='Resultats - informe'!$E$29),0,1,1)</f>
        <v>0</v>
      </c>
      <c r="N3949" s="366">
        <f>+VLOOKUP(D3949,'Resultats - informe'!$Y$18:$AG$42,'Introducció dades consum'!K3949+1,0)</f>
        <v>0</v>
      </c>
      <c r="O3949" s="370" cm="1">
        <f t="array" ref="O3949">+_xlfn.SWITCH(MONTH(C3949),1,1,2,1,3,1,4,2,5,2,6,3,7,3,8,3,9,3,10,2,11,2,12,1,2)</f>
        <v>1</v>
      </c>
      <c r="P3949" s="43"/>
    </row>
    <row r="3950" spans="1:16" ht="18" x14ac:dyDescent="0.35">
      <c r="A3950" s="43"/>
      <c r="C3950" s="393"/>
      <c r="E3950" s="394"/>
      <c r="F3950" s="394">
        <v>2.7749999999999999</v>
      </c>
      <c r="G3950" s="394"/>
      <c r="H3950" s="8" t="s">
        <v>235</v>
      </c>
      <c r="I3950" s="368">
        <f t="shared" si="184"/>
        <v>0</v>
      </c>
      <c r="J3950" s="365">
        <f t="shared" si="183"/>
        <v>0</v>
      </c>
      <c r="K3950" s="369">
        <f t="shared" si="185"/>
        <v>6</v>
      </c>
      <c r="L3950" s="369">
        <f>+IF((C3950&gt;='Resultats - informe'!$E$16)*(C3950&lt;='Resultats - informe'!$G$16),1,0)</f>
        <v>1</v>
      </c>
      <c r="M3950" s="369" cm="1">
        <f t="array" ref="M3950">+_xlfn.IFS((C3950&gt;='Resultats - informe'!$D$26)*(C3950&lt;='Resultats - informe'!$E$26),0,(C3950&gt;='Resultats - informe'!$D$27)*(C3950&lt;='Resultats - informe'!$E$27),0,(C3950&gt;='Resultats - informe'!$D$28)*(C3950&lt;='Resultats - informe'!$E$28),0,(C3950&gt;='Resultats - informe'!$D$29)*(C3950&lt;='Resultats - informe'!$E$29),0,1,1)</f>
        <v>0</v>
      </c>
      <c r="N3950" s="366">
        <f>+VLOOKUP(D3950,'Resultats - informe'!$Y$18:$AG$42,'Introducció dades consum'!K3950+1,0)</f>
        <v>0</v>
      </c>
      <c r="O3950" s="370" cm="1">
        <f t="array" ref="O3950">+_xlfn.SWITCH(MONTH(C3950),1,1,2,1,3,1,4,2,5,2,6,3,7,3,8,3,9,3,10,2,11,2,12,1,2)</f>
        <v>1</v>
      </c>
      <c r="P3950" s="43"/>
    </row>
    <row r="3951" spans="1:16" ht="18" x14ac:dyDescent="0.35">
      <c r="A3951" s="43"/>
      <c r="C3951" s="393"/>
      <c r="E3951" s="394"/>
      <c r="F3951" s="394">
        <v>2.9279999999999999</v>
      </c>
      <c r="G3951" s="394"/>
      <c r="H3951" s="8" t="s">
        <v>235</v>
      </c>
      <c r="I3951" s="368">
        <f t="shared" si="184"/>
        <v>0</v>
      </c>
      <c r="J3951" s="365">
        <f t="shared" si="183"/>
        <v>0</v>
      </c>
      <c r="K3951" s="369">
        <f t="shared" si="185"/>
        <v>6</v>
      </c>
      <c r="L3951" s="369">
        <f>+IF((C3951&gt;='Resultats - informe'!$E$16)*(C3951&lt;='Resultats - informe'!$G$16),1,0)</f>
        <v>1</v>
      </c>
      <c r="M3951" s="369" cm="1">
        <f t="array" ref="M3951">+_xlfn.IFS((C3951&gt;='Resultats - informe'!$D$26)*(C3951&lt;='Resultats - informe'!$E$26),0,(C3951&gt;='Resultats - informe'!$D$27)*(C3951&lt;='Resultats - informe'!$E$27),0,(C3951&gt;='Resultats - informe'!$D$28)*(C3951&lt;='Resultats - informe'!$E$28),0,(C3951&gt;='Resultats - informe'!$D$29)*(C3951&lt;='Resultats - informe'!$E$29),0,1,1)</f>
        <v>0</v>
      </c>
      <c r="N3951" s="366">
        <f>+VLOOKUP(D3951,'Resultats - informe'!$Y$18:$AG$42,'Introducció dades consum'!K3951+1,0)</f>
        <v>0</v>
      </c>
      <c r="O3951" s="370" cm="1">
        <f t="array" ref="O3951">+_xlfn.SWITCH(MONTH(C3951),1,1,2,1,3,1,4,2,5,2,6,3,7,3,8,3,9,3,10,2,11,2,12,1,2)</f>
        <v>1</v>
      </c>
      <c r="P3951" s="43"/>
    </row>
    <row r="3952" spans="1:16" ht="18" x14ac:dyDescent="0.35">
      <c r="A3952" s="43"/>
      <c r="C3952" s="393"/>
      <c r="E3952" s="394"/>
      <c r="F3952" s="394">
        <v>6.0579999999999998</v>
      </c>
      <c r="G3952" s="394"/>
      <c r="H3952" s="8" t="s">
        <v>61</v>
      </c>
      <c r="I3952" s="368">
        <f t="shared" si="184"/>
        <v>0</v>
      </c>
      <c r="J3952" s="365">
        <f t="shared" si="183"/>
        <v>0</v>
      </c>
      <c r="K3952" s="369">
        <f t="shared" si="185"/>
        <v>6</v>
      </c>
      <c r="L3952" s="369">
        <f>+IF((C3952&gt;='Resultats - informe'!$E$16)*(C3952&lt;='Resultats - informe'!$G$16),1,0)</f>
        <v>1</v>
      </c>
      <c r="M3952" s="369" cm="1">
        <f t="array" ref="M3952">+_xlfn.IFS((C3952&gt;='Resultats - informe'!$D$26)*(C3952&lt;='Resultats - informe'!$E$26),0,(C3952&gt;='Resultats - informe'!$D$27)*(C3952&lt;='Resultats - informe'!$E$27),0,(C3952&gt;='Resultats - informe'!$D$28)*(C3952&lt;='Resultats - informe'!$E$28),0,(C3952&gt;='Resultats - informe'!$D$29)*(C3952&lt;='Resultats - informe'!$E$29),0,1,1)</f>
        <v>0</v>
      </c>
      <c r="N3952" s="366">
        <f>+VLOOKUP(D3952,'Resultats - informe'!$Y$18:$AG$42,'Introducció dades consum'!K3952+1,0)</f>
        <v>0</v>
      </c>
      <c r="O3952" s="370" cm="1">
        <f t="array" ref="O3952">+_xlfn.SWITCH(MONTH(C3952),1,1,2,1,3,1,4,2,5,2,6,3,7,3,8,3,9,3,10,2,11,2,12,1,2)</f>
        <v>1</v>
      </c>
      <c r="P3952" s="43"/>
    </row>
    <row r="3953" spans="1:16" ht="18" x14ac:dyDescent="0.35">
      <c r="A3953" s="43"/>
      <c r="C3953" s="393"/>
      <c r="E3953" s="394"/>
      <c r="F3953" s="394">
        <v>6.3559999999999999</v>
      </c>
      <c r="G3953" s="394"/>
      <c r="H3953" s="8" t="s">
        <v>61</v>
      </c>
      <c r="I3953" s="368">
        <f t="shared" si="184"/>
        <v>0</v>
      </c>
      <c r="J3953" s="365">
        <f t="shared" si="183"/>
        <v>0</v>
      </c>
      <c r="K3953" s="369">
        <f t="shared" si="185"/>
        <v>6</v>
      </c>
      <c r="L3953" s="369">
        <f>+IF((C3953&gt;='Resultats - informe'!$E$16)*(C3953&lt;='Resultats - informe'!$G$16),1,0)</f>
        <v>1</v>
      </c>
      <c r="M3953" s="369" cm="1">
        <f t="array" ref="M3953">+_xlfn.IFS((C3953&gt;='Resultats - informe'!$D$26)*(C3953&lt;='Resultats - informe'!$E$26),0,(C3953&gt;='Resultats - informe'!$D$27)*(C3953&lt;='Resultats - informe'!$E$27),0,(C3953&gt;='Resultats - informe'!$D$28)*(C3953&lt;='Resultats - informe'!$E$28),0,(C3953&gt;='Resultats - informe'!$D$29)*(C3953&lt;='Resultats - informe'!$E$29),0,1,1)</f>
        <v>0</v>
      </c>
      <c r="N3953" s="366">
        <f>+VLOOKUP(D3953,'Resultats - informe'!$Y$18:$AG$42,'Introducció dades consum'!K3953+1,0)</f>
        <v>0</v>
      </c>
      <c r="O3953" s="370" cm="1">
        <f t="array" ref="O3953">+_xlfn.SWITCH(MONTH(C3953),1,1,2,1,3,1,4,2,5,2,6,3,7,3,8,3,9,3,10,2,11,2,12,1,2)</f>
        <v>1</v>
      </c>
      <c r="P3953" s="43"/>
    </row>
    <row r="3954" spans="1:16" ht="18" x14ac:dyDescent="0.35">
      <c r="A3954" s="43"/>
      <c r="C3954" s="393"/>
      <c r="E3954" s="394"/>
      <c r="F3954" s="394">
        <v>6.016</v>
      </c>
      <c r="G3954" s="394"/>
      <c r="H3954" s="8" t="s">
        <v>61</v>
      </c>
      <c r="I3954" s="368">
        <f t="shared" si="184"/>
        <v>0</v>
      </c>
      <c r="J3954" s="365">
        <f t="shared" si="183"/>
        <v>0</v>
      </c>
      <c r="K3954" s="369">
        <f t="shared" si="185"/>
        <v>6</v>
      </c>
      <c r="L3954" s="369">
        <f>+IF((C3954&gt;='Resultats - informe'!$E$16)*(C3954&lt;='Resultats - informe'!$G$16),1,0)</f>
        <v>1</v>
      </c>
      <c r="M3954" s="369" cm="1">
        <f t="array" ref="M3954">+_xlfn.IFS((C3954&gt;='Resultats - informe'!$D$26)*(C3954&lt;='Resultats - informe'!$E$26),0,(C3954&gt;='Resultats - informe'!$D$27)*(C3954&lt;='Resultats - informe'!$E$27),0,(C3954&gt;='Resultats - informe'!$D$28)*(C3954&lt;='Resultats - informe'!$E$28),0,(C3954&gt;='Resultats - informe'!$D$29)*(C3954&lt;='Resultats - informe'!$E$29),0,1,1)</f>
        <v>0</v>
      </c>
      <c r="N3954" s="366">
        <f>+VLOOKUP(D3954,'Resultats - informe'!$Y$18:$AG$42,'Introducció dades consum'!K3954+1,0)</f>
        <v>0</v>
      </c>
      <c r="O3954" s="370" cm="1">
        <f t="array" ref="O3954">+_xlfn.SWITCH(MONTH(C3954),1,1,2,1,3,1,4,2,5,2,6,3,7,3,8,3,9,3,10,2,11,2,12,1,2)</f>
        <v>1</v>
      </c>
      <c r="P3954" s="43"/>
    </row>
    <row r="3955" spans="1:16" ht="18" x14ac:dyDescent="0.35">
      <c r="A3955" s="43"/>
      <c r="C3955" s="393"/>
      <c r="E3955" s="394"/>
      <c r="F3955" s="394">
        <v>1.399</v>
      </c>
      <c r="G3955" s="394"/>
      <c r="H3955" s="8" t="s">
        <v>235</v>
      </c>
      <c r="I3955" s="368">
        <f t="shared" si="184"/>
        <v>0</v>
      </c>
      <c r="J3955" s="365">
        <f t="shared" si="183"/>
        <v>0</v>
      </c>
      <c r="K3955" s="369">
        <f t="shared" si="185"/>
        <v>6</v>
      </c>
      <c r="L3955" s="369">
        <f>+IF((C3955&gt;='Resultats - informe'!$E$16)*(C3955&lt;='Resultats - informe'!$G$16),1,0)</f>
        <v>1</v>
      </c>
      <c r="M3955" s="369" cm="1">
        <f t="array" ref="M3955">+_xlfn.IFS((C3955&gt;='Resultats - informe'!$D$26)*(C3955&lt;='Resultats - informe'!$E$26),0,(C3955&gt;='Resultats - informe'!$D$27)*(C3955&lt;='Resultats - informe'!$E$27),0,(C3955&gt;='Resultats - informe'!$D$28)*(C3955&lt;='Resultats - informe'!$E$28),0,(C3955&gt;='Resultats - informe'!$D$29)*(C3955&lt;='Resultats - informe'!$E$29),0,1,1)</f>
        <v>0</v>
      </c>
      <c r="N3955" s="366">
        <f>+VLOOKUP(D3955,'Resultats - informe'!$Y$18:$AG$42,'Introducció dades consum'!K3955+1,0)</f>
        <v>0</v>
      </c>
      <c r="O3955" s="370" cm="1">
        <f t="array" ref="O3955">+_xlfn.SWITCH(MONTH(C3955),1,1,2,1,3,1,4,2,5,2,6,3,7,3,8,3,9,3,10,2,11,2,12,1,2)</f>
        <v>1</v>
      </c>
      <c r="P3955" s="43"/>
    </row>
    <row r="3956" spans="1:16" ht="18" x14ac:dyDescent="0.35">
      <c r="A3956" s="43"/>
      <c r="C3956" s="393"/>
      <c r="E3956" s="394"/>
      <c r="F3956" s="394">
        <v>0.80500000000000005</v>
      </c>
      <c r="G3956" s="394"/>
      <c r="H3956" s="8" t="s">
        <v>235</v>
      </c>
      <c r="I3956" s="368">
        <f t="shared" si="184"/>
        <v>0</v>
      </c>
      <c r="J3956" s="365">
        <f t="shared" si="183"/>
        <v>0</v>
      </c>
      <c r="K3956" s="369">
        <f t="shared" si="185"/>
        <v>6</v>
      </c>
      <c r="L3956" s="369">
        <f>+IF((C3956&gt;='Resultats - informe'!$E$16)*(C3956&lt;='Resultats - informe'!$G$16),1,0)</f>
        <v>1</v>
      </c>
      <c r="M3956" s="369" cm="1">
        <f t="array" ref="M3956">+_xlfn.IFS((C3956&gt;='Resultats - informe'!$D$26)*(C3956&lt;='Resultats - informe'!$E$26),0,(C3956&gt;='Resultats - informe'!$D$27)*(C3956&lt;='Resultats - informe'!$E$27),0,(C3956&gt;='Resultats - informe'!$D$28)*(C3956&lt;='Resultats - informe'!$E$28),0,(C3956&gt;='Resultats - informe'!$D$29)*(C3956&lt;='Resultats - informe'!$E$29),0,1,1)</f>
        <v>0</v>
      </c>
      <c r="N3956" s="366">
        <f>+VLOOKUP(D3956,'Resultats - informe'!$Y$18:$AG$42,'Introducció dades consum'!K3956+1,0)</f>
        <v>0</v>
      </c>
      <c r="O3956" s="370" cm="1">
        <f t="array" ref="O3956">+_xlfn.SWITCH(MONTH(C3956),1,1,2,1,3,1,4,2,5,2,6,3,7,3,8,3,9,3,10,2,11,2,12,1,2)</f>
        <v>1</v>
      </c>
      <c r="P3956" s="43"/>
    </row>
    <row r="3957" spans="1:16" ht="18" x14ac:dyDescent="0.35">
      <c r="A3957" s="43"/>
      <c r="C3957" s="393"/>
      <c r="E3957" s="394"/>
      <c r="F3957" s="394">
        <v>0.22</v>
      </c>
      <c r="G3957" s="394"/>
      <c r="H3957" s="8" t="s">
        <v>235</v>
      </c>
      <c r="I3957" s="368">
        <f t="shared" si="184"/>
        <v>0</v>
      </c>
      <c r="J3957" s="365">
        <f t="shared" si="183"/>
        <v>0</v>
      </c>
      <c r="K3957" s="369">
        <f t="shared" si="185"/>
        <v>6</v>
      </c>
      <c r="L3957" s="369">
        <f>+IF((C3957&gt;='Resultats - informe'!$E$16)*(C3957&lt;='Resultats - informe'!$G$16),1,0)</f>
        <v>1</v>
      </c>
      <c r="M3957" s="369" cm="1">
        <f t="array" ref="M3957">+_xlfn.IFS((C3957&gt;='Resultats - informe'!$D$26)*(C3957&lt;='Resultats - informe'!$E$26),0,(C3957&gt;='Resultats - informe'!$D$27)*(C3957&lt;='Resultats - informe'!$E$27),0,(C3957&gt;='Resultats - informe'!$D$28)*(C3957&lt;='Resultats - informe'!$E$28),0,(C3957&gt;='Resultats - informe'!$D$29)*(C3957&lt;='Resultats - informe'!$E$29),0,1,1)</f>
        <v>0</v>
      </c>
      <c r="N3957" s="366">
        <f>+VLOOKUP(D3957,'Resultats - informe'!$Y$18:$AG$42,'Introducció dades consum'!K3957+1,0)</f>
        <v>0</v>
      </c>
      <c r="O3957" s="370" cm="1">
        <f t="array" ref="O3957">+_xlfn.SWITCH(MONTH(C3957),1,1,2,1,3,1,4,2,5,2,6,3,7,3,8,3,9,3,10,2,11,2,12,1,2)</f>
        <v>1</v>
      </c>
      <c r="P3957" s="43"/>
    </row>
    <row r="3958" spans="1:16" ht="18" x14ac:dyDescent="0.35">
      <c r="A3958" s="43"/>
      <c r="C3958" s="393"/>
      <c r="E3958" s="394"/>
      <c r="F3958" s="394">
        <v>0</v>
      </c>
      <c r="G3958" s="394"/>
      <c r="H3958" s="8" t="s">
        <v>235</v>
      </c>
      <c r="I3958" s="368">
        <f t="shared" si="184"/>
        <v>0</v>
      </c>
      <c r="J3958" s="365">
        <f t="shared" si="183"/>
        <v>0</v>
      </c>
      <c r="K3958" s="369">
        <f t="shared" si="185"/>
        <v>6</v>
      </c>
      <c r="L3958" s="369">
        <f>+IF((C3958&gt;='Resultats - informe'!$E$16)*(C3958&lt;='Resultats - informe'!$G$16),1,0)</f>
        <v>1</v>
      </c>
      <c r="M3958" s="369" cm="1">
        <f t="array" ref="M3958">+_xlfn.IFS((C3958&gt;='Resultats - informe'!$D$26)*(C3958&lt;='Resultats - informe'!$E$26),0,(C3958&gt;='Resultats - informe'!$D$27)*(C3958&lt;='Resultats - informe'!$E$27),0,(C3958&gt;='Resultats - informe'!$D$28)*(C3958&lt;='Resultats - informe'!$E$28),0,(C3958&gt;='Resultats - informe'!$D$29)*(C3958&lt;='Resultats - informe'!$E$29),0,1,1)</f>
        <v>0</v>
      </c>
      <c r="N3958" s="366">
        <f>+VLOOKUP(D3958,'Resultats - informe'!$Y$18:$AG$42,'Introducció dades consum'!K3958+1,0)</f>
        <v>0</v>
      </c>
      <c r="O3958" s="370" cm="1">
        <f t="array" ref="O3958">+_xlfn.SWITCH(MONTH(C3958),1,1,2,1,3,1,4,2,5,2,6,3,7,3,8,3,9,3,10,2,11,2,12,1,2)</f>
        <v>1</v>
      </c>
      <c r="P3958" s="43"/>
    </row>
    <row r="3959" spans="1:16" ht="18" x14ac:dyDescent="0.35">
      <c r="A3959" s="43"/>
      <c r="C3959" s="393"/>
      <c r="E3959" s="394"/>
      <c r="F3959" s="394">
        <v>0.34100000000000003</v>
      </c>
      <c r="G3959" s="394"/>
      <c r="H3959" s="8" t="s">
        <v>61</v>
      </c>
      <c r="I3959" s="368">
        <f t="shared" si="184"/>
        <v>0</v>
      </c>
      <c r="J3959" s="365">
        <f t="shared" si="183"/>
        <v>0</v>
      </c>
      <c r="K3959" s="369">
        <f t="shared" si="185"/>
        <v>6</v>
      </c>
      <c r="L3959" s="369">
        <f>+IF((C3959&gt;='Resultats - informe'!$E$16)*(C3959&lt;='Resultats - informe'!$G$16),1,0)</f>
        <v>1</v>
      </c>
      <c r="M3959" s="369" cm="1">
        <f t="array" ref="M3959">+_xlfn.IFS((C3959&gt;='Resultats - informe'!$D$26)*(C3959&lt;='Resultats - informe'!$E$26),0,(C3959&gt;='Resultats - informe'!$D$27)*(C3959&lt;='Resultats - informe'!$E$27),0,(C3959&gt;='Resultats - informe'!$D$28)*(C3959&lt;='Resultats - informe'!$E$28),0,(C3959&gt;='Resultats - informe'!$D$29)*(C3959&lt;='Resultats - informe'!$E$29),0,1,1)</f>
        <v>0</v>
      </c>
      <c r="N3959" s="366">
        <f>+VLOOKUP(D3959,'Resultats - informe'!$Y$18:$AG$42,'Introducció dades consum'!K3959+1,0)</f>
        <v>0</v>
      </c>
      <c r="O3959" s="370" cm="1">
        <f t="array" ref="O3959">+_xlfn.SWITCH(MONTH(C3959),1,1,2,1,3,1,4,2,5,2,6,3,7,3,8,3,9,3,10,2,11,2,12,1,2)</f>
        <v>1</v>
      </c>
      <c r="P3959" s="43"/>
    </row>
    <row r="3960" spans="1:16" ht="18" x14ac:dyDescent="0.35">
      <c r="A3960" s="43"/>
      <c r="C3960" s="393"/>
      <c r="E3960" s="394"/>
      <c r="F3960" s="394">
        <v>0</v>
      </c>
      <c r="G3960" s="394"/>
      <c r="H3960" s="8" t="s">
        <v>61</v>
      </c>
      <c r="I3960" s="368">
        <f t="shared" si="184"/>
        <v>0</v>
      </c>
      <c r="J3960" s="365">
        <f t="shared" si="183"/>
        <v>0</v>
      </c>
      <c r="K3960" s="369">
        <f t="shared" si="185"/>
        <v>6</v>
      </c>
      <c r="L3960" s="369">
        <f>+IF((C3960&gt;='Resultats - informe'!$E$16)*(C3960&lt;='Resultats - informe'!$G$16),1,0)</f>
        <v>1</v>
      </c>
      <c r="M3960" s="369" cm="1">
        <f t="array" ref="M3960">+_xlfn.IFS((C3960&gt;='Resultats - informe'!$D$26)*(C3960&lt;='Resultats - informe'!$E$26),0,(C3960&gt;='Resultats - informe'!$D$27)*(C3960&lt;='Resultats - informe'!$E$27),0,(C3960&gt;='Resultats - informe'!$D$28)*(C3960&lt;='Resultats - informe'!$E$28),0,(C3960&gt;='Resultats - informe'!$D$29)*(C3960&lt;='Resultats - informe'!$E$29),0,1,1)</f>
        <v>0</v>
      </c>
      <c r="N3960" s="366">
        <f>+VLOOKUP(D3960,'Resultats - informe'!$Y$18:$AG$42,'Introducció dades consum'!K3960+1,0)</f>
        <v>0</v>
      </c>
      <c r="O3960" s="370" cm="1">
        <f t="array" ref="O3960">+_xlfn.SWITCH(MONTH(C3960),1,1,2,1,3,1,4,2,5,2,6,3,7,3,8,3,9,3,10,2,11,2,12,1,2)</f>
        <v>1</v>
      </c>
      <c r="P3960" s="43"/>
    </row>
    <row r="3961" spans="1:16" ht="18" x14ac:dyDescent="0.35">
      <c r="A3961" s="43"/>
      <c r="C3961" s="393"/>
      <c r="E3961" s="394"/>
      <c r="F3961" s="394">
        <v>0</v>
      </c>
      <c r="G3961" s="394"/>
      <c r="H3961" s="8" t="s">
        <v>61</v>
      </c>
      <c r="I3961" s="368">
        <f t="shared" si="184"/>
        <v>0</v>
      </c>
      <c r="J3961" s="365">
        <f t="shared" si="183"/>
        <v>0</v>
      </c>
      <c r="K3961" s="369">
        <f t="shared" si="185"/>
        <v>6</v>
      </c>
      <c r="L3961" s="369">
        <f>+IF((C3961&gt;='Resultats - informe'!$E$16)*(C3961&lt;='Resultats - informe'!$G$16),1,0)</f>
        <v>1</v>
      </c>
      <c r="M3961" s="369" cm="1">
        <f t="array" ref="M3961">+_xlfn.IFS((C3961&gt;='Resultats - informe'!$D$26)*(C3961&lt;='Resultats - informe'!$E$26),0,(C3961&gt;='Resultats - informe'!$D$27)*(C3961&lt;='Resultats - informe'!$E$27),0,(C3961&gt;='Resultats - informe'!$D$28)*(C3961&lt;='Resultats - informe'!$E$28),0,(C3961&gt;='Resultats - informe'!$D$29)*(C3961&lt;='Resultats - informe'!$E$29),0,1,1)</f>
        <v>0</v>
      </c>
      <c r="N3961" s="366">
        <f>+VLOOKUP(D3961,'Resultats - informe'!$Y$18:$AG$42,'Introducció dades consum'!K3961+1,0)</f>
        <v>0</v>
      </c>
      <c r="O3961" s="370" cm="1">
        <f t="array" ref="O3961">+_xlfn.SWITCH(MONTH(C3961),1,1,2,1,3,1,4,2,5,2,6,3,7,3,8,3,9,3,10,2,11,2,12,1,2)</f>
        <v>1</v>
      </c>
      <c r="P3961" s="43"/>
    </row>
    <row r="3962" spans="1:16" ht="18" x14ac:dyDescent="0.35">
      <c r="A3962" s="43"/>
      <c r="C3962" s="393"/>
      <c r="E3962" s="394"/>
      <c r="F3962" s="394">
        <v>0</v>
      </c>
      <c r="G3962" s="394"/>
      <c r="H3962" s="8" t="s">
        <v>61</v>
      </c>
      <c r="I3962" s="368">
        <f t="shared" si="184"/>
        <v>0</v>
      </c>
      <c r="J3962" s="365">
        <f t="shared" si="183"/>
        <v>0</v>
      </c>
      <c r="K3962" s="369">
        <f t="shared" si="185"/>
        <v>6</v>
      </c>
      <c r="L3962" s="369">
        <f>+IF((C3962&gt;='Resultats - informe'!$E$16)*(C3962&lt;='Resultats - informe'!$G$16),1,0)</f>
        <v>1</v>
      </c>
      <c r="M3962" s="369" cm="1">
        <f t="array" ref="M3962">+_xlfn.IFS((C3962&gt;='Resultats - informe'!$D$26)*(C3962&lt;='Resultats - informe'!$E$26),0,(C3962&gt;='Resultats - informe'!$D$27)*(C3962&lt;='Resultats - informe'!$E$27),0,(C3962&gt;='Resultats - informe'!$D$28)*(C3962&lt;='Resultats - informe'!$E$28),0,(C3962&gt;='Resultats - informe'!$D$29)*(C3962&lt;='Resultats - informe'!$E$29),0,1,1)</f>
        <v>0</v>
      </c>
      <c r="N3962" s="366">
        <f>+VLOOKUP(D3962,'Resultats - informe'!$Y$18:$AG$42,'Introducció dades consum'!K3962+1,0)</f>
        <v>0</v>
      </c>
      <c r="O3962" s="370" cm="1">
        <f t="array" ref="O3962">+_xlfn.SWITCH(MONTH(C3962),1,1,2,1,3,1,4,2,5,2,6,3,7,3,8,3,9,3,10,2,11,2,12,1,2)</f>
        <v>1</v>
      </c>
      <c r="P3962" s="43"/>
    </row>
    <row r="3963" spans="1:16" ht="18" x14ac:dyDescent="0.35">
      <c r="A3963" s="43"/>
      <c r="C3963" s="393"/>
      <c r="E3963" s="394"/>
      <c r="F3963" s="394">
        <v>0</v>
      </c>
      <c r="G3963" s="394"/>
      <c r="H3963" s="8" t="s">
        <v>61</v>
      </c>
      <c r="I3963" s="368">
        <f t="shared" si="184"/>
        <v>0</v>
      </c>
      <c r="J3963" s="365">
        <f t="shared" ref="J3963:J4026" si="186">+C3963</f>
        <v>0</v>
      </c>
      <c r="K3963" s="369">
        <f t="shared" si="185"/>
        <v>6</v>
      </c>
      <c r="L3963" s="369">
        <f>+IF((C3963&gt;='Resultats - informe'!$E$16)*(C3963&lt;='Resultats - informe'!$G$16),1,0)</f>
        <v>1</v>
      </c>
      <c r="M3963" s="369" cm="1">
        <f t="array" ref="M3963">+_xlfn.IFS((C3963&gt;='Resultats - informe'!$D$26)*(C3963&lt;='Resultats - informe'!$E$26),0,(C3963&gt;='Resultats - informe'!$D$27)*(C3963&lt;='Resultats - informe'!$E$27),0,(C3963&gt;='Resultats - informe'!$D$28)*(C3963&lt;='Resultats - informe'!$E$28),0,(C3963&gt;='Resultats - informe'!$D$29)*(C3963&lt;='Resultats - informe'!$E$29),0,1,1)</f>
        <v>0</v>
      </c>
      <c r="N3963" s="366">
        <f>+VLOOKUP(D3963,'Resultats - informe'!$Y$18:$AG$42,'Introducció dades consum'!K3963+1,0)</f>
        <v>0</v>
      </c>
      <c r="O3963" s="370" cm="1">
        <f t="array" ref="O3963">+_xlfn.SWITCH(MONTH(C3963),1,1,2,1,3,1,4,2,5,2,6,3,7,3,8,3,9,3,10,2,11,2,12,1,2)</f>
        <v>1</v>
      </c>
      <c r="P3963" s="43"/>
    </row>
    <row r="3964" spans="1:16" ht="18" x14ac:dyDescent="0.35">
      <c r="A3964" s="43"/>
      <c r="C3964" s="393"/>
      <c r="E3964" s="394"/>
      <c r="F3964" s="394">
        <v>0</v>
      </c>
      <c r="G3964" s="394"/>
      <c r="H3964" s="8" t="s">
        <v>235</v>
      </c>
      <c r="I3964" s="368">
        <f t="shared" si="184"/>
        <v>0</v>
      </c>
      <c r="J3964" s="365">
        <f t="shared" si="186"/>
        <v>0</v>
      </c>
      <c r="K3964" s="369">
        <f t="shared" si="185"/>
        <v>6</v>
      </c>
      <c r="L3964" s="369">
        <f>+IF((C3964&gt;='Resultats - informe'!$E$16)*(C3964&lt;='Resultats - informe'!$G$16),1,0)</f>
        <v>1</v>
      </c>
      <c r="M3964" s="369" cm="1">
        <f t="array" ref="M3964">+_xlfn.IFS((C3964&gt;='Resultats - informe'!$D$26)*(C3964&lt;='Resultats - informe'!$E$26),0,(C3964&gt;='Resultats - informe'!$D$27)*(C3964&lt;='Resultats - informe'!$E$27),0,(C3964&gt;='Resultats - informe'!$D$28)*(C3964&lt;='Resultats - informe'!$E$28),0,(C3964&gt;='Resultats - informe'!$D$29)*(C3964&lt;='Resultats - informe'!$E$29),0,1,1)</f>
        <v>0</v>
      </c>
      <c r="N3964" s="366">
        <f>+VLOOKUP(D3964,'Resultats - informe'!$Y$18:$AG$42,'Introducció dades consum'!K3964+1,0)</f>
        <v>0</v>
      </c>
      <c r="O3964" s="370" cm="1">
        <f t="array" ref="O3964">+_xlfn.SWITCH(MONTH(C3964),1,1,2,1,3,1,4,2,5,2,6,3,7,3,8,3,9,3,10,2,11,2,12,1,2)</f>
        <v>1</v>
      </c>
      <c r="P3964" s="43"/>
    </row>
    <row r="3965" spans="1:16" ht="18" x14ac:dyDescent="0.35">
      <c r="A3965" s="43"/>
      <c r="C3965" s="393"/>
      <c r="E3965" s="394"/>
      <c r="F3965" s="394">
        <v>0</v>
      </c>
      <c r="G3965" s="394"/>
      <c r="H3965" s="8" t="s">
        <v>235</v>
      </c>
      <c r="I3965" s="368">
        <f t="shared" si="184"/>
        <v>0</v>
      </c>
      <c r="J3965" s="365">
        <f t="shared" si="186"/>
        <v>0</v>
      </c>
      <c r="K3965" s="369">
        <f t="shared" si="185"/>
        <v>6</v>
      </c>
      <c r="L3965" s="369">
        <f>+IF((C3965&gt;='Resultats - informe'!$E$16)*(C3965&lt;='Resultats - informe'!$G$16),1,0)</f>
        <v>1</v>
      </c>
      <c r="M3965" s="369" cm="1">
        <f t="array" ref="M3965">+_xlfn.IFS((C3965&gt;='Resultats - informe'!$D$26)*(C3965&lt;='Resultats - informe'!$E$26),0,(C3965&gt;='Resultats - informe'!$D$27)*(C3965&lt;='Resultats - informe'!$E$27),0,(C3965&gt;='Resultats - informe'!$D$28)*(C3965&lt;='Resultats - informe'!$E$28),0,(C3965&gt;='Resultats - informe'!$D$29)*(C3965&lt;='Resultats - informe'!$E$29),0,1,1)</f>
        <v>0</v>
      </c>
      <c r="N3965" s="366">
        <f>+VLOOKUP(D3965,'Resultats - informe'!$Y$18:$AG$42,'Introducció dades consum'!K3965+1,0)</f>
        <v>0</v>
      </c>
      <c r="O3965" s="370" cm="1">
        <f t="array" ref="O3965">+_xlfn.SWITCH(MONTH(C3965),1,1,2,1,3,1,4,2,5,2,6,3,7,3,8,3,9,3,10,2,11,2,12,1,2)</f>
        <v>1</v>
      </c>
      <c r="P3965" s="43"/>
    </row>
    <row r="3966" spans="1:16" ht="18" x14ac:dyDescent="0.35">
      <c r="A3966" s="43"/>
      <c r="C3966" s="393"/>
      <c r="E3966" s="394"/>
      <c r="F3966" s="394">
        <v>0</v>
      </c>
      <c r="G3966" s="394"/>
      <c r="H3966" s="8" t="s">
        <v>235</v>
      </c>
      <c r="I3966" s="368">
        <f t="shared" si="184"/>
        <v>0</v>
      </c>
      <c r="J3966" s="365">
        <f t="shared" si="186"/>
        <v>0</v>
      </c>
      <c r="K3966" s="369">
        <f t="shared" si="185"/>
        <v>6</v>
      </c>
      <c r="L3966" s="369">
        <f>+IF((C3966&gt;='Resultats - informe'!$E$16)*(C3966&lt;='Resultats - informe'!$G$16),1,0)</f>
        <v>1</v>
      </c>
      <c r="M3966" s="369" cm="1">
        <f t="array" ref="M3966">+_xlfn.IFS((C3966&gt;='Resultats - informe'!$D$26)*(C3966&lt;='Resultats - informe'!$E$26),0,(C3966&gt;='Resultats - informe'!$D$27)*(C3966&lt;='Resultats - informe'!$E$27),0,(C3966&gt;='Resultats - informe'!$D$28)*(C3966&lt;='Resultats - informe'!$E$28),0,(C3966&gt;='Resultats - informe'!$D$29)*(C3966&lt;='Resultats - informe'!$E$29),0,1,1)</f>
        <v>0</v>
      </c>
      <c r="N3966" s="366">
        <f>+VLOOKUP(D3966,'Resultats - informe'!$Y$18:$AG$42,'Introducció dades consum'!K3966+1,0)</f>
        <v>0</v>
      </c>
      <c r="O3966" s="370" cm="1">
        <f t="array" ref="O3966">+_xlfn.SWITCH(MONTH(C3966),1,1,2,1,3,1,4,2,5,2,6,3,7,3,8,3,9,3,10,2,11,2,12,1,2)</f>
        <v>1</v>
      </c>
      <c r="P3966" s="43"/>
    </row>
    <row r="3967" spans="1:16" ht="18" x14ac:dyDescent="0.35">
      <c r="A3967" s="43"/>
      <c r="C3967" s="393"/>
      <c r="E3967" s="394"/>
      <c r="F3967" s="394">
        <v>0</v>
      </c>
      <c r="G3967" s="394"/>
      <c r="H3967" s="8" t="s">
        <v>235</v>
      </c>
      <c r="I3967" s="368">
        <f t="shared" si="184"/>
        <v>0</v>
      </c>
      <c r="J3967" s="365">
        <f t="shared" si="186"/>
        <v>0</v>
      </c>
      <c r="K3967" s="369">
        <f t="shared" si="185"/>
        <v>6</v>
      </c>
      <c r="L3967" s="369">
        <f>+IF((C3967&gt;='Resultats - informe'!$E$16)*(C3967&lt;='Resultats - informe'!$G$16),1,0)</f>
        <v>1</v>
      </c>
      <c r="M3967" s="369" cm="1">
        <f t="array" ref="M3967">+_xlfn.IFS((C3967&gt;='Resultats - informe'!$D$26)*(C3967&lt;='Resultats - informe'!$E$26),0,(C3967&gt;='Resultats - informe'!$D$27)*(C3967&lt;='Resultats - informe'!$E$27),0,(C3967&gt;='Resultats - informe'!$D$28)*(C3967&lt;='Resultats - informe'!$E$28),0,(C3967&gt;='Resultats - informe'!$D$29)*(C3967&lt;='Resultats - informe'!$E$29),0,1,1)</f>
        <v>0</v>
      </c>
      <c r="N3967" s="366">
        <f>+VLOOKUP(D3967,'Resultats - informe'!$Y$18:$AG$42,'Introducció dades consum'!K3967+1,0)</f>
        <v>0</v>
      </c>
      <c r="O3967" s="370" cm="1">
        <f t="array" ref="O3967">+_xlfn.SWITCH(MONTH(C3967),1,1,2,1,3,1,4,2,5,2,6,3,7,3,8,3,9,3,10,2,11,2,12,1,2)</f>
        <v>1</v>
      </c>
      <c r="P3967" s="43"/>
    </row>
    <row r="3968" spans="1:16" ht="18" x14ac:dyDescent="0.35">
      <c r="A3968" s="43"/>
      <c r="C3968" s="393"/>
      <c r="E3968" s="394"/>
      <c r="F3968" s="394">
        <v>0</v>
      </c>
      <c r="G3968" s="394"/>
      <c r="H3968" s="8" t="s">
        <v>235</v>
      </c>
      <c r="I3968" s="368">
        <f t="shared" si="184"/>
        <v>0</v>
      </c>
      <c r="J3968" s="365">
        <f t="shared" si="186"/>
        <v>0</v>
      </c>
      <c r="K3968" s="369">
        <f t="shared" si="185"/>
        <v>6</v>
      </c>
      <c r="L3968" s="369">
        <f>+IF((C3968&gt;='Resultats - informe'!$E$16)*(C3968&lt;='Resultats - informe'!$G$16),1,0)</f>
        <v>1</v>
      </c>
      <c r="M3968" s="369" cm="1">
        <f t="array" ref="M3968">+_xlfn.IFS((C3968&gt;='Resultats - informe'!$D$26)*(C3968&lt;='Resultats - informe'!$E$26),0,(C3968&gt;='Resultats - informe'!$D$27)*(C3968&lt;='Resultats - informe'!$E$27),0,(C3968&gt;='Resultats - informe'!$D$28)*(C3968&lt;='Resultats - informe'!$E$28),0,(C3968&gt;='Resultats - informe'!$D$29)*(C3968&lt;='Resultats - informe'!$E$29),0,1,1)</f>
        <v>0</v>
      </c>
      <c r="N3968" s="366">
        <f>+VLOOKUP(D3968,'Resultats - informe'!$Y$18:$AG$42,'Introducció dades consum'!K3968+1,0)</f>
        <v>0</v>
      </c>
      <c r="O3968" s="370" cm="1">
        <f t="array" ref="O3968">+_xlfn.SWITCH(MONTH(C3968),1,1,2,1,3,1,4,2,5,2,6,3,7,3,8,3,9,3,10,2,11,2,12,1,2)</f>
        <v>1</v>
      </c>
      <c r="P3968" s="43"/>
    </row>
    <row r="3969" spans="1:16" ht="18" x14ac:dyDescent="0.35">
      <c r="A3969" s="43"/>
      <c r="C3969" s="393"/>
      <c r="E3969" s="394"/>
      <c r="F3969" s="394">
        <v>0.224</v>
      </c>
      <c r="G3969" s="394"/>
      <c r="H3969" s="8" t="s">
        <v>235</v>
      </c>
      <c r="I3969" s="368">
        <f t="shared" si="184"/>
        <v>0</v>
      </c>
      <c r="J3969" s="365">
        <f t="shared" si="186"/>
        <v>0</v>
      </c>
      <c r="K3969" s="369">
        <f t="shared" si="185"/>
        <v>6</v>
      </c>
      <c r="L3969" s="369">
        <f>+IF((C3969&gt;='Resultats - informe'!$E$16)*(C3969&lt;='Resultats - informe'!$G$16),1,0)</f>
        <v>1</v>
      </c>
      <c r="M3969" s="369" cm="1">
        <f t="array" ref="M3969">+_xlfn.IFS((C3969&gt;='Resultats - informe'!$D$26)*(C3969&lt;='Resultats - informe'!$E$26),0,(C3969&gt;='Resultats - informe'!$D$27)*(C3969&lt;='Resultats - informe'!$E$27),0,(C3969&gt;='Resultats - informe'!$D$28)*(C3969&lt;='Resultats - informe'!$E$28),0,(C3969&gt;='Resultats - informe'!$D$29)*(C3969&lt;='Resultats - informe'!$E$29),0,1,1)</f>
        <v>0</v>
      </c>
      <c r="N3969" s="366">
        <f>+VLOOKUP(D3969,'Resultats - informe'!$Y$18:$AG$42,'Introducció dades consum'!K3969+1,0)</f>
        <v>0</v>
      </c>
      <c r="O3969" s="370" cm="1">
        <f t="array" ref="O3969">+_xlfn.SWITCH(MONTH(C3969),1,1,2,1,3,1,4,2,5,2,6,3,7,3,8,3,9,3,10,2,11,2,12,1,2)</f>
        <v>1</v>
      </c>
      <c r="P3969" s="43"/>
    </row>
    <row r="3970" spans="1:16" ht="18" x14ac:dyDescent="0.35">
      <c r="A3970" s="43"/>
      <c r="C3970" s="393"/>
      <c r="E3970" s="394"/>
      <c r="F3970" s="394">
        <v>0.81499999999999995</v>
      </c>
      <c r="G3970" s="394"/>
      <c r="H3970" s="8" t="s">
        <v>235</v>
      </c>
      <c r="I3970" s="368">
        <f t="shared" si="184"/>
        <v>0</v>
      </c>
      <c r="J3970" s="365">
        <f t="shared" si="186"/>
        <v>0</v>
      </c>
      <c r="K3970" s="369">
        <f t="shared" si="185"/>
        <v>6</v>
      </c>
      <c r="L3970" s="369">
        <f>+IF((C3970&gt;='Resultats - informe'!$E$16)*(C3970&lt;='Resultats - informe'!$G$16),1,0)</f>
        <v>1</v>
      </c>
      <c r="M3970" s="369" cm="1">
        <f t="array" ref="M3970">+_xlfn.IFS((C3970&gt;='Resultats - informe'!$D$26)*(C3970&lt;='Resultats - informe'!$E$26),0,(C3970&gt;='Resultats - informe'!$D$27)*(C3970&lt;='Resultats - informe'!$E$27),0,(C3970&gt;='Resultats - informe'!$D$28)*(C3970&lt;='Resultats - informe'!$E$28),0,(C3970&gt;='Resultats - informe'!$D$29)*(C3970&lt;='Resultats - informe'!$E$29),0,1,1)</f>
        <v>0</v>
      </c>
      <c r="N3970" s="366">
        <f>+VLOOKUP(D3970,'Resultats - informe'!$Y$18:$AG$42,'Introducció dades consum'!K3970+1,0)</f>
        <v>0</v>
      </c>
      <c r="O3970" s="370" cm="1">
        <f t="array" ref="O3970">+_xlfn.SWITCH(MONTH(C3970),1,1,2,1,3,1,4,2,5,2,6,3,7,3,8,3,9,3,10,2,11,2,12,1,2)</f>
        <v>1</v>
      </c>
      <c r="P3970" s="43"/>
    </row>
    <row r="3971" spans="1:16" ht="18" x14ac:dyDescent="0.35">
      <c r="A3971" s="43"/>
      <c r="C3971" s="393"/>
      <c r="E3971" s="394"/>
      <c r="F3971" s="394">
        <v>1.401</v>
      </c>
      <c r="G3971" s="394"/>
      <c r="H3971" s="8" t="s">
        <v>235</v>
      </c>
      <c r="I3971" s="368">
        <f t="shared" si="184"/>
        <v>0</v>
      </c>
      <c r="J3971" s="365">
        <f t="shared" si="186"/>
        <v>0</v>
      </c>
      <c r="K3971" s="369">
        <f t="shared" si="185"/>
        <v>6</v>
      </c>
      <c r="L3971" s="369">
        <f>+IF((C3971&gt;='Resultats - informe'!$E$16)*(C3971&lt;='Resultats - informe'!$G$16),1,0)</f>
        <v>1</v>
      </c>
      <c r="M3971" s="369" cm="1">
        <f t="array" ref="M3971">+_xlfn.IFS((C3971&gt;='Resultats - informe'!$D$26)*(C3971&lt;='Resultats - informe'!$E$26),0,(C3971&gt;='Resultats - informe'!$D$27)*(C3971&lt;='Resultats - informe'!$E$27),0,(C3971&gt;='Resultats - informe'!$D$28)*(C3971&lt;='Resultats - informe'!$E$28),0,(C3971&gt;='Resultats - informe'!$D$29)*(C3971&lt;='Resultats - informe'!$E$29),0,1,1)</f>
        <v>0</v>
      </c>
      <c r="N3971" s="366">
        <f>+VLOOKUP(D3971,'Resultats - informe'!$Y$18:$AG$42,'Introducció dades consum'!K3971+1,0)</f>
        <v>0</v>
      </c>
      <c r="O3971" s="370" cm="1">
        <f t="array" ref="O3971">+_xlfn.SWITCH(MONTH(C3971),1,1,2,1,3,1,4,2,5,2,6,3,7,3,8,3,9,3,10,2,11,2,12,1,2)</f>
        <v>1</v>
      </c>
      <c r="P3971" s="43"/>
    </row>
    <row r="3972" spans="1:16" ht="18" x14ac:dyDescent="0.35">
      <c r="A3972" s="43"/>
      <c r="C3972" s="393"/>
      <c r="E3972" s="394"/>
      <c r="F3972" s="394">
        <v>1.98</v>
      </c>
      <c r="G3972" s="394"/>
      <c r="H3972" s="8" t="s">
        <v>235</v>
      </c>
      <c r="I3972" s="368">
        <f t="shared" si="184"/>
        <v>0</v>
      </c>
      <c r="J3972" s="365">
        <f t="shared" si="186"/>
        <v>0</v>
      </c>
      <c r="K3972" s="369">
        <f t="shared" si="185"/>
        <v>6</v>
      </c>
      <c r="L3972" s="369">
        <f>+IF((C3972&gt;='Resultats - informe'!$E$16)*(C3972&lt;='Resultats - informe'!$G$16),1,0)</f>
        <v>1</v>
      </c>
      <c r="M3972" s="369" cm="1">
        <f t="array" ref="M3972">+_xlfn.IFS((C3972&gt;='Resultats - informe'!$D$26)*(C3972&lt;='Resultats - informe'!$E$26),0,(C3972&gt;='Resultats - informe'!$D$27)*(C3972&lt;='Resultats - informe'!$E$27),0,(C3972&gt;='Resultats - informe'!$D$28)*(C3972&lt;='Resultats - informe'!$E$28),0,(C3972&gt;='Resultats - informe'!$D$29)*(C3972&lt;='Resultats - informe'!$E$29),0,1,1)</f>
        <v>0</v>
      </c>
      <c r="N3972" s="366">
        <f>+VLOOKUP(D3972,'Resultats - informe'!$Y$18:$AG$42,'Introducció dades consum'!K3972+1,0)</f>
        <v>0</v>
      </c>
      <c r="O3972" s="370" cm="1">
        <f t="array" ref="O3972">+_xlfn.SWITCH(MONTH(C3972),1,1,2,1,3,1,4,2,5,2,6,3,7,3,8,3,9,3,10,2,11,2,12,1,2)</f>
        <v>1</v>
      </c>
      <c r="P3972" s="43"/>
    </row>
    <row r="3973" spans="1:16" ht="18" x14ac:dyDescent="0.35">
      <c r="A3973" s="43"/>
      <c r="C3973" s="393"/>
      <c r="E3973" s="394"/>
      <c r="F3973" s="394">
        <v>2.4729999999999999</v>
      </c>
      <c r="G3973" s="394"/>
      <c r="H3973" s="8" t="s">
        <v>235</v>
      </c>
      <c r="I3973" s="368">
        <f t="shared" si="184"/>
        <v>0</v>
      </c>
      <c r="J3973" s="365">
        <f t="shared" si="186"/>
        <v>0</v>
      </c>
      <c r="K3973" s="369">
        <f t="shared" si="185"/>
        <v>6</v>
      </c>
      <c r="L3973" s="369">
        <f>+IF((C3973&gt;='Resultats - informe'!$E$16)*(C3973&lt;='Resultats - informe'!$G$16),1,0)</f>
        <v>1</v>
      </c>
      <c r="M3973" s="369" cm="1">
        <f t="array" ref="M3973">+_xlfn.IFS((C3973&gt;='Resultats - informe'!$D$26)*(C3973&lt;='Resultats - informe'!$E$26),0,(C3973&gt;='Resultats - informe'!$D$27)*(C3973&lt;='Resultats - informe'!$E$27),0,(C3973&gt;='Resultats - informe'!$D$28)*(C3973&lt;='Resultats - informe'!$E$28),0,(C3973&gt;='Resultats - informe'!$D$29)*(C3973&lt;='Resultats - informe'!$E$29),0,1,1)</f>
        <v>0</v>
      </c>
      <c r="N3973" s="366">
        <f>+VLOOKUP(D3973,'Resultats - informe'!$Y$18:$AG$42,'Introducció dades consum'!K3973+1,0)</f>
        <v>0</v>
      </c>
      <c r="O3973" s="370" cm="1">
        <f t="array" ref="O3973">+_xlfn.SWITCH(MONTH(C3973),1,1,2,1,3,1,4,2,5,2,6,3,7,3,8,3,9,3,10,2,11,2,12,1,2)</f>
        <v>1</v>
      </c>
      <c r="P3973" s="43"/>
    </row>
    <row r="3974" spans="1:16" ht="18" x14ac:dyDescent="0.35">
      <c r="A3974" s="43"/>
      <c r="C3974" s="393"/>
      <c r="E3974" s="394"/>
      <c r="F3974" s="394">
        <v>3.8250000000000002</v>
      </c>
      <c r="G3974" s="394"/>
      <c r="H3974" s="8" t="s">
        <v>61</v>
      </c>
      <c r="I3974" s="368">
        <f t="shared" ref="I3974:I4037" si="187">+E3974+G3974</f>
        <v>0</v>
      </c>
      <c r="J3974" s="365">
        <f t="shared" si="186"/>
        <v>0</v>
      </c>
      <c r="K3974" s="369">
        <f t="shared" ref="K3974:K4037" si="188">+WEEKDAY(C3974,2)</f>
        <v>6</v>
      </c>
      <c r="L3974" s="369">
        <f>+IF((C3974&gt;='Resultats - informe'!$E$16)*(C3974&lt;='Resultats - informe'!$G$16),1,0)</f>
        <v>1</v>
      </c>
      <c r="M3974" s="369" cm="1">
        <f t="array" ref="M3974">+_xlfn.IFS((C3974&gt;='Resultats - informe'!$D$26)*(C3974&lt;='Resultats - informe'!$E$26),0,(C3974&gt;='Resultats - informe'!$D$27)*(C3974&lt;='Resultats - informe'!$E$27),0,(C3974&gt;='Resultats - informe'!$D$28)*(C3974&lt;='Resultats - informe'!$E$28),0,(C3974&gt;='Resultats - informe'!$D$29)*(C3974&lt;='Resultats - informe'!$E$29),0,1,1)</f>
        <v>0</v>
      </c>
      <c r="N3974" s="366">
        <f>+VLOOKUP(D3974,'Resultats - informe'!$Y$18:$AG$42,'Introducció dades consum'!K3974+1,0)</f>
        <v>0</v>
      </c>
      <c r="O3974" s="370" cm="1">
        <f t="array" ref="O3974">+_xlfn.SWITCH(MONTH(C3974),1,1,2,1,3,1,4,2,5,2,6,3,7,3,8,3,9,3,10,2,11,2,12,1,2)</f>
        <v>1</v>
      </c>
      <c r="P3974" s="43"/>
    </row>
    <row r="3975" spans="1:16" ht="18" x14ac:dyDescent="0.35">
      <c r="A3975" s="43"/>
      <c r="C3975" s="393"/>
      <c r="E3975" s="394"/>
      <c r="F3975" s="394">
        <v>5.3819999999999997</v>
      </c>
      <c r="G3975" s="394"/>
      <c r="H3975" s="8" t="s">
        <v>61</v>
      </c>
      <c r="I3975" s="368">
        <f t="shared" si="187"/>
        <v>0</v>
      </c>
      <c r="J3975" s="365">
        <f t="shared" si="186"/>
        <v>0</v>
      </c>
      <c r="K3975" s="369">
        <f t="shared" si="188"/>
        <v>6</v>
      </c>
      <c r="L3975" s="369">
        <f>+IF((C3975&gt;='Resultats - informe'!$E$16)*(C3975&lt;='Resultats - informe'!$G$16),1,0)</f>
        <v>1</v>
      </c>
      <c r="M3975" s="369" cm="1">
        <f t="array" ref="M3975">+_xlfn.IFS((C3975&gt;='Resultats - informe'!$D$26)*(C3975&lt;='Resultats - informe'!$E$26),0,(C3975&gt;='Resultats - informe'!$D$27)*(C3975&lt;='Resultats - informe'!$E$27),0,(C3975&gt;='Resultats - informe'!$D$28)*(C3975&lt;='Resultats - informe'!$E$28),0,(C3975&gt;='Resultats - informe'!$D$29)*(C3975&lt;='Resultats - informe'!$E$29),0,1,1)</f>
        <v>0</v>
      </c>
      <c r="N3975" s="366">
        <f>+VLOOKUP(D3975,'Resultats - informe'!$Y$18:$AG$42,'Introducció dades consum'!K3975+1,0)</f>
        <v>0</v>
      </c>
      <c r="O3975" s="370" cm="1">
        <f t="array" ref="O3975">+_xlfn.SWITCH(MONTH(C3975),1,1,2,1,3,1,4,2,5,2,6,3,7,3,8,3,9,3,10,2,11,2,12,1,2)</f>
        <v>1</v>
      </c>
      <c r="P3975" s="43"/>
    </row>
    <row r="3976" spans="1:16" ht="18" x14ac:dyDescent="0.35">
      <c r="A3976" s="43"/>
      <c r="C3976" s="393"/>
      <c r="E3976" s="394"/>
      <c r="F3976" s="394">
        <v>5.4729999999999999</v>
      </c>
      <c r="G3976" s="394"/>
      <c r="H3976" s="8" t="s">
        <v>61</v>
      </c>
      <c r="I3976" s="368">
        <f t="shared" si="187"/>
        <v>0</v>
      </c>
      <c r="J3976" s="365">
        <f t="shared" si="186"/>
        <v>0</v>
      </c>
      <c r="K3976" s="369">
        <f t="shared" si="188"/>
        <v>6</v>
      </c>
      <c r="L3976" s="369">
        <f>+IF((C3976&gt;='Resultats - informe'!$E$16)*(C3976&lt;='Resultats - informe'!$G$16),1,0)</f>
        <v>1</v>
      </c>
      <c r="M3976" s="369" cm="1">
        <f t="array" ref="M3976">+_xlfn.IFS((C3976&gt;='Resultats - informe'!$D$26)*(C3976&lt;='Resultats - informe'!$E$26),0,(C3976&gt;='Resultats - informe'!$D$27)*(C3976&lt;='Resultats - informe'!$E$27),0,(C3976&gt;='Resultats - informe'!$D$28)*(C3976&lt;='Resultats - informe'!$E$28),0,(C3976&gt;='Resultats - informe'!$D$29)*(C3976&lt;='Resultats - informe'!$E$29),0,1,1)</f>
        <v>0</v>
      </c>
      <c r="N3976" s="366">
        <f>+VLOOKUP(D3976,'Resultats - informe'!$Y$18:$AG$42,'Introducció dades consum'!K3976+1,0)</f>
        <v>0</v>
      </c>
      <c r="O3976" s="370" cm="1">
        <f t="array" ref="O3976">+_xlfn.SWITCH(MONTH(C3976),1,1,2,1,3,1,4,2,5,2,6,3,7,3,8,3,9,3,10,2,11,2,12,1,2)</f>
        <v>1</v>
      </c>
      <c r="P3976" s="43"/>
    </row>
    <row r="3977" spans="1:16" ht="18" x14ac:dyDescent="0.35">
      <c r="A3977" s="43"/>
      <c r="C3977" s="393"/>
      <c r="E3977" s="394"/>
      <c r="F3977" s="394">
        <v>4.2779999999999996</v>
      </c>
      <c r="G3977" s="394"/>
      <c r="H3977" s="8" t="s">
        <v>61</v>
      </c>
      <c r="I3977" s="368">
        <f t="shared" si="187"/>
        <v>0</v>
      </c>
      <c r="J3977" s="365">
        <f t="shared" si="186"/>
        <v>0</v>
      </c>
      <c r="K3977" s="369">
        <f t="shared" si="188"/>
        <v>6</v>
      </c>
      <c r="L3977" s="369">
        <f>+IF((C3977&gt;='Resultats - informe'!$E$16)*(C3977&lt;='Resultats - informe'!$G$16),1,0)</f>
        <v>1</v>
      </c>
      <c r="M3977" s="369" cm="1">
        <f t="array" ref="M3977">+_xlfn.IFS((C3977&gt;='Resultats - informe'!$D$26)*(C3977&lt;='Resultats - informe'!$E$26),0,(C3977&gt;='Resultats - informe'!$D$27)*(C3977&lt;='Resultats - informe'!$E$27),0,(C3977&gt;='Resultats - informe'!$D$28)*(C3977&lt;='Resultats - informe'!$E$28),0,(C3977&gt;='Resultats - informe'!$D$29)*(C3977&lt;='Resultats - informe'!$E$29),0,1,1)</f>
        <v>0</v>
      </c>
      <c r="N3977" s="366">
        <f>+VLOOKUP(D3977,'Resultats - informe'!$Y$18:$AG$42,'Introducció dades consum'!K3977+1,0)</f>
        <v>0</v>
      </c>
      <c r="O3977" s="370" cm="1">
        <f t="array" ref="O3977">+_xlfn.SWITCH(MONTH(C3977),1,1,2,1,3,1,4,2,5,2,6,3,7,3,8,3,9,3,10,2,11,2,12,1,2)</f>
        <v>1</v>
      </c>
      <c r="P3977" s="43"/>
    </row>
    <row r="3978" spans="1:16" ht="18" x14ac:dyDescent="0.35">
      <c r="A3978" s="43"/>
      <c r="C3978" s="393"/>
      <c r="E3978" s="394"/>
      <c r="F3978" s="394">
        <v>4.79</v>
      </c>
      <c r="G3978" s="394"/>
      <c r="H3978" s="8" t="s">
        <v>61</v>
      </c>
      <c r="I3978" s="368">
        <f t="shared" si="187"/>
        <v>0</v>
      </c>
      <c r="J3978" s="365">
        <f t="shared" si="186"/>
        <v>0</v>
      </c>
      <c r="K3978" s="369">
        <f t="shared" si="188"/>
        <v>6</v>
      </c>
      <c r="L3978" s="369">
        <f>+IF((C3978&gt;='Resultats - informe'!$E$16)*(C3978&lt;='Resultats - informe'!$G$16),1,0)</f>
        <v>1</v>
      </c>
      <c r="M3978" s="369" cm="1">
        <f t="array" ref="M3978">+_xlfn.IFS((C3978&gt;='Resultats - informe'!$D$26)*(C3978&lt;='Resultats - informe'!$E$26),0,(C3978&gt;='Resultats - informe'!$D$27)*(C3978&lt;='Resultats - informe'!$E$27),0,(C3978&gt;='Resultats - informe'!$D$28)*(C3978&lt;='Resultats - informe'!$E$28),0,(C3978&gt;='Resultats - informe'!$D$29)*(C3978&lt;='Resultats - informe'!$E$29),0,1,1)</f>
        <v>0</v>
      </c>
      <c r="N3978" s="366">
        <f>+VLOOKUP(D3978,'Resultats - informe'!$Y$18:$AG$42,'Introducció dades consum'!K3978+1,0)</f>
        <v>0</v>
      </c>
      <c r="O3978" s="370" cm="1">
        <f t="array" ref="O3978">+_xlfn.SWITCH(MONTH(C3978),1,1,2,1,3,1,4,2,5,2,6,3,7,3,8,3,9,3,10,2,11,2,12,1,2)</f>
        <v>1</v>
      </c>
      <c r="P3978" s="43"/>
    </row>
    <row r="3979" spans="1:16" ht="18" x14ac:dyDescent="0.35">
      <c r="A3979" s="43"/>
      <c r="C3979" s="393"/>
      <c r="E3979" s="394"/>
      <c r="F3979" s="394">
        <v>6.3490000000000002</v>
      </c>
      <c r="G3979" s="394"/>
      <c r="H3979" s="8" t="s">
        <v>61</v>
      </c>
      <c r="I3979" s="368">
        <f t="shared" si="187"/>
        <v>0</v>
      </c>
      <c r="J3979" s="365">
        <f t="shared" si="186"/>
        <v>0</v>
      </c>
      <c r="K3979" s="369">
        <f t="shared" si="188"/>
        <v>6</v>
      </c>
      <c r="L3979" s="369">
        <f>+IF((C3979&gt;='Resultats - informe'!$E$16)*(C3979&lt;='Resultats - informe'!$G$16),1,0)</f>
        <v>1</v>
      </c>
      <c r="M3979" s="369" cm="1">
        <f t="array" ref="M3979">+_xlfn.IFS((C3979&gt;='Resultats - informe'!$D$26)*(C3979&lt;='Resultats - informe'!$E$26),0,(C3979&gt;='Resultats - informe'!$D$27)*(C3979&lt;='Resultats - informe'!$E$27),0,(C3979&gt;='Resultats - informe'!$D$28)*(C3979&lt;='Resultats - informe'!$E$28),0,(C3979&gt;='Resultats - informe'!$D$29)*(C3979&lt;='Resultats - informe'!$E$29),0,1,1)</f>
        <v>0</v>
      </c>
      <c r="N3979" s="366">
        <f>+VLOOKUP(D3979,'Resultats - informe'!$Y$18:$AG$42,'Introducció dades consum'!K3979+1,0)</f>
        <v>0</v>
      </c>
      <c r="O3979" s="370" cm="1">
        <f t="array" ref="O3979">+_xlfn.SWITCH(MONTH(C3979),1,1,2,1,3,1,4,2,5,2,6,3,7,3,8,3,9,3,10,2,11,2,12,1,2)</f>
        <v>1</v>
      </c>
      <c r="P3979" s="43"/>
    </row>
    <row r="3980" spans="1:16" ht="18" x14ac:dyDescent="0.35">
      <c r="A3980" s="43"/>
      <c r="C3980" s="393"/>
      <c r="E3980" s="394"/>
      <c r="F3980" s="394">
        <v>4.3979999999999997</v>
      </c>
      <c r="G3980" s="394"/>
      <c r="H3980" s="8" t="s">
        <v>61</v>
      </c>
      <c r="I3980" s="368">
        <f t="shared" si="187"/>
        <v>0</v>
      </c>
      <c r="J3980" s="365">
        <f t="shared" si="186"/>
        <v>0</v>
      </c>
      <c r="K3980" s="369">
        <f t="shared" si="188"/>
        <v>6</v>
      </c>
      <c r="L3980" s="369">
        <f>+IF((C3980&gt;='Resultats - informe'!$E$16)*(C3980&lt;='Resultats - informe'!$G$16),1,0)</f>
        <v>1</v>
      </c>
      <c r="M3980" s="369" cm="1">
        <f t="array" ref="M3980">+_xlfn.IFS((C3980&gt;='Resultats - informe'!$D$26)*(C3980&lt;='Resultats - informe'!$E$26),0,(C3980&gt;='Resultats - informe'!$D$27)*(C3980&lt;='Resultats - informe'!$E$27),0,(C3980&gt;='Resultats - informe'!$D$28)*(C3980&lt;='Resultats - informe'!$E$28),0,(C3980&gt;='Resultats - informe'!$D$29)*(C3980&lt;='Resultats - informe'!$E$29),0,1,1)</f>
        <v>0</v>
      </c>
      <c r="N3980" s="366">
        <f>+VLOOKUP(D3980,'Resultats - informe'!$Y$18:$AG$42,'Introducció dades consum'!K3980+1,0)</f>
        <v>0</v>
      </c>
      <c r="O3980" s="370" cm="1">
        <f t="array" ref="O3980">+_xlfn.SWITCH(MONTH(C3980),1,1,2,1,3,1,4,2,5,2,6,3,7,3,8,3,9,3,10,2,11,2,12,1,2)</f>
        <v>1</v>
      </c>
      <c r="P3980" s="43"/>
    </row>
    <row r="3981" spans="1:16" ht="18" x14ac:dyDescent="0.35">
      <c r="A3981" s="43"/>
      <c r="C3981" s="393"/>
      <c r="E3981" s="394"/>
      <c r="F3981" s="394">
        <v>2.8039999999999998</v>
      </c>
      <c r="G3981" s="394"/>
      <c r="H3981" s="8" t="s">
        <v>61</v>
      </c>
      <c r="I3981" s="368">
        <f t="shared" si="187"/>
        <v>0</v>
      </c>
      <c r="J3981" s="365">
        <f t="shared" si="186"/>
        <v>0</v>
      </c>
      <c r="K3981" s="369">
        <f t="shared" si="188"/>
        <v>6</v>
      </c>
      <c r="L3981" s="369">
        <f>+IF((C3981&gt;='Resultats - informe'!$E$16)*(C3981&lt;='Resultats - informe'!$G$16),1,0)</f>
        <v>1</v>
      </c>
      <c r="M3981" s="369" cm="1">
        <f t="array" ref="M3981">+_xlfn.IFS((C3981&gt;='Resultats - informe'!$D$26)*(C3981&lt;='Resultats - informe'!$E$26),0,(C3981&gt;='Resultats - informe'!$D$27)*(C3981&lt;='Resultats - informe'!$E$27),0,(C3981&gt;='Resultats - informe'!$D$28)*(C3981&lt;='Resultats - informe'!$E$28),0,(C3981&gt;='Resultats - informe'!$D$29)*(C3981&lt;='Resultats - informe'!$E$29),0,1,1)</f>
        <v>0</v>
      </c>
      <c r="N3981" s="366">
        <f>+VLOOKUP(D3981,'Resultats - informe'!$Y$18:$AG$42,'Introducció dades consum'!K3981+1,0)</f>
        <v>0</v>
      </c>
      <c r="O3981" s="370" cm="1">
        <f t="array" ref="O3981">+_xlfn.SWITCH(MONTH(C3981),1,1,2,1,3,1,4,2,5,2,6,3,7,3,8,3,9,3,10,2,11,2,12,1,2)</f>
        <v>1</v>
      </c>
      <c r="P3981" s="43"/>
    </row>
    <row r="3982" spans="1:16" ht="18" x14ac:dyDescent="0.35">
      <c r="A3982" s="43"/>
      <c r="C3982" s="393"/>
      <c r="E3982" s="394"/>
      <c r="F3982" s="394">
        <v>1.9830000000000001</v>
      </c>
      <c r="G3982" s="394"/>
      <c r="H3982" s="8" t="s">
        <v>61</v>
      </c>
      <c r="I3982" s="368">
        <f t="shared" si="187"/>
        <v>0</v>
      </c>
      <c r="J3982" s="365">
        <f t="shared" si="186"/>
        <v>0</v>
      </c>
      <c r="K3982" s="369">
        <f t="shared" si="188"/>
        <v>6</v>
      </c>
      <c r="L3982" s="369">
        <f>+IF((C3982&gt;='Resultats - informe'!$E$16)*(C3982&lt;='Resultats - informe'!$G$16),1,0)</f>
        <v>1</v>
      </c>
      <c r="M3982" s="369" cm="1">
        <f t="array" ref="M3982">+_xlfn.IFS((C3982&gt;='Resultats - informe'!$D$26)*(C3982&lt;='Resultats - informe'!$E$26),0,(C3982&gt;='Resultats - informe'!$D$27)*(C3982&lt;='Resultats - informe'!$E$27),0,(C3982&gt;='Resultats - informe'!$D$28)*(C3982&lt;='Resultats - informe'!$E$28),0,(C3982&gt;='Resultats - informe'!$D$29)*(C3982&lt;='Resultats - informe'!$E$29),0,1,1)</f>
        <v>0</v>
      </c>
      <c r="N3982" s="366">
        <f>+VLOOKUP(D3982,'Resultats - informe'!$Y$18:$AG$42,'Introducció dades consum'!K3982+1,0)</f>
        <v>0</v>
      </c>
      <c r="O3982" s="370" cm="1">
        <f t="array" ref="O3982">+_xlfn.SWITCH(MONTH(C3982),1,1,2,1,3,1,4,2,5,2,6,3,7,3,8,3,9,3,10,2,11,2,12,1,2)</f>
        <v>1</v>
      </c>
      <c r="P3982" s="43"/>
    </row>
    <row r="3983" spans="1:16" ht="18" x14ac:dyDescent="0.35">
      <c r="A3983" s="43"/>
      <c r="C3983" s="393"/>
      <c r="E3983" s="394"/>
      <c r="F3983" s="394">
        <v>0.64500000000000002</v>
      </c>
      <c r="G3983" s="394"/>
      <c r="H3983" s="8" t="s">
        <v>61</v>
      </c>
      <c r="I3983" s="368">
        <f t="shared" si="187"/>
        <v>0</v>
      </c>
      <c r="J3983" s="365">
        <f t="shared" si="186"/>
        <v>0</v>
      </c>
      <c r="K3983" s="369">
        <f t="shared" si="188"/>
        <v>6</v>
      </c>
      <c r="L3983" s="369">
        <f>+IF((C3983&gt;='Resultats - informe'!$E$16)*(C3983&lt;='Resultats - informe'!$G$16),1,0)</f>
        <v>1</v>
      </c>
      <c r="M3983" s="369" cm="1">
        <f t="array" ref="M3983">+_xlfn.IFS((C3983&gt;='Resultats - informe'!$D$26)*(C3983&lt;='Resultats - informe'!$E$26),0,(C3983&gt;='Resultats - informe'!$D$27)*(C3983&lt;='Resultats - informe'!$E$27),0,(C3983&gt;='Resultats - informe'!$D$28)*(C3983&lt;='Resultats - informe'!$E$28),0,(C3983&gt;='Resultats - informe'!$D$29)*(C3983&lt;='Resultats - informe'!$E$29),0,1,1)</f>
        <v>0</v>
      </c>
      <c r="N3983" s="366">
        <f>+VLOOKUP(D3983,'Resultats - informe'!$Y$18:$AG$42,'Introducció dades consum'!K3983+1,0)</f>
        <v>0</v>
      </c>
      <c r="O3983" s="370" cm="1">
        <f t="array" ref="O3983">+_xlfn.SWITCH(MONTH(C3983),1,1,2,1,3,1,4,2,5,2,6,3,7,3,8,3,9,3,10,2,11,2,12,1,2)</f>
        <v>1</v>
      </c>
      <c r="P3983" s="43"/>
    </row>
    <row r="3984" spans="1:16" ht="18" x14ac:dyDescent="0.35">
      <c r="A3984" s="43"/>
      <c r="C3984" s="393"/>
      <c r="E3984" s="394"/>
      <c r="F3984" s="394">
        <v>0</v>
      </c>
      <c r="G3984" s="394"/>
      <c r="H3984" s="8" t="s">
        <v>235</v>
      </c>
      <c r="I3984" s="368">
        <f t="shared" si="187"/>
        <v>0</v>
      </c>
      <c r="J3984" s="365">
        <f t="shared" si="186"/>
        <v>0</v>
      </c>
      <c r="K3984" s="369">
        <f t="shared" si="188"/>
        <v>6</v>
      </c>
      <c r="L3984" s="369">
        <f>+IF((C3984&gt;='Resultats - informe'!$E$16)*(C3984&lt;='Resultats - informe'!$G$16),1,0)</f>
        <v>1</v>
      </c>
      <c r="M3984" s="369" cm="1">
        <f t="array" ref="M3984">+_xlfn.IFS((C3984&gt;='Resultats - informe'!$D$26)*(C3984&lt;='Resultats - informe'!$E$26),0,(C3984&gt;='Resultats - informe'!$D$27)*(C3984&lt;='Resultats - informe'!$E$27),0,(C3984&gt;='Resultats - informe'!$D$28)*(C3984&lt;='Resultats - informe'!$E$28),0,(C3984&gt;='Resultats - informe'!$D$29)*(C3984&lt;='Resultats - informe'!$E$29),0,1,1)</f>
        <v>0</v>
      </c>
      <c r="N3984" s="366">
        <f>+VLOOKUP(D3984,'Resultats - informe'!$Y$18:$AG$42,'Introducció dades consum'!K3984+1,0)</f>
        <v>0</v>
      </c>
      <c r="O3984" s="370" cm="1">
        <f t="array" ref="O3984">+_xlfn.SWITCH(MONTH(C3984),1,1,2,1,3,1,4,2,5,2,6,3,7,3,8,3,9,3,10,2,11,2,12,1,2)</f>
        <v>1</v>
      </c>
      <c r="P3984" s="43"/>
    </row>
    <row r="3985" spans="1:16" ht="18" x14ac:dyDescent="0.35">
      <c r="A3985" s="43"/>
      <c r="C3985" s="393"/>
      <c r="E3985" s="394"/>
      <c r="F3985" s="394">
        <v>0</v>
      </c>
      <c r="G3985" s="394"/>
      <c r="H3985" s="8" t="s">
        <v>235</v>
      </c>
      <c r="I3985" s="368">
        <f t="shared" si="187"/>
        <v>0</v>
      </c>
      <c r="J3985" s="365">
        <f t="shared" si="186"/>
        <v>0</v>
      </c>
      <c r="K3985" s="369">
        <f t="shared" si="188"/>
        <v>6</v>
      </c>
      <c r="L3985" s="369">
        <f>+IF((C3985&gt;='Resultats - informe'!$E$16)*(C3985&lt;='Resultats - informe'!$G$16),1,0)</f>
        <v>1</v>
      </c>
      <c r="M3985" s="369" cm="1">
        <f t="array" ref="M3985">+_xlfn.IFS((C3985&gt;='Resultats - informe'!$D$26)*(C3985&lt;='Resultats - informe'!$E$26),0,(C3985&gt;='Resultats - informe'!$D$27)*(C3985&lt;='Resultats - informe'!$E$27),0,(C3985&gt;='Resultats - informe'!$D$28)*(C3985&lt;='Resultats - informe'!$E$28),0,(C3985&gt;='Resultats - informe'!$D$29)*(C3985&lt;='Resultats - informe'!$E$29),0,1,1)</f>
        <v>0</v>
      </c>
      <c r="N3985" s="366">
        <f>+VLOOKUP(D3985,'Resultats - informe'!$Y$18:$AG$42,'Introducció dades consum'!K3985+1,0)</f>
        <v>0</v>
      </c>
      <c r="O3985" s="370" cm="1">
        <f t="array" ref="O3985">+_xlfn.SWITCH(MONTH(C3985),1,1,2,1,3,1,4,2,5,2,6,3,7,3,8,3,9,3,10,2,11,2,12,1,2)</f>
        <v>1</v>
      </c>
      <c r="P3985" s="43"/>
    </row>
    <row r="3986" spans="1:16" ht="18" x14ac:dyDescent="0.35">
      <c r="A3986" s="43"/>
      <c r="C3986" s="393"/>
      <c r="E3986" s="394"/>
      <c r="F3986" s="394">
        <v>0</v>
      </c>
      <c r="G3986" s="394"/>
      <c r="H3986" s="8" t="s">
        <v>235</v>
      </c>
      <c r="I3986" s="368">
        <f t="shared" si="187"/>
        <v>0</v>
      </c>
      <c r="J3986" s="365">
        <f t="shared" si="186"/>
        <v>0</v>
      </c>
      <c r="K3986" s="369">
        <f t="shared" si="188"/>
        <v>6</v>
      </c>
      <c r="L3986" s="369">
        <f>+IF((C3986&gt;='Resultats - informe'!$E$16)*(C3986&lt;='Resultats - informe'!$G$16),1,0)</f>
        <v>1</v>
      </c>
      <c r="M3986" s="369" cm="1">
        <f t="array" ref="M3986">+_xlfn.IFS((C3986&gt;='Resultats - informe'!$D$26)*(C3986&lt;='Resultats - informe'!$E$26),0,(C3986&gt;='Resultats - informe'!$D$27)*(C3986&lt;='Resultats - informe'!$E$27),0,(C3986&gt;='Resultats - informe'!$D$28)*(C3986&lt;='Resultats - informe'!$E$28),0,(C3986&gt;='Resultats - informe'!$D$29)*(C3986&lt;='Resultats - informe'!$E$29),0,1,1)</f>
        <v>0</v>
      </c>
      <c r="N3986" s="366">
        <f>+VLOOKUP(D3986,'Resultats - informe'!$Y$18:$AG$42,'Introducció dades consum'!K3986+1,0)</f>
        <v>0</v>
      </c>
      <c r="O3986" s="370" cm="1">
        <f t="array" ref="O3986">+_xlfn.SWITCH(MONTH(C3986),1,1,2,1,3,1,4,2,5,2,6,3,7,3,8,3,9,3,10,2,11,2,12,1,2)</f>
        <v>1</v>
      </c>
      <c r="P3986" s="43"/>
    </row>
    <row r="3987" spans="1:16" ht="18" x14ac:dyDescent="0.35">
      <c r="A3987" s="43"/>
      <c r="C3987" s="393"/>
      <c r="E3987" s="394"/>
      <c r="F3987" s="394">
        <v>0</v>
      </c>
      <c r="G3987" s="394"/>
      <c r="H3987" s="8" t="s">
        <v>235</v>
      </c>
      <c r="I3987" s="368">
        <f t="shared" si="187"/>
        <v>0</v>
      </c>
      <c r="J3987" s="365">
        <f t="shared" si="186"/>
        <v>0</v>
      </c>
      <c r="K3987" s="369">
        <f t="shared" si="188"/>
        <v>6</v>
      </c>
      <c r="L3987" s="369">
        <f>+IF((C3987&gt;='Resultats - informe'!$E$16)*(C3987&lt;='Resultats - informe'!$G$16),1,0)</f>
        <v>1</v>
      </c>
      <c r="M3987" s="369" cm="1">
        <f t="array" ref="M3987">+_xlfn.IFS((C3987&gt;='Resultats - informe'!$D$26)*(C3987&lt;='Resultats - informe'!$E$26),0,(C3987&gt;='Resultats - informe'!$D$27)*(C3987&lt;='Resultats - informe'!$E$27),0,(C3987&gt;='Resultats - informe'!$D$28)*(C3987&lt;='Resultats - informe'!$E$28),0,(C3987&gt;='Resultats - informe'!$D$29)*(C3987&lt;='Resultats - informe'!$E$29),0,1,1)</f>
        <v>0</v>
      </c>
      <c r="N3987" s="366">
        <f>+VLOOKUP(D3987,'Resultats - informe'!$Y$18:$AG$42,'Introducció dades consum'!K3987+1,0)</f>
        <v>0</v>
      </c>
      <c r="O3987" s="370" cm="1">
        <f t="array" ref="O3987">+_xlfn.SWITCH(MONTH(C3987),1,1,2,1,3,1,4,2,5,2,6,3,7,3,8,3,9,3,10,2,11,2,12,1,2)</f>
        <v>1</v>
      </c>
      <c r="P3987" s="43"/>
    </row>
    <row r="3988" spans="1:16" ht="18" x14ac:dyDescent="0.35">
      <c r="A3988" s="43"/>
      <c r="C3988" s="393"/>
      <c r="E3988" s="394"/>
      <c r="F3988" s="394">
        <v>0</v>
      </c>
      <c r="G3988" s="394"/>
      <c r="H3988" s="8" t="s">
        <v>235</v>
      </c>
      <c r="I3988" s="368">
        <f t="shared" si="187"/>
        <v>0</v>
      </c>
      <c r="J3988" s="365">
        <f t="shared" si="186"/>
        <v>0</v>
      </c>
      <c r="K3988" s="369">
        <f t="shared" si="188"/>
        <v>6</v>
      </c>
      <c r="L3988" s="369">
        <f>+IF((C3988&gt;='Resultats - informe'!$E$16)*(C3988&lt;='Resultats - informe'!$G$16),1,0)</f>
        <v>1</v>
      </c>
      <c r="M3988" s="369" cm="1">
        <f t="array" ref="M3988">+_xlfn.IFS((C3988&gt;='Resultats - informe'!$D$26)*(C3988&lt;='Resultats - informe'!$E$26),0,(C3988&gt;='Resultats - informe'!$D$27)*(C3988&lt;='Resultats - informe'!$E$27),0,(C3988&gt;='Resultats - informe'!$D$28)*(C3988&lt;='Resultats - informe'!$E$28),0,(C3988&gt;='Resultats - informe'!$D$29)*(C3988&lt;='Resultats - informe'!$E$29),0,1,1)</f>
        <v>0</v>
      </c>
      <c r="N3988" s="366">
        <f>+VLOOKUP(D3988,'Resultats - informe'!$Y$18:$AG$42,'Introducció dades consum'!K3988+1,0)</f>
        <v>0</v>
      </c>
      <c r="O3988" s="370" cm="1">
        <f t="array" ref="O3988">+_xlfn.SWITCH(MONTH(C3988),1,1,2,1,3,1,4,2,5,2,6,3,7,3,8,3,9,3,10,2,11,2,12,1,2)</f>
        <v>1</v>
      </c>
      <c r="P3988" s="43"/>
    </row>
    <row r="3989" spans="1:16" ht="18" x14ac:dyDescent="0.35">
      <c r="A3989" s="43"/>
      <c r="C3989" s="393"/>
      <c r="E3989" s="394"/>
      <c r="F3989" s="394">
        <v>0</v>
      </c>
      <c r="G3989" s="394"/>
      <c r="H3989" s="8" t="s">
        <v>235</v>
      </c>
      <c r="I3989" s="368">
        <f t="shared" si="187"/>
        <v>0</v>
      </c>
      <c r="J3989" s="365">
        <f t="shared" si="186"/>
        <v>0</v>
      </c>
      <c r="K3989" s="369">
        <f t="shared" si="188"/>
        <v>6</v>
      </c>
      <c r="L3989" s="369">
        <f>+IF((C3989&gt;='Resultats - informe'!$E$16)*(C3989&lt;='Resultats - informe'!$G$16),1,0)</f>
        <v>1</v>
      </c>
      <c r="M3989" s="369" cm="1">
        <f t="array" ref="M3989">+_xlfn.IFS((C3989&gt;='Resultats - informe'!$D$26)*(C3989&lt;='Resultats - informe'!$E$26),0,(C3989&gt;='Resultats - informe'!$D$27)*(C3989&lt;='Resultats - informe'!$E$27),0,(C3989&gt;='Resultats - informe'!$D$28)*(C3989&lt;='Resultats - informe'!$E$28),0,(C3989&gt;='Resultats - informe'!$D$29)*(C3989&lt;='Resultats - informe'!$E$29),0,1,1)</f>
        <v>0</v>
      </c>
      <c r="N3989" s="366">
        <f>+VLOOKUP(D3989,'Resultats - informe'!$Y$18:$AG$42,'Introducció dades consum'!K3989+1,0)</f>
        <v>0</v>
      </c>
      <c r="O3989" s="370" cm="1">
        <f t="array" ref="O3989">+_xlfn.SWITCH(MONTH(C3989),1,1,2,1,3,1,4,2,5,2,6,3,7,3,8,3,9,3,10,2,11,2,12,1,2)</f>
        <v>1</v>
      </c>
      <c r="P3989" s="43"/>
    </row>
    <row r="3990" spans="1:16" ht="18" x14ac:dyDescent="0.35">
      <c r="A3990" s="43"/>
      <c r="C3990" s="393"/>
      <c r="E3990" s="394"/>
      <c r="F3990" s="394">
        <v>0</v>
      </c>
      <c r="G3990" s="394"/>
      <c r="H3990" s="8" t="s">
        <v>235</v>
      </c>
      <c r="I3990" s="368">
        <f t="shared" si="187"/>
        <v>0</v>
      </c>
      <c r="J3990" s="365">
        <f t="shared" si="186"/>
        <v>0</v>
      </c>
      <c r="K3990" s="369">
        <f t="shared" si="188"/>
        <v>6</v>
      </c>
      <c r="L3990" s="369">
        <f>+IF((C3990&gt;='Resultats - informe'!$E$16)*(C3990&lt;='Resultats - informe'!$G$16),1,0)</f>
        <v>1</v>
      </c>
      <c r="M3990" s="369" cm="1">
        <f t="array" ref="M3990">+_xlfn.IFS((C3990&gt;='Resultats - informe'!$D$26)*(C3990&lt;='Resultats - informe'!$E$26),0,(C3990&gt;='Resultats - informe'!$D$27)*(C3990&lt;='Resultats - informe'!$E$27),0,(C3990&gt;='Resultats - informe'!$D$28)*(C3990&lt;='Resultats - informe'!$E$28),0,(C3990&gt;='Resultats - informe'!$D$29)*(C3990&lt;='Resultats - informe'!$E$29),0,1,1)</f>
        <v>0</v>
      </c>
      <c r="N3990" s="366">
        <f>+VLOOKUP(D3990,'Resultats - informe'!$Y$18:$AG$42,'Introducció dades consum'!K3990+1,0)</f>
        <v>0</v>
      </c>
      <c r="O3990" s="370" cm="1">
        <f t="array" ref="O3990">+_xlfn.SWITCH(MONTH(C3990),1,1,2,1,3,1,4,2,5,2,6,3,7,3,8,3,9,3,10,2,11,2,12,1,2)</f>
        <v>1</v>
      </c>
      <c r="P3990" s="43"/>
    </row>
    <row r="3991" spans="1:16" ht="18" x14ac:dyDescent="0.35">
      <c r="A3991" s="43"/>
      <c r="C3991" s="393"/>
      <c r="E3991" s="394"/>
      <c r="F3991" s="394">
        <v>0</v>
      </c>
      <c r="G3991" s="394"/>
      <c r="H3991" s="8" t="s">
        <v>235</v>
      </c>
      <c r="I3991" s="368">
        <f t="shared" si="187"/>
        <v>0</v>
      </c>
      <c r="J3991" s="365">
        <f t="shared" si="186"/>
        <v>0</v>
      </c>
      <c r="K3991" s="369">
        <f t="shared" si="188"/>
        <v>6</v>
      </c>
      <c r="L3991" s="369">
        <f>+IF((C3991&gt;='Resultats - informe'!$E$16)*(C3991&lt;='Resultats - informe'!$G$16),1,0)</f>
        <v>1</v>
      </c>
      <c r="M3991" s="369" cm="1">
        <f t="array" ref="M3991">+_xlfn.IFS((C3991&gt;='Resultats - informe'!$D$26)*(C3991&lt;='Resultats - informe'!$E$26),0,(C3991&gt;='Resultats - informe'!$D$27)*(C3991&lt;='Resultats - informe'!$E$27),0,(C3991&gt;='Resultats - informe'!$D$28)*(C3991&lt;='Resultats - informe'!$E$28),0,(C3991&gt;='Resultats - informe'!$D$29)*(C3991&lt;='Resultats - informe'!$E$29),0,1,1)</f>
        <v>0</v>
      </c>
      <c r="N3991" s="366">
        <f>+VLOOKUP(D3991,'Resultats - informe'!$Y$18:$AG$42,'Introducció dades consum'!K3991+1,0)</f>
        <v>0</v>
      </c>
      <c r="O3991" s="370" cm="1">
        <f t="array" ref="O3991">+_xlfn.SWITCH(MONTH(C3991),1,1,2,1,3,1,4,2,5,2,6,3,7,3,8,3,9,3,10,2,11,2,12,1,2)</f>
        <v>1</v>
      </c>
      <c r="P3991" s="43"/>
    </row>
    <row r="3992" spans="1:16" ht="18" x14ac:dyDescent="0.35">
      <c r="A3992" s="43"/>
      <c r="C3992" s="393"/>
      <c r="E3992" s="394"/>
      <c r="F3992" s="394">
        <v>0</v>
      </c>
      <c r="G3992" s="394"/>
      <c r="H3992" s="8" t="s">
        <v>235</v>
      </c>
      <c r="I3992" s="368">
        <f t="shared" si="187"/>
        <v>0</v>
      </c>
      <c r="J3992" s="365">
        <f t="shared" si="186"/>
        <v>0</v>
      </c>
      <c r="K3992" s="369">
        <f t="shared" si="188"/>
        <v>6</v>
      </c>
      <c r="L3992" s="369">
        <f>+IF((C3992&gt;='Resultats - informe'!$E$16)*(C3992&lt;='Resultats - informe'!$G$16),1,0)</f>
        <v>1</v>
      </c>
      <c r="M3992" s="369" cm="1">
        <f t="array" ref="M3992">+_xlfn.IFS((C3992&gt;='Resultats - informe'!$D$26)*(C3992&lt;='Resultats - informe'!$E$26),0,(C3992&gt;='Resultats - informe'!$D$27)*(C3992&lt;='Resultats - informe'!$E$27),0,(C3992&gt;='Resultats - informe'!$D$28)*(C3992&lt;='Resultats - informe'!$E$28),0,(C3992&gt;='Resultats - informe'!$D$29)*(C3992&lt;='Resultats - informe'!$E$29),0,1,1)</f>
        <v>0</v>
      </c>
      <c r="N3992" s="366">
        <f>+VLOOKUP(D3992,'Resultats - informe'!$Y$18:$AG$42,'Introducció dades consum'!K3992+1,0)</f>
        <v>0</v>
      </c>
      <c r="O3992" s="370" cm="1">
        <f t="array" ref="O3992">+_xlfn.SWITCH(MONTH(C3992),1,1,2,1,3,1,4,2,5,2,6,3,7,3,8,3,9,3,10,2,11,2,12,1,2)</f>
        <v>1</v>
      </c>
      <c r="P3992" s="43"/>
    </row>
    <row r="3993" spans="1:16" ht="18" x14ac:dyDescent="0.35">
      <c r="A3993" s="43"/>
      <c r="C3993" s="393"/>
      <c r="E3993" s="394"/>
      <c r="F3993" s="394">
        <v>0.222</v>
      </c>
      <c r="G3993" s="394"/>
      <c r="H3993" s="8" t="s">
        <v>235</v>
      </c>
      <c r="I3993" s="368">
        <f t="shared" si="187"/>
        <v>0</v>
      </c>
      <c r="J3993" s="365">
        <f t="shared" si="186"/>
        <v>0</v>
      </c>
      <c r="K3993" s="369">
        <f t="shared" si="188"/>
        <v>6</v>
      </c>
      <c r="L3993" s="369">
        <f>+IF((C3993&gt;='Resultats - informe'!$E$16)*(C3993&lt;='Resultats - informe'!$G$16),1,0)</f>
        <v>1</v>
      </c>
      <c r="M3993" s="369" cm="1">
        <f t="array" ref="M3993">+_xlfn.IFS((C3993&gt;='Resultats - informe'!$D$26)*(C3993&lt;='Resultats - informe'!$E$26),0,(C3993&gt;='Resultats - informe'!$D$27)*(C3993&lt;='Resultats - informe'!$E$27),0,(C3993&gt;='Resultats - informe'!$D$28)*(C3993&lt;='Resultats - informe'!$E$28),0,(C3993&gt;='Resultats - informe'!$D$29)*(C3993&lt;='Resultats - informe'!$E$29),0,1,1)</f>
        <v>0</v>
      </c>
      <c r="N3993" s="366">
        <f>+VLOOKUP(D3993,'Resultats - informe'!$Y$18:$AG$42,'Introducció dades consum'!K3993+1,0)</f>
        <v>0</v>
      </c>
      <c r="O3993" s="370" cm="1">
        <f t="array" ref="O3993">+_xlfn.SWITCH(MONTH(C3993),1,1,2,1,3,1,4,2,5,2,6,3,7,3,8,3,9,3,10,2,11,2,12,1,2)</f>
        <v>1</v>
      </c>
      <c r="P3993" s="43"/>
    </row>
    <row r="3994" spans="1:16" ht="18" x14ac:dyDescent="0.35">
      <c r="A3994" s="43"/>
      <c r="C3994" s="393"/>
      <c r="E3994" s="394"/>
      <c r="F3994" s="394">
        <v>0.82299999999999995</v>
      </c>
      <c r="G3994" s="394"/>
      <c r="H3994" s="8" t="s">
        <v>235</v>
      </c>
      <c r="I3994" s="368">
        <f t="shared" si="187"/>
        <v>0</v>
      </c>
      <c r="J3994" s="365">
        <f t="shared" si="186"/>
        <v>0</v>
      </c>
      <c r="K3994" s="369">
        <f t="shared" si="188"/>
        <v>6</v>
      </c>
      <c r="L3994" s="369">
        <f>+IF((C3994&gt;='Resultats - informe'!$E$16)*(C3994&lt;='Resultats - informe'!$G$16),1,0)</f>
        <v>1</v>
      </c>
      <c r="M3994" s="369" cm="1">
        <f t="array" ref="M3994">+_xlfn.IFS((C3994&gt;='Resultats - informe'!$D$26)*(C3994&lt;='Resultats - informe'!$E$26),0,(C3994&gt;='Resultats - informe'!$D$27)*(C3994&lt;='Resultats - informe'!$E$27),0,(C3994&gt;='Resultats - informe'!$D$28)*(C3994&lt;='Resultats - informe'!$E$28),0,(C3994&gt;='Resultats - informe'!$D$29)*(C3994&lt;='Resultats - informe'!$E$29),0,1,1)</f>
        <v>0</v>
      </c>
      <c r="N3994" s="366">
        <f>+VLOOKUP(D3994,'Resultats - informe'!$Y$18:$AG$42,'Introducció dades consum'!K3994+1,0)</f>
        <v>0</v>
      </c>
      <c r="O3994" s="370" cm="1">
        <f t="array" ref="O3994">+_xlfn.SWITCH(MONTH(C3994),1,1,2,1,3,1,4,2,5,2,6,3,7,3,8,3,9,3,10,2,11,2,12,1,2)</f>
        <v>1</v>
      </c>
      <c r="P3994" s="43"/>
    </row>
    <row r="3995" spans="1:16" ht="18" x14ac:dyDescent="0.35">
      <c r="A3995" s="43"/>
      <c r="C3995" s="393"/>
      <c r="E3995" s="394"/>
      <c r="F3995" s="394">
        <v>1.3779999999999999</v>
      </c>
      <c r="G3995" s="394"/>
      <c r="H3995" s="8" t="s">
        <v>235</v>
      </c>
      <c r="I3995" s="368">
        <f t="shared" si="187"/>
        <v>0</v>
      </c>
      <c r="J3995" s="365">
        <f t="shared" si="186"/>
        <v>0</v>
      </c>
      <c r="K3995" s="369">
        <f t="shared" si="188"/>
        <v>6</v>
      </c>
      <c r="L3995" s="369">
        <f>+IF((C3995&gt;='Resultats - informe'!$E$16)*(C3995&lt;='Resultats - informe'!$G$16),1,0)</f>
        <v>1</v>
      </c>
      <c r="M3995" s="369" cm="1">
        <f t="array" ref="M3995">+_xlfn.IFS((C3995&gt;='Resultats - informe'!$D$26)*(C3995&lt;='Resultats - informe'!$E$26),0,(C3995&gt;='Resultats - informe'!$D$27)*(C3995&lt;='Resultats - informe'!$E$27),0,(C3995&gt;='Resultats - informe'!$D$28)*(C3995&lt;='Resultats - informe'!$E$28),0,(C3995&gt;='Resultats - informe'!$D$29)*(C3995&lt;='Resultats - informe'!$E$29),0,1,1)</f>
        <v>0</v>
      </c>
      <c r="N3995" s="366">
        <f>+VLOOKUP(D3995,'Resultats - informe'!$Y$18:$AG$42,'Introducció dades consum'!K3995+1,0)</f>
        <v>0</v>
      </c>
      <c r="O3995" s="370" cm="1">
        <f t="array" ref="O3995">+_xlfn.SWITCH(MONTH(C3995),1,1,2,1,3,1,4,2,5,2,6,3,7,3,8,3,9,3,10,2,11,2,12,1,2)</f>
        <v>1</v>
      </c>
      <c r="P3995" s="43"/>
    </row>
    <row r="3996" spans="1:16" ht="18" x14ac:dyDescent="0.35">
      <c r="A3996" s="43"/>
      <c r="C3996" s="393"/>
      <c r="E3996" s="394"/>
      <c r="F3996" s="394">
        <v>2.9409999999999998</v>
      </c>
      <c r="G3996" s="394"/>
      <c r="H3996" s="8" t="s">
        <v>235</v>
      </c>
      <c r="I3996" s="368">
        <f t="shared" si="187"/>
        <v>0</v>
      </c>
      <c r="J3996" s="365">
        <f t="shared" si="186"/>
        <v>0</v>
      </c>
      <c r="K3996" s="369">
        <f t="shared" si="188"/>
        <v>6</v>
      </c>
      <c r="L3996" s="369">
        <f>+IF((C3996&gt;='Resultats - informe'!$E$16)*(C3996&lt;='Resultats - informe'!$G$16),1,0)</f>
        <v>1</v>
      </c>
      <c r="M3996" s="369" cm="1">
        <f t="array" ref="M3996">+_xlfn.IFS((C3996&gt;='Resultats - informe'!$D$26)*(C3996&lt;='Resultats - informe'!$E$26),0,(C3996&gt;='Resultats - informe'!$D$27)*(C3996&lt;='Resultats - informe'!$E$27),0,(C3996&gt;='Resultats - informe'!$D$28)*(C3996&lt;='Resultats - informe'!$E$28),0,(C3996&gt;='Resultats - informe'!$D$29)*(C3996&lt;='Resultats - informe'!$E$29),0,1,1)</f>
        <v>0</v>
      </c>
      <c r="N3996" s="366">
        <f>+VLOOKUP(D3996,'Resultats - informe'!$Y$18:$AG$42,'Introducció dades consum'!K3996+1,0)</f>
        <v>0</v>
      </c>
      <c r="O3996" s="370" cm="1">
        <f t="array" ref="O3996">+_xlfn.SWITCH(MONTH(C3996),1,1,2,1,3,1,4,2,5,2,6,3,7,3,8,3,9,3,10,2,11,2,12,1,2)</f>
        <v>1</v>
      </c>
      <c r="P3996" s="43"/>
    </row>
    <row r="3997" spans="1:16" ht="18" x14ac:dyDescent="0.35">
      <c r="A3997" s="43"/>
      <c r="C3997" s="393"/>
      <c r="E3997" s="394"/>
      <c r="F3997" s="394">
        <v>3.5739999999999998</v>
      </c>
      <c r="G3997" s="394"/>
      <c r="H3997" s="8" t="s">
        <v>235</v>
      </c>
      <c r="I3997" s="368">
        <f t="shared" si="187"/>
        <v>0</v>
      </c>
      <c r="J3997" s="365">
        <f t="shared" si="186"/>
        <v>0</v>
      </c>
      <c r="K3997" s="369">
        <f t="shared" si="188"/>
        <v>6</v>
      </c>
      <c r="L3997" s="369">
        <f>+IF((C3997&gt;='Resultats - informe'!$E$16)*(C3997&lt;='Resultats - informe'!$G$16),1,0)</f>
        <v>1</v>
      </c>
      <c r="M3997" s="369" cm="1">
        <f t="array" ref="M3997">+_xlfn.IFS((C3997&gt;='Resultats - informe'!$D$26)*(C3997&lt;='Resultats - informe'!$E$26),0,(C3997&gt;='Resultats - informe'!$D$27)*(C3997&lt;='Resultats - informe'!$E$27),0,(C3997&gt;='Resultats - informe'!$D$28)*(C3997&lt;='Resultats - informe'!$E$28),0,(C3997&gt;='Resultats - informe'!$D$29)*(C3997&lt;='Resultats - informe'!$E$29),0,1,1)</f>
        <v>0</v>
      </c>
      <c r="N3997" s="366">
        <f>+VLOOKUP(D3997,'Resultats - informe'!$Y$18:$AG$42,'Introducció dades consum'!K3997+1,0)</f>
        <v>0</v>
      </c>
      <c r="O3997" s="370" cm="1">
        <f t="array" ref="O3997">+_xlfn.SWITCH(MONTH(C3997),1,1,2,1,3,1,4,2,5,2,6,3,7,3,8,3,9,3,10,2,11,2,12,1,2)</f>
        <v>1</v>
      </c>
      <c r="P3997" s="43"/>
    </row>
    <row r="3998" spans="1:16" ht="18" x14ac:dyDescent="0.35">
      <c r="A3998" s="43"/>
      <c r="C3998" s="393"/>
      <c r="E3998" s="394"/>
      <c r="F3998" s="394">
        <v>4.8819999999999997</v>
      </c>
      <c r="G3998" s="394"/>
      <c r="H3998" s="8" t="s">
        <v>235</v>
      </c>
      <c r="I3998" s="368">
        <f t="shared" si="187"/>
        <v>0</v>
      </c>
      <c r="J3998" s="365">
        <f t="shared" si="186"/>
        <v>0</v>
      </c>
      <c r="K3998" s="369">
        <f t="shared" si="188"/>
        <v>6</v>
      </c>
      <c r="L3998" s="369">
        <f>+IF((C3998&gt;='Resultats - informe'!$E$16)*(C3998&lt;='Resultats - informe'!$G$16),1,0)</f>
        <v>1</v>
      </c>
      <c r="M3998" s="369" cm="1">
        <f t="array" ref="M3998">+_xlfn.IFS((C3998&gt;='Resultats - informe'!$D$26)*(C3998&lt;='Resultats - informe'!$E$26),0,(C3998&gt;='Resultats - informe'!$D$27)*(C3998&lt;='Resultats - informe'!$E$27),0,(C3998&gt;='Resultats - informe'!$D$28)*(C3998&lt;='Resultats - informe'!$E$28),0,(C3998&gt;='Resultats - informe'!$D$29)*(C3998&lt;='Resultats - informe'!$E$29),0,1,1)</f>
        <v>0</v>
      </c>
      <c r="N3998" s="366">
        <f>+VLOOKUP(D3998,'Resultats - informe'!$Y$18:$AG$42,'Introducció dades consum'!K3998+1,0)</f>
        <v>0</v>
      </c>
      <c r="O3998" s="370" cm="1">
        <f t="array" ref="O3998">+_xlfn.SWITCH(MONTH(C3998),1,1,2,1,3,1,4,2,5,2,6,3,7,3,8,3,9,3,10,2,11,2,12,1,2)</f>
        <v>1</v>
      </c>
      <c r="P3998" s="43"/>
    </row>
    <row r="3999" spans="1:16" ht="18" x14ac:dyDescent="0.35">
      <c r="A3999" s="43"/>
      <c r="C3999" s="393"/>
      <c r="E3999" s="394"/>
      <c r="F3999" s="394">
        <v>5.27</v>
      </c>
      <c r="G3999" s="394"/>
      <c r="H3999" s="8" t="s">
        <v>235</v>
      </c>
      <c r="I3999" s="368">
        <f t="shared" si="187"/>
        <v>0</v>
      </c>
      <c r="J3999" s="365">
        <f t="shared" si="186"/>
        <v>0</v>
      </c>
      <c r="K3999" s="369">
        <f t="shared" si="188"/>
        <v>6</v>
      </c>
      <c r="L3999" s="369">
        <f>+IF((C3999&gt;='Resultats - informe'!$E$16)*(C3999&lt;='Resultats - informe'!$G$16),1,0)</f>
        <v>1</v>
      </c>
      <c r="M3999" s="369" cm="1">
        <f t="array" ref="M3999">+_xlfn.IFS((C3999&gt;='Resultats - informe'!$D$26)*(C3999&lt;='Resultats - informe'!$E$26),0,(C3999&gt;='Resultats - informe'!$D$27)*(C3999&lt;='Resultats - informe'!$E$27),0,(C3999&gt;='Resultats - informe'!$D$28)*(C3999&lt;='Resultats - informe'!$E$28),0,(C3999&gt;='Resultats - informe'!$D$29)*(C3999&lt;='Resultats - informe'!$E$29),0,1,1)</f>
        <v>0</v>
      </c>
      <c r="N3999" s="366">
        <f>+VLOOKUP(D3999,'Resultats - informe'!$Y$18:$AG$42,'Introducció dades consum'!K3999+1,0)</f>
        <v>0</v>
      </c>
      <c r="O3999" s="370" cm="1">
        <f t="array" ref="O3999">+_xlfn.SWITCH(MONTH(C3999),1,1,2,1,3,1,4,2,5,2,6,3,7,3,8,3,9,3,10,2,11,2,12,1,2)</f>
        <v>1</v>
      </c>
      <c r="P3999" s="43"/>
    </row>
    <row r="4000" spans="1:16" ht="18" x14ac:dyDescent="0.35">
      <c r="A4000" s="43"/>
      <c r="C4000" s="393"/>
      <c r="E4000" s="394"/>
      <c r="F4000" s="394">
        <v>4.8810000000000002</v>
      </c>
      <c r="G4000" s="394"/>
      <c r="H4000" s="8" t="s">
        <v>235</v>
      </c>
      <c r="I4000" s="368">
        <f t="shared" si="187"/>
        <v>0</v>
      </c>
      <c r="J4000" s="365">
        <f t="shared" si="186"/>
        <v>0</v>
      </c>
      <c r="K4000" s="369">
        <f t="shared" si="188"/>
        <v>6</v>
      </c>
      <c r="L4000" s="369">
        <f>+IF((C4000&gt;='Resultats - informe'!$E$16)*(C4000&lt;='Resultats - informe'!$G$16),1,0)</f>
        <v>1</v>
      </c>
      <c r="M4000" s="369" cm="1">
        <f t="array" ref="M4000">+_xlfn.IFS((C4000&gt;='Resultats - informe'!$D$26)*(C4000&lt;='Resultats - informe'!$E$26),0,(C4000&gt;='Resultats - informe'!$D$27)*(C4000&lt;='Resultats - informe'!$E$27),0,(C4000&gt;='Resultats - informe'!$D$28)*(C4000&lt;='Resultats - informe'!$E$28),0,(C4000&gt;='Resultats - informe'!$D$29)*(C4000&lt;='Resultats - informe'!$E$29),0,1,1)</f>
        <v>0</v>
      </c>
      <c r="N4000" s="366">
        <f>+VLOOKUP(D4000,'Resultats - informe'!$Y$18:$AG$42,'Introducció dades consum'!K4000+1,0)</f>
        <v>0</v>
      </c>
      <c r="O4000" s="370" cm="1">
        <f t="array" ref="O4000">+_xlfn.SWITCH(MONTH(C4000),1,1,2,1,3,1,4,2,5,2,6,3,7,3,8,3,9,3,10,2,11,2,12,1,2)</f>
        <v>1</v>
      </c>
      <c r="P4000" s="43"/>
    </row>
    <row r="4001" spans="1:16" ht="18" x14ac:dyDescent="0.35">
      <c r="A4001" s="43"/>
      <c r="C4001" s="393"/>
      <c r="E4001" s="394"/>
      <c r="F4001" s="394">
        <v>4.3019999999999996</v>
      </c>
      <c r="G4001" s="394"/>
      <c r="H4001" s="8" t="s">
        <v>235</v>
      </c>
      <c r="I4001" s="368">
        <f t="shared" si="187"/>
        <v>0</v>
      </c>
      <c r="J4001" s="365">
        <f t="shared" si="186"/>
        <v>0</v>
      </c>
      <c r="K4001" s="369">
        <f t="shared" si="188"/>
        <v>6</v>
      </c>
      <c r="L4001" s="369">
        <f>+IF((C4001&gt;='Resultats - informe'!$E$16)*(C4001&lt;='Resultats - informe'!$G$16),1,0)</f>
        <v>1</v>
      </c>
      <c r="M4001" s="369" cm="1">
        <f t="array" ref="M4001">+_xlfn.IFS((C4001&gt;='Resultats - informe'!$D$26)*(C4001&lt;='Resultats - informe'!$E$26),0,(C4001&gt;='Resultats - informe'!$D$27)*(C4001&lt;='Resultats - informe'!$E$27),0,(C4001&gt;='Resultats - informe'!$D$28)*(C4001&lt;='Resultats - informe'!$E$28),0,(C4001&gt;='Resultats - informe'!$D$29)*(C4001&lt;='Resultats - informe'!$E$29),0,1,1)</f>
        <v>0</v>
      </c>
      <c r="N4001" s="366">
        <f>+VLOOKUP(D4001,'Resultats - informe'!$Y$18:$AG$42,'Introducció dades consum'!K4001+1,0)</f>
        <v>0</v>
      </c>
      <c r="O4001" s="370" cm="1">
        <f t="array" ref="O4001">+_xlfn.SWITCH(MONTH(C4001),1,1,2,1,3,1,4,2,5,2,6,3,7,3,8,3,9,3,10,2,11,2,12,1,2)</f>
        <v>1</v>
      </c>
      <c r="P4001" s="43"/>
    </row>
    <row r="4002" spans="1:16" ht="18" x14ac:dyDescent="0.35">
      <c r="A4002" s="43"/>
      <c r="C4002" s="393"/>
      <c r="E4002" s="394"/>
      <c r="F4002" s="394">
        <v>3.0990000000000002</v>
      </c>
      <c r="G4002" s="394"/>
      <c r="H4002" s="8" t="s">
        <v>235</v>
      </c>
      <c r="I4002" s="368">
        <f t="shared" si="187"/>
        <v>0</v>
      </c>
      <c r="J4002" s="365">
        <f t="shared" si="186"/>
        <v>0</v>
      </c>
      <c r="K4002" s="369">
        <f t="shared" si="188"/>
        <v>6</v>
      </c>
      <c r="L4002" s="369">
        <f>+IF((C4002&gt;='Resultats - informe'!$E$16)*(C4002&lt;='Resultats - informe'!$G$16),1,0)</f>
        <v>1</v>
      </c>
      <c r="M4002" s="369" cm="1">
        <f t="array" ref="M4002">+_xlfn.IFS((C4002&gt;='Resultats - informe'!$D$26)*(C4002&lt;='Resultats - informe'!$E$26),0,(C4002&gt;='Resultats - informe'!$D$27)*(C4002&lt;='Resultats - informe'!$E$27),0,(C4002&gt;='Resultats - informe'!$D$28)*(C4002&lt;='Resultats - informe'!$E$28),0,(C4002&gt;='Resultats - informe'!$D$29)*(C4002&lt;='Resultats - informe'!$E$29),0,1,1)</f>
        <v>0</v>
      </c>
      <c r="N4002" s="366">
        <f>+VLOOKUP(D4002,'Resultats - informe'!$Y$18:$AG$42,'Introducció dades consum'!K4002+1,0)</f>
        <v>0</v>
      </c>
      <c r="O4002" s="370" cm="1">
        <f t="array" ref="O4002">+_xlfn.SWITCH(MONTH(C4002),1,1,2,1,3,1,4,2,5,2,6,3,7,3,8,3,9,3,10,2,11,2,12,1,2)</f>
        <v>1</v>
      </c>
      <c r="P4002" s="43"/>
    </row>
    <row r="4003" spans="1:16" ht="18" x14ac:dyDescent="0.35">
      <c r="A4003" s="43"/>
      <c r="C4003" s="393"/>
      <c r="E4003" s="394"/>
      <c r="F4003" s="394">
        <v>2.4049999999999998</v>
      </c>
      <c r="G4003" s="394"/>
      <c r="H4003" s="8" t="s">
        <v>235</v>
      </c>
      <c r="I4003" s="368">
        <f t="shared" si="187"/>
        <v>0</v>
      </c>
      <c r="J4003" s="365">
        <f t="shared" si="186"/>
        <v>0</v>
      </c>
      <c r="K4003" s="369">
        <f t="shared" si="188"/>
        <v>6</v>
      </c>
      <c r="L4003" s="369">
        <f>+IF((C4003&gt;='Resultats - informe'!$E$16)*(C4003&lt;='Resultats - informe'!$G$16),1,0)</f>
        <v>1</v>
      </c>
      <c r="M4003" s="369" cm="1">
        <f t="array" ref="M4003">+_xlfn.IFS((C4003&gt;='Resultats - informe'!$D$26)*(C4003&lt;='Resultats - informe'!$E$26),0,(C4003&gt;='Resultats - informe'!$D$27)*(C4003&lt;='Resultats - informe'!$E$27),0,(C4003&gt;='Resultats - informe'!$D$28)*(C4003&lt;='Resultats - informe'!$E$28),0,(C4003&gt;='Resultats - informe'!$D$29)*(C4003&lt;='Resultats - informe'!$E$29),0,1,1)</f>
        <v>0</v>
      </c>
      <c r="N4003" s="366">
        <f>+VLOOKUP(D4003,'Resultats - informe'!$Y$18:$AG$42,'Introducció dades consum'!K4003+1,0)</f>
        <v>0</v>
      </c>
      <c r="O4003" s="370" cm="1">
        <f t="array" ref="O4003">+_xlfn.SWITCH(MONTH(C4003),1,1,2,1,3,1,4,2,5,2,6,3,7,3,8,3,9,3,10,2,11,2,12,1,2)</f>
        <v>1</v>
      </c>
      <c r="P4003" s="43"/>
    </row>
    <row r="4004" spans="1:16" ht="18" x14ac:dyDescent="0.35">
      <c r="A4004" s="43"/>
      <c r="C4004" s="393"/>
      <c r="E4004" s="394"/>
      <c r="F4004" s="394">
        <v>1.2130000000000001</v>
      </c>
      <c r="G4004" s="394"/>
      <c r="H4004" s="8" t="s">
        <v>235</v>
      </c>
      <c r="I4004" s="368">
        <f t="shared" si="187"/>
        <v>0</v>
      </c>
      <c r="J4004" s="365">
        <f t="shared" si="186"/>
        <v>0</v>
      </c>
      <c r="K4004" s="369">
        <f t="shared" si="188"/>
        <v>6</v>
      </c>
      <c r="L4004" s="369">
        <f>+IF((C4004&gt;='Resultats - informe'!$E$16)*(C4004&lt;='Resultats - informe'!$G$16),1,0)</f>
        <v>1</v>
      </c>
      <c r="M4004" s="369" cm="1">
        <f t="array" ref="M4004">+_xlfn.IFS((C4004&gt;='Resultats - informe'!$D$26)*(C4004&lt;='Resultats - informe'!$E$26),0,(C4004&gt;='Resultats - informe'!$D$27)*(C4004&lt;='Resultats - informe'!$E$27),0,(C4004&gt;='Resultats - informe'!$D$28)*(C4004&lt;='Resultats - informe'!$E$28),0,(C4004&gt;='Resultats - informe'!$D$29)*(C4004&lt;='Resultats - informe'!$E$29),0,1,1)</f>
        <v>0</v>
      </c>
      <c r="N4004" s="366">
        <f>+VLOOKUP(D4004,'Resultats - informe'!$Y$18:$AG$42,'Introducció dades consum'!K4004+1,0)</f>
        <v>0</v>
      </c>
      <c r="O4004" s="370" cm="1">
        <f t="array" ref="O4004">+_xlfn.SWITCH(MONTH(C4004),1,1,2,1,3,1,4,2,5,2,6,3,7,3,8,3,9,3,10,2,11,2,12,1,2)</f>
        <v>1</v>
      </c>
      <c r="P4004" s="43"/>
    </row>
    <row r="4005" spans="1:16" ht="18" x14ac:dyDescent="0.35">
      <c r="A4005" s="43"/>
      <c r="C4005" s="393"/>
      <c r="E4005" s="394"/>
      <c r="F4005" s="394">
        <v>0</v>
      </c>
      <c r="G4005" s="394"/>
      <c r="H4005" s="8" t="s">
        <v>235</v>
      </c>
      <c r="I4005" s="368">
        <f t="shared" si="187"/>
        <v>0</v>
      </c>
      <c r="J4005" s="365">
        <f t="shared" si="186"/>
        <v>0</v>
      </c>
      <c r="K4005" s="369">
        <f t="shared" si="188"/>
        <v>6</v>
      </c>
      <c r="L4005" s="369">
        <f>+IF((C4005&gt;='Resultats - informe'!$E$16)*(C4005&lt;='Resultats - informe'!$G$16),1,0)</f>
        <v>1</v>
      </c>
      <c r="M4005" s="369" cm="1">
        <f t="array" ref="M4005">+_xlfn.IFS((C4005&gt;='Resultats - informe'!$D$26)*(C4005&lt;='Resultats - informe'!$E$26),0,(C4005&gt;='Resultats - informe'!$D$27)*(C4005&lt;='Resultats - informe'!$E$27),0,(C4005&gt;='Resultats - informe'!$D$28)*(C4005&lt;='Resultats - informe'!$E$28),0,(C4005&gt;='Resultats - informe'!$D$29)*(C4005&lt;='Resultats - informe'!$E$29),0,1,1)</f>
        <v>0</v>
      </c>
      <c r="N4005" s="366">
        <f>+VLOOKUP(D4005,'Resultats - informe'!$Y$18:$AG$42,'Introducció dades consum'!K4005+1,0)</f>
        <v>0</v>
      </c>
      <c r="O4005" s="370" cm="1">
        <f t="array" ref="O4005">+_xlfn.SWITCH(MONTH(C4005),1,1,2,1,3,1,4,2,5,2,6,3,7,3,8,3,9,3,10,2,11,2,12,1,2)</f>
        <v>1</v>
      </c>
      <c r="P4005" s="43"/>
    </row>
    <row r="4006" spans="1:16" ht="18" x14ac:dyDescent="0.35">
      <c r="A4006" s="43"/>
      <c r="C4006" s="393"/>
      <c r="E4006" s="394"/>
      <c r="F4006" s="394">
        <v>0</v>
      </c>
      <c r="G4006" s="394"/>
      <c r="H4006" s="8" t="s">
        <v>235</v>
      </c>
      <c r="I4006" s="368">
        <f t="shared" si="187"/>
        <v>0</v>
      </c>
      <c r="J4006" s="365">
        <f t="shared" si="186"/>
        <v>0</v>
      </c>
      <c r="K4006" s="369">
        <f t="shared" si="188"/>
        <v>6</v>
      </c>
      <c r="L4006" s="369">
        <f>+IF((C4006&gt;='Resultats - informe'!$E$16)*(C4006&lt;='Resultats - informe'!$G$16),1,0)</f>
        <v>1</v>
      </c>
      <c r="M4006" s="369" cm="1">
        <f t="array" ref="M4006">+_xlfn.IFS((C4006&gt;='Resultats - informe'!$D$26)*(C4006&lt;='Resultats - informe'!$E$26),0,(C4006&gt;='Resultats - informe'!$D$27)*(C4006&lt;='Resultats - informe'!$E$27),0,(C4006&gt;='Resultats - informe'!$D$28)*(C4006&lt;='Resultats - informe'!$E$28),0,(C4006&gt;='Resultats - informe'!$D$29)*(C4006&lt;='Resultats - informe'!$E$29),0,1,1)</f>
        <v>0</v>
      </c>
      <c r="N4006" s="366">
        <f>+VLOOKUP(D4006,'Resultats - informe'!$Y$18:$AG$42,'Introducció dades consum'!K4006+1,0)</f>
        <v>0</v>
      </c>
      <c r="O4006" s="370" cm="1">
        <f t="array" ref="O4006">+_xlfn.SWITCH(MONTH(C4006),1,1,2,1,3,1,4,2,5,2,6,3,7,3,8,3,9,3,10,2,11,2,12,1,2)</f>
        <v>1</v>
      </c>
      <c r="P4006" s="43"/>
    </row>
    <row r="4007" spans="1:16" ht="18" x14ac:dyDescent="0.35">
      <c r="A4007" s="43"/>
      <c r="C4007" s="393"/>
      <c r="E4007" s="394"/>
      <c r="F4007" s="394">
        <v>0</v>
      </c>
      <c r="G4007" s="394"/>
      <c r="H4007" s="8" t="s">
        <v>235</v>
      </c>
      <c r="I4007" s="368">
        <f t="shared" si="187"/>
        <v>0</v>
      </c>
      <c r="J4007" s="365">
        <f t="shared" si="186"/>
        <v>0</v>
      </c>
      <c r="K4007" s="369">
        <f t="shared" si="188"/>
        <v>6</v>
      </c>
      <c r="L4007" s="369">
        <f>+IF((C4007&gt;='Resultats - informe'!$E$16)*(C4007&lt;='Resultats - informe'!$G$16),1,0)</f>
        <v>1</v>
      </c>
      <c r="M4007" s="369" cm="1">
        <f t="array" ref="M4007">+_xlfn.IFS((C4007&gt;='Resultats - informe'!$D$26)*(C4007&lt;='Resultats - informe'!$E$26),0,(C4007&gt;='Resultats - informe'!$D$27)*(C4007&lt;='Resultats - informe'!$E$27),0,(C4007&gt;='Resultats - informe'!$D$28)*(C4007&lt;='Resultats - informe'!$E$28),0,(C4007&gt;='Resultats - informe'!$D$29)*(C4007&lt;='Resultats - informe'!$E$29),0,1,1)</f>
        <v>0</v>
      </c>
      <c r="N4007" s="366">
        <f>+VLOOKUP(D4007,'Resultats - informe'!$Y$18:$AG$42,'Introducció dades consum'!K4007+1,0)</f>
        <v>0</v>
      </c>
      <c r="O4007" s="370" cm="1">
        <f t="array" ref="O4007">+_xlfn.SWITCH(MONTH(C4007),1,1,2,1,3,1,4,2,5,2,6,3,7,3,8,3,9,3,10,2,11,2,12,1,2)</f>
        <v>1</v>
      </c>
      <c r="P4007" s="43"/>
    </row>
    <row r="4008" spans="1:16" ht="18" x14ac:dyDescent="0.35">
      <c r="A4008" s="43"/>
      <c r="C4008" s="393"/>
      <c r="E4008" s="394"/>
      <c r="F4008" s="394">
        <v>0</v>
      </c>
      <c r="G4008" s="394"/>
      <c r="H4008" s="8" t="s">
        <v>235</v>
      </c>
      <c r="I4008" s="368">
        <f t="shared" si="187"/>
        <v>0</v>
      </c>
      <c r="J4008" s="365">
        <f t="shared" si="186"/>
        <v>0</v>
      </c>
      <c r="K4008" s="369">
        <f t="shared" si="188"/>
        <v>6</v>
      </c>
      <c r="L4008" s="369">
        <f>+IF((C4008&gt;='Resultats - informe'!$E$16)*(C4008&lt;='Resultats - informe'!$G$16),1,0)</f>
        <v>1</v>
      </c>
      <c r="M4008" s="369" cm="1">
        <f t="array" ref="M4008">+_xlfn.IFS((C4008&gt;='Resultats - informe'!$D$26)*(C4008&lt;='Resultats - informe'!$E$26),0,(C4008&gt;='Resultats - informe'!$D$27)*(C4008&lt;='Resultats - informe'!$E$27),0,(C4008&gt;='Resultats - informe'!$D$28)*(C4008&lt;='Resultats - informe'!$E$28),0,(C4008&gt;='Resultats - informe'!$D$29)*(C4008&lt;='Resultats - informe'!$E$29),0,1,1)</f>
        <v>0</v>
      </c>
      <c r="N4008" s="366">
        <f>+VLOOKUP(D4008,'Resultats - informe'!$Y$18:$AG$42,'Introducció dades consum'!K4008+1,0)</f>
        <v>0</v>
      </c>
      <c r="O4008" s="370" cm="1">
        <f t="array" ref="O4008">+_xlfn.SWITCH(MONTH(C4008),1,1,2,1,3,1,4,2,5,2,6,3,7,3,8,3,9,3,10,2,11,2,12,1,2)</f>
        <v>1</v>
      </c>
      <c r="P4008" s="43"/>
    </row>
    <row r="4009" spans="1:16" ht="18" x14ac:dyDescent="0.35">
      <c r="A4009" s="43"/>
      <c r="C4009" s="393"/>
      <c r="E4009" s="394"/>
      <c r="F4009" s="394">
        <v>0</v>
      </c>
      <c r="G4009" s="394"/>
      <c r="H4009" s="8" t="s">
        <v>235</v>
      </c>
      <c r="I4009" s="368">
        <f t="shared" si="187"/>
        <v>0</v>
      </c>
      <c r="J4009" s="365">
        <f t="shared" si="186"/>
        <v>0</v>
      </c>
      <c r="K4009" s="369">
        <f t="shared" si="188"/>
        <v>6</v>
      </c>
      <c r="L4009" s="369">
        <f>+IF((C4009&gt;='Resultats - informe'!$E$16)*(C4009&lt;='Resultats - informe'!$G$16),1,0)</f>
        <v>1</v>
      </c>
      <c r="M4009" s="369" cm="1">
        <f t="array" ref="M4009">+_xlfn.IFS((C4009&gt;='Resultats - informe'!$D$26)*(C4009&lt;='Resultats - informe'!$E$26),0,(C4009&gt;='Resultats - informe'!$D$27)*(C4009&lt;='Resultats - informe'!$E$27),0,(C4009&gt;='Resultats - informe'!$D$28)*(C4009&lt;='Resultats - informe'!$E$28),0,(C4009&gt;='Resultats - informe'!$D$29)*(C4009&lt;='Resultats - informe'!$E$29),0,1,1)</f>
        <v>0</v>
      </c>
      <c r="N4009" s="366">
        <f>+VLOOKUP(D4009,'Resultats - informe'!$Y$18:$AG$42,'Introducció dades consum'!K4009+1,0)</f>
        <v>0</v>
      </c>
      <c r="O4009" s="370" cm="1">
        <f t="array" ref="O4009">+_xlfn.SWITCH(MONTH(C4009),1,1,2,1,3,1,4,2,5,2,6,3,7,3,8,3,9,3,10,2,11,2,12,1,2)</f>
        <v>1</v>
      </c>
      <c r="P4009" s="43"/>
    </row>
    <row r="4010" spans="1:16" ht="18" x14ac:dyDescent="0.35">
      <c r="A4010" s="43"/>
      <c r="C4010" s="393"/>
      <c r="E4010" s="394"/>
      <c r="F4010" s="394">
        <v>0</v>
      </c>
      <c r="G4010" s="394"/>
      <c r="H4010" s="8" t="s">
        <v>235</v>
      </c>
      <c r="I4010" s="368">
        <f t="shared" si="187"/>
        <v>0</v>
      </c>
      <c r="J4010" s="365">
        <f t="shared" si="186"/>
        <v>0</v>
      </c>
      <c r="K4010" s="369">
        <f t="shared" si="188"/>
        <v>6</v>
      </c>
      <c r="L4010" s="369">
        <f>+IF((C4010&gt;='Resultats - informe'!$E$16)*(C4010&lt;='Resultats - informe'!$G$16),1,0)</f>
        <v>1</v>
      </c>
      <c r="M4010" s="369" cm="1">
        <f t="array" ref="M4010">+_xlfn.IFS((C4010&gt;='Resultats - informe'!$D$26)*(C4010&lt;='Resultats - informe'!$E$26),0,(C4010&gt;='Resultats - informe'!$D$27)*(C4010&lt;='Resultats - informe'!$E$27),0,(C4010&gt;='Resultats - informe'!$D$28)*(C4010&lt;='Resultats - informe'!$E$28),0,(C4010&gt;='Resultats - informe'!$D$29)*(C4010&lt;='Resultats - informe'!$E$29),0,1,1)</f>
        <v>0</v>
      </c>
      <c r="N4010" s="366">
        <f>+VLOOKUP(D4010,'Resultats - informe'!$Y$18:$AG$42,'Introducció dades consum'!K4010+1,0)</f>
        <v>0</v>
      </c>
      <c r="O4010" s="370" cm="1">
        <f t="array" ref="O4010">+_xlfn.SWITCH(MONTH(C4010),1,1,2,1,3,1,4,2,5,2,6,3,7,3,8,3,9,3,10,2,11,2,12,1,2)</f>
        <v>1</v>
      </c>
      <c r="P4010" s="43"/>
    </row>
    <row r="4011" spans="1:16" ht="18" x14ac:dyDescent="0.35">
      <c r="A4011" s="43"/>
      <c r="C4011" s="393"/>
      <c r="E4011" s="394"/>
      <c r="F4011" s="394">
        <v>0</v>
      </c>
      <c r="G4011" s="394"/>
      <c r="H4011" s="8" t="s">
        <v>235</v>
      </c>
      <c r="I4011" s="368">
        <f t="shared" si="187"/>
        <v>0</v>
      </c>
      <c r="J4011" s="365">
        <f t="shared" si="186"/>
        <v>0</v>
      </c>
      <c r="K4011" s="369">
        <f t="shared" si="188"/>
        <v>6</v>
      </c>
      <c r="L4011" s="369">
        <f>+IF((C4011&gt;='Resultats - informe'!$E$16)*(C4011&lt;='Resultats - informe'!$G$16),1,0)</f>
        <v>1</v>
      </c>
      <c r="M4011" s="369" cm="1">
        <f t="array" ref="M4011">+_xlfn.IFS((C4011&gt;='Resultats - informe'!$D$26)*(C4011&lt;='Resultats - informe'!$E$26),0,(C4011&gt;='Resultats - informe'!$D$27)*(C4011&lt;='Resultats - informe'!$E$27),0,(C4011&gt;='Resultats - informe'!$D$28)*(C4011&lt;='Resultats - informe'!$E$28),0,(C4011&gt;='Resultats - informe'!$D$29)*(C4011&lt;='Resultats - informe'!$E$29),0,1,1)</f>
        <v>0</v>
      </c>
      <c r="N4011" s="366">
        <f>+VLOOKUP(D4011,'Resultats - informe'!$Y$18:$AG$42,'Introducció dades consum'!K4011+1,0)</f>
        <v>0</v>
      </c>
      <c r="O4011" s="370" cm="1">
        <f t="array" ref="O4011">+_xlfn.SWITCH(MONTH(C4011),1,1,2,1,3,1,4,2,5,2,6,3,7,3,8,3,9,3,10,2,11,2,12,1,2)</f>
        <v>1</v>
      </c>
      <c r="P4011" s="43"/>
    </row>
    <row r="4012" spans="1:16" ht="18" x14ac:dyDescent="0.35">
      <c r="A4012" s="43"/>
      <c r="C4012" s="393"/>
      <c r="E4012" s="394"/>
      <c r="F4012" s="394">
        <v>0</v>
      </c>
      <c r="G4012" s="394"/>
      <c r="H4012" s="8" t="s">
        <v>235</v>
      </c>
      <c r="I4012" s="368">
        <f t="shared" si="187"/>
        <v>0</v>
      </c>
      <c r="J4012" s="365">
        <f t="shared" si="186"/>
        <v>0</v>
      </c>
      <c r="K4012" s="369">
        <f t="shared" si="188"/>
        <v>6</v>
      </c>
      <c r="L4012" s="369">
        <f>+IF((C4012&gt;='Resultats - informe'!$E$16)*(C4012&lt;='Resultats - informe'!$G$16),1,0)</f>
        <v>1</v>
      </c>
      <c r="M4012" s="369" cm="1">
        <f t="array" ref="M4012">+_xlfn.IFS((C4012&gt;='Resultats - informe'!$D$26)*(C4012&lt;='Resultats - informe'!$E$26),0,(C4012&gt;='Resultats - informe'!$D$27)*(C4012&lt;='Resultats - informe'!$E$27),0,(C4012&gt;='Resultats - informe'!$D$28)*(C4012&lt;='Resultats - informe'!$E$28),0,(C4012&gt;='Resultats - informe'!$D$29)*(C4012&lt;='Resultats - informe'!$E$29),0,1,1)</f>
        <v>0</v>
      </c>
      <c r="N4012" s="366">
        <f>+VLOOKUP(D4012,'Resultats - informe'!$Y$18:$AG$42,'Introducció dades consum'!K4012+1,0)</f>
        <v>0</v>
      </c>
      <c r="O4012" s="370" cm="1">
        <f t="array" ref="O4012">+_xlfn.SWITCH(MONTH(C4012),1,1,2,1,3,1,4,2,5,2,6,3,7,3,8,3,9,3,10,2,11,2,12,1,2)</f>
        <v>1</v>
      </c>
      <c r="P4012" s="43"/>
    </row>
    <row r="4013" spans="1:16" ht="18" x14ac:dyDescent="0.35">
      <c r="A4013" s="43"/>
      <c r="C4013" s="393"/>
      <c r="E4013" s="394"/>
      <c r="F4013" s="394">
        <v>0</v>
      </c>
      <c r="G4013" s="394"/>
      <c r="H4013" s="8" t="s">
        <v>235</v>
      </c>
      <c r="I4013" s="368">
        <f t="shared" si="187"/>
        <v>0</v>
      </c>
      <c r="J4013" s="365">
        <f t="shared" si="186"/>
        <v>0</v>
      </c>
      <c r="K4013" s="369">
        <f t="shared" si="188"/>
        <v>6</v>
      </c>
      <c r="L4013" s="369">
        <f>+IF((C4013&gt;='Resultats - informe'!$E$16)*(C4013&lt;='Resultats - informe'!$G$16),1,0)</f>
        <v>1</v>
      </c>
      <c r="M4013" s="369" cm="1">
        <f t="array" ref="M4013">+_xlfn.IFS((C4013&gt;='Resultats - informe'!$D$26)*(C4013&lt;='Resultats - informe'!$E$26),0,(C4013&gt;='Resultats - informe'!$D$27)*(C4013&lt;='Resultats - informe'!$E$27),0,(C4013&gt;='Resultats - informe'!$D$28)*(C4013&lt;='Resultats - informe'!$E$28),0,(C4013&gt;='Resultats - informe'!$D$29)*(C4013&lt;='Resultats - informe'!$E$29),0,1,1)</f>
        <v>0</v>
      </c>
      <c r="N4013" s="366">
        <f>+VLOOKUP(D4013,'Resultats - informe'!$Y$18:$AG$42,'Introducció dades consum'!K4013+1,0)</f>
        <v>0</v>
      </c>
      <c r="O4013" s="370" cm="1">
        <f t="array" ref="O4013">+_xlfn.SWITCH(MONTH(C4013),1,1,2,1,3,1,4,2,5,2,6,3,7,3,8,3,9,3,10,2,11,2,12,1,2)</f>
        <v>1</v>
      </c>
      <c r="P4013" s="43"/>
    </row>
    <row r="4014" spans="1:16" ht="18" x14ac:dyDescent="0.35">
      <c r="A4014" s="43"/>
      <c r="C4014" s="393"/>
      <c r="E4014" s="394"/>
      <c r="F4014" s="394">
        <v>0</v>
      </c>
      <c r="G4014" s="394"/>
      <c r="H4014" s="8" t="s">
        <v>235</v>
      </c>
      <c r="I4014" s="368">
        <f t="shared" si="187"/>
        <v>0</v>
      </c>
      <c r="J4014" s="365">
        <f t="shared" si="186"/>
        <v>0</v>
      </c>
      <c r="K4014" s="369">
        <f t="shared" si="188"/>
        <v>6</v>
      </c>
      <c r="L4014" s="369">
        <f>+IF((C4014&gt;='Resultats - informe'!$E$16)*(C4014&lt;='Resultats - informe'!$G$16),1,0)</f>
        <v>1</v>
      </c>
      <c r="M4014" s="369" cm="1">
        <f t="array" ref="M4014">+_xlfn.IFS((C4014&gt;='Resultats - informe'!$D$26)*(C4014&lt;='Resultats - informe'!$E$26),0,(C4014&gt;='Resultats - informe'!$D$27)*(C4014&lt;='Resultats - informe'!$E$27),0,(C4014&gt;='Resultats - informe'!$D$28)*(C4014&lt;='Resultats - informe'!$E$28),0,(C4014&gt;='Resultats - informe'!$D$29)*(C4014&lt;='Resultats - informe'!$E$29),0,1,1)</f>
        <v>0</v>
      </c>
      <c r="N4014" s="366">
        <f>+VLOOKUP(D4014,'Resultats - informe'!$Y$18:$AG$42,'Introducció dades consum'!K4014+1,0)</f>
        <v>0</v>
      </c>
      <c r="O4014" s="370" cm="1">
        <f t="array" ref="O4014">+_xlfn.SWITCH(MONTH(C4014),1,1,2,1,3,1,4,2,5,2,6,3,7,3,8,3,9,3,10,2,11,2,12,1,2)</f>
        <v>1</v>
      </c>
      <c r="P4014" s="43"/>
    </row>
    <row r="4015" spans="1:16" ht="18" x14ac:dyDescent="0.35">
      <c r="A4015" s="43"/>
      <c r="C4015" s="393"/>
      <c r="E4015" s="394"/>
      <c r="F4015" s="394">
        <v>0</v>
      </c>
      <c r="G4015" s="394"/>
      <c r="H4015" s="8" t="s">
        <v>235</v>
      </c>
      <c r="I4015" s="368">
        <f t="shared" si="187"/>
        <v>0</v>
      </c>
      <c r="J4015" s="365">
        <f t="shared" si="186"/>
        <v>0</v>
      </c>
      <c r="K4015" s="369">
        <f t="shared" si="188"/>
        <v>6</v>
      </c>
      <c r="L4015" s="369">
        <f>+IF((C4015&gt;='Resultats - informe'!$E$16)*(C4015&lt;='Resultats - informe'!$G$16),1,0)</f>
        <v>1</v>
      </c>
      <c r="M4015" s="369" cm="1">
        <f t="array" ref="M4015">+_xlfn.IFS((C4015&gt;='Resultats - informe'!$D$26)*(C4015&lt;='Resultats - informe'!$E$26),0,(C4015&gt;='Resultats - informe'!$D$27)*(C4015&lt;='Resultats - informe'!$E$27),0,(C4015&gt;='Resultats - informe'!$D$28)*(C4015&lt;='Resultats - informe'!$E$28),0,(C4015&gt;='Resultats - informe'!$D$29)*(C4015&lt;='Resultats - informe'!$E$29),0,1,1)</f>
        <v>0</v>
      </c>
      <c r="N4015" s="366">
        <f>+VLOOKUP(D4015,'Resultats - informe'!$Y$18:$AG$42,'Introducció dades consum'!K4015+1,0)</f>
        <v>0</v>
      </c>
      <c r="O4015" s="370" cm="1">
        <f t="array" ref="O4015">+_xlfn.SWITCH(MONTH(C4015),1,1,2,1,3,1,4,2,5,2,6,3,7,3,8,3,9,3,10,2,11,2,12,1,2)</f>
        <v>1</v>
      </c>
      <c r="P4015" s="43"/>
    </row>
    <row r="4016" spans="1:16" ht="18" x14ac:dyDescent="0.35">
      <c r="A4016" s="43"/>
      <c r="C4016" s="393"/>
      <c r="E4016" s="394"/>
      <c r="F4016" s="394">
        <v>0</v>
      </c>
      <c r="G4016" s="394"/>
      <c r="H4016" s="8" t="s">
        <v>235</v>
      </c>
      <c r="I4016" s="368">
        <f t="shared" si="187"/>
        <v>0</v>
      </c>
      <c r="J4016" s="365">
        <f t="shared" si="186"/>
        <v>0</v>
      </c>
      <c r="K4016" s="369">
        <f t="shared" si="188"/>
        <v>6</v>
      </c>
      <c r="L4016" s="369">
        <f>+IF((C4016&gt;='Resultats - informe'!$E$16)*(C4016&lt;='Resultats - informe'!$G$16),1,0)</f>
        <v>1</v>
      </c>
      <c r="M4016" s="369" cm="1">
        <f t="array" ref="M4016">+_xlfn.IFS((C4016&gt;='Resultats - informe'!$D$26)*(C4016&lt;='Resultats - informe'!$E$26),0,(C4016&gt;='Resultats - informe'!$D$27)*(C4016&lt;='Resultats - informe'!$E$27),0,(C4016&gt;='Resultats - informe'!$D$28)*(C4016&lt;='Resultats - informe'!$E$28),0,(C4016&gt;='Resultats - informe'!$D$29)*(C4016&lt;='Resultats - informe'!$E$29),0,1,1)</f>
        <v>0</v>
      </c>
      <c r="N4016" s="366">
        <f>+VLOOKUP(D4016,'Resultats - informe'!$Y$18:$AG$42,'Introducció dades consum'!K4016+1,0)</f>
        <v>0</v>
      </c>
      <c r="O4016" s="370" cm="1">
        <f t="array" ref="O4016">+_xlfn.SWITCH(MONTH(C4016),1,1,2,1,3,1,4,2,5,2,6,3,7,3,8,3,9,3,10,2,11,2,12,1,2)</f>
        <v>1</v>
      </c>
      <c r="P4016" s="43"/>
    </row>
    <row r="4017" spans="1:16" ht="18" x14ac:dyDescent="0.35">
      <c r="A4017" s="43"/>
      <c r="C4017" s="393"/>
      <c r="E4017" s="394"/>
      <c r="F4017" s="394">
        <v>0.218</v>
      </c>
      <c r="G4017" s="394"/>
      <c r="H4017" s="8" t="s">
        <v>235</v>
      </c>
      <c r="I4017" s="368">
        <f t="shared" si="187"/>
        <v>0</v>
      </c>
      <c r="J4017" s="365">
        <f t="shared" si="186"/>
        <v>0</v>
      </c>
      <c r="K4017" s="369">
        <f t="shared" si="188"/>
        <v>6</v>
      </c>
      <c r="L4017" s="369">
        <f>+IF((C4017&gt;='Resultats - informe'!$E$16)*(C4017&lt;='Resultats - informe'!$G$16),1,0)</f>
        <v>1</v>
      </c>
      <c r="M4017" s="369" cm="1">
        <f t="array" ref="M4017">+_xlfn.IFS((C4017&gt;='Resultats - informe'!$D$26)*(C4017&lt;='Resultats - informe'!$E$26),0,(C4017&gt;='Resultats - informe'!$D$27)*(C4017&lt;='Resultats - informe'!$E$27),0,(C4017&gt;='Resultats - informe'!$D$28)*(C4017&lt;='Resultats - informe'!$E$28),0,(C4017&gt;='Resultats - informe'!$D$29)*(C4017&lt;='Resultats - informe'!$E$29),0,1,1)</f>
        <v>0</v>
      </c>
      <c r="N4017" s="366">
        <f>+VLOOKUP(D4017,'Resultats - informe'!$Y$18:$AG$42,'Introducció dades consum'!K4017+1,0)</f>
        <v>0</v>
      </c>
      <c r="O4017" s="370" cm="1">
        <f t="array" ref="O4017">+_xlfn.SWITCH(MONTH(C4017),1,1,2,1,3,1,4,2,5,2,6,3,7,3,8,3,9,3,10,2,11,2,12,1,2)</f>
        <v>1</v>
      </c>
      <c r="P4017" s="43"/>
    </row>
    <row r="4018" spans="1:16" ht="18" x14ac:dyDescent="0.35">
      <c r="A4018" s="43"/>
      <c r="C4018" s="393"/>
      <c r="E4018" s="394"/>
      <c r="F4018" s="394">
        <v>0</v>
      </c>
      <c r="G4018" s="394"/>
      <c r="H4018" s="8" t="s">
        <v>61</v>
      </c>
      <c r="I4018" s="368">
        <f t="shared" si="187"/>
        <v>0</v>
      </c>
      <c r="J4018" s="365">
        <f t="shared" si="186"/>
        <v>0</v>
      </c>
      <c r="K4018" s="369">
        <f t="shared" si="188"/>
        <v>6</v>
      </c>
      <c r="L4018" s="369">
        <f>+IF((C4018&gt;='Resultats - informe'!$E$16)*(C4018&lt;='Resultats - informe'!$G$16),1,0)</f>
        <v>1</v>
      </c>
      <c r="M4018" s="369" cm="1">
        <f t="array" ref="M4018">+_xlfn.IFS((C4018&gt;='Resultats - informe'!$D$26)*(C4018&lt;='Resultats - informe'!$E$26),0,(C4018&gt;='Resultats - informe'!$D$27)*(C4018&lt;='Resultats - informe'!$E$27),0,(C4018&gt;='Resultats - informe'!$D$28)*(C4018&lt;='Resultats - informe'!$E$28),0,(C4018&gt;='Resultats - informe'!$D$29)*(C4018&lt;='Resultats - informe'!$E$29),0,1,1)</f>
        <v>0</v>
      </c>
      <c r="N4018" s="366">
        <f>+VLOOKUP(D4018,'Resultats - informe'!$Y$18:$AG$42,'Introducció dades consum'!K4018+1,0)</f>
        <v>0</v>
      </c>
      <c r="O4018" s="370" cm="1">
        <f t="array" ref="O4018">+_xlfn.SWITCH(MONTH(C4018),1,1,2,1,3,1,4,2,5,2,6,3,7,3,8,3,9,3,10,2,11,2,12,1,2)</f>
        <v>1</v>
      </c>
      <c r="P4018" s="43"/>
    </row>
    <row r="4019" spans="1:16" ht="18" x14ac:dyDescent="0.35">
      <c r="A4019" s="43"/>
      <c r="C4019" s="393"/>
      <c r="E4019" s="394"/>
      <c r="F4019" s="394">
        <v>0</v>
      </c>
      <c r="G4019" s="394"/>
      <c r="H4019" s="8" t="s">
        <v>61</v>
      </c>
      <c r="I4019" s="368">
        <f t="shared" si="187"/>
        <v>0</v>
      </c>
      <c r="J4019" s="365">
        <f t="shared" si="186"/>
        <v>0</v>
      </c>
      <c r="K4019" s="369">
        <f t="shared" si="188"/>
        <v>6</v>
      </c>
      <c r="L4019" s="369">
        <f>+IF((C4019&gt;='Resultats - informe'!$E$16)*(C4019&lt;='Resultats - informe'!$G$16),1,0)</f>
        <v>1</v>
      </c>
      <c r="M4019" s="369" cm="1">
        <f t="array" ref="M4019">+_xlfn.IFS((C4019&gt;='Resultats - informe'!$D$26)*(C4019&lt;='Resultats - informe'!$E$26),0,(C4019&gt;='Resultats - informe'!$D$27)*(C4019&lt;='Resultats - informe'!$E$27),0,(C4019&gt;='Resultats - informe'!$D$28)*(C4019&lt;='Resultats - informe'!$E$28),0,(C4019&gt;='Resultats - informe'!$D$29)*(C4019&lt;='Resultats - informe'!$E$29),0,1,1)</f>
        <v>0</v>
      </c>
      <c r="N4019" s="366">
        <f>+VLOOKUP(D4019,'Resultats - informe'!$Y$18:$AG$42,'Introducció dades consum'!K4019+1,0)</f>
        <v>0</v>
      </c>
      <c r="O4019" s="370" cm="1">
        <f t="array" ref="O4019">+_xlfn.SWITCH(MONTH(C4019),1,1,2,1,3,1,4,2,5,2,6,3,7,3,8,3,9,3,10,2,11,2,12,1,2)</f>
        <v>1</v>
      </c>
      <c r="P4019" s="43"/>
    </row>
    <row r="4020" spans="1:16" ht="18" x14ac:dyDescent="0.35">
      <c r="A4020" s="43"/>
      <c r="C4020" s="393"/>
      <c r="E4020" s="394"/>
      <c r="F4020" s="394">
        <v>0</v>
      </c>
      <c r="G4020" s="394"/>
      <c r="H4020" s="8" t="s">
        <v>61</v>
      </c>
      <c r="I4020" s="368">
        <f t="shared" si="187"/>
        <v>0</v>
      </c>
      <c r="J4020" s="365">
        <f t="shared" si="186"/>
        <v>0</v>
      </c>
      <c r="K4020" s="369">
        <f t="shared" si="188"/>
        <v>6</v>
      </c>
      <c r="L4020" s="369">
        <f>+IF((C4020&gt;='Resultats - informe'!$E$16)*(C4020&lt;='Resultats - informe'!$G$16),1,0)</f>
        <v>1</v>
      </c>
      <c r="M4020" s="369" cm="1">
        <f t="array" ref="M4020">+_xlfn.IFS((C4020&gt;='Resultats - informe'!$D$26)*(C4020&lt;='Resultats - informe'!$E$26),0,(C4020&gt;='Resultats - informe'!$D$27)*(C4020&lt;='Resultats - informe'!$E$27),0,(C4020&gt;='Resultats - informe'!$D$28)*(C4020&lt;='Resultats - informe'!$E$28),0,(C4020&gt;='Resultats - informe'!$D$29)*(C4020&lt;='Resultats - informe'!$E$29),0,1,1)</f>
        <v>0</v>
      </c>
      <c r="N4020" s="366">
        <f>+VLOOKUP(D4020,'Resultats - informe'!$Y$18:$AG$42,'Introducció dades consum'!K4020+1,0)</f>
        <v>0</v>
      </c>
      <c r="O4020" s="370" cm="1">
        <f t="array" ref="O4020">+_xlfn.SWITCH(MONTH(C4020),1,1,2,1,3,1,4,2,5,2,6,3,7,3,8,3,9,3,10,2,11,2,12,1,2)</f>
        <v>1</v>
      </c>
      <c r="P4020" s="43"/>
    </row>
    <row r="4021" spans="1:16" ht="18" x14ac:dyDescent="0.35">
      <c r="A4021" s="43"/>
      <c r="C4021" s="393"/>
      <c r="E4021" s="394"/>
      <c r="F4021" s="394">
        <v>1.1619999999999999</v>
      </c>
      <c r="G4021" s="394"/>
      <c r="H4021" s="8" t="s">
        <v>61</v>
      </c>
      <c r="I4021" s="368">
        <f t="shared" si="187"/>
        <v>0</v>
      </c>
      <c r="J4021" s="365">
        <f t="shared" si="186"/>
        <v>0</v>
      </c>
      <c r="K4021" s="369">
        <f t="shared" si="188"/>
        <v>6</v>
      </c>
      <c r="L4021" s="369">
        <f>+IF((C4021&gt;='Resultats - informe'!$E$16)*(C4021&lt;='Resultats - informe'!$G$16),1,0)</f>
        <v>1</v>
      </c>
      <c r="M4021" s="369" cm="1">
        <f t="array" ref="M4021">+_xlfn.IFS((C4021&gt;='Resultats - informe'!$D$26)*(C4021&lt;='Resultats - informe'!$E$26),0,(C4021&gt;='Resultats - informe'!$D$27)*(C4021&lt;='Resultats - informe'!$E$27),0,(C4021&gt;='Resultats - informe'!$D$28)*(C4021&lt;='Resultats - informe'!$E$28),0,(C4021&gt;='Resultats - informe'!$D$29)*(C4021&lt;='Resultats - informe'!$E$29),0,1,1)</f>
        <v>0</v>
      </c>
      <c r="N4021" s="366">
        <f>+VLOOKUP(D4021,'Resultats - informe'!$Y$18:$AG$42,'Introducció dades consum'!K4021+1,0)</f>
        <v>0</v>
      </c>
      <c r="O4021" s="370" cm="1">
        <f t="array" ref="O4021">+_xlfn.SWITCH(MONTH(C4021),1,1,2,1,3,1,4,2,5,2,6,3,7,3,8,3,9,3,10,2,11,2,12,1,2)</f>
        <v>1</v>
      </c>
      <c r="P4021" s="43"/>
    </row>
    <row r="4022" spans="1:16" ht="18" x14ac:dyDescent="0.35">
      <c r="A4022" s="43"/>
      <c r="C4022" s="393"/>
      <c r="E4022" s="394"/>
      <c r="F4022" s="394">
        <v>3.1920000000000002</v>
      </c>
      <c r="G4022" s="394"/>
      <c r="H4022" s="8" t="s">
        <v>61</v>
      </c>
      <c r="I4022" s="368">
        <f t="shared" si="187"/>
        <v>0</v>
      </c>
      <c r="J4022" s="365">
        <f t="shared" si="186"/>
        <v>0</v>
      </c>
      <c r="K4022" s="369">
        <f t="shared" si="188"/>
        <v>6</v>
      </c>
      <c r="L4022" s="369">
        <f>+IF((C4022&gt;='Resultats - informe'!$E$16)*(C4022&lt;='Resultats - informe'!$G$16),1,0)</f>
        <v>1</v>
      </c>
      <c r="M4022" s="369" cm="1">
        <f t="array" ref="M4022">+_xlfn.IFS((C4022&gt;='Resultats - informe'!$D$26)*(C4022&lt;='Resultats - informe'!$E$26),0,(C4022&gt;='Resultats - informe'!$D$27)*(C4022&lt;='Resultats - informe'!$E$27),0,(C4022&gt;='Resultats - informe'!$D$28)*(C4022&lt;='Resultats - informe'!$E$28),0,(C4022&gt;='Resultats - informe'!$D$29)*(C4022&lt;='Resultats - informe'!$E$29),0,1,1)</f>
        <v>0</v>
      </c>
      <c r="N4022" s="366">
        <f>+VLOOKUP(D4022,'Resultats - informe'!$Y$18:$AG$42,'Introducció dades consum'!K4022+1,0)</f>
        <v>0</v>
      </c>
      <c r="O4022" s="370" cm="1">
        <f t="array" ref="O4022">+_xlfn.SWITCH(MONTH(C4022),1,1,2,1,3,1,4,2,5,2,6,3,7,3,8,3,9,3,10,2,11,2,12,1,2)</f>
        <v>1</v>
      </c>
      <c r="P4022" s="43"/>
    </row>
    <row r="4023" spans="1:16" ht="18" x14ac:dyDescent="0.35">
      <c r="A4023" s="43"/>
      <c r="C4023" s="393"/>
      <c r="E4023" s="394"/>
      <c r="F4023" s="394">
        <v>5.1070000000000002</v>
      </c>
      <c r="G4023" s="394"/>
      <c r="H4023" s="8" t="s">
        <v>235</v>
      </c>
      <c r="I4023" s="368">
        <f t="shared" si="187"/>
        <v>0</v>
      </c>
      <c r="J4023" s="365">
        <f t="shared" si="186"/>
        <v>0</v>
      </c>
      <c r="K4023" s="369">
        <f t="shared" si="188"/>
        <v>6</v>
      </c>
      <c r="L4023" s="369">
        <f>+IF((C4023&gt;='Resultats - informe'!$E$16)*(C4023&lt;='Resultats - informe'!$G$16),1,0)</f>
        <v>1</v>
      </c>
      <c r="M4023" s="369" cm="1">
        <f t="array" ref="M4023">+_xlfn.IFS((C4023&gt;='Resultats - informe'!$D$26)*(C4023&lt;='Resultats - informe'!$E$26),0,(C4023&gt;='Resultats - informe'!$D$27)*(C4023&lt;='Resultats - informe'!$E$27),0,(C4023&gt;='Resultats - informe'!$D$28)*(C4023&lt;='Resultats - informe'!$E$28),0,(C4023&gt;='Resultats - informe'!$D$29)*(C4023&lt;='Resultats - informe'!$E$29),0,1,1)</f>
        <v>0</v>
      </c>
      <c r="N4023" s="366">
        <f>+VLOOKUP(D4023,'Resultats - informe'!$Y$18:$AG$42,'Introducció dades consum'!K4023+1,0)</f>
        <v>0</v>
      </c>
      <c r="O4023" s="370" cm="1">
        <f t="array" ref="O4023">+_xlfn.SWITCH(MONTH(C4023),1,1,2,1,3,1,4,2,5,2,6,3,7,3,8,3,9,3,10,2,11,2,12,1,2)</f>
        <v>1</v>
      </c>
      <c r="P4023" s="43"/>
    </row>
    <row r="4024" spans="1:16" ht="18" x14ac:dyDescent="0.35">
      <c r="A4024" s="43"/>
      <c r="C4024" s="393"/>
      <c r="E4024" s="394"/>
      <c r="F4024" s="394">
        <v>4.7350000000000003</v>
      </c>
      <c r="G4024" s="394"/>
      <c r="H4024" s="8" t="s">
        <v>235</v>
      </c>
      <c r="I4024" s="368">
        <f t="shared" si="187"/>
        <v>0</v>
      </c>
      <c r="J4024" s="365">
        <f t="shared" si="186"/>
        <v>0</v>
      </c>
      <c r="K4024" s="369">
        <f t="shared" si="188"/>
        <v>6</v>
      </c>
      <c r="L4024" s="369">
        <f>+IF((C4024&gt;='Resultats - informe'!$E$16)*(C4024&lt;='Resultats - informe'!$G$16),1,0)</f>
        <v>1</v>
      </c>
      <c r="M4024" s="369" cm="1">
        <f t="array" ref="M4024">+_xlfn.IFS((C4024&gt;='Resultats - informe'!$D$26)*(C4024&lt;='Resultats - informe'!$E$26),0,(C4024&gt;='Resultats - informe'!$D$27)*(C4024&lt;='Resultats - informe'!$E$27),0,(C4024&gt;='Resultats - informe'!$D$28)*(C4024&lt;='Resultats - informe'!$E$28),0,(C4024&gt;='Resultats - informe'!$D$29)*(C4024&lt;='Resultats - informe'!$E$29),0,1,1)</f>
        <v>0</v>
      </c>
      <c r="N4024" s="366">
        <f>+VLOOKUP(D4024,'Resultats - informe'!$Y$18:$AG$42,'Introducció dades consum'!K4024+1,0)</f>
        <v>0</v>
      </c>
      <c r="O4024" s="370" cm="1">
        <f t="array" ref="O4024">+_xlfn.SWITCH(MONTH(C4024),1,1,2,1,3,1,4,2,5,2,6,3,7,3,8,3,9,3,10,2,11,2,12,1,2)</f>
        <v>1</v>
      </c>
      <c r="P4024" s="43"/>
    </row>
    <row r="4025" spans="1:16" ht="18" x14ac:dyDescent="0.35">
      <c r="A4025" s="43"/>
      <c r="C4025" s="393"/>
      <c r="E4025" s="394"/>
      <c r="F4025" s="394">
        <v>5.577</v>
      </c>
      <c r="G4025" s="394"/>
      <c r="H4025" s="8" t="s">
        <v>61</v>
      </c>
      <c r="I4025" s="368">
        <f t="shared" si="187"/>
        <v>0</v>
      </c>
      <c r="J4025" s="365">
        <f t="shared" si="186"/>
        <v>0</v>
      </c>
      <c r="K4025" s="369">
        <f t="shared" si="188"/>
        <v>6</v>
      </c>
      <c r="L4025" s="369">
        <f>+IF((C4025&gt;='Resultats - informe'!$E$16)*(C4025&lt;='Resultats - informe'!$G$16),1,0)</f>
        <v>1</v>
      </c>
      <c r="M4025" s="369" cm="1">
        <f t="array" ref="M4025">+_xlfn.IFS((C4025&gt;='Resultats - informe'!$D$26)*(C4025&lt;='Resultats - informe'!$E$26),0,(C4025&gt;='Resultats - informe'!$D$27)*(C4025&lt;='Resultats - informe'!$E$27),0,(C4025&gt;='Resultats - informe'!$D$28)*(C4025&lt;='Resultats - informe'!$E$28),0,(C4025&gt;='Resultats - informe'!$D$29)*(C4025&lt;='Resultats - informe'!$E$29),0,1,1)</f>
        <v>0</v>
      </c>
      <c r="N4025" s="366">
        <f>+VLOOKUP(D4025,'Resultats - informe'!$Y$18:$AG$42,'Introducció dades consum'!K4025+1,0)</f>
        <v>0</v>
      </c>
      <c r="O4025" s="370" cm="1">
        <f t="array" ref="O4025">+_xlfn.SWITCH(MONTH(C4025),1,1,2,1,3,1,4,2,5,2,6,3,7,3,8,3,9,3,10,2,11,2,12,1,2)</f>
        <v>1</v>
      </c>
      <c r="P4025" s="43"/>
    </row>
    <row r="4026" spans="1:16" ht="18" x14ac:dyDescent="0.35">
      <c r="A4026" s="43"/>
      <c r="C4026" s="393"/>
      <c r="E4026" s="394"/>
      <c r="F4026" s="394">
        <v>2.77</v>
      </c>
      <c r="G4026" s="394"/>
      <c r="H4026" s="8" t="s">
        <v>235</v>
      </c>
      <c r="I4026" s="368">
        <f t="shared" si="187"/>
        <v>0</v>
      </c>
      <c r="J4026" s="365">
        <f t="shared" si="186"/>
        <v>0</v>
      </c>
      <c r="K4026" s="369">
        <f t="shared" si="188"/>
        <v>6</v>
      </c>
      <c r="L4026" s="369">
        <f>+IF((C4026&gt;='Resultats - informe'!$E$16)*(C4026&lt;='Resultats - informe'!$G$16),1,0)</f>
        <v>1</v>
      </c>
      <c r="M4026" s="369" cm="1">
        <f t="array" ref="M4026">+_xlfn.IFS((C4026&gt;='Resultats - informe'!$D$26)*(C4026&lt;='Resultats - informe'!$E$26),0,(C4026&gt;='Resultats - informe'!$D$27)*(C4026&lt;='Resultats - informe'!$E$27),0,(C4026&gt;='Resultats - informe'!$D$28)*(C4026&lt;='Resultats - informe'!$E$28),0,(C4026&gt;='Resultats - informe'!$D$29)*(C4026&lt;='Resultats - informe'!$E$29),0,1,1)</f>
        <v>0</v>
      </c>
      <c r="N4026" s="366">
        <f>+VLOOKUP(D4026,'Resultats - informe'!$Y$18:$AG$42,'Introducció dades consum'!K4026+1,0)</f>
        <v>0</v>
      </c>
      <c r="O4026" s="370" cm="1">
        <f t="array" ref="O4026">+_xlfn.SWITCH(MONTH(C4026),1,1,2,1,3,1,4,2,5,2,6,3,7,3,8,3,9,3,10,2,11,2,12,1,2)</f>
        <v>1</v>
      </c>
      <c r="P4026" s="43"/>
    </row>
    <row r="4027" spans="1:16" ht="18" x14ac:dyDescent="0.35">
      <c r="A4027" s="43"/>
      <c r="C4027" s="393"/>
      <c r="E4027" s="394"/>
      <c r="F4027" s="394">
        <v>0.88500000000000001</v>
      </c>
      <c r="G4027" s="394"/>
      <c r="H4027" s="8" t="s">
        <v>235</v>
      </c>
      <c r="I4027" s="368">
        <f t="shared" si="187"/>
        <v>0</v>
      </c>
      <c r="J4027" s="365">
        <f t="shared" ref="J4027:J4090" si="189">+C4027</f>
        <v>0</v>
      </c>
      <c r="K4027" s="369">
        <f t="shared" si="188"/>
        <v>6</v>
      </c>
      <c r="L4027" s="369">
        <f>+IF((C4027&gt;='Resultats - informe'!$E$16)*(C4027&lt;='Resultats - informe'!$G$16),1,0)</f>
        <v>1</v>
      </c>
      <c r="M4027" s="369" cm="1">
        <f t="array" ref="M4027">+_xlfn.IFS((C4027&gt;='Resultats - informe'!$D$26)*(C4027&lt;='Resultats - informe'!$E$26),0,(C4027&gt;='Resultats - informe'!$D$27)*(C4027&lt;='Resultats - informe'!$E$27),0,(C4027&gt;='Resultats - informe'!$D$28)*(C4027&lt;='Resultats - informe'!$E$28),0,(C4027&gt;='Resultats - informe'!$D$29)*(C4027&lt;='Resultats - informe'!$E$29),0,1,1)</f>
        <v>0</v>
      </c>
      <c r="N4027" s="366">
        <f>+VLOOKUP(D4027,'Resultats - informe'!$Y$18:$AG$42,'Introducció dades consum'!K4027+1,0)</f>
        <v>0</v>
      </c>
      <c r="O4027" s="370" cm="1">
        <f t="array" ref="O4027">+_xlfn.SWITCH(MONTH(C4027),1,1,2,1,3,1,4,2,5,2,6,3,7,3,8,3,9,3,10,2,11,2,12,1,2)</f>
        <v>1</v>
      </c>
      <c r="P4027" s="43"/>
    </row>
    <row r="4028" spans="1:16" ht="18" x14ac:dyDescent="0.35">
      <c r="A4028" s="43"/>
      <c r="C4028" s="393"/>
      <c r="E4028" s="394"/>
      <c r="F4028" s="394">
        <v>0.76400000000000001</v>
      </c>
      <c r="G4028" s="394"/>
      <c r="H4028" s="8" t="s">
        <v>61</v>
      </c>
      <c r="I4028" s="368">
        <f t="shared" si="187"/>
        <v>0</v>
      </c>
      <c r="J4028" s="365">
        <f t="shared" si="189"/>
        <v>0</v>
      </c>
      <c r="K4028" s="369">
        <f t="shared" si="188"/>
        <v>6</v>
      </c>
      <c r="L4028" s="369">
        <f>+IF((C4028&gt;='Resultats - informe'!$E$16)*(C4028&lt;='Resultats - informe'!$G$16),1,0)</f>
        <v>1</v>
      </c>
      <c r="M4028" s="369" cm="1">
        <f t="array" ref="M4028">+_xlfn.IFS((C4028&gt;='Resultats - informe'!$D$26)*(C4028&lt;='Resultats - informe'!$E$26),0,(C4028&gt;='Resultats - informe'!$D$27)*(C4028&lt;='Resultats - informe'!$E$27),0,(C4028&gt;='Resultats - informe'!$D$28)*(C4028&lt;='Resultats - informe'!$E$28),0,(C4028&gt;='Resultats - informe'!$D$29)*(C4028&lt;='Resultats - informe'!$E$29),0,1,1)</f>
        <v>0</v>
      </c>
      <c r="N4028" s="366">
        <f>+VLOOKUP(D4028,'Resultats - informe'!$Y$18:$AG$42,'Introducció dades consum'!K4028+1,0)</f>
        <v>0</v>
      </c>
      <c r="O4028" s="370" cm="1">
        <f t="array" ref="O4028">+_xlfn.SWITCH(MONTH(C4028),1,1,2,1,3,1,4,2,5,2,6,3,7,3,8,3,9,3,10,2,11,2,12,1,2)</f>
        <v>1</v>
      </c>
      <c r="P4028" s="43"/>
    </row>
    <row r="4029" spans="1:16" ht="18" x14ac:dyDescent="0.35">
      <c r="A4029" s="43"/>
      <c r="C4029" s="393"/>
      <c r="E4029" s="394"/>
      <c r="F4029" s="394">
        <v>0</v>
      </c>
      <c r="G4029" s="394"/>
      <c r="H4029" s="8" t="s">
        <v>235</v>
      </c>
      <c r="I4029" s="368">
        <f t="shared" si="187"/>
        <v>0</v>
      </c>
      <c r="J4029" s="365">
        <f t="shared" si="189"/>
        <v>0</v>
      </c>
      <c r="K4029" s="369">
        <f t="shared" si="188"/>
        <v>6</v>
      </c>
      <c r="L4029" s="369">
        <f>+IF((C4029&gt;='Resultats - informe'!$E$16)*(C4029&lt;='Resultats - informe'!$G$16),1,0)</f>
        <v>1</v>
      </c>
      <c r="M4029" s="369" cm="1">
        <f t="array" ref="M4029">+_xlfn.IFS((C4029&gt;='Resultats - informe'!$D$26)*(C4029&lt;='Resultats - informe'!$E$26),0,(C4029&gt;='Resultats - informe'!$D$27)*(C4029&lt;='Resultats - informe'!$E$27),0,(C4029&gt;='Resultats - informe'!$D$28)*(C4029&lt;='Resultats - informe'!$E$28),0,(C4029&gt;='Resultats - informe'!$D$29)*(C4029&lt;='Resultats - informe'!$E$29),0,1,1)</f>
        <v>0</v>
      </c>
      <c r="N4029" s="366">
        <f>+VLOOKUP(D4029,'Resultats - informe'!$Y$18:$AG$42,'Introducció dades consum'!K4029+1,0)</f>
        <v>0</v>
      </c>
      <c r="O4029" s="370" cm="1">
        <f t="array" ref="O4029">+_xlfn.SWITCH(MONTH(C4029),1,1,2,1,3,1,4,2,5,2,6,3,7,3,8,3,9,3,10,2,11,2,12,1,2)</f>
        <v>1</v>
      </c>
      <c r="P4029" s="43"/>
    </row>
    <row r="4030" spans="1:16" ht="18" x14ac:dyDescent="0.35">
      <c r="A4030" s="43"/>
      <c r="C4030" s="393"/>
      <c r="E4030" s="394"/>
      <c r="F4030" s="394">
        <v>0</v>
      </c>
      <c r="G4030" s="394"/>
      <c r="H4030" s="8" t="s">
        <v>235</v>
      </c>
      <c r="I4030" s="368">
        <f t="shared" si="187"/>
        <v>0</v>
      </c>
      <c r="J4030" s="365">
        <f t="shared" si="189"/>
        <v>0</v>
      </c>
      <c r="K4030" s="369">
        <f t="shared" si="188"/>
        <v>6</v>
      </c>
      <c r="L4030" s="369">
        <f>+IF((C4030&gt;='Resultats - informe'!$E$16)*(C4030&lt;='Resultats - informe'!$G$16),1,0)</f>
        <v>1</v>
      </c>
      <c r="M4030" s="369" cm="1">
        <f t="array" ref="M4030">+_xlfn.IFS((C4030&gt;='Resultats - informe'!$D$26)*(C4030&lt;='Resultats - informe'!$E$26),0,(C4030&gt;='Resultats - informe'!$D$27)*(C4030&lt;='Resultats - informe'!$E$27),0,(C4030&gt;='Resultats - informe'!$D$28)*(C4030&lt;='Resultats - informe'!$E$28),0,(C4030&gt;='Resultats - informe'!$D$29)*(C4030&lt;='Resultats - informe'!$E$29),0,1,1)</f>
        <v>0</v>
      </c>
      <c r="N4030" s="366">
        <f>+VLOOKUP(D4030,'Resultats - informe'!$Y$18:$AG$42,'Introducció dades consum'!K4030+1,0)</f>
        <v>0</v>
      </c>
      <c r="O4030" s="370" cm="1">
        <f t="array" ref="O4030">+_xlfn.SWITCH(MONTH(C4030),1,1,2,1,3,1,4,2,5,2,6,3,7,3,8,3,9,3,10,2,11,2,12,1,2)</f>
        <v>1</v>
      </c>
      <c r="P4030" s="43"/>
    </row>
    <row r="4031" spans="1:16" ht="18" x14ac:dyDescent="0.35">
      <c r="A4031" s="43"/>
      <c r="C4031" s="393"/>
      <c r="E4031" s="394"/>
      <c r="F4031" s="394">
        <v>0</v>
      </c>
      <c r="G4031" s="394"/>
      <c r="H4031" s="8" t="s">
        <v>61</v>
      </c>
      <c r="I4031" s="368">
        <f t="shared" si="187"/>
        <v>0</v>
      </c>
      <c r="J4031" s="365">
        <f t="shared" si="189"/>
        <v>0</v>
      </c>
      <c r="K4031" s="369">
        <f t="shared" si="188"/>
        <v>6</v>
      </c>
      <c r="L4031" s="369">
        <f>+IF((C4031&gt;='Resultats - informe'!$E$16)*(C4031&lt;='Resultats - informe'!$G$16),1,0)</f>
        <v>1</v>
      </c>
      <c r="M4031" s="369" cm="1">
        <f t="array" ref="M4031">+_xlfn.IFS((C4031&gt;='Resultats - informe'!$D$26)*(C4031&lt;='Resultats - informe'!$E$26),0,(C4031&gt;='Resultats - informe'!$D$27)*(C4031&lt;='Resultats - informe'!$E$27),0,(C4031&gt;='Resultats - informe'!$D$28)*(C4031&lt;='Resultats - informe'!$E$28),0,(C4031&gt;='Resultats - informe'!$D$29)*(C4031&lt;='Resultats - informe'!$E$29),0,1,1)</f>
        <v>0</v>
      </c>
      <c r="N4031" s="366">
        <f>+VLOOKUP(D4031,'Resultats - informe'!$Y$18:$AG$42,'Introducció dades consum'!K4031+1,0)</f>
        <v>0</v>
      </c>
      <c r="O4031" s="370" cm="1">
        <f t="array" ref="O4031">+_xlfn.SWITCH(MONTH(C4031),1,1,2,1,3,1,4,2,5,2,6,3,7,3,8,3,9,3,10,2,11,2,12,1,2)</f>
        <v>1</v>
      </c>
      <c r="P4031" s="43"/>
    </row>
    <row r="4032" spans="1:16" ht="18" x14ac:dyDescent="0.35">
      <c r="A4032" s="43"/>
      <c r="C4032" s="393"/>
      <c r="E4032" s="394"/>
      <c r="F4032" s="394">
        <v>0</v>
      </c>
      <c r="G4032" s="394"/>
      <c r="H4032" s="8" t="s">
        <v>235</v>
      </c>
      <c r="I4032" s="368">
        <f t="shared" si="187"/>
        <v>0</v>
      </c>
      <c r="J4032" s="365">
        <f t="shared" si="189"/>
        <v>0</v>
      </c>
      <c r="K4032" s="369">
        <f t="shared" si="188"/>
        <v>6</v>
      </c>
      <c r="L4032" s="369">
        <f>+IF((C4032&gt;='Resultats - informe'!$E$16)*(C4032&lt;='Resultats - informe'!$G$16),1,0)</f>
        <v>1</v>
      </c>
      <c r="M4032" s="369" cm="1">
        <f t="array" ref="M4032">+_xlfn.IFS((C4032&gt;='Resultats - informe'!$D$26)*(C4032&lt;='Resultats - informe'!$E$26),0,(C4032&gt;='Resultats - informe'!$D$27)*(C4032&lt;='Resultats - informe'!$E$27),0,(C4032&gt;='Resultats - informe'!$D$28)*(C4032&lt;='Resultats - informe'!$E$28),0,(C4032&gt;='Resultats - informe'!$D$29)*(C4032&lt;='Resultats - informe'!$E$29),0,1,1)</f>
        <v>0</v>
      </c>
      <c r="N4032" s="366">
        <f>+VLOOKUP(D4032,'Resultats - informe'!$Y$18:$AG$42,'Introducció dades consum'!K4032+1,0)</f>
        <v>0</v>
      </c>
      <c r="O4032" s="370" cm="1">
        <f t="array" ref="O4032">+_xlfn.SWITCH(MONTH(C4032),1,1,2,1,3,1,4,2,5,2,6,3,7,3,8,3,9,3,10,2,11,2,12,1,2)</f>
        <v>1</v>
      </c>
      <c r="P4032" s="43"/>
    </row>
    <row r="4033" spans="1:16" ht="18" x14ac:dyDescent="0.35">
      <c r="A4033" s="43"/>
      <c r="C4033" s="393"/>
      <c r="E4033" s="394"/>
      <c r="F4033" s="394">
        <v>0</v>
      </c>
      <c r="G4033" s="394"/>
      <c r="H4033" s="8" t="s">
        <v>235</v>
      </c>
      <c r="I4033" s="368">
        <f t="shared" si="187"/>
        <v>0</v>
      </c>
      <c r="J4033" s="365">
        <f t="shared" si="189"/>
        <v>0</v>
      </c>
      <c r="K4033" s="369">
        <f t="shared" si="188"/>
        <v>6</v>
      </c>
      <c r="L4033" s="369">
        <f>+IF((C4033&gt;='Resultats - informe'!$E$16)*(C4033&lt;='Resultats - informe'!$G$16),1,0)</f>
        <v>1</v>
      </c>
      <c r="M4033" s="369" cm="1">
        <f t="array" ref="M4033">+_xlfn.IFS((C4033&gt;='Resultats - informe'!$D$26)*(C4033&lt;='Resultats - informe'!$E$26),0,(C4033&gt;='Resultats - informe'!$D$27)*(C4033&lt;='Resultats - informe'!$E$27),0,(C4033&gt;='Resultats - informe'!$D$28)*(C4033&lt;='Resultats - informe'!$E$28),0,(C4033&gt;='Resultats - informe'!$D$29)*(C4033&lt;='Resultats - informe'!$E$29),0,1,1)</f>
        <v>0</v>
      </c>
      <c r="N4033" s="366">
        <f>+VLOOKUP(D4033,'Resultats - informe'!$Y$18:$AG$42,'Introducció dades consum'!K4033+1,0)</f>
        <v>0</v>
      </c>
      <c r="O4033" s="370" cm="1">
        <f t="array" ref="O4033">+_xlfn.SWITCH(MONTH(C4033),1,1,2,1,3,1,4,2,5,2,6,3,7,3,8,3,9,3,10,2,11,2,12,1,2)</f>
        <v>1</v>
      </c>
      <c r="P4033" s="43"/>
    </row>
    <row r="4034" spans="1:16" ht="18" x14ac:dyDescent="0.35">
      <c r="A4034" s="43"/>
      <c r="C4034" s="393"/>
      <c r="E4034" s="394"/>
      <c r="F4034" s="394">
        <v>0</v>
      </c>
      <c r="G4034" s="394"/>
      <c r="H4034" s="8" t="s">
        <v>61</v>
      </c>
      <c r="I4034" s="368">
        <f t="shared" si="187"/>
        <v>0</v>
      </c>
      <c r="J4034" s="365">
        <f t="shared" si="189"/>
        <v>0</v>
      </c>
      <c r="K4034" s="369">
        <f t="shared" si="188"/>
        <v>6</v>
      </c>
      <c r="L4034" s="369">
        <f>+IF((C4034&gt;='Resultats - informe'!$E$16)*(C4034&lt;='Resultats - informe'!$G$16),1,0)</f>
        <v>1</v>
      </c>
      <c r="M4034" s="369" cm="1">
        <f t="array" ref="M4034">+_xlfn.IFS((C4034&gt;='Resultats - informe'!$D$26)*(C4034&lt;='Resultats - informe'!$E$26),0,(C4034&gt;='Resultats - informe'!$D$27)*(C4034&lt;='Resultats - informe'!$E$27),0,(C4034&gt;='Resultats - informe'!$D$28)*(C4034&lt;='Resultats - informe'!$E$28),0,(C4034&gt;='Resultats - informe'!$D$29)*(C4034&lt;='Resultats - informe'!$E$29),0,1,1)</f>
        <v>0</v>
      </c>
      <c r="N4034" s="366">
        <f>+VLOOKUP(D4034,'Resultats - informe'!$Y$18:$AG$42,'Introducció dades consum'!K4034+1,0)</f>
        <v>0</v>
      </c>
      <c r="O4034" s="370" cm="1">
        <f t="array" ref="O4034">+_xlfn.SWITCH(MONTH(C4034),1,1,2,1,3,1,4,2,5,2,6,3,7,3,8,3,9,3,10,2,11,2,12,1,2)</f>
        <v>1</v>
      </c>
      <c r="P4034" s="43"/>
    </row>
    <row r="4035" spans="1:16" ht="18" x14ac:dyDescent="0.35">
      <c r="A4035" s="43"/>
      <c r="C4035" s="393"/>
      <c r="E4035" s="394"/>
      <c r="F4035" s="394">
        <v>0</v>
      </c>
      <c r="G4035" s="394"/>
      <c r="H4035" s="8" t="s">
        <v>61</v>
      </c>
      <c r="I4035" s="368">
        <f t="shared" si="187"/>
        <v>0</v>
      </c>
      <c r="J4035" s="365">
        <f t="shared" si="189"/>
        <v>0</v>
      </c>
      <c r="K4035" s="369">
        <f t="shared" si="188"/>
        <v>6</v>
      </c>
      <c r="L4035" s="369">
        <f>+IF((C4035&gt;='Resultats - informe'!$E$16)*(C4035&lt;='Resultats - informe'!$G$16),1,0)</f>
        <v>1</v>
      </c>
      <c r="M4035" s="369" cm="1">
        <f t="array" ref="M4035">+_xlfn.IFS((C4035&gt;='Resultats - informe'!$D$26)*(C4035&lt;='Resultats - informe'!$E$26),0,(C4035&gt;='Resultats - informe'!$D$27)*(C4035&lt;='Resultats - informe'!$E$27),0,(C4035&gt;='Resultats - informe'!$D$28)*(C4035&lt;='Resultats - informe'!$E$28),0,(C4035&gt;='Resultats - informe'!$D$29)*(C4035&lt;='Resultats - informe'!$E$29),0,1,1)</f>
        <v>0</v>
      </c>
      <c r="N4035" s="366">
        <f>+VLOOKUP(D4035,'Resultats - informe'!$Y$18:$AG$42,'Introducció dades consum'!K4035+1,0)</f>
        <v>0</v>
      </c>
      <c r="O4035" s="370" cm="1">
        <f t="array" ref="O4035">+_xlfn.SWITCH(MONTH(C4035),1,1,2,1,3,1,4,2,5,2,6,3,7,3,8,3,9,3,10,2,11,2,12,1,2)</f>
        <v>1</v>
      </c>
      <c r="P4035" s="43"/>
    </row>
    <row r="4036" spans="1:16" ht="18" x14ac:dyDescent="0.35">
      <c r="A4036" s="43"/>
      <c r="C4036" s="393"/>
      <c r="E4036" s="394"/>
      <c r="F4036" s="394">
        <v>0</v>
      </c>
      <c r="G4036" s="394"/>
      <c r="H4036" s="8" t="s">
        <v>235</v>
      </c>
      <c r="I4036" s="368">
        <f t="shared" si="187"/>
        <v>0</v>
      </c>
      <c r="J4036" s="365">
        <f t="shared" si="189"/>
        <v>0</v>
      </c>
      <c r="K4036" s="369">
        <f t="shared" si="188"/>
        <v>6</v>
      </c>
      <c r="L4036" s="369">
        <f>+IF((C4036&gt;='Resultats - informe'!$E$16)*(C4036&lt;='Resultats - informe'!$G$16),1,0)</f>
        <v>1</v>
      </c>
      <c r="M4036" s="369" cm="1">
        <f t="array" ref="M4036">+_xlfn.IFS((C4036&gt;='Resultats - informe'!$D$26)*(C4036&lt;='Resultats - informe'!$E$26),0,(C4036&gt;='Resultats - informe'!$D$27)*(C4036&lt;='Resultats - informe'!$E$27),0,(C4036&gt;='Resultats - informe'!$D$28)*(C4036&lt;='Resultats - informe'!$E$28),0,(C4036&gt;='Resultats - informe'!$D$29)*(C4036&lt;='Resultats - informe'!$E$29),0,1,1)</f>
        <v>0</v>
      </c>
      <c r="N4036" s="366">
        <f>+VLOOKUP(D4036,'Resultats - informe'!$Y$18:$AG$42,'Introducció dades consum'!K4036+1,0)</f>
        <v>0</v>
      </c>
      <c r="O4036" s="370" cm="1">
        <f t="array" ref="O4036">+_xlfn.SWITCH(MONTH(C4036),1,1,2,1,3,1,4,2,5,2,6,3,7,3,8,3,9,3,10,2,11,2,12,1,2)</f>
        <v>1</v>
      </c>
      <c r="P4036" s="43"/>
    </row>
    <row r="4037" spans="1:16" ht="18" x14ac:dyDescent="0.35">
      <c r="A4037" s="43"/>
      <c r="C4037" s="393"/>
      <c r="E4037" s="394"/>
      <c r="F4037" s="394">
        <v>0</v>
      </c>
      <c r="G4037" s="394"/>
      <c r="H4037" s="8" t="s">
        <v>235</v>
      </c>
      <c r="I4037" s="368">
        <f t="shared" si="187"/>
        <v>0</v>
      </c>
      <c r="J4037" s="365">
        <f t="shared" si="189"/>
        <v>0</v>
      </c>
      <c r="K4037" s="369">
        <f t="shared" si="188"/>
        <v>6</v>
      </c>
      <c r="L4037" s="369">
        <f>+IF((C4037&gt;='Resultats - informe'!$E$16)*(C4037&lt;='Resultats - informe'!$G$16),1,0)</f>
        <v>1</v>
      </c>
      <c r="M4037" s="369" cm="1">
        <f t="array" ref="M4037">+_xlfn.IFS((C4037&gt;='Resultats - informe'!$D$26)*(C4037&lt;='Resultats - informe'!$E$26),0,(C4037&gt;='Resultats - informe'!$D$27)*(C4037&lt;='Resultats - informe'!$E$27),0,(C4037&gt;='Resultats - informe'!$D$28)*(C4037&lt;='Resultats - informe'!$E$28),0,(C4037&gt;='Resultats - informe'!$D$29)*(C4037&lt;='Resultats - informe'!$E$29),0,1,1)</f>
        <v>0</v>
      </c>
      <c r="N4037" s="366">
        <f>+VLOOKUP(D4037,'Resultats - informe'!$Y$18:$AG$42,'Introducció dades consum'!K4037+1,0)</f>
        <v>0</v>
      </c>
      <c r="O4037" s="370" cm="1">
        <f t="array" ref="O4037">+_xlfn.SWITCH(MONTH(C4037),1,1,2,1,3,1,4,2,5,2,6,3,7,3,8,3,9,3,10,2,11,2,12,1,2)</f>
        <v>1</v>
      </c>
      <c r="P4037" s="43"/>
    </row>
    <row r="4038" spans="1:16" ht="18" x14ac:dyDescent="0.35">
      <c r="A4038" s="43"/>
      <c r="C4038" s="393"/>
      <c r="E4038" s="394"/>
      <c r="F4038" s="394">
        <v>0</v>
      </c>
      <c r="G4038" s="394"/>
      <c r="H4038" s="8" t="s">
        <v>235</v>
      </c>
      <c r="I4038" s="368">
        <f t="shared" ref="I4038:I4101" si="190">+E4038+G4038</f>
        <v>0</v>
      </c>
      <c r="J4038" s="365">
        <f t="shared" si="189"/>
        <v>0</v>
      </c>
      <c r="K4038" s="369">
        <f t="shared" ref="K4038:K4101" si="191">+WEEKDAY(C4038,2)</f>
        <v>6</v>
      </c>
      <c r="L4038" s="369">
        <f>+IF((C4038&gt;='Resultats - informe'!$E$16)*(C4038&lt;='Resultats - informe'!$G$16),1,0)</f>
        <v>1</v>
      </c>
      <c r="M4038" s="369" cm="1">
        <f t="array" ref="M4038">+_xlfn.IFS((C4038&gt;='Resultats - informe'!$D$26)*(C4038&lt;='Resultats - informe'!$E$26),0,(C4038&gt;='Resultats - informe'!$D$27)*(C4038&lt;='Resultats - informe'!$E$27),0,(C4038&gt;='Resultats - informe'!$D$28)*(C4038&lt;='Resultats - informe'!$E$28),0,(C4038&gt;='Resultats - informe'!$D$29)*(C4038&lt;='Resultats - informe'!$E$29),0,1,1)</f>
        <v>0</v>
      </c>
      <c r="N4038" s="366">
        <f>+VLOOKUP(D4038,'Resultats - informe'!$Y$18:$AG$42,'Introducció dades consum'!K4038+1,0)</f>
        <v>0</v>
      </c>
      <c r="O4038" s="370" cm="1">
        <f t="array" ref="O4038">+_xlfn.SWITCH(MONTH(C4038),1,1,2,1,3,1,4,2,5,2,6,3,7,3,8,3,9,3,10,2,11,2,12,1,2)</f>
        <v>1</v>
      </c>
      <c r="P4038" s="43"/>
    </row>
    <row r="4039" spans="1:16" ht="18" x14ac:dyDescent="0.35">
      <c r="A4039" s="43"/>
      <c r="C4039" s="393"/>
      <c r="E4039" s="394"/>
      <c r="F4039" s="394">
        <v>0</v>
      </c>
      <c r="G4039" s="394"/>
      <c r="H4039" s="8" t="s">
        <v>235</v>
      </c>
      <c r="I4039" s="368">
        <f t="shared" si="190"/>
        <v>0</v>
      </c>
      <c r="J4039" s="365">
        <f t="shared" si="189"/>
        <v>0</v>
      </c>
      <c r="K4039" s="369">
        <f t="shared" si="191"/>
        <v>6</v>
      </c>
      <c r="L4039" s="369">
        <f>+IF((C4039&gt;='Resultats - informe'!$E$16)*(C4039&lt;='Resultats - informe'!$G$16),1,0)</f>
        <v>1</v>
      </c>
      <c r="M4039" s="369" cm="1">
        <f t="array" ref="M4039">+_xlfn.IFS((C4039&gt;='Resultats - informe'!$D$26)*(C4039&lt;='Resultats - informe'!$E$26),0,(C4039&gt;='Resultats - informe'!$D$27)*(C4039&lt;='Resultats - informe'!$E$27),0,(C4039&gt;='Resultats - informe'!$D$28)*(C4039&lt;='Resultats - informe'!$E$28),0,(C4039&gt;='Resultats - informe'!$D$29)*(C4039&lt;='Resultats - informe'!$E$29),0,1,1)</f>
        <v>0</v>
      </c>
      <c r="N4039" s="366">
        <f>+VLOOKUP(D4039,'Resultats - informe'!$Y$18:$AG$42,'Introducció dades consum'!K4039+1,0)</f>
        <v>0</v>
      </c>
      <c r="O4039" s="370" cm="1">
        <f t="array" ref="O4039">+_xlfn.SWITCH(MONTH(C4039),1,1,2,1,3,1,4,2,5,2,6,3,7,3,8,3,9,3,10,2,11,2,12,1,2)</f>
        <v>1</v>
      </c>
      <c r="P4039" s="43"/>
    </row>
    <row r="4040" spans="1:16" ht="18" x14ac:dyDescent="0.35">
      <c r="A4040" s="43"/>
      <c r="C4040" s="393"/>
      <c r="E4040" s="394"/>
      <c r="F4040" s="394">
        <v>0</v>
      </c>
      <c r="G4040" s="394"/>
      <c r="H4040" s="8" t="s">
        <v>235</v>
      </c>
      <c r="I4040" s="368">
        <f t="shared" si="190"/>
        <v>0</v>
      </c>
      <c r="J4040" s="365">
        <f t="shared" si="189"/>
        <v>0</v>
      </c>
      <c r="K4040" s="369">
        <f t="shared" si="191"/>
        <v>6</v>
      </c>
      <c r="L4040" s="369">
        <f>+IF((C4040&gt;='Resultats - informe'!$E$16)*(C4040&lt;='Resultats - informe'!$G$16),1,0)</f>
        <v>1</v>
      </c>
      <c r="M4040" s="369" cm="1">
        <f t="array" ref="M4040">+_xlfn.IFS((C4040&gt;='Resultats - informe'!$D$26)*(C4040&lt;='Resultats - informe'!$E$26),0,(C4040&gt;='Resultats - informe'!$D$27)*(C4040&lt;='Resultats - informe'!$E$27),0,(C4040&gt;='Resultats - informe'!$D$28)*(C4040&lt;='Resultats - informe'!$E$28),0,(C4040&gt;='Resultats - informe'!$D$29)*(C4040&lt;='Resultats - informe'!$E$29),0,1,1)</f>
        <v>0</v>
      </c>
      <c r="N4040" s="366">
        <f>+VLOOKUP(D4040,'Resultats - informe'!$Y$18:$AG$42,'Introducció dades consum'!K4040+1,0)</f>
        <v>0</v>
      </c>
      <c r="O4040" s="370" cm="1">
        <f t="array" ref="O4040">+_xlfn.SWITCH(MONTH(C4040),1,1,2,1,3,1,4,2,5,2,6,3,7,3,8,3,9,3,10,2,11,2,12,1,2)</f>
        <v>1</v>
      </c>
      <c r="P4040" s="43"/>
    </row>
    <row r="4041" spans="1:16" ht="18" x14ac:dyDescent="0.35">
      <c r="A4041" s="43"/>
      <c r="C4041" s="393"/>
      <c r="E4041" s="394"/>
      <c r="F4041" s="394">
        <v>0.2</v>
      </c>
      <c r="G4041" s="394"/>
      <c r="H4041" s="8" t="s">
        <v>235</v>
      </c>
      <c r="I4041" s="368">
        <f t="shared" si="190"/>
        <v>0</v>
      </c>
      <c r="J4041" s="365">
        <f t="shared" si="189"/>
        <v>0</v>
      </c>
      <c r="K4041" s="369">
        <f t="shared" si="191"/>
        <v>6</v>
      </c>
      <c r="L4041" s="369">
        <f>+IF((C4041&gt;='Resultats - informe'!$E$16)*(C4041&lt;='Resultats - informe'!$G$16),1,0)</f>
        <v>1</v>
      </c>
      <c r="M4041" s="369" cm="1">
        <f t="array" ref="M4041">+_xlfn.IFS((C4041&gt;='Resultats - informe'!$D$26)*(C4041&lt;='Resultats - informe'!$E$26),0,(C4041&gt;='Resultats - informe'!$D$27)*(C4041&lt;='Resultats - informe'!$E$27),0,(C4041&gt;='Resultats - informe'!$D$28)*(C4041&lt;='Resultats - informe'!$E$28),0,(C4041&gt;='Resultats - informe'!$D$29)*(C4041&lt;='Resultats - informe'!$E$29),0,1,1)</f>
        <v>0</v>
      </c>
      <c r="N4041" s="366">
        <f>+VLOOKUP(D4041,'Resultats - informe'!$Y$18:$AG$42,'Introducció dades consum'!K4041+1,0)</f>
        <v>0</v>
      </c>
      <c r="O4041" s="370" cm="1">
        <f t="array" ref="O4041">+_xlfn.SWITCH(MONTH(C4041),1,1,2,1,3,1,4,2,5,2,6,3,7,3,8,3,9,3,10,2,11,2,12,1,2)</f>
        <v>1</v>
      </c>
      <c r="P4041" s="43"/>
    </row>
    <row r="4042" spans="1:16" ht="18" x14ac:dyDescent="0.35">
      <c r="A4042" s="43"/>
      <c r="C4042" s="393"/>
      <c r="E4042" s="394"/>
      <c r="F4042" s="394">
        <v>0.79</v>
      </c>
      <c r="G4042" s="394"/>
      <c r="H4042" s="8" t="s">
        <v>235</v>
      </c>
      <c r="I4042" s="368">
        <f t="shared" si="190"/>
        <v>0</v>
      </c>
      <c r="J4042" s="365">
        <f t="shared" si="189"/>
        <v>0</v>
      </c>
      <c r="K4042" s="369">
        <f t="shared" si="191"/>
        <v>6</v>
      </c>
      <c r="L4042" s="369">
        <f>+IF((C4042&gt;='Resultats - informe'!$E$16)*(C4042&lt;='Resultats - informe'!$G$16),1,0)</f>
        <v>1</v>
      </c>
      <c r="M4042" s="369" cm="1">
        <f t="array" ref="M4042">+_xlfn.IFS((C4042&gt;='Resultats - informe'!$D$26)*(C4042&lt;='Resultats - informe'!$E$26),0,(C4042&gt;='Resultats - informe'!$D$27)*(C4042&lt;='Resultats - informe'!$E$27),0,(C4042&gt;='Resultats - informe'!$D$28)*(C4042&lt;='Resultats - informe'!$E$28),0,(C4042&gt;='Resultats - informe'!$D$29)*(C4042&lt;='Resultats - informe'!$E$29),0,1,1)</f>
        <v>0</v>
      </c>
      <c r="N4042" s="366">
        <f>+VLOOKUP(D4042,'Resultats - informe'!$Y$18:$AG$42,'Introducció dades consum'!K4042+1,0)</f>
        <v>0</v>
      </c>
      <c r="O4042" s="370" cm="1">
        <f t="array" ref="O4042">+_xlfn.SWITCH(MONTH(C4042),1,1,2,1,3,1,4,2,5,2,6,3,7,3,8,3,9,3,10,2,11,2,12,1,2)</f>
        <v>1</v>
      </c>
      <c r="P4042" s="43"/>
    </row>
    <row r="4043" spans="1:16" ht="18" x14ac:dyDescent="0.35">
      <c r="A4043" s="43"/>
      <c r="C4043" s="393"/>
      <c r="E4043" s="394"/>
      <c r="F4043" s="394">
        <v>1.3759999999999999</v>
      </c>
      <c r="G4043" s="394"/>
      <c r="H4043" s="8" t="s">
        <v>235</v>
      </c>
      <c r="I4043" s="368">
        <f t="shared" si="190"/>
        <v>0</v>
      </c>
      <c r="J4043" s="365">
        <f t="shared" si="189"/>
        <v>0</v>
      </c>
      <c r="K4043" s="369">
        <f t="shared" si="191"/>
        <v>6</v>
      </c>
      <c r="L4043" s="369">
        <f>+IF((C4043&gt;='Resultats - informe'!$E$16)*(C4043&lt;='Resultats - informe'!$G$16),1,0)</f>
        <v>1</v>
      </c>
      <c r="M4043" s="369" cm="1">
        <f t="array" ref="M4043">+_xlfn.IFS((C4043&gt;='Resultats - informe'!$D$26)*(C4043&lt;='Resultats - informe'!$E$26),0,(C4043&gt;='Resultats - informe'!$D$27)*(C4043&lt;='Resultats - informe'!$E$27),0,(C4043&gt;='Resultats - informe'!$D$28)*(C4043&lt;='Resultats - informe'!$E$28),0,(C4043&gt;='Resultats - informe'!$D$29)*(C4043&lt;='Resultats - informe'!$E$29),0,1,1)</f>
        <v>0</v>
      </c>
      <c r="N4043" s="366">
        <f>+VLOOKUP(D4043,'Resultats - informe'!$Y$18:$AG$42,'Introducció dades consum'!K4043+1,0)</f>
        <v>0</v>
      </c>
      <c r="O4043" s="370" cm="1">
        <f t="array" ref="O4043">+_xlfn.SWITCH(MONTH(C4043),1,1,2,1,3,1,4,2,5,2,6,3,7,3,8,3,9,3,10,2,11,2,12,1,2)</f>
        <v>1</v>
      </c>
      <c r="P4043" s="43"/>
    </row>
    <row r="4044" spans="1:16" ht="18" x14ac:dyDescent="0.35">
      <c r="A4044" s="43"/>
      <c r="C4044" s="393"/>
      <c r="E4044" s="394"/>
      <c r="F4044" s="394">
        <v>2.923</v>
      </c>
      <c r="G4044" s="394"/>
      <c r="H4044" s="8" t="s">
        <v>235</v>
      </c>
      <c r="I4044" s="368">
        <f t="shared" si="190"/>
        <v>0</v>
      </c>
      <c r="J4044" s="365">
        <f t="shared" si="189"/>
        <v>0</v>
      </c>
      <c r="K4044" s="369">
        <f t="shared" si="191"/>
        <v>6</v>
      </c>
      <c r="L4044" s="369">
        <f>+IF((C4044&gt;='Resultats - informe'!$E$16)*(C4044&lt;='Resultats - informe'!$G$16),1,0)</f>
        <v>1</v>
      </c>
      <c r="M4044" s="369" cm="1">
        <f t="array" ref="M4044">+_xlfn.IFS((C4044&gt;='Resultats - informe'!$D$26)*(C4044&lt;='Resultats - informe'!$E$26),0,(C4044&gt;='Resultats - informe'!$D$27)*(C4044&lt;='Resultats - informe'!$E$27),0,(C4044&gt;='Resultats - informe'!$D$28)*(C4044&lt;='Resultats - informe'!$E$28),0,(C4044&gt;='Resultats - informe'!$D$29)*(C4044&lt;='Resultats - informe'!$E$29),0,1,1)</f>
        <v>0</v>
      </c>
      <c r="N4044" s="366">
        <f>+VLOOKUP(D4044,'Resultats - informe'!$Y$18:$AG$42,'Introducció dades consum'!K4044+1,0)</f>
        <v>0</v>
      </c>
      <c r="O4044" s="370" cm="1">
        <f t="array" ref="O4044">+_xlfn.SWITCH(MONTH(C4044),1,1,2,1,3,1,4,2,5,2,6,3,7,3,8,3,9,3,10,2,11,2,12,1,2)</f>
        <v>1</v>
      </c>
      <c r="P4044" s="43"/>
    </row>
    <row r="4045" spans="1:16" ht="18" x14ac:dyDescent="0.35">
      <c r="A4045" s="43"/>
      <c r="C4045" s="393"/>
      <c r="E4045" s="394"/>
      <c r="F4045" s="394">
        <v>1.2969999999999999</v>
      </c>
      <c r="G4045" s="394"/>
      <c r="H4045" s="8" t="s">
        <v>61</v>
      </c>
      <c r="I4045" s="368">
        <f t="shared" si="190"/>
        <v>0</v>
      </c>
      <c r="J4045" s="365">
        <f t="shared" si="189"/>
        <v>0</v>
      </c>
      <c r="K4045" s="369">
        <f t="shared" si="191"/>
        <v>6</v>
      </c>
      <c r="L4045" s="369">
        <f>+IF((C4045&gt;='Resultats - informe'!$E$16)*(C4045&lt;='Resultats - informe'!$G$16),1,0)</f>
        <v>1</v>
      </c>
      <c r="M4045" s="369" cm="1">
        <f t="array" ref="M4045">+_xlfn.IFS((C4045&gt;='Resultats - informe'!$D$26)*(C4045&lt;='Resultats - informe'!$E$26),0,(C4045&gt;='Resultats - informe'!$D$27)*(C4045&lt;='Resultats - informe'!$E$27),0,(C4045&gt;='Resultats - informe'!$D$28)*(C4045&lt;='Resultats - informe'!$E$28),0,(C4045&gt;='Resultats - informe'!$D$29)*(C4045&lt;='Resultats - informe'!$E$29),0,1,1)</f>
        <v>0</v>
      </c>
      <c r="N4045" s="366">
        <f>+VLOOKUP(D4045,'Resultats - informe'!$Y$18:$AG$42,'Introducció dades consum'!K4045+1,0)</f>
        <v>0</v>
      </c>
      <c r="O4045" s="370" cm="1">
        <f t="array" ref="O4045">+_xlfn.SWITCH(MONTH(C4045),1,1,2,1,3,1,4,2,5,2,6,3,7,3,8,3,9,3,10,2,11,2,12,1,2)</f>
        <v>1</v>
      </c>
      <c r="P4045" s="43"/>
    </row>
    <row r="4046" spans="1:16" ht="18" x14ac:dyDescent="0.35">
      <c r="A4046" s="43"/>
      <c r="C4046" s="393"/>
      <c r="E4046" s="394"/>
      <c r="F4046" s="394">
        <v>3.2160000000000002</v>
      </c>
      <c r="G4046" s="394"/>
      <c r="H4046" s="8" t="s">
        <v>61</v>
      </c>
      <c r="I4046" s="368">
        <f t="shared" si="190"/>
        <v>0</v>
      </c>
      <c r="J4046" s="365">
        <f t="shared" si="189"/>
        <v>0</v>
      </c>
      <c r="K4046" s="369">
        <f t="shared" si="191"/>
        <v>6</v>
      </c>
      <c r="L4046" s="369">
        <f>+IF((C4046&gt;='Resultats - informe'!$E$16)*(C4046&lt;='Resultats - informe'!$G$16),1,0)</f>
        <v>1</v>
      </c>
      <c r="M4046" s="369" cm="1">
        <f t="array" ref="M4046">+_xlfn.IFS((C4046&gt;='Resultats - informe'!$D$26)*(C4046&lt;='Resultats - informe'!$E$26),0,(C4046&gt;='Resultats - informe'!$D$27)*(C4046&lt;='Resultats - informe'!$E$27),0,(C4046&gt;='Resultats - informe'!$D$28)*(C4046&lt;='Resultats - informe'!$E$28),0,(C4046&gt;='Resultats - informe'!$D$29)*(C4046&lt;='Resultats - informe'!$E$29),0,1,1)</f>
        <v>0</v>
      </c>
      <c r="N4046" s="366">
        <f>+VLOOKUP(D4046,'Resultats - informe'!$Y$18:$AG$42,'Introducció dades consum'!K4046+1,0)</f>
        <v>0</v>
      </c>
      <c r="O4046" s="370" cm="1">
        <f t="array" ref="O4046">+_xlfn.SWITCH(MONTH(C4046),1,1,2,1,3,1,4,2,5,2,6,3,7,3,8,3,9,3,10,2,11,2,12,1,2)</f>
        <v>1</v>
      </c>
      <c r="P4046" s="43"/>
    </row>
    <row r="4047" spans="1:16" ht="18" x14ac:dyDescent="0.35">
      <c r="A4047" s="43"/>
      <c r="C4047" s="393"/>
      <c r="E4047" s="394"/>
      <c r="F4047" s="394">
        <v>4.6310000000000002</v>
      </c>
      <c r="G4047" s="394"/>
      <c r="H4047" s="8" t="s">
        <v>61</v>
      </c>
      <c r="I4047" s="368">
        <f t="shared" si="190"/>
        <v>0</v>
      </c>
      <c r="J4047" s="365">
        <f t="shared" si="189"/>
        <v>0</v>
      </c>
      <c r="K4047" s="369">
        <f t="shared" si="191"/>
        <v>6</v>
      </c>
      <c r="L4047" s="369">
        <f>+IF((C4047&gt;='Resultats - informe'!$E$16)*(C4047&lt;='Resultats - informe'!$G$16),1,0)</f>
        <v>1</v>
      </c>
      <c r="M4047" s="369" cm="1">
        <f t="array" ref="M4047">+_xlfn.IFS((C4047&gt;='Resultats - informe'!$D$26)*(C4047&lt;='Resultats - informe'!$E$26),0,(C4047&gt;='Resultats - informe'!$D$27)*(C4047&lt;='Resultats - informe'!$E$27),0,(C4047&gt;='Resultats - informe'!$D$28)*(C4047&lt;='Resultats - informe'!$E$28),0,(C4047&gt;='Resultats - informe'!$D$29)*(C4047&lt;='Resultats - informe'!$E$29),0,1,1)</f>
        <v>0</v>
      </c>
      <c r="N4047" s="366">
        <f>+VLOOKUP(D4047,'Resultats - informe'!$Y$18:$AG$42,'Introducció dades consum'!K4047+1,0)</f>
        <v>0</v>
      </c>
      <c r="O4047" s="370" cm="1">
        <f t="array" ref="O4047">+_xlfn.SWITCH(MONTH(C4047),1,1,2,1,3,1,4,2,5,2,6,3,7,3,8,3,9,3,10,2,11,2,12,1,2)</f>
        <v>1</v>
      </c>
      <c r="P4047" s="43"/>
    </row>
    <row r="4048" spans="1:16" ht="18" x14ac:dyDescent="0.35">
      <c r="A4048" s="43"/>
      <c r="C4048" s="393"/>
      <c r="E4048" s="394"/>
      <c r="F4048" s="394">
        <v>4.49</v>
      </c>
      <c r="G4048" s="394"/>
      <c r="H4048" s="8" t="s">
        <v>61</v>
      </c>
      <c r="I4048" s="368">
        <f t="shared" si="190"/>
        <v>0</v>
      </c>
      <c r="J4048" s="365">
        <f t="shared" si="189"/>
        <v>0</v>
      </c>
      <c r="K4048" s="369">
        <f t="shared" si="191"/>
        <v>6</v>
      </c>
      <c r="L4048" s="369">
        <f>+IF((C4048&gt;='Resultats - informe'!$E$16)*(C4048&lt;='Resultats - informe'!$G$16),1,0)</f>
        <v>1</v>
      </c>
      <c r="M4048" s="369" cm="1">
        <f t="array" ref="M4048">+_xlfn.IFS((C4048&gt;='Resultats - informe'!$D$26)*(C4048&lt;='Resultats - informe'!$E$26),0,(C4048&gt;='Resultats - informe'!$D$27)*(C4048&lt;='Resultats - informe'!$E$27),0,(C4048&gt;='Resultats - informe'!$D$28)*(C4048&lt;='Resultats - informe'!$E$28),0,(C4048&gt;='Resultats - informe'!$D$29)*(C4048&lt;='Resultats - informe'!$E$29),0,1,1)</f>
        <v>0</v>
      </c>
      <c r="N4048" s="366">
        <f>+VLOOKUP(D4048,'Resultats - informe'!$Y$18:$AG$42,'Introducció dades consum'!K4048+1,0)</f>
        <v>0</v>
      </c>
      <c r="O4048" s="370" cm="1">
        <f t="array" ref="O4048">+_xlfn.SWITCH(MONTH(C4048),1,1,2,1,3,1,4,2,5,2,6,3,7,3,8,3,9,3,10,2,11,2,12,1,2)</f>
        <v>1</v>
      </c>
      <c r="P4048" s="43"/>
    </row>
    <row r="4049" spans="1:16" ht="18" x14ac:dyDescent="0.35">
      <c r="A4049" s="43"/>
      <c r="C4049" s="393"/>
      <c r="E4049" s="394"/>
      <c r="F4049" s="394">
        <v>5.6689999999999996</v>
      </c>
      <c r="G4049" s="394"/>
      <c r="H4049" s="8" t="s">
        <v>61</v>
      </c>
      <c r="I4049" s="368">
        <f t="shared" si="190"/>
        <v>0</v>
      </c>
      <c r="J4049" s="365">
        <f t="shared" si="189"/>
        <v>0</v>
      </c>
      <c r="K4049" s="369">
        <f t="shared" si="191"/>
        <v>6</v>
      </c>
      <c r="L4049" s="369">
        <f>+IF((C4049&gt;='Resultats - informe'!$E$16)*(C4049&lt;='Resultats - informe'!$G$16),1,0)</f>
        <v>1</v>
      </c>
      <c r="M4049" s="369" cm="1">
        <f t="array" ref="M4049">+_xlfn.IFS((C4049&gt;='Resultats - informe'!$D$26)*(C4049&lt;='Resultats - informe'!$E$26),0,(C4049&gt;='Resultats - informe'!$D$27)*(C4049&lt;='Resultats - informe'!$E$27),0,(C4049&gt;='Resultats - informe'!$D$28)*(C4049&lt;='Resultats - informe'!$E$28),0,(C4049&gt;='Resultats - informe'!$D$29)*(C4049&lt;='Resultats - informe'!$E$29),0,1,1)</f>
        <v>0</v>
      </c>
      <c r="N4049" s="366">
        <f>+VLOOKUP(D4049,'Resultats - informe'!$Y$18:$AG$42,'Introducció dades consum'!K4049+1,0)</f>
        <v>0</v>
      </c>
      <c r="O4049" s="370" cm="1">
        <f t="array" ref="O4049">+_xlfn.SWITCH(MONTH(C4049),1,1,2,1,3,1,4,2,5,2,6,3,7,3,8,3,9,3,10,2,11,2,12,1,2)</f>
        <v>1</v>
      </c>
      <c r="P4049" s="43"/>
    </row>
    <row r="4050" spans="1:16" ht="18" x14ac:dyDescent="0.35">
      <c r="A4050" s="43"/>
      <c r="C4050" s="393"/>
      <c r="E4050" s="394"/>
      <c r="F4050" s="394">
        <v>5.5810000000000004</v>
      </c>
      <c r="G4050" s="394"/>
      <c r="H4050" s="8" t="s">
        <v>61</v>
      </c>
      <c r="I4050" s="368">
        <f t="shared" si="190"/>
        <v>0</v>
      </c>
      <c r="J4050" s="365">
        <f t="shared" si="189"/>
        <v>0</v>
      </c>
      <c r="K4050" s="369">
        <f t="shared" si="191"/>
        <v>6</v>
      </c>
      <c r="L4050" s="369">
        <f>+IF((C4050&gt;='Resultats - informe'!$E$16)*(C4050&lt;='Resultats - informe'!$G$16),1,0)</f>
        <v>1</v>
      </c>
      <c r="M4050" s="369" cm="1">
        <f t="array" ref="M4050">+_xlfn.IFS((C4050&gt;='Resultats - informe'!$D$26)*(C4050&lt;='Resultats - informe'!$E$26),0,(C4050&gt;='Resultats - informe'!$D$27)*(C4050&lt;='Resultats - informe'!$E$27),0,(C4050&gt;='Resultats - informe'!$D$28)*(C4050&lt;='Resultats - informe'!$E$28),0,(C4050&gt;='Resultats - informe'!$D$29)*(C4050&lt;='Resultats - informe'!$E$29),0,1,1)</f>
        <v>0</v>
      </c>
      <c r="N4050" s="366">
        <f>+VLOOKUP(D4050,'Resultats - informe'!$Y$18:$AG$42,'Introducció dades consum'!K4050+1,0)</f>
        <v>0</v>
      </c>
      <c r="O4050" s="370" cm="1">
        <f t="array" ref="O4050">+_xlfn.SWITCH(MONTH(C4050),1,1,2,1,3,1,4,2,5,2,6,3,7,3,8,3,9,3,10,2,11,2,12,1,2)</f>
        <v>1</v>
      </c>
      <c r="P4050" s="43"/>
    </row>
    <row r="4051" spans="1:16" ht="18" x14ac:dyDescent="0.35">
      <c r="A4051" s="43"/>
      <c r="C4051" s="393"/>
      <c r="E4051" s="394"/>
      <c r="F4051" s="394">
        <v>6.0529999999999999</v>
      </c>
      <c r="G4051" s="394"/>
      <c r="H4051" s="8" t="s">
        <v>61</v>
      </c>
      <c r="I4051" s="368">
        <f t="shared" si="190"/>
        <v>0</v>
      </c>
      <c r="J4051" s="365">
        <f t="shared" si="189"/>
        <v>0</v>
      </c>
      <c r="K4051" s="369">
        <f t="shared" si="191"/>
        <v>6</v>
      </c>
      <c r="L4051" s="369">
        <f>+IF((C4051&gt;='Resultats - informe'!$E$16)*(C4051&lt;='Resultats - informe'!$G$16),1,0)</f>
        <v>1</v>
      </c>
      <c r="M4051" s="369" cm="1">
        <f t="array" ref="M4051">+_xlfn.IFS((C4051&gt;='Resultats - informe'!$D$26)*(C4051&lt;='Resultats - informe'!$E$26),0,(C4051&gt;='Resultats - informe'!$D$27)*(C4051&lt;='Resultats - informe'!$E$27),0,(C4051&gt;='Resultats - informe'!$D$28)*(C4051&lt;='Resultats - informe'!$E$28),0,(C4051&gt;='Resultats - informe'!$D$29)*(C4051&lt;='Resultats - informe'!$E$29),0,1,1)</f>
        <v>0</v>
      </c>
      <c r="N4051" s="366">
        <f>+VLOOKUP(D4051,'Resultats - informe'!$Y$18:$AG$42,'Introducció dades consum'!K4051+1,0)</f>
        <v>0</v>
      </c>
      <c r="O4051" s="370" cm="1">
        <f t="array" ref="O4051">+_xlfn.SWITCH(MONTH(C4051),1,1,2,1,3,1,4,2,5,2,6,3,7,3,8,3,9,3,10,2,11,2,12,1,2)</f>
        <v>1</v>
      </c>
      <c r="P4051" s="43"/>
    </row>
    <row r="4052" spans="1:16" ht="18" x14ac:dyDescent="0.35">
      <c r="A4052" s="43"/>
      <c r="C4052" s="393"/>
      <c r="E4052" s="394"/>
      <c r="F4052" s="394">
        <v>4.71</v>
      </c>
      <c r="G4052" s="394"/>
      <c r="H4052" s="8" t="s">
        <v>61</v>
      </c>
      <c r="I4052" s="368">
        <f t="shared" si="190"/>
        <v>0</v>
      </c>
      <c r="J4052" s="365">
        <f t="shared" si="189"/>
        <v>0</v>
      </c>
      <c r="K4052" s="369">
        <f t="shared" si="191"/>
        <v>6</v>
      </c>
      <c r="L4052" s="369">
        <f>+IF((C4052&gt;='Resultats - informe'!$E$16)*(C4052&lt;='Resultats - informe'!$G$16),1,0)</f>
        <v>1</v>
      </c>
      <c r="M4052" s="369" cm="1">
        <f t="array" ref="M4052">+_xlfn.IFS((C4052&gt;='Resultats - informe'!$D$26)*(C4052&lt;='Resultats - informe'!$E$26),0,(C4052&gt;='Resultats - informe'!$D$27)*(C4052&lt;='Resultats - informe'!$E$27),0,(C4052&gt;='Resultats - informe'!$D$28)*(C4052&lt;='Resultats - informe'!$E$28),0,(C4052&gt;='Resultats - informe'!$D$29)*(C4052&lt;='Resultats - informe'!$E$29),0,1,1)</f>
        <v>0</v>
      </c>
      <c r="N4052" s="366">
        <f>+VLOOKUP(D4052,'Resultats - informe'!$Y$18:$AG$42,'Introducció dades consum'!K4052+1,0)</f>
        <v>0</v>
      </c>
      <c r="O4052" s="370" cm="1">
        <f t="array" ref="O4052">+_xlfn.SWITCH(MONTH(C4052),1,1,2,1,3,1,4,2,5,2,6,3,7,3,8,3,9,3,10,2,11,2,12,1,2)</f>
        <v>1</v>
      </c>
      <c r="P4052" s="43"/>
    </row>
    <row r="4053" spans="1:16" ht="18" x14ac:dyDescent="0.35">
      <c r="A4053" s="43"/>
      <c r="C4053" s="393"/>
      <c r="E4053" s="394"/>
      <c r="F4053" s="394">
        <v>2.653</v>
      </c>
      <c r="G4053" s="394"/>
      <c r="H4053" s="8" t="s">
        <v>61</v>
      </c>
      <c r="I4053" s="368">
        <f t="shared" si="190"/>
        <v>0</v>
      </c>
      <c r="J4053" s="365">
        <f t="shared" si="189"/>
        <v>0</v>
      </c>
      <c r="K4053" s="369">
        <f t="shared" si="191"/>
        <v>6</v>
      </c>
      <c r="L4053" s="369">
        <f>+IF((C4053&gt;='Resultats - informe'!$E$16)*(C4053&lt;='Resultats - informe'!$G$16),1,0)</f>
        <v>1</v>
      </c>
      <c r="M4053" s="369" cm="1">
        <f t="array" ref="M4053">+_xlfn.IFS((C4053&gt;='Resultats - informe'!$D$26)*(C4053&lt;='Resultats - informe'!$E$26),0,(C4053&gt;='Resultats - informe'!$D$27)*(C4053&lt;='Resultats - informe'!$E$27),0,(C4053&gt;='Resultats - informe'!$D$28)*(C4053&lt;='Resultats - informe'!$E$28),0,(C4053&gt;='Resultats - informe'!$D$29)*(C4053&lt;='Resultats - informe'!$E$29),0,1,1)</f>
        <v>0</v>
      </c>
      <c r="N4053" s="366">
        <f>+VLOOKUP(D4053,'Resultats - informe'!$Y$18:$AG$42,'Introducció dades consum'!K4053+1,0)</f>
        <v>0</v>
      </c>
      <c r="O4053" s="370" cm="1">
        <f t="array" ref="O4053">+_xlfn.SWITCH(MONTH(C4053),1,1,2,1,3,1,4,2,5,2,6,3,7,3,8,3,9,3,10,2,11,2,12,1,2)</f>
        <v>1</v>
      </c>
      <c r="P4053" s="43"/>
    </row>
    <row r="4054" spans="1:16" ht="18" x14ac:dyDescent="0.35">
      <c r="A4054" s="43"/>
      <c r="C4054" s="393"/>
      <c r="E4054" s="394"/>
      <c r="F4054" s="394">
        <v>2.069</v>
      </c>
      <c r="G4054" s="394"/>
      <c r="H4054" s="8" t="s">
        <v>61</v>
      </c>
      <c r="I4054" s="368">
        <f t="shared" si="190"/>
        <v>0</v>
      </c>
      <c r="J4054" s="365">
        <f t="shared" si="189"/>
        <v>0</v>
      </c>
      <c r="K4054" s="369">
        <f t="shared" si="191"/>
        <v>6</v>
      </c>
      <c r="L4054" s="369">
        <f>+IF((C4054&gt;='Resultats - informe'!$E$16)*(C4054&lt;='Resultats - informe'!$G$16),1,0)</f>
        <v>1</v>
      </c>
      <c r="M4054" s="369" cm="1">
        <f t="array" ref="M4054">+_xlfn.IFS((C4054&gt;='Resultats - informe'!$D$26)*(C4054&lt;='Resultats - informe'!$E$26),0,(C4054&gt;='Resultats - informe'!$D$27)*(C4054&lt;='Resultats - informe'!$E$27),0,(C4054&gt;='Resultats - informe'!$D$28)*(C4054&lt;='Resultats - informe'!$E$28),0,(C4054&gt;='Resultats - informe'!$D$29)*(C4054&lt;='Resultats - informe'!$E$29),0,1,1)</f>
        <v>0</v>
      </c>
      <c r="N4054" s="366">
        <f>+VLOOKUP(D4054,'Resultats - informe'!$Y$18:$AG$42,'Introducció dades consum'!K4054+1,0)</f>
        <v>0</v>
      </c>
      <c r="O4054" s="370" cm="1">
        <f t="array" ref="O4054">+_xlfn.SWITCH(MONTH(C4054),1,1,2,1,3,1,4,2,5,2,6,3,7,3,8,3,9,3,10,2,11,2,12,1,2)</f>
        <v>1</v>
      </c>
      <c r="P4054" s="43"/>
    </row>
    <row r="4055" spans="1:16" ht="18" x14ac:dyDescent="0.35">
      <c r="A4055" s="43"/>
      <c r="C4055" s="393"/>
      <c r="E4055" s="394"/>
      <c r="F4055" s="394">
        <v>0.77100000000000002</v>
      </c>
      <c r="G4055" s="394"/>
      <c r="H4055" s="8" t="s">
        <v>61</v>
      </c>
      <c r="I4055" s="368">
        <f t="shared" si="190"/>
        <v>0</v>
      </c>
      <c r="J4055" s="365">
        <f t="shared" si="189"/>
        <v>0</v>
      </c>
      <c r="K4055" s="369">
        <f t="shared" si="191"/>
        <v>6</v>
      </c>
      <c r="L4055" s="369">
        <f>+IF((C4055&gt;='Resultats - informe'!$E$16)*(C4055&lt;='Resultats - informe'!$G$16),1,0)</f>
        <v>1</v>
      </c>
      <c r="M4055" s="369" cm="1">
        <f t="array" ref="M4055">+_xlfn.IFS((C4055&gt;='Resultats - informe'!$D$26)*(C4055&lt;='Resultats - informe'!$E$26),0,(C4055&gt;='Resultats - informe'!$D$27)*(C4055&lt;='Resultats - informe'!$E$27),0,(C4055&gt;='Resultats - informe'!$D$28)*(C4055&lt;='Resultats - informe'!$E$28),0,(C4055&gt;='Resultats - informe'!$D$29)*(C4055&lt;='Resultats - informe'!$E$29),0,1,1)</f>
        <v>0</v>
      </c>
      <c r="N4055" s="366">
        <f>+VLOOKUP(D4055,'Resultats - informe'!$Y$18:$AG$42,'Introducció dades consum'!K4055+1,0)</f>
        <v>0</v>
      </c>
      <c r="O4055" s="370" cm="1">
        <f t="array" ref="O4055">+_xlfn.SWITCH(MONTH(C4055),1,1,2,1,3,1,4,2,5,2,6,3,7,3,8,3,9,3,10,2,11,2,12,1,2)</f>
        <v>1</v>
      </c>
      <c r="P4055" s="43"/>
    </row>
    <row r="4056" spans="1:16" ht="18" x14ac:dyDescent="0.35">
      <c r="A4056" s="43"/>
      <c r="C4056" s="393"/>
      <c r="E4056" s="394"/>
      <c r="F4056" s="394">
        <v>0</v>
      </c>
      <c r="G4056" s="394"/>
      <c r="H4056" s="8" t="s">
        <v>235</v>
      </c>
      <c r="I4056" s="368">
        <f t="shared" si="190"/>
        <v>0</v>
      </c>
      <c r="J4056" s="365">
        <f t="shared" si="189"/>
        <v>0</v>
      </c>
      <c r="K4056" s="369">
        <f t="shared" si="191"/>
        <v>6</v>
      </c>
      <c r="L4056" s="369">
        <f>+IF((C4056&gt;='Resultats - informe'!$E$16)*(C4056&lt;='Resultats - informe'!$G$16),1,0)</f>
        <v>1</v>
      </c>
      <c r="M4056" s="369" cm="1">
        <f t="array" ref="M4056">+_xlfn.IFS((C4056&gt;='Resultats - informe'!$D$26)*(C4056&lt;='Resultats - informe'!$E$26),0,(C4056&gt;='Resultats - informe'!$D$27)*(C4056&lt;='Resultats - informe'!$E$27),0,(C4056&gt;='Resultats - informe'!$D$28)*(C4056&lt;='Resultats - informe'!$E$28),0,(C4056&gt;='Resultats - informe'!$D$29)*(C4056&lt;='Resultats - informe'!$E$29),0,1,1)</f>
        <v>0</v>
      </c>
      <c r="N4056" s="366">
        <f>+VLOOKUP(D4056,'Resultats - informe'!$Y$18:$AG$42,'Introducció dades consum'!K4056+1,0)</f>
        <v>0</v>
      </c>
      <c r="O4056" s="370" cm="1">
        <f t="array" ref="O4056">+_xlfn.SWITCH(MONTH(C4056),1,1,2,1,3,1,4,2,5,2,6,3,7,3,8,3,9,3,10,2,11,2,12,1,2)</f>
        <v>1</v>
      </c>
      <c r="P4056" s="43"/>
    </row>
    <row r="4057" spans="1:16" ht="18" x14ac:dyDescent="0.35">
      <c r="A4057" s="43"/>
      <c r="C4057" s="393"/>
      <c r="E4057" s="394"/>
      <c r="F4057" s="394">
        <v>0</v>
      </c>
      <c r="G4057" s="394"/>
      <c r="H4057" s="8" t="s">
        <v>235</v>
      </c>
      <c r="I4057" s="368">
        <f t="shared" si="190"/>
        <v>0</v>
      </c>
      <c r="J4057" s="365">
        <f t="shared" si="189"/>
        <v>0</v>
      </c>
      <c r="K4057" s="369">
        <f t="shared" si="191"/>
        <v>6</v>
      </c>
      <c r="L4057" s="369">
        <f>+IF((C4057&gt;='Resultats - informe'!$E$16)*(C4057&lt;='Resultats - informe'!$G$16),1,0)</f>
        <v>1</v>
      </c>
      <c r="M4057" s="369" cm="1">
        <f t="array" ref="M4057">+_xlfn.IFS((C4057&gt;='Resultats - informe'!$D$26)*(C4057&lt;='Resultats - informe'!$E$26),0,(C4057&gt;='Resultats - informe'!$D$27)*(C4057&lt;='Resultats - informe'!$E$27),0,(C4057&gt;='Resultats - informe'!$D$28)*(C4057&lt;='Resultats - informe'!$E$28),0,(C4057&gt;='Resultats - informe'!$D$29)*(C4057&lt;='Resultats - informe'!$E$29),0,1,1)</f>
        <v>0</v>
      </c>
      <c r="N4057" s="366">
        <f>+VLOOKUP(D4057,'Resultats - informe'!$Y$18:$AG$42,'Introducció dades consum'!K4057+1,0)</f>
        <v>0</v>
      </c>
      <c r="O4057" s="370" cm="1">
        <f t="array" ref="O4057">+_xlfn.SWITCH(MONTH(C4057),1,1,2,1,3,1,4,2,5,2,6,3,7,3,8,3,9,3,10,2,11,2,12,1,2)</f>
        <v>1</v>
      </c>
      <c r="P4057" s="43"/>
    </row>
    <row r="4058" spans="1:16" ht="18" x14ac:dyDescent="0.35">
      <c r="A4058" s="43"/>
      <c r="C4058" s="393"/>
      <c r="E4058" s="394"/>
      <c r="F4058" s="394">
        <v>0</v>
      </c>
      <c r="G4058" s="394"/>
      <c r="H4058" s="8" t="s">
        <v>235</v>
      </c>
      <c r="I4058" s="368">
        <f t="shared" si="190"/>
        <v>0</v>
      </c>
      <c r="J4058" s="365">
        <f t="shared" si="189"/>
        <v>0</v>
      </c>
      <c r="K4058" s="369">
        <f t="shared" si="191"/>
        <v>6</v>
      </c>
      <c r="L4058" s="369">
        <f>+IF((C4058&gt;='Resultats - informe'!$E$16)*(C4058&lt;='Resultats - informe'!$G$16),1,0)</f>
        <v>1</v>
      </c>
      <c r="M4058" s="369" cm="1">
        <f t="array" ref="M4058">+_xlfn.IFS((C4058&gt;='Resultats - informe'!$D$26)*(C4058&lt;='Resultats - informe'!$E$26),0,(C4058&gt;='Resultats - informe'!$D$27)*(C4058&lt;='Resultats - informe'!$E$27),0,(C4058&gt;='Resultats - informe'!$D$28)*(C4058&lt;='Resultats - informe'!$E$28),0,(C4058&gt;='Resultats - informe'!$D$29)*(C4058&lt;='Resultats - informe'!$E$29),0,1,1)</f>
        <v>0</v>
      </c>
      <c r="N4058" s="366">
        <f>+VLOOKUP(D4058,'Resultats - informe'!$Y$18:$AG$42,'Introducció dades consum'!K4058+1,0)</f>
        <v>0</v>
      </c>
      <c r="O4058" s="370" cm="1">
        <f t="array" ref="O4058">+_xlfn.SWITCH(MONTH(C4058),1,1,2,1,3,1,4,2,5,2,6,3,7,3,8,3,9,3,10,2,11,2,12,1,2)</f>
        <v>1</v>
      </c>
      <c r="P4058" s="43"/>
    </row>
    <row r="4059" spans="1:16" ht="18" x14ac:dyDescent="0.35">
      <c r="A4059" s="43"/>
      <c r="C4059" s="393"/>
      <c r="E4059" s="394"/>
      <c r="F4059" s="394">
        <v>0</v>
      </c>
      <c r="G4059" s="394"/>
      <c r="H4059" s="8" t="s">
        <v>61</v>
      </c>
      <c r="I4059" s="368">
        <f t="shared" si="190"/>
        <v>0</v>
      </c>
      <c r="J4059" s="365">
        <f t="shared" si="189"/>
        <v>0</v>
      </c>
      <c r="K4059" s="369">
        <f t="shared" si="191"/>
        <v>6</v>
      </c>
      <c r="L4059" s="369">
        <f>+IF((C4059&gt;='Resultats - informe'!$E$16)*(C4059&lt;='Resultats - informe'!$G$16),1,0)</f>
        <v>1</v>
      </c>
      <c r="M4059" s="369" cm="1">
        <f t="array" ref="M4059">+_xlfn.IFS((C4059&gt;='Resultats - informe'!$D$26)*(C4059&lt;='Resultats - informe'!$E$26),0,(C4059&gt;='Resultats - informe'!$D$27)*(C4059&lt;='Resultats - informe'!$E$27),0,(C4059&gt;='Resultats - informe'!$D$28)*(C4059&lt;='Resultats - informe'!$E$28),0,(C4059&gt;='Resultats - informe'!$D$29)*(C4059&lt;='Resultats - informe'!$E$29),0,1,1)</f>
        <v>0</v>
      </c>
      <c r="N4059" s="366">
        <f>+VLOOKUP(D4059,'Resultats - informe'!$Y$18:$AG$42,'Introducció dades consum'!K4059+1,0)</f>
        <v>0</v>
      </c>
      <c r="O4059" s="370" cm="1">
        <f t="array" ref="O4059">+_xlfn.SWITCH(MONTH(C4059),1,1,2,1,3,1,4,2,5,2,6,3,7,3,8,3,9,3,10,2,11,2,12,1,2)</f>
        <v>1</v>
      </c>
      <c r="P4059" s="43"/>
    </row>
    <row r="4060" spans="1:16" ht="18" x14ac:dyDescent="0.35">
      <c r="A4060" s="43"/>
      <c r="C4060" s="393"/>
      <c r="E4060" s="394"/>
      <c r="F4060" s="394">
        <v>0</v>
      </c>
      <c r="G4060" s="394"/>
      <c r="H4060" s="8" t="s">
        <v>61</v>
      </c>
      <c r="I4060" s="368">
        <f t="shared" si="190"/>
        <v>0</v>
      </c>
      <c r="J4060" s="365">
        <f t="shared" si="189"/>
        <v>0</v>
      </c>
      <c r="K4060" s="369">
        <f t="shared" si="191"/>
        <v>6</v>
      </c>
      <c r="L4060" s="369">
        <f>+IF((C4060&gt;='Resultats - informe'!$E$16)*(C4060&lt;='Resultats - informe'!$G$16),1,0)</f>
        <v>1</v>
      </c>
      <c r="M4060" s="369" cm="1">
        <f t="array" ref="M4060">+_xlfn.IFS((C4060&gt;='Resultats - informe'!$D$26)*(C4060&lt;='Resultats - informe'!$E$26),0,(C4060&gt;='Resultats - informe'!$D$27)*(C4060&lt;='Resultats - informe'!$E$27),0,(C4060&gt;='Resultats - informe'!$D$28)*(C4060&lt;='Resultats - informe'!$E$28),0,(C4060&gt;='Resultats - informe'!$D$29)*(C4060&lt;='Resultats - informe'!$E$29),0,1,1)</f>
        <v>0</v>
      </c>
      <c r="N4060" s="366">
        <f>+VLOOKUP(D4060,'Resultats - informe'!$Y$18:$AG$42,'Introducció dades consum'!K4060+1,0)</f>
        <v>0</v>
      </c>
      <c r="O4060" s="370" cm="1">
        <f t="array" ref="O4060">+_xlfn.SWITCH(MONTH(C4060),1,1,2,1,3,1,4,2,5,2,6,3,7,3,8,3,9,3,10,2,11,2,12,1,2)</f>
        <v>1</v>
      </c>
      <c r="P4060" s="43"/>
    </row>
    <row r="4061" spans="1:16" ht="18" x14ac:dyDescent="0.35">
      <c r="A4061" s="43"/>
      <c r="C4061" s="393"/>
      <c r="E4061" s="394"/>
      <c r="F4061" s="394">
        <v>0</v>
      </c>
      <c r="G4061" s="394"/>
      <c r="H4061" s="8" t="s">
        <v>61</v>
      </c>
      <c r="I4061" s="368">
        <f t="shared" si="190"/>
        <v>0</v>
      </c>
      <c r="J4061" s="365">
        <f t="shared" si="189"/>
        <v>0</v>
      </c>
      <c r="K4061" s="369">
        <f t="shared" si="191"/>
        <v>6</v>
      </c>
      <c r="L4061" s="369">
        <f>+IF((C4061&gt;='Resultats - informe'!$E$16)*(C4061&lt;='Resultats - informe'!$G$16),1,0)</f>
        <v>1</v>
      </c>
      <c r="M4061" s="369" cm="1">
        <f t="array" ref="M4061">+_xlfn.IFS((C4061&gt;='Resultats - informe'!$D$26)*(C4061&lt;='Resultats - informe'!$E$26),0,(C4061&gt;='Resultats - informe'!$D$27)*(C4061&lt;='Resultats - informe'!$E$27),0,(C4061&gt;='Resultats - informe'!$D$28)*(C4061&lt;='Resultats - informe'!$E$28),0,(C4061&gt;='Resultats - informe'!$D$29)*(C4061&lt;='Resultats - informe'!$E$29),0,1,1)</f>
        <v>0</v>
      </c>
      <c r="N4061" s="366">
        <f>+VLOOKUP(D4061,'Resultats - informe'!$Y$18:$AG$42,'Introducció dades consum'!K4061+1,0)</f>
        <v>0</v>
      </c>
      <c r="O4061" s="370" cm="1">
        <f t="array" ref="O4061">+_xlfn.SWITCH(MONTH(C4061),1,1,2,1,3,1,4,2,5,2,6,3,7,3,8,3,9,3,10,2,11,2,12,1,2)</f>
        <v>1</v>
      </c>
      <c r="P4061" s="43"/>
    </row>
    <row r="4062" spans="1:16" ht="18" x14ac:dyDescent="0.35">
      <c r="A4062" s="43"/>
      <c r="C4062" s="393"/>
      <c r="E4062" s="394"/>
      <c r="F4062" s="394">
        <v>0</v>
      </c>
      <c r="G4062" s="394"/>
      <c r="H4062" s="8" t="s">
        <v>61</v>
      </c>
      <c r="I4062" s="368">
        <f t="shared" si="190"/>
        <v>0</v>
      </c>
      <c r="J4062" s="365">
        <f t="shared" si="189"/>
        <v>0</v>
      </c>
      <c r="K4062" s="369">
        <f t="shared" si="191"/>
        <v>6</v>
      </c>
      <c r="L4062" s="369">
        <f>+IF((C4062&gt;='Resultats - informe'!$E$16)*(C4062&lt;='Resultats - informe'!$G$16),1,0)</f>
        <v>1</v>
      </c>
      <c r="M4062" s="369" cm="1">
        <f t="array" ref="M4062">+_xlfn.IFS((C4062&gt;='Resultats - informe'!$D$26)*(C4062&lt;='Resultats - informe'!$E$26),0,(C4062&gt;='Resultats - informe'!$D$27)*(C4062&lt;='Resultats - informe'!$E$27),0,(C4062&gt;='Resultats - informe'!$D$28)*(C4062&lt;='Resultats - informe'!$E$28),0,(C4062&gt;='Resultats - informe'!$D$29)*(C4062&lt;='Resultats - informe'!$E$29),0,1,1)</f>
        <v>0</v>
      </c>
      <c r="N4062" s="366">
        <f>+VLOOKUP(D4062,'Resultats - informe'!$Y$18:$AG$42,'Introducció dades consum'!K4062+1,0)</f>
        <v>0</v>
      </c>
      <c r="O4062" s="370" cm="1">
        <f t="array" ref="O4062">+_xlfn.SWITCH(MONTH(C4062),1,1,2,1,3,1,4,2,5,2,6,3,7,3,8,3,9,3,10,2,11,2,12,1,2)</f>
        <v>1</v>
      </c>
      <c r="P4062" s="43"/>
    </row>
    <row r="4063" spans="1:16" ht="18" x14ac:dyDescent="0.35">
      <c r="A4063" s="43"/>
      <c r="C4063" s="393"/>
      <c r="E4063" s="394"/>
      <c r="F4063" s="394">
        <v>0</v>
      </c>
      <c r="G4063" s="394"/>
      <c r="H4063" s="8" t="s">
        <v>235</v>
      </c>
      <c r="I4063" s="368">
        <f t="shared" si="190"/>
        <v>0</v>
      </c>
      <c r="J4063" s="365">
        <f t="shared" si="189"/>
        <v>0</v>
      </c>
      <c r="K4063" s="369">
        <f t="shared" si="191"/>
        <v>6</v>
      </c>
      <c r="L4063" s="369">
        <f>+IF((C4063&gt;='Resultats - informe'!$E$16)*(C4063&lt;='Resultats - informe'!$G$16),1,0)</f>
        <v>1</v>
      </c>
      <c r="M4063" s="369" cm="1">
        <f t="array" ref="M4063">+_xlfn.IFS((C4063&gt;='Resultats - informe'!$D$26)*(C4063&lt;='Resultats - informe'!$E$26),0,(C4063&gt;='Resultats - informe'!$D$27)*(C4063&lt;='Resultats - informe'!$E$27),0,(C4063&gt;='Resultats - informe'!$D$28)*(C4063&lt;='Resultats - informe'!$E$28),0,(C4063&gt;='Resultats - informe'!$D$29)*(C4063&lt;='Resultats - informe'!$E$29),0,1,1)</f>
        <v>0</v>
      </c>
      <c r="N4063" s="366">
        <f>+VLOOKUP(D4063,'Resultats - informe'!$Y$18:$AG$42,'Introducció dades consum'!K4063+1,0)</f>
        <v>0</v>
      </c>
      <c r="O4063" s="370" cm="1">
        <f t="array" ref="O4063">+_xlfn.SWITCH(MONTH(C4063),1,1,2,1,3,1,4,2,5,2,6,3,7,3,8,3,9,3,10,2,11,2,12,1,2)</f>
        <v>1</v>
      </c>
      <c r="P4063" s="43"/>
    </row>
    <row r="4064" spans="1:16" ht="18" x14ac:dyDescent="0.35">
      <c r="A4064" s="43"/>
      <c r="C4064" s="393"/>
      <c r="E4064" s="394"/>
      <c r="F4064" s="394">
        <v>0</v>
      </c>
      <c r="G4064" s="394"/>
      <c r="H4064" s="8" t="s">
        <v>235</v>
      </c>
      <c r="I4064" s="368">
        <f t="shared" si="190"/>
        <v>0</v>
      </c>
      <c r="J4064" s="365">
        <f t="shared" si="189"/>
        <v>0</v>
      </c>
      <c r="K4064" s="369">
        <f t="shared" si="191"/>
        <v>6</v>
      </c>
      <c r="L4064" s="369">
        <f>+IF((C4064&gt;='Resultats - informe'!$E$16)*(C4064&lt;='Resultats - informe'!$G$16),1,0)</f>
        <v>1</v>
      </c>
      <c r="M4064" s="369" cm="1">
        <f t="array" ref="M4064">+_xlfn.IFS((C4064&gt;='Resultats - informe'!$D$26)*(C4064&lt;='Resultats - informe'!$E$26),0,(C4064&gt;='Resultats - informe'!$D$27)*(C4064&lt;='Resultats - informe'!$E$27),0,(C4064&gt;='Resultats - informe'!$D$28)*(C4064&lt;='Resultats - informe'!$E$28),0,(C4064&gt;='Resultats - informe'!$D$29)*(C4064&lt;='Resultats - informe'!$E$29),0,1,1)</f>
        <v>0</v>
      </c>
      <c r="N4064" s="366">
        <f>+VLOOKUP(D4064,'Resultats - informe'!$Y$18:$AG$42,'Introducció dades consum'!K4064+1,0)</f>
        <v>0</v>
      </c>
      <c r="O4064" s="370" cm="1">
        <f t="array" ref="O4064">+_xlfn.SWITCH(MONTH(C4064),1,1,2,1,3,1,4,2,5,2,6,3,7,3,8,3,9,3,10,2,11,2,12,1,2)</f>
        <v>1</v>
      </c>
      <c r="P4064" s="43"/>
    </row>
    <row r="4065" spans="1:16" ht="18" x14ac:dyDescent="0.35">
      <c r="A4065" s="43"/>
      <c r="C4065" s="393"/>
      <c r="E4065" s="394"/>
      <c r="F4065" s="394">
        <v>0.19900000000000001</v>
      </c>
      <c r="G4065" s="394"/>
      <c r="H4065" s="8" t="s">
        <v>235</v>
      </c>
      <c r="I4065" s="368">
        <f t="shared" si="190"/>
        <v>0</v>
      </c>
      <c r="J4065" s="365">
        <f t="shared" si="189"/>
        <v>0</v>
      </c>
      <c r="K4065" s="369">
        <f t="shared" si="191"/>
        <v>6</v>
      </c>
      <c r="L4065" s="369">
        <f>+IF((C4065&gt;='Resultats - informe'!$E$16)*(C4065&lt;='Resultats - informe'!$G$16),1,0)</f>
        <v>1</v>
      </c>
      <c r="M4065" s="369" cm="1">
        <f t="array" ref="M4065">+_xlfn.IFS((C4065&gt;='Resultats - informe'!$D$26)*(C4065&lt;='Resultats - informe'!$E$26),0,(C4065&gt;='Resultats - informe'!$D$27)*(C4065&lt;='Resultats - informe'!$E$27),0,(C4065&gt;='Resultats - informe'!$D$28)*(C4065&lt;='Resultats - informe'!$E$28),0,(C4065&gt;='Resultats - informe'!$D$29)*(C4065&lt;='Resultats - informe'!$E$29),0,1,1)</f>
        <v>0</v>
      </c>
      <c r="N4065" s="366">
        <f>+VLOOKUP(D4065,'Resultats - informe'!$Y$18:$AG$42,'Introducció dades consum'!K4065+1,0)</f>
        <v>0</v>
      </c>
      <c r="O4065" s="370" cm="1">
        <f t="array" ref="O4065">+_xlfn.SWITCH(MONTH(C4065),1,1,2,1,3,1,4,2,5,2,6,3,7,3,8,3,9,3,10,2,11,2,12,1,2)</f>
        <v>1</v>
      </c>
      <c r="P4065" s="43"/>
    </row>
    <row r="4066" spans="1:16" ht="18" x14ac:dyDescent="0.35">
      <c r="A4066" s="43"/>
      <c r="C4066" s="393"/>
      <c r="E4066" s="394"/>
      <c r="F4066" s="394">
        <v>0.80200000000000005</v>
      </c>
      <c r="G4066" s="394"/>
      <c r="H4066" s="8" t="s">
        <v>235</v>
      </c>
      <c r="I4066" s="368">
        <f t="shared" si="190"/>
        <v>0</v>
      </c>
      <c r="J4066" s="365">
        <f t="shared" si="189"/>
        <v>0</v>
      </c>
      <c r="K4066" s="369">
        <f t="shared" si="191"/>
        <v>6</v>
      </c>
      <c r="L4066" s="369">
        <f>+IF((C4066&gt;='Resultats - informe'!$E$16)*(C4066&lt;='Resultats - informe'!$G$16),1,0)</f>
        <v>1</v>
      </c>
      <c r="M4066" s="369" cm="1">
        <f t="array" ref="M4066">+_xlfn.IFS((C4066&gt;='Resultats - informe'!$D$26)*(C4066&lt;='Resultats - informe'!$E$26),0,(C4066&gt;='Resultats - informe'!$D$27)*(C4066&lt;='Resultats - informe'!$E$27),0,(C4066&gt;='Resultats - informe'!$D$28)*(C4066&lt;='Resultats - informe'!$E$28),0,(C4066&gt;='Resultats - informe'!$D$29)*(C4066&lt;='Resultats - informe'!$E$29),0,1,1)</f>
        <v>0</v>
      </c>
      <c r="N4066" s="366">
        <f>+VLOOKUP(D4066,'Resultats - informe'!$Y$18:$AG$42,'Introducció dades consum'!K4066+1,0)</f>
        <v>0</v>
      </c>
      <c r="O4066" s="370" cm="1">
        <f t="array" ref="O4066">+_xlfn.SWITCH(MONTH(C4066),1,1,2,1,3,1,4,2,5,2,6,3,7,3,8,3,9,3,10,2,11,2,12,1,2)</f>
        <v>1</v>
      </c>
      <c r="P4066" s="43"/>
    </row>
    <row r="4067" spans="1:16" ht="18" x14ac:dyDescent="0.35">
      <c r="A4067" s="43"/>
      <c r="C4067" s="393"/>
      <c r="E4067" s="394"/>
      <c r="F4067" s="394">
        <v>1.367</v>
      </c>
      <c r="G4067" s="394"/>
      <c r="H4067" s="8" t="s">
        <v>235</v>
      </c>
      <c r="I4067" s="368">
        <f t="shared" si="190"/>
        <v>0</v>
      </c>
      <c r="J4067" s="365">
        <f t="shared" si="189"/>
        <v>0</v>
      </c>
      <c r="K4067" s="369">
        <f t="shared" si="191"/>
        <v>6</v>
      </c>
      <c r="L4067" s="369">
        <f>+IF((C4067&gt;='Resultats - informe'!$E$16)*(C4067&lt;='Resultats - informe'!$G$16),1,0)</f>
        <v>1</v>
      </c>
      <c r="M4067" s="369" cm="1">
        <f t="array" ref="M4067">+_xlfn.IFS((C4067&gt;='Resultats - informe'!$D$26)*(C4067&lt;='Resultats - informe'!$E$26),0,(C4067&gt;='Resultats - informe'!$D$27)*(C4067&lt;='Resultats - informe'!$E$27),0,(C4067&gt;='Resultats - informe'!$D$28)*(C4067&lt;='Resultats - informe'!$E$28),0,(C4067&gt;='Resultats - informe'!$D$29)*(C4067&lt;='Resultats - informe'!$E$29),0,1,1)</f>
        <v>0</v>
      </c>
      <c r="N4067" s="366">
        <f>+VLOOKUP(D4067,'Resultats - informe'!$Y$18:$AG$42,'Introducció dades consum'!K4067+1,0)</f>
        <v>0</v>
      </c>
      <c r="O4067" s="370" cm="1">
        <f t="array" ref="O4067">+_xlfn.SWITCH(MONTH(C4067),1,1,2,1,3,1,4,2,5,2,6,3,7,3,8,3,9,3,10,2,11,2,12,1,2)</f>
        <v>1</v>
      </c>
      <c r="P4067" s="43"/>
    </row>
    <row r="4068" spans="1:16" ht="18" x14ac:dyDescent="0.35">
      <c r="A4068" s="43"/>
      <c r="C4068" s="393"/>
      <c r="E4068" s="394"/>
      <c r="F4068" s="394">
        <v>0</v>
      </c>
      <c r="G4068" s="394"/>
      <c r="H4068" s="8" t="s">
        <v>61</v>
      </c>
      <c r="I4068" s="368">
        <f t="shared" si="190"/>
        <v>0</v>
      </c>
      <c r="J4068" s="365">
        <f t="shared" si="189"/>
        <v>0</v>
      </c>
      <c r="K4068" s="369">
        <f t="shared" si="191"/>
        <v>6</v>
      </c>
      <c r="L4068" s="369">
        <f>+IF((C4068&gt;='Resultats - informe'!$E$16)*(C4068&lt;='Resultats - informe'!$G$16),1,0)</f>
        <v>1</v>
      </c>
      <c r="M4068" s="369" cm="1">
        <f t="array" ref="M4068">+_xlfn.IFS((C4068&gt;='Resultats - informe'!$D$26)*(C4068&lt;='Resultats - informe'!$E$26),0,(C4068&gt;='Resultats - informe'!$D$27)*(C4068&lt;='Resultats - informe'!$E$27),0,(C4068&gt;='Resultats - informe'!$D$28)*(C4068&lt;='Resultats - informe'!$E$28),0,(C4068&gt;='Resultats - informe'!$D$29)*(C4068&lt;='Resultats - informe'!$E$29),0,1,1)</f>
        <v>0</v>
      </c>
      <c r="N4068" s="366">
        <f>+VLOOKUP(D4068,'Resultats - informe'!$Y$18:$AG$42,'Introducció dades consum'!K4068+1,0)</f>
        <v>0</v>
      </c>
      <c r="O4068" s="370" cm="1">
        <f t="array" ref="O4068">+_xlfn.SWITCH(MONTH(C4068),1,1,2,1,3,1,4,2,5,2,6,3,7,3,8,3,9,3,10,2,11,2,12,1,2)</f>
        <v>1</v>
      </c>
      <c r="P4068" s="43"/>
    </row>
    <row r="4069" spans="1:16" ht="18" x14ac:dyDescent="0.35">
      <c r="A4069" s="43"/>
      <c r="C4069" s="393"/>
      <c r="E4069" s="394"/>
      <c r="F4069" s="394">
        <v>1.2030000000000001</v>
      </c>
      <c r="G4069" s="394"/>
      <c r="H4069" s="8" t="s">
        <v>61</v>
      </c>
      <c r="I4069" s="368">
        <f t="shared" si="190"/>
        <v>0</v>
      </c>
      <c r="J4069" s="365">
        <f t="shared" si="189"/>
        <v>0</v>
      </c>
      <c r="K4069" s="369">
        <f t="shared" si="191"/>
        <v>6</v>
      </c>
      <c r="L4069" s="369">
        <f>+IF((C4069&gt;='Resultats - informe'!$E$16)*(C4069&lt;='Resultats - informe'!$G$16),1,0)</f>
        <v>1</v>
      </c>
      <c r="M4069" s="369" cm="1">
        <f t="array" ref="M4069">+_xlfn.IFS((C4069&gt;='Resultats - informe'!$D$26)*(C4069&lt;='Resultats - informe'!$E$26),0,(C4069&gt;='Resultats - informe'!$D$27)*(C4069&lt;='Resultats - informe'!$E$27),0,(C4069&gt;='Resultats - informe'!$D$28)*(C4069&lt;='Resultats - informe'!$E$28),0,(C4069&gt;='Resultats - informe'!$D$29)*(C4069&lt;='Resultats - informe'!$E$29),0,1,1)</f>
        <v>0</v>
      </c>
      <c r="N4069" s="366">
        <f>+VLOOKUP(D4069,'Resultats - informe'!$Y$18:$AG$42,'Introducció dades consum'!K4069+1,0)</f>
        <v>0</v>
      </c>
      <c r="O4069" s="370" cm="1">
        <f t="array" ref="O4069">+_xlfn.SWITCH(MONTH(C4069),1,1,2,1,3,1,4,2,5,2,6,3,7,3,8,3,9,3,10,2,11,2,12,1,2)</f>
        <v>1</v>
      </c>
      <c r="P4069" s="43"/>
    </row>
    <row r="4070" spans="1:16" ht="18" x14ac:dyDescent="0.35">
      <c r="A4070" s="43"/>
      <c r="C4070" s="393"/>
      <c r="E4070" s="394"/>
      <c r="F4070" s="394">
        <v>4.7930000000000001</v>
      </c>
      <c r="G4070" s="394"/>
      <c r="H4070" s="8" t="s">
        <v>235</v>
      </c>
      <c r="I4070" s="368">
        <f t="shared" si="190"/>
        <v>0</v>
      </c>
      <c r="J4070" s="365">
        <f t="shared" si="189"/>
        <v>0</v>
      </c>
      <c r="K4070" s="369">
        <f t="shared" si="191"/>
        <v>6</v>
      </c>
      <c r="L4070" s="369">
        <f>+IF((C4070&gt;='Resultats - informe'!$E$16)*(C4070&lt;='Resultats - informe'!$G$16),1,0)</f>
        <v>1</v>
      </c>
      <c r="M4070" s="369" cm="1">
        <f t="array" ref="M4070">+_xlfn.IFS((C4070&gt;='Resultats - informe'!$D$26)*(C4070&lt;='Resultats - informe'!$E$26),0,(C4070&gt;='Resultats - informe'!$D$27)*(C4070&lt;='Resultats - informe'!$E$27),0,(C4070&gt;='Resultats - informe'!$D$28)*(C4070&lt;='Resultats - informe'!$E$28),0,(C4070&gt;='Resultats - informe'!$D$29)*(C4070&lt;='Resultats - informe'!$E$29),0,1,1)</f>
        <v>0</v>
      </c>
      <c r="N4070" s="366">
        <f>+VLOOKUP(D4070,'Resultats - informe'!$Y$18:$AG$42,'Introducció dades consum'!K4070+1,0)</f>
        <v>0</v>
      </c>
      <c r="O4070" s="370" cm="1">
        <f t="array" ref="O4070">+_xlfn.SWITCH(MONTH(C4070),1,1,2,1,3,1,4,2,5,2,6,3,7,3,8,3,9,3,10,2,11,2,12,1,2)</f>
        <v>1</v>
      </c>
      <c r="P4070" s="43"/>
    </row>
    <row r="4071" spans="1:16" ht="18" x14ac:dyDescent="0.35">
      <c r="A4071" s="43"/>
      <c r="C4071" s="393"/>
      <c r="E4071" s="394"/>
      <c r="F4071" s="394">
        <v>5.33</v>
      </c>
      <c r="G4071" s="394"/>
      <c r="H4071" s="8" t="s">
        <v>235</v>
      </c>
      <c r="I4071" s="368">
        <f t="shared" si="190"/>
        <v>0</v>
      </c>
      <c r="J4071" s="365">
        <f t="shared" si="189"/>
        <v>0</v>
      </c>
      <c r="K4071" s="369">
        <f t="shared" si="191"/>
        <v>6</v>
      </c>
      <c r="L4071" s="369">
        <f>+IF((C4071&gt;='Resultats - informe'!$E$16)*(C4071&lt;='Resultats - informe'!$G$16),1,0)</f>
        <v>1</v>
      </c>
      <c r="M4071" s="369" cm="1">
        <f t="array" ref="M4071">+_xlfn.IFS((C4071&gt;='Resultats - informe'!$D$26)*(C4071&lt;='Resultats - informe'!$E$26),0,(C4071&gt;='Resultats - informe'!$D$27)*(C4071&lt;='Resultats - informe'!$E$27),0,(C4071&gt;='Resultats - informe'!$D$28)*(C4071&lt;='Resultats - informe'!$E$28),0,(C4071&gt;='Resultats - informe'!$D$29)*(C4071&lt;='Resultats - informe'!$E$29),0,1,1)</f>
        <v>0</v>
      </c>
      <c r="N4071" s="366">
        <f>+VLOOKUP(D4071,'Resultats - informe'!$Y$18:$AG$42,'Introducció dades consum'!K4071+1,0)</f>
        <v>0</v>
      </c>
      <c r="O4071" s="370" cm="1">
        <f t="array" ref="O4071">+_xlfn.SWITCH(MONTH(C4071),1,1,2,1,3,1,4,2,5,2,6,3,7,3,8,3,9,3,10,2,11,2,12,1,2)</f>
        <v>1</v>
      </c>
      <c r="P4071" s="43"/>
    </row>
    <row r="4072" spans="1:16" ht="18" x14ac:dyDescent="0.35">
      <c r="A4072" s="43"/>
      <c r="C4072" s="393"/>
      <c r="E4072" s="394"/>
      <c r="F4072" s="394">
        <v>4.9429999999999996</v>
      </c>
      <c r="G4072" s="394"/>
      <c r="H4072" s="8" t="s">
        <v>235</v>
      </c>
      <c r="I4072" s="368">
        <f t="shared" si="190"/>
        <v>0</v>
      </c>
      <c r="J4072" s="365">
        <f t="shared" si="189"/>
        <v>0</v>
      </c>
      <c r="K4072" s="369">
        <f t="shared" si="191"/>
        <v>6</v>
      </c>
      <c r="L4072" s="369">
        <f>+IF((C4072&gt;='Resultats - informe'!$E$16)*(C4072&lt;='Resultats - informe'!$G$16),1,0)</f>
        <v>1</v>
      </c>
      <c r="M4072" s="369" cm="1">
        <f t="array" ref="M4072">+_xlfn.IFS((C4072&gt;='Resultats - informe'!$D$26)*(C4072&lt;='Resultats - informe'!$E$26),0,(C4072&gt;='Resultats - informe'!$D$27)*(C4072&lt;='Resultats - informe'!$E$27),0,(C4072&gt;='Resultats - informe'!$D$28)*(C4072&lt;='Resultats - informe'!$E$28),0,(C4072&gt;='Resultats - informe'!$D$29)*(C4072&lt;='Resultats - informe'!$E$29),0,1,1)</f>
        <v>0</v>
      </c>
      <c r="N4072" s="366">
        <f>+VLOOKUP(D4072,'Resultats - informe'!$Y$18:$AG$42,'Introducció dades consum'!K4072+1,0)</f>
        <v>0</v>
      </c>
      <c r="O4072" s="370" cm="1">
        <f t="array" ref="O4072">+_xlfn.SWITCH(MONTH(C4072),1,1,2,1,3,1,4,2,5,2,6,3,7,3,8,3,9,3,10,2,11,2,12,1,2)</f>
        <v>1</v>
      </c>
      <c r="P4072" s="43"/>
    </row>
    <row r="4073" spans="1:16" ht="18" x14ac:dyDescent="0.35">
      <c r="A4073" s="43"/>
      <c r="C4073" s="393"/>
      <c r="E4073" s="394"/>
      <c r="F4073" s="394">
        <v>4.383</v>
      </c>
      <c r="G4073" s="394"/>
      <c r="H4073" s="8" t="s">
        <v>235</v>
      </c>
      <c r="I4073" s="368">
        <f t="shared" si="190"/>
        <v>0</v>
      </c>
      <c r="J4073" s="365">
        <f t="shared" si="189"/>
        <v>0</v>
      </c>
      <c r="K4073" s="369">
        <f t="shared" si="191"/>
        <v>6</v>
      </c>
      <c r="L4073" s="369">
        <f>+IF((C4073&gt;='Resultats - informe'!$E$16)*(C4073&lt;='Resultats - informe'!$G$16),1,0)</f>
        <v>1</v>
      </c>
      <c r="M4073" s="369" cm="1">
        <f t="array" ref="M4073">+_xlfn.IFS((C4073&gt;='Resultats - informe'!$D$26)*(C4073&lt;='Resultats - informe'!$E$26),0,(C4073&gt;='Resultats - informe'!$D$27)*(C4073&lt;='Resultats - informe'!$E$27),0,(C4073&gt;='Resultats - informe'!$D$28)*(C4073&lt;='Resultats - informe'!$E$28),0,(C4073&gt;='Resultats - informe'!$D$29)*(C4073&lt;='Resultats - informe'!$E$29),0,1,1)</f>
        <v>0</v>
      </c>
      <c r="N4073" s="366">
        <f>+VLOOKUP(D4073,'Resultats - informe'!$Y$18:$AG$42,'Introducció dades consum'!K4073+1,0)</f>
        <v>0</v>
      </c>
      <c r="O4073" s="370" cm="1">
        <f t="array" ref="O4073">+_xlfn.SWITCH(MONTH(C4073),1,1,2,1,3,1,4,2,5,2,6,3,7,3,8,3,9,3,10,2,11,2,12,1,2)</f>
        <v>1</v>
      </c>
      <c r="P4073" s="43"/>
    </row>
    <row r="4074" spans="1:16" ht="18" x14ac:dyDescent="0.35">
      <c r="A4074" s="43"/>
      <c r="C4074" s="393"/>
      <c r="E4074" s="394"/>
      <c r="F4074" s="394">
        <v>2.7389999999999999</v>
      </c>
      <c r="G4074" s="394"/>
      <c r="H4074" s="8" t="s">
        <v>235</v>
      </c>
      <c r="I4074" s="368">
        <f t="shared" si="190"/>
        <v>0</v>
      </c>
      <c r="J4074" s="365">
        <f t="shared" si="189"/>
        <v>0</v>
      </c>
      <c r="K4074" s="369">
        <f t="shared" si="191"/>
        <v>6</v>
      </c>
      <c r="L4074" s="369">
        <f>+IF((C4074&gt;='Resultats - informe'!$E$16)*(C4074&lt;='Resultats - informe'!$G$16),1,0)</f>
        <v>1</v>
      </c>
      <c r="M4074" s="369" cm="1">
        <f t="array" ref="M4074">+_xlfn.IFS((C4074&gt;='Resultats - informe'!$D$26)*(C4074&lt;='Resultats - informe'!$E$26),0,(C4074&gt;='Resultats - informe'!$D$27)*(C4074&lt;='Resultats - informe'!$E$27),0,(C4074&gt;='Resultats - informe'!$D$28)*(C4074&lt;='Resultats - informe'!$E$28),0,(C4074&gt;='Resultats - informe'!$D$29)*(C4074&lt;='Resultats - informe'!$E$29),0,1,1)</f>
        <v>0</v>
      </c>
      <c r="N4074" s="366">
        <f>+VLOOKUP(D4074,'Resultats - informe'!$Y$18:$AG$42,'Introducció dades consum'!K4074+1,0)</f>
        <v>0</v>
      </c>
      <c r="O4074" s="370" cm="1">
        <f t="array" ref="O4074">+_xlfn.SWITCH(MONTH(C4074),1,1,2,1,3,1,4,2,5,2,6,3,7,3,8,3,9,3,10,2,11,2,12,1,2)</f>
        <v>1</v>
      </c>
      <c r="P4074" s="43"/>
    </row>
    <row r="4075" spans="1:16" ht="18" x14ac:dyDescent="0.35">
      <c r="A4075" s="43"/>
      <c r="C4075" s="393"/>
      <c r="E4075" s="394"/>
      <c r="F4075" s="394">
        <v>2.4849999999999999</v>
      </c>
      <c r="G4075" s="394"/>
      <c r="H4075" s="8" t="s">
        <v>235</v>
      </c>
      <c r="I4075" s="368">
        <f t="shared" si="190"/>
        <v>0</v>
      </c>
      <c r="J4075" s="365">
        <f t="shared" si="189"/>
        <v>0</v>
      </c>
      <c r="K4075" s="369">
        <f t="shared" si="191"/>
        <v>6</v>
      </c>
      <c r="L4075" s="369">
        <f>+IF((C4075&gt;='Resultats - informe'!$E$16)*(C4075&lt;='Resultats - informe'!$G$16),1,0)</f>
        <v>1</v>
      </c>
      <c r="M4075" s="369" cm="1">
        <f t="array" ref="M4075">+_xlfn.IFS((C4075&gt;='Resultats - informe'!$D$26)*(C4075&lt;='Resultats - informe'!$E$26),0,(C4075&gt;='Resultats - informe'!$D$27)*(C4075&lt;='Resultats - informe'!$E$27),0,(C4075&gt;='Resultats - informe'!$D$28)*(C4075&lt;='Resultats - informe'!$E$28),0,(C4075&gt;='Resultats - informe'!$D$29)*(C4075&lt;='Resultats - informe'!$E$29),0,1,1)</f>
        <v>0</v>
      </c>
      <c r="N4075" s="366">
        <f>+VLOOKUP(D4075,'Resultats - informe'!$Y$18:$AG$42,'Introducció dades consum'!K4075+1,0)</f>
        <v>0</v>
      </c>
      <c r="O4075" s="370" cm="1">
        <f t="array" ref="O4075">+_xlfn.SWITCH(MONTH(C4075),1,1,2,1,3,1,4,2,5,2,6,3,7,3,8,3,9,3,10,2,11,2,12,1,2)</f>
        <v>1</v>
      </c>
      <c r="P4075" s="43"/>
    </row>
    <row r="4076" spans="1:16" ht="18" x14ac:dyDescent="0.35">
      <c r="A4076" s="43"/>
      <c r="C4076" s="393"/>
      <c r="E4076" s="394"/>
      <c r="F4076" s="394">
        <v>5.07</v>
      </c>
      <c r="G4076" s="394"/>
      <c r="H4076" s="8" t="s">
        <v>61</v>
      </c>
      <c r="I4076" s="368">
        <f t="shared" si="190"/>
        <v>0</v>
      </c>
      <c r="J4076" s="365">
        <f t="shared" si="189"/>
        <v>0</v>
      </c>
      <c r="K4076" s="369">
        <f t="shared" si="191"/>
        <v>6</v>
      </c>
      <c r="L4076" s="369">
        <f>+IF((C4076&gt;='Resultats - informe'!$E$16)*(C4076&lt;='Resultats - informe'!$G$16),1,0)</f>
        <v>1</v>
      </c>
      <c r="M4076" s="369" cm="1">
        <f t="array" ref="M4076">+_xlfn.IFS((C4076&gt;='Resultats - informe'!$D$26)*(C4076&lt;='Resultats - informe'!$E$26),0,(C4076&gt;='Resultats - informe'!$D$27)*(C4076&lt;='Resultats - informe'!$E$27),0,(C4076&gt;='Resultats - informe'!$D$28)*(C4076&lt;='Resultats - informe'!$E$28),0,(C4076&gt;='Resultats - informe'!$D$29)*(C4076&lt;='Resultats - informe'!$E$29),0,1,1)</f>
        <v>0</v>
      </c>
      <c r="N4076" s="366">
        <f>+VLOOKUP(D4076,'Resultats - informe'!$Y$18:$AG$42,'Introducció dades consum'!K4076+1,0)</f>
        <v>0</v>
      </c>
      <c r="O4076" s="370" cm="1">
        <f t="array" ref="O4076">+_xlfn.SWITCH(MONTH(C4076),1,1,2,1,3,1,4,2,5,2,6,3,7,3,8,3,9,3,10,2,11,2,12,1,2)</f>
        <v>1</v>
      </c>
      <c r="P4076" s="43"/>
    </row>
    <row r="4077" spans="1:16" ht="18" x14ac:dyDescent="0.35">
      <c r="A4077" s="43"/>
      <c r="C4077" s="393"/>
      <c r="E4077" s="394"/>
      <c r="F4077" s="394">
        <v>3.9009999999999998</v>
      </c>
      <c r="G4077" s="394"/>
      <c r="H4077" s="8" t="s">
        <v>61</v>
      </c>
      <c r="I4077" s="368">
        <f t="shared" si="190"/>
        <v>0</v>
      </c>
      <c r="J4077" s="365">
        <f t="shared" si="189"/>
        <v>0</v>
      </c>
      <c r="K4077" s="369">
        <f t="shared" si="191"/>
        <v>6</v>
      </c>
      <c r="L4077" s="369">
        <f>+IF((C4077&gt;='Resultats - informe'!$E$16)*(C4077&lt;='Resultats - informe'!$G$16),1,0)</f>
        <v>1</v>
      </c>
      <c r="M4077" s="369" cm="1">
        <f t="array" ref="M4077">+_xlfn.IFS((C4077&gt;='Resultats - informe'!$D$26)*(C4077&lt;='Resultats - informe'!$E$26),0,(C4077&gt;='Resultats - informe'!$D$27)*(C4077&lt;='Resultats - informe'!$E$27),0,(C4077&gt;='Resultats - informe'!$D$28)*(C4077&lt;='Resultats - informe'!$E$28),0,(C4077&gt;='Resultats - informe'!$D$29)*(C4077&lt;='Resultats - informe'!$E$29),0,1,1)</f>
        <v>0</v>
      </c>
      <c r="N4077" s="366">
        <f>+VLOOKUP(D4077,'Resultats - informe'!$Y$18:$AG$42,'Introducció dades consum'!K4077+1,0)</f>
        <v>0</v>
      </c>
      <c r="O4077" s="370" cm="1">
        <f t="array" ref="O4077">+_xlfn.SWITCH(MONTH(C4077),1,1,2,1,3,1,4,2,5,2,6,3,7,3,8,3,9,3,10,2,11,2,12,1,2)</f>
        <v>1</v>
      </c>
      <c r="P4077" s="43"/>
    </row>
    <row r="4078" spans="1:16" ht="18" x14ac:dyDescent="0.35">
      <c r="A4078" s="43"/>
      <c r="C4078" s="393"/>
      <c r="E4078" s="394"/>
      <c r="F4078" s="394">
        <v>2.2959999999999998</v>
      </c>
      <c r="G4078" s="394"/>
      <c r="H4078" s="8" t="s">
        <v>61</v>
      </c>
      <c r="I4078" s="368">
        <f t="shared" si="190"/>
        <v>0</v>
      </c>
      <c r="J4078" s="365">
        <f t="shared" si="189"/>
        <v>0</v>
      </c>
      <c r="K4078" s="369">
        <f t="shared" si="191"/>
        <v>6</v>
      </c>
      <c r="L4078" s="369">
        <f>+IF((C4078&gt;='Resultats - informe'!$E$16)*(C4078&lt;='Resultats - informe'!$G$16),1,0)</f>
        <v>1</v>
      </c>
      <c r="M4078" s="369" cm="1">
        <f t="array" ref="M4078">+_xlfn.IFS((C4078&gt;='Resultats - informe'!$D$26)*(C4078&lt;='Resultats - informe'!$E$26),0,(C4078&gt;='Resultats - informe'!$D$27)*(C4078&lt;='Resultats - informe'!$E$27),0,(C4078&gt;='Resultats - informe'!$D$28)*(C4078&lt;='Resultats - informe'!$E$28),0,(C4078&gt;='Resultats - informe'!$D$29)*(C4078&lt;='Resultats - informe'!$E$29),0,1,1)</f>
        <v>0</v>
      </c>
      <c r="N4078" s="366">
        <f>+VLOOKUP(D4078,'Resultats - informe'!$Y$18:$AG$42,'Introducció dades consum'!K4078+1,0)</f>
        <v>0</v>
      </c>
      <c r="O4078" s="370" cm="1">
        <f t="array" ref="O4078">+_xlfn.SWITCH(MONTH(C4078),1,1,2,1,3,1,4,2,5,2,6,3,7,3,8,3,9,3,10,2,11,2,12,1,2)</f>
        <v>1</v>
      </c>
      <c r="P4078" s="43"/>
    </row>
    <row r="4079" spans="1:16" ht="18" x14ac:dyDescent="0.35">
      <c r="A4079" s="43"/>
      <c r="C4079" s="393"/>
      <c r="E4079" s="394"/>
      <c r="F4079" s="394">
        <v>0.42399999999999999</v>
      </c>
      <c r="G4079" s="394"/>
      <c r="H4079" s="8" t="s">
        <v>61</v>
      </c>
      <c r="I4079" s="368">
        <f t="shared" si="190"/>
        <v>0</v>
      </c>
      <c r="J4079" s="365">
        <f t="shared" si="189"/>
        <v>0</v>
      </c>
      <c r="K4079" s="369">
        <f t="shared" si="191"/>
        <v>6</v>
      </c>
      <c r="L4079" s="369">
        <f>+IF((C4079&gt;='Resultats - informe'!$E$16)*(C4079&lt;='Resultats - informe'!$G$16),1,0)</f>
        <v>1</v>
      </c>
      <c r="M4079" s="369" cm="1">
        <f t="array" ref="M4079">+_xlfn.IFS((C4079&gt;='Resultats - informe'!$D$26)*(C4079&lt;='Resultats - informe'!$E$26),0,(C4079&gt;='Resultats - informe'!$D$27)*(C4079&lt;='Resultats - informe'!$E$27),0,(C4079&gt;='Resultats - informe'!$D$28)*(C4079&lt;='Resultats - informe'!$E$28),0,(C4079&gt;='Resultats - informe'!$D$29)*(C4079&lt;='Resultats - informe'!$E$29),0,1,1)</f>
        <v>0</v>
      </c>
      <c r="N4079" s="366">
        <f>+VLOOKUP(D4079,'Resultats - informe'!$Y$18:$AG$42,'Introducció dades consum'!K4079+1,0)</f>
        <v>0</v>
      </c>
      <c r="O4079" s="370" cm="1">
        <f t="array" ref="O4079">+_xlfn.SWITCH(MONTH(C4079),1,1,2,1,3,1,4,2,5,2,6,3,7,3,8,3,9,3,10,2,11,2,12,1,2)</f>
        <v>1</v>
      </c>
      <c r="P4079" s="43"/>
    </row>
    <row r="4080" spans="1:16" ht="18" x14ac:dyDescent="0.35">
      <c r="A4080" s="43"/>
      <c r="C4080" s="393"/>
      <c r="E4080" s="394"/>
      <c r="F4080" s="394">
        <v>0</v>
      </c>
      <c r="G4080" s="394"/>
      <c r="H4080" s="8" t="s">
        <v>61</v>
      </c>
      <c r="I4080" s="368">
        <f t="shared" si="190"/>
        <v>0</v>
      </c>
      <c r="J4080" s="365">
        <f t="shared" si="189"/>
        <v>0</v>
      </c>
      <c r="K4080" s="369">
        <f t="shared" si="191"/>
        <v>6</v>
      </c>
      <c r="L4080" s="369">
        <f>+IF((C4080&gt;='Resultats - informe'!$E$16)*(C4080&lt;='Resultats - informe'!$G$16),1,0)</f>
        <v>1</v>
      </c>
      <c r="M4080" s="369" cm="1">
        <f t="array" ref="M4080">+_xlfn.IFS((C4080&gt;='Resultats - informe'!$D$26)*(C4080&lt;='Resultats - informe'!$E$26),0,(C4080&gt;='Resultats - informe'!$D$27)*(C4080&lt;='Resultats - informe'!$E$27),0,(C4080&gt;='Resultats - informe'!$D$28)*(C4080&lt;='Resultats - informe'!$E$28),0,(C4080&gt;='Resultats - informe'!$D$29)*(C4080&lt;='Resultats - informe'!$E$29),0,1,1)</f>
        <v>0</v>
      </c>
      <c r="N4080" s="366">
        <f>+VLOOKUP(D4080,'Resultats - informe'!$Y$18:$AG$42,'Introducció dades consum'!K4080+1,0)</f>
        <v>0</v>
      </c>
      <c r="O4080" s="370" cm="1">
        <f t="array" ref="O4080">+_xlfn.SWITCH(MONTH(C4080),1,1,2,1,3,1,4,2,5,2,6,3,7,3,8,3,9,3,10,2,11,2,12,1,2)</f>
        <v>1</v>
      </c>
      <c r="P4080" s="43"/>
    </row>
    <row r="4081" spans="1:16" ht="18" x14ac:dyDescent="0.35">
      <c r="A4081" s="43"/>
      <c r="C4081" s="393"/>
      <c r="E4081" s="394"/>
      <c r="F4081" s="394">
        <v>0</v>
      </c>
      <c r="G4081" s="394"/>
      <c r="H4081" s="8" t="s">
        <v>235</v>
      </c>
      <c r="I4081" s="368">
        <f t="shared" si="190"/>
        <v>0</v>
      </c>
      <c r="J4081" s="365">
        <f t="shared" si="189"/>
        <v>0</v>
      </c>
      <c r="K4081" s="369">
        <f t="shared" si="191"/>
        <v>6</v>
      </c>
      <c r="L4081" s="369">
        <f>+IF((C4081&gt;='Resultats - informe'!$E$16)*(C4081&lt;='Resultats - informe'!$G$16),1,0)</f>
        <v>1</v>
      </c>
      <c r="M4081" s="369" cm="1">
        <f t="array" ref="M4081">+_xlfn.IFS((C4081&gt;='Resultats - informe'!$D$26)*(C4081&lt;='Resultats - informe'!$E$26),0,(C4081&gt;='Resultats - informe'!$D$27)*(C4081&lt;='Resultats - informe'!$E$27),0,(C4081&gt;='Resultats - informe'!$D$28)*(C4081&lt;='Resultats - informe'!$E$28),0,(C4081&gt;='Resultats - informe'!$D$29)*(C4081&lt;='Resultats - informe'!$E$29),0,1,1)</f>
        <v>0</v>
      </c>
      <c r="N4081" s="366">
        <f>+VLOOKUP(D4081,'Resultats - informe'!$Y$18:$AG$42,'Introducció dades consum'!K4081+1,0)</f>
        <v>0</v>
      </c>
      <c r="O4081" s="370" cm="1">
        <f t="array" ref="O4081">+_xlfn.SWITCH(MONTH(C4081),1,1,2,1,3,1,4,2,5,2,6,3,7,3,8,3,9,3,10,2,11,2,12,1,2)</f>
        <v>1</v>
      </c>
      <c r="P4081" s="43"/>
    </row>
    <row r="4082" spans="1:16" ht="18" x14ac:dyDescent="0.35">
      <c r="A4082" s="43"/>
      <c r="C4082" s="393"/>
      <c r="E4082" s="394"/>
      <c r="F4082" s="394">
        <v>0</v>
      </c>
      <c r="G4082" s="394"/>
      <c r="H4082" s="8" t="s">
        <v>235</v>
      </c>
      <c r="I4082" s="368">
        <f t="shared" si="190"/>
        <v>0</v>
      </c>
      <c r="J4082" s="365">
        <f t="shared" si="189"/>
        <v>0</v>
      </c>
      <c r="K4082" s="369">
        <f t="shared" si="191"/>
        <v>6</v>
      </c>
      <c r="L4082" s="369">
        <f>+IF((C4082&gt;='Resultats - informe'!$E$16)*(C4082&lt;='Resultats - informe'!$G$16),1,0)</f>
        <v>1</v>
      </c>
      <c r="M4082" s="369" cm="1">
        <f t="array" ref="M4082">+_xlfn.IFS((C4082&gt;='Resultats - informe'!$D$26)*(C4082&lt;='Resultats - informe'!$E$26),0,(C4082&gt;='Resultats - informe'!$D$27)*(C4082&lt;='Resultats - informe'!$E$27),0,(C4082&gt;='Resultats - informe'!$D$28)*(C4082&lt;='Resultats - informe'!$E$28),0,(C4082&gt;='Resultats - informe'!$D$29)*(C4082&lt;='Resultats - informe'!$E$29),0,1,1)</f>
        <v>0</v>
      </c>
      <c r="N4082" s="366">
        <f>+VLOOKUP(D4082,'Resultats - informe'!$Y$18:$AG$42,'Introducció dades consum'!K4082+1,0)</f>
        <v>0</v>
      </c>
      <c r="O4082" s="370" cm="1">
        <f t="array" ref="O4082">+_xlfn.SWITCH(MONTH(C4082),1,1,2,1,3,1,4,2,5,2,6,3,7,3,8,3,9,3,10,2,11,2,12,1,2)</f>
        <v>1</v>
      </c>
      <c r="P4082" s="43"/>
    </row>
    <row r="4083" spans="1:16" ht="18" x14ac:dyDescent="0.35">
      <c r="A4083" s="43"/>
      <c r="C4083" s="393"/>
      <c r="E4083" s="394"/>
      <c r="F4083" s="394">
        <v>0</v>
      </c>
      <c r="G4083" s="394"/>
      <c r="H4083" s="8" t="s">
        <v>61</v>
      </c>
      <c r="I4083" s="368">
        <f t="shared" si="190"/>
        <v>0</v>
      </c>
      <c r="J4083" s="365">
        <f t="shared" si="189"/>
        <v>0</v>
      </c>
      <c r="K4083" s="369">
        <f t="shared" si="191"/>
        <v>6</v>
      </c>
      <c r="L4083" s="369">
        <f>+IF((C4083&gt;='Resultats - informe'!$E$16)*(C4083&lt;='Resultats - informe'!$G$16),1,0)</f>
        <v>1</v>
      </c>
      <c r="M4083" s="369" cm="1">
        <f t="array" ref="M4083">+_xlfn.IFS((C4083&gt;='Resultats - informe'!$D$26)*(C4083&lt;='Resultats - informe'!$E$26),0,(C4083&gt;='Resultats - informe'!$D$27)*(C4083&lt;='Resultats - informe'!$E$27),0,(C4083&gt;='Resultats - informe'!$D$28)*(C4083&lt;='Resultats - informe'!$E$28),0,(C4083&gt;='Resultats - informe'!$D$29)*(C4083&lt;='Resultats - informe'!$E$29),0,1,1)</f>
        <v>0</v>
      </c>
      <c r="N4083" s="366">
        <f>+VLOOKUP(D4083,'Resultats - informe'!$Y$18:$AG$42,'Introducció dades consum'!K4083+1,0)</f>
        <v>0</v>
      </c>
      <c r="O4083" s="370" cm="1">
        <f t="array" ref="O4083">+_xlfn.SWITCH(MONTH(C4083),1,1,2,1,3,1,4,2,5,2,6,3,7,3,8,3,9,3,10,2,11,2,12,1,2)</f>
        <v>1</v>
      </c>
      <c r="P4083" s="43"/>
    </row>
    <row r="4084" spans="1:16" ht="18" x14ac:dyDescent="0.35">
      <c r="A4084" s="43"/>
      <c r="C4084" s="393"/>
      <c r="E4084" s="394"/>
      <c r="F4084" s="394">
        <v>0</v>
      </c>
      <c r="G4084" s="394"/>
      <c r="H4084" s="8" t="s">
        <v>61</v>
      </c>
      <c r="I4084" s="368">
        <f t="shared" si="190"/>
        <v>0</v>
      </c>
      <c r="J4084" s="365">
        <f t="shared" si="189"/>
        <v>0</v>
      </c>
      <c r="K4084" s="369">
        <f t="shared" si="191"/>
        <v>6</v>
      </c>
      <c r="L4084" s="369">
        <f>+IF((C4084&gt;='Resultats - informe'!$E$16)*(C4084&lt;='Resultats - informe'!$G$16),1,0)</f>
        <v>1</v>
      </c>
      <c r="M4084" s="369" cm="1">
        <f t="array" ref="M4084">+_xlfn.IFS((C4084&gt;='Resultats - informe'!$D$26)*(C4084&lt;='Resultats - informe'!$E$26),0,(C4084&gt;='Resultats - informe'!$D$27)*(C4084&lt;='Resultats - informe'!$E$27),0,(C4084&gt;='Resultats - informe'!$D$28)*(C4084&lt;='Resultats - informe'!$E$28),0,(C4084&gt;='Resultats - informe'!$D$29)*(C4084&lt;='Resultats - informe'!$E$29),0,1,1)</f>
        <v>0</v>
      </c>
      <c r="N4084" s="366">
        <f>+VLOOKUP(D4084,'Resultats - informe'!$Y$18:$AG$42,'Introducció dades consum'!K4084+1,0)</f>
        <v>0</v>
      </c>
      <c r="O4084" s="370" cm="1">
        <f t="array" ref="O4084">+_xlfn.SWITCH(MONTH(C4084),1,1,2,1,3,1,4,2,5,2,6,3,7,3,8,3,9,3,10,2,11,2,12,1,2)</f>
        <v>1</v>
      </c>
      <c r="P4084" s="43"/>
    </row>
    <row r="4085" spans="1:16" ht="18" x14ac:dyDescent="0.35">
      <c r="A4085" s="43"/>
      <c r="C4085" s="393"/>
      <c r="E4085" s="394"/>
      <c r="F4085" s="394">
        <v>0</v>
      </c>
      <c r="G4085" s="394"/>
      <c r="H4085" s="8" t="s">
        <v>235</v>
      </c>
      <c r="I4085" s="368">
        <f t="shared" si="190"/>
        <v>0</v>
      </c>
      <c r="J4085" s="365">
        <f t="shared" si="189"/>
        <v>0</v>
      </c>
      <c r="K4085" s="369">
        <f t="shared" si="191"/>
        <v>6</v>
      </c>
      <c r="L4085" s="369">
        <f>+IF((C4085&gt;='Resultats - informe'!$E$16)*(C4085&lt;='Resultats - informe'!$G$16),1,0)</f>
        <v>1</v>
      </c>
      <c r="M4085" s="369" cm="1">
        <f t="array" ref="M4085">+_xlfn.IFS((C4085&gt;='Resultats - informe'!$D$26)*(C4085&lt;='Resultats - informe'!$E$26),0,(C4085&gt;='Resultats - informe'!$D$27)*(C4085&lt;='Resultats - informe'!$E$27),0,(C4085&gt;='Resultats - informe'!$D$28)*(C4085&lt;='Resultats - informe'!$E$28),0,(C4085&gt;='Resultats - informe'!$D$29)*(C4085&lt;='Resultats - informe'!$E$29),0,1,1)</f>
        <v>0</v>
      </c>
      <c r="N4085" s="366">
        <f>+VLOOKUP(D4085,'Resultats - informe'!$Y$18:$AG$42,'Introducció dades consum'!K4085+1,0)</f>
        <v>0</v>
      </c>
      <c r="O4085" s="370" cm="1">
        <f t="array" ref="O4085">+_xlfn.SWITCH(MONTH(C4085),1,1,2,1,3,1,4,2,5,2,6,3,7,3,8,3,9,3,10,2,11,2,12,1,2)</f>
        <v>1</v>
      </c>
      <c r="P4085" s="43"/>
    </row>
    <row r="4086" spans="1:16" ht="18" x14ac:dyDescent="0.35">
      <c r="A4086" s="43"/>
      <c r="C4086" s="393"/>
      <c r="E4086" s="394"/>
      <c r="F4086" s="394">
        <v>0</v>
      </c>
      <c r="G4086" s="394"/>
      <c r="H4086" s="8" t="s">
        <v>235</v>
      </c>
      <c r="I4086" s="368">
        <f t="shared" si="190"/>
        <v>0</v>
      </c>
      <c r="J4086" s="365">
        <f t="shared" si="189"/>
        <v>0</v>
      </c>
      <c r="K4086" s="369">
        <f t="shared" si="191"/>
        <v>6</v>
      </c>
      <c r="L4086" s="369">
        <f>+IF((C4086&gt;='Resultats - informe'!$E$16)*(C4086&lt;='Resultats - informe'!$G$16),1,0)</f>
        <v>1</v>
      </c>
      <c r="M4086" s="369" cm="1">
        <f t="array" ref="M4086">+_xlfn.IFS((C4086&gt;='Resultats - informe'!$D$26)*(C4086&lt;='Resultats - informe'!$E$26),0,(C4086&gt;='Resultats - informe'!$D$27)*(C4086&lt;='Resultats - informe'!$E$27),0,(C4086&gt;='Resultats - informe'!$D$28)*(C4086&lt;='Resultats - informe'!$E$28),0,(C4086&gt;='Resultats - informe'!$D$29)*(C4086&lt;='Resultats - informe'!$E$29),0,1,1)</f>
        <v>0</v>
      </c>
      <c r="N4086" s="366">
        <f>+VLOOKUP(D4086,'Resultats - informe'!$Y$18:$AG$42,'Introducció dades consum'!K4086+1,0)</f>
        <v>0</v>
      </c>
      <c r="O4086" s="370" cm="1">
        <f t="array" ref="O4086">+_xlfn.SWITCH(MONTH(C4086),1,1,2,1,3,1,4,2,5,2,6,3,7,3,8,3,9,3,10,2,11,2,12,1,2)</f>
        <v>1</v>
      </c>
      <c r="P4086" s="43"/>
    </row>
    <row r="4087" spans="1:16" ht="18" x14ac:dyDescent="0.35">
      <c r="A4087" s="43"/>
      <c r="C4087" s="393"/>
      <c r="E4087" s="394"/>
      <c r="F4087" s="394">
        <v>0</v>
      </c>
      <c r="G4087" s="394"/>
      <c r="H4087" s="8" t="s">
        <v>235</v>
      </c>
      <c r="I4087" s="368">
        <f t="shared" si="190"/>
        <v>0</v>
      </c>
      <c r="J4087" s="365">
        <f t="shared" si="189"/>
        <v>0</v>
      </c>
      <c r="K4087" s="369">
        <f t="shared" si="191"/>
        <v>6</v>
      </c>
      <c r="L4087" s="369">
        <f>+IF((C4087&gt;='Resultats - informe'!$E$16)*(C4087&lt;='Resultats - informe'!$G$16),1,0)</f>
        <v>1</v>
      </c>
      <c r="M4087" s="369" cm="1">
        <f t="array" ref="M4087">+_xlfn.IFS((C4087&gt;='Resultats - informe'!$D$26)*(C4087&lt;='Resultats - informe'!$E$26),0,(C4087&gt;='Resultats - informe'!$D$27)*(C4087&lt;='Resultats - informe'!$E$27),0,(C4087&gt;='Resultats - informe'!$D$28)*(C4087&lt;='Resultats - informe'!$E$28),0,(C4087&gt;='Resultats - informe'!$D$29)*(C4087&lt;='Resultats - informe'!$E$29),0,1,1)</f>
        <v>0</v>
      </c>
      <c r="N4087" s="366">
        <f>+VLOOKUP(D4087,'Resultats - informe'!$Y$18:$AG$42,'Introducció dades consum'!K4087+1,0)</f>
        <v>0</v>
      </c>
      <c r="O4087" s="370" cm="1">
        <f t="array" ref="O4087">+_xlfn.SWITCH(MONTH(C4087),1,1,2,1,3,1,4,2,5,2,6,3,7,3,8,3,9,3,10,2,11,2,12,1,2)</f>
        <v>1</v>
      </c>
      <c r="P4087" s="43"/>
    </row>
    <row r="4088" spans="1:16" ht="18" x14ac:dyDescent="0.35">
      <c r="A4088" s="43"/>
      <c r="C4088" s="393"/>
      <c r="E4088" s="394"/>
      <c r="F4088" s="394">
        <v>0</v>
      </c>
      <c r="G4088" s="394"/>
      <c r="H4088" s="8" t="s">
        <v>235</v>
      </c>
      <c r="I4088" s="368">
        <f t="shared" si="190"/>
        <v>0</v>
      </c>
      <c r="J4088" s="365">
        <f t="shared" si="189"/>
        <v>0</v>
      </c>
      <c r="K4088" s="369">
        <f t="shared" si="191"/>
        <v>6</v>
      </c>
      <c r="L4088" s="369">
        <f>+IF((C4088&gt;='Resultats - informe'!$E$16)*(C4088&lt;='Resultats - informe'!$G$16),1,0)</f>
        <v>1</v>
      </c>
      <c r="M4088" s="369" cm="1">
        <f t="array" ref="M4088">+_xlfn.IFS((C4088&gt;='Resultats - informe'!$D$26)*(C4088&lt;='Resultats - informe'!$E$26),0,(C4088&gt;='Resultats - informe'!$D$27)*(C4088&lt;='Resultats - informe'!$E$27),0,(C4088&gt;='Resultats - informe'!$D$28)*(C4088&lt;='Resultats - informe'!$E$28),0,(C4088&gt;='Resultats - informe'!$D$29)*(C4088&lt;='Resultats - informe'!$E$29),0,1,1)</f>
        <v>0</v>
      </c>
      <c r="N4088" s="366">
        <f>+VLOOKUP(D4088,'Resultats - informe'!$Y$18:$AG$42,'Introducció dades consum'!K4088+1,0)</f>
        <v>0</v>
      </c>
      <c r="O4088" s="370" cm="1">
        <f t="array" ref="O4088">+_xlfn.SWITCH(MONTH(C4088),1,1,2,1,3,1,4,2,5,2,6,3,7,3,8,3,9,3,10,2,11,2,12,1,2)</f>
        <v>1</v>
      </c>
      <c r="P4088" s="43"/>
    </row>
    <row r="4089" spans="1:16" ht="18" x14ac:dyDescent="0.35">
      <c r="A4089" s="43"/>
      <c r="C4089" s="393"/>
      <c r="E4089" s="394"/>
      <c r="F4089" s="394">
        <v>0.14599999999999999</v>
      </c>
      <c r="G4089" s="394"/>
      <c r="H4089" s="8" t="s">
        <v>235</v>
      </c>
      <c r="I4089" s="368">
        <f t="shared" si="190"/>
        <v>0</v>
      </c>
      <c r="J4089" s="365">
        <f t="shared" si="189"/>
        <v>0</v>
      </c>
      <c r="K4089" s="369">
        <f t="shared" si="191"/>
        <v>6</v>
      </c>
      <c r="L4089" s="369">
        <f>+IF((C4089&gt;='Resultats - informe'!$E$16)*(C4089&lt;='Resultats - informe'!$G$16),1,0)</f>
        <v>1</v>
      </c>
      <c r="M4089" s="369" cm="1">
        <f t="array" ref="M4089">+_xlfn.IFS((C4089&gt;='Resultats - informe'!$D$26)*(C4089&lt;='Resultats - informe'!$E$26),0,(C4089&gt;='Resultats - informe'!$D$27)*(C4089&lt;='Resultats - informe'!$E$27),0,(C4089&gt;='Resultats - informe'!$D$28)*(C4089&lt;='Resultats - informe'!$E$28),0,(C4089&gt;='Resultats - informe'!$D$29)*(C4089&lt;='Resultats - informe'!$E$29),0,1,1)</f>
        <v>0</v>
      </c>
      <c r="N4089" s="366">
        <f>+VLOOKUP(D4089,'Resultats - informe'!$Y$18:$AG$42,'Introducció dades consum'!K4089+1,0)</f>
        <v>0</v>
      </c>
      <c r="O4089" s="370" cm="1">
        <f t="array" ref="O4089">+_xlfn.SWITCH(MONTH(C4089),1,1,2,1,3,1,4,2,5,2,6,3,7,3,8,3,9,3,10,2,11,2,12,1,2)</f>
        <v>1</v>
      </c>
      <c r="P4089" s="43"/>
    </row>
    <row r="4090" spans="1:16" ht="18" x14ac:dyDescent="0.35">
      <c r="A4090" s="43"/>
      <c r="C4090" s="393"/>
      <c r="E4090" s="394"/>
      <c r="F4090" s="394">
        <v>0.73099999999999998</v>
      </c>
      <c r="G4090" s="394"/>
      <c r="H4090" s="8" t="s">
        <v>235</v>
      </c>
      <c r="I4090" s="368">
        <f t="shared" si="190"/>
        <v>0</v>
      </c>
      <c r="J4090" s="365">
        <f t="shared" si="189"/>
        <v>0</v>
      </c>
      <c r="K4090" s="369">
        <f t="shared" si="191"/>
        <v>6</v>
      </c>
      <c r="L4090" s="369">
        <f>+IF((C4090&gt;='Resultats - informe'!$E$16)*(C4090&lt;='Resultats - informe'!$G$16),1,0)</f>
        <v>1</v>
      </c>
      <c r="M4090" s="369" cm="1">
        <f t="array" ref="M4090">+_xlfn.IFS((C4090&gt;='Resultats - informe'!$D$26)*(C4090&lt;='Resultats - informe'!$E$26),0,(C4090&gt;='Resultats - informe'!$D$27)*(C4090&lt;='Resultats - informe'!$E$27),0,(C4090&gt;='Resultats - informe'!$D$28)*(C4090&lt;='Resultats - informe'!$E$28),0,(C4090&gt;='Resultats - informe'!$D$29)*(C4090&lt;='Resultats - informe'!$E$29),0,1,1)</f>
        <v>0</v>
      </c>
      <c r="N4090" s="366">
        <f>+VLOOKUP(D4090,'Resultats - informe'!$Y$18:$AG$42,'Introducció dades consum'!K4090+1,0)</f>
        <v>0</v>
      </c>
      <c r="O4090" s="370" cm="1">
        <f t="array" ref="O4090">+_xlfn.SWITCH(MONTH(C4090),1,1,2,1,3,1,4,2,5,2,6,3,7,3,8,3,9,3,10,2,11,2,12,1,2)</f>
        <v>1</v>
      </c>
      <c r="P4090" s="43"/>
    </row>
    <row r="4091" spans="1:16" ht="18" x14ac:dyDescent="0.35">
      <c r="A4091" s="43"/>
      <c r="C4091" s="393"/>
      <c r="E4091" s="394"/>
      <c r="F4091" s="394">
        <v>1.3120000000000001</v>
      </c>
      <c r="G4091" s="394"/>
      <c r="H4091" s="8" t="s">
        <v>235</v>
      </c>
      <c r="I4091" s="368">
        <f t="shared" si="190"/>
        <v>0</v>
      </c>
      <c r="J4091" s="365">
        <f t="shared" ref="J4091:J4154" si="192">+C4091</f>
        <v>0</v>
      </c>
      <c r="K4091" s="369">
        <f t="shared" si="191"/>
        <v>6</v>
      </c>
      <c r="L4091" s="369">
        <f>+IF((C4091&gt;='Resultats - informe'!$E$16)*(C4091&lt;='Resultats - informe'!$G$16),1,0)</f>
        <v>1</v>
      </c>
      <c r="M4091" s="369" cm="1">
        <f t="array" ref="M4091">+_xlfn.IFS((C4091&gt;='Resultats - informe'!$D$26)*(C4091&lt;='Resultats - informe'!$E$26),0,(C4091&gt;='Resultats - informe'!$D$27)*(C4091&lt;='Resultats - informe'!$E$27),0,(C4091&gt;='Resultats - informe'!$D$28)*(C4091&lt;='Resultats - informe'!$E$28),0,(C4091&gt;='Resultats - informe'!$D$29)*(C4091&lt;='Resultats - informe'!$E$29),0,1,1)</f>
        <v>0</v>
      </c>
      <c r="N4091" s="366">
        <f>+VLOOKUP(D4091,'Resultats - informe'!$Y$18:$AG$42,'Introducció dades consum'!K4091+1,0)</f>
        <v>0</v>
      </c>
      <c r="O4091" s="370" cm="1">
        <f t="array" ref="O4091">+_xlfn.SWITCH(MONTH(C4091),1,1,2,1,3,1,4,2,5,2,6,3,7,3,8,3,9,3,10,2,11,2,12,1,2)</f>
        <v>1</v>
      </c>
      <c r="P4091" s="43"/>
    </row>
    <row r="4092" spans="1:16" ht="18" x14ac:dyDescent="0.35">
      <c r="A4092" s="43"/>
      <c r="C4092" s="393"/>
      <c r="E4092" s="394"/>
      <c r="F4092" s="394">
        <v>0</v>
      </c>
      <c r="G4092" s="394"/>
      <c r="H4092" s="8" t="s">
        <v>61</v>
      </c>
      <c r="I4092" s="368">
        <f t="shared" si="190"/>
        <v>0</v>
      </c>
      <c r="J4092" s="365">
        <f t="shared" si="192"/>
        <v>0</v>
      </c>
      <c r="K4092" s="369">
        <f t="shared" si="191"/>
        <v>6</v>
      </c>
      <c r="L4092" s="369">
        <f>+IF((C4092&gt;='Resultats - informe'!$E$16)*(C4092&lt;='Resultats - informe'!$G$16),1,0)</f>
        <v>1</v>
      </c>
      <c r="M4092" s="369" cm="1">
        <f t="array" ref="M4092">+_xlfn.IFS((C4092&gt;='Resultats - informe'!$D$26)*(C4092&lt;='Resultats - informe'!$E$26),0,(C4092&gt;='Resultats - informe'!$D$27)*(C4092&lt;='Resultats - informe'!$E$27),0,(C4092&gt;='Resultats - informe'!$D$28)*(C4092&lt;='Resultats - informe'!$E$28),0,(C4092&gt;='Resultats - informe'!$D$29)*(C4092&lt;='Resultats - informe'!$E$29),0,1,1)</f>
        <v>0</v>
      </c>
      <c r="N4092" s="366">
        <f>+VLOOKUP(D4092,'Resultats - informe'!$Y$18:$AG$42,'Introducció dades consum'!K4092+1,0)</f>
        <v>0</v>
      </c>
      <c r="O4092" s="370" cm="1">
        <f t="array" ref="O4092">+_xlfn.SWITCH(MONTH(C4092),1,1,2,1,3,1,4,2,5,2,6,3,7,3,8,3,9,3,10,2,11,2,12,1,2)</f>
        <v>1</v>
      </c>
      <c r="P4092" s="43"/>
    </row>
    <row r="4093" spans="1:16" ht="18" x14ac:dyDescent="0.35">
      <c r="A4093" s="43"/>
      <c r="C4093" s="393"/>
      <c r="E4093" s="394"/>
      <c r="F4093" s="394">
        <v>1.351</v>
      </c>
      <c r="G4093" s="394"/>
      <c r="H4093" s="8" t="s">
        <v>61</v>
      </c>
      <c r="I4093" s="368">
        <f t="shared" si="190"/>
        <v>0</v>
      </c>
      <c r="J4093" s="365">
        <f t="shared" si="192"/>
        <v>0</v>
      </c>
      <c r="K4093" s="369">
        <f t="shared" si="191"/>
        <v>6</v>
      </c>
      <c r="L4093" s="369">
        <f>+IF((C4093&gt;='Resultats - informe'!$E$16)*(C4093&lt;='Resultats - informe'!$G$16),1,0)</f>
        <v>1</v>
      </c>
      <c r="M4093" s="369" cm="1">
        <f t="array" ref="M4093">+_xlfn.IFS((C4093&gt;='Resultats - informe'!$D$26)*(C4093&lt;='Resultats - informe'!$E$26),0,(C4093&gt;='Resultats - informe'!$D$27)*(C4093&lt;='Resultats - informe'!$E$27),0,(C4093&gt;='Resultats - informe'!$D$28)*(C4093&lt;='Resultats - informe'!$E$28),0,(C4093&gt;='Resultats - informe'!$D$29)*(C4093&lt;='Resultats - informe'!$E$29),0,1,1)</f>
        <v>0</v>
      </c>
      <c r="N4093" s="366">
        <f>+VLOOKUP(D4093,'Resultats - informe'!$Y$18:$AG$42,'Introducció dades consum'!K4093+1,0)</f>
        <v>0</v>
      </c>
      <c r="O4093" s="370" cm="1">
        <f t="array" ref="O4093">+_xlfn.SWITCH(MONTH(C4093),1,1,2,1,3,1,4,2,5,2,6,3,7,3,8,3,9,3,10,2,11,2,12,1,2)</f>
        <v>1</v>
      </c>
      <c r="P4093" s="43"/>
    </row>
    <row r="4094" spans="1:16" ht="18" x14ac:dyDescent="0.35">
      <c r="A4094" s="43"/>
      <c r="C4094" s="393"/>
      <c r="E4094" s="394"/>
      <c r="F4094" s="394">
        <v>4.9589999999999996</v>
      </c>
      <c r="G4094" s="394"/>
      <c r="H4094" s="8" t="s">
        <v>235</v>
      </c>
      <c r="I4094" s="368">
        <f t="shared" si="190"/>
        <v>0</v>
      </c>
      <c r="J4094" s="365">
        <f t="shared" si="192"/>
        <v>0</v>
      </c>
      <c r="K4094" s="369">
        <f t="shared" si="191"/>
        <v>6</v>
      </c>
      <c r="L4094" s="369">
        <f>+IF((C4094&gt;='Resultats - informe'!$E$16)*(C4094&lt;='Resultats - informe'!$G$16),1,0)</f>
        <v>1</v>
      </c>
      <c r="M4094" s="369" cm="1">
        <f t="array" ref="M4094">+_xlfn.IFS((C4094&gt;='Resultats - informe'!$D$26)*(C4094&lt;='Resultats - informe'!$E$26),0,(C4094&gt;='Resultats - informe'!$D$27)*(C4094&lt;='Resultats - informe'!$E$27),0,(C4094&gt;='Resultats - informe'!$D$28)*(C4094&lt;='Resultats - informe'!$E$28),0,(C4094&gt;='Resultats - informe'!$D$29)*(C4094&lt;='Resultats - informe'!$E$29),0,1,1)</f>
        <v>0</v>
      </c>
      <c r="N4094" s="366">
        <f>+VLOOKUP(D4094,'Resultats - informe'!$Y$18:$AG$42,'Introducció dades consum'!K4094+1,0)</f>
        <v>0</v>
      </c>
      <c r="O4094" s="370" cm="1">
        <f t="array" ref="O4094">+_xlfn.SWITCH(MONTH(C4094),1,1,2,1,3,1,4,2,5,2,6,3,7,3,8,3,9,3,10,2,11,2,12,1,2)</f>
        <v>1</v>
      </c>
      <c r="P4094" s="43"/>
    </row>
    <row r="4095" spans="1:16" ht="18" x14ac:dyDescent="0.35">
      <c r="A4095" s="43"/>
      <c r="C4095" s="393"/>
      <c r="E4095" s="394"/>
      <c r="F4095" s="394">
        <v>5.2930000000000001</v>
      </c>
      <c r="G4095" s="394"/>
      <c r="H4095" s="8" t="s">
        <v>235</v>
      </c>
      <c r="I4095" s="368">
        <f t="shared" si="190"/>
        <v>0</v>
      </c>
      <c r="J4095" s="365">
        <f t="shared" si="192"/>
        <v>0</v>
      </c>
      <c r="K4095" s="369">
        <f t="shared" si="191"/>
        <v>6</v>
      </c>
      <c r="L4095" s="369">
        <f>+IF((C4095&gt;='Resultats - informe'!$E$16)*(C4095&lt;='Resultats - informe'!$G$16),1,0)</f>
        <v>1</v>
      </c>
      <c r="M4095" s="369" cm="1">
        <f t="array" ref="M4095">+_xlfn.IFS((C4095&gt;='Resultats - informe'!$D$26)*(C4095&lt;='Resultats - informe'!$E$26),0,(C4095&gt;='Resultats - informe'!$D$27)*(C4095&lt;='Resultats - informe'!$E$27),0,(C4095&gt;='Resultats - informe'!$D$28)*(C4095&lt;='Resultats - informe'!$E$28),0,(C4095&gt;='Resultats - informe'!$D$29)*(C4095&lt;='Resultats - informe'!$E$29),0,1,1)</f>
        <v>0</v>
      </c>
      <c r="N4095" s="366">
        <f>+VLOOKUP(D4095,'Resultats - informe'!$Y$18:$AG$42,'Introducció dades consum'!K4095+1,0)</f>
        <v>0</v>
      </c>
      <c r="O4095" s="370" cm="1">
        <f t="array" ref="O4095">+_xlfn.SWITCH(MONTH(C4095),1,1,2,1,3,1,4,2,5,2,6,3,7,3,8,3,9,3,10,2,11,2,12,1,2)</f>
        <v>1</v>
      </c>
      <c r="P4095" s="43"/>
    </row>
    <row r="4096" spans="1:16" ht="18" x14ac:dyDescent="0.35">
      <c r="A4096" s="43"/>
      <c r="C4096" s="393"/>
      <c r="E4096" s="394"/>
      <c r="F4096" s="394">
        <v>5.1710000000000003</v>
      </c>
      <c r="G4096" s="394"/>
      <c r="H4096" s="8" t="s">
        <v>61</v>
      </c>
      <c r="I4096" s="368">
        <f t="shared" si="190"/>
        <v>0</v>
      </c>
      <c r="J4096" s="365">
        <f t="shared" si="192"/>
        <v>0</v>
      </c>
      <c r="K4096" s="369">
        <f t="shared" si="191"/>
        <v>6</v>
      </c>
      <c r="L4096" s="369">
        <f>+IF((C4096&gt;='Resultats - informe'!$E$16)*(C4096&lt;='Resultats - informe'!$G$16),1,0)</f>
        <v>1</v>
      </c>
      <c r="M4096" s="369" cm="1">
        <f t="array" ref="M4096">+_xlfn.IFS((C4096&gt;='Resultats - informe'!$D$26)*(C4096&lt;='Resultats - informe'!$E$26),0,(C4096&gt;='Resultats - informe'!$D$27)*(C4096&lt;='Resultats - informe'!$E$27),0,(C4096&gt;='Resultats - informe'!$D$28)*(C4096&lt;='Resultats - informe'!$E$28),0,(C4096&gt;='Resultats - informe'!$D$29)*(C4096&lt;='Resultats - informe'!$E$29),0,1,1)</f>
        <v>0</v>
      </c>
      <c r="N4096" s="366">
        <f>+VLOOKUP(D4096,'Resultats - informe'!$Y$18:$AG$42,'Introducció dades consum'!K4096+1,0)</f>
        <v>0</v>
      </c>
      <c r="O4096" s="370" cm="1">
        <f t="array" ref="O4096">+_xlfn.SWITCH(MONTH(C4096),1,1,2,1,3,1,4,2,5,2,6,3,7,3,8,3,9,3,10,2,11,2,12,1,2)</f>
        <v>1</v>
      </c>
      <c r="P4096" s="43"/>
    </row>
    <row r="4097" spans="1:16" ht="18" x14ac:dyDescent="0.35">
      <c r="A4097" s="43"/>
      <c r="C4097" s="393"/>
      <c r="E4097" s="394"/>
      <c r="F4097" s="394">
        <v>5.4589999999999996</v>
      </c>
      <c r="G4097" s="394"/>
      <c r="H4097" s="8" t="s">
        <v>61</v>
      </c>
      <c r="I4097" s="368">
        <f t="shared" si="190"/>
        <v>0</v>
      </c>
      <c r="J4097" s="365">
        <f t="shared" si="192"/>
        <v>0</v>
      </c>
      <c r="K4097" s="369">
        <f t="shared" si="191"/>
        <v>6</v>
      </c>
      <c r="L4097" s="369">
        <f>+IF((C4097&gt;='Resultats - informe'!$E$16)*(C4097&lt;='Resultats - informe'!$G$16),1,0)</f>
        <v>1</v>
      </c>
      <c r="M4097" s="369" cm="1">
        <f t="array" ref="M4097">+_xlfn.IFS((C4097&gt;='Resultats - informe'!$D$26)*(C4097&lt;='Resultats - informe'!$E$26),0,(C4097&gt;='Resultats - informe'!$D$27)*(C4097&lt;='Resultats - informe'!$E$27),0,(C4097&gt;='Resultats - informe'!$D$28)*(C4097&lt;='Resultats - informe'!$E$28),0,(C4097&gt;='Resultats - informe'!$D$29)*(C4097&lt;='Resultats - informe'!$E$29),0,1,1)</f>
        <v>0</v>
      </c>
      <c r="N4097" s="366">
        <f>+VLOOKUP(D4097,'Resultats - informe'!$Y$18:$AG$42,'Introducció dades consum'!K4097+1,0)</f>
        <v>0</v>
      </c>
      <c r="O4097" s="370" cm="1">
        <f t="array" ref="O4097">+_xlfn.SWITCH(MONTH(C4097),1,1,2,1,3,1,4,2,5,2,6,3,7,3,8,3,9,3,10,2,11,2,12,1,2)</f>
        <v>1</v>
      </c>
      <c r="P4097" s="43"/>
    </row>
    <row r="4098" spans="1:16" ht="18" x14ac:dyDescent="0.35">
      <c r="A4098" s="43"/>
      <c r="C4098" s="393"/>
      <c r="E4098" s="394"/>
      <c r="F4098" s="394">
        <v>5.5650000000000004</v>
      </c>
      <c r="G4098" s="394"/>
      <c r="H4098" s="8" t="s">
        <v>61</v>
      </c>
      <c r="I4098" s="368">
        <f t="shared" si="190"/>
        <v>0</v>
      </c>
      <c r="J4098" s="365">
        <f t="shared" si="192"/>
        <v>0</v>
      </c>
      <c r="K4098" s="369">
        <f t="shared" si="191"/>
        <v>6</v>
      </c>
      <c r="L4098" s="369">
        <f>+IF((C4098&gt;='Resultats - informe'!$E$16)*(C4098&lt;='Resultats - informe'!$G$16),1,0)</f>
        <v>1</v>
      </c>
      <c r="M4098" s="369" cm="1">
        <f t="array" ref="M4098">+_xlfn.IFS((C4098&gt;='Resultats - informe'!$D$26)*(C4098&lt;='Resultats - informe'!$E$26),0,(C4098&gt;='Resultats - informe'!$D$27)*(C4098&lt;='Resultats - informe'!$E$27),0,(C4098&gt;='Resultats - informe'!$D$28)*(C4098&lt;='Resultats - informe'!$E$28),0,(C4098&gt;='Resultats - informe'!$D$29)*(C4098&lt;='Resultats - informe'!$E$29),0,1,1)</f>
        <v>0</v>
      </c>
      <c r="N4098" s="366">
        <f>+VLOOKUP(D4098,'Resultats - informe'!$Y$18:$AG$42,'Introducció dades consum'!K4098+1,0)</f>
        <v>0</v>
      </c>
      <c r="O4098" s="370" cm="1">
        <f t="array" ref="O4098">+_xlfn.SWITCH(MONTH(C4098),1,1,2,1,3,1,4,2,5,2,6,3,7,3,8,3,9,3,10,2,11,2,12,1,2)</f>
        <v>1</v>
      </c>
      <c r="P4098" s="43"/>
    </row>
    <row r="4099" spans="1:16" ht="18" x14ac:dyDescent="0.35">
      <c r="A4099" s="43"/>
      <c r="C4099" s="393"/>
      <c r="E4099" s="394"/>
      <c r="F4099" s="394">
        <v>5.274</v>
      </c>
      <c r="G4099" s="394"/>
      <c r="H4099" s="8" t="s">
        <v>61</v>
      </c>
      <c r="I4099" s="368">
        <f t="shared" si="190"/>
        <v>0</v>
      </c>
      <c r="J4099" s="365">
        <f t="shared" si="192"/>
        <v>0</v>
      </c>
      <c r="K4099" s="369">
        <f t="shared" si="191"/>
        <v>6</v>
      </c>
      <c r="L4099" s="369">
        <f>+IF((C4099&gt;='Resultats - informe'!$E$16)*(C4099&lt;='Resultats - informe'!$G$16),1,0)</f>
        <v>1</v>
      </c>
      <c r="M4099" s="369" cm="1">
        <f t="array" ref="M4099">+_xlfn.IFS((C4099&gt;='Resultats - informe'!$D$26)*(C4099&lt;='Resultats - informe'!$E$26),0,(C4099&gt;='Resultats - informe'!$D$27)*(C4099&lt;='Resultats - informe'!$E$27),0,(C4099&gt;='Resultats - informe'!$D$28)*(C4099&lt;='Resultats - informe'!$E$28),0,(C4099&gt;='Resultats - informe'!$D$29)*(C4099&lt;='Resultats - informe'!$E$29),0,1,1)</f>
        <v>0</v>
      </c>
      <c r="N4099" s="366">
        <f>+VLOOKUP(D4099,'Resultats - informe'!$Y$18:$AG$42,'Introducció dades consum'!K4099+1,0)</f>
        <v>0</v>
      </c>
      <c r="O4099" s="370" cm="1">
        <f t="array" ref="O4099">+_xlfn.SWITCH(MONTH(C4099),1,1,2,1,3,1,4,2,5,2,6,3,7,3,8,3,9,3,10,2,11,2,12,1,2)</f>
        <v>1</v>
      </c>
      <c r="P4099" s="43"/>
    </row>
    <row r="4100" spans="1:16" ht="18" x14ac:dyDescent="0.35">
      <c r="A4100" s="43"/>
      <c r="C4100" s="393"/>
      <c r="E4100" s="394"/>
      <c r="F4100" s="394">
        <v>0.79300000000000004</v>
      </c>
      <c r="G4100" s="394"/>
      <c r="H4100" s="8" t="s">
        <v>235</v>
      </c>
      <c r="I4100" s="368">
        <f t="shared" si="190"/>
        <v>0</v>
      </c>
      <c r="J4100" s="365">
        <f t="shared" si="192"/>
        <v>0</v>
      </c>
      <c r="K4100" s="369">
        <f t="shared" si="191"/>
        <v>6</v>
      </c>
      <c r="L4100" s="369">
        <f>+IF((C4100&gt;='Resultats - informe'!$E$16)*(C4100&lt;='Resultats - informe'!$G$16),1,0)</f>
        <v>1</v>
      </c>
      <c r="M4100" s="369" cm="1">
        <f t="array" ref="M4100">+_xlfn.IFS((C4100&gt;='Resultats - informe'!$D$26)*(C4100&lt;='Resultats - informe'!$E$26),0,(C4100&gt;='Resultats - informe'!$D$27)*(C4100&lt;='Resultats - informe'!$E$27),0,(C4100&gt;='Resultats - informe'!$D$28)*(C4100&lt;='Resultats - informe'!$E$28),0,(C4100&gt;='Resultats - informe'!$D$29)*(C4100&lt;='Resultats - informe'!$E$29),0,1,1)</f>
        <v>0</v>
      </c>
      <c r="N4100" s="366">
        <f>+VLOOKUP(D4100,'Resultats - informe'!$Y$18:$AG$42,'Introducció dades consum'!K4100+1,0)</f>
        <v>0</v>
      </c>
      <c r="O4100" s="370" cm="1">
        <f t="array" ref="O4100">+_xlfn.SWITCH(MONTH(C4100),1,1,2,1,3,1,4,2,5,2,6,3,7,3,8,3,9,3,10,2,11,2,12,1,2)</f>
        <v>1</v>
      </c>
      <c r="P4100" s="43"/>
    </row>
    <row r="4101" spans="1:16" ht="18" x14ac:dyDescent="0.35">
      <c r="A4101" s="43"/>
      <c r="C4101" s="393"/>
      <c r="E4101" s="394"/>
      <c r="F4101" s="394">
        <v>0.499</v>
      </c>
      <c r="G4101" s="394"/>
      <c r="H4101" s="8" t="s">
        <v>235</v>
      </c>
      <c r="I4101" s="368">
        <f t="shared" si="190"/>
        <v>0</v>
      </c>
      <c r="J4101" s="365">
        <f t="shared" si="192"/>
        <v>0</v>
      </c>
      <c r="K4101" s="369">
        <f t="shared" si="191"/>
        <v>6</v>
      </c>
      <c r="L4101" s="369">
        <f>+IF((C4101&gt;='Resultats - informe'!$E$16)*(C4101&lt;='Resultats - informe'!$G$16),1,0)</f>
        <v>1</v>
      </c>
      <c r="M4101" s="369" cm="1">
        <f t="array" ref="M4101">+_xlfn.IFS((C4101&gt;='Resultats - informe'!$D$26)*(C4101&lt;='Resultats - informe'!$E$26),0,(C4101&gt;='Resultats - informe'!$D$27)*(C4101&lt;='Resultats - informe'!$E$27),0,(C4101&gt;='Resultats - informe'!$D$28)*(C4101&lt;='Resultats - informe'!$E$28),0,(C4101&gt;='Resultats - informe'!$D$29)*(C4101&lt;='Resultats - informe'!$E$29),0,1,1)</f>
        <v>0</v>
      </c>
      <c r="N4101" s="366">
        <f>+VLOOKUP(D4101,'Resultats - informe'!$Y$18:$AG$42,'Introducció dades consum'!K4101+1,0)</f>
        <v>0</v>
      </c>
      <c r="O4101" s="370" cm="1">
        <f t="array" ref="O4101">+_xlfn.SWITCH(MONTH(C4101),1,1,2,1,3,1,4,2,5,2,6,3,7,3,8,3,9,3,10,2,11,2,12,1,2)</f>
        <v>1</v>
      </c>
      <c r="P4101" s="43"/>
    </row>
    <row r="4102" spans="1:16" ht="18" x14ac:dyDescent="0.35">
      <c r="A4102" s="43"/>
      <c r="C4102" s="393"/>
      <c r="E4102" s="394"/>
      <c r="F4102" s="394">
        <v>1.1459999999999999</v>
      </c>
      <c r="G4102" s="394"/>
      <c r="H4102" s="8" t="s">
        <v>61</v>
      </c>
      <c r="I4102" s="368">
        <f t="shared" ref="I4102:I4165" si="193">+E4102+G4102</f>
        <v>0</v>
      </c>
      <c r="J4102" s="365">
        <f t="shared" si="192"/>
        <v>0</v>
      </c>
      <c r="K4102" s="369">
        <f t="shared" ref="K4102:K4165" si="194">+WEEKDAY(C4102,2)</f>
        <v>6</v>
      </c>
      <c r="L4102" s="369">
        <f>+IF((C4102&gt;='Resultats - informe'!$E$16)*(C4102&lt;='Resultats - informe'!$G$16),1,0)</f>
        <v>1</v>
      </c>
      <c r="M4102" s="369" cm="1">
        <f t="array" ref="M4102">+_xlfn.IFS((C4102&gt;='Resultats - informe'!$D$26)*(C4102&lt;='Resultats - informe'!$E$26),0,(C4102&gt;='Resultats - informe'!$D$27)*(C4102&lt;='Resultats - informe'!$E$27),0,(C4102&gt;='Resultats - informe'!$D$28)*(C4102&lt;='Resultats - informe'!$E$28),0,(C4102&gt;='Resultats - informe'!$D$29)*(C4102&lt;='Resultats - informe'!$E$29),0,1,1)</f>
        <v>0</v>
      </c>
      <c r="N4102" s="366">
        <f>+VLOOKUP(D4102,'Resultats - informe'!$Y$18:$AG$42,'Introducció dades consum'!K4102+1,0)</f>
        <v>0</v>
      </c>
      <c r="O4102" s="370" cm="1">
        <f t="array" ref="O4102">+_xlfn.SWITCH(MONTH(C4102),1,1,2,1,3,1,4,2,5,2,6,3,7,3,8,3,9,3,10,2,11,2,12,1,2)</f>
        <v>1</v>
      </c>
      <c r="P4102" s="43"/>
    </row>
    <row r="4103" spans="1:16" ht="18" x14ac:dyDescent="0.35">
      <c r="A4103" s="43"/>
      <c r="C4103" s="393"/>
      <c r="E4103" s="394"/>
      <c r="F4103" s="394">
        <v>0.47599999999999998</v>
      </c>
      <c r="G4103" s="394"/>
      <c r="H4103" s="8" t="s">
        <v>61</v>
      </c>
      <c r="I4103" s="368">
        <f t="shared" si="193"/>
        <v>0</v>
      </c>
      <c r="J4103" s="365">
        <f t="shared" si="192"/>
        <v>0</v>
      </c>
      <c r="K4103" s="369">
        <f t="shared" si="194"/>
        <v>6</v>
      </c>
      <c r="L4103" s="369">
        <f>+IF((C4103&gt;='Resultats - informe'!$E$16)*(C4103&lt;='Resultats - informe'!$G$16),1,0)</f>
        <v>1</v>
      </c>
      <c r="M4103" s="369" cm="1">
        <f t="array" ref="M4103">+_xlfn.IFS((C4103&gt;='Resultats - informe'!$D$26)*(C4103&lt;='Resultats - informe'!$E$26),0,(C4103&gt;='Resultats - informe'!$D$27)*(C4103&lt;='Resultats - informe'!$E$27),0,(C4103&gt;='Resultats - informe'!$D$28)*(C4103&lt;='Resultats - informe'!$E$28),0,(C4103&gt;='Resultats - informe'!$D$29)*(C4103&lt;='Resultats - informe'!$E$29),0,1,1)</f>
        <v>0</v>
      </c>
      <c r="N4103" s="366">
        <f>+VLOOKUP(D4103,'Resultats - informe'!$Y$18:$AG$42,'Introducció dades consum'!K4103+1,0)</f>
        <v>0</v>
      </c>
      <c r="O4103" s="370" cm="1">
        <f t="array" ref="O4103">+_xlfn.SWITCH(MONTH(C4103),1,1,2,1,3,1,4,2,5,2,6,3,7,3,8,3,9,3,10,2,11,2,12,1,2)</f>
        <v>1</v>
      </c>
      <c r="P4103" s="43"/>
    </row>
    <row r="4104" spans="1:16" ht="18" x14ac:dyDescent="0.35">
      <c r="A4104" s="43"/>
      <c r="C4104" s="393"/>
      <c r="E4104" s="394"/>
      <c r="F4104" s="394">
        <v>0</v>
      </c>
      <c r="G4104" s="394"/>
      <c r="H4104" s="8" t="s">
        <v>61</v>
      </c>
      <c r="I4104" s="368">
        <f t="shared" si="193"/>
        <v>0</v>
      </c>
      <c r="J4104" s="365">
        <f t="shared" si="192"/>
        <v>0</v>
      </c>
      <c r="K4104" s="369">
        <f t="shared" si="194"/>
        <v>6</v>
      </c>
      <c r="L4104" s="369">
        <f>+IF((C4104&gt;='Resultats - informe'!$E$16)*(C4104&lt;='Resultats - informe'!$G$16),1,0)</f>
        <v>1</v>
      </c>
      <c r="M4104" s="369" cm="1">
        <f t="array" ref="M4104">+_xlfn.IFS((C4104&gt;='Resultats - informe'!$D$26)*(C4104&lt;='Resultats - informe'!$E$26),0,(C4104&gt;='Resultats - informe'!$D$27)*(C4104&lt;='Resultats - informe'!$E$27),0,(C4104&gt;='Resultats - informe'!$D$28)*(C4104&lt;='Resultats - informe'!$E$28),0,(C4104&gt;='Resultats - informe'!$D$29)*(C4104&lt;='Resultats - informe'!$E$29),0,1,1)</f>
        <v>0</v>
      </c>
      <c r="N4104" s="366">
        <f>+VLOOKUP(D4104,'Resultats - informe'!$Y$18:$AG$42,'Introducció dades consum'!K4104+1,0)</f>
        <v>0</v>
      </c>
      <c r="O4104" s="370" cm="1">
        <f t="array" ref="O4104">+_xlfn.SWITCH(MONTH(C4104),1,1,2,1,3,1,4,2,5,2,6,3,7,3,8,3,9,3,10,2,11,2,12,1,2)</f>
        <v>1</v>
      </c>
      <c r="P4104" s="43"/>
    </row>
    <row r="4105" spans="1:16" ht="18" x14ac:dyDescent="0.35">
      <c r="A4105" s="43"/>
      <c r="C4105" s="393"/>
      <c r="E4105" s="394"/>
      <c r="F4105" s="394">
        <v>0</v>
      </c>
      <c r="G4105" s="394"/>
      <c r="H4105" s="8" t="s">
        <v>61</v>
      </c>
      <c r="I4105" s="368">
        <f t="shared" si="193"/>
        <v>0</v>
      </c>
      <c r="J4105" s="365">
        <f t="shared" si="192"/>
        <v>0</v>
      </c>
      <c r="K4105" s="369">
        <f t="shared" si="194"/>
        <v>6</v>
      </c>
      <c r="L4105" s="369">
        <f>+IF((C4105&gt;='Resultats - informe'!$E$16)*(C4105&lt;='Resultats - informe'!$G$16),1,0)</f>
        <v>1</v>
      </c>
      <c r="M4105" s="369" cm="1">
        <f t="array" ref="M4105">+_xlfn.IFS((C4105&gt;='Resultats - informe'!$D$26)*(C4105&lt;='Resultats - informe'!$E$26),0,(C4105&gt;='Resultats - informe'!$D$27)*(C4105&lt;='Resultats - informe'!$E$27),0,(C4105&gt;='Resultats - informe'!$D$28)*(C4105&lt;='Resultats - informe'!$E$28),0,(C4105&gt;='Resultats - informe'!$D$29)*(C4105&lt;='Resultats - informe'!$E$29),0,1,1)</f>
        <v>0</v>
      </c>
      <c r="N4105" s="366">
        <f>+VLOOKUP(D4105,'Resultats - informe'!$Y$18:$AG$42,'Introducció dades consum'!K4105+1,0)</f>
        <v>0</v>
      </c>
      <c r="O4105" s="370" cm="1">
        <f t="array" ref="O4105">+_xlfn.SWITCH(MONTH(C4105),1,1,2,1,3,1,4,2,5,2,6,3,7,3,8,3,9,3,10,2,11,2,12,1,2)</f>
        <v>1</v>
      </c>
      <c r="P4105" s="43"/>
    </row>
    <row r="4106" spans="1:16" ht="18" x14ac:dyDescent="0.35">
      <c r="A4106" s="43"/>
      <c r="C4106" s="393"/>
      <c r="E4106" s="394"/>
      <c r="F4106" s="394">
        <v>0</v>
      </c>
      <c r="G4106" s="394"/>
      <c r="H4106" s="8" t="s">
        <v>235</v>
      </c>
      <c r="I4106" s="368">
        <f t="shared" si="193"/>
        <v>0</v>
      </c>
      <c r="J4106" s="365">
        <f t="shared" si="192"/>
        <v>0</v>
      </c>
      <c r="K4106" s="369">
        <f t="shared" si="194"/>
        <v>6</v>
      </c>
      <c r="L4106" s="369">
        <f>+IF((C4106&gt;='Resultats - informe'!$E$16)*(C4106&lt;='Resultats - informe'!$G$16),1,0)</f>
        <v>1</v>
      </c>
      <c r="M4106" s="369" cm="1">
        <f t="array" ref="M4106">+_xlfn.IFS((C4106&gt;='Resultats - informe'!$D$26)*(C4106&lt;='Resultats - informe'!$E$26),0,(C4106&gt;='Resultats - informe'!$D$27)*(C4106&lt;='Resultats - informe'!$E$27),0,(C4106&gt;='Resultats - informe'!$D$28)*(C4106&lt;='Resultats - informe'!$E$28),0,(C4106&gt;='Resultats - informe'!$D$29)*(C4106&lt;='Resultats - informe'!$E$29),0,1,1)</f>
        <v>0</v>
      </c>
      <c r="N4106" s="366">
        <f>+VLOOKUP(D4106,'Resultats - informe'!$Y$18:$AG$42,'Introducció dades consum'!K4106+1,0)</f>
        <v>0</v>
      </c>
      <c r="O4106" s="370" cm="1">
        <f t="array" ref="O4106">+_xlfn.SWITCH(MONTH(C4106),1,1,2,1,3,1,4,2,5,2,6,3,7,3,8,3,9,3,10,2,11,2,12,1,2)</f>
        <v>1</v>
      </c>
      <c r="P4106" s="43"/>
    </row>
    <row r="4107" spans="1:16" ht="18" x14ac:dyDescent="0.35">
      <c r="A4107" s="43"/>
      <c r="C4107" s="393"/>
      <c r="E4107" s="394"/>
      <c r="F4107" s="394">
        <v>0</v>
      </c>
      <c r="G4107" s="394"/>
      <c r="H4107" s="8" t="s">
        <v>235</v>
      </c>
      <c r="I4107" s="368">
        <f t="shared" si="193"/>
        <v>0</v>
      </c>
      <c r="J4107" s="365">
        <f t="shared" si="192"/>
        <v>0</v>
      </c>
      <c r="K4107" s="369">
        <f t="shared" si="194"/>
        <v>6</v>
      </c>
      <c r="L4107" s="369">
        <f>+IF((C4107&gt;='Resultats - informe'!$E$16)*(C4107&lt;='Resultats - informe'!$G$16),1,0)</f>
        <v>1</v>
      </c>
      <c r="M4107" s="369" cm="1">
        <f t="array" ref="M4107">+_xlfn.IFS((C4107&gt;='Resultats - informe'!$D$26)*(C4107&lt;='Resultats - informe'!$E$26),0,(C4107&gt;='Resultats - informe'!$D$27)*(C4107&lt;='Resultats - informe'!$E$27),0,(C4107&gt;='Resultats - informe'!$D$28)*(C4107&lt;='Resultats - informe'!$E$28),0,(C4107&gt;='Resultats - informe'!$D$29)*(C4107&lt;='Resultats - informe'!$E$29),0,1,1)</f>
        <v>0</v>
      </c>
      <c r="N4107" s="366">
        <f>+VLOOKUP(D4107,'Resultats - informe'!$Y$18:$AG$42,'Introducció dades consum'!K4107+1,0)</f>
        <v>0</v>
      </c>
      <c r="O4107" s="370" cm="1">
        <f t="array" ref="O4107">+_xlfn.SWITCH(MONTH(C4107),1,1,2,1,3,1,4,2,5,2,6,3,7,3,8,3,9,3,10,2,11,2,12,1,2)</f>
        <v>1</v>
      </c>
      <c r="P4107" s="43"/>
    </row>
    <row r="4108" spans="1:16" ht="18" x14ac:dyDescent="0.35">
      <c r="A4108" s="43"/>
      <c r="C4108" s="393"/>
      <c r="E4108" s="394"/>
      <c r="F4108" s="394">
        <v>0</v>
      </c>
      <c r="G4108" s="394"/>
      <c r="H4108" s="8" t="s">
        <v>61</v>
      </c>
      <c r="I4108" s="368">
        <f t="shared" si="193"/>
        <v>0</v>
      </c>
      <c r="J4108" s="365">
        <f t="shared" si="192"/>
        <v>0</v>
      </c>
      <c r="K4108" s="369">
        <f t="shared" si="194"/>
        <v>6</v>
      </c>
      <c r="L4108" s="369">
        <f>+IF((C4108&gt;='Resultats - informe'!$E$16)*(C4108&lt;='Resultats - informe'!$G$16),1,0)</f>
        <v>1</v>
      </c>
      <c r="M4108" s="369" cm="1">
        <f t="array" ref="M4108">+_xlfn.IFS((C4108&gt;='Resultats - informe'!$D$26)*(C4108&lt;='Resultats - informe'!$E$26),0,(C4108&gt;='Resultats - informe'!$D$27)*(C4108&lt;='Resultats - informe'!$E$27),0,(C4108&gt;='Resultats - informe'!$D$28)*(C4108&lt;='Resultats - informe'!$E$28),0,(C4108&gt;='Resultats - informe'!$D$29)*(C4108&lt;='Resultats - informe'!$E$29),0,1,1)</f>
        <v>0</v>
      </c>
      <c r="N4108" s="366">
        <f>+VLOOKUP(D4108,'Resultats - informe'!$Y$18:$AG$42,'Introducció dades consum'!K4108+1,0)</f>
        <v>0</v>
      </c>
      <c r="O4108" s="370" cm="1">
        <f t="array" ref="O4108">+_xlfn.SWITCH(MONTH(C4108),1,1,2,1,3,1,4,2,5,2,6,3,7,3,8,3,9,3,10,2,11,2,12,1,2)</f>
        <v>1</v>
      </c>
      <c r="P4108" s="43"/>
    </row>
    <row r="4109" spans="1:16" ht="18" x14ac:dyDescent="0.35">
      <c r="A4109" s="43"/>
      <c r="C4109" s="393"/>
      <c r="E4109" s="394"/>
      <c r="F4109" s="394">
        <v>0</v>
      </c>
      <c r="G4109" s="394"/>
      <c r="H4109" s="8" t="s">
        <v>61</v>
      </c>
      <c r="I4109" s="368">
        <f t="shared" si="193"/>
        <v>0</v>
      </c>
      <c r="J4109" s="365">
        <f t="shared" si="192"/>
        <v>0</v>
      </c>
      <c r="K4109" s="369">
        <f t="shared" si="194"/>
        <v>6</v>
      </c>
      <c r="L4109" s="369">
        <f>+IF((C4109&gt;='Resultats - informe'!$E$16)*(C4109&lt;='Resultats - informe'!$G$16),1,0)</f>
        <v>1</v>
      </c>
      <c r="M4109" s="369" cm="1">
        <f t="array" ref="M4109">+_xlfn.IFS((C4109&gt;='Resultats - informe'!$D$26)*(C4109&lt;='Resultats - informe'!$E$26),0,(C4109&gt;='Resultats - informe'!$D$27)*(C4109&lt;='Resultats - informe'!$E$27),0,(C4109&gt;='Resultats - informe'!$D$28)*(C4109&lt;='Resultats - informe'!$E$28),0,(C4109&gt;='Resultats - informe'!$D$29)*(C4109&lt;='Resultats - informe'!$E$29),0,1,1)</f>
        <v>0</v>
      </c>
      <c r="N4109" s="366">
        <f>+VLOOKUP(D4109,'Resultats - informe'!$Y$18:$AG$42,'Introducció dades consum'!K4109+1,0)</f>
        <v>0</v>
      </c>
      <c r="O4109" s="370" cm="1">
        <f t="array" ref="O4109">+_xlfn.SWITCH(MONTH(C4109),1,1,2,1,3,1,4,2,5,2,6,3,7,3,8,3,9,3,10,2,11,2,12,1,2)</f>
        <v>1</v>
      </c>
      <c r="P4109" s="43"/>
    </row>
    <row r="4110" spans="1:16" ht="18" x14ac:dyDescent="0.35">
      <c r="A4110" s="43"/>
      <c r="C4110" s="393"/>
      <c r="E4110" s="394"/>
      <c r="F4110" s="394">
        <v>0</v>
      </c>
      <c r="G4110" s="394"/>
      <c r="H4110" s="8" t="s">
        <v>235</v>
      </c>
      <c r="I4110" s="368">
        <f t="shared" si="193"/>
        <v>0</v>
      </c>
      <c r="J4110" s="365">
        <f t="shared" si="192"/>
        <v>0</v>
      </c>
      <c r="K4110" s="369">
        <f t="shared" si="194"/>
        <v>6</v>
      </c>
      <c r="L4110" s="369">
        <f>+IF((C4110&gt;='Resultats - informe'!$E$16)*(C4110&lt;='Resultats - informe'!$G$16),1,0)</f>
        <v>1</v>
      </c>
      <c r="M4110" s="369" cm="1">
        <f t="array" ref="M4110">+_xlfn.IFS((C4110&gt;='Resultats - informe'!$D$26)*(C4110&lt;='Resultats - informe'!$E$26),0,(C4110&gt;='Resultats - informe'!$D$27)*(C4110&lt;='Resultats - informe'!$E$27),0,(C4110&gt;='Resultats - informe'!$D$28)*(C4110&lt;='Resultats - informe'!$E$28),0,(C4110&gt;='Resultats - informe'!$D$29)*(C4110&lt;='Resultats - informe'!$E$29),0,1,1)</f>
        <v>0</v>
      </c>
      <c r="N4110" s="366">
        <f>+VLOOKUP(D4110,'Resultats - informe'!$Y$18:$AG$42,'Introducció dades consum'!K4110+1,0)</f>
        <v>0</v>
      </c>
      <c r="O4110" s="370" cm="1">
        <f t="array" ref="O4110">+_xlfn.SWITCH(MONTH(C4110),1,1,2,1,3,1,4,2,5,2,6,3,7,3,8,3,9,3,10,2,11,2,12,1,2)</f>
        <v>1</v>
      </c>
      <c r="P4110" s="43"/>
    </row>
    <row r="4111" spans="1:16" ht="18" x14ac:dyDescent="0.35">
      <c r="A4111" s="43"/>
      <c r="C4111" s="393"/>
      <c r="E4111" s="394"/>
      <c r="F4111" s="394">
        <v>0</v>
      </c>
      <c r="G4111" s="394"/>
      <c r="H4111" s="8" t="s">
        <v>235</v>
      </c>
      <c r="I4111" s="368">
        <f t="shared" si="193"/>
        <v>0</v>
      </c>
      <c r="J4111" s="365">
        <f t="shared" si="192"/>
        <v>0</v>
      </c>
      <c r="K4111" s="369">
        <f t="shared" si="194"/>
        <v>6</v>
      </c>
      <c r="L4111" s="369">
        <f>+IF((C4111&gt;='Resultats - informe'!$E$16)*(C4111&lt;='Resultats - informe'!$G$16),1,0)</f>
        <v>1</v>
      </c>
      <c r="M4111" s="369" cm="1">
        <f t="array" ref="M4111">+_xlfn.IFS((C4111&gt;='Resultats - informe'!$D$26)*(C4111&lt;='Resultats - informe'!$E$26),0,(C4111&gt;='Resultats - informe'!$D$27)*(C4111&lt;='Resultats - informe'!$E$27),0,(C4111&gt;='Resultats - informe'!$D$28)*(C4111&lt;='Resultats - informe'!$E$28),0,(C4111&gt;='Resultats - informe'!$D$29)*(C4111&lt;='Resultats - informe'!$E$29),0,1,1)</f>
        <v>0</v>
      </c>
      <c r="N4111" s="366">
        <f>+VLOOKUP(D4111,'Resultats - informe'!$Y$18:$AG$42,'Introducció dades consum'!K4111+1,0)</f>
        <v>0</v>
      </c>
      <c r="O4111" s="370" cm="1">
        <f t="array" ref="O4111">+_xlfn.SWITCH(MONTH(C4111),1,1,2,1,3,1,4,2,5,2,6,3,7,3,8,3,9,3,10,2,11,2,12,1,2)</f>
        <v>1</v>
      </c>
      <c r="P4111" s="43"/>
    </row>
    <row r="4112" spans="1:16" ht="18" x14ac:dyDescent="0.35">
      <c r="A4112" s="43"/>
      <c r="C4112" s="393"/>
      <c r="E4112" s="394"/>
      <c r="F4112" s="394">
        <v>0</v>
      </c>
      <c r="G4112" s="394"/>
      <c r="H4112" s="8" t="s">
        <v>235</v>
      </c>
      <c r="I4112" s="368">
        <f t="shared" si="193"/>
        <v>0</v>
      </c>
      <c r="J4112" s="365">
        <f t="shared" si="192"/>
        <v>0</v>
      </c>
      <c r="K4112" s="369">
        <f t="shared" si="194"/>
        <v>6</v>
      </c>
      <c r="L4112" s="369">
        <f>+IF((C4112&gt;='Resultats - informe'!$E$16)*(C4112&lt;='Resultats - informe'!$G$16),1,0)</f>
        <v>1</v>
      </c>
      <c r="M4112" s="369" cm="1">
        <f t="array" ref="M4112">+_xlfn.IFS((C4112&gt;='Resultats - informe'!$D$26)*(C4112&lt;='Resultats - informe'!$E$26),0,(C4112&gt;='Resultats - informe'!$D$27)*(C4112&lt;='Resultats - informe'!$E$27),0,(C4112&gt;='Resultats - informe'!$D$28)*(C4112&lt;='Resultats - informe'!$E$28),0,(C4112&gt;='Resultats - informe'!$D$29)*(C4112&lt;='Resultats - informe'!$E$29),0,1,1)</f>
        <v>0</v>
      </c>
      <c r="N4112" s="366">
        <f>+VLOOKUP(D4112,'Resultats - informe'!$Y$18:$AG$42,'Introducció dades consum'!K4112+1,0)</f>
        <v>0</v>
      </c>
      <c r="O4112" s="370" cm="1">
        <f t="array" ref="O4112">+_xlfn.SWITCH(MONTH(C4112),1,1,2,1,3,1,4,2,5,2,6,3,7,3,8,3,9,3,10,2,11,2,12,1,2)</f>
        <v>1</v>
      </c>
      <c r="P4112" s="43"/>
    </row>
    <row r="4113" spans="1:16" ht="18" x14ac:dyDescent="0.35">
      <c r="A4113" s="43"/>
      <c r="C4113" s="393"/>
      <c r="E4113" s="394"/>
      <c r="F4113" s="394">
        <v>0.23300000000000001</v>
      </c>
      <c r="G4113" s="394"/>
      <c r="H4113" s="8" t="s">
        <v>235</v>
      </c>
      <c r="I4113" s="368">
        <f t="shared" si="193"/>
        <v>0</v>
      </c>
      <c r="J4113" s="365">
        <f t="shared" si="192"/>
        <v>0</v>
      </c>
      <c r="K4113" s="369">
        <f t="shared" si="194"/>
        <v>6</v>
      </c>
      <c r="L4113" s="369">
        <f>+IF((C4113&gt;='Resultats - informe'!$E$16)*(C4113&lt;='Resultats - informe'!$G$16),1,0)</f>
        <v>1</v>
      </c>
      <c r="M4113" s="369" cm="1">
        <f t="array" ref="M4113">+_xlfn.IFS((C4113&gt;='Resultats - informe'!$D$26)*(C4113&lt;='Resultats - informe'!$E$26),0,(C4113&gt;='Resultats - informe'!$D$27)*(C4113&lt;='Resultats - informe'!$E$27),0,(C4113&gt;='Resultats - informe'!$D$28)*(C4113&lt;='Resultats - informe'!$E$28),0,(C4113&gt;='Resultats - informe'!$D$29)*(C4113&lt;='Resultats - informe'!$E$29),0,1,1)</f>
        <v>0</v>
      </c>
      <c r="N4113" s="366">
        <f>+VLOOKUP(D4113,'Resultats - informe'!$Y$18:$AG$42,'Introducció dades consum'!K4113+1,0)</f>
        <v>0</v>
      </c>
      <c r="O4113" s="370" cm="1">
        <f t="array" ref="O4113">+_xlfn.SWITCH(MONTH(C4113),1,1,2,1,3,1,4,2,5,2,6,3,7,3,8,3,9,3,10,2,11,2,12,1,2)</f>
        <v>1</v>
      </c>
      <c r="P4113" s="43"/>
    </row>
    <row r="4114" spans="1:16" ht="18" x14ac:dyDescent="0.35">
      <c r="A4114" s="43"/>
      <c r="C4114" s="393"/>
      <c r="E4114" s="394"/>
      <c r="F4114" s="394">
        <v>0.80700000000000005</v>
      </c>
      <c r="G4114" s="394"/>
      <c r="H4114" s="8" t="s">
        <v>235</v>
      </c>
      <c r="I4114" s="368">
        <f t="shared" si="193"/>
        <v>0</v>
      </c>
      <c r="J4114" s="365">
        <f t="shared" si="192"/>
        <v>0</v>
      </c>
      <c r="K4114" s="369">
        <f t="shared" si="194"/>
        <v>6</v>
      </c>
      <c r="L4114" s="369">
        <f>+IF((C4114&gt;='Resultats - informe'!$E$16)*(C4114&lt;='Resultats - informe'!$G$16),1,0)</f>
        <v>1</v>
      </c>
      <c r="M4114" s="369" cm="1">
        <f t="array" ref="M4114">+_xlfn.IFS((C4114&gt;='Resultats - informe'!$D$26)*(C4114&lt;='Resultats - informe'!$E$26),0,(C4114&gt;='Resultats - informe'!$D$27)*(C4114&lt;='Resultats - informe'!$E$27),0,(C4114&gt;='Resultats - informe'!$D$28)*(C4114&lt;='Resultats - informe'!$E$28),0,(C4114&gt;='Resultats - informe'!$D$29)*(C4114&lt;='Resultats - informe'!$E$29),0,1,1)</f>
        <v>0</v>
      </c>
      <c r="N4114" s="366">
        <f>+VLOOKUP(D4114,'Resultats - informe'!$Y$18:$AG$42,'Introducció dades consum'!K4114+1,0)</f>
        <v>0</v>
      </c>
      <c r="O4114" s="370" cm="1">
        <f t="array" ref="O4114">+_xlfn.SWITCH(MONTH(C4114),1,1,2,1,3,1,4,2,5,2,6,3,7,3,8,3,9,3,10,2,11,2,12,1,2)</f>
        <v>1</v>
      </c>
      <c r="P4114" s="43"/>
    </row>
    <row r="4115" spans="1:16" ht="18" x14ac:dyDescent="0.35">
      <c r="A4115" s="43"/>
      <c r="C4115" s="393"/>
      <c r="E4115" s="394"/>
      <c r="F4115" s="394">
        <v>1.3740000000000001</v>
      </c>
      <c r="G4115" s="394"/>
      <c r="H4115" s="8" t="s">
        <v>235</v>
      </c>
      <c r="I4115" s="368">
        <f t="shared" si="193"/>
        <v>0</v>
      </c>
      <c r="J4115" s="365">
        <f t="shared" si="192"/>
        <v>0</v>
      </c>
      <c r="K4115" s="369">
        <f t="shared" si="194"/>
        <v>6</v>
      </c>
      <c r="L4115" s="369">
        <f>+IF((C4115&gt;='Resultats - informe'!$E$16)*(C4115&lt;='Resultats - informe'!$G$16),1,0)</f>
        <v>1</v>
      </c>
      <c r="M4115" s="369" cm="1">
        <f t="array" ref="M4115">+_xlfn.IFS((C4115&gt;='Resultats - informe'!$D$26)*(C4115&lt;='Resultats - informe'!$E$26),0,(C4115&gt;='Resultats - informe'!$D$27)*(C4115&lt;='Resultats - informe'!$E$27),0,(C4115&gt;='Resultats - informe'!$D$28)*(C4115&lt;='Resultats - informe'!$E$28),0,(C4115&gt;='Resultats - informe'!$D$29)*(C4115&lt;='Resultats - informe'!$E$29),0,1,1)</f>
        <v>0</v>
      </c>
      <c r="N4115" s="366">
        <f>+VLOOKUP(D4115,'Resultats - informe'!$Y$18:$AG$42,'Introducció dades consum'!K4115+1,0)</f>
        <v>0</v>
      </c>
      <c r="O4115" s="370" cm="1">
        <f t="array" ref="O4115">+_xlfn.SWITCH(MONTH(C4115),1,1,2,1,3,1,4,2,5,2,6,3,7,3,8,3,9,3,10,2,11,2,12,1,2)</f>
        <v>1</v>
      </c>
      <c r="P4115" s="43"/>
    </row>
    <row r="4116" spans="1:16" ht="18" x14ac:dyDescent="0.35">
      <c r="A4116" s="43"/>
      <c r="C4116" s="393"/>
      <c r="E4116" s="394"/>
      <c r="F4116" s="394">
        <v>1.9950000000000001</v>
      </c>
      <c r="G4116" s="394"/>
      <c r="H4116" s="8" t="s">
        <v>235</v>
      </c>
      <c r="I4116" s="368">
        <f t="shared" si="193"/>
        <v>0</v>
      </c>
      <c r="J4116" s="365">
        <f t="shared" si="192"/>
        <v>0</v>
      </c>
      <c r="K4116" s="369">
        <f t="shared" si="194"/>
        <v>6</v>
      </c>
      <c r="L4116" s="369">
        <f>+IF((C4116&gt;='Resultats - informe'!$E$16)*(C4116&lt;='Resultats - informe'!$G$16),1,0)</f>
        <v>1</v>
      </c>
      <c r="M4116" s="369" cm="1">
        <f t="array" ref="M4116">+_xlfn.IFS((C4116&gt;='Resultats - informe'!$D$26)*(C4116&lt;='Resultats - informe'!$E$26),0,(C4116&gt;='Resultats - informe'!$D$27)*(C4116&lt;='Resultats - informe'!$E$27),0,(C4116&gt;='Resultats - informe'!$D$28)*(C4116&lt;='Resultats - informe'!$E$28),0,(C4116&gt;='Resultats - informe'!$D$29)*(C4116&lt;='Resultats - informe'!$E$29),0,1,1)</f>
        <v>0</v>
      </c>
      <c r="N4116" s="366">
        <f>+VLOOKUP(D4116,'Resultats - informe'!$Y$18:$AG$42,'Introducció dades consum'!K4116+1,0)</f>
        <v>0</v>
      </c>
      <c r="O4116" s="370" cm="1">
        <f t="array" ref="O4116">+_xlfn.SWITCH(MONTH(C4116),1,1,2,1,3,1,4,2,5,2,6,3,7,3,8,3,9,3,10,2,11,2,12,1,2)</f>
        <v>1</v>
      </c>
      <c r="P4116" s="43"/>
    </row>
    <row r="4117" spans="1:16" ht="18" x14ac:dyDescent="0.35">
      <c r="A4117" s="43"/>
      <c r="C4117" s="393"/>
      <c r="E4117" s="394"/>
      <c r="F4117" s="394">
        <v>1.1259999999999999</v>
      </c>
      <c r="G4117" s="394"/>
      <c r="H4117" s="8" t="s">
        <v>61</v>
      </c>
      <c r="I4117" s="368">
        <f t="shared" si="193"/>
        <v>0</v>
      </c>
      <c r="J4117" s="365">
        <f t="shared" si="192"/>
        <v>0</v>
      </c>
      <c r="K4117" s="369">
        <f t="shared" si="194"/>
        <v>6</v>
      </c>
      <c r="L4117" s="369">
        <f>+IF((C4117&gt;='Resultats - informe'!$E$16)*(C4117&lt;='Resultats - informe'!$G$16),1,0)</f>
        <v>1</v>
      </c>
      <c r="M4117" s="369" cm="1">
        <f t="array" ref="M4117">+_xlfn.IFS((C4117&gt;='Resultats - informe'!$D$26)*(C4117&lt;='Resultats - informe'!$E$26),0,(C4117&gt;='Resultats - informe'!$D$27)*(C4117&lt;='Resultats - informe'!$E$27),0,(C4117&gt;='Resultats - informe'!$D$28)*(C4117&lt;='Resultats - informe'!$E$28),0,(C4117&gt;='Resultats - informe'!$D$29)*(C4117&lt;='Resultats - informe'!$E$29),0,1,1)</f>
        <v>0</v>
      </c>
      <c r="N4117" s="366">
        <f>+VLOOKUP(D4117,'Resultats - informe'!$Y$18:$AG$42,'Introducció dades consum'!K4117+1,0)</f>
        <v>0</v>
      </c>
      <c r="O4117" s="370" cm="1">
        <f t="array" ref="O4117">+_xlfn.SWITCH(MONTH(C4117),1,1,2,1,3,1,4,2,5,2,6,3,7,3,8,3,9,3,10,2,11,2,12,1,2)</f>
        <v>1</v>
      </c>
      <c r="P4117" s="43"/>
    </row>
    <row r="4118" spans="1:16" ht="18" x14ac:dyDescent="0.35">
      <c r="A4118" s="43"/>
      <c r="C4118" s="393"/>
      <c r="E4118" s="394"/>
      <c r="F4118" s="394">
        <v>1.528</v>
      </c>
      <c r="G4118" s="394"/>
      <c r="H4118" s="8" t="s">
        <v>235</v>
      </c>
      <c r="I4118" s="368">
        <f t="shared" si="193"/>
        <v>0</v>
      </c>
      <c r="J4118" s="365">
        <f t="shared" si="192"/>
        <v>0</v>
      </c>
      <c r="K4118" s="369">
        <f t="shared" si="194"/>
        <v>6</v>
      </c>
      <c r="L4118" s="369">
        <f>+IF((C4118&gt;='Resultats - informe'!$E$16)*(C4118&lt;='Resultats - informe'!$G$16),1,0)</f>
        <v>1</v>
      </c>
      <c r="M4118" s="369" cm="1">
        <f t="array" ref="M4118">+_xlfn.IFS((C4118&gt;='Resultats - informe'!$D$26)*(C4118&lt;='Resultats - informe'!$E$26),0,(C4118&gt;='Resultats - informe'!$D$27)*(C4118&lt;='Resultats - informe'!$E$27),0,(C4118&gt;='Resultats - informe'!$D$28)*(C4118&lt;='Resultats - informe'!$E$28),0,(C4118&gt;='Resultats - informe'!$D$29)*(C4118&lt;='Resultats - informe'!$E$29),0,1,1)</f>
        <v>0</v>
      </c>
      <c r="N4118" s="366">
        <f>+VLOOKUP(D4118,'Resultats - informe'!$Y$18:$AG$42,'Introducció dades consum'!K4118+1,0)</f>
        <v>0</v>
      </c>
      <c r="O4118" s="370" cm="1">
        <f t="array" ref="O4118">+_xlfn.SWITCH(MONTH(C4118),1,1,2,1,3,1,4,2,5,2,6,3,7,3,8,3,9,3,10,2,11,2,12,1,2)</f>
        <v>1</v>
      </c>
      <c r="P4118" s="43"/>
    </row>
    <row r="4119" spans="1:16" ht="18" x14ac:dyDescent="0.35">
      <c r="A4119" s="43"/>
      <c r="C4119" s="393"/>
      <c r="E4119" s="394"/>
      <c r="F4119" s="394">
        <v>1.5580000000000001</v>
      </c>
      <c r="G4119" s="394"/>
      <c r="H4119" s="8" t="s">
        <v>235</v>
      </c>
      <c r="I4119" s="368">
        <f t="shared" si="193"/>
        <v>0</v>
      </c>
      <c r="J4119" s="365">
        <f t="shared" si="192"/>
        <v>0</v>
      </c>
      <c r="K4119" s="369">
        <f t="shared" si="194"/>
        <v>6</v>
      </c>
      <c r="L4119" s="369">
        <f>+IF((C4119&gt;='Resultats - informe'!$E$16)*(C4119&lt;='Resultats - informe'!$G$16),1,0)</f>
        <v>1</v>
      </c>
      <c r="M4119" s="369" cm="1">
        <f t="array" ref="M4119">+_xlfn.IFS((C4119&gt;='Resultats - informe'!$D$26)*(C4119&lt;='Resultats - informe'!$E$26),0,(C4119&gt;='Resultats - informe'!$D$27)*(C4119&lt;='Resultats - informe'!$E$27),0,(C4119&gt;='Resultats - informe'!$D$28)*(C4119&lt;='Resultats - informe'!$E$28),0,(C4119&gt;='Resultats - informe'!$D$29)*(C4119&lt;='Resultats - informe'!$E$29),0,1,1)</f>
        <v>0</v>
      </c>
      <c r="N4119" s="366">
        <f>+VLOOKUP(D4119,'Resultats - informe'!$Y$18:$AG$42,'Introducció dades consum'!K4119+1,0)</f>
        <v>0</v>
      </c>
      <c r="O4119" s="370" cm="1">
        <f t="array" ref="O4119">+_xlfn.SWITCH(MONTH(C4119),1,1,2,1,3,1,4,2,5,2,6,3,7,3,8,3,9,3,10,2,11,2,12,1,2)</f>
        <v>1</v>
      </c>
      <c r="P4119" s="43"/>
    </row>
    <row r="4120" spans="1:16" ht="18" x14ac:dyDescent="0.35">
      <c r="A4120" s="43"/>
      <c r="C4120" s="393"/>
      <c r="E4120" s="394"/>
      <c r="F4120" s="394">
        <v>4.5819999999999999</v>
      </c>
      <c r="G4120" s="394"/>
      <c r="H4120" s="8" t="s">
        <v>61</v>
      </c>
      <c r="I4120" s="368">
        <f t="shared" si="193"/>
        <v>0</v>
      </c>
      <c r="J4120" s="365">
        <f t="shared" si="192"/>
        <v>0</v>
      </c>
      <c r="K4120" s="369">
        <f t="shared" si="194"/>
        <v>6</v>
      </c>
      <c r="L4120" s="369">
        <f>+IF((C4120&gt;='Resultats - informe'!$E$16)*(C4120&lt;='Resultats - informe'!$G$16),1,0)</f>
        <v>1</v>
      </c>
      <c r="M4120" s="369" cm="1">
        <f t="array" ref="M4120">+_xlfn.IFS((C4120&gt;='Resultats - informe'!$D$26)*(C4120&lt;='Resultats - informe'!$E$26),0,(C4120&gt;='Resultats - informe'!$D$27)*(C4120&lt;='Resultats - informe'!$E$27),0,(C4120&gt;='Resultats - informe'!$D$28)*(C4120&lt;='Resultats - informe'!$E$28),0,(C4120&gt;='Resultats - informe'!$D$29)*(C4120&lt;='Resultats - informe'!$E$29),0,1,1)</f>
        <v>0</v>
      </c>
      <c r="N4120" s="366">
        <f>+VLOOKUP(D4120,'Resultats - informe'!$Y$18:$AG$42,'Introducció dades consum'!K4120+1,0)</f>
        <v>0</v>
      </c>
      <c r="O4120" s="370" cm="1">
        <f t="array" ref="O4120">+_xlfn.SWITCH(MONTH(C4120),1,1,2,1,3,1,4,2,5,2,6,3,7,3,8,3,9,3,10,2,11,2,12,1,2)</f>
        <v>1</v>
      </c>
      <c r="P4120" s="43"/>
    </row>
    <row r="4121" spans="1:16" ht="18" x14ac:dyDescent="0.35">
      <c r="A4121" s="43"/>
      <c r="C4121" s="393"/>
      <c r="E4121" s="394"/>
      <c r="F4121" s="394">
        <v>0.71199999999999997</v>
      </c>
      <c r="G4121" s="394"/>
      <c r="H4121" s="8" t="s">
        <v>61</v>
      </c>
      <c r="I4121" s="368">
        <f t="shared" si="193"/>
        <v>0</v>
      </c>
      <c r="J4121" s="365">
        <f t="shared" si="192"/>
        <v>0</v>
      </c>
      <c r="K4121" s="369">
        <f t="shared" si="194"/>
        <v>6</v>
      </c>
      <c r="L4121" s="369">
        <f>+IF((C4121&gt;='Resultats - informe'!$E$16)*(C4121&lt;='Resultats - informe'!$G$16),1,0)</f>
        <v>1</v>
      </c>
      <c r="M4121" s="369" cm="1">
        <f t="array" ref="M4121">+_xlfn.IFS((C4121&gt;='Resultats - informe'!$D$26)*(C4121&lt;='Resultats - informe'!$E$26),0,(C4121&gt;='Resultats - informe'!$D$27)*(C4121&lt;='Resultats - informe'!$E$27),0,(C4121&gt;='Resultats - informe'!$D$28)*(C4121&lt;='Resultats - informe'!$E$28),0,(C4121&gt;='Resultats - informe'!$D$29)*(C4121&lt;='Resultats - informe'!$E$29),0,1,1)</f>
        <v>0</v>
      </c>
      <c r="N4121" s="366">
        <f>+VLOOKUP(D4121,'Resultats - informe'!$Y$18:$AG$42,'Introducció dades consum'!K4121+1,0)</f>
        <v>0</v>
      </c>
      <c r="O4121" s="370" cm="1">
        <f t="array" ref="O4121">+_xlfn.SWITCH(MONTH(C4121),1,1,2,1,3,1,4,2,5,2,6,3,7,3,8,3,9,3,10,2,11,2,12,1,2)</f>
        <v>1</v>
      </c>
      <c r="P4121" s="43"/>
    </row>
    <row r="4122" spans="1:16" ht="18" x14ac:dyDescent="0.35">
      <c r="A4122" s="43"/>
      <c r="C4122" s="393"/>
      <c r="E4122" s="394"/>
      <c r="F4122" s="394">
        <v>3.782</v>
      </c>
      <c r="G4122" s="394"/>
      <c r="H4122" s="8" t="s">
        <v>61</v>
      </c>
      <c r="I4122" s="368">
        <f t="shared" si="193"/>
        <v>0</v>
      </c>
      <c r="J4122" s="365">
        <f t="shared" si="192"/>
        <v>0</v>
      </c>
      <c r="K4122" s="369">
        <f t="shared" si="194"/>
        <v>6</v>
      </c>
      <c r="L4122" s="369">
        <f>+IF((C4122&gt;='Resultats - informe'!$E$16)*(C4122&lt;='Resultats - informe'!$G$16),1,0)</f>
        <v>1</v>
      </c>
      <c r="M4122" s="369" cm="1">
        <f t="array" ref="M4122">+_xlfn.IFS((C4122&gt;='Resultats - informe'!$D$26)*(C4122&lt;='Resultats - informe'!$E$26),0,(C4122&gt;='Resultats - informe'!$D$27)*(C4122&lt;='Resultats - informe'!$E$27),0,(C4122&gt;='Resultats - informe'!$D$28)*(C4122&lt;='Resultats - informe'!$E$28),0,(C4122&gt;='Resultats - informe'!$D$29)*(C4122&lt;='Resultats - informe'!$E$29),0,1,1)</f>
        <v>0</v>
      </c>
      <c r="N4122" s="366">
        <f>+VLOOKUP(D4122,'Resultats - informe'!$Y$18:$AG$42,'Introducció dades consum'!K4122+1,0)</f>
        <v>0</v>
      </c>
      <c r="O4122" s="370" cm="1">
        <f t="array" ref="O4122">+_xlfn.SWITCH(MONTH(C4122),1,1,2,1,3,1,4,2,5,2,6,3,7,3,8,3,9,3,10,2,11,2,12,1,2)</f>
        <v>1</v>
      </c>
      <c r="P4122" s="43"/>
    </row>
    <row r="4123" spans="1:16" ht="18" x14ac:dyDescent="0.35">
      <c r="A4123" s="43"/>
      <c r="C4123" s="393"/>
      <c r="E4123" s="394"/>
      <c r="F4123" s="394">
        <v>3.9180000000000001</v>
      </c>
      <c r="G4123" s="394"/>
      <c r="H4123" s="8" t="s">
        <v>61</v>
      </c>
      <c r="I4123" s="368">
        <f t="shared" si="193"/>
        <v>0</v>
      </c>
      <c r="J4123" s="365">
        <f t="shared" si="192"/>
        <v>0</v>
      </c>
      <c r="K4123" s="369">
        <f t="shared" si="194"/>
        <v>6</v>
      </c>
      <c r="L4123" s="369">
        <f>+IF((C4123&gt;='Resultats - informe'!$E$16)*(C4123&lt;='Resultats - informe'!$G$16),1,0)</f>
        <v>1</v>
      </c>
      <c r="M4123" s="369" cm="1">
        <f t="array" ref="M4123">+_xlfn.IFS((C4123&gt;='Resultats - informe'!$D$26)*(C4123&lt;='Resultats - informe'!$E$26),0,(C4123&gt;='Resultats - informe'!$D$27)*(C4123&lt;='Resultats - informe'!$E$27),0,(C4123&gt;='Resultats - informe'!$D$28)*(C4123&lt;='Resultats - informe'!$E$28),0,(C4123&gt;='Resultats - informe'!$D$29)*(C4123&lt;='Resultats - informe'!$E$29),0,1,1)</f>
        <v>0</v>
      </c>
      <c r="N4123" s="366">
        <f>+VLOOKUP(D4123,'Resultats - informe'!$Y$18:$AG$42,'Introducció dades consum'!K4123+1,0)</f>
        <v>0</v>
      </c>
      <c r="O4123" s="370" cm="1">
        <f t="array" ref="O4123">+_xlfn.SWITCH(MONTH(C4123),1,1,2,1,3,1,4,2,5,2,6,3,7,3,8,3,9,3,10,2,11,2,12,1,2)</f>
        <v>1</v>
      </c>
      <c r="P4123" s="43"/>
    </row>
    <row r="4124" spans="1:16" ht="18" x14ac:dyDescent="0.35">
      <c r="A4124" s="43"/>
      <c r="C4124" s="393"/>
      <c r="E4124" s="394"/>
      <c r="F4124" s="394">
        <v>0.81299999999999994</v>
      </c>
      <c r="G4124" s="394"/>
      <c r="H4124" s="8" t="s">
        <v>235</v>
      </c>
      <c r="I4124" s="368">
        <f t="shared" si="193"/>
        <v>0</v>
      </c>
      <c r="J4124" s="365">
        <f t="shared" si="192"/>
        <v>0</v>
      </c>
      <c r="K4124" s="369">
        <f t="shared" si="194"/>
        <v>6</v>
      </c>
      <c r="L4124" s="369">
        <f>+IF((C4124&gt;='Resultats - informe'!$E$16)*(C4124&lt;='Resultats - informe'!$G$16),1,0)</f>
        <v>1</v>
      </c>
      <c r="M4124" s="369" cm="1">
        <f t="array" ref="M4124">+_xlfn.IFS((C4124&gt;='Resultats - informe'!$D$26)*(C4124&lt;='Resultats - informe'!$E$26),0,(C4124&gt;='Resultats - informe'!$D$27)*(C4124&lt;='Resultats - informe'!$E$27),0,(C4124&gt;='Resultats - informe'!$D$28)*(C4124&lt;='Resultats - informe'!$E$28),0,(C4124&gt;='Resultats - informe'!$D$29)*(C4124&lt;='Resultats - informe'!$E$29),0,1,1)</f>
        <v>0</v>
      </c>
      <c r="N4124" s="366">
        <f>+VLOOKUP(D4124,'Resultats - informe'!$Y$18:$AG$42,'Introducció dades consum'!K4124+1,0)</f>
        <v>0</v>
      </c>
      <c r="O4124" s="370" cm="1">
        <f t="array" ref="O4124">+_xlfn.SWITCH(MONTH(C4124),1,1,2,1,3,1,4,2,5,2,6,3,7,3,8,3,9,3,10,2,11,2,12,1,2)</f>
        <v>1</v>
      </c>
      <c r="P4124" s="43"/>
    </row>
    <row r="4125" spans="1:16" ht="18" x14ac:dyDescent="0.35">
      <c r="A4125" s="43"/>
      <c r="C4125" s="393"/>
      <c r="E4125" s="394"/>
      <c r="F4125" s="394">
        <v>0.223</v>
      </c>
      <c r="G4125" s="394"/>
      <c r="H4125" s="8" t="s">
        <v>235</v>
      </c>
      <c r="I4125" s="368">
        <f t="shared" si="193"/>
        <v>0</v>
      </c>
      <c r="J4125" s="365">
        <f t="shared" si="192"/>
        <v>0</v>
      </c>
      <c r="K4125" s="369">
        <f t="shared" si="194"/>
        <v>6</v>
      </c>
      <c r="L4125" s="369">
        <f>+IF((C4125&gt;='Resultats - informe'!$E$16)*(C4125&lt;='Resultats - informe'!$G$16),1,0)</f>
        <v>1</v>
      </c>
      <c r="M4125" s="369" cm="1">
        <f t="array" ref="M4125">+_xlfn.IFS((C4125&gt;='Resultats - informe'!$D$26)*(C4125&lt;='Resultats - informe'!$E$26),0,(C4125&gt;='Resultats - informe'!$D$27)*(C4125&lt;='Resultats - informe'!$E$27),0,(C4125&gt;='Resultats - informe'!$D$28)*(C4125&lt;='Resultats - informe'!$E$28),0,(C4125&gt;='Resultats - informe'!$D$29)*(C4125&lt;='Resultats - informe'!$E$29),0,1,1)</f>
        <v>0</v>
      </c>
      <c r="N4125" s="366">
        <f>+VLOOKUP(D4125,'Resultats - informe'!$Y$18:$AG$42,'Introducció dades consum'!K4125+1,0)</f>
        <v>0</v>
      </c>
      <c r="O4125" s="370" cm="1">
        <f t="array" ref="O4125">+_xlfn.SWITCH(MONTH(C4125),1,1,2,1,3,1,4,2,5,2,6,3,7,3,8,3,9,3,10,2,11,2,12,1,2)</f>
        <v>1</v>
      </c>
      <c r="P4125" s="43"/>
    </row>
    <row r="4126" spans="1:16" ht="18" x14ac:dyDescent="0.35">
      <c r="A4126" s="43"/>
      <c r="C4126" s="393"/>
      <c r="E4126" s="394"/>
      <c r="F4126" s="394">
        <v>0</v>
      </c>
      <c r="G4126" s="394"/>
      <c r="H4126" s="8" t="s">
        <v>235</v>
      </c>
      <c r="I4126" s="368">
        <f t="shared" si="193"/>
        <v>0</v>
      </c>
      <c r="J4126" s="365">
        <f t="shared" si="192"/>
        <v>0</v>
      </c>
      <c r="K4126" s="369">
        <f t="shared" si="194"/>
        <v>6</v>
      </c>
      <c r="L4126" s="369">
        <f>+IF((C4126&gt;='Resultats - informe'!$E$16)*(C4126&lt;='Resultats - informe'!$G$16),1,0)</f>
        <v>1</v>
      </c>
      <c r="M4126" s="369" cm="1">
        <f t="array" ref="M4126">+_xlfn.IFS((C4126&gt;='Resultats - informe'!$D$26)*(C4126&lt;='Resultats - informe'!$E$26),0,(C4126&gt;='Resultats - informe'!$D$27)*(C4126&lt;='Resultats - informe'!$E$27),0,(C4126&gt;='Resultats - informe'!$D$28)*(C4126&lt;='Resultats - informe'!$E$28),0,(C4126&gt;='Resultats - informe'!$D$29)*(C4126&lt;='Resultats - informe'!$E$29),0,1,1)</f>
        <v>0</v>
      </c>
      <c r="N4126" s="366">
        <f>+VLOOKUP(D4126,'Resultats - informe'!$Y$18:$AG$42,'Introducció dades consum'!K4126+1,0)</f>
        <v>0</v>
      </c>
      <c r="O4126" s="370" cm="1">
        <f t="array" ref="O4126">+_xlfn.SWITCH(MONTH(C4126),1,1,2,1,3,1,4,2,5,2,6,3,7,3,8,3,9,3,10,2,11,2,12,1,2)</f>
        <v>1</v>
      </c>
      <c r="P4126" s="43"/>
    </row>
    <row r="4127" spans="1:16" ht="18" x14ac:dyDescent="0.35">
      <c r="A4127" s="43"/>
      <c r="C4127" s="393"/>
      <c r="E4127" s="394"/>
      <c r="F4127" s="394">
        <v>0</v>
      </c>
      <c r="G4127" s="394"/>
      <c r="H4127" s="8" t="s">
        <v>235</v>
      </c>
      <c r="I4127" s="368">
        <f t="shared" si="193"/>
        <v>0</v>
      </c>
      <c r="J4127" s="365">
        <f t="shared" si="192"/>
        <v>0</v>
      </c>
      <c r="K4127" s="369">
        <f t="shared" si="194"/>
        <v>6</v>
      </c>
      <c r="L4127" s="369">
        <f>+IF((C4127&gt;='Resultats - informe'!$E$16)*(C4127&lt;='Resultats - informe'!$G$16),1,0)</f>
        <v>1</v>
      </c>
      <c r="M4127" s="369" cm="1">
        <f t="array" ref="M4127">+_xlfn.IFS((C4127&gt;='Resultats - informe'!$D$26)*(C4127&lt;='Resultats - informe'!$E$26),0,(C4127&gt;='Resultats - informe'!$D$27)*(C4127&lt;='Resultats - informe'!$E$27),0,(C4127&gt;='Resultats - informe'!$D$28)*(C4127&lt;='Resultats - informe'!$E$28),0,(C4127&gt;='Resultats - informe'!$D$29)*(C4127&lt;='Resultats - informe'!$E$29),0,1,1)</f>
        <v>0</v>
      </c>
      <c r="N4127" s="366">
        <f>+VLOOKUP(D4127,'Resultats - informe'!$Y$18:$AG$42,'Introducció dades consum'!K4127+1,0)</f>
        <v>0</v>
      </c>
      <c r="O4127" s="370" cm="1">
        <f t="array" ref="O4127">+_xlfn.SWITCH(MONTH(C4127),1,1,2,1,3,1,4,2,5,2,6,3,7,3,8,3,9,3,10,2,11,2,12,1,2)</f>
        <v>1</v>
      </c>
      <c r="P4127" s="43"/>
    </row>
    <row r="4128" spans="1:16" ht="18" x14ac:dyDescent="0.35">
      <c r="A4128" s="43"/>
      <c r="C4128" s="393"/>
      <c r="E4128" s="394"/>
      <c r="F4128" s="394">
        <v>0</v>
      </c>
      <c r="G4128" s="394"/>
      <c r="H4128" s="8" t="s">
        <v>235</v>
      </c>
      <c r="I4128" s="368">
        <f t="shared" si="193"/>
        <v>0</v>
      </c>
      <c r="J4128" s="365">
        <f t="shared" si="192"/>
        <v>0</v>
      </c>
      <c r="K4128" s="369">
        <f t="shared" si="194"/>
        <v>6</v>
      </c>
      <c r="L4128" s="369">
        <f>+IF((C4128&gt;='Resultats - informe'!$E$16)*(C4128&lt;='Resultats - informe'!$G$16),1,0)</f>
        <v>1</v>
      </c>
      <c r="M4128" s="369" cm="1">
        <f t="array" ref="M4128">+_xlfn.IFS((C4128&gt;='Resultats - informe'!$D$26)*(C4128&lt;='Resultats - informe'!$E$26),0,(C4128&gt;='Resultats - informe'!$D$27)*(C4128&lt;='Resultats - informe'!$E$27),0,(C4128&gt;='Resultats - informe'!$D$28)*(C4128&lt;='Resultats - informe'!$E$28),0,(C4128&gt;='Resultats - informe'!$D$29)*(C4128&lt;='Resultats - informe'!$E$29),0,1,1)</f>
        <v>0</v>
      </c>
      <c r="N4128" s="366">
        <f>+VLOOKUP(D4128,'Resultats - informe'!$Y$18:$AG$42,'Introducció dades consum'!K4128+1,0)</f>
        <v>0</v>
      </c>
      <c r="O4128" s="370" cm="1">
        <f t="array" ref="O4128">+_xlfn.SWITCH(MONTH(C4128),1,1,2,1,3,1,4,2,5,2,6,3,7,3,8,3,9,3,10,2,11,2,12,1,2)</f>
        <v>1</v>
      </c>
      <c r="P4128" s="43"/>
    </row>
    <row r="4129" spans="1:16" ht="18" x14ac:dyDescent="0.35">
      <c r="A4129" s="43"/>
      <c r="C4129" s="393"/>
      <c r="E4129" s="394"/>
      <c r="F4129" s="394">
        <v>0</v>
      </c>
      <c r="G4129" s="394"/>
      <c r="H4129" s="8" t="s">
        <v>61</v>
      </c>
      <c r="I4129" s="368">
        <f t="shared" si="193"/>
        <v>0</v>
      </c>
      <c r="J4129" s="365">
        <f t="shared" si="192"/>
        <v>0</v>
      </c>
      <c r="K4129" s="369">
        <f t="shared" si="194"/>
        <v>6</v>
      </c>
      <c r="L4129" s="369">
        <f>+IF((C4129&gt;='Resultats - informe'!$E$16)*(C4129&lt;='Resultats - informe'!$G$16),1,0)</f>
        <v>1</v>
      </c>
      <c r="M4129" s="369" cm="1">
        <f t="array" ref="M4129">+_xlfn.IFS((C4129&gt;='Resultats - informe'!$D$26)*(C4129&lt;='Resultats - informe'!$E$26),0,(C4129&gt;='Resultats - informe'!$D$27)*(C4129&lt;='Resultats - informe'!$E$27),0,(C4129&gt;='Resultats - informe'!$D$28)*(C4129&lt;='Resultats - informe'!$E$28),0,(C4129&gt;='Resultats - informe'!$D$29)*(C4129&lt;='Resultats - informe'!$E$29),0,1,1)</f>
        <v>0</v>
      </c>
      <c r="N4129" s="366">
        <f>+VLOOKUP(D4129,'Resultats - informe'!$Y$18:$AG$42,'Introducció dades consum'!K4129+1,0)</f>
        <v>0</v>
      </c>
      <c r="O4129" s="370" cm="1">
        <f t="array" ref="O4129">+_xlfn.SWITCH(MONTH(C4129),1,1,2,1,3,1,4,2,5,2,6,3,7,3,8,3,9,3,10,2,11,2,12,1,2)</f>
        <v>1</v>
      </c>
      <c r="P4129" s="43"/>
    </row>
    <row r="4130" spans="1:16" ht="18" x14ac:dyDescent="0.35">
      <c r="A4130" s="43"/>
      <c r="C4130" s="393"/>
      <c r="E4130" s="394"/>
      <c r="F4130" s="394">
        <v>0</v>
      </c>
      <c r="G4130" s="394"/>
      <c r="H4130" s="8" t="s">
        <v>235</v>
      </c>
      <c r="I4130" s="368">
        <f t="shared" si="193"/>
        <v>0</v>
      </c>
      <c r="J4130" s="365">
        <f t="shared" si="192"/>
        <v>0</v>
      </c>
      <c r="K4130" s="369">
        <f t="shared" si="194"/>
        <v>6</v>
      </c>
      <c r="L4130" s="369">
        <f>+IF((C4130&gt;='Resultats - informe'!$E$16)*(C4130&lt;='Resultats - informe'!$G$16),1,0)</f>
        <v>1</v>
      </c>
      <c r="M4130" s="369" cm="1">
        <f t="array" ref="M4130">+_xlfn.IFS((C4130&gt;='Resultats - informe'!$D$26)*(C4130&lt;='Resultats - informe'!$E$26),0,(C4130&gt;='Resultats - informe'!$D$27)*(C4130&lt;='Resultats - informe'!$E$27),0,(C4130&gt;='Resultats - informe'!$D$28)*(C4130&lt;='Resultats - informe'!$E$28),0,(C4130&gt;='Resultats - informe'!$D$29)*(C4130&lt;='Resultats - informe'!$E$29),0,1,1)</f>
        <v>0</v>
      </c>
      <c r="N4130" s="366">
        <f>+VLOOKUP(D4130,'Resultats - informe'!$Y$18:$AG$42,'Introducció dades consum'!K4130+1,0)</f>
        <v>0</v>
      </c>
      <c r="O4130" s="370" cm="1">
        <f t="array" ref="O4130">+_xlfn.SWITCH(MONTH(C4130),1,1,2,1,3,1,4,2,5,2,6,3,7,3,8,3,9,3,10,2,11,2,12,1,2)</f>
        <v>1</v>
      </c>
      <c r="P4130" s="43"/>
    </row>
    <row r="4131" spans="1:16" ht="18" x14ac:dyDescent="0.35">
      <c r="A4131" s="43"/>
      <c r="C4131" s="393"/>
      <c r="E4131" s="394"/>
      <c r="F4131" s="394">
        <v>0</v>
      </c>
      <c r="G4131" s="394"/>
      <c r="H4131" s="8" t="s">
        <v>235</v>
      </c>
      <c r="I4131" s="368">
        <f t="shared" si="193"/>
        <v>0</v>
      </c>
      <c r="J4131" s="365">
        <f t="shared" si="192"/>
        <v>0</v>
      </c>
      <c r="K4131" s="369">
        <f t="shared" si="194"/>
        <v>6</v>
      </c>
      <c r="L4131" s="369">
        <f>+IF((C4131&gt;='Resultats - informe'!$E$16)*(C4131&lt;='Resultats - informe'!$G$16),1,0)</f>
        <v>1</v>
      </c>
      <c r="M4131" s="369" cm="1">
        <f t="array" ref="M4131">+_xlfn.IFS((C4131&gt;='Resultats - informe'!$D$26)*(C4131&lt;='Resultats - informe'!$E$26),0,(C4131&gt;='Resultats - informe'!$D$27)*(C4131&lt;='Resultats - informe'!$E$27),0,(C4131&gt;='Resultats - informe'!$D$28)*(C4131&lt;='Resultats - informe'!$E$28),0,(C4131&gt;='Resultats - informe'!$D$29)*(C4131&lt;='Resultats - informe'!$E$29),0,1,1)</f>
        <v>0</v>
      </c>
      <c r="N4131" s="366">
        <f>+VLOOKUP(D4131,'Resultats - informe'!$Y$18:$AG$42,'Introducció dades consum'!K4131+1,0)</f>
        <v>0</v>
      </c>
      <c r="O4131" s="370" cm="1">
        <f t="array" ref="O4131">+_xlfn.SWITCH(MONTH(C4131),1,1,2,1,3,1,4,2,5,2,6,3,7,3,8,3,9,3,10,2,11,2,12,1,2)</f>
        <v>1</v>
      </c>
      <c r="P4131" s="43"/>
    </row>
    <row r="4132" spans="1:16" ht="18" x14ac:dyDescent="0.35">
      <c r="A4132" s="43"/>
      <c r="C4132" s="393"/>
      <c r="E4132" s="394"/>
      <c r="F4132" s="394">
        <v>0</v>
      </c>
      <c r="G4132" s="394"/>
      <c r="H4132" s="8" t="s">
        <v>235</v>
      </c>
      <c r="I4132" s="368">
        <f t="shared" si="193"/>
        <v>0</v>
      </c>
      <c r="J4132" s="365">
        <f t="shared" si="192"/>
        <v>0</v>
      </c>
      <c r="K4132" s="369">
        <f t="shared" si="194"/>
        <v>6</v>
      </c>
      <c r="L4132" s="369">
        <f>+IF((C4132&gt;='Resultats - informe'!$E$16)*(C4132&lt;='Resultats - informe'!$G$16),1,0)</f>
        <v>1</v>
      </c>
      <c r="M4132" s="369" cm="1">
        <f t="array" ref="M4132">+_xlfn.IFS((C4132&gt;='Resultats - informe'!$D$26)*(C4132&lt;='Resultats - informe'!$E$26),0,(C4132&gt;='Resultats - informe'!$D$27)*(C4132&lt;='Resultats - informe'!$E$27),0,(C4132&gt;='Resultats - informe'!$D$28)*(C4132&lt;='Resultats - informe'!$E$28),0,(C4132&gt;='Resultats - informe'!$D$29)*(C4132&lt;='Resultats - informe'!$E$29),0,1,1)</f>
        <v>0</v>
      </c>
      <c r="N4132" s="366">
        <f>+VLOOKUP(D4132,'Resultats - informe'!$Y$18:$AG$42,'Introducció dades consum'!K4132+1,0)</f>
        <v>0</v>
      </c>
      <c r="O4132" s="370" cm="1">
        <f t="array" ref="O4132">+_xlfn.SWITCH(MONTH(C4132),1,1,2,1,3,1,4,2,5,2,6,3,7,3,8,3,9,3,10,2,11,2,12,1,2)</f>
        <v>1</v>
      </c>
      <c r="P4132" s="43"/>
    </row>
    <row r="4133" spans="1:16" ht="18" x14ac:dyDescent="0.35">
      <c r="A4133" s="43"/>
      <c r="C4133" s="393"/>
      <c r="E4133" s="394"/>
      <c r="F4133" s="394">
        <v>0</v>
      </c>
      <c r="G4133" s="394"/>
      <c r="H4133" s="8" t="s">
        <v>61</v>
      </c>
      <c r="I4133" s="368">
        <f t="shared" si="193"/>
        <v>0</v>
      </c>
      <c r="J4133" s="365">
        <f t="shared" si="192"/>
        <v>0</v>
      </c>
      <c r="K4133" s="369">
        <f t="shared" si="194"/>
        <v>6</v>
      </c>
      <c r="L4133" s="369">
        <f>+IF((C4133&gt;='Resultats - informe'!$E$16)*(C4133&lt;='Resultats - informe'!$G$16),1,0)</f>
        <v>1</v>
      </c>
      <c r="M4133" s="369" cm="1">
        <f t="array" ref="M4133">+_xlfn.IFS((C4133&gt;='Resultats - informe'!$D$26)*(C4133&lt;='Resultats - informe'!$E$26),0,(C4133&gt;='Resultats - informe'!$D$27)*(C4133&lt;='Resultats - informe'!$E$27),0,(C4133&gt;='Resultats - informe'!$D$28)*(C4133&lt;='Resultats - informe'!$E$28),0,(C4133&gt;='Resultats - informe'!$D$29)*(C4133&lt;='Resultats - informe'!$E$29),0,1,1)</f>
        <v>0</v>
      </c>
      <c r="N4133" s="366">
        <f>+VLOOKUP(D4133,'Resultats - informe'!$Y$18:$AG$42,'Introducció dades consum'!K4133+1,0)</f>
        <v>0</v>
      </c>
      <c r="O4133" s="370" cm="1">
        <f t="array" ref="O4133">+_xlfn.SWITCH(MONTH(C4133),1,1,2,1,3,1,4,2,5,2,6,3,7,3,8,3,9,3,10,2,11,2,12,1,2)</f>
        <v>1</v>
      </c>
      <c r="P4133" s="43"/>
    </row>
    <row r="4134" spans="1:16" ht="18" x14ac:dyDescent="0.35">
      <c r="A4134" s="43"/>
      <c r="C4134" s="393"/>
      <c r="E4134" s="394"/>
      <c r="F4134" s="394">
        <v>0</v>
      </c>
      <c r="G4134" s="394"/>
      <c r="H4134" s="8" t="s">
        <v>235</v>
      </c>
      <c r="I4134" s="368">
        <f t="shared" si="193"/>
        <v>0</v>
      </c>
      <c r="J4134" s="365">
        <f t="shared" si="192"/>
        <v>0</v>
      </c>
      <c r="K4134" s="369">
        <f t="shared" si="194"/>
        <v>6</v>
      </c>
      <c r="L4134" s="369">
        <f>+IF((C4134&gt;='Resultats - informe'!$E$16)*(C4134&lt;='Resultats - informe'!$G$16),1,0)</f>
        <v>1</v>
      </c>
      <c r="M4134" s="369" cm="1">
        <f t="array" ref="M4134">+_xlfn.IFS((C4134&gt;='Resultats - informe'!$D$26)*(C4134&lt;='Resultats - informe'!$E$26),0,(C4134&gt;='Resultats - informe'!$D$27)*(C4134&lt;='Resultats - informe'!$E$27),0,(C4134&gt;='Resultats - informe'!$D$28)*(C4134&lt;='Resultats - informe'!$E$28),0,(C4134&gt;='Resultats - informe'!$D$29)*(C4134&lt;='Resultats - informe'!$E$29),0,1,1)</f>
        <v>0</v>
      </c>
      <c r="N4134" s="366">
        <f>+VLOOKUP(D4134,'Resultats - informe'!$Y$18:$AG$42,'Introducció dades consum'!K4134+1,0)</f>
        <v>0</v>
      </c>
      <c r="O4134" s="370" cm="1">
        <f t="array" ref="O4134">+_xlfn.SWITCH(MONTH(C4134),1,1,2,1,3,1,4,2,5,2,6,3,7,3,8,3,9,3,10,2,11,2,12,1,2)</f>
        <v>1</v>
      </c>
      <c r="P4134" s="43"/>
    </row>
    <row r="4135" spans="1:16" ht="18" x14ac:dyDescent="0.35">
      <c r="A4135" s="43"/>
      <c r="C4135" s="393"/>
      <c r="E4135" s="394"/>
      <c r="F4135" s="394">
        <v>0</v>
      </c>
      <c r="G4135" s="394"/>
      <c r="H4135" s="8" t="s">
        <v>235</v>
      </c>
      <c r="I4135" s="368">
        <f t="shared" si="193"/>
        <v>0</v>
      </c>
      <c r="J4135" s="365">
        <f t="shared" si="192"/>
        <v>0</v>
      </c>
      <c r="K4135" s="369">
        <f t="shared" si="194"/>
        <v>6</v>
      </c>
      <c r="L4135" s="369">
        <f>+IF((C4135&gt;='Resultats - informe'!$E$16)*(C4135&lt;='Resultats - informe'!$G$16),1,0)</f>
        <v>1</v>
      </c>
      <c r="M4135" s="369" cm="1">
        <f t="array" ref="M4135">+_xlfn.IFS((C4135&gt;='Resultats - informe'!$D$26)*(C4135&lt;='Resultats - informe'!$E$26),0,(C4135&gt;='Resultats - informe'!$D$27)*(C4135&lt;='Resultats - informe'!$E$27),0,(C4135&gt;='Resultats - informe'!$D$28)*(C4135&lt;='Resultats - informe'!$E$28),0,(C4135&gt;='Resultats - informe'!$D$29)*(C4135&lt;='Resultats - informe'!$E$29),0,1,1)</f>
        <v>0</v>
      </c>
      <c r="N4135" s="366">
        <f>+VLOOKUP(D4135,'Resultats - informe'!$Y$18:$AG$42,'Introducció dades consum'!K4135+1,0)</f>
        <v>0</v>
      </c>
      <c r="O4135" s="370" cm="1">
        <f t="array" ref="O4135">+_xlfn.SWITCH(MONTH(C4135),1,1,2,1,3,1,4,2,5,2,6,3,7,3,8,3,9,3,10,2,11,2,12,1,2)</f>
        <v>1</v>
      </c>
      <c r="P4135" s="43"/>
    </row>
    <row r="4136" spans="1:16" ht="18" x14ac:dyDescent="0.35">
      <c r="A4136" s="43"/>
      <c r="C4136" s="393"/>
      <c r="E4136" s="394"/>
      <c r="F4136" s="394">
        <v>0</v>
      </c>
      <c r="G4136" s="394"/>
      <c r="H4136" s="8" t="s">
        <v>61</v>
      </c>
      <c r="I4136" s="368">
        <f t="shared" si="193"/>
        <v>0</v>
      </c>
      <c r="J4136" s="365">
        <f t="shared" si="192"/>
        <v>0</v>
      </c>
      <c r="K4136" s="369">
        <f t="shared" si="194"/>
        <v>6</v>
      </c>
      <c r="L4136" s="369">
        <f>+IF((C4136&gt;='Resultats - informe'!$E$16)*(C4136&lt;='Resultats - informe'!$G$16),1,0)</f>
        <v>1</v>
      </c>
      <c r="M4136" s="369" cm="1">
        <f t="array" ref="M4136">+_xlfn.IFS((C4136&gt;='Resultats - informe'!$D$26)*(C4136&lt;='Resultats - informe'!$E$26),0,(C4136&gt;='Resultats - informe'!$D$27)*(C4136&lt;='Resultats - informe'!$E$27),0,(C4136&gt;='Resultats - informe'!$D$28)*(C4136&lt;='Resultats - informe'!$E$28),0,(C4136&gt;='Resultats - informe'!$D$29)*(C4136&lt;='Resultats - informe'!$E$29),0,1,1)</f>
        <v>0</v>
      </c>
      <c r="N4136" s="366">
        <f>+VLOOKUP(D4136,'Resultats - informe'!$Y$18:$AG$42,'Introducció dades consum'!K4136+1,0)</f>
        <v>0</v>
      </c>
      <c r="O4136" s="370" cm="1">
        <f t="array" ref="O4136">+_xlfn.SWITCH(MONTH(C4136),1,1,2,1,3,1,4,2,5,2,6,3,7,3,8,3,9,3,10,2,11,2,12,1,2)</f>
        <v>1</v>
      </c>
      <c r="P4136" s="43"/>
    </row>
    <row r="4137" spans="1:16" ht="18" x14ac:dyDescent="0.35">
      <c r="A4137" s="43"/>
      <c r="C4137" s="393"/>
      <c r="E4137" s="394"/>
      <c r="F4137" s="394">
        <v>0.223</v>
      </c>
      <c r="G4137" s="394"/>
      <c r="H4137" s="8" t="s">
        <v>235</v>
      </c>
      <c r="I4137" s="368">
        <f t="shared" si="193"/>
        <v>0</v>
      </c>
      <c r="J4137" s="365">
        <f t="shared" si="192"/>
        <v>0</v>
      </c>
      <c r="K4137" s="369">
        <f t="shared" si="194"/>
        <v>6</v>
      </c>
      <c r="L4137" s="369">
        <f>+IF((C4137&gt;='Resultats - informe'!$E$16)*(C4137&lt;='Resultats - informe'!$G$16),1,0)</f>
        <v>1</v>
      </c>
      <c r="M4137" s="369" cm="1">
        <f t="array" ref="M4137">+_xlfn.IFS((C4137&gt;='Resultats - informe'!$D$26)*(C4137&lt;='Resultats - informe'!$E$26),0,(C4137&gt;='Resultats - informe'!$D$27)*(C4137&lt;='Resultats - informe'!$E$27),0,(C4137&gt;='Resultats - informe'!$D$28)*(C4137&lt;='Resultats - informe'!$E$28),0,(C4137&gt;='Resultats - informe'!$D$29)*(C4137&lt;='Resultats - informe'!$E$29),0,1,1)</f>
        <v>0</v>
      </c>
      <c r="N4137" s="366">
        <f>+VLOOKUP(D4137,'Resultats - informe'!$Y$18:$AG$42,'Introducció dades consum'!K4137+1,0)</f>
        <v>0</v>
      </c>
      <c r="O4137" s="370" cm="1">
        <f t="array" ref="O4137">+_xlfn.SWITCH(MONTH(C4137),1,1,2,1,3,1,4,2,5,2,6,3,7,3,8,3,9,3,10,2,11,2,12,1,2)</f>
        <v>1</v>
      </c>
      <c r="P4137" s="43"/>
    </row>
    <row r="4138" spans="1:16" ht="18" x14ac:dyDescent="0.35">
      <c r="A4138" s="43"/>
      <c r="C4138" s="393"/>
      <c r="E4138" s="394"/>
      <c r="F4138" s="394">
        <v>0.80900000000000005</v>
      </c>
      <c r="G4138" s="394"/>
      <c r="H4138" s="8" t="s">
        <v>235</v>
      </c>
      <c r="I4138" s="368">
        <f t="shared" si="193"/>
        <v>0</v>
      </c>
      <c r="J4138" s="365">
        <f t="shared" si="192"/>
        <v>0</v>
      </c>
      <c r="K4138" s="369">
        <f t="shared" si="194"/>
        <v>6</v>
      </c>
      <c r="L4138" s="369">
        <f>+IF((C4138&gt;='Resultats - informe'!$E$16)*(C4138&lt;='Resultats - informe'!$G$16),1,0)</f>
        <v>1</v>
      </c>
      <c r="M4138" s="369" cm="1">
        <f t="array" ref="M4138">+_xlfn.IFS((C4138&gt;='Resultats - informe'!$D$26)*(C4138&lt;='Resultats - informe'!$E$26),0,(C4138&gt;='Resultats - informe'!$D$27)*(C4138&lt;='Resultats - informe'!$E$27),0,(C4138&gt;='Resultats - informe'!$D$28)*(C4138&lt;='Resultats - informe'!$E$28),0,(C4138&gt;='Resultats - informe'!$D$29)*(C4138&lt;='Resultats - informe'!$E$29),0,1,1)</f>
        <v>0</v>
      </c>
      <c r="N4138" s="366">
        <f>+VLOOKUP(D4138,'Resultats - informe'!$Y$18:$AG$42,'Introducció dades consum'!K4138+1,0)</f>
        <v>0</v>
      </c>
      <c r="O4138" s="370" cm="1">
        <f t="array" ref="O4138">+_xlfn.SWITCH(MONTH(C4138),1,1,2,1,3,1,4,2,5,2,6,3,7,3,8,3,9,3,10,2,11,2,12,1,2)</f>
        <v>1</v>
      </c>
      <c r="P4138" s="43"/>
    </row>
    <row r="4139" spans="1:16" ht="18" x14ac:dyDescent="0.35">
      <c r="A4139" s="43"/>
      <c r="C4139" s="393"/>
      <c r="E4139" s="394"/>
      <c r="F4139" s="394">
        <v>0</v>
      </c>
      <c r="G4139" s="394"/>
      <c r="H4139" s="8" t="s">
        <v>61</v>
      </c>
      <c r="I4139" s="368">
        <f t="shared" si="193"/>
        <v>0</v>
      </c>
      <c r="J4139" s="365">
        <f t="shared" si="192"/>
        <v>0</v>
      </c>
      <c r="K4139" s="369">
        <f t="shared" si="194"/>
        <v>6</v>
      </c>
      <c r="L4139" s="369">
        <f>+IF((C4139&gt;='Resultats - informe'!$E$16)*(C4139&lt;='Resultats - informe'!$G$16),1,0)</f>
        <v>1</v>
      </c>
      <c r="M4139" s="369" cm="1">
        <f t="array" ref="M4139">+_xlfn.IFS((C4139&gt;='Resultats - informe'!$D$26)*(C4139&lt;='Resultats - informe'!$E$26),0,(C4139&gt;='Resultats - informe'!$D$27)*(C4139&lt;='Resultats - informe'!$E$27),0,(C4139&gt;='Resultats - informe'!$D$28)*(C4139&lt;='Resultats - informe'!$E$28),0,(C4139&gt;='Resultats - informe'!$D$29)*(C4139&lt;='Resultats - informe'!$E$29),0,1,1)</f>
        <v>0</v>
      </c>
      <c r="N4139" s="366">
        <f>+VLOOKUP(D4139,'Resultats - informe'!$Y$18:$AG$42,'Introducció dades consum'!K4139+1,0)</f>
        <v>0</v>
      </c>
      <c r="O4139" s="370" cm="1">
        <f t="array" ref="O4139">+_xlfn.SWITCH(MONTH(C4139),1,1,2,1,3,1,4,2,5,2,6,3,7,3,8,3,9,3,10,2,11,2,12,1,2)</f>
        <v>1</v>
      </c>
      <c r="P4139" s="43"/>
    </row>
    <row r="4140" spans="1:16" ht="18" x14ac:dyDescent="0.35">
      <c r="A4140" s="43"/>
      <c r="C4140" s="393"/>
      <c r="E4140" s="394"/>
      <c r="F4140" s="394">
        <v>0.64200000000000002</v>
      </c>
      <c r="G4140" s="394"/>
      <c r="H4140" s="8" t="s">
        <v>61</v>
      </c>
      <c r="I4140" s="368">
        <f t="shared" si="193"/>
        <v>0</v>
      </c>
      <c r="J4140" s="365">
        <f t="shared" si="192"/>
        <v>0</v>
      </c>
      <c r="K4140" s="369">
        <f t="shared" si="194"/>
        <v>6</v>
      </c>
      <c r="L4140" s="369">
        <f>+IF((C4140&gt;='Resultats - informe'!$E$16)*(C4140&lt;='Resultats - informe'!$G$16),1,0)</f>
        <v>1</v>
      </c>
      <c r="M4140" s="369" cm="1">
        <f t="array" ref="M4140">+_xlfn.IFS((C4140&gt;='Resultats - informe'!$D$26)*(C4140&lt;='Resultats - informe'!$E$26),0,(C4140&gt;='Resultats - informe'!$D$27)*(C4140&lt;='Resultats - informe'!$E$27),0,(C4140&gt;='Resultats - informe'!$D$28)*(C4140&lt;='Resultats - informe'!$E$28),0,(C4140&gt;='Resultats - informe'!$D$29)*(C4140&lt;='Resultats - informe'!$E$29),0,1,1)</f>
        <v>0</v>
      </c>
      <c r="N4140" s="366">
        <f>+VLOOKUP(D4140,'Resultats - informe'!$Y$18:$AG$42,'Introducció dades consum'!K4140+1,0)</f>
        <v>0</v>
      </c>
      <c r="O4140" s="370" cm="1">
        <f t="array" ref="O4140">+_xlfn.SWITCH(MONTH(C4140),1,1,2,1,3,1,4,2,5,2,6,3,7,3,8,3,9,3,10,2,11,2,12,1,2)</f>
        <v>1</v>
      </c>
      <c r="P4140" s="43"/>
    </row>
    <row r="4141" spans="1:16" ht="18" x14ac:dyDescent="0.35">
      <c r="A4141" s="43"/>
      <c r="C4141" s="393"/>
      <c r="E4141" s="394"/>
      <c r="F4141" s="394">
        <v>2.0720000000000001</v>
      </c>
      <c r="G4141" s="394"/>
      <c r="H4141" s="8" t="s">
        <v>61</v>
      </c>
      <c r="I4141" s="368">
        <f t="shared" si="193"/>
        <v>0</v>
      </c>
      <c r="J4141" s="365">
        <f t="shared" si="192"/>
        <v>0</v>
      </c>
      <c r="K4141" s="369">
        <f t="shared" si="194"/>
        <v>6</v>
      </c>
      <c r="L4141" s="369">
        <f>+IF((C4141&gt;='Resultats - informe'!$E$16)*(C4141&lt;='Resultats - informe'!$G$16),1,0)</f>
        <v>1</v>
      </c>
      <c r="M4141" s="369" cm="1">
        <f t="array" ref="M4141">+_xlfn.IFS((C4141&gt;='Resultats - informe'!$D$26)*(C4141&lt;='Resultats - informe'!$E$26),0,(C4141&gt;='Resultats - informe'!$D$27)*(C4141&lt;='Resultats - informe'!$E$27),0,(C4141&gt;='Resultats - informe'!$D$28)*(C4141&lt;='Resultats - informe'!$E$28),0,(C4141&gt;='Resultats - informe'!$D$29)*(C4141&lt;='Resultats - informe'!$E$29),0,1,1)</f>
        <v>0</v>
      </c>
      <c r="N4141" s="366">
        <f>+VLOOKUP(D4141,'Resultats - informe'!$Y$18:$AG$42,'Introducció dades consum'!K4141+1,0)</f>
        <v>0</v>
      </c>
      <c r="O4141" s="370" cm="1">
        <f t="array" ref="O4141">+_xlfn.SWITCH(MONTH(C4141),1,1,2,1,3,1,4,2,5,2,6,3,7,3,8,3,9,3,10,2,11,2,12,1,2)</f>
        <v>1</v>
      </c>
      <c r="P4141" s="43"/>
    </row>
    <row r="4142" spans="1:16" ht="18" x14ac:dyDescent="0.35">
      <c r="A4142" s="43"/>
      <c r="C4142" s="393"/>
      <c r="E4142" s="394"/>
      <c r="F4142" s="394">
        <v>4.0090000000000003</v>
      </c>
      <c r="G4142" s="394"/>
      <c r="H4142" s="8" t="s">
        <v>61</v>
      </c>
      <c r="I4142" s="368">
        <f t="shared" si="193"/>
        <v>0</v>
      </c>
      <c r="J4142" s="365">
        <f t="shared" si="192"/>
        <v>0</v>
      </c>
      <c r="K4142" s="369">
        <f t="shared" si="194"/>
        <v>6</v>
      </c>
      <c r="L4142" s="369">
        <f>+IF((C4142&gt;='Resultats - informe'!$E$16)*(C4142&lt;='Resultats - informe'!$G$16),1,0)</f>
        <v>1</v>
      </c>
      <c r="M4142" s="369" cm="1">
        <f t="array" ref="M4142">+_xlfn.IFS((C4142&gt;='Resultats - informe'!$D$26)*(C4142&lt;='Resultats - informe'!$E$26),0,(C4142&gt;='Resultats - informe'!$D$27)*(C4142&lt;='Resultats - informe'!$E$27),0,(C4142&gt;='Resultats - informe'!$D$28)*(C4142&lt;='Resultats - informe'!$E$28),0,(C4142&gt;='Resultats - informe'!$D$29)*(C4142&lt;='Resultats - informe'!$E$29),0,1,1)</f>
        <v>0</v>
      </c>
      <c r="N4142" s="366">
        <f>+VLOOKUP(D4142,'Resultats - informe'!$Y$18:$AG$42,'Introducció dades consum'!K4142+1,0)</f>
        <v>0</v>
      </c>
      <c r="O4142" s="370" cm="1">
        <f t="array" ref="O4142">+_xlfn.SWITCH(MONTH(C4142),1,1,2,1,3,1,4,2,5,2,6,3,7,3,8,3,9,3,10,2,11,2,12,1,2)</f>
        <v>1</v>
      </c>
      <c r="P4142" s="43"/>
    </row>
    <row r="4143" spans="1:16" ht="18" x14ac:dyDescent="0.35">
      <c r="A4143" s="43"/>
      <c r="C4143" s="393"/>
      <c r="E4143" s="394"/>
      <c r="F4143" s="394">
        <v>5.3280000000000003</v>
      </c>
      <c r="G4143" s="394"/>
      <c r="H4143" s="8" t="s">
        <v>61</v>
      </c>
      <c r="I4143" s="368">
        <f t="shared" si="193"/>
        <v>0</v>
      </c>
      <c r="J4143" s="365">
        <f t="shared" si="192"/>
        <v>0</v>
      </c>
      <c r="K4143" s="369">
        <f t="shared" si="194"/>
        <v>6</v>
      </c>
      <c r="L4143" s="369">
        <f>+IF((C4143&gt;='Resultats - informe'!$E$16)*(C4143&lt;='Resultats - informe'!$G$16),1,0)</f>
        <v>1</v>
      </c>
      <c r="M4143" s="369" cm="1">
        <f t="array" ref="M4143">+_xlfn.IFS((C4143&gt;='Resultats - informe'!$D$26)*(C4143&lt;='Resultats - informe'!$E$26),0,(C4143&gt;='Resultats - informe'!$D$27)*(C4143&lt;='Resultats - informe'!$E$27),0,(C4143&gt;='Resultats - informe'!$D$28)*(C4143&lt;='Resultats - informe'!$E$28),0,(C4143&gt;='Resultats - informe'!$D$29)*(C4143&lt;='Resultats - informe'!$E$29),0,1,1)</f>
        <v>0</v>
      </c>
      <c r="N4143" s="366">
        <f>+VLOOKUP(D4143,'Resultats - informe'!$Y$18:$AG$42,'Introducció dades consum'!K4143+1,0)</f>
        <v>0</v>
      </c>
      <c r="O4143" s="370" cm="1">
        <f t="array" ref="O4143">+_xlfn.SWITCH(MONTH(C4143),1,1,2,1,3,1,4,2,5,2,6,3,7,3,8,3,9,3,10,2,11,2,12,1,2)</f>
        <v>1</v>
      </c>
      <c r="P4143" s="43"/>
    </row>
    <row r="4144" spans="1:16" ht="18" x14ac:dyDescent="0.35">
      <c r="A4144" s="43"/>
      <c r="C4144" s="393"/>
      <c r="E4144" s="394"/>
      <c r="F4144" s="394">
        <v>2.786</v>
      </c>
      <c r="G4144" s="394"/>
      <c r="H4144" s="8" t="s">
        <v>235</v>
      </c>
      <c r="I4144" s="368">
        <f t="shared" si="193"/>
        <v>0</v>
      </c>
      <c r="J4144" s="365">
        <f t="shared" si="192"/>
        <v>0</v>
      </c>
      <c r="K4144" s="369">
        <f t="shared" si="194"/>
        <v>6</v>
      </c>
      <c r="L4144" s="369">
        <f>+IF((C4144&gt;='Resultats - informe'!$E$16)*(C4144&lt;='Resultats - informe'!$G$16),1,0)</f>
        <v>1</v>
      </c>
      <c r="M4144" s="369" cm="1">
        <f t="array" ref="M4144">+_xlfn.IFS((C4144&gt;='Resultats - informe'!$D$26)*(C4144&lt;='Resultats - informe'!$E$26),0,(C4144&gt;='Resultats - informe'!$D$27)*(C4144&lt;='Resultats - informe'!$E$27),0,(C4144&gt;='Resultats - informe'!$D$28)*(C4144&lt;='Resultats - informe'!$E$28),0,(C4144&gt;='Resultats - informe'!$D$29)*(C4144&lt;='Resultats - informe'!$E$29),0,1,1)</f>
        <v>0</v>
      </c>
      <c r="N4144" s="366">
        <f>+VLOOKUP(D4144,'Resultats - informe'!$Y$18:$AG$42,'Introducció dades consum'!K4144+1,0)</f>
        <v>0</v>
      </c>
      <c r="O4144" s="370" cm="1">
        <f t="array" ref="O4144">+_xlfn.SWITCH(MONTH(C4144),1,1,2,1,3,1,4,2,5,2,6,3,7,3,8,3,9,3,10,2,11,2,12,1,2)</f>
        <v>1</v>
      </c>
      <c r="P4144" s="43"/>
    </row>
    <row r="4145" spans="1:16" ht="18" x14ac:dyDescent="0.35">
      <c r="A4145" s="43"/>
      <c r="C4145" s="393"/>
      <c r="E4145" s="394"/>
      <c r="F4145" s="394">
        <v>2.472</v>
      </c>
      <c r="G4145" s="394"/>
      <c r="H4145" s="8" t="s">
        <v>235</v>
      </c>
      <c r="I4145" s="368">
        <f t="shared" si="193"/>
        <v>0</v>
      </c>
      <c r="J4145" s="365">
        <f t="shared" si="192"/>
        <v>0</v>
      </c>
      <c r="K4145" s="369">
        <f t="shared" si="194"/>
        <v>6</v>
      </c>
      <c r="L4145" s="369">
        <f>+IF((C4145&gt;='Resultats - informe'!$E$16)*(C4145&lt;='Resultats - informe'!$G$16),1,0)</f>
        <v>1</v>
      </c>
      <c r="M4145" s="369" cm="1">
        <f t="array" ref="M4145">+_xlfn.IFS((C4145&gt;='Resultats - informe'!$D$26)*(C4145&lt;='Resultats - informe'!$E$26),0,(C4145&gt;='Resultats - informe'!$D$27)*(C4145&lt;='Resultats - informe'!$E$27),0,(C4145&gt;='Resultats - informe'!$D$28)*(C4145&lt;='Resultats - informe'!$E$28),0,(C4145&gt;='Resultats - informe'!$D$29)*(C4145&lt;='Resultats - informe'!$E$29),0,1,1)</f>
        <v>0</v>
      </c>
      <c r="N4145" s="366">
        <f>+VLOOKUP(D4145,'Resultats - informe'!$Y$18:$AG$42,'Introducció dades consum'!K4145+1,0)</f>
        <v>0</v>
      </c>
      <c r="O4145" s="370" cm="1">
        <f t="array" ref="O4145">+_xlfn.SWITCH(MONTH(C4145),1,1,2,1,3,1,4,2,5,2,6,3,7,3,8,3,9,3,10,2,11,2,12,1,2)</f>
        <v>1</v>
      </c>
      <c r="P4145" s="43"/>
    </row>
    <row r="4146" spans="1:16" ht="18" x14ac:dyDescent="0.35">
      <c r="A4146" s="43"/>
      <c r="C4146" s="393"/>
      <c r="E4146" s="394"/>
      <c r="F4146" s="394">
        <v>1.9970000000000001</v>
      </c>
      <c r="G4146" s="394"/>
      <c r="H4146" s="8" t="s">
        <v>235</v>
      </c>
      <c r="I4146" s="368">
        <f t="shared" si="193"/>
        <v>0</v>
      </c>
      <c r="J4146" s="365">
        <f t="shared" si="192"/>
        <v>0</v>
      </c>
      <c r="K4146" s="369">
        <f t="shared" si="194"/>
        <v>6</v>
      </c>
      <c r="L4146" s="369">
        <f>+IF((C4146&gt;='Resultats - informe'!$E$16)*(C4146&lt;='Resultats - informe'!$G$16),1,0)</f>
        <v>1</v>
      </c>
      <c r="M4146" s="369" cm="1">
        <f t="array" ref="M4146">+_xlfn.IFS((C4146&gt;='Resultats - informe'!$D$26)*(C4146&lt;='Resultats - informe'!$E$26),0,(C4146&gt;='Resultats - informe'!$D$27)*(C4146&lt;='Resultats - informe'!$E$27),0,(C4146&gt;='Resultats - informe'!$D$28)*(C4146&lt;='Resultats - informe'!$E$28),0,(C4146&gt;='Resultats - informe'!$D$29)*(C4146&lt;='Resultats - informe'!$E$29),0,1,1)</f>
        <v>0</v>
      </c>
      <c r="N4146" s="366">
        <f>+VLOOKUP(D4146,'Resultats - informe'!$Y$18:$AG$42,'Introducció dades consum'!K4146+1,0)</f>
        <v>0</v>
      </c>
      <c r="O4146" s="370" cm="1">
        <f t="array" ref="O4146">+_xlfn.SWITCH(MONTH(C4146),1,1,2,1,3,1,4,2,5,2,6,3,7,3,8,3,9,3,10,2,11,2,12,1,2)</f>
        <v>1</v>
      </c>
      <c r="P4146" s="43"/>
    </row>
    <row r="4147" spans="1:16" ht="18" x14ac:dyDescent="0.35">
      <c r="A4147" s="43"/>
      <c r="C4147" s="393"/>
      <c r="E4147" s="394"/>
      <c r="F4147" s="394">
        <v>1.393</v>
      </c>
      <c r="G4147" s="394"/>
      <c r="H4147" s="8" t="s">
        <v>235</v>
      </c>
      <c r="I4147" s="368">
        <f t="shared" si="193"/>
        <v>0</v>
      </c>
      <c r="J4147" s="365">
        <f t="shared" si="192"/>
        <v>0</v>
      </c>
      <c r="K4147" s="369">
        <f t="shared" si="194"/>
        <v>6</v>
      </c>
      <c r="L4147" s="369">
        <f>+IF((C4147&gt;='Resultats - informe'!$E$16)*(C4147&lt;='Resultats - informe'!$G$16),1,0)</f>
        <v>1</v>
      </c>
      <c r="M4147" s="369" cm="1">
        <f t="array" ref="M4147">+_xlfn.IFS((C4147&gt;='Resultats - informe'!$D$26)*(C4147&lt;='Resultats - informe'!$E$26),0,(C4147&gt;='Resultats - informe'!$D$27)*(C4147&lt;='Resultats - informe'!$E$27),0,(C4147&gt;='Resultats - informe'!$D$28)*(C4147&lt;='Resultats - informe'!$E$28),0,(C4147&gt;='Resultats - informe'!$D$29)*(C4147&lt;='Resultats - informe'!$E$29),0,1,1)</f>
        <v>0</v>
      </c>
      <c r="N4147" s="366">
        <f>+VLOOKUP(D4147,'Resultats - informe'!$Y$18:$AG$42,'Introducció dades consum'!K4147+1,0)</f>
        <v>0</v>
      </c>
      <c r="O4147" s="370" cm="1">
        <f t="array" ref="O4147">+_xlfn.SWITCH(MONTH(C4147),1,1,2,1,3,1,4,2,5,2,6,3,7,3,8,3,9,3,10,2,11,2,12,1,2)</f>
        <v>1</v>
      </c>
      <c r="P4147" s="43"/>
    </row>
    <row r="4148" spans="1:16" ht="18" x14ac:dyDescent="0.35">
      <c r="A4148" s="43"/>
      <c r="C4148" s="393"/>
      <c r="E4148" s="394"/>
      <c r="F4148" s="394">
        <v>0.45700000000000002</v>
      </c>
      <c r="G4148" s="394"/>
      <c r="H4148" s="8" t="s">
        <v>61</v>
      </c>
      <c r="I4148" s="368">
        <f t="shared" si="193"/>
        <v>0</v>
      </c>
      <c r="J4148" s="365">
        <f t="shared" si="192"/>
        <v>0</v>
      </c>
      <c r="K4148" s="369">
        <f t="shared" si="194"/>
        <v>6</v>
      </c>
      <c r="L4148" s="369">
        <f>+IF((C4148&gt;='Resultats - informe'!$E$16)*(C4148&lt;='Resultats - informe'!$G$16),1,0)</f>
        <v>1</v>
      </c>
      <c r="M4148" s="369" cm="1">
        <f t="array" ref="M4148">+_xlfn.IFS((C4148&gt;='Resultats - informe'!$D$26)*(C4148&lt;='Resultats - informe'!$E$26),0,(C4148&gt;='Resultats - informe'!$D$27)*(C4148&lt;='Resultats - informe'!$E$27),0,(C4148&gt;='Resultats - informe'!$D$28)*(C4148&lt;='Resultats - informe'!$E$28),0,(C4148&gt;='Resultats - informe'!$D$29)*(C4148&lt;='Resultats - informe'!$E$29),0,1,1)</f>
        <v>0</v>
      </c>
      <c r="N4148" s="366">
        <f>+VLOOKUP(D4148,'Resultats - informe'!$Y$18:$AG$42,'Introducció dades consum'!K4148+1,0)</f>
        <v>0</v>
      </c>
      <c r="O4148" s="370" cm="1">
        <f t="array" ref="O4148">+_xlfn.SWITCH(MONTH(C4148),1,1,2,1,3,1,4,2,5,2,6,3,7,3,8,3,9,3,10,2,11,2,12,1,2)</f>
        <v>1</v>
      </c>
      <c r="P4148" s="43"/>
    </row>
    <row r="4149" spans="1:16" ht="18" x14ac:dyDescent="0.35">
      <c r="A4149" s="43"/>
      <c r="C4149" s="393"/>
      <c r="E4149" s="394"/>
      <c r="F4149" s="394">
        <v>0</v>
      </c>
      <c r="G4149" s="394"/>
      <c r="H4149" s="8" t="s">
        <v>61</v>
      </c>
      <c r="I4149" s="368">
        <f t="shared" si="193"/>
        <v>0</v>
      </c>
      <c r="J4149" s="365">
        <f t="shared" si="192"/>
        <v>0</v>
      </c>
      <c r="K4149" s="369">
        <f t="shared" si="194"/>
        <v>6</v>
      </c>
      <c r="L4149" s="369">
        <f>+IF((C4149&gt;='Resultats - informe'!$E$16)*(C4149&lt;='Resultats - informe'!$G$16),1,0)</f>
        <v>1</v>
      </c>
      <c r="M4149" s="369" cm="1">
        <f t="array" ref="M4149">+_xlfn.IFS((C4149&gt;='Resultats - informe'!$D$26)*(C4149&lt;='Resultats - informe'!$E$26),0,(C4149&gt;='Resultats - informe'!$D$27)*(C4149&lt;='Resultats - informe'!$E$27),0,(C4149&gt;='Resultats - informe'!$D$28)*(C4149&lt;='Resultats - informe'!$E$28),0,(C4149&gt;='Resultats - informe'!$D$29)*(C4149&lt;='Resultats - informe'!$E$29),0,1,1)</f>
        <v>0</v>
      </c>
      <c r="N4149" s="366">
        <f>+VLOOKUP(D4149,'Resultats - informe'!$Y$18:$AG$42,'Introducció dades consum'!K4149+1,0)</f>
        <v>0</v>
      </c>
      <c r="O4149" s="370" cm="1">
        <f t="array" ref="O4149">+_xlfn.SWITCH(MONTH(C4149),1,1,2,1,3,1,4,2,5,2,6,3,7,3,8,3,9,3,10,2,11,2,12,1,2)</f>
        <v>1</v>
      </c>
      <c r="P4149" s="43"/>
    </row>
    <row r="4150" spans="1:16" ht="18" x14ac:dyDescent="0.35">
      <c r="A4150" s="43"/>
      <c r="C4150" s="393"/>
      <c r="E4150" s="394"/>
      <c r="F4150" s="394">
        <v>0</v>
      </c>
      <c r="G4150" s="394"/>
      <c r="H4150" s="8" t="s">
        <v>61</v>
      </c>
      <c r="I4150" s="368">
        <f t="shared" si="193"/>
        <v>0</v>
      </c>
      <c r="J4150" s="365">
        <f t="shared" si="192"/>
        <v>0</v>
      </c>
      <c r="K4150" s="369">
        <f t="shared" si="194"/>
        <v>6</v>
      </c>
      <c r="L4150" s="369">
        <f>+IF((C4150&gt;='Resultats - informe'!$E$16)*(C4150&lt;='Resultats - informe'!$G$16),1,0)</f>
        <v>1</v>
      </c>
      <c r="M4150" s="369" cm="1">
        <f t="array" ref="M4150">+_xlfn.IFS((C4150&gt;='Resultats - informe'!$D$26)*(C4150&lt;='Resultats - informe'!$E$26),0,(C4150&gt;='Resultats - informe'!$D$27)*(C4150&lt;='Resultats - informe'!$E$27),0,(C4150&gt;='Resultats - informe'!$D$28)*(C4150&lt;='Resultats - informe'!$E$28),0,(C4150&gt;='Resultats - informe'!$D$29)*(C4150&lt;='Resultats - informe'!$E$29),0,1,1)</f>
        <v>0</v>
      </c>
      <c r="N4150" s="366">
        <f>+VLOOKUP(D4150,'Resultats - informe'!$Y$18:$AG$42,'Introducció dades consum'!K4150+1,0)</f>
        <v>0</v>
      </c>
      <c r="O4150" s="370" cm="1">
        <f t="array" ref="O4150">+_xlfn.SWITCH(MONTH(C4150),1,1,2,1,3,1,4,2,5,2,6,3,7,3,8,3,9,3,10,2,11,2,12,1,2)</f>
        <v>1</v>
      </c>
      <c r="P4150" s="43"/>
    </row>
    <row r="4151" spans="1:16" ht="18" x14ac:dyDescent="0.35">
      <c r="A4151" s="43"/>
      <c r="C4151" s="393"/>
      <c r="E4151" s="394"/>
      <c r="F4151" s="394">
        <v>0</v>
      </c>
      <c r="G4151" s="394"/>
      <c r="H4151" s="8" t="s">
        <v>61</v>
      </c>
      <c r="I4151" s="368">
        <f t="shared" si="193"/>
        <v>0</v>
      </c>
      <c r="J4151" s="365">
        <f t="shared" si="192"/>
        <v>0</v>
      </c>
      <c r="K4151" s="369">
        <f t="shared" si="194"/>
        <v>6</v>
      </c>
      <c r="L4151" s="369">
        <f>+IF((C4151&gt;='Resultats - informe'!$E$16)*(C4151&lt;='Resultats - informe'!$G$16),1,0)</f>
        <v>1</v>
      </c>
      <c r="M4151" s="369" cm="1">
        <f t="array" ref="M4151">+_xlfn.IFS((C4151&gt;='Resultats - informe'!$D$26)*(C4151&lt;='Resultats - informe'!$E$26),0,(C4151&gt;='Resultats - informe'!$D$27)*(C4151&lt;='Resultats - informe'!$E$27),0,(C4151&gt;='Resultats - informe'!$D$28)*(C4151&lt;='Resultats - informe'!$E$28),0,(C4151&gt;='Resultats - informe'!$D$29)*(C4151&lt;='Resultats - informe'!$E$29),0,1,1)</f>
        <v>0</v>
      </c>
      <c r="N4151" s="366">
        <f>+VLOOKUP(D4151,'Resultats - informe'!$Y$18:$AG$42,'Introducció dades consum'!K4151+1,0)</f>
        <v>0</v>
      </c>
      <c r="O4151" s="370" cm="1">
        <f t="array" ref="O4151">+_xlfn.SWITCH(MONTH(C4151),1,1,2,1,3,1,4,2,5,2,6,3,7,3,8,3,9,3,10,2,11,2,12,1,2)</f>
        <v>1</v>
      </c>
      <c r="P4151" s="43"/>
    </row>
    <row r="4152" spans="1:16" ht="18" x14ac:dyDescent="0.35">
      <c r="A4152" s="43"/>
      <c r="C4152" s="393"/>
      <c r="E4152" s="394"/>
      <c r="F4152" s="394">
        <v>0</v>
      </c>
      <c r="G4152" s="394"/>
      <c r="H4152" s="8" t="s">
        <v>61</v>
      </c>
      <c r="I4152" s="368">
        <f t="shared" si="193"/>
        <v>0</v>
      </c>
      <c r="J4152" s="365">
        <f t="shared" si="192"/>
        <v>0</v>
      </c>
      <c r="K4152" s="369">
        <f t="shared" si="194"/>
        <v>6</v>
      </c>
      <c r="L4152" s="369">
        <f>+IF((C4152&gt;='Resultats - informe'!$E$16)*(C4152&lt;='Resultats - informe'!$G$16),1,0)</f>
        <v>1</v>
      </c>
      <c r="M4152" s="369" cm="1">
        <f t="array" ref="M4152">+_xlfn.IFS((C4152&gt;='Resultats - informe'!$D$26)*(C4152&lt;='Resultats - informe'!$E$26),0,(C4152&gt;='Resultats - informe'!$D$27)*(C4152&lt;='Resultats - informe'!$E$27),0,(C4152&gt;='Resultats - informe'!$D$28)*(C4152&lt;='Resultats - informe'!$E$28),0,(C4152&gt;='Resultats - informe'!$D$29)*(C4152&lt;='Resultats - informe'!$E$29),0,1,1)</f>
        <v>0</v>
      </c>
      <c r="N4152" s="366">
        <f>+VLOOKUP(D4152,'Resultats - informe'!$Y$18:$AG$42,'Introducció dades consum'!K4152+1,0)</f>
        <v>0</v>
      </c>
      <c r="O4152" s="370" cm="1">
        <f t="array" ref="O4152">+_xlfn.SWITCH(MONTH(C4152),1,1,2,1,3,1,4,2,5,2,6,3,7,3,8,3,9,3,10,2,11,2,12,1,2)</f>
        <v>1</v>
      </c>
      <c r="P4152" s="43"/>
    </row>
    <row r="4153" spans="1:16" ht="18" x14ac:dyDescent="0.35">
      <c r="A4153" s="43"/>
      <c r="C4153" s="393"/>
      <c r="E4153" s="394"/>
      <c r="F4153" s="394">
        <v>0</v>
      </c>
      <c r="G4153" s="394"/>
      <c r="H4153" s="8" t="s">
        <v>61</v>
      </c>
      <c r="I4153" s="368">
        <f t="shared" si="193"/>
        <v>0</v>
      </c>
      <c r="J4153" s="365">
        <f t="shared" si="192"/>
        <v>0</v>
      </c>
      <c r="K4153" s="369">
        <f t="shared" si="194"/>
        <v>6</v>
      </c>
      <c r="L4153" s="369">
        <f>+IF((C4153&gt;='Resultats - informe'!$E$16)*(C4153&lt;='Resultats - informe'!$G$16),1,0)</f>
        <v>1</v>
      </c>
      <c r="M4153" s="369" cm="1">
        <f t="array" ref="M4153">+_xlfn.IFS((C4153&gt;='Resultats - informe'!$D$26)*(C4153&lt;='Resultats - informe'!$E$26),0,(C4153&gt;='Resultats - informe'!$D$27)*(C4153&lt;='Resultats - informe'!$E$27),0,(C4153&gt;='Resultats - informe'!$D$28)*(C4153&lt;='Resultats - informe'!$E$28),0,(C4153&gt;='Resultats - informe'!$D$29)*(C4153&lt;='Resultats - informe'!$E$29),0,1,1)</f>
        <v>0</v>
      </c>
      <c r="N4153" s="366">
        <f>+VLOOKUP(D4153,'Resultats - informe'!$Y$18:$AG$42,'Introducció dades consum'!K4153+1,0)</f>
        <v>0</v>
      </c>
      <c r="O4153" s="370" cm="1">
        <f t="array" ref="O4153">+_xlfn.SWITCH(MONTH(C4153),1,1,2,1,3,1,4,2,5,2,6,3,7,3,8,3,9,3,10,2,11,2,12,1,2)</f>
        <v>1</v>
      </c>
      <c r="P4153" s="43"/>
    </row>
    <row r="4154" spans="1:16" ht="18" x14ac:dyDescent="0.35">
      <c r="A4154" s="43"/>
      <c r="C4154" s="393"/>
      <c r="E4154" s="394"/>
      <c r="F4154" s="394">
        <v>0</v>
      </c>
      <c r="G4154" s="394"/>
      <c r="H4154" s="8" t="s">
        <v>61</v>
      </c>
      <c r="I4154" s="368">
        <f t="shared" si="193"/>
        <v>0</v>
      </c>
      <c r="J4154" s="365">
        <f t="shared" si="192"/>
        <v>0</v>
      </c>
      <c r="K4154" s="369">
        <f t="shared" si="194"/>
        <v>6</v>
      </c>
      <c r="L4154" s="369">
        <f>+IF((C4154&gt;='Resultats - informe'!$E$16)*(C4154&lt;='Resultats - informe'!$G$16),1,0)</f>
        <v>1</v>
      </c>
      <c r="M4154" s="369" cm="1">
        <f t="array" ref="M4154">+_xlfn.IFS((C4154&gt;='Resultats - informe'!$D$26)*(C4154&lt;='Resultats - informe'!$E$26),0,(C4154&gt;='Resultats - informe'!$D$27)*(C4154&lt;='Resultats - informe'!$E$27),0,(C4154&gt;='Resultats - informe'!$D$28)*(C4154&lt;='Resultats - informe'!$E$28),0,(C4154&gt;='Resultats - informe'!$D$29)*(C4154&lt;='Resultats - informe'!$E$29),0,1,1)</f>
        <v>0</v>
      </c>
      <c r="N4154" s="366">
        <f>+VLOOKUP(D4154,'Resultats - informe'!$Y$18:$AG$42,'Introducció dades consum'!K4154+1,0)</f>
        <v>0</v>
      </c>
      <c r="O4154" s="370" cm="1">
        <f t="array" ref="O4154">+_xlfn.SWITCH(MONTH(C4154),1,1,2,1,3,1,4,2,5,2,6,3,7,3,8,3,9,3,10,2,11,2,12,1,2)</f>
        <v>1</v>
      </c>
      <c r="P4154" s="43"/>
    </row>
    <row r="4155" spans="1:16" ht="18" x14ac:dyDescent="0.35">
      <c r="A4155" s="43"/>
      <c r="C4155" s="393"/>
      <c r="E4155" s="394"/>
      <c r="F4155" s="394">
        <v>0</v>
      </c>
      <c r="G4155" s="394"/>
      <c r="H4155" s="8" t="s">
        <v>61</v>
      </c>
      <c r="I4155" s="368">
        <f t="shared" si="193"/>
        <v>0</v>
      </c>
      <c r="J4155" s="365">
        <f t="shared" ref="J4155:J4218" si="195">+C4155</f>
        <v>0</v>
      </c>
      <c r="K4155" s="369">
        <f t="shared" si="194"/>
        <v>6</v>
      </c>
      <c r="L4155" s="369">
        <f>+IF((C4155&gt;='Resultats - informe'!$E$16)*(C4155&lt;='Resultats - informe'!$G$16),1,0)</f>
        <v>1</v>
      </c>
      <c r="M4155" s="369" cm="1">
        <f t="array" ref="M4155">+_xlfn.IFS((C4155&gt;='Resultats - informe'!$D$26)*(C4155&lt;='Resultats - informe'!$E$26),0,(C4155&gt;='Resultats - informe'!$D$27)*(C4155&lt;='Resultats - informe'!$E$27),0,(C4155&gt;='Resultats - informe'!$D$28)*(C4155&lt;='Resultats - informe'!$E$28),0,(C4155&gt;='Resultats - informe'!$D$29)*(C4155&lt;='Resultats - informe'!$E$29),0,1,1)</f>
        <v>0</v>
      </c>
      <c r="N4155" s="366">
        <f>+VLOOKUP(D4155,'Resultats - informe'!$Y$18:$AG$42,'Introducció dades consum'!K4155+1,0)</f>
        <v>0</v>
      </c>
      <c r="O4155" s="370" cm="1">
        <f t="array" ref="O4155">+_xlfn.SWITCH(MONTH(C4155),1,1,2,1,3,1,4,2,5,2,6,3,7,3,8,3,9,3,10,2,11,2,12,1,2)</f>
        <v>1</v>
      </c>
      <c r="P4155" s="43"/>
    </row>
    <row r="4156" spans="1:16" ht="18" x14ac:dyDescent="0.35">
      <c r="A4156" s="43"/>
      <c r="C4156" s="393"/>
      <c r="E4156" s="394"/>
      <c r="F4156" s="394">
        <v>0</v>
      </c>
      <c r="G4156" s="394"/>
      <c r="H4156" s="8" t="s">
        <v>61</v>
      </c>
      <c r="I4156" s="368">
        <f t="shared" si="193"/>
        <v>0</v>
      </c>
      <c r="J4156" s="365">
        <f t="shared" si="195"/>
        <v>0</v>
      </c>
      <c r="K4156" s="369">
        <f t="shared" si="194"/>
        <v>6</v>
      </c>
      <c r="L4156" s="369">
        <f>+IF((C4156&gt;='Resultats - informe'!$E$16)*(C4156&lt;='Resultats - informe'!$G$16),1,0)</f>
        <v>1</v>
      </c>
      <c r="M4156" s="369" cm="1">
        <f t="array" ref="M4156">+_xlfn.IFS((C4156&gt;='Resultats - informe'!$D$26)*(C4156&lt;='Resultats - informe'!$E$26),0,(C4156&gt;='Resultats - informe'!$D$27)*(C4156&lt;='Resultats - informe'!$E$27),0,(C4156&gt;='Resultats - informe'!$D$28)*(C4156&lt;='Resultats - informe'!$E$28),0,(C4156&gt;='Resultats - informe'!$D$29)*(C4156&lt;='Resultats - informe'!$E$29),0,1,1)</f>
        <v>0</v>
      </c>
      <c r="N4156" s="366">
        <f>+VLOOKUP(D4156,'Resultats - informe'!$Y$18:$AG$42,'Introducció dades consum'!K4156+1,0)</f>
        <v>0</v>
      </c>
      <c r="O4156" s="370" cm="1">
        <f t="array" ref="O4156">+_xlfn.SWITCH(MONTH(C4156),1,1,2,1,3,1,4,2,5,2,6,3,7,3,8,3,9,3,10,2,11,2,12,1,2)</f>
        <v>1</v>
      </c>
      <c r="P4156" s="43"/>
    </row>
    <row r="4157" spans="1:16" ht="18" x14ac:dyDescent="0.35">
      <c r="A4157" s="43"/>
      <c r="C4157" s="393"/>
      <c r="E4157" s="394"/>
      <c r="F4157" s="394">
        <v>0</v>
      </c>
      <c r="G4157" s="394"/>
      <c r="H4157" s="8" t="s">
        <v>61</v>
      </c>
      <c r="I4157" s="368">
        <f t="shared" si="193"/>
        <v>0</v>
      </c>
      <c r="J4157" s="365">
        <f t="shared" si="195"/>
        <v>0</v>
      </c>
      <c r="K4157" s="369">
        <f t="shared" si="194"/>
        <v>6</v>
      </c>
      <c r="L4157" s="369">
        <f>+IF((C4157&gt;='Resultats - informe'!$E$16)*(C4157&lt;='Resultats - informe'!$G$16),1,0)</f>
        <v>1</v>
      </c>
      <c r="M4157" s="369" cm="1">
        <f t="array" ref="M4157">+_xlfn.IFS((C4157&gt;='Resultats - informe'!$D$26)*(C4157&lt;='Resultats - informe'!$E$26),0,(C4157&gt;='Resultats - informe'!$D$27)*(C4157&lt;='Resultats - informe'!$E$27),0,(C4157&gt;='Resultats - informe'!$D$28)*(C4157&lt;='Resultats - informe'!$E$28),0,(C4157&gt;='Resultats - informe'!$D$29)*(C4157&lt;='Resultats - informe'!$E$29),0,1,1)</f>
        <v>0</v>
      </c>
      <c r="N4157" s="366">
        <f>+VLOOKUP(D4157,'Resultats - informe'!$Y$18:$AG$42,'Introducció dades consum'!K4157+1,0)</f>
        <v>0</v>
      </c>
      <c r="O4157" s="370" cm="1">
        <f t="array" ref="O4157">+_xlfn.SWITCH(MONTH(C4157),1,1,2,1,3,1,4,2,5,2,6,3,7,3,8,3,9,3,10,2,11,2,12,1,2)</f>
        <v>1</v>
      </c>
      <c r="P4157" s="43"/>
    </row>
    <row r="4158" spans="1:16" ht="18" x14ac:dyDescent="0.35">
      <c r="A4158" s="43"/>
      <c r="C4158" s="393"/>
      <c r="E4158" s="394"/>
      <c r="F4158" s="394">
        <v>0</v>
      </c>
      <c r="G4158" s="394"/>
      <c r="H4158" s="8" t="s">
        <v>235</v>
      </c>
      <c r="I4158" s="368">
        <f t="shared" si="193"/>
        <v>0</v>
      </c>
      <c r="J4158" s="365">
        <f t="shared" si="195"/>
        <v>0</v>
      </c>
      <c r="K4158" s="369">
        <f t="shared" si="194"/>
        <v>6</v>
      </c>
      <c r="L4158" s="369">
        <f>+IF((C4158&gt;='Resultats - informe'!$E$16)*(C4158&lt;='Resultats - informe'!$G$16),1,0)</f>
        <v>1</v>
      </c>
      <c r="M4158" s="369" cm="1">
        <f t="array" ref="M4158">+_xlfn.IFS((C4158&gt;='Resultats - informe'!$D$26)*(C4158&lt;='Resultats - informe'!$E$26),0,(C4158&gt;='Resultats - informe'!$D$27)*(C4158&lt;='Resultats - informe'!$E$27),0,(C4158&gt;='Resultats - informe'!$D$28)*(C4158&lt;='Resultats - informe'!$E$28),0,(C4158&gt;='Resultats - informe'!$D$29)*(C4158&lt;='Resultats - informe'!$E$29),0,1,1)</f>
        <v>0</v>
      </c>
      <c r="N4158" s="366">
        <f>+VLOOKUP(D4158,'Resultats - informe'!$Y$18:$AG$42,'Introducció dades consum'!K4158+1,0)</f>
        <v>0</v>
      </c>
      <c r="O4158" s="370" cm="1">
        <f t="array" ref="O4158">+_xlfn.SWITCH(MONTH(C4158),1,1,2,1,3,1,4,2,5,2,6,3,7,3,8,3,9,3,10,2,11,2,12,1,2)</f>
        <v>1</v>
      </c>
      <c r="P4158" s="43"/>
    </row>
    <row r="4159" spans="1:16" ht="18" x14ac:dyDescent="0.35">
      <c r="A4159" s="43"/>
      <c r="C4159" s="393"/>
      <c r="E4159" s="394"/>
      <c r="F4159" s="394">
        <v>0</v>
      </c>
      <c r="G4159" s="394"/>
      <c r="H4159" s="8" t="s">
        <v>235</v>
      </c>
      <c r="I4159" s="368">
        <f t="shared" si="193"/>
        <v>0</v>
      </c>
      <c r="J4159" s="365">
        <f t="shared" si="195"/>
        <v>0</v>
      </c>
      <c r="K4159" s="369">
        <f t="shared" si="194"/>
        <v>6</v>
      </c>
      <c r="L4159" s="369">
        <f>+IF((C4159&gt;='Resultats - informe'!$E$16)*(C4159&lt;='Resultats - informe'!$G$16),1,0)</f>
        <v>1</v>
      </c>
      <c r="M4159" s="369" cm="1">
        <f t="array" ref="M4159">+_xlfn.IFS((C4159&gt;='Resultats - informe'!$D$26)*(C4159&lt;='Resultats - informe'!$E$26),0,(C4159&gt;='Resultats - informe'!$D$27)*(C4159&lt;='Resultats - informe'!$E$27),0,(C4159&gt;='Resultats - informe'!$D$28)*(C4159&lt;='Resultats - informe'!$E$28),0,(C4159&gt;='Resultats - informe'!$D$29)*(C4159&lt;='Resultats - informe'!$E$29),0,1,1)</f>
        <v>0</v>
      </c>
      <c r="N4159" s="366">
        <f>+VLOOKUP(D4159,'Resultats - informe'!$Y$18:$AG$42,'Introducció dades consum'!K4159+1,0)</f>
        <v>0</v>
      </c>
      <c r="O4159" s="370" cm="1">
        <f t="array" ref="O4159">+_xlfn.SWITCH(MONTH(C4159),1,1,2,1,3,1,4,2,5,2,6,3,7,3,8,3,9,3,10,2,11,2,12,1,2)</f>
        <v>1</v>
      </c>
      <c r="P4159" s="43"/>
    </row>
    <row r="4160" spans="1:16" ht="18" x14ac:dyDescent="0.35">
      <c r="A4160" s="43"/>
      <c r="C4160" s="393"/>
      <c r="E4160" s="394"/>
      <c r="F4160" s="394">
        <v>0</v>
      </c>
      <c r="G4160" s="394"/>
      <c r="H4160" s="8" t="s">
        <v>235</v>
      </c>
      <c r="I4160" s="368">
        <f t="shared" si="193"/>
        <v>0</v>
      </c>
      <c r="J4160" s="365">
        <f t="shared" si="195"/>
        <v>0</v>
      </c>
      <c r="K4160" s="369">
        <f t="shared" si="194"/>
        <v>6</v>
      </c>
      <c r="L4160" s="369">
        <f>+IF((C4160&gt;='Resultats - informe'!$E$16)*(C4160&lt;='Resultats - informe'!$G$16),1,0)</f>
        <v>1</v>
      </c>
      <c r="M4160" s="369" cm="1">
        <f t="array" ref="M4160">+_xlfn.IFS((C4160&gt;='Resultats - informe'!$D$26)*(C4160&lt;='Resultats - informe'!$E$26),0,(C4160&gt;='Resultats - informe'!$D$27)*(C4160&lt;='Resultats - informe'!$E$27),0,(C4160&gt;='Resultats - informe'!$D$28)*(C4160&lt;='Resultats - informe'!$E$28),0,(C4160&gt;='Resultats - informe'!$D$29)*(C4160&lt;='Resultats - informe'!$E$29),0,1,1)</f>
        <v>0</v>
      </c>
      <c r="N4160" s="366">
        <f>+VLOOKUP(D4160,'Resultats - informe'!$Y$18:$AG$42,'Introducció dades consum'!K4160+1,0)</f>
        <v>0</v>
      </c>
      <c r="O4160" s="370" cm="1">
        <f t="array" ref="O4160">+_xlfn.SWITCH(MONTH(C4160),1,1,2,1,3,1,4,2,5,2,6,3,7,3,8,3,9,3,10,2,11,2,12,1,2)</f>
        <v>1</v>
      </c>
      <c r="P4160" s="43"/>
    </row>
    <row r="4161" spans="1:16" ht="18" x14ac:dyDescent="0.35">
      <c r="A4161" s="43"/>
      <c r="C4161" s="393"/>
      <c r="E4161" s="394"/>
      <c r="F4161" s="394">
        <v>0.23</v>
      </c>
      <c r="G4161" s="394"/>
      <c r="H4161" s="8" t="s">
        <v>235</v>
      </c>
      <c r="I4161" s="368">
        <f t="shared" si="193"/>
        <v>0</v>
      </c>
      <c r="J4161" s="365">
        <f t="shared" si="195"/>
        <v>0</v>
      </c>
      <c r="K4161" s="369">
        <f t="shared" si="194"/>
        <v>6</v>
      </c>
      <c r="L4161" s="369">
        <f>+IF((C4161&gt;='Resultats - informe'!$E$16)*(C4161&lt;='Resultats - informe'!$G$16),1,0)</f>
        <v>1</v>
      </c>
      <c r="M4161" s="369" cm="1">
        <f t="array" ref="M4161">+_xlfn.IFS((C4161&gt;='Resultats - informe'!$D$26)*(C4161&lt;='Resultats - informe'!$E$26),0,(C4161&gt;='Resultats - informe'!$D$27)*(C4161&lt;='Resultats - informe'!$E$27),0,(C4161&gt;='Resultats - informe'!$D$28)*(C4161&lt;='Resultats - informe'!$E$28),0,(C4161&gt;='Resultats - informe'!$D$29)*(C4161&lt;='Resultats - informe'!$E$29),0,1,1)</f>
        <v>0</v>
      </c>
      <c r="N4161" s="366">
        <f>+VLOOKUP(D4161,'Resultats - informe'!$Y$18:$AG$42,'Introducció dades consum'!K4161+1,0)</f>
        <v>0</v>
      </c>
      <c r="O4161" s="370" cm="1">
        <f t="array" ref="O4161">+_xlfn.SWITCH(MONTH(C4161),1,1,2,1,3,1,4,2,5,2,6,3,7,3,8,3,9,3,10,2,11,2,12,1,2)</f>
        <v>1</v>
      </c>
      <c r="P4161" s="43"/>
    </row>
    <row r="4162" spans="1:16" ht="18" x14ac:dyDescent="0.35">
      <c r="A4162" s="43"/>
      <c r="C4162" s="393"/>
      <c r="E4162" s="394"/>
      <c r="F4162" s="394">
        <v>0</v>
      </c>
      <c r="G4162" s="394"/>
      <c r="H4162" s="8" t="s">
        <v>61</v>
      </c>
      <c r="I4162" s="368">
        <f t="shared" si="193"/>
        <v>0</v>
      </c>
      <c r="J4162" s="365">
        <f t="shared" si="195"/>
        <v>0</v>
      </c>
      <c r="K4162" s="369">
        <f t="shared" si="194"/>
        <v>6</v>
      </c>
      <c r="L4162" s="369">
        <f>+IF((C4162&gt;='Resultats - informe'!$E$16)*(C4162&lt;='Resultats - informe'!$G$16),1,0)</f>
        <v>1</v>
      </c>
      <c r="M4162" s="369" cm="1">
        <f t="array" ref="M4162">+_xlfn.IFS((C4162&gt;='Resultats - informe'!$D$26)*(C4162&lt;='Resultats - informe'!$E$26),0,(C4162&gt;='Resultats - informe'!$D$27)*(C4162&lt;='Resultats - informe'!$E$27),0,(C4162&gt;='Resultats - informe'!$D$28)*(C4162&lt;='Resultats - informe'!$E$28),0,(C4162&gt;='Resultats - informe'!$D$29)*(C4162&lt;='Resultats - informe'!$E$29),0,1,1)</f>
        <v>0</v>
      </c>
      <c r="N4162" s="366">
        <f>+VLOOKUP(D4162,'Resultats - informe'!$Y$18:$AG$42,'Introducció dades consum'!K4162+1,0)</f>
        <v>0</v>
      </c>
      <c r="O4162" s="370" cm="1">
        <f t="array" ref="O4162">+_xlfn.SWITCH(MONTH(C4162),1,1,2,1,3,1,4,2,5,2,6,3,7,3,8,3,9,3,10,2,11,2,12,1,2)</f>
        <v>1</v>
      </c>
      <c r="P4162" s="43"/>
    </row>
    <row r="4163" spans="1:16" ht="18" x14ac:dyDescent="0.35">
      <c r="A4163" s="43"/>
      <c r="C4163" s="393"/>
      <c r="E4163" s="394"/>
      <c r="F4163" s="394">
        <v>0</v>
      </c>
      <c r="G4163" s="394"/>
      <c r="H4163" s="8" t="s">
        <v>61</v>
      </c>
      <c r="I4163" s="368">
        <f t="shared" si="193"/>
        <v>0</v>
      </c>
      <c r="J4163" s="365">
        <f t="shared" si="195"/>
        <v>0</v>
      </c>
      <c r="K4163" s="369">
        <f t="shared" si="194"/>
        <v>6</v>
      </c>
      <c r="L4163" s="369">
        <f>+IF((C4163&gt;='Resultats - informe'!$E$16)*(C4163&lt;='Resultats - informe'!$G$16),1,0)</f>
        <v>1</v>
      </c>
      <c r="M4163" s="369" cm="1">
        <f t="array" ref="M4163">+_xlfn.IFS((C4163&gt;='Resultats - informe'!$D$26)*(C4163&lt;='Resultats - informe'!$E$26),0,(C4163&gt;='Resultats - informe'!$D$27)*(C4163&lt;='Resultats - informe'!$E$27),0,(C4163&gt;='Resultats - informe'!$D$28)*(C4163&lt;='Resultats - informe'!$E$28),0,(C4163&gt;='Resultats - informe'!$D$29)*(C4163&lt;='Resultats - informe'!$E$29),0,1,1)</f>
        <v>0</v>
      </c>
      <c r="N4163" s="366">
        <f>+VLOOKUP(D4163,'Resultats - informe'!$Y$18:$AG$42,'Introducció dades consum'!K4163+1,0)</f>
        <v>0</v>
      </c>
      <c r="O4163" s="370" cm="1">
        <f t="array" ref="O4163">+_xlfn.SWITCH(MONTH(C4163),1,1,2,1,3,1,4,2,5,2,6,3,7,3,8,3,9,3,10,2,11,2,12,1,2)</f>
        <v>1</v>
      </c>
      <c r="P4163" s="43"/>
    </row>
    <row r="4164" spans="1:16" ht="18" x14ac:dyDescent="0.35">
      <c r="A4164" s="43"/>
      <c r="C4164" s="393"/>
      <c r="E4164" s="394"/>
      <c r="F4164" s="394">
        <v>0</v>
      </c>
      <c r="G4164" s="394"/>
      <c r="H4164" s="8" t="s">
        <v>61</v>
      </c>
      <c r="I4164" s="368">
        <f t="shared" si="193"/>
        <v>0</v>
      </c>
      <c r="J4164" s="365">
        <f t="shared" si="195"/>
        <v>0</v>
      </c>
      <c r="K4164" s="369">
        <f t="shared" si="194"/>
        <v>6</v>
      </c>
      <c r="L4164" s="369">
        <f>+IF((C4164&gt;='Resultats - informe'!$E$16)*(C4164&lt;='Resultats - informe'!$G$16),1,0)</f>
        <v>1</v>
      </c>
      <c r="M4164" s="369" cm="1">
        <f t="array" ref="M4164">+_xlfn.IFS((C4164&gt;='Resultats - informe'!$D$26)*(C4164&lt;='Resultats - informe'!$E$26),0,(C4164&gt;='Resultats - informe'!$D$27)*(C4164&lt;='Resultats - informe'!$E$27),0,(C4164&gt;='Resultats - informe'!$D$28)*(C4164&lt;='Resultats - informe'!$E$28),0,(C4164&gt;='Resultats - informe'!$D$29)*(C4164&lt;='Resultats - informe'!$E$29),0,1,1)</f>
        <v>0</v>
      </c>
      <c r="N4164" s="366">
        <f>+VLOOKUP(D4164,'Resultats - informe'!$Y$18:$AG$42,'Introducció dades consum'!K4164+1,0)</f>
        <v>0</v>
      </c>
      <c r="O4164" s="370" cm="1">
        <f t="array" ref="O4164">+_xlfn.SWITCH(MONTH(C4164),1,1,2,1,3,1,4,2,5,2,6,3,7,3,8,3,9,3,10,2,11,2,12,1,2)</f>
        <v>1</v>
      </c>
      <c r="P4164" s="43"/>
    </row>
    <row r="4165" spans="1:16" ht="18" x14ac:dyDescent="0.35">
      <c r="A4165" s="43"/>
      <c r="C4165" s="393"/>
      <c r="E4165" s="394"/>
      <c r="F4165" s="394">
        <v>1.19</v>
      </c>
      <c r="G4165" s="394"/>
      <c r="H4165" s="8" t="s">
        <v>61</v>
      </c>
      <c r="I4165" s="368">
        <f t="shared" si="193"/>
        <v>0</v>
      </c>
      <c r="J4165" s="365">
        <f t="shared" si="195"/>
        <v>0</v>
      </c>
      <c r="K4165" s="369">
        <f t="shared" si="194"/>
        <v>6</v>
      </c>
      <c r="L4165" s="369">
        <f>+IF((C4165&gt;='Resultats - informe'!$E$16)*(C4165&lt;='Resultats - informe'!$G$16),1,0)</f>
        <v>1</v>
      </c>
      <c r="M4165" s="369" cm="1">
        <f t="array" ref="M4165">+_xlfn.IFS((C4165&gt;='Resultats - informe'!$D$26)*(C4165&lt;='Resultats - informe'!$E$26),0,(C4165&gt;='Resultats - informe'!$D$27)*(C4165&lt;='Resultats - informe'!$E$27),0,(C4165&gt;='Resultats - informe'!$D$28)*(C4165&lt;='Resultats - informe'!$E$28),0,(C4165&gt;='Resultats - informe'!$D$29)*(C4165&lt;='Resultats - informe'!$E$29),0,1,1)</f>
        <v>0</v>
      </c>
      <c r="N4165" s="366">
        <f>+VLOOKUP(D4165,'Resultats - informe'!$Y$18:$AG$42,'Introducció dades consum'!K4165+1,0)</f>
        <v>0</v>
      </c>
      <c r="O4165" s="370" cm="1">
        <f t="array" ref="O4165">+_xlfn.SWITCH(MONTH(C4165),1,1,2,1,3,1,4,2,5,2,6,3,7,3,8,3,9,3,10,2,11,2,12,1,2)</f>
        <v>1</v>
      </c>
      <c r="P4165" s="43"/>
    </row>
    <row r="4166" spans="1:16" ht="18" x14ac:dyDescent="0.35">
      <c r="A4166" s="43"/>
      <c r="C4166" s="393"/>
      <c r="E4166" s="394"/>
      <c r="F4166" s="394">
        <v>3.2839999999999998</v>
      </c>
      <c r="G4166" s="394"/>
      <c r="H4166" s="8" t="s">
        <v>61</v>
      </c>
      <c r="I4166" s="368">
        <f t="shared" ref="I4166:I4229" si="196">+E4166+G4166</f>
        <v>0</v>
      </c>
      <c r="J4166" s="365">
        <f t="shared" si="195"/>
        <v>0</v>
      </c>
      <c r="K4166" s="369">
        <f t="shared" ref="K4166:K4229" si="197">+WEEKDAY(C4166,2)</f>
        <v>6</v>
      </c>
      <c r="L4166" s="369">
        <f>+IF((C4166&gt;='Resultats - informe'!$E$16)*(C4166&lt;='Resultats - informe'!$G$16),1,0)</f>
        <v>1</v>
      </c>
      <c r="M4166" s="369" cm="1">
        <f t="array" ref="M4166">+_xlfn.IFS((C4166&gt;='Resultats - informe'!$D$26)*(C4166&lt;='Resultats - informe'!$E$26),0,(C4166&gt;='Resultats - informe'!$D$27)*(C4166&lt;='Resultats - informe'!$E$27),0,(C4166&gt;='Resultats - informe'!$D$28)*(C4166&lt;='Resultats - informe'!$E$28),0,(C4166&gt;='Resultats - informe'!$D$29)*(C4166&lt;='Resultats - informe'!$E$29),0,1,1)</f>
        <v>0</v>
      </c>
      <c r="N4166" s="366">
        <f>+VLOOKUP(D4166,'Resultats - informe'!$Y$18:$AG$42,'Introducció dades consum'!K4166+1,0)</f>
        <v>0</v>
      </c>
      <c r="O4166" s="370" cm="1">
        <f t="array" ref="O4166">+_xlfn.SWITCH(MONTH(C4166),1,1,2,1,3,1,4,2,5,2,6,3,7,3,8,3,9,3,10,2,11,2,12,1,2)</f>
        <v>1</v>
      </c>
      <c r="P4166" s="43"/>
    </row>
    <row r="4167" spans="1:16" ht="18" x14ac:dyDescent="0.35">
      <c r="A4167" s="43"/>
      <c r="C4167" s="393"/>
      <c r="E4167" s="394"/>
      <c r="F4167" s="394">
        <v>4.6440000000000001</v>
      </c>
      <c r="G4167" s="394"/>
      <c r="H4167" s="8" t="s">
        <v>61</v>
      </c>
      <c r="I4167" s="368">
        <f t="shared" si="196"/>
        <v>0</v>
      </c>
      <c r="J4167" s="365">
        <f t="shared" si="195"/>
        <v>0</v>
      </c>
      <c r="K4167" s="369">
        <f t="shared" si="197"/>
        <v>6</v>
      </c>
      <c r="L4167" s="369">
        <f>+IF((C4167&gt;='Resultats - informe'!$E$16)*(C4167&lt;='Resultats - informe'!$G$16),1,0)</f>
        <v>1</v>
      </c>
      <c r="M4167" s="369" cm="1">
        <f t="array" ref="M4167">+_xlfn.IFS((C4167&gt;='Resultats - informe'!$D$26)*(C4167&lt;='Resultats - informe'!$E$26),0,(C4167&gt;='Resultats - informe'!$D$27)*(C4167&lt;='Resultats - informe'!$E$27),0,(C4167&gt;='Resultats - informe'!$D$28)*(C4167&lt;='Resultats - informe'!$E$28),0,(C4167&gt;='Resultats - informe'!$D$29)*(C4167&lt;='Resultats - informe'!$E$29),0,1,1)</f>
        <v>0</v>
      </c>
      <c r="N4167" s="366">
        <f>+VLOOKUP(D4167,'Resultats - informe'!$Y$18:$AG$42,'Introducció dades consum'!K4167+1,0)</f>
        <v>0</v>
      </c>
      <c r="O4167" s="370" cm="1">
        <f t="array" ref="O4167">+_xlfn.SWITCH(MONTH(C4167),1,1,2,1,3,1,4,2,5,2,6,3,7,3,8,3,9,3,10,2,11,2,12,1,2)</f>
        <v>1</v>
      </c>
      <c r="P4167" s="43"/>
    </row>
    <row r="4168" spans="1:16" ht="18" x14ac:dyDescent="0.35">
      <c r="A4168" s="43"/>
      <c r="C4168" s="393"/>
      <c r="E4168" s="394"/>
      <c r="F4168" s="394">
        <v>5.1769999999999996</v>
      </c>
      <c r="G4168" s="394"/>
      <c r="H4168" s="8" t="s">
        <v>61</v>
      </c>
      <c r="I4168" s="368">
        <f t="shared" si="196"/>
        <v>0</v>
      </c>
      <c r="J4168" s="365">
        <f t="shared" si="195"/>
        <v>0</v>
      </c>
      <c r="K4168" s="369">
        <f t="shared" si="197"/>
        <v>6</v>
      </c>
      <c r="L4168" s="369">
        <f>+IF((C4168&gt;='Resultats - informe'!$E$16)*(C4168&lt;='Resultats - informe'!$G$16),1,0)</f>
        <v>1</v>
      </c>
      <c r="M4168" s="369" cm="1">
        <f t="array" ref="M4168">+_xlfn.IFS((C4168&gt;='Resultats - informe'!$D$26)*(C4168&lt;='Resultats - informe'!$E$26),0,(C4168&gt;='Resultats - informe'!$D$27)*(C4168&lt;='Resultats - informe'!$E$27),0,(C4168&gt;='Resultats - informe'!$D$28)*(C4168&lt;='Resultats - informe'!$E$28),0,(C4168&gt;='Resultats - informe'!$D$29)*(C4168&lt;='Resultats - informe'!$E$29),0,1,1)</f>
        <v>0</v>
      </c>
      <c r="N4168" s="366">
        <f>+VLOOKUP(D4168,'Resultats - informe'!$Y$18:$AG$42,'Introducció dades consum'!K4168+1,0)</f>
        <v>0</v>
      </c>
      <c r="O4168" s="370" cm="1">
        <f t="array" ref="O4168">+_xlfn.SWITCH(MONTH(C4168),1,1,2,1,3,1,4,2,5,2,6,3,7,3,8,3,9,3,10,2,11,2,12,1,2)</f>
        <v>1</v>
      </c>
      <c r="P4168" s="43"/>
    </row>
    <row r="4169" spans="1:16" ht="18" x14ac:dyDescent="0.35">
      <c r="A4169" s="43"/>
      <c r="C4169" s="393"/>
      <c r="E4169" s="394"/>
      <c r="F4169" s="394">
        <v>5.5389999999999997</v>
      </c>
      <c r="G4169" s="394"/>
      <c r="H4169" s="8" t="s">
        <v>61</v>
      </c>
      <c r="I4169" s="368">
        <f t="shared" si="196"/>
        <v>0</v>
      </c>
      <c r="J4169" s="365">
        <f t="shared" si="195"/>
        <v>0</v>
      </c>
      <c r="K4169" s="369">
        <f t="shared" si="197"/>
        <v>6</v>
      </c>
      <c r="L4169" s="369">
        <f>+IF((C4169&gt;='Resultats - informe'!$E$16)*(C4169&lt;='Resultats - informe'!$G$16),1,0)</f>
        <v>1</v>
      </c>
      <c r="M4169" s="369" cm="1">
        <f t="array" ref="M4169">+_xlfn.IFS((C4169&gt;='Resultats - informe'!$D$26)*(C4169&lt;='Resultats - informe'!$E$26),0,(C4169&gt;='Resultats - informe'!$D$27)*(C4169&lt;='Resultats - informe'!$E$27),0,(C4169&gt;='Resultats - informe'!$D$28)*(C4169&lt;='Resultats - informe'!$E$28),0,(C4169&gt;='Resultats - informe'!$D$29)*(C4169&lt;='Resultats - informe'!$E$29),0,1,1)</f>
        <v>0</v>
      </c>
      <c r="N4169" s="366">
        <f>+VLOOKUP(D4169,'Resultats - informe'!$Y$18:$AG$42,'Introducció dades consum'!K4169+1,0)</f>
        <v>0</v>
      </c>
      <c r="O4169" s="370" cm="1">
        <f t="array" ref="O4169">+_xlfn.SWITCH(MONTH(C4169),1,1,2,1,3,1,4,2,5,2,6,3,7,3,8,3,9,3,10,2,11,2,12,1,2)</f>
        <v>1</v>
      </c>
      <c r="P4169" s="43"/>
    </row>
    <row r="4170" spans="1:16" ht="18" x14ac:dyDescent="0.35">
      <c r="A4170" s="43"/>
      <c r="C4170" s="393"/>
      <c r="E4170" s="394"/>
      <c r="F4170" s="394">
        <v>5.97</v>
      </c>
      <c r="G4170" s="394"/>
      <c r="H4170" s="8" t="s">
        <v>61</v>
      </c>
      <c r="I4170" s="368">
        <f t="shared" si="196"/>
        <v>0</v>
      </c>
      <c r="J4170" s="365">
        <f t="shared" si="195"/>
        <v>0</v>
      </c>
      <c r="K4170" s="369">
        <f t="shared" si="197"/>
        <v>6</v>
      </c>
      <c r="L4170" s="369">
        <f>+IF((C4170&gt;='Resultats - informe'!$E$16)*(C4170&lt;='Resultats - informe'!$G$16),1,0)</f>
        <v>1</v>
      </c>
      <c r="M4170" s="369" cm="1">
        <f t="array" ref="M4170">+_xlfn.IFS((C4170&gt;='Resultats - informe'!$D$26)*(C4170&lt;='Resultats - informe'!$E$26),0,(C4170&gt;='Resultats - informe'!$D$27)*(C4170&lt;='Resultats - informe'!$E$27),0,(C4170&gt;='Resultats - informe'!$D$28)*(C4170&lt;='Resultats - informe'!$E$28),0,(C4170&gt;='Resultats - informe'!$D$29)*(C4170&lt;='Resultats - informe'!$E$29),0,1,1)</f>
        <v>0</v>
      </c>
      <c r="N4170" s="366">
        <f>+VLOOKUP(D4170,'Resultats - informe'!$Y$18:$AG$42,'Introducció dades consum'!K4170+1,0)</f>
        <v>0</v>
      </c>
      <c r="O4170" s="370" cm="1">
        <f t="array" ref="O4170">+_xlfn.SWITCH(MONTH(C4170),1,1,2,1,3,1,4,2,5,2,6,3,7,3,8,3,9,3,10,2,11,2,12,1,2)</f>
        <v>1</v>
      </c>
      <c r="P4170" s="43"/>
    </row>
    <row r="4171" spans="1:16" ht="18" x14ac:dyDescent="0.35">
      <c r="A4171" s="43"/>
      <c r="C4171" s="393"/>
      <c r="E4171" s="394"/>
      <c r="F4171" s="394">
        <v>2.6539999999999999</v>
      </c>
      <c r="G4171" s="394"/>
      <c r="H4171" s="8" t="s">
        <v>235</v>
      </c>
      <c r="I4171" s="368">
        <f t="shared" si="196"/>
        <v>0</v>
      </c>
      <c r="J4171" s="365">
        <f t="shared" si="195"/>
        <v>0</v>
      </c>
      <c r="K4171" s="369">
        <f t="shared" si="197"/>
        <v>6</v>
      </c>
      <c r="L4171" s="369">
        <f>+IF((C4171&gt;='Resultats - informe'!$E$16)*(C4171&lt;='Resultats - informe'!$G$16),1,0)</f>
        <v>1</v>
      </c>
      <c r="M4171" s="369" cm="1">
        <f t="array" ref="M4171">+_xlfn.IFS((C4171&gt;='Resultats - informe'!$D$26)*(C4171&lt;='Resultats - informe'!$E$26),0,(C4171&gt;='Resultats - informe'!$D$27)*(C4171&lt;='Resultats - informe'!$E$27),0,(C4171&gt;='Resultats - informe'!$D$28)*(C4171&lt;='Resultats - informe'!$E$28),0,(C4171&gt;='Resultats - informe'!$D$29)*(C4171&lt;='Resultats - informe'!$E$29),0,1,1)</f>
        <v>0</v>
      </c>
      <c r="N4171" s="366">
        <f>+VLOOKUP(D4171,'Resultats - informe'!$Y$18:$AG$42,'Introducció dades consum'!K4171+1,0)</f>
        <v>0</v>
      </c>
      <c r="O4171" s="370" cm="1">
        <f t="array" ref="O4171">+_xlfn.SWITCH(MONTH(C4171),1,1,2,1,3,1,4,2,5,2,6,3,7,3,8,3,9,3,10,2,11,2,12,1,2)</f>
        <v>1</v>
      </c>
      <c r="P4171" s="43"/>
    </row>
    <row r="4172" spans="1:16" ht="18" x14ac:dyDescent="0.35">
      <c r="A4172" s="43"/>
      <c r="C4172" s="393"/>
      <c r="E4172" s="394"/>
      <c r="F4172" s="394">
        <v>1.72</v>
      </c>
      <c r="G4172" s="394"/>
      <c r="H4172" s="8" t="s">
        <v>235</v>
      </c>
      <c r="I4172" s="368">
        <f t="shared" si="196"/>
        <v>0</v>
      </c>
      <c r="J4172" s="365">
        <f t="shared" si="195"/>
        <v>0</v>
      </c>
      <c r="K4172" s="369">
        <f t="shared" si="197"/>
        <v>6</v>
      </c>
      <c r="L4172" s="369">
        <f>+IF((C4172&gt;='Resultats - informe'!$E$16)*(C4172&lt;='Resultats - informe'!$G$16),1,0)</f>
        <v>1</v>
      </c>
      <c r="M4172" s="369" cm="1">
        <f t="array" ref="M4172">+_xlfn.IFS((C4172&gt;='Resultats - informe'!$D$26)*(C4172&lt;='Resultats - informe'!$E$26),0,(C4172&gt;='Resultats - informe'!$D$27)*(C4172&lt;='Resultats - informe'!$E$27),0,(C4172&gt;='Resultats - informe'!$D$28)*(C4172&lt;='Resultats - informe'!$E$28),0,(C4172&gt;='Resultats - informe'!$D$29)*(C4172&lt;='Resultats - informe'!$E$29),0,1,1)</f>
        <v>0</v>
      </c>
      <c r="N4172" s="366">
        <f>+VLOOKUP(D4172,'Resultats - informe'!$Y$18:$AG$42,'Introducció dades consum'!K4172+1,0)</f>
        <v>0</v>
      </c>
      <c r="O4172" s="370" cm="1">
        <f t="array" ref="O4172">+_xlfn.SWITCH(MONTH(C4172),1,1,2,1,3,1,4,2,5,2,6,3,7,3,8,3,9,3,10,2,11,2,12,1,2)</f>
        <v>1</v>
      </c>
      <c r="P4172" s="43"/>
    </row>
    <row r="4173" spans="1:16" ht="18" x14ac:dyDescent="0.35">
      <c r="A4173" s="43"/>
      <c r="C4173" s="393"/>
      <c r="E4173" s="394"/>
      <c r="F4173" s="394">
        <v>0.41299999999999998</v>
      </c>
      <c r="G4173" s="394"/>
      <c r="H4173" s="8" t="s">
        <v>235</v>
      </c>
      <c r="I4173" s="368">
        <f t="shared" si="196"/>
        <v>0</v>
      </c>
      <c r="J4173" s="365">
        <f t="shared" si="195"/>
        <v>0</v>
      </c>
      <c r="K4173" s="369">
        <f t="shared" si="197"/>
        <v>6</v>
      </c>
      <c r="L4173" s="369">
        <f>+IF((C4173&gt;='Resultats - informe'!$E$16)*(C4173&lt;='Resultats - informe'!$G$16),1,0)</f>
        <v>1</v>
      </c>
      <c r="M4173" s="369" cm="1">
        <f t="array" ref="M4173">+_xlfn.IFS((C4173&gt;='Resultats - informe'!$D$26)*(C4173&lt;='Resultats - informe'!$E$26),0,(C4173&gt;='Resultats - informe'!$D$27)*(C4173&lt;='Resultats - informe'!$E$27),0,(C4173&gt;='Resultats - informe'!$D$28)*(C4173&lt;='Resultats - informe'!$E$28),0,(C4173&gt;='Resultats - informe'!$D$29)*(C4173&lt;='Resultats - informe'!$E$29),0,1,1)</f>
        <v>0</v>
      </c>
      <c r="N4173" s="366">
        <f>+VLOOKUP(D4173,'Resultats - informe'!$Y$18:$AG$42,'Introducció dades consum'!K4173+1,0)</f>
        <v>0</v>
      </c>
      <c r="O4173" s="370" cm="1">
        <f t="array" ref="O4173">+_xlfn.SWITCH(MONTH(C4173),1,1,2,1,3,1,4,2,5,2,6,3,7,3,8,3,9,3,10,2,11,2,12,1,2)</f>
        <v>1</v>
      </c>
      <c r="P4173" s="43"/>
    </row>
    <row r="4174" spans="1:16" ht="18" x14ac:dyDescent="0.35">
      <c r="A4174" s="43"/>
      <c r="C4174" s="393"/>
      <c r="E4174" s="394"/>
      <c r="F4174" s="394">
        <v>4.8000000000000001E-2</v>
      </c>
      <c r="G4174" s="394"/>
      <c r="H4174" s="8" t="s">
        <v>61</v>
      </c>
      <c r="I4174" s="368">
        <f t="shared" si="196"/>
        <v>0</v>
      </c>
      <c r="J4174" s="365">
        <f t="shared" si="195"/>
        <v>0</v>
      </c>
      <c r="K4174" s="369">
        <f t="shared" si="197"/>
        <v>6</v>
      </c>
      <c r="L4174" s="369">
        <f>+IF((C4174&gt;='Resultats - informe'!$E$16)*(C4174&lt;='Resultats - informe'!$G$16),1,0)</f>
        <v>1</v>
      </c>
      <c r="M4174" s="369" cm="1">
        <f t="array" ref="M4174">+_xlfn.IFS((C4174&gt;='Resultats - informe'!$D$26)*(C4174&lt;='Resultats - informe'!$E$26),0,(C4174&gt;='Resultats - informe'!$D$27)*(C4174&lt;='Resultats - informe'!$E$27),0,(C4174&gt;='Resultats - informe'!$D$28)*(C4174&lt;='Resultats - informe'!$E$28),0,(C4174&gt;='Resultats - informe'!$D$29)*(C4174&lt;='Resultats - informe'!$E$29),0,1,1)</f>
        <v>0</v>
      </c>
      <c r="N4174" s="366">
        <f>+VLOOKUP(D4174,'Resultats - informe'!$Y$18:$AG$42,'Introducció dades consum'!K4174+1,0)</f>
        <v>0</v>
      </c>
      <c r="O4174" s="370" cm="1">
        <f t="array" ref="O4174">+_xlfn.SWITCH(MONTH(C4174),1,1,2,1,3,1,4,2,5,2,6,3,7,3,8,3,9,3,10,2,11,2,12,1,2)</f>
        <v>1</v>
      </c>
      <c r="P4174" s="43"/>
    </row>
    <row r="4175" spans="1:16" ht="18" x14ac:dyDescent="0.35">
      <c r="A4175" s="43"/>
      <c r="C4175" s="393"/>
      <c r="E4175" s="394"/>
      <c r="F4175" s="394">
        <v>0</v>
      </c>
      <c r="G4175" s="394"/>
      <c r="H4175" s="8" t="s">
        <v>61</v>
      </c>
      <c r="I4175" s="368">
        <f t="shared" si="196"/>
        <v>0</v>
      </c>
      <c r="J4175" s="365">
        <f t="shared" si="195"/>
        <v>0</v>
      </c>
      <c r="K4175" s="369">
        <f t="shared" si="197"/>
        <v>6</v>
      </c>
      <c r="L4175" s="369">
        <f>+IF((C4175&gt;='Resultats - informe'!$E$16)*(C4175&lt;='Resultats - informe'!$G$16),1,0)</f>
        <v>1</v>
      </c>
      <c r="M4175" s="369" cm="1">
        <f t="array" ref="M4175">+_xlfn.IFS((C4175&gt;='Resultats - informe'!$D$26)*(C4175&lt;='Resultats - informe'!$E$26),0,(C4175&gt;='Resultats - informe'!$D$27)*(C4175&lt;='Resultats - informe'!$E$27),0,(C4175&gt;='Resultats - informe'!$D$28)*(C4175&lt;='Resultats - informe'!$E$28),0,(C4175&gt;='Resultats - informe'!$D$29)*(C4175&lt;='Resultats - informe'!$E$29),0,1,1)</f>
        <v>0</v>
      </c>
      <c r="N4175" s="366">
        <f>+VLOOKUP(D4175,'Resultats - informe'!$Y$18:$AG$42,'Introducció dades consum'!K4175+1,0)</f>
        <v>0</v>
      </c>
      <c r="O4175" s="370" cm="1">
        <f t="array" ref="O4175">+_xlfn.SWITCH(MONTH(C4175),1,1,2,1,3,1,4,2,5,2,6,3,7,3,8,3,9,3,10,2,11,2,12,1,2)</f>
        <v>1</v>
      </c>
      <c r="P4175" s="43"/>
    </row>
    <row r="4176" spans="1:16" ht="18" x14ac:dyDescent="0.35">
      <c r="A4176" s="43"/>
      <c r="C4176" s="393"/>
      <c r="E4176" s="394"/>
      <c r="F4176" s="394">
        <v>0</v>
      </c>
      <c r="G4176" s="394"/>
      <c r="H4176" s="8" t="s">
        <v>61</v>
      </c>
      <c r="I4176" s="368">
        <f t="shared" si="196"/>
        <v>0</v>
      </c>
      <c r="J4176" s="365">
        <f t="shared" si="195"/>
        <v>0</v>
      </c>
      <c r="K4176" s="369">
        <f t="shared" si="197"/>
        <v>6</v>
      </c>
      <c r="L4176" s="369">
        <f>+IF((C4176&gt;='Resultats - informe'!$E$16)*(C4176&lt;='Resultats - informe'!$G$16),1,0)</f>
        <v>1</v>
      </c>
      <c r="M4176" s="369" cm="1">
        <f t="array" ref="M4176">+_xlfn.IFS((C4176&gt;='Resultats - informe'!$D$26)*(C4176&lt;='Resultats - informe'!$E$26),0,(C4176&gt;='Resultats - informe'!$D$27)*(C4176&lt;='Resultats - informe'!$E$27),0,(C4176&gt;='Resultats - informe'!$D$28)*(C4176&lt;='Resultats - informe'!$E$28),0,(C4176&gt;='Resultats - informe'!$D$29)*(C4176&lt;='Resultats - informe'!$E$29),0,1,1)</f>
        <v>0</v>
      </c>
      <c r="N4176" s="366">
        <f>+VLOOKUP(D4176,'Resultats - informe'!$Y$18:$AG$42,'Introducció dades consum'!K4176+1,0)</f>
        <v>0</v>
      </c>
      <c r="O4176" s="370" cm="1">
        <f t="array" ref="O4176">+_xlfn.SWITCH(MONTH(C4176),1,1,2,1,3,1,4,2,5,2,6,3,7,3,8,3,9,3,10,2,11,2,12,1,2)</f>
        <v>1</v>
      </c>
      <c r="P4176" s="43"/>
    </row>
    <row r="4177" spans="1:16" ht="18" x14ac:dyDescent="0.35">
      <c r="A4177" s="43"/>
      <c r="C4177" s="393"/>
      <c r="E4177" s="394"/>
      <c r="F4177" s="394">
        <v>0</v>
      </c>
      <c r="G4177" s="394"/>
      <c r="H4177" s="8" t="s">
        <v>61</v>
      </c>
      <c r="I4177" s="368">
        <f t="shared" si="196"/>
        <v>0</v>
      </c>
      <c r="J4177" s="365">
        <f t="shared" si="195"/>
        <v>0</v>
      </c>
      <c r="K4177" s="369">
        <f t="shared" si="197"/>
        <v>6</v>
      </c>
      <c r="L4177" s="369">
        <f>+IF((C4177&gt;='Resultats - informe'!$E$16)*(C4177&lt;='Resultats - informe'!$G$16),1,0)</f>
        <v>1</v>
      </c>
      <c r="M4177" s="369" cm="1">
        <f t="array" ref="M4177">+_xlfn.IFS((C4177&gt;='Resultats - informe'!$D$26)*(C4177&lt;='Resultats - informe'!$E$26),0,(C4177&gt;='Resultats - informe'!$D$27)*(C4177&lt;='Resultats - informe'!$E$27),0,(C4177&gt;='Resultats - informe'!$D$28)*(C4177&lt;='Resultats - informe'!$E$28),0,(C4177&gt;='Resultats - informe'!$D$29)*(C4177&lt;='Resultats - informe'!$E$29),0,1,1)</f>
        <v>0</v>
      </c>
      <c r="N4177" s="366">
        <f>+VLOOKUP(D4177,'Resultats - informe'!$Y$18:$AG$42,'Introducció dades consum'!K4177+1,0)</f>
        <v>0</v>
      </c>
      <c r="O4177" s="370" cm="1">
        <f t="array" ref="O4177">+_xlfn.SWITCH(MONTH(C4177),1,1,2,1,3,1,4,2,5,2,6,3,7,3,8,3,9,3,10,2,11,2,12,1,2)</f>
        <v>1</v>
      </c>
      <c r="P4177" s="43"/>
    </row>
    <row r="4178" spans="1:16" ht="18" x14ac:dyDescent="0.35">
      <c r="A4178" s="43"/>
      <c r="C4178" s="393"/>
      <c r="E4178" s="394"/>
      <c r="F4178" s="394">
        <v>0</v>
      </c>
      <c r="G4178" s="394"/>
      <c r="H4178" s="8" t="s">
        <v>61</v>
      </c>
      <c r="I4178" s="368">
        <f t="shared" si="196"/>
        <v>0</v>
      </c>
      <c r="J4178" s="365">
        <f t="shared" si="195"/>
        <v>0</v>
      </c>
      <c r="K4178" s="369">
        <f t="shared" si="197"/>
        <v>6</v>
      </c>
      <c r="L4178" s="369">
        <f>+IF((C4178&gt;='Resultats - informe'!$E$16)*(C4178&lt;='Resultats - informe'!$G$16),1,0)</f>
        <v>1</v>
      </c>
      <c r="M4178" s="369" cm="1">
        <f t="array" ref="M4178">+_xlfn.IFS((C4178&gt;='Resultats - informe'!$D$26)*(C4178&lt;='Resultats - informe'!$E$26),0,(C4178&gt;='Resultats - informe'!$D$27)*(C4178&lt;='Resultats - informe'!$E$27),0,(C4178&gt;='Resultats - informe'!$D$28)*(C4178&lt;='Resultats - informe'!$E$28),0,(C4178&gt;='Resultats - informe'!$D$29)*(C4178&lt;='Resultats - informe'!$E$29),0,1,1)</f>
        <v>0</v>
      </c>
      <c r="N4178" s="366">
        <f>+VLOOKUP(D4178,'Resultats - informe'!$Y$18:$AG$42,'Introducció dades consum'!K4178+1,0)</f>
        <v>0</v>
      </c>
      <c r="O4178" s="370" cm="1">
        <f t="array" ref="O4178">+_xlfn.SWITCH(MONTH(C4178),1,1,2,1,3,1,4,2,5,2,6,3,7,3,8,3,9,3,10,2,11,2,12,1,2)</f>
        <v>1</v>
      </c>
      <c r="P4178" s="43"/>
    </row>
    <row r="4179" spans="1:16" ht="18" x14ac:dyDescent="0.35">
      <c r="A4179" s="43"/>
      <c r="C4179" s="393"/>
      <c r="E4179" s="394"/>
      <c r="F4179" s="394">
        <v>0</v>
      </c>
      <c r="G4179" s="394"/>
      <c r="H4179" s="8" t="s">
        <v>235</v>
      </c>
      <c r="I4179" s="368">
        <f t="shared" si="196"/>
        <v>0</v>
      </c>
      <c r="J4179" s="365">
        <f t="shared" si="195"/>
        <v>0</v>
      </c>
      <c r="K4179" s="369">
        <f t="shared" si="197"/>
        <v>6</v>
      </c>
      <c r="L4179" s="369">
        <f>+IF((C4179&gt;='Resultats - informe'!$E$16)*(C4179&lt;='Resultats - informe'!$G$16),1,0)</f>
        <v>1</v>
      </c>
      <c r="M4179" s="369" cm="1">
        <f t="array" ref="M4179">+_xlfn.IFS((C4179&gt;='Resultats - informe'!$D$26)*(C4179&lt;='Resultats - informe'!$E$26),0,(C4179&gt;='Resultats - informe'!$D$27)*(C4179&lt;='Resultats - informe'!$E$27),0,(C4179&gt;='Resultats - informe'!$D$28)*(C4179&lt;='Resultats - informe'!$E$28),0,(C4179&gt;='Resultats - informe'!$D$29)*(C4179&lt;='Resultats - informe'!$E$29),0,1,1)</f>
        <v>0</v>
      </c>
      <c r="N4179" s="366">
        <f>+VLOOKUP(D4179,'Resultats - informe'!$Y$18:$AG$42,'Introducció dades consum'!K4179+1,0)</f>
        <v>0</v>
      </c>
      <c r="O4179" s="370" cm="1">
        <f t="array" ref="O4179">+_xlfn.SWITCH(MONTH(C4179),1,1,2,1,3,1,4,2,5,2,6,3,7,3,8,3,9,3,10,2,11,2,12,1,2)</f>
        <v>1</v>
      </c>
      <c r="P4179" s="43"/>
    </row>
    <row r="4180" spans="1:16" ht="18" x14ac:dyDescent="0.35">
      <c r="A4180" s="43"/>
      <c r="C4180" s="393"/>
      <c r="E4180" s="394"/>
      <c r="F4180" s="394">
        <v>0</v>
      </c>
      <c r="G4180" s="394"/>
      <c r="H4180" s="8" t="s">
        <v>235</v>
      </c>
      <c r="I4180" s="368">
        <f t="shared" si="196"/>
        <v>0</v>
      </c>
      <c r="J4180" s="365">
        <f t="shared" si="195"/>
        <v>0</v>
      </c>
      <c r="K4180" s="369">
        <f t="shared" si="197"/>
        <v>6</v>
      </c>
      <c r="L4180" s="369">
        <f>+IF((C4180&gt;='Resultats - informe'!$E$16)*(C4180&lt;='Resultats - informe'!$G$16),1,0)</f>
        <v>1</v>
      </c>
      <c r="M4180" s="369" cm="1">
        <f t="array" ref="M4180">+_xlfn.IFS((C4180&gt;='Resultats - informe'!$D$26)*(C4180&lt;='Resultats - informe'!$E$26),0,(C4180&gt;='Resultats - informe'!$D$27)*(C4180&lt;='Resultats - informe'!$E$27),0,(C4180&gt;='Resultats - informe'!$D$28)*(C4180&lt;='Resultats - informe'!$E$28),0,(C4180&gt;='Resultats - informe'!$D$29)*(C4180&lt;='Resultats - informe'!$E$29),0,1,1)</f>
        <v>0</v>
      </c>
      <c r="N4180" s="366">
        <f>+VLOOKUP(D4180,'Resultats - informe'!$Y$18:$AG$42,'Introducció dades consum'!K4180+1,0)</f>
        <v>0</v>
      </c>
      <c r="O4180" s="370" cm="1">
        <f t="array" ref="O4180">+_xlfn.SWITCH(MONTH(C4180),1,1,2,1,3,1,4,2,5,2,6,3,7,3,8,3,9,3,10,2,11,2,12,1,2)</f>
        <v>1</v>
      </c>
      <c r="P4180" s="43"/>
    </row>
    <row r="4181" spans="1:16" ht="18" x14ac:dyDescent="0.35">
      <c r="A4181" s="43"/>
      <c r="C4181" s="393"/>
      <c r="E4181" s="394"/>
      <c r="F4181" s="394">
        <v>0</v>
      </c>
      <c r="G4181" s="394"/>
      <c r="H4181" s="8" t="s">
        <v>61</v>
      </c>
      <c r="I4181" s="368">
        <f t="shared" si="196"/>
        <v>0</v>
      </c>
      <c r="J4181" s="365">
        <f t="shared" si="195"/>
        <v>0</v>
      </c>
      <c r="K4181" s="369">
        <f t="shared" si="197"/>
        <v>6</v>
      </c>
      <c r="L4181" s="369">
        <f>+IF((C4181&gt;='Resultats - informe'!$E$16)*(C4181&lt;='Resultats - informe'!$G$16),1,0)</f>
        <v>1</v>
      </c>
      <c r="M4181" s="369" cm="1">
        <f t="array" ref="M4181">+_xlfn.IFS((C4181&gt;='Resultats - informe'!$D$26)*(C4181&lt;='Resultats - informe'!$E$26),0,(C4181&gt;='Resultats - informe'!$D$27)*(C4181&lt;='Resultats - informe'!$E$27),0,(C4181&gt;='Resultats - informe'!$D$28)*(C4181&lt;='Resultats - informe'!$E$28),0,(C4181&gt;='Resultats - informe'!$D$29)*(C4181&lt;='Resultats - informe'!$E$29),0,1,1)</f>
        <v>0</v>
      </c>
      <c r="N4181" s="366">
        <f>+VLOOKUP(D4181,'Resultats - informe'!$Y$18:$AG$42,'Introducció dades consum'!K4181+1,0)</f>
        <v>0</v>
      </c>
      <c r="O4181" s="370" cm="1">
        <f t="array" ref="O4181">+_xlfn.SWITCH(MONTH(C4181),1,1,2,1,3,1,4,2,5,2,6,3,7,3,8,3,9,3,10,2,11,2,12,1,2)</f>
        <v>1</v>
      </c>
      <c r="P4181" s="43"/>
    </row>
    <row r="4182" spans="1:16" ht="18" x14ac:dyDescent="0.35">
      <c r="A4182" s="43"/>
      <c r="C4182" s="393"/>
      <c r="E4182" s="394"/>
      <c r="F4182" s="394">
        <v>0</v>
      </c>
      <c r="G4182" s="394"/>
      <c r="H4182" s="8" t="s">
        <v>235</v>
      </c>
      <c r="I4182" s="368">
        <f t="shared" si="196"/>
        <v>0</v>
      </c>
      <c r="J4182" s="365">
        <f t="shared" si="195"/>
        <v>0</v>
      </c>
      <c r="K4182" s="369">
        <f t="shared" si="197"/>
        <v>6</v>
      </c>
      <c r="L4182" s="369">
        <f>+IF((C4182&gt;='Resultats - informe'!$E$16)*(C4182&lt;='Resultats - informe'!$G$16),1,0)</f>
        <v>1</v>
      </c>
      <c r="M4182" s="369" cm="1">
        <f t="array" ref="M4182">+_xlfn.IFS((C4182&gt;='Resultats - informe'!$D$26)*(C4182&lt;='Resultats - informe'!$E$26),0,(C4182&gt;='Resultats - informe'!$D$27)*(C4182&lt;='Resultats - informe'!$E$27),0,(C4182&gt;='Resultats - informe'!$D$28)*(C4182&lt;='Resultats - informe'!$E$28),0,(C4182&gt;='Resultats - informe'!$D$29)*(C4182&lt;='Resultats - informe'!$E$29),0,1,1)</f>
        <v>0</v>
      </c>
      <c r="N4182" s="366">
        <f>+VLOOKUP(D4182,'Resultats - informe'!$Y$18:$AG$42,'Introducció dades consum'!K4182+1,0)</f>
        <v>0</v>
      </c>
      <c r="O4182" s="370" cm="1">
        <f t="array" ref="O4182">+_xlfn.SWITCH(MONTH(C4182),1,1,2,1,3,1,4,2,5,2,6,3,7,3,8,3,9,3,10,2,11,2,12,1,2)</f>
        <v>1</v>
      </c>
      <c r="P4182" s="43"/>
    </row>
    <row r="4183" spans="1:16" ht="18" x14ac:dyDescent="0.35">
      <c r="A4183" s="43"/>
      <c r="C4183" s="393"/>
      <c r="E4183" s="394"/>
      <c r="F4183" s="394">
        <v>0</v>
      </c>
      <c r="G4183" s="394"/>
      <c r="H4183" s="8" t="s">
        <v>235</v>
      </c>
      <c r="I4183" s="368">
        <f t="shared" si="196"/>
        <v>0</v>
      </c>
      <c r="J4183" s="365">
        <f t="shared" si="195"/>
        <v>0</v>
      </c>
      <c r="K4183" s="369">
        <f t="shared" si="197"/>
        <v>6</v>
      </c>
      <c r="L4183" s="369">
        <f>+IF((C4183&gt;='Resultats - informe'!$E$16)*(C4183&lt;='Resultats - informe'!$G$16),1,0)</f>
        <v>1</v>
      </c>
      <c r="M4183" s="369" cm="1">
        <f t="array" ref="M4183">+_xlfn.IFS((C4183&gt;='Resultats - informe'!$D$26)*(C4183&lt;='Resultats - informe'!$E$26),0,(C4183&gt;='Resultats - informe'!$D$27)*(C4183&lt;='Resultats - informe'!$E$27),0,(C4183&gt;='Resultats - informe'!$D$28)*(C4183&lt;='Resultats - informe'!$E$28),0,(C4183&gt;='Resultats - informe'!$D$29)*(C4183&lt;='Resultats - informe'!$E$29),0,1,1)</f>
        <v>0</v>
      </c>
      <c r="N4183" s="366">
        <f>+VLOOKUP(D4183,'Resultats - informe'!$Y$18:$AG$42,'Introducció dades consum'!K4183+1,0)</f>
        <v>0</v>
      </c>
      <c r="O4183" s="370" cm="1">
        <f t="array" ref="O4183">+_xlfn.SWITCH(MONTH(C4183),1,1,2,1,3,1,4,2,5,2,6,3,7,3,8,3,9,3,10,2,11,2,12,1,2)</f>
        <v>1</v>
      </c>
      <c r="P4183" s="43"/>
    </row>
    <row r="4184" spans="1:16" ht="18" x14ac:dyDescent="0.35">
      <c r="A4184" s="43"/>
      <c r="C4184" s="393"/>
      <c r="E4184" s="394"/>
      <c r="F4184" s="394">
        <v>0</v>
      </c>
      <c r="G4184" s="394"/>
      <c r="H4184" s="8" t="s">
        <v>235</v>
      </c>
      <c r="I4184" s="368">
        <f t="shared" si="196"/>
        <v>0</v>
      </c>
      <c r="J4184" s="365">
        <f t="shared" si="195"/>
        <v>0</v>
      </c>
      <c r="K4184" s="369">
        <f t="shared" si="197"/>
        <v>6</v>
      </c>
      <c r="L4184" s="369">
        <f>+IF((C4184&gt;='Resultats - informe'!$E$16)*(C4184&lt;='Resultats - informe'!$G$16),1,0)</f>
        <v>1</v>
      </c>
      <c r="M4184" s="369" cm="1">
        <f t="array" ref="M4184">+_xlfn.IFS((C4184&gt;='Resultats - informe'!$D$26)*(C4184&lt;='Resultats - informe'!$E$26),0,(C4184&gt;='Resultats - informe'!$D$27)*(C4184&lt;='Resultats - informe'!$E$27),0,(C4184&gt;='Resultats - informe'!$D$28)*(C4184&lt;='Resultats - informe'!$E$28),0,(C4184&gt;='Resultats - informe'!$D$29)*(C4184&lt;='Resultats - informe'!$E$29),0,1,1)</f>
        <v>0</v>
      </c>
      <c r="N4184" s="366">
        <f>+VLOOKUP(D4184,'Resultats - informe'!$Y$18:$AG$42,'Introducció dades consum'!K4184+1,0)</f>
        <v>0</v>
      </c>
      <c r="O4184" s="370" cm="1">
        <f t="array" ref="O4184">+_xlfn.SWITCH(MONTH(C4184),1,1,2,1,3,1,4,2,5,2,6,3,7,3,8,3,9,3,10,2,11,2,12,1,2)</f>
        <v>1</v>
      </c>
      <c r="P4184" s="43"/>
    </row>
    <row r="4185" spans="1:16" ht="18" x14ac:dyDescent="0.35">
      <c r="A4185" s="43"/>
      <c r="C4185" s="393"/>
      <c r="E4185" s="394"/>
      <c r="F4185" s="394">
        <v>0</v>
      </c>
      <c r="G4185" s="394"/>
      <c r="H4185" s="8" t="s">
        <v>235</v>
      </c>
      <c r="I4185" s="368">
        <f t="shared" si="196"/>
        <v>0</v>
      </c>
      <c r="J4185" s="365">
        <f t="shared" si="195"/>
        <v>0</v>
      </c>
      <c r="K4185" s="369">
        <f t="shared" si="197"/>
        <v>6</v>
      </c>
      <c r="L4185" s="369">
        <f>+IF((C4185&gt;='Resultats - informe'!$E$16)*(C4185&lt;='Resultats - informe'!$G$16),1,0)</f>
        <v>1</v>
      </c>
      <c r="M4185" s="369" cm="1">
        <f t="array" ref="M4185">+_xlfn.IFS((C4185&gt;='Resultats - informe'!$D$26)*(C4185&lt;='Resultats - informe'!$E$26),0,(C4185&gt;='Resultats - informe'!$D$27)*(C4185&lt;='Resultats - informe'!$E$27),0,(C4185&gt;='Resultats - informe'!$D$28)*(C4185&lt;='Resultats - informe'!$E$28),0,(C4185&gt;='Resultats - informe'!$D$29)*(C4185&lt;='Resultats - informe'!$E$29),0,1,1)</f>
        <v>0</v>
      </c>
      <c r="N4185" s="366">
        <f>+VLOOKUP(D4185,'Resultats - informe'!$Y$18:$AG$42,'Introducció dades consum'!K4185+1,0)</f>
        <v>0</v>
      </c>
      <c r="O4185" s="370" cm="1">
        <f t="array" ref="O4185">+_xlfn.SWITCH(MONTH(C4185),1,1,2,1,3,1,4,2,5,2,6,3,7,3,8,3,9,3,10,2,11,2,12,1,2)</f>
        <v>1</v>
      </c>
      <c r="P4185" s="43"/>
    </row>
    <row r="4186" spans="1:16" ht="18" x14ac:dyDescent="0.35">
      <c r="A4186" s="43"/>
      <c r="C4186" s="393"/>
      <c r="E4186" s="394"/>
      <c r="F4186" s="394">
        <v>0.52600000000000002</v>
      </c>
      <c r="G4186" s="394"/>
      <c r="H4186" s="8" t="s">
        <v>235</v>
      </c>
      <c r="I4186" s="368">
        <f t="shared" si="196"/>
        <v>0</v>
      </c>
      <c r="J4186" s="365">
        <f t="shared" si="195"/>
        <v>0</v>
      </c>
      <c r="K4186" s="369">
        <f t="shared" si="197"/>
        <v>6</v>
      </c>
      <c r="L4186" s="369">
        <f>+IF((C4186&gt;='Resultats - informe'!$E$16)*(C4186&lt;='Resultats - informe'!$G$16),1,0)</f>
        <v>1</v>
      </c>
      <c r="M4186" s="369" cm="1">
        <f t="array" ref="M4186">+_xlfn.IFS((C4186&gt;='Resultats - informe'!$D$26)*(C4186&lt;='Resultats - informe'!$E$26),0,(C4186&gt;='Resultats - informe'!$D$27)*(C4186&lt;='Resultats - informe'!$E$27),0,(C4186&gt;='Resultats - informe'!$D$28)*(C4186&lt;='Resultats - informe'!$E$28),0,(C4186&gt;='Resultats - informe'!$D$29)*(C4186&lt;='Resultats - informe'!$E$29),0,1,1)</f>
        <v>0</v>
      </c>
      <c r="N4186" s="366">
        <f>+VLOOKUP(D4186,'Resultats - informe'!$Y$18:$AG$42,'Introducció dades consum'!K4186+1,0)</f>
        <v>0</v>
      </c>
      <c r="O4186" s="370" cm="1">
        <f t="array" ref="O4186">+_xlfn.SWITCH(MONTH(C4186),1,1,2,1,3,1,4,2,5,2,6,3,7,3,8,3,9,3,10,2,11,2,12,1,2)</f>
        <v>1</v>
      </c>
      <c r="P4186" s="43"/>
    </row>
    <row r="4187" spans="1:16" ht="18" x14ac:dyDescent="0.35">
      <c r="A4187" s="43"/>
      <c r="C4187" s="393"/>
      <c r="E4187" s="394"/>
      <c r="F4187" s="394">
        <v>1.1240000000000001</v>
      </c>
      <c r="G4187" s="394"/>
      <c r="H4187" s="8" t="s">
        <v>235</v>
      </c>
      <c r="I4187" s="368">
        <f t="shared" si="196"/>
        <v>0</v>
      </c>
      <c r="J4187" s="365">
        <f t="shared" si="195"/>
        <v>0</v>
      </c>
      <c r="K4187" s="369">
        <f t="shared" si="197"/>
        <v>6</v>
      </c>
      <c r="L4187" s="369">
        <f>+IF((C4187&gt;='Resultats - informe'!$E$16)*(C4187&lt;='Resultats - informe'!$G$16),1,0)</f>
        <v>1</v>
      </c>
      <c r="M4187" s="369" cm="1">
        <f t="array" ref="M4187">+_xlfn.IFS((C4187&gt;='Resultats - informe'!$D$26)*(C4187&lt;='Resultats - informe'!$E$26),0,(C4187&gt;='Resultats - informe'!$D$27)*(C4187&lt;='Resultats - informe'!$E$27),0,(C4187&gt;='Resultats - informe'!$D$28)*(C4187&lt;='Resultats - informe'!$E$28),0,(C4187&gt;='Resultats - informe'!$D$29)*(C4187&lt;='Resultats - informe'!$E$29),0,1,1)</f>
        <v>0</v>
      </c>
      <c r="N4187" s="366">
        <f>+VLOOKUP(D4187,'Resultats - informe'!$Y$18:$AG$42,'Introducció dades consum'!K4187+1,0)</f>
        <v>0</v>
      </c>
      <c r="O4187" s="370" cm="1">
        <f t="array" ref="O4187">+_xlfn.SWITCH(MONTH(C4187),1,1,2,1,3,1,4,2,5,2,6,3,7,3,8,3,9,3,10,2,11,2,12,1,2)</f>
        <v>1</v>
      </c>
      <c r="P4187" s="43"/>
    </row>
    <row r="4188" spans="1:16" ht="18" x14ac:dyDescent="0.35">
      <c r="A4188" s="43"/>
      <c r="C4188" s="393"/>
      <c r="E4188" s="394"/>
      <c r="F4188" s="394">
        <v>0.40200000000000002</v>
      </c>
      <c r="G4188" s="394"/>
      <c r="H4188" s="8" t="s">
        <v>61</v>
      </c>
      <c r="I4188" s="368">
        <f t="shared" si="196"/>
        <v>0</v>
      </c>
      <c r="J4188" s="365">
        <f t="shared" si="195"/>
        <v>0</v>
      </c>
      <c r="K4188" s="369">
        <f t="shared" si="197"/>
        <v>6</v>
      </c>
      <c r="L4188" s="369">
        <f>+IF((C4188&gt;='Resultats - informe'!$E$16)*(C4188&lt;='Resultats - informe'!$G$16),1,0)</f>
        <v>1</v>
      </c>
      <c r="M4188" s="369" cm="1">
        <f t="array" ref="M4188">+_xlfn.IFS((C4188&gt;='Resultats - informe'!$D$26)*(C4188&lt;='Resultats - informe'!$E$26),0,(C4188&gt;='Resultats - informe'!$D$27)*(C4188&lt;='Resultats - informe'!$E$27),0,(C4188&gt;='Resultats - informe'!$D$28)*(C4188&lt;='Resultats - informe'!$E$28),0,(C4188&gt;='Resultats - informe'!$D$29)*(C4188&lt;='Resultats - informe'!$E$29),0,1,1)</f>
        <v>0</v>
      </c>
      <c r="N4188" s="366">
        <f>+VLOOKUP(D4188,'Resultats - informe'!$Y$18:$AG$42,'Introducció dades consum'!K4188+1,0)</f>
        <v>0</v>
      </c>
      <c r="O4188" s="370" cm="1">
        <f t="array" ref="O4188">+_xlfn.SWITCH(MONTH(C4188),1,1,2,1,3,1,4,2,5,2,6,3,7,3,8,3,9,3,10,2,11,2,12,1,2)</f>
        <v>1</v>
      </c>
      <c r="P4188" s="43"/>
    </row>
    <row r="4189" spans="1:16" ht="18" x14ac:dyDescent="0.35">
      <c r="A4189" s="43"/>
      <c r="C4189" s="393"/>
      <c r="E4189" s="394"/>
      <c r="F4189" s="394">
        <v>1.784</v>
      </c>
      <c r="G4189" s="394"/>
      <c r="H4189" s="8" t="s">
        <v>61</v>
      </c>
      <c r="I4189" s="368">
        <f t="shared" si="196"/>
        <v>0</v>
      </c>
      <c r="J4189" s="365">
        <f t="shared" si="195"/>
        <v>0</v>
      </c>
      <c r="K4189" s="369">
        <f t="shared" si="197"/>
        <v>6</v>
      </c>
      <c r="L4189" s="369">
        <f>+IF((C4189&gt;='Resultats - informe'!$E$16)*(C4189&lt;='Resultats - informe'!$G$16),1,0)</f>
        <v>1</v>
      </c>
      <c r="M4189" s="369" cm="1">
        <f t="array" ref="M4189">+_xlfn.IFS((C4189&gt;='Resultats - informe'!$D$26)*(C4189&lt;='Resultats - informe'!$E$26),0,(C4189&gt;='Resultats - informe'!$D$27)*(C4189&lt;='Resultats - informe'!$E$27),0,(C4189&gt;='Resultats - informe'!$D$28)*(C4189&lt;='Resultats - informe'!$E$28),0,(C4189&gt;='Resultats - informe'!$D$29)*(C4189&lt;='Resultats - informe'!$E$29),0,1,1)</f>
        <v>0</v>
      </c>
      <c r="N4189" s="366">
        <f>+VLOOKUP(D4189,'Resultats - informe'!$Y$18:$AG$42,'Introducció dades consum'!K4189+1,0)</f>
        <v>0</v>
      </c>
      <c r="O4189" s="370" cm="1">
        <f t="array" ref="O4189">+_xlfn.SWITCH(MONTH(C4189),1,1,2,1,3,1,4,2,5,2,6,3,7,3,8,3,9,3,10,2,11,2,12,1,2)</f>
        <v>1</v>
      </c>
      <c r="P4189" s="43"/>
    </row>
    <row r="4190" spans="1:16" ht="18" x14ac:dyDescent="0.35">
      <c r="A4190" s="43"/>
      <c r="C4190" s="393"/>
      <c r="E4190" s="394"/>
      <c r="F4190" s="394">
        <v>3.718</v>
      </c>
      <c r="G4190" s="394"/>
      <c r="H4190" s="8" t="s">
        <v>61</v>
      </c>
      <c r="I4190" s="368">
        <f t="shared" si="196"/>
        <v>0</v>
      </c>
      <c r="J4190" s="365">
        <f t="shared" si="195"/>
        <v>0</v>
      </c>
      <c r="K4190" s="369">
        <f t="shared" si="197"/>
        <v>6</v>
      </c>
      <c r="L4190" s="369">
        <f>+IF((C4190&gt;='Resultats - informe'!$E$16)*(C4190&lt;='Resultats - informe'!$G$16),1,0)</f>
        <v>1</v>
      </c>
      <c r="M4190" s="369" cm="1">
        <f t="array" ref="M4190">+_xlfn.IFS((C4190&gt;='Resultats - informe'!$D$26)*(C4190&lt;='Resultats - informe'!$E$26),0,(C4190&gt;='Resultats - informe'!$D$27)*(C4190&lt;='Resultats - informe'!$E$27),0,(C4190&gt;='Resultats - informe'!$D$28)*(C4190&lt;='Resultats - informe'!$E$28),0,(C4190&gt;='Resultats - informe'!$D$29)*(C4190&lt;='Resultats - informe'!$E$29),0,1,1)</f>
        <v>0</v>
      </c>
      <c r="N4190" s="366">
        <f>+VLOOKUP(D4190,'Resultats - informe'!$Y$18:$AG$42,'Introducció dades consum'!K4190+1,0)</f>
        <v>0</v>
      </c>
      <c r="O4190" s="370" cm="1">
        <f t="array" ref="O4190">+_xlfn.SWITCH(MONTH(C4190),1,1,2,1,3,1,4,2,5,2,6,3,7,3,8,3,9,3,10,2,11,2,12,1,2)</f>
        <v>1</v>
      </c>
      <c r="P4190" s="43"/>
    </row>
    <row r="4191" spans="1:16" ht="18" x14ac:dyDescent="0.35">
      <c r="A4191" s="43"/>
      <c r="C4191" s="393"/>
      <c r="E4191" s="394"/>
      <c r="F4191" s="394">
        <v>5.2480000000000002</v>
      </c>
      <c r="G4191" s="394"/>
      <c r="H4191" s="8" t="s">
        <v>61</v>
      </c>
      <c r="I4191" s="368">
        <f t="shared" si="196"/>
        <v>0</v>
      </c>
      <c r="J4191" s="365">
        <f t="shared" si="195"/>
        <v>0</v>
      </c>
      <c r="K4191" s="369">
        <f t="shared" si="197"/>
        <v>6</v>
      </c>
      <c r="L4191" s="369">
        <f>+IF((C4191&gt;='Resultats - informe'!$E$16)*(C4191&lt;='Resultats - informe'!$G$16),1,0)</f>
        <v>1</v>
      </c>
      <c r="M4191" s="369" cm="1">
        <f t="array" ref="M4191">+_xlfn.IFS((C4191&gt;='Resultats - informe'!$D$26)*(C4191&lt;='Resultats - informe'!$E$26),0,(C4191&gt;='Resultats - informe'!$D$27)*(C4191&lt;='Resultats - informe'!$E$27),0,(C4191&gt;='Resultats - informe'!$D$28)*(C4191&lt;='Resultats - informe'!$E$28),0,(C4191&gt;='Resultats - informe'!$D$29)*(C4191&lt;='Resultats - informe'!$E$29),0,1,1)</f>
        <v>0</v>
      </c>
      <c r="N4191" s="366">
        <f>+VLOOKUP(D4191,'Resultats - informe'!$Y$18:$AG$42,'Introducció dades consum'!K4191+1,0)</f>
        <v>0</v>
      </c>
      <c r="O4191" s="370" cm="1">
        <f t="array" ref="O4191">+_xlfn.SWITCH(MONTH(C4191),1,1,2,1,3,1,4,2,5,2,6,3,7,3,8,3,9,3,10,2,11,2,12,1,2)</f>
        <v>1</v>
      </c>
      <c r="P4191" s="43"/>
    </row>
    <row r="4192" spans="1:16" ht="18" x14ac:dyDescent="0.35">
      <c r="A4192" s="43"/>
      <c r="C4192" s="393"/>
      <c r="E4192" s="394"/>
      <c r="F4192" s="394">
        <v>6.04</v>
      </c>
      <c r="G4192" s="394"/>
      <c r="H4192" s="8" t="s">
        <v>61</v>
      </c>
      <c r="I4192" s="368">
        <f t="shared" si="196"/>
        <v>0</v>
      </c>
      <c r="J4192" s="365">
        <f t="shared" si="195"/>
        <v>0</v>
      </c>
      <c r="K4192" s="369">
        <f t="shared" si="197"/>
        <v>6</v>
      </c>
      <c r="L4192" s="369">
        <f>+IF((C4192&gt;='Resultats - informe'!$E$16)*(C4192&lt;='Resultats - informe'!$G$16),1,0)</f>
        <v>1</v>
      </c>
      <c r="M4192" s="369" cm="1">
        <f t="array" ref="M4192">+_xlfn.IFS((C4192&gt;='Resultats - informe'!$D$26)*(C4192&lt;='Resultats - informe'!$E$26),0,(C4192&gt;='Resultats - informe'!$D$27)*(C4192&lt;='Resultats - informe'!$E$27),0,(C4192&gt;='Resultats - informe'!$D$28)*(C4192&lt;='Resultats - informe'!$E$28),0,(C4192&gt;='Resultats - informe'!$D$29)*(C4192&lt;='Resultats - informe'!$E$29),0,1,1)</f>
        <v>0</v>
      </c>
      <c r="N4192" s="366">
        <f>+VLOOKUP(D4192,'Resultats - informe'!$Y$18:$AG$42,'Introducció dades consum'!K4192+1,0)</f>
        <v>0</v>
      </c>
      <c r="O4192" s="370" cm="1">
        <f t="array" ref="O4192">+_xlfn.SWITCH(MONTH(C4192),1,1,2,1,3,1,4,2,5,2,6,3,7,3,8,3,9,3,10,2,11,2,12,1,2)</f>
        <v>1</v>
      </c>
      <c r="P4192" s="43"/>
    </row>
    <row r="4193" spans="1:16" ht="18" x14ac:dyDescent="0.35">
      <c r="A4193" s="43"/>
      <c r="C4193" s="393"/>
      <c r="E4193" s="394"/>
      <c r="F4193" s="394">
        <v>6.48</v>
      </c>
      <c r="G4193" s="394"/>
      <c r="H4193" s="8" t="s">
        <v>61</v>
      </c>
      <c r="I4193" s="368">
        <f t="shared" si="196"/>
        <v>0</v>
      </c>
      <c r="J4193" s="365">
        <f t="shared" si="195"/>
        <v>0</v>
      </c>
      <c r="K4193" s="369">
        <f t="shared" si="197"/>
        <v>6</v>
      </c>
      <c r="L4193" s="369">
        <f>+IF((C4193&gt;='Resultats - informe'!$E$16)*(C4193&lt;='Resultats - informe'!$G$16),1,0)</f>
        <v>1</v>
      </c>
      <c r="M4193" s="369" cm="1">
        <f t="array" ref="M4193">+_xlfn.IFS((C4193&gt;='Resultats - informe'!$D$26)*(C4193&lt;='Resultats - informe'!$E$26),0,(C4193&gt;='Resultats - informe'!$D$27)*(C4193&lt;='Resultats - informe'!$E$27),0,(C4193&gt;='Resultats - informe'!$D$28)*(C4193&lt;='Resultats - informe'!$E$28),0,(C4193&gt;='Resultats - informe'!$D$29)*(C4193&lt;='Resultats - informe'!$E$29),0,1,1)</f>
        <v>0</v>
      </c>
      <c r="N4193" s="366">
        <f>+VLOOKUP(D4193,'Resultats - informe'!$Y$18:$AG$42,'Introducció dades consum'!K4193+1,0)</f>
        <v>0</v>
      </c>
      <c r="O4193" s="370" cm="1">
        <f t="array" ref="O4193">+_xlfn.SWITCH(MONTH(C4193),1,1,2,1,3,1,4,2,5,2,6,3,7,3,8,3,9,3,10,2,11,2,12,1,2)</f>
        <v>1</v>
      </c>
      <c r="P4193" s="43"/>
    </row>
    <row r="4194" spans="1:16" ht="18" x14ac:dyDescent="0.35">
      <c r="A4194" s="43"/>
      <c r="C4194" s="393"/>
      <c r="E4194" s="394"/>
      <c r="F4194" s="394">
        <v>0.432</v>
      </c>
      <c r="G4194" s="394"/>
      <c r="H4194" s="8" t="s">
        <v>61</v>
      </c>
      <c r="I4194" s="368">
        <f t="shared" si="196"/>
        <v>0</v>
      </c>
      <c r="J4194" s="365">
        <f t="shared" si="195"/>
        <v>0</v>
      </c>
      <c r="K4194" s="369">
        <f t="shared" si="197"/>
        <v>6</v>
      </c>
      <c r="L4194" s="369">
        <f>+IF((C4194&gt;='Resultats - informe'!$E$16)*(C4194&lt;='Resultats - informe'!$G$16),1,0)</f>
        <v>1</v>
      </c>
      <c r="M4194" s="369" cm="1">
        <f t="array" ref="M4194">+_xlfn.IFS((C4194&gt;='Resultats - informe'!$D$26)*(C4194&lt;='Resultats - informe'!$E$26),0,(C4194&gt;='Resultats - informe'!$D$27)*(C4194&lt;='Resultats - informe'!$E$27),0,(C4194&gt;='Resultats - informe'!$D$28)*(C4194&lt;='Resultats - informe'!$E$28),0,(C4194&gt;='Resultats - informe'!$D$29)*(C4194&lt;='Resultats - informe'!$E$29),0,1,1)</f>
        <v>0</v>
      </c>
      <c r="N4194" s="366">
        <f>+VLOOKUP(D4194,'Resultats - informe'!$Y$18:$AG$42,'Introducció dades consum'!K4194+1,0)</f>
        <v>0</v>
      </c>
      <c r="O4194" s="370" cm="1">
        <f t="array" ref="O4194">+_xlfn.SWITCH(MONTH(C4194),1,1,2,1,3,1,4,2,5,2,6,3,7,3,8,3,9,3,10,2,11,2,12,1,2)</f>
        <v>1</v>
      </c>
      <c r="P4194" s="43"/>
    </row>
    <row r="4195" spans="1:16" ht="18" x14ac:dyDescent="0.35">
      <c r="A4195" s="43"/>
      <c r="C4195" s="393"/>
      <c r="E4195" s="394"/>
      <c r="F4195" s="394">
        <v>0</v>
      </c>
      <c r="G4195" s="394"/>
      <c r="H4195" s="8" t="s">
        <v>61</v>
      </c>
      <c r="I4195" s="368">
        <f t="shared" si="196"/>
        <v>0</v>
      </c>
      <c r="J4195" s="365">
        <f t="shared" si="195"/>
        <v>0</v>
      </c>
      <c r="K4195" s="369">
        <f t="shared" si="197"/>
        <v>6</v>
      </c>
      <c r="L4195" s="369">
        <f>+IF((C4195&gt;='Resultats - informe'!$E$16)*(C4195&lt;='Resultats - informe'!$G$16),1,0)</f>
        <v>1</v>
      </c>
      <c r="M4195" s="369" cm="1">
        <f t="array" ref="M4195">+_xlfn.IFS((C4195&gt;='Resultats - informe'!$D$26)*(C4195&lt;='Resultats - informe'!$E$26),0,(C4195&gt;='Resultats - informe'!$D$27)*(C4195&lt;='Resultats - informe'!$E$27),0,(C4195&gt;='Resultats - informe'!$D$28)*(C4195&lt;='Resultats - informe'!$E$28),0,(C4195&gt;='Resultats - informe'!$D$29)*(C4195&lt;='Resultats - informe'!$E$29),0,1,1)</f>
        <v>0</v>
      </c>
      <c r="N4195" s="366">
        <f>+VLOOKUP(D4195,'Resultats - informe'!$Y$18:$AG$42,'Introducció dades consum'!K4195+1,0)</f>
        <v>0</v>
      </c>
      <c r="O4195" s="370" cm="1">
        <f t="array" ref="O4195">+_xlfn.SWITCH(MONTH(C4195),1,1,2,1,3,1,4,2,5,2,6,3,7,3,8,3,9,3,10,2,11,2,12,1,2)</f>
        <v>1</v>
      </c>
      <c r="P4195" s="43"/>
    </row>
    <row r="4196" spans="1:16" ht="18" x14ac:dyDescent="0.35">
      <c r="A4196" s="43"/>
      <c r="C4196" s="393"/>
      <c r="E4196" s="394"/>
      <c r="F4196" s="394">
        <v>1.853</v>
      </c>
      <c r="G4196" s="394"/>
      <c r="H4196" s="8" t="s">
        <v>235</v>
      </c>
      <c r="I4196" s="368">
        <f t="shared" si="196"/>
        <v>0</v>
      </c>
      <c r="J4196" s="365">
        <f t="shared" si="195"/>
        <v>0</v>
      </c>
      <c r="K4196" s="369">
        <f t="shared" si="197"/>
        <v>6</v>
      </c>
      <c r="L4196" s="369">
        <f>+IF((C4196&gt;='Resultats - informe'!$E$16)*(C4196&lt;='Resultats - informe'!$G$16),1,0)</f>
        <v>1</v>
      </c>
      <c r="M4196" s="369" cm="1">
        <f t="array" ref="M4196">+_xlfn.IFS((C4196&gt;='Resultats - informe'!$D$26)*(C4196&lt;='Resultats - informe'!$E$26),0,(C4196&gt;='Resultats - informe'!$D$27)*(C4196&lt;='Resultats - informe'!$E$27),0,(C4196&gt;='Resultats - informe'!$D$28)*(C4196&lt;='Resultats - informe'!$E$28),0,(C4196&gt;='Resultats - informe'!$D$29)*(C4196&lt;='Resultats - informe'!$E$29),0,1,1)</f>
        <v>0</v>
      </c>
      <c r="N4196" s="366">
        <f>+VLOOKUP(D4196,'Resultats - informe'!$Y$18:$AG$42,'Introducció dades consum'!K4196+1,0)</f>
        <v>0</v>
      </c>
      <c r="O4196" s="370" cm="1">
        <f t="array" ref="O4196">+_xlfn.SWITCH(MONTH(C4196),1,1,2,1,3,1,4,2,5,2,6,3,7,3,8,3,9,3,10,2,11,2,12,1,2)</f>
        <v>1</v>
      </c>
      <c r="P4196" s="43"/>
    </row>
    <row r="4197" spans="1:16" ht="18" x14ac:dyDescent="0.35">
      <c r="A4197" s="43"/>
      <c r="C4197" s="393"/>
      <c r="E4197" s="394"/>
      <c r="F4197" s="394">
        <v>1.0649999999999999</v>
      </c>
      <c r="G4197" s="394"/>
      <c r="H4197" s="8" t="s">
        <v>235</v>
      </c>
      <c r="I4197" s="368">
        <f t="shared" si="196"/>
        <v>0</v>
      </c>
      <c r="J4197" s="365">
        <f t="shared" si="195"/>
        <v>0</v>
      </c>
      <c r="K4197" s="369">
        <f t="shared" si="197"/>
        <v>6</v>
      </c>
      <c r="L4197" s="369">
        <f>+IF((C4197&gt;='Resultats - informe'!$E$16)*(C4197&lt;='Resultats - informe'!$G$16),1,0)</f>
        <v>1</v>
      </c>
      <c r="M4197" s="369" cm="1">
        <f t="array" ref="M4197">+_xlfn.IFS((C4197&gt;='Resultats - informe'!$D$26)*(C4197&lt;='Resultats - informe'!$E$26),0,(C4197&gt;='Resultats - informe'!$D$27)*(C4197&lt;='Resultats - informe'!$E$27),0,(C4197&gt;='Resultats - informe'!$D$28)*(C4197&lt;='Resultats - informe'!$E$28),0,(C4197&gt;='Resultats - informe'!$D$29)*(C4197&lt;='Resultats - informe'!$E$29),0,1,1)</f>
        <v>0</v>
      </c>
      <c r="N4197" s="366">
        <f>+VLOOKUP(D4197,'Resultats - informe'!$Y$18:$AG$42,'Introducció dades consum'!K4197+1,0)</f>
        <v>0</v>
      </c>
      <c r="O4197" s="370" cm="1">
        <f t="array" ref="O4197">+_xlfn.SWITCH(MONTH(C4197),1,1,2,1,3,1,4,2,5,2,6,3,7,3,8,3,9,3,10,2,11,2,12,1,2)</f>
        <v>1</v>
      </c>
      <c r="P4197" s="43"/>
    </row>
    <row r="4198" spans="1:16" ht="18" x14ac:dyDescent="0.35">
      <c r="A4198" s="43"/>
      <c r="C4198" s="393"/>
      <c r="E4198" s="394"/>
      <c r="F4198" s="394">
        <v>0.248</v>
      </c>
      <c r="G4198" s="394"/>
      <c r="H4198" s="8" t="s">
        <v>235</v>
      </c>
      <c r="I4198" s="368">
        <f t="shared" si="196"/>
        <v>0</v>
      </c>
      <c r="J4198" s="365">
        <f t="shared" si="195"/>
        <v>0</v>
      </c>
      <c r="K4198" s="369">
        <f t="shared" si="197"/>
        <v>6</v>
      </c>
      <c r="L4198" s="369">
        <f>+IF((C4198&gt;='Resultats - informe'!$E$16)*(C4198&lt;='Resultats - informe'!$G$16),1,0)</f>
        <v>1</v>
      </c>
      <c r="M4198" s="369" cm="1">
        <f t="array" ref="M4198">+_xlfn.IFS((C4198&gt;='Resultats - informe'!$D$26)*(C4198&lt;='Resultats - informe'!$E$26),0,(C4198&gt;='Resultats - informe'!$D$27)*(C4198&lt;='Resultats - informe'!$E$27),0,(C4198&gt;='Resultats - informe'!$D$28)*(C4198&lt;='Resultats - informe'!$E$28),0,(C4198&gt;='Resultats - informe'!$D$29)*(C4198&lt;='Resultats - informe'!$E$29),0,1,1)</f>
        <v>0</v>
      </c>
      <c r="N4198" s="366">
        <f>+VLOOKUP(D4198,'Resultats - informe'!$Y$18:$AG$42,'Introducció dades consum'!K4198+1,0)</f>
        <v>0</v>
      </c>
      <c r="O4198" s="370" cm="1">
        <f t="array" ref="O4198">+_xlfn.SWITCH(MONTH(C4198),1,1,2,1,3,1,4,2,5,2,6,3,7,3,8,3,9,3,10,2,11,2,12,1,2)</f>
        <v>1</v>
      </c>
      <c r="P4198" s="43"/>
    </row>
    <row r="4199" spans="1:16" ht="18" x14ac:dyDescent="0.35">
      <c r="A4199" s="43"/>
      <c r="C4199" s="393"/>
      <c r="E4199" s="394"/>
      <c r="F4199" s="394">
        <v>0.22900000000000001</v>
      </c>
      <c r="G4199" s="394"/>
      <c r="H4199" s="8" t="s">
        <v>61</v>
      </c>
      <c r="I4199" s="368">
        <f t="shared" si="196"/>
        <v>0</v>
      </c>
      <c r="J4199" s="365">
        <f t="shared" si="195"/>
        <v>0</v>
      </c>
      <c r="K4199" s="369">
        <f t="shared" si="197"/>
        <v>6</v>
      </c>
      <c r="L4199" s="369">
        <f>+IF((C4199&gt;='Resultats - informe'!$E$16)*(C4199&lt;='Resultats - informe'!$G$16),1,0)</f>
        <v>1</v>
      </c>
      <c r="M4199" s="369" cm="1">
        <f t="array" ref="M4199">+_xlfn.IFS((C4199&gt;='Resultats - informe'!$D$26)*(C4199&lt;='Resultats - informe'!$E$26),0,(C4199&gt;='Resultats - informe'!$D$27)*(C4199&lt;='Resultats - informe'!$E$27),0,(C4199&gt;='Resultats - informe'!$D$28)*(C4199&lt;='Resultats - informe'!$E$28),0,(C4199&gt;='Resultats - informe'!$D$29)*(C4199&lt;='Resultats - informe'!$E$29),0,1,1)</f>
        <v>0</v>
      </c>
      <c r="N4199" s="366">
        <f>+VLOOKUP(D4199,'Resultats - informe'!$Y$18:$AG$42,'Introducció dades consum'!K4199+1,0)</f>
        <v>0</v>
      </c>
      <c r="O4199" s="370" cm="1">
        <f t="array" ref="O4199">+_xlfn.SWITCH(MONTH(C4199),1,1,2,1,3,1,4,2,5,2,6,3,7,3,8,3,9,3,10,2,11,2,12,1,2)</f>
        <v>1</v>
      </c>
      <c r="P4199" s="43"/>
    </row>
    <row r="4200" spans="1:16" ht="18" x14ac:dyDescent="0.35">
      <c r="A4200" s="43"/>
      <c r="C4200" s="393"/>
      <c r="E4200" s="394"/>
      <c r="F4200" s="394">
        <v>0</v>
      </c>
      <c r="G4200" s="394"/>
      <c r="H4200" s="8" t="s">
        <v>235</v>
      </c>
      <c r="I4200" s="368">
        <f t="shared" si="196"/>
        <v>0</v>
      </c>
      <c r="J4200" s="365">
        <f t="shared" si="195"/>
        <v>0</v>
      </c>
      <c r="K4200" s="369">
        <f t="shared" si="197"/>
        <v>6</v>
      </c>
      <c r="L4200" s="369">
        <f>+IF((C4200&gt;='Resultats - informe'!$E$16)*(C4200&lt;='Resultats - informe'!$G$16),1,0)</f>
        <v>1</v>
      </c>
      <c r="M4200" s="369" cm="1">
        <f t="array" ref="M4200">+_xlfn.IFS((C4200&gt;='Resultats - informe'!$D$26)*(C4200&lt;='Resultats - informe'!$E$26),0,(C4200&gt;='Resultats - informe'!$D$27)*(C4200&lt;='Resultats - informe'!$E$27),0,(C4200&gt;='Resultats - informe'!$D$28)*(C4200&lt;='Resultats - informe'!$E$28),0,(C4200&gt;='Resultats - informe'!$D$29)*(C4200&lt;='Resultats - informe'!$E$29),0,1,1)</f>
        <v>0</v>
      </c>
      <c r="N4200" s="366">
        <f>+VLOOKUP(D4200,'Resultats - informe'!$Y$18:$AG$42,'Introducció dades consum'!K4200+1,0)</f>
        <v>0</v>
      </c>
      <c r="O4200" s="370" cm="1">
        <f t="array" ref="O4200">+_xlfn.SWITCH(MONTH(C4200),1,1,2,1,3,1,4,2,5,2,6,3,7,3,8,3,9,3,10,2,11,2,12,1,2)</f>
        <v>1</v>
      </c>
      <c r="P4200" s="43"/>
    </row>
    <row r="4201" spans="1:16" ht="18" x14ac:dyDescent="0.35">
      <c r="A4201" s="43"/>
      <c r="C4201" s="393"/>
      <c r="E4201" s="394"/>
      <c r="F4201" s="394">
        <v>0</v>
      </c>
      <c r="G4201" s="394"/>
      <c r="H4201" s="8" t="s">
        <v>235</v>
      </c>
      <c r="I4201" s="368">
        <f t="shared" si="196"/>
        <v>0</v>
      </c>
      <c r="J4201" s="365">
        <f t="shared" si="195"/>
        <v>0</v>
      </c>
      <c r="K4201" s="369">
        <f t="shared" si="197"/>
        <v>6</v>
      </c>
      <c r="L4201" s="369">
        <f>+IF((C4201&gt;='Resultats - informe'!$E$16)*(C4201&lt;='Resultats - informe'!$G$16),1,0)</f>
        <v>1</v>
      </c>
      <c r="M4201" s="369" cm="1">
        <f t="array" ref="M4201">+_xlfn.IFS((C4201&gt;='Resultats - informe'!$D$26)*(C4201&lt;='Resultats - informe'!$E$26),0,(C4201&gt;='Resultats - informe'!$D$27)*(C4201&lt;='Resultats - informe'!$E$27),0,(C4201&gt;='Resultats - informe'!$D$28)*(C4201&lt;='Resultats - informe'!$E$28),0,(C4201&gt;='Resultats - informe'!$D$29)*(C4201&lt;='Resultats - informe'!$E$29),0,1,1)</f>
        <v>0</v>
      </c>
      <c r="N4201" s="366">
        <f>+VLOOKUP(D4201,'Resultats - informe'!$Y$18:$AG$42,'Introducció dades consum'!K4201+1,0)</f>
        <v>0</v>
      </c>
      <c r="O4201" s="370" cm="1">
        <f t="array" ref="O4201">+_xlfn.SWITCH(MONTH(C4201),1,1,2,1,3,1,4,2,5,2,6,3,7,3,8,3,9,3,10,2,11,2,12,1,2)</f>
        <v>1</v>
      </c>
      <c r="P4201" s="43"/>
    </row>
    <row r="4202" spans="1:16" ht="18" x14ac:dyDescent="0.35">
      <c r="A4202" s="43"/>
      <c r="C4202" s="393"/>
      <c r="E4202" s="394"/>
      <c r="F4202" s="394">
        <v>0</v>
      </c>
      <c r="G4202" s="394"/>
      <c r="H4202" s="8" t="s">
        <v>61</v>
      </c>
      <c r="I4202" s="368">
        <f t="shared" si="196"/>
        <v>0</v>
      </c>
      <c r="J4202" s="365">
        <f t="shared" si="195"/>
        <v>0</v>
      </c>
      <c r="K4202" s="369">
        <f t="shared" si="197"/>
        <v>6</v>
      </c>
      <c r="L4202" s="369">
        <f>+IF((C4202&gt;='Resultats - informe'!$E$16)*(C4202&lt;='Resultats - informe'!$G$16),1,0)</f>
        <v>1</v>
      </c>
      <c r="M4202" s="369" cm="1">
        <f t="array" ref="M4202">+_xlfn.IFS((C4202&gt;='Resultats - informe'!$D$26)*(C4202&lt;='Resultats - informe'!$E$26),0,(C4202&gt;='Resultats - informe'!$D$27)*(C4202&lt;='Resultats - informe'!$E$27),0,(C4202&gt;='Resultats - informe'!$D$28)*(C4202&lt;='Resultats - informe'!$E$28),0,(C4202&gt;='Resultats - informe'!$D$29)*(C4202&lt;='Resultats - informe'!$E$29),0,1,1)</f>
        <v>0</v>
      </c>
      <c r="N4202" s="366">
        <f>+VLOOKUP(D4202,'Resultats - informe'!$Y$18:$AG$42,'Introducció dades consum'!K4202+1,0)</f>
        <v>0</v>
      </c>
      <c r="O4202" s="370" cm="1">
        <f t="array" ref="O4202">+_xlfn.SWITCH(MONTH(C4202),1,1,2,1,3,1,4,2,5,2,6,3,7,3,8,3,9,3,10,2,11,2,12,1,2)</f>
        <v>1</v>
      </c>
      <c r="P4202" s="43"/>
    </row>
    <row r="4203" spans="1:16" ht="18" x14ac:dyDescent="0.35">
      <c r="A4203" s="43"/>
      <c r="C4203" s="393"/>
      <c r="E4203" s="394"/>
      <c r="F4203" s="394">
        <v>0</v>
      </c>
      <c r="G4203" s="394"/>
      <c r="H4203" s="8" t="s">
        <v>61</v>
      </c>
      <c r="I4203" s="368">
        <f t="shared" si="196"/>
        <v>0</v>
      </c>
      <c r="J4203" s="365">
        <f t="shared" si="195"/>
        <v>0</v>
      </c>
      <c r="K4203" s="369">
        <f t="shared" si="197"/>
        <v>6</v>
      </c>
      <c r="L4203" s="369">
        <f>+IF((C4203&gt;='Resultats - informe'!$E$16)*(C4203&lt;='Resultats - informe'!$G$16),1,0)</f>
        <v>1</v>
      </c>
      <c r="M4203" s="369" cm="1">
        <f t="array" ref="M4203">+_xlfn.IFS((C4203&gt;='Resultats - informe'!$D$26)*(C4203&lt;='Resultats - informe'!$E$26),0,(C4203&gt;='Resultats - informe'!$D$27)*(C4203&lt;='Resultats - informe'!$E$27),0,(C4203&gt;='Resultats - informe'!$D$28)*(C4203&lt;='Resultats - informe'!$E$28),0,(C4203&gt;='Resultats - informe'!$D$29)*(C4203&lt;='Resultats - informe'!$E$29),0,1,1)</f>
        <v>0</v>
      </c>
      <c r="N4203" s="366">
        <f>+VLOOKUP(D4203,'Resultats - informe'!$Y$18:$AG$42,'Introducció dades consum'!K4203+1,0)</f>
        <v>0</v>
      </c>
      <c r="O4203" s="370" cm="1">
        <f t="array" ref="O4203">+_xlfn.SWITCH(MONTH(C4203),1,1,2,1,3,1,4,2,5,2,6,3,7,3,8,3,9,3,10,2,11,2,12,1,2)</f>
        <v>1</v>
      </c>
      <c r="P4203" s="43"/>
    </row>
    <row r="4204" spans="1:16" ht="18" x14ac:dyDescent="0.35">
      <c r="A4204" s="43"/>
      <c r="C4204" s="393"/>
      <c r="E4204" s="394"/>
      <c r="F4204" s="394">
        <v>0</v>
      </c>
      <c r="G4204" s="394"/>
      <c r="H4204" s="8" t="s">
        <v>235</v>
      </c>
      <c r="I4204" s="368">
        <f t="shared" si="196"/>
        <v>0</v>
      </c>
      <c r="J4204" s="365">
        <f t="shared" si="195"/>
        <v>0</v>
      </c>
      <c r="K4204" s="369">
        <f t="shared" si="197"/>
        <v>6</v>
      </c>
      <c r="L4204" s="369">
        <f>+IF((C4204&gt;='Resultats - informe'!$E$16)*(C4204&lt;='Resultats - informe'!$G$16),1,0)</f>
        <v>1</v>
      </c>
      <c r="M4204" s="369" cm="1">
        <f t="array" ref="M4204">+_xlfn.IFS((C4204&gt;='Resultats - informe'!$D$26)*(C4204&lt;='Resultats - informe'!$E$26),0,(C4204&gt;='Resultats - informe'!$D$27)*(C4204&lt;='Resultats - informe'!$E$27),0,(C4204&gt;='Resultats - informe'!$D$28)*(C4204&lt;='Resultats - informe'!$E$28),0,(C4204&gt;='Resultats - informe'!$D$29)*(C4204&lt;='Resultats - informe'!$E$29),0,1,1)</f>
        <v>0</v>
      </c>
      <c r="N4204" s="366">
        <f>+VLOOKUP(D4204,'Resultats - informe'!$Y$18:$AG$42,'Introducció dades consum'!K4204+1,0)</f>
        <v>0</v>
      </c>
      <c r="O4204" s="370" cm="1">
        <f t="array" ref="O4204">+_xlfn.SWITCH(MONTH(C4204),1,1,2,1,3,1,4,2,5,2,6,3,7,3,8,3,9,3,10,2,11,2,12,1,2)</f>
        <v>1</v>
      </c>
      <c r="P4204" s="43"/>
    </row>
    <row r="4205" spans="1:16" ht="18" x14ac:dyDescent="0.35">
      <c r="A4205" s="43"/>
      <c r="C4205" s="393"/>
      <c r="E4205" s="394"/>
      <c r="F4205" s="394">
        <v>0</v>
      </c>
      <c r="G4205" s="394"/>
      <c r="H4205" s="8" t="s">
        <v>235</v>
      </c>
      <c r="I4205" s="368">
        <f t="shared" si="196"/>
        <v>0</v>
      </c>
      <c r="J4205" s="365">
        <f t="shared" si="195"/>
        <v>0</v>
      </c>
      <c r="K4205" s="369">
        <f t="shared" si="197"/>
        <v>6</v>
      </c>
      <c r="L4205" s="369">
        <f>+IF((C4205&gt;='Resultats - informe'!$E$16)*(C4205&lt;='Resultats - informe'!$G$16),1,0)</f>
        <v>1</v>
      </c>
      <c r="M4205" s="369" cm="1">
        <f t="array" ref="M4205">+_xlfn.IFS((C4205&gt;='Resultats - informe'!$D$26)*(C4205&lt;='Resultats - informe'!$E$26),0,(C4205&gt;='Resultats - informe'!$D$27)*(C4205&lt;='Resultats - informe'!$E$27),0,(C4205&gt;='Resultats - informe'!$D$28)*(C4205&lt;='Resultats - informe'!$E$28),0,(C4205&gt;='Resultats - informe'!$D$29)*(C4205&lt;='Resultats - informe'!$E$29),0,1,1)</f>
        <v>0</v>
      </c>
      <c r="N4205" s="366">
        <f>+VLOOKUP(D4205,'Resultats - informe'!$Y$18:$AG$42,'Introducció dades consum'!K4205+1,0)</f>
        <v>0</v>
      </c>
      <c r="O4205" s="370" cm="1">
        <f t="array" ref="O4205">+_xlfn.SWITCH(MONTH(C4205),1,1,2,1,3,1,4,2,5,2,6,3,7,3,8,3,9,3,10,2,11,2,12,1,2)</f>
        <v>1</v>
      </c>
      <c r="P4205" s="43"/>
    </row>
    <row r="4206" spans="1:16" ht="18" x14ac:dyDescent="0.35">
      <c r="A4206" s="43"/>
      <c r="C4206" s="393"/>
      <c r="E4206" s="394"/>
      <c r="F4206" s="394">
        <v>0</v>
      </c>
      <c r="G4206" s="394"/>
      <c r="H4206" s="8" t="s">
        <v>235</v>
      </c>
      <c r="I4206" s="368">
        <f t="shared" si="196"/>
        <v>0</v>
      </c>
      <c r="J4206" s="365">
        <f t="shared" si="195"/>
        <v>0</v>
      </c>
      <c r="K4206" s="369">
        <f t="shared" si="197"/>
        <v>6</v>
      </c>
      <c r="L4206" s="369">
        <f>+IF((C4206&gt;='Resultats - informe'!$E$16)*(C4206&lt;='Resultats - informe'!$G$16),1,0)</f>
        <v>1</v>
      </c>
      <c r="M4206" s="369" cm="1">
        <f t="array" ref="M4206">+_xlfn.IFS((C4206&gt;='Resultats - informe'!$D$26)*(C4206&lt;='Resultats - informe'!$E$26),0,(C4206&gt;='Resultats - informe'!$D$27)*(C4206&lt;='Resultats - informe'!$E$27),0,(C4206&gt;='Resultats - informe'!$D$28)*(C4206&lt;='Resultats - informe'!$E$28),0,(C4206&gt;='Resultats - informe'!$D$29)*(C4206&lt;='Resultats - informe'!$E$29),0,1,1)</f>
        <v>0</v>
      </c>
      <c r="N4206" s="366">
        <f>+VLOOKUP(D4206,'Resultats - informe'!$Y$18:$AG$42,'Introducció dades consum'!K4206+1,0)</f>
        <v>0</v>
      </c>
      <c r="O4206" s="370" cm="1">
        <f t="array" ref="O4206">+_xlfn.SWITCH(MONTH(C4206),1,1,2,1,3,1,4,2,5,2,6,3,7,3,8,3,9,3,10,2,11,2,12,1,2)</f>
        <v>1</v>
      </c>
      <c r="P4206" s="43"/>
    </row>
    <row r="4207" spans="1:16" ht="18" x14ac:dyDescent="0.35">
      <c r="A4207" s="43"/>
      <c r="C4207" s="393"/>
      <c r="E4207" s="394"/>
      <c r="F4207" s="394">
        <v>0</v>
      </c>
      <c r="G4207" s="394"/>
      <c r="H4207" s="8" t="s">
        <v>235</v>
      </c>
      <c r="I4207" s="368">
        <f t="shared" si="196"/>
        <v>0</v>
      </c>
      <c r="J4207" s="365">
        <f t="shared" si="195"/>
        <v>0</v>
      </c>
      <c r="K4207" s="369">
        <f t="shared" si="197"/>
        <v>6</v>
      </c>
      <c r="L4207" s="369">
        <f>+IF((C4207&gt;='Resultats - informe'!$E$16)*(C4207&lt;='Resultats - informe'!$G$16),1,0)</f>
        <v>1</v>
      </c>
      <c r="M4207" s="369" cm="1">
        <f t="array" ref="M4207">+_xlfn.IFS((C4207&gt;='Resultats - informe'!$D$26)*(C4207&lt;='Resultats - informe'!$E$26),0,(C4207&gt;='Resultats - informe'!$D$27)*(C4207&lt;='Resultats - informe'!$E$27),0,(C4207&gt;='Resultats - informe'!$D$28)*(C4207&lt;='Resultats - informe'!$E$28),0,(C4207&gt;='Resultats - informe'!$D$29)*(C4207&lt;='Resultats - informe'!$E$29),0,1,1)</f>
        <v>0</v>
      </c>
      <c r="N4207" s="366">
        <f>+VLOOKUP(D4207,'Resultats - informe'!$Y$18:$AG$42,'Introducció dades consum'!K4207+1,0)</f>
        <v>0</v>
      </c>
      <c r="O4207" s="370" cm="1">
        <f t="array" ref="O4207">+_xlfn.SWITCH(MONTH(C4207),1,1,2,1,3,1,4,2,5,2,6,3,7,3,8,3,9,3,10,2,11,2,12,1,2)</f>
        <v>1</v>
      </c>
      <c r="P4207" s="43"/>
    </row>
    <row r="4208" spans="1:16" ht="18" x14ac:dyDescent="0.35">
      <c r="A4208" s="43"/>
      <c r="C4208" s="393"/>
      <c r="E4208" s="394"/>
      <c r="F4208" s="394">
        <v>8.2000000000000003E-2</v>
      </c>
      <c r="G4208" s="394"/>
      <c r="H4208" s="8" t="s">
        <v>235</v>
      </c>
      <c r="I4208" s="368">
        <f t="shared" si="196"/>
        <v>0</v>
      </c>
      <c r="J4208" s="365">
        <f t="shared" si="195"/>
        <v>0</v>
      </c>
      <c r="K4208" s="369">
        <f t="shared" si="197"/>
        <v>6</v>
      </c>
      <c r="L4208" s="369">
        <f>+IF((C4208&gt;='Resultats - informe'!$E$16)*(C4208&lt;='Resultats - informe'!$G$16),1,0)</f>
        <v>1</v>
      </c>
      <c r="M4208" s="369" cm="1">
        <f t="array" ref="M4208">+_xlfn.IFS((C4208&gt;='Resultats - informe'!$D$26)*(C4208&lt;='Resultats - informe'!$E$26),0,(C4208&gt;='Resultats - informe'!$D$27)*(C4208&lt;='Resultats - informe'!$E$27),0,(C4208&gt;='Resultats - informe'!$D$28)*(C4208&lt;='Resultats - informe'!$E$28),0,(C4208&gt;='Resultats - informe'!$D$29)*(C4208&lt;='Resultats - informe'!$E$29),0,1,1)</f>
        <v>0</v>
      </c>
      <c r="N4208" s="366">
        <f>+VLOOKUP(D4208,'Resultats - informe'!$Y$18:$AG$42,'Introducció dades consum'!K4208+1,0)</f>
        <v>0</v>
      </c>
      <c r="O4208" s="370" cm="1">
        <f t="array" ref="O4208">+_xlfn.SWITCH(MONTH(C4208),1,1,2,1,3,1,4,2,5,2,6,3,7,3,8,3,9,3,10,2,11,2,12,1,2)</f>
        <v>1</v>
      </c>
      <c r="P4208" s="43"/>
    </row>
    <row r="4209" spans="1:16" ht="18" x14ac:dyDescent="0.35">
      <c r="A4209" s="43"/>
      <c r="C4209" s="393"/>
      <c r="E4209" s="394"/>
      <c r="F4209" s="394">
        <v>0</v>
      </c>
      <c r="G4209" s="394"/>
      <c r="H4209" s="8" t="s">
        <v>61</v>
      </c>
      <c r="I4209" s="368">
        <f t="shared" si="196"/>
        <v>0</v>
      </c>
      <c r="J4209" s="365">
        <f t="shared" si="195"/>
        <v>0</v>
      </c>
      <c r="K4209" s="369">
        <f t="shared" si="197"/>
        <v>6</v>
      </c>
      <c r="L4209" s="369">
        <f>+IF((C4209&gt;='Resultats - informe'!$E$16)*(C4209&lt;='Resultats - informe'!$G$16),1,0)</f>
        <v>1</v>
      </c>
      <c r="M4209" s="369" cm="1">
        <f t="array" ref="M4209">+_xlfn.IFS((C4209&gt;='Resultats - informe'!$D$26)*(C4209&lt;='Resultats - informe'!$E$26),0,(C4209&gt;='Resultats - informe'!$D$27)*(C4209&lt;='Resultats - informe'!$E$27),0,(C4209&gt;='Resultats - informe'!$D$28)*(C4209&lt;='Resultats - informe'!$E$28),0,(C4209&gt;='Resultats - informe'!$D$29)*(C4209&lt;='Resultats - informe'!$E$29),0,1,1)</f>
        <v>0</v>
      </c>
      <c r="N4209" s="366">
        <f>+VLOOKUP(D4209,'Resultats - informe'!$Y$18:$AG$42,'Introducció dades consum'!K4209+1,0)</f>
        <v>0</v>
      </c>
      <c r="O4209" s="370" cm="1">
        <f t="array" ref="O4209">+_xlfn.SWITCH(MONTH(C4209),1,1,2,1,3,1,4,2,5,2,6,3,7,3,8,3,9,3,10,2,11,2,12,1,2)</f>
        <v>1</v>
      </c>
      <c r="P4209" s="43"/>
    </row>
    <row r="4210" spans="1:16" ht="18" x14ac:dyDescent="0.35">
      <c r="A4210" s="43"/>
      <c r="C4210" s="393"/>
      <c r="E4210" s="394"/>
      <c r="F4210" s="394">
        <v>0</v>
      </c>
      <c r="G4210" s="394"/>
      <c r="H4210" s="8" t="s">
        <v>61</v>
      </c>
      <c r="I4210" s="368">
        <f t="shared" si="196"/>
        <v>0</v>
      </c>
      <c r="J4210" s="365">
        <f t="shared" si="195"/>
        <v>0</v>
      </c>
      <c r="K4210" s="369">
        <f t="shared" si="197"/>
        <v>6</v>
      </c>
      <c r="L4210" s="369">
        <f>+IF((C4210&gt;='Resultats - informe'!$E$16)*(C4210&lt;='Resultats - informe'!$G$16),1,0)</f>
        <v>1</v>
      </c>
      <c r="M4210" s="369" cm="1">
        <f t="array" ref="M4210">+_xlfn.IFS((C4210&gt;='Resultats - informe'!$D$26)*(C4210&lt;='Resultats - informe'!$E$26),0,(C4210&gt;='Resultats - informe'!$D$27)*(C4210&lt;='Resultats - informe'!$E$27),0,(C4210&gt;='Resultats - informe'!$D$28)*(C4210&lt;='Resultats - informe'!$E$28),0,(C4210&gt;='Resultats - informe'!$D$29)*(C4210&lt;='Resultats - informe'!$E$29),0,1,1)</f>
        <v>0</v>
      </c>
      <c r="N4210" s="366">
        <f>+VLOOKUP(D4210,'Resultats - informe'!$Y$18:$AG$42,'Introducció dades consum'!K4210+1,0)</f>
        <v>0</v>
      </c>
      <c r="O4210" s="370" cm="1">
        <f t="array" ref="O4210">+_xlfn.SWITCH(MONTH(C4210),1,1,2,1,3,1,4,2,5,2,6,3,7,3,8,3,9,3,10,2,11,2,12,1,2)</f>
        <v>1</v>
      </c>
      <c r="P4210" s="43"/>
    </row>
    <row r="4211" spans="1:16" ht="18" x14ac:dyDescent="0.35">
      <c r="A4211" s="43"/>
      <c r="C4211" s="393"/>
      <c r="E4211" s="394"/>
      <c r="F4211" s="394">
        <v>0</v>
      </c>
      <c r="G4211" s="394"/>
      <c r="H4211" s="8" t="s">
        <v>61</v>
      </c>
      <c r="I4211" s="368">
        <f t="shared" si="196"/>
        <v>0</v>
      </c>
      <c r="J4211" s="365">
        <f t="shared" si="195"/>
        <v>0</v>
      </c>
      <c r="K4211" s="369">
        <f t="shared" si="197"/>
        <v>6</v>
      </c>
      <c r="L4211" s="369">
        <f>+IF((C4211&gt;='Resultats - informe'!$E$16)*(C4211&lt;='Resultats - informe'!$G$16),1,0)</f>
        <v>1</v>
      </c>
      <c r="M4211" s="369" cm="1">
        <f t="array" ref="M4211">+_xlfn.IFS((C4211&gt;='Resultats - informe'!$D$26)*(C4211&lt;='Resultats - informe'!$E$26),0,(C4211&gt;='Resultats - informe'!$D$27)*(C4211&lt;='Resultats - informe'!$E$27),0,(C4211&gt;='Resultats - informe'!$D$28)*(C4211&lt;='Resultats - informe'!$E$28),0,(C4211&gt;='Resultats - informe'!$D$29)*(C4211&lt;='Resultats - informe'!$E$29),0,1,1)</f>
        <v>0</v>
      </c>
      <c r="N4211" s="366">
        <f>+VLOOKUP(D4211,'Resultats - informe'!$Y$18:$AG$42,'Introducció dades consum'!K4211+1,0)</f>
        <v>0</v>
      </c>
      <c r="O4211" s="370" cm="1">
        <f t="array" ref="O4211">+_xlfn.SWITCH(MONTH(C4211),1,1,2,1,3,1,4,2,5,2,6,3,7,3,8,3,9,3,10,2,11,2,12,1,2)</f>
        <v>1</v>
      </c>
      <c r="P4211" s="43"/>
    </row>
    <row r="4212" spans="1:16" ht="18" x14ac:dyDescent="0.35">
      <c r="A4212" s="43"/>
      <c r="C4212" s="393"/>
      <c r="E4212" s="394"/>
      <c r="F4212" s="394">
        <v>0</v>
      </c>
      <c r="G4212" s="394"/>
      <c r="H4212" s="8" t="s">
        <v>61</v>
      </c>
      <c r="I4212" s="368">
        <f t="shared" si="196"/>
        <v>0</v>
      </c>
      <c r="J4212" s="365">
        <f t="shared" si="195"/>
        <v>0</v>
      </c>
      <c r="K4212" s="369">
        <f t="shared" si="197"/>
        <v>6</v>
      </c>
      <c r="L4212" s="369">
        <f>+IF((C4212&gt;='Resultats - informe'!$E$16)*(C4212&lt;='Resultats - informe'!$G$16),1,0)</f>
        <v>1</v>
      </c>
      <c r="M4212" s="369" cm="1">
        <f t="array" ref="M4212">+_xlfn.IFS((C4212&gt;='Resultats - informe'!$D$26)*(C4212&lt;='Resultats - informe'!$E$26),0,(C4212&gt;='Resultats - informe'!$D$27)*(C4212&lt;='Resultats - informe'!$E$27),0,(C4212&gt;='Resultats - informe'!$D$28)*(C4212&lt;='Resultats - informe'!$E$28),0,(C4212&gt;='Resultats - informe'!$D$29)*(C4212&lt;='Resultats - informe'!$E$29),0,1,1)</f>
        <v>0</v>
      </c>
      <c r="N4212" s="366">
        <f>+VLOOKUP(D4212,'Resultats - informe'!$Y$18:$AG$42,'Introducció dades consum'!K4212+1,0)</f>
        <v>0</v>
      </c>
      <c r="O4212" s="370" cm="1">
        <f t="array" ref="O4212">+_xlfn.SWITCH(MONTH(C4212),1,1,2,1,3,1,4,2,5,2,6,3,7,3,8,3,9,3,10,2,11,2,12,1,2)</f>
        <v>1</v>
      </c>
      <c r="P4212" s="43"/>
    </row>
    <row r="4213" spans="1:16" ht="18" x14ac:dyDescent="0.35">
      <c r="A4213" s="43"/>
      <c r="C4213" s="393"/>
      <c r="E4213" s="394"/>
      <c r="F4213" s="394">
        <v>1.331</v>
      </c>
      <c r="G4213" s="394"/>
      <c r="H4213" s="8" t="s">
        <v>61</v>
      </c>
      <c r="I4213" s="368">
        <f t="shared" si="196"/>
        <v>0</v>
      </c>
      <c r="J4213" s="365">
        <f t="shared" si="195"/>
        <v>0</v>
      </c>
      <c r="K4213" s="369">
        <f t="shared" si="197"/>
        <v>6</v>
      </c>
      <c r="L4213" s="369">
        <f>+IF((C4213&gt;='Resultats - informe'!$E$16)*(C4213&lt;='Resultats - informe'!$G$16),1,0)</f>
        <v>1</v>
      </c>
      <c r="M4213" s="369" cm="1">
        <f t="array" ref="M4213">+_xlfn.IFS((C4213&gt;='Resultats - informe'!$D$26)*(C4213&lt;='Resultats - informe'!$E$26),0,(C4213&gt;='Resultats - informe'!$D$27)*(C4213&lt;='Resultats - informe'!$E$27),0,(C4213&gt;='Resultats - informe'!$D$28)*(C4213&lt;='Resultats - informe'!$E$28),0,(C4213&gt;='Resultats - informe'!$D$29)*(C4213&lt;='Resultats - informe'!$E$29),0,1,1)</f>
        <v>0</v>
      </c>
      <c r="N4213" s="366">
        <f>+VLOOKUP(D4213,'Resultats - informe'!$Y$18:$AG$42,'Introducció dades consum'!K4213+1,0)</f>
        <v>0</v>
      </c>
      <c r="O4213" s="370" cm="1">
        <f t="array" ref="O4213">+_xlfn.SWITCH(MONTH(C4213),1,1,2,1,3,1,4,2,5,2,6,3,7,3,8,3,9,3,10,2,11,2,12,1,2)</f>
        <v>1</v>
      </c>
      <c r="P4213" s="43"/>
    </row>
    <row r="4214" spans="1:16" ht="18" x14ac:dyDescent="0.35">
      <c r="A4214" s="43"/>
      <c r="C4214" s="393"/>
      <c r="E4214" s="394"/>
      <c r="F4214" s="394">
        <v>3.3919999999999999</v>
      </c>
      <c r="G4214" s="394"/>
      <c r="H4214" s="8" t="s">
        <v>61</v>
      </c>
      <c r="I4214" s="368">
        <f t="shared" si="196"/>
        <v>0</v>
      </c>
      <c r="J4214" s="365">
        <f t="shared" si="195"/>
        <v>0</v>
      </c>
      <c r="K4214" s="369">
        <f t="shared" si="197"/>
        <v>6</v>
      </c>
      <c r="L4214" s="369">
        <f>+IF((C4214&gt;='Resultats - informe'!$E$16)*(C4214&lt;='Resultats - informe'!$G$16),1,0)</f>
        <v>1</v>
      </c>
      <c r="M4214" s="369" cm="1">
        <f t="array" ref="M4214">+_xlfn.IFS((C4214&gt;='Resultats - informe'!$D$26)*(C4214&lt;='Resultats - informe'!$E$26),0,(C4214&gt;='Resultats - informe'!$D$27)*(C4214&lt;='Resultats - informe'!$E$27),0,(C4214&gt;='Resultats - informe'!$D$28)*(C4214&lt;='Resultats - informe'!$E$28),0,(C4214&gt;='Resultats - informe'!$D$29)*(C4214&lt;='Resultats - informe'!$E$29),0,1,1)</f>
        <v>0</v>
      </c>
      <c r="N4214" s="366">
        <f>+VLOOKUP(D4214,'Resultats - informe'!$Y$18:$AG$42,'Introducció dades consum'!K4214+1,0)</f>
        <v>0</v>
      </c>
      <c r="O4214" s="370" cm="1">
        <f t="array" ref="O4214">+_xlfn.SWITCH(MONTH(C4214),1,1,2,1,3,1,4,2,5,2,6,3,7,3,8,3,9,3,10,2,11,2,12,1,2)</f>
        <v>1</v>
      </c>
      <c r="P4214" s="43"/>
    </row>
    <row r="4215" spans="1:16" ht="18" x14ac:dyDescent="0.35">
      <c r="A4215" s="43"/>
      <c r="C4215" s="393"/>
      <c r="E4215" s="394"/>
      <c r="F4215" s="394">
        <v>4.7300000000000004</v>
      </c>
      <c r="G4215" s="394"/>
      <c r="H4215" s="8" t="s">
        <v>61</v>
      </c>
      <c r="I4215" s="368">
        <f t="shared" si="196"/>
        <v>0</v>
      </c>
      <c r="J4215" s="365">
        <f t="shared" si="195"/>
        <v>0</v>
      </c>
      <c r="K4215" s="369">
        <f t="shared" si="197"/>
        <v>6</v>
      </c>
      <c r="L4215" s="369">
        <f>+IF((C4215&gt;='Resultats - informe'!$E$16)*(C4215&lt;='Resultats - informe'!$G$16),1,0)</f>
        <v>1</v>
      </c>
      <c r="M4215" s="369" cm="1">
        <f t="array" ref="M4215">+_xlfn.IFS((C4215&gt;='Resultats - informe'!$D$26)*(C4215&lt;='Resultats - informe'!$E$26),0,(C4215&gt;='Resultats - informe'!$D$27)*(C4215&lt;='Resultats - informe'!$E$27),0,(C4215&gt;='Resultats - informe'!$D$28)*(C4215&lt;='Resultats - informe'!$E$28),0,(C4215&gt;='Resultats - informe'!$D$29)*(C4215&lt;='Resultats - informe'!$E$29),0,1,1)</f>
        <v>0</v>
      </c>
      <c r="N4215" s="366">
        <f>+VLOOKUP(D4215,'Resultats - informe'!$Y$18:$AG$42,'Introducció dades consum'!K4215+1,0)</f>
        <v>0</v>
      </c>
      <c r="O4215" s="370" cm="1">
        <f t="array" ref="O4215">+_xlfn.SWITCH(MONTH(C4215),1,1,2,1,3,1,4,2,5,2,6,3,7,3,8,3,9,3,10,2,11,2,12,1,2)</f>
        <v>1</v>
      </c>
      <c r="P4215" s="43"/>
    </row>
    <row r="4216" spans="1:16" ht="18" x14ac:dyDescent="0.35">
      <c r="A4216" s="43"/>
      <c r="C4216" s="393"/>
      <c r="E4216" s="394"/>
      <c r="F4216" s="394">
        <v>5.726</v>
      </c>
      <c r="G4216" s="394"/>
      <c r="H4216" s="8" t="s">
        <v>61</v>
      </c>
      <c r="I4216" s="368">
        <f t="shared" si="196"/>
        <v>0</v>
      </c>
      <c r="J4216" s="365">
        <f t="shared" si="195"/>
        <v>0</v>
      </c>
      <c r="K4216" s="369">
        <f t="shared" si="197"/>
        <v>6</v>
      </c>
      <c r="L4216" s="369">
        <f>+IF((C4216&gt;='Resultats - informe'!$E$16)*(C4216&lt;='Resultats - informe'!$G$16),1,0)</f>
        <v>1</v>
      </c>
      <c r="M4216" s="369" cm="1">
        <f t="array" ref="M4216">+_xlfn.IFS((C4216&gt;='Resultats - informe'!$D$26)*(C4216&lt;='Resultats - informe'!$E$26),0,(C4216&gt;='Resultats - informe'!$D$27)*(C4216&lt;='Resultats - informe'!$E$27),0,(C4216&gt;='Resultats - informe'!$D$28)*(C4216&lt;='Resultats - informe'!$E$28),0,(C4216&gt;='Resultats - informe'!$D$29)*(C4216&lt;='Resultats - informe'!$E$29),0,1,1)</f>
        <v>0</v>
      </c>
      <c r="N4216" s="366">
        <f>+VLOOKUP(D4216,'Resultats - informe'!$Y$18:$AG$42,'Introducció dades consum'!K4216+1,0)</f>
        <v>0</v>
      </c>
      <c r="O4216" s="370" cm="1">
        <f t="array" ref="O4216">+_xlfn.SWITCH(MONTH(C4216),1,1,2,1,3,1,4,2,5,2,6,3,7,3,8,3,9,3,10,2,11,2,12,1,2)</f>
        <v>1</v>
      </c>
      <c r="P4216" s="43"/>
    </row>
    <row r="4217" spans="1:16" ht="18" x14ac:dyDescent="0.35">
      <c r="A4217" s="43"/>
      <c r="C4217" s="393"/>
      <c r="E4217" s="394"/>
      <c r="F4217" s="394">
        <v>6.1340000000000003</v>
      </c>
      <c r="G4217" s="394"/>
      <c r="H4217" s="8" t="s">
        <v>61</v>
      </c>
      <c r="I4217" s="368">
        <f t="shared" si="196"/>
        <v>0</v>
      </c>
      <c r="J4217" s="365">
        <f t="shared" si="195"/>
        <v>0</v>
      </c>
      <c r="K4217" s="369">
        <f t="shared" si="197"/>
        <v>6</v>
      </c>
      <c r="L4217" s="369">
        <f>+IF((C4217&gt;='Resultats - informe'!$E$16)*(C4217&lt;='Resultats - informe'!$G$16),1,0)</f>
        <v>1</v>
      </c>
      <c r="M4217" s="369" cm="1">
        <f t="array" ref="M4217">+_xlfn.IFS((C4217&gt;='Resultats - informe'!$D$26)*(C4217&lt;='Resultats - informe'!$E$26),0,(C4217&gt;='Resultats - informe'!$D$27)*(C4217&lt;='Resultats - informe'!$E$27),0,(C4217&gt;='Resultats - informe'!$D$28)*(C4217&lt;='Resultats - informe'!$E$28),0,(C4217&gt;='Resultats - informe'!$D$29)*(C4217&lt;='Resultats - informe'!$E$29),0,1,1)</f>
        <v>0</v>
      </c>
      <c r="N4217" s="366">
        <f>+VLOOKUP(D4217,'Resultats - informe'!$Y$18:$AG$42,'Introducció dades consum'!K4217+1,0)</f>
        <v>0</v>
      </c>
      <c r="O4217" s="370" cm="1">
        <f t="array" ref="O4217">+_xlfn.SWITCH(MONTH(C4217),1,1,2,1,3,1,4,2,5,2,6,3,7,3,8,3,9,3,10,2,11,2,12,1,2)</f>
        <v>1</v>
      </c>
      <c r="P4217" s="43"/>
    </row>
    <row r="4218" spans="1:16" ht="18" x14ac:dyDescent="0.35">
      <c r="A4218" s="43"/>
      <c r="C4218" s="393"/>
      <c r="E4218" s="394"/>
      <c r="F4218" s="394">
        <v>6.1749999999999998</v>
      </c>
      <c r="G4218" s="394"/>
      <c r="H4218" s="8" t="s">
        <v>61</v>
      </c>
      <c r="I4218" s="368">
        <f t="shared" si="196"/>
        <v>0</v>
      </c>
      <c r="J4218" s="365">
        <f t="shared" si="195"/>
        <v>0</v>
      </c>
      <c r="K4218" s="369">
        <f t="shared" si="197"/>
        <v>6</v>
      </c>
      <c r="L4218" s="369">
        <f>+IF((C4218&gt;='Resultats - informe'!$E$16)*(C4218&lt;='Resultats - informe'!$G$16),1,0)</f>
        <v>1</v>
      </c>
      <c r="M4218" s="369" cm="1">
        <f t="array" ref="M4218">+_xlfn.IFS((C4218&gt;='Resultats - informe'!$D$26)*(C4218&lt;='Resultats - informe'!$E$26),0,(C4218&gt;='Resultats - informe'!$D$27)*(C4218&lt;='Resultats - informe'!$E$27),0,(C4218&gt;='Resultats - informe'!$D$28)*(C4218&lt;='Resultats - informe'!$E$28),0,(C4218&gt;='Resultats - informe'!$D$29)*(C4218&lt;='Resultats - informe'!$E$29),0,1,1)</f>
        <v>0</v>
      </c>
      <c r="N4218" s="366">
        <f>+VLOOKUP(D4218,'Resultats - informe'!$Y$18:$AG$42,'Introducció dades consum'!K4218+1,0)</f>
        <v>0</v>
      </c>
      <c r="O4218" s="370" cm="1">
        <f t="array" ref="O4218">+_xlfn.SWITCH(MONTH(C4218),1,1,2,1,3,1,4,2,5,2,6,3,7,3,8,3,9,3,10,2,11,2,12,1,2)</f>
        <v>1</v>
      </c>
      <c r="P4218" s="43"/>
    </row>
    <row r="4219" spans="1:16" ht="18" x14ac:dyDescent="0.35">
      <c r="A4219" s="43"/>
      <c r="C4219" s="393"/>
      <c r="E4219" s="394"/>
      <c r="F4219" s="394">
        <v>4.3109999999999999</v>
      </c>
      <c r="G4219" s="394"/>
      <c r="H4219" s="8" t="s">
        <v>61</v>
      </c>
      <c r="I4219" s="368">
        <f t="shared" si="196"/>
        <v>0</v>
      </c>
      <c r="J4219" s="365">
        <f t="shared" ref="J4219:J4282" si="198">+C4219</f>
        <v>0</v>
      </c>
      <c r="K4219" s="369">
        <f t="shared" si="197"/>
        <v>6</v>
      </c>
      <c r="L4219" s="369">
        <f>+IF((C4219&gt;='Resultats - informe'!$E$16)*(C4219&lt;='Resultats - informe'!$G$16),1,0)</f>
        <v>1</v>
      </c>
      <c r="M4219" s="369" cm="1">
        <f t="array" ref="M4219">+_xlfn.IFS((C4219&gt;='Resultats - informe'!$D$26)*(C4219&lt;='Resultats - informe'!$E$26),0,(C4219&gt;='Resultats - informe'!$D$27)*(C4219&lt;='Resultats - informe'!$E$27),0,(C4219&gt;='Resultats - informe'!$D$28)*(C4219&lt;='Resultats - informe'!$E$28),0,(C4219&gt;='Resultats - informe'!$D$29)*(C4219&lt;='Resultats - informe'!$E$29),0,1,1)</f>
        <v>0</v>
      </c>
      <c r="N4219" s="366">
        <f>+VLOOKUP(D4219,'Resultats - informe'!$Y$18:$AG$42,'Introducció dades consum'!K4219+1,0)</f>
        <v>0</v>
      </c>
      <c r="O4219" s="370" cm="1">
        <f t="array" ref="O4219">+_xlfn.SWITCH(MONTH(C4219),1,1,2,1,3,1,4,2,5,2,6,3,7,3,8,3,9,3,10,2,11,2,12,1,2)</f>
        <v>1</v>
      </c>
      <c r="P4219" s="43"/>
    </row>
    <row r="4220" spans="1:16" ht="18" x14ac:dyDescent="0.35">
      <c r="A4220" s="43"/>
      <c r="C4220" s="393"/>
      <c r="E4220" s="394"/>
      <c r="F4220" s="394">
        <v>3.0030000000000001</v>
      </c>
      <c r="G4220" s="394"/>
      <c r="H4220" s="8" t="s">
        <v>61</v>
      </c>
      <c r="I4220" s="368">
        <f t="shared" si="196"/>
        <v>0</v>
      </c>
      <c r="J4220" s="365">
        <f t="shared" si="198"/>
        <v>0</v>
      </c>
      <c r="K4220" s="369">
        <f t="shared" si="197"/>
        <v>6</v>
      </c>
      <c r="L4220" s="369">
        <f>+IF((C4220&gt;='Resultats - informe'!$E$16)*(C4220&lt;='Resultats - informe'!$G$16),1,0)</f>
        <v>1</v>
      </c>
      <c r="M4220" s="369" cm="1">
        <f t="array" ref="M4220">+_xlfn.IFS((C4220&gt;='Resultats - informe'!$D$26)*(C4220&lt;='Resultats - informe'!$E$26),0,(C4220&gt;='Resultats - informe'!$D$27)*(C4220&lt;='Resultats - informe'!$E$27),0,(C4220&gt;='Resultats - informe'!$D$28)*(C4220&lt;='Resultats - informe'!$E$28),0,(C4220&gt;='Resultats - informe'!$D$29)*(C4220&lt;='Resultats - informe'!$E$29),0,1,1)</f>
        <v>0</v>
      </c>
      <c r="N4220" s="366">
        <f>+VLOOKUP(D4220,'Resultats - informe'!$Y$18:$AG$42,'Introducció dades consum'!K4220+1,0)</f>
        <v>0</v>
      </c>
      <c r="O4220" s="370" cm="1">
        <f t="array" ref="O4220">+_xlfn.SWITCH(MONTH(C4220),1,1,2,1,3,1,4,2,5,2,6,3,7,3,8,3,9,3,10,2,11,2,12,1,2)</f>
        <v>1</v>
      </c>
      <c r="P4220" s="43"/>
    </row>
    <row r="4221" spans="1:16" ht="18" x14ac:dyDescent="0.35">
      <c r="A4221" s="43"/>
      <c r="C4221" s="393"/>
      <c r="E4221" s="394"/>
      <c r="F4221" s="394">
        <v>0.52600000000000002</v>
      </c>
      <c r="G4221" s="394"/>
      <c r="H4221" s="8" t="s">
        <v>235</v>
      </c>
      <c r="I4221" s="368">
        <f t="shared" si="196"/>
        <v>0</v>
      </c>
      <c r="J4221" s="365">
        <f t="shared" si="198"/>
        <v>0</v>
      </c>
      <c r="K4221" s="369">
        <f t="shared" si="197"/>
        <v>6</v>
      </c>
      <c r="L4221" s="369">
        <f>+IF((C4221&gt;='Resultats - informe'!$E$16)*(C4221&lt;='Resultats - informe'!$G$16),1,0)</f>
        <v>1</v>
      </c>
      <c r="M4221" s="369" cm="1">
        <f t="array" ref="M4221">+_xlfn.IFS((C4221&gt;='Resultats - informe'!$D$26)*(C4221&lt;='Resultats - informe'!$E$26),0,(C4221&gt;='Resultats - informe'!$D$27)*(C4221&lt;='Resultats - informe'!$E$27),0,(C4221&gt;='Resultats - informe'!$D$28)*(C4221&lt;='Resultats - informe'!$E$28),0,(C4221&gt;='Resultats - informe'!$D$29)*(C4221&lt;='Resultats - informe'!$E$29),0,1,1)</f>
        <v>0</v>
      </c>
      <c r="N4221" s="366">
        <f>+VLOOKUP(D4221,'Resultats - informe'!$Y$18:$AG$42,'Introducció dades consum'!K4221+1,0)</f>
        <v>0</v>
      </c>
      <c r="O4221" s="370" cm="1">
        <f t="array" ref="O4221">+_xlfn.SWITCH(MONTH(C4221),1,1,2,1,3,1,4,2,5,2,6,3,7,3,8,3,9,3,10,2,11,2,12,1,2)</f>
        <v>1</v>
      </c>
      <c r="P4221" s="43"/>
    </row>
    <row r="4222" spans="1:16" ht="18" x14ac:dyDescent="0.35">
      <c r="A4222" s="43"/>
      <c r="C4222" s="393"/>
      <c r="E4222" s="394"/>
      <c r="F4222" s="394">
        <v>0</v>
      </c>
      <c r="G4222" s="394"/>
      <c r="H4222" s="8" t="s">
        <v>235</v>
      </c>
      <c r="I4222" s="368">
        <f t="shared" si="196"/>
        <v>0</v>
      </c>
      <c r="J4222" s="365">
        <f t="shared" si="198"/>
        <v>0</v>
      </c>
      <c r="K4222" s="369">
        <f t="shared" si="197"/>
        <v>6</v>
      </c>
      <c r="L4222" s="369">
        <f>+IF((C4222&gt;='Resultats - informe'!$E$16)*(C4222&lt;='Resultats - informe'!$G$16),1,0)</f>
        <v>1</v>
      </c>
      <c r="M4222" s="369" cm="1">
        <f t="array" ref="M4222">+_xlfn.IFS((C4222&gt;='Resultats - informe'!$D$26)*(C4222&lt;='Resultats - informe'!$E$26),0,(C4222&gt;='Resultats - informe'!$D$27)*(C4222&lt;='Resultats - informe'!$E$27),0,(C4222&gt;='Resultats - informe'!$D$28)*(C4222&lt;='Resultats - informe'!$E$28),0,(C4222&gt;='Resultats - informe'!$D$29)*(C4222&lt;='Resultats - informe'!$E$29),0,1,1)</f>
        <v>0</v>
      </c>
      <c r="N4222" s="366">
        <f>+VLOOKUP(D4222,'Resultats - informe'!$Y$18:$AG$42,'Introducció dades consum'!K4222+1,0)</f>
        <v>0</v>
      </c>
      <c r="O4222" s="370" cm="1">
        <f t="array" ref="O4222">+_xlfn.SWITCH(MONTH(C4222),1,1,2,1,3,1,4,2,5,2,6,3,7,3,8,3,9,3,10,2,11,2,12,1,2)</f>
        <v>1</v>
      </c>
      <c r="P4222" s="43"/>
    </row>
    <row r="4223" spans="1:16" ht="18" x14ac:dyDescent="0.35">
      <c r="A4223" s="43"/>
      <c r="C4223" s="393"/>
      <c r="E4223" s="394"/>
      <c r="F4223" s="394">
        <v>0</v>
      </c>
      <c r="G4223" s="394"/>
      <c r="H4223" s="8" t="s">
        <v>235</v>
      </c>
      <c r="I4223" s="368">
        <f t="shared" si="196"/>
        <v>0</v>
      </c>
      <c r="J4223" s="365">
        <f t="shared" si="198"/>
        <v>0</v>
      </c>
      <c r="K4223" s="369">
        <f t="shared" si="197"/>
        <v>6</v>
      </c>
      <c r="L4223" s="369">
        <f>+IF((C4223&gt;='Resultats - informe'!$E$16)*(C4223&lt;='Resultats - informe'!$G$16),1,0)</f>
        <v>1</v>
      </c>
      <c r="M4223" s="369" cm="1">
        <f t="array" ref="M4223">+_xlfn.IFS((C4223&gt;='Resultats - informe'!$D$26)*(C4223&lt;='Resultats - informe'!$E$26),0,(C4223&gt;='Resultats - informe'!$D$27)*(C4223&lt;='Resultats - informe'!$E$27),0,(C4223&gt;='Resultats - informe'!$D$28)*(C4223&lt;='Resultats - informe'!$E$28),0,(C4223&gt;='Resultats - informe'!$D$29)*(C4223&lt;='Resultats - informe'!$E$29),0,1,1)</f>
        <v>0</v>
      </c>
      <c r="N4223" s="366">
        <f>+VLOOKUP(D4223,'Resultats - informe'!$Y$18:$AG$42,'Introducció dades consum'!K4223+1,0)</f>
        <v>0</v>
      </c>
      <c r="O4223" s="370" cm="1">
        <f t="array" ref="O4223">+_xlfn.SWITCH(MONTH(C4223),1,1,2,1,3,1,4,2,5,2,6,3,7,3,8,3,9,3,10,2,11,2,12,1,2)</f>
        <v>1</v>
      </c>
      <c r="P4223" s="43"/>
    </row>
    <row r="4224" spans="1:16" ht="18" x14ac:dyDescent="0.35">
      <c r="A4224" s="43"/>
      <c r="C4224" s="393"/>
      <c r="E4224" s="394"/>
      <c r="F4224" s="394">
        <v>0</v>
      </c>
      <c r="G4224" s="394"/>
      <c r="H4224" s="8" t="s">
        <v>235</v>
      </c>
      <c r="I4224" s="368">
        <f t="shared" si="196"/>
        <v>0</v>
      </c>
      <c r="J4224" s="365">
        <f t="shared" si="198"/>
        <v>0</v>
      </c>
      <c r="K4224" s="369">
        <f t="shared" si="197"/>
        <v>6</v>
      </c>
      <c r="L4224" s="369">
        <f>+IF((C4224&gt;='Resultats - informe'!$E$16)*(C4224&lt;='Resultats - informe'!$G$16),1,0)</f>
        <v>1</v>
      </c>
      <c r="M4224" s="369" cm="1">
        <f t="array" ref="M4224">+_xlfn.IFS((C4224&gt;='Resultats - informe'!$D$26)*(C4224&lt;='Resultats - informe'!$E$26),0,(C4224&gt;='Resultats - informe'!$D$27)*(C4224&lt;='Resultats - informe'!$E$27),0,(C4224&gt;='Resultats - informe'!$D$28)*(C4224&lt;='Resultats - informe'!$E$28),0,(C4224&gt;='Resultats - informe'!$D$29)*(C4224&lt;='Resultats - informe'!$E$29),0,1,1)</f>
        <v>0</v>
      </c>
      <c r="N4224" s="366">
        <f>+VLOOKUP(D4224,'Resultats - informe'!$Y$18:$AG$42,'Introducció dades consum'!K4224+1,0)</f>
        <v>0</v>
      </c>
      <c r="O4224" s="370" cm="1">
        <f t="array" ref="O4224">+_xlfn.SWITCH(MONTH(C4224),1,1,2,1,3,1,4,2,5,2,6,3,7,3,8,3,9,3,10,2,11,2,12,1,2)</f>
        <v>1</v>
      </c>
      <c r="P4224" s="43"/>
    </row>
    <row r="4225" spans="1:16" ht="18" x14ac:dyDescent="0.35">
      <c r="A4225" s="43"/>
      <c r="C4225" s="393"/>
      <c r="E4225" s="394"/>
      <c r="F4225" s="394">
        <v>0</v>
      </c>
      <c r="G4225" s="394"/>
      <c r="H4225" s="8" t="s">
        <v>235</v>
      </c>
      <c r="I4225" s="368">
        <f t="shared" si="196"/>
        <v>0</v>
      </c>
      <c r="J4225" s="365">
        <f t="shared" si="198"/>
        <v>0</v>
      </c>
      <c r="K4225" s="369">
        <f t="shared" si="197"/>
        <v>6</v>
      </c>
      <c r="L4225" s="369">
        <f>+IF((C4225&gt;='Resultats - informe'!$E$16)*(C4225&lt;='Resultats - informe'!$G$16),1,0)</f>
        <v>1</v>
      </c>
      <c r="M4225" s="369" cm="1">
        <f t="array" ref="M4225">+_xlfn.IFS((C4225&gt;='Resultats - informe'!$D$26)*(C4225&lt;='Resultats - informe'!$E$26),0,(C4225&gt;='Resultats - informe'!$D$27)*(C4225&lt;='Resultats - informe'!$E$27),0,(C4225&gt;='Resultats - informe'!$D$28)*(C4225&lt;='Resultats - informe'!$E$28),0,(C4225&gt;='Resultats - informe'!$D$29)*(C4225&lt;='Resultats - informe'!$E$29),0,1,1)</f>
        <v>0</v>
      </c>
      <c r="N4225" s="366">
        <f>+VLOOKUP(D4225,'Resultats - informe'!$Y$18:$AG$42,'Introducció dades consum'!K4225+1,0)</f>
        <v>0</v>
      </c>
      <c r="O4225" s="370" cm="1">
        <f t="array" ref="O4225">+_xlfn.SWITCH(MONTH(C4225),1,1,2,1,3,1,4,2,5,2,6,3,7,3,8,3,9,3,10,2,11,2,12,1,2)</f>
        <v>1</v>
      </c>
      <c r="P4225" s="43"/>
    </row>
    <row r="4226" spans="1:16" ht="18" x14ac:dyDescent="0.35">
      <c r="A4226" s="43"/>
      <c r="C4226" s="393"/>
      <c r="E4226" s="394"/>
      <c r="F4226" s="394">
        <v>0</v>
      </c>
      <c r="G4226" s="394"/>
      <c r="H4226" s="8" t="s">
        <v>235</v>
      </c>
      <c r="I4226" s="368">
        <f t="shared" si="196"/>
        <v>0</v>
      </c>
      <c r="J4226" s="365">
        <f t="shared" si="198"/>
        <v>0</v>
      </c>
      <c r="K4226" s="369">
        <f t="shared" si="197"/>
        <v>6</v>
      </c>
      <c r="L4226" s="369">
        <f>+IF((C4226&gt;='Resultats - informe'!$E$16)*(C4226&lt;='Resultats - informe'!$G$16),1,0)</f>
        <v>1</v>
      </c>
      <c r="M4226" s="369" cm="1">
        <f t="array" ref="M4226">+_xlfn.IFS((C4226&gt;='Resultats - informe'!$D$26)*(C4226&lt;='Resultats - informe'!$E$26),0,(C4226&gt;='Resultats - informe'!$D$27)*(C4226&lt;='Resultats - informe'!$E$27),0,(C4226&gt;='Resultats - informe'!$D$28)*(C4226&lt;='Resultats - informe'!$E$28),0,(C4226&gt;='Resultats - informe'!$D$29)*(C4226&lt;='Resultats - informe'!$E$29),0,1,1)</f>
        <v>0</v>
      </c>
      <c r="N4226" s="366">
        <f>+VLOOKUP(D4226,'Resultats - informe'!$Y$18:$AG$42,'Introducció dades consum'!K4226+1,0)</f>
        <v>0</v>
      </c>
      <c r="O4226" s="370" cm="1">
        <f t="array" ref="O4226">+_xlfn.SWITCH(MONTH(C4226),1,1,2,1,3,1,4,2,5,2,6,3,7,3,8,3,9,3,10,2,11,2,12,1,2)</f>
        <v>1</v>
      </c>
      <c r="P4226" s="43"/>
    </row>
    <row r="4227" spans="1:16" ht="18" x14ac:dyDescent="0.35">
      <c r="A4227" s="43"/>
      <c r="C4227" s="393"/>
      <c r="E4227" s="394"/>
      <c r="F4227" s="394">
        <v>0</v>
      </c>
      <c r="G4227" s="394"/>
      <c r="H4227" s="8" t="s">
        <v>61</v>
      </c>
      <c r="I4227" s="368">
        <f t="shared" si="196"/>
        <v>0</v>
      </c>
      <c r="J4227" s="365">
        <f t="shared" si="198"/>
        <v>0</v>
      </c>
      <c r="K4227" s="369">
        <f t="shared" si="197"/>
        <v>6</v>
      </c>
      <c r="L4227" s="369">
        <f>+IF((C4227&gt;='Resultats - informe'!$E$16)*(C4227&lt;='Resultats - informe'!$G$16),1,0)</f>
        <v>1</v>
      </c>
      <c r="M4227" s="369" cm="1">
        <f t="array" ref="M4227">+_xlfn.IFS((C4227&gt;='Resultats - informe'!$D$26)*(C4227&lt;='Resultats - informe'!$E$26),0,(C4227&gt;='Resultats - informe'!$D$27)*(C4227&lt;='Resultats - informe'!$E$27),0,(C4227&gt;='Resultats - informe'!$D$28)*(C4227&lt;='Resultats - informe'!$E$28),0,(C4227&gt;='Resultats - informe'!$D$29)*(C4227&lt;='Resultats - informe'!$E$29),0,1,1)</f>
        <v>0</v>
      </c>
      <c r="N4227" s="366">
        <f>+VLOOKUP(D4227,'Resultats - informe'!$Y$18:$AG$42,'Introducció dades consum'!K4227+1,0)</f>
        <v>0</v>
      </c>
      <c r="O4227" s="370" cm="1">
        <f t="array" ref="O4227">+_xlfn.SWITCH(MONTH(C4227),1,1,2,1,3,1,4,2,5,2,6,3,7,3,8,3,9,3,10,2,11,2,12,1,2)</f>
        <v>1</v>
      </c>
      <c r="P4227" s="43"/>
    </row>
    <row r="4228" spans="1:16" ht="18" x14ac:dyDescent="0.35">
      <c r="A4228" s="43"/>
      <c r="C4228" s="393"/>
      <c r="E4228" s="394"/>
      <c r="F4228" s="394">
        <v>0</v>
      </c>
      <c r="G4228" s="394"/>
      <c r="H4228" s="8" t="s">
        <v>235</v>
      </c>
      <c r="I4228" s="368">
        <f t="shared" si="196"/>
        <v>0</v>
      </c>
      <c r="J4228" s="365">
        <f t="shared" si="198"/>
        <v>0</v>
      </c>
      <c r="K4228" s="369">
        <f t="shared" si="197"/>
        <v>6</v>
      </c>
      <c r="L4228" s="369">
        <f>+IF((C4228&gt;='Resultats - informe'!$E$16)*(C4228&lt;='Resultats - informe'!$G$16),1,0)</f>
        <v>1</v>
      </c>
      <c r="M4228" s="369" cm="1">
        <f t="array" ref="M4228">+_xlfn.IFS((C4228&gt;='Resultats - informe'!$D$26)*(C4228&lt;='Resultats - informe'!$E$26),0,(C4228&gt;='Resultats - informe'!$D$27)*(C4228&lt;='Resultats - informe'!$E$27),0,(C4228&gt;='Resultats - informe'!$D$28)*(C4228&lt;='Resultats - informe'!$E$28),0,(C4228&gt;='Resultats - informe'!$D$29)*(C4228&lt;='Resultats - informe'!$E$29),0,1,1)</f>
        <v>0</v>
      </c>
      <c r="N4228" s="366">
        <f>+VLOOKUP(D4228,'Resultats - informe'!$Y$18:$AG$42,'Introducció dades consum'!K4228+1,0)</f>
        <v>0</v>
      </c>
      <c r="O4228" s="370" cm="1">
        <f t="array" ref="O4228">+_xlfn.SWITCH(MONTH(C4228),1,1,2,1,3,1,4,2,5,2,6,3,7,3,8,3,9,3,10,2,11,2,12,1,2)</f>
        <v>1</v>
      </c>
      <c r="P4228" s="43"/>
    </row>
    <row r="4229" spans="1:16" ht="18" x14ac:dyDescent="0.35">
      <c r="A4229" s="43"/>
      <c r="C4229" s="393"/>
      <c r="E4229" s="394"/>
      <c r="F4229" s="394">
        <v>0</v>
      </c>
      <c r="G4229" s="394"/>
      <c r="H4229" s="8" t="s">
        <v>235</v>
      </c>
      <c r="I4229" s="368">
        <f t="shared" si="196"/>
        <v>0</v>
      </c>
      <c r="J4229" s="365">
        <f t="shared" si="198"/>
        <v>0</v>
      </c>
      <c r="K4229" s="369">
        <f t="shared" si="197"/>
        <v>6</v>
      </c>
      <c r="L4229" s="369">
        <f>+IF((C4229&gt;='Resultats - informe'!$E$16)*(C4229&lt;='Resultats - informe'!$G$16),1,0)</f>
        <v>1</v>
      </c>
      <c r="M4229" s="369" cm="1">
        <f t="array" ref="M4229">+_xlfn.IFS((C4229&gt;='Resultats - informe'!$D$26)*(C4229&lt;='Resultats - informe'!$E$26),0,(C4229&gt;='Resultats - informe'!$D$27)*(C4229&lt;='Resultats - informe'!$E$27),0,(C4229&gt;='Resultats - informe'!$D$28)*(C4229&lt;='Resultats - informe'!$E$28),0,(C4229&gt;='Resultats - informe'!$D$29)*(C4229&lt;='Resultats - informe'!$E$29),0,1,1)</f>
        <v>0</v>
      </c>
      <c r="N4229" s="366">
        <f>+VLOOKUP(D4229,'Resultats - informe'!$Y$18:$AG$42,'Introducció dades consum'!K4229+1,0)</f>
        <v>0</v>
      </c>
      <c r="O4229" s="370" cm="1">
        <f t="array" ref="O4229">+_xlfn.SWITCH(MONTH(C4229),1,1,2,1,3,1,4,2,5,2,6,3,7,3,8,3,9,3,10,2,11,2,12,1,2)</f>
        <v>1</v>
      </c>
      <c r="P4229" s="43"/>
    </row>
    <row r="4230" spans="1:16" ht="18" x14ac:dyDescent="0.35">
      <c r="A4230" s="43"/>
      <c r="C4230" s="393"/>
      <c r="E4230" s="394"/>
      <c r="F4230" s="394">
        <v>0</v>
      </c>
      <c r="G4230" s="394"/>
      <c r="H4230" s="8" t="s">
        <v>235</v>
      </c>
      <c r="I4230" s="368">
        <f t="shared" ref="I4230:I4293" si="199">+E4230+G4230</f>
        <v>0</v>
      </c>
      <c r="J4230" s="365">
        <f t="shared" si="198"/>
        <v>0</v>
      </c>
      <c r="K4230" s="369">
        <f t="shared" ref="K4230:K4293" si="200">+WEEKDAY(C4230,2)</f>
        <v>6</v>
      </c>
      <c r="L4230" s="369">
        <f>+IF((C4230&gt;='Resultats - informe'!$E$16)*(C4230&lt;='Resultats - informe'!$G$16),1,0)</f>
        <v>1</v>
      </c>
      <c r="M4230" s="369" cm="1">
        <f t="array" ref="M4230">+_xlfn.IFS((C4230&gt;='Resultats - informe'!$D$26)*(C4230&lt;='Resultats - informe'!$E$26),0,(C4230&gt;='Resultats - informe'!$D$27)*(C4230&lt;='Resultats - informe'!$E$27),0,(C4230&gt;='Resultats - informe'!$D$28)*(C4230&lt;='Resultats - informe'!$E$28),0,(C4230&gt;='Resultats - informe'!$D$29)*(C4230&lt;='Resultats - informe'!$E$29),0,1,1)</f>
        <v>0</v>
      </c>
      <c r="N4230" s="366">
        <f>+VLOOKUP(D4230,'Resultats - informe'!$Y$18:$AG$42,'Introducció dades consum'!K4230+1,0)</f>
        <v>0</v>
      </c>
      <c r="O4230" s="370" cm="1">
        <f t="array" ref="O4230">+_xlfn.SWITCH(MONTH(C4230),1,1,2,1,3,1,4,2,5,2,6,3,7,3,8,3,9,3,10,2,11,2,12,1,2)</f>
        <v>1</v>
      </c>
      <c r="P4230" s="43"/>
    </row>
    <row r="4231" spans="1:16" ht="18" x14ac:dyDescent="0.35">
      <c r="A4231" s="43"/>
      <c r="C4231" s="393"/>
      <c r="E4231" s="394"/>
      <c r="F4231" s="394">
        <v>0</v>
      </c>
      <c r="G4231" s="394"/>
      <c r="H4231" s="8" t="s">
        <v>235</v>
      </c>
      <c r="I4231" s="368">
        <f t="shared" si="199"/>
        <v>0</v>
      </c>
      <c r="J4231" s="365">
        <f t="shared" si="198"/>
        <v>0</v>
      </c>
      <c r="K4231" s="369">
        <f t="shared" si="200"/>
        <v>6</v>
      </c>
      <c r="L4231" s="369">
        <f>+IF((C4231&gt;='Resultats - informe'!$E$16)*(C4231&lt;='Resultats - informe'!$G$16),1,0)</f>
        <v>1</v>
      </c>
      <c r="M4231" s="369" cm="1">
        <f t="array" ref="M4231">+_xlfn.IFS((C4231&gt;='Resultats - informe'!$D$26)*(C4231&lt;='Resultats - informe'!$E$26),0,(C4231&gt;='Resultats - informe'!$D$27)*(C4231&lt;='Resultats - informe'!$E$27),0,(C4231&gt;='Resultats - informe'!$D$28)*(C4231&lt;='Resultats - informe'!$E$28),0,(C4231&gt;='Resultats - informe'!$D$29)*(C4231&lt;='Resultats - informe'!$E$29),0,1,1)</f>
        <v>0</v>
      </c>
      <c r="N4231" s="366">
        <f>+VLOOKUP(D4231,'Resultats - informe'!$Y$18:$AG$42,'Introducció dades consum'!K4231+1,0)</f>
        <v>0</v>
      </c>
      <c r="O4231" s="370" cm="1">
        <f t="array" ref="O4231">+_xlfn.SWITCH(MONTH(C4231),1,1,2,1,3,1,4,2,5,2,6,3,7,3,8,3,9,3,10,2,11,2,12,1,2)</f>
        <v>1</v>
      </c>
      <c r="P4231" s="43"/>
    </row>
    <row r="4232" spans="1:16" ht="18" x14ac:dyDescent="0.35">
      <c r="A4232" s="43"/>
      <c r="C4232" s="393"/>
      <c r="E4232" s="394"/>
      <c r="F4232" s="394">
        <v>0</v>
      </c>
      <c r="G4232" s="394"/>
      <c r="H4232" s="8" t="s">
        <v>61</v>
      </c>
      <c r="I4232" s="368">
        <f t="shared" si="199"/>
        <v>0</v>
      </c>
      <c r="J4232" s="365">
        <f t="shared" si="198"/>
        <v>0</v>
      </c>
      <c r="K4232" s="369">
        <f t="shared" si="200"/>
        <v>6</v>
      </c>
      <c r="L4232" s="369">
        <f>+IF((C4232&gt;='Resultats - informe'!$E$16)*(C4232&lt;='Resultats - informe'!$G$16),1,0)</f>
        <v>1</v>
      </c>
      <c r="M4232" s="369" cm="1">
        <f t="array" ref="M4232">+_xlfn.IFS((C4232&gt;='Resultats - informe'!$D$26)*(C4232&lt;='Resultats - informe'!$E$26),0,(C4232&gt;='Resultats - informe'!$D$27)*(C4232&lt;='Resultats - informe'!$E$27),0,(C4232&gt;='Resultats - informe'!$D$28)*(C4232&lt;='Resultats - informe'!$E$28),0,(C4232&gt;='Resultats - informe'!$D$29)*(C4232&lt;='Resultats - informe'!$E$29),0,1,1)</f>
        <v>0</v>
      </c>
      <c r="N4232" s="366">
        <f>+VLOOKUP(D4232,'Resultats - informe'!$Y$18:$AG$42,'Introducció dades consum'!K4232+1,0)</f>
        <v>0</v>
      </c>
      <c r="O4232" s="370" cm="1">
        <f t="array" ref="O4232">+_xlfn.SWITCH(MONTH(C4232),1,1,2,1,3,1,4,2,5,2,6,3,7,3,8,3,9,3,10,2,11,2,12,1,2)</f>
        <v>1</v>
      </c>
      <c r="P4232" s="43"/>
    </row>
    <row r="4233" spans="1:16" ht="18" x14ac:dyDescent="0.35">
      <c r="A4233" s="43"/>
      <c r="C4233" s="393"/>
      <c r="E4233" s="394"/>
      <c r="F4233" s="394">
        <v>0</v>
      </c>
      <c r="G4233" s="394"/>
      <c r="H4233" s="8" t="s">
        <v>61</v>
      </c>
      <c r="I4233" s="368">
        <f t="shared" si="199"/>
        <v>0</v>
      </c>
      <c r="J4233" s="365">
        <f t="shared" si="198"/>
        <v>0</v>
      </c>
      <c r="K4233" s="369">
        <f t="shared" si="200"/>
        <v>6</v>
      </c>
      <c r="L4233" s="369">
        <f>+IF((C4233&gt;='Resultats - informe'!$E$16)*(C4233&lt;='Resultats - informe'!$G$16),1,0)</f>
        <v>1</v>
      </c>
      <c r="M4233" s="369" cm="1">
        <f t="array" ref="M4233">+_xlfn.IFS((C4233&gt;='Resultats - informe'!$D$26)*(C4233&lt;='Resultats - informe'!$E$26),0,(C4233&gt;='Resultats - informe'!$D$27)*(C4233&lt;='Resultats - informe'!$E$27),0,(C4233&gt;='Resultats - informe'!$D$28)*(C4233&lt;='Resultats - informe'!$E$28),0,(C4233&gt;='Resultats - informe'!$D$29)*(C4233&lt;='Resultats - informe'!$E$29),0,1,1)</f>
        <v>0</v>
      </c>
      <c r="N4233" s="366">
        <f>+VLOOKUP(D4233,'Resultats - informe'!$Y$18:$AG$42,'Introducció dades consum'!K4233+1,0)</f>
        <v>0</v>
      </c>
      <c r="O4233" s="370" cm="1">
        <f t="array" ref="O4233">+_xlfn.SWITCH(MONTH(C4233),1,1,2,1,3,1,4,2,5,2,6,3,7,3,8,3,9,3,10,2,11,2,12,1,2)</f>
        <v>1</v>
      </c>
      <c r="P4233" s="43"/>
    </row>
    <row r="4234" spans="1:16" ht="18" x14ac:dyDescent="0.35">
      <c r="A4234" s="43"/>
      <c r="C4234" s="393"/>
      <c r="E4234" s="394"/>
      <c r="F4234" s="394">
        <v>0</v>
      </c>
      <c r="G4234" s="394"/>
      <c r="H4234" s="8" t="s">
        <v>61</v>
      </c>
      <c r="I4234" s="368">
        <f t="shared" si="199"/>
        <v>0</v>
      </c>
      <c r="J4234" s="365">
        <f t="shared" si="198"/>
        <v>0</v>
      </c>
      <c r="K4234" s="369">
        <f t="shared" si="200"/>
        <v>6</v>
      </c>
      <c r="L4234" s="369">
        <f>+IF((C4234&gt;='Resultats - informe'!$E$16)*(C4234&lt;='Resultats - informe'!$G$16),1,0)</f>
        <v>1</v>
      </c>
      <c r="M4234" s="369" cm="1">
        <f t="array" ref="M4234">+_xlfn.IFS((C4234&gt;='Resultats - informe'!$D$26)*(C4234&lt;='Resultats - informe'!$E$26),0,(C4234&gt;='Resultats - informe'!$D$27)*(C4234&lt;='Resultats - informe'!$E$27),0,(C4234&gt;='Resultats - informe'!$D$28)*(C4234&lt;='Resultats - informe'!$E$28),0,(C4234&gt;='Resultats - informe'!$D$29)*(C4234&lt;='Resultats - informe'!$E$29),0,1,1)</f>
        <v>0</v>
      </c>
      <c r="N4234" s="366">
        <f>+VLOOKUP(D4234,'Resultats - informe'!$Y$18:$AG$42,'Introducció dades consum'!K4234+1,0)</f>
        <v>0</v>
      </c>
      <c r="O4234" s="370" cm="1">
        <f t="array" ref="O4234">+_xlfn.SWITCH(MONTH(C4234),1,1,2,1,3,1,4,2,5,2,6,3,7,3,8,3,9,3,10,2,11,2,12,1,2)</f>
        <v>1</v>
      </c>
      <c r="P4234" s="43"/>
    </row>
    <row r="4235" spans="1:16" ht="18" x14ac:dyDescent="0.35">
      <c r="A4235" s="43"/>
      <c r="C4235" s="393"/>
      <c r="E4235" s="394"/>
      <c r="F4235" s="394">
        <v>0</v>
      </c>
      <c r="G4235" s="394"/>
      <c r="H4235" s="8" t="s">
        <v>61</v>
      </c>
      <c r="I4235" s="368">
        <f t="shared" si="199"/>
        <v>0</v>
      </c>
      <c r="J4235" s="365">
        <f t="shared" si="198"/>
        <v>0</v>
      </c>
      <c r="K4235" s="369">
        <f t="shared" si="200"/>
        <v>6</v>
      </c>
      <c r="L4235" s="369">
        <f>+IF((C4235&gt;='Resultats - informe'!$E$16)*(C4235&lt;='Resultats - informe'!$G$16),1,0)</f>
        <v>1</v>
      </c>
      <c r="M4235" s="369" cm="1">
        <f t="array" ref="M4235">+_xlfn.IFS((C4235&gt;='Resultats - informe'!$D$26)*(C4235&lt;='Resultats - informe'!$E$26),0,(C4235&gt;='Resultats - informe'!$D$27)*(C4235&lt;='Resultats - informe'!$E$27),0,(C4235&gt;='Resultats - informe'!$D$28)*(C4235&lt;='Resultats - informe'!$E$28),0,(C4235&gt;='Resultats - informe'!$D$29)*(C4235&lt;='Resultats - informe'!$E$29),0,1,1)</f>
        <v>0</v>
      </c>
      <c r="N4235" s="366">
        <f>+VLOOKUP(D4235,'Resultats - informe'!$Y$18:$AG$42,'Introducció dades consum'!K4235+1,0)</f>
        <v>0</v>
      </c>
      <c r="O4235" s="370" cm="1">
        <f t="array" ref="O4235">+_xlfn.SWITCH(MONTH(C4235),1,1,2,1,3,1,4,2,5,2,6,3,7,3,8,3,9,3,10,2,11,2,12,1,2)</f>
        <v>1</v>
      </c>
      <c r="P4235" s="43"/>
    </row>
    <row r="4236" spans="1:16" ht="18" x14ac:dyDescent="0.35">
      <c r="A4236" s="43"/>
      <c r="C4236" s="393"/>
      <c r="E4236" s="394"/>
      <c r="F4236" s="394">
        <v>0</v>
      </c>
      <c r="G4236" s="394"/>
      <c r="H4236" s="8" t="s">
        <v>61</v>
      </c>
      <c r="I4236" s="368">
        <f t="shared" si="199"/>
        <v>0</v>
      </c>
      <c r="J4236" s="365">
        <f t="shared" si="198"/>
        <v>0</v>
      </c>
      <c r="K4236" s="369">
        <f t="shared" si="200"/>
        <v>6</v>
      </c>
      <c r="L4236" s="369">
        <f>+IF((C4236&gt;='Resultats - informe'!$E$16)*(C4236&lt;='Resultats - informe'!$G$16),1,0)</f>
        <v>1</v>
      </c>
      <c r="M4236" s="369" cm="1">
        <f t="array" ref="M4236">+_xlfn.IFS((C4236&gt;='Resultats - informe'!$D$26)*(C4236&lt;='Resultats - informe'!$E$26),0,(C4236&gt;='Resultats - informe'!$D$27)*(C4236&lt;='Resultats - informe'!$E$27),0,(C4236&gt;='Resultats - informe'!$D$28)*(C4236&lt;='Resultats - informe'!$E$28),0,(C4236&gt;='Resultats - informe'!$D$29)*(C4236&lt;='Resultats - informe'!$E$29),0,1,1)</f>
        <v>0</v>
      </c>
      <c r="N4236" s="366">
        <f>+VLOOKUP(D4236,'Resultats - informe'!$Y$18:$AG$42,'Introducció dades consum'!K4236+1,0)</f>
        <v>0</v>
      </c>
      <c r="O4236" s="370" cm="1">
        <f t="array" ref="O4236">+_xlfn.SWITCH(MONTH(C4236),1,1,2,1,3,1,4,2,5,2,6,3,7,3,8,3,9,3,10,2,11,2,12,1,2)</f>
        <v>1</v>
      </c>
      <c r="P4236" s="43"/>
    </row>
    <row r="4237" spans="1:16" ht="18" x14ac:dyDescent="0.35">
      <c r="A4237" s="43"/>
      <c r="C4237" s="393"/>
      <c r="E4237" s="394"/>
      <c r="F4237" s="394">
        <v>1.226</v>
      </c>
      <c r="G4237" s="394"/>
      <c r="H4237" s="8" t="s">
        <v>61</v>
      </c>
      <c r="I4237" s="368">
        <f t="shared" si="199"/>
        <v>0</v>
      </c>
      <c r="J4237" s="365">
        <f t="shared" si="198"/>
        <v>0</v>
      </c>
      <c r="K4237" s="369">
        <f t="shared" si="200"/>
        <v>6</v>
      </c>
      <c r="L4237" s="369">
        <f>+IF((C4237&gt;='Resultats - informe'!$E$16)*(C4237&lt;='Resultats - informe'!$G$16),1,0)</f>
        <v>1</v>
      </c>
      <c r="M4237" s="369" cm="1">
        <f t="array" ref="M4237">+_xlfn.IFS((C4237&gt;='Resultats - informe'!$D$26)*(C4237&lt;='Resultats - informe'!$E$26),0,(C4237&gt;='Resultats - informe'!$D$27)*(C4237&lt;='Resultats - informe'!$E$27),0,(C4237&gt;='Resultats - informe'!$D$28)*(C4237&lt;='Resultats - informe'!$E$28),0,(C4237&gt;='Resultats - informe'!$D$29)*(C4237&lt;='Resultats - informe'!$E$29),0,1,1)</f>
        <v>0</v>
      </c>
      <c r="N4237" s="366">
        <f>+VLOOKUP(D4237,'Resultats - informe'!$Y$18:$AG$42,'Introducció dades consum'!K4237+1,0)</f>
        <v>0</v>
      </c>
      <c r="O4237" s="370" cm="1">
        <f t="array" ref="O4237">+_xlfn.SWITCH(MONTH(C4237),1,1,2,1,3,1,4,2,5,2,6,3,7,3,8,3,9,3,10,2,11,2,12,1,2)</f>
        <v>1</v>
      </c>
      <c r="P4237" s="43"/>
    </row>
    <row r="4238" spans="1:16" ht="18" x14ac:dyDescent="0.35">
      <c r="A4238" s="43"/>
      <c r="C4238" s="393"/>
      <c r="E4238" s="394"/>
      <c r="F4238" s="394">
        <v>3.1030000000000002</v>
      </c>
      <c r="G4238" s="394"/>
      <c r="H4238" s="8" t="s">
        <v>61</v>
      </c>
      <c r="I4238" s="368">
        <f t="shared" si="199"/>
        <v>0</v>
      </c>
      <c r="J4238" s="365">
        <f t="shared" si="198"/>
        <v>0</v>
      </c>
      <c r="K4238" s="369">
        <f t="shared" si="200"/>
        <v>6</v>
      </c>
      <c r="L4238" s="369">
        <f>+IF((C4238&gt;='Resultats - informe'!$E$16)*(C4238&lt;='Resultats - informe'!$G$16),1,0)</f>
        <v>1</v>
      </c>
      <c r="M4238" s="369" cm="1">
        <f t="array" ref="M4238">+_xlfn.IFS((C4238&gt;='Resultats - informe'!$D$26)*(C4238&lt;='Resultats - informe'!$E$26),0,(C4238&gt;='Resultats - informe'!$D$27)*(C4238&lt;='Resultats - informe'!$E$27),0,(C4238&gt;='Resultats - informe'!$D$28)*(C4238&lt;='Resultats - informe'!$E$28),0,(C4238&gt;='Resultats - informe'!$D$29)*(C4238&lt;='Resultats - informe'!$E$29),0,1,1)</f>
        <v>0</v>
      </c>
      <c r="N4238" s="366">
        <f>+VLOOKUP(D4238,'Resultats - informe'!$Y$18:$AG$42,'Introducció dades consum'!K4238+1,0)</f>
        <v>0</v>
      </c>
      <c r="O4238" s="370" cm="1">
        <f t="array" ref="O4238">+_xlfn.SWITCH(MONTH(C4238),1,1,2,1,3,1,4,2,5,2,6,3,7,3,8,3,9,3,10,2,11,2,12,1,2)</f>
        <v>1</v>
      </c>
      <c r="P4238" s="43"/>
    </row>
    <row r="4239" spans="1:16" ht="18" x14ac:dyDescent="0.35">
      <c r="A4239" s="43"/>
      <c r="C4239" s="393"/>
      <c r="E4239" s="394"/>
      <c r="F4239" s="394">
        <v>5.1989999999999998</v>
      </c>
      <c r="G4239" s="394"/>
      <c r="H4239" s="8" t="s">
        <v>235</v>
      </c>
      <c r="I4239" s="368">
        <f t="shared" si="199"/>
        <v>0</v>
      </c>
      <c r="J4239" s="365">
        <f t="shared" si="198"/>
        <v>0</v>
      </c>
      <c r="K4239" s="369">
        <f t="shared" si="200"/>
        <v>6</v>
      </c>
      <c r="L4239" s="369">
        <f>+IF((C4239&gt;='Resultats - informe'!$E$16)*(C4239&lt;='Resultats - informe'!$G$16),1,0)</f>
        <v>1</v>
      </c>
      <c r="M4239" s="369" cm="1">
        <f t="array" ref="M4239">+_xlfn.IFS((C4239&gt;='Resultats - informe'!$D$26)*(C4239&lt;='Resultats - informe'!$E$26),0,(C4239&gt;='Resultats - informe'!$D$27)*(C4239&lt;='Resultats - informe'!$E$27),0,(C4239&gt;='Resultats - informe'!$D$28)*(C4239&lt;='Resultats - informe'!$E$28),0,(C4239&gt;='Resultats - informe'!$D$29)*(C4239&lt;='Resultats - informe'!$E$29),0,1,1)</f>
        <v>0</v>
      </c>
      <c r="N4239" s="366">
        <f>+VLOOKUP(D4239,'Resultats - informe'!$Y$18:$AG$42,'Introducció dades consum'!K4239+1,0)</f>
        <v>0</v>
      </c>
      <c r="O4239" s="370" cm="1">
        <f t="array" ref="O4239">+_xlfn.SWITCH(MONTH(C4239),1,1,2,1,3,1,4,2,5,2,6,3,7,3,8,3,9,3,10,2,11,2,12,1,2)</f>
        <v>1</v>
      </c>
      <c r="P4239" s="43"/>
    </row>
    <row r="4240" spans="1:16" ht="18" x14ac:dyDescent="0.35">
      <c r="A4240" s="43"/>
      <c r="C4240" s="393"/>
      <c r="E4240" s="394"/>
      <c r="F4240" s="394">
        <v>5.1669999999999998</v>
      </c>
      <c r="G4240" s="394"/>
      <c r="H4240" s="8" t="s">
        <v>235</v>
      </c>
      <c r="I4240" s="368">
        <f t="shared" si="199"/>
        <v>0</v>
      </c>
      <c r="J4240" s="365">
        <f t="shared" si="198"/>
        <v>0</v>
      </c>
      <c r="K4240" s="369">
        <f t="shared" si="200"/>
        <v>6</v>
      </c>
      <c r="L4240" s="369">
        <f>+IF((C4240&gt;='Resultats - informe'!$E$16)*(C4240&lt;='Resultats - informe'!$G$16),1,0)</f>
        <v>1</v>
      </c>
      <c r="M4240" s="369" cm="1">
        <f t="array" ref="M4240">+_xlfn.IFS((C4240&gt;='Resultats - informe'!$D$26)*(C4240&lt;='Resultats - informe'!$E$26),0,(C4240&gt;='Resultats - informe'!$D$27)*(C4240&lt;='Resultats - informe'!$E$27),0,(C4240&gt;='Resultats - informe'!$D$28)*(C4240&lt;='Resultats - informe'!$E$28),0,(C4240&gt;='Resultats - informe'!$D$29)*(C4240&lt;='Resultats - informe'!$E$29),0,1,1)</f>
        <v>0</v>
      </c>
      <c r="N4240" s="366">
        <f>+VLOOKUP(D4240,'Resultats - informe'!$Y$18:$AG$42,'Introducció dades consum'!K4240+1,0)</f>
        <v>0</v>
      </c>
      <c r="O4240" s="370" cm="1">
        <f t="array" ref="O4240">+_xlfn.SWITCH(MONTH(C4240),1,1,2,1,3,1,4,2,5,2,6,3,7,3,8,3,9,3,10,2,11,2,12,1,2)</f>
        <v>1</v>
      </c>
      <c r="P4240" s="43"/>
    </row>
    <row r="4241" spans="1:16" ht="18" x14ac:dyDescent="0.35">
      <c r="A4241" s="43"/>
      <c r="C4241" s="393"/>
      <c r="E4241" s="394"/>
      <c r="F4241" s="394">
        <v>4.8570000000000002</v>
      </c>
      <c r="G4241" s="394"/>
      <c r="H4241" s="8" t="s">
        <v>61</v>
      </c>
      <c r="I4241" s="368">
        <f t="shared" si="199"/>
        <v>0</v>
      </c>
      <c r="J4241" s="365">
        <f t="shared" si="198"/>
        <v>0</v>
      </c>
      <c r="K4241" s="369">
        <f t="shared" si="200"/>
        <v>6</v>
      </c>
      <c r="L4241" s="369">
        <f>+IF((C4241&gt;='Resultats - informe'!$E$16)*(C4241&lt;='Resultats - informe'!$G$16),1,0)</f>
        <v>1</v>
      </c>
      <c r="M4241" s="369" cm="1">
        <f t="array" ref="M4241">+_xlfn.IFS((C4241&gt;='Resultats - informe'!$D$26)*(C4241&lt;='Resultats - informe'!$E$26),0,(C4241&gt;='Resultats - informe'!$D$27)*(C4241&lt;='Resultats - informe'!$E$27),0,(C4241&gt;='Resultats - informe'!$D$28)*(C4241&lt;='Resultats - informe'!$E$28),0,(C4241&gt;='Resultats - informe'!$D$29)*(C4241&lt;='Resultats - informe'!$E$29),0,1,1)</f>
        <v>0</v>
      </c>
      <c r="N4241" s="366">
        <f>+VLOOKUP(D4241,'Resultats - informe'!$Y$18:$AG$42,'Introducció dades consum'!K4241+1,0)</f>
        <v>0</v>
      </c>
      <c r="O4241" s="370" cm="1">
        <f t="array" ref="O4241">+_xlfn.SWITCH(MONTH(C4241),1,1,2,1,3,1,4,2,5,2,6,3,7,3,8,3,9,3,10,2,11,2,12,1,2)</f>
        <v>1</v>
      </c>
      <c r="P4241" s="43"/>
    </row>
    <row r="4242" spans="1:16" ht="18" x14ac:dyDescent="0.35">
      <c r="A4242" s="43"/>
      <c r="C4242" s="393"/>
      <c r="E4242" s="394"/>
      <c r="F4242" s="394">
        <v>3.19</v>
      </c>
      <c r="G4242" s="394"/>
      <c r="H4242" s="8" t="s">
        <v>235</v>
      </c>
      <c r="I4242" s="368">
        <f t="shared" si="199"/>
        <v>0</v>
      </c>
      <c r="J4242" s="365">
        <f t="shared" si="198"/>
        <v>0</v>
      </c>
      <c r="K4242" s="369">
        <f t="shared" si="200"/>
        <v>6</v>
      </c>
      <c r="L4242" s="369">
        <f>+IF((C4242&gt;='Resultats - informe'!$E$16)*(C4242&lt;='Resultats - informe'!$G$16),1,0)</f>
        <v>1</v>
      </c>
      <c r="M4242" s="369" cm="1">
        <f t="array" ref="M4242">+_xlfn.IFS((C4242&gt;='Resultats - informe'!$D$26)*(C4242&lt;='Resultats - informe'!$E$26),0,(C4242&gt;='Resultats - informe'!$D$27)*(C4242&lt;='Resultats - informe'!$E$27),0,(C4242&gt;='Resultats - informe'!$D$28)*(C4242&lt;='Resultats - informe'!$E$28),0,(C4242&gt;='Resultats - informe'!$D$29)*(C4242&lt;='Resultats - informe'!$E$29),0,1,1)</f>
        <v>0</v>
      </c>
      <c r="N4242" s="366">
        <f>+VLOOKUP(D4242,'Resultats - informe'!$Y$18:$AG$42,'Introducció dades consum'!K4242+1,0)</f>
        <v>0</v>
      </c>
      <c r="O4242" s="370" cm="1">
        <f t="array" ref="O4242">+_xlfn.SWITCH(MONTH(C4242),1,1,2,1,3,1,4,2,5,2,6,3,7,3,8,3,9,3,10,2,11,2,12,1,2)</f>
        <v>1</v>
      </c>
      <c r="P4242" s="43"/>
    </row>
    <row r="4243" spans="1:16" ht="18" x14ac:dyDescent="0.35">
      <c r="A4243" s="43"/>
      <c r="C4243" s="393"/>
      <c r="E4243" s="394"/>
      <c r="F4243" s="394">
        <v>2.7250000000000001</v>
      </c>
      <c r="G4243" s="394"/>
      <c r="H4243" s="8" t="s">
        <v>235</v>
      </c>
      <c r="I4243" s="368">
        <f t="shared" si="199"/>
        <v>0</v>
      </c>
      <c r="J4243" s="365">
        <f t="shared" si="198"/>
        <v>0</v>
      </c>
      <c r="K4243" s="369">
        <f t="shared" si="200"/>
        <v>6</v>
      </c>
      <c r="L4243" s="369">
        <f>+IF((C4243&gt;='Resultats - informe'!$E$16)*(C4243&lt;='Resultats - informe'!$G$16),1,0)</f>
        <v>1</v>
      </c>
      <c r="M4243" s="369" cm="1">
        <f t="array" ref="M4243">+_xlfn.IFS((C4243&gt;='Resultats - informe'!$D$26)*(C4243&lt;='Resultats - informe'!$E$26),0,(C4243&gt;='Resultats - informe'!$D$27)*(C4243&lt;='Resultats - informe'!$E$27),0,(C4243&gt;='Resultats - informe'!$D$28)*(C4243&lt;='Resultats - informe'!$E$28),0,(C4243&gt;='Resultats - informe'!$D$29)*(C4243&lt;='Resultats - informe'!$E$29),0,1,1)</f>
        <v>0</v>
      </c>
      <c r="N4243" s="366">
        <f>+VLOOKUP(D4243,'Resultats - informe'!$Y$18:$AG$42,'Introducció dades consum'!K4243+1,0)</f>
        <v>0</v>
      </c>
      <c r="O4243" s="370" cm="1">
        <f t="array" ref="O4243">+_xlfn.SWITCH(MONTH(C4243),1,1,2,1,3,1,4,2,5,2,6,3,7,3,8,3,9,3,10,2,11,2,12,1,2)</f>
        <v>1</v>
      </c>
      <c r="P4243" s="43"/>
    </row>
    <row r="4244" spans="1:16" ht="18" x14ac:dyDescent="0.35">
      <c r="A4244" s="43"/>
      <c r="C4244" s="393"/>
      <c r="E4244" s="394"/>
      <c r="F4244" s="394">
        <v>3.0990000000000002</v>
      </c>
      <c r="G4244" s="394"/>
      <c r="H4244" s="8" t="s">
        <v>61</v>
      </c>
      <c r="I4244" s="368">
        <f t="shared" si="199"/>
        <v>0</v>
      </c>
      <c r="J4244" s="365">
        <f t="shared" si="198"/>
        <v>0</v>
      </c>
      <c r="K4244" s="369">
        <f t="shared" si="200"/>
        <v>6</v>
      </c>
      <c r="L4244" s="369">
        <f>+IF((C4244&gt;='Resultats - informe'!$E$16)*(C4244&lt;='Resultats - informe'!$G$16),1,0)</f>
        <v>1</v>
      </c>
      <c r="M4244" s="369" cm="1">
        <f t="array" ref="M4244">+_xlfn.IFS((C4244&gt;='Resultats - informe'!$D$26)*(C4244&lt;='Resultats - informe'!$E$26),0,(C4244&gt;='Resultats - informe'!$D$27)*(C4244&lt;='Resultats - informe'!$E$27),0,(C4244&gt;='Resultats - informe'!$D$28)*(C4244&lt;='Resultats - informe'!$E$28),0,(C4244&gt;='Resultats - informe'!$D$29)*(C4244&lt;='Resultats - informe'!$E$29),0,1,1)</f>
        <v>0</v>
      </c>
      <c r="N4244" s="366">
        <f>+VLOOKUP(D4244,'Resultats - informe'!$Y$18:$AG$42,'Introducció dades consum'!K4244+1,0)</f>
        <v>0</v>
      </c>
      <c r="O4244" s="370" cm="1">
        <f t="array" ref="O4244">+_xlfn.SWITCH(MONTH(C4244),1,1,2,1,3,1,4,2,5,2,6,3,7,3,8,3,9,3,10,2,11,2,12,1,2)</f>
        <v>1</v>
      </c>
      <c r="P4244" s="43"/>
    </row>
    <row r="4245" spans="1:16" ht="18" x14ac:dyDescent="0.35">
      <c r="A4245" s="43"/>
      <c r="C4245" s="393"/>
      <c r="E4245" s="394"/>
      <c r="F4245" s="394">
        <v>4.431</v>
      </c>
      <c r="G4245" s="394"/>
      <c r="H4245" s="8" t="s">
        <v>61</v>
      </c>
      <c r="I4245" s="368">
        <f t="shared" si="199"/>
        <v>0</v>
      </c>
      <c r="J4245" s="365">
        <f t="shared" si="198"/>
        <v>0</v>
      </c>
      <c r="K4245" s="369">
        <f t="shared" si="200"/>
        <v>6</v>
      </c>
      <c r="L4245" s="369">
        <f>+IF((C4245&gt;='Resultats - informe'!$E$16)*(C4245&lt;='Resultats - informe'!$G$16),1,0)</f>
        <v>1</v>
      </c>
      <c r="M4245" s="369" cm="1">
        <f t="array" ref="M4245">+_xlfn.IFS((C4245&gt;='Resultats - informe'!$D$26)*(C4245&lt;='Resultats - informe'!$E$26),0,(C4245&gt;='Resultats - informe'!$D$27)*(C4245&lt;='Resultats - informe'!$E$27),0,(C4245&gt;='Resultats - informe'!$D$28)*(C4245&lt;='Resultats - informe'!$E$28),0,(C4245&gt;='Resultats - informe'!$D$29)*(C4245&lt;='Resultats - informe'!$E$29),0,1,1)</f>
        <v>0</v>
      </c>
      <c r="N4245" s="366">
        <f>+VLOOKUP(D4245,'Resultats - informe'!$Y$18:$AG$42,'Introducció dades consum'!K4245+1,0)</f>
        <v>0</v>
      </c>
      <c r="O4245" s="370" cm="1">
        <f t="array" ref="O4245">+_xlfn.SWITCH(MONTH(C4245),1,1,2,1,3,1,4,2,5,2,6,3,7,3,8,3,9,3,10,2,11,2,12,1,2)</f>
        <v>1</v>
      </c>
      <c r="P4245" s="43"/>
    </row>
    <row r="4246" spans="1:16" ht="18" x14ac:dyDescent="0.35">
      <c r="A4246" s="43"/>
      <c r="C4246" s="393"/>
      <c r="E4246" s="394"/>
      <c r="F4246" s="394">
        <v>2.8780000000000001</v>
      </c>
      <c r="G4246" s="394"/>
      <c r="H4246" s="8" t="s">
        <v>61</v>
      </c>
      <c r="I4246" s="368">
        <f t="shared" si="199"/>
        <v>0</v>
      </c>
      <c r="J4246" s="365">
        <f t="shared" si="198"/>
        <v>0</v>
      </c>
      <c r="K4246" s="369">
        <f t="shared" si="200"/>
        <v>6</v>
      </c>
      <c r="L4246" s="369">
        <f>+IF((C4246&gt;='Resultats - informe'!$E$16)*(C4246&lt;='Resultats - informe'!$G$16),1,0)</f>
        <v>1</v>
      </c>
      <c r="M4246" s="369" cm="1">
        <f t="array" ref="M4246">+_xlfn.IFS((C4246&gt;='Resultats - informe'!$D$26)*(C4246&lt;='Resultats - informe'!$E$26),0,(C4246&gt;='Resultats - informe'!$D$27)*(C4246&lt;='Resultats - informe'!$E$27),0,(C4246&gt;='Resultats - informe'!$D$28)*(C4246&lt;='Resultats - informe'!$E$28),0,(C4246&gt;='Resultats - informe'!$D$29)*(C4246&lt;='Resultats - informe'!$E$29),0,1,1)</f>
        <v>0</v>
      </c>
      <c r="N4246" s="366">
        <f>+VLOOKUP(D4246,'Resultats - informe'!$Y$18:$AG$42,'Introducció dades consum'!K4246+1,0)</f>
        <v>0</v>
      </c>
      <c r="O4246" s="370" cm="1">
        <f t="array" ref="O4246">+_xlfn.SWITCH(MONTH(C4246),1,1,2,1,3,1,4,2,5,2,6,3,7,3,8,3,9,3,10,2,11,2,12,1,2)</f>
        <v>1</v>
      </c>
      <c r="P4246" s="43"/>
    </row>
    <row r="4247" spans="1:16" ht="18" x14ac:dyDescent="0.35">
      <c r="A4247" s="43"/>
      <c r="C4247" s="393"/>
      <c r="E4247" s="394"/>
      <c r="F4247" s="394">
        <v>0</v>
      </c>
      <c r="G4247" s="394"/>
      <c r="H4247" s="8" t="s">
        <v>61</v>
      </c>
      <c r="I4247" s="368">
        <f t="shared" si="199"/>
        <v>0</v>
      </c>
      <c r="J4247" s="365">
        <f t="shared" si="198"/>
        <v>0</v>
      </c>
      <c r="K4247" s="369">
        <f t="shared" si="200"/>
        <v>6</v>
      </c>
      <c r="L4247" s="369">
        <f>+IF((C4247&gt;='Resultats - informe'!$E$16)*(C4247&lt;='Resultats - informe'!$G$16),1,0)</f>
        <v>1</v>
      </c>
      <c r="M4247" s="369" cm="1">
        <f t="array" ref="M4247">+_xlfn.IFS((C4247&gt;='Resultats - informe'!$D$26)*(C4247&lt;='Resultats - informe'!$E$26),0,(C4247&gt;='Resultats - informe'!$D$27)*(C4247&lt;='Resultats - informe'!$E$27),0,(C4247&gt;='Resultats - informe'!$D$28)*(C4247&lt;='Resultats - informe'!$E$28),0,(C4247&gt;='Resultats - informe'!$D$29)*(C4247&lt;='Resultats - informe'!$E$29),0,1,1)</f>
        <v>0</v>
      </c>
      <c r="N4247" s="366">
        <f>+VLOOKUP(D4247,'Resultats - informe'!$Y$18:$AG$42,'Introducció dades consum'!K4247+1,0)</f>
        <v>0</v>
      </c>
      <c r="O4247" s="370" cm="1">
        <f t="array" ref="O4247">+_xlfn.SWITCH(MONTH(C4247),1,1,2,1,3,1,4,2,5,2,6,3,7,3,8,3,9,3,10,2,11,2,12,1,2)</f>
        <v>1</v>
      </c>
      <c r="P4247" s="43"/>
    </row>
    <row r="4248" spans="1:16" ht="18" x14ac:dyDescent="0.35">
      <c r="A4248" s="43"/>
      <c r="C4248" s="393"/>
      <c r="E4248" s="394"/>
      <c r="F4248" s="394">
        <v>0</v>
      </c>
      <c r="G4248" s="394"/>
      <c r="H4248" s="8" t="s">
        <v>61</v>
      </c>
      <c r="I4248" s="368">
        <f t="shared" si="199"/>
        <v>0</v>
      </c>
      <c r="J4248" s="365">
        <f t="shared" si="198"/>
        <v>0</v>
      </c>
      <c r="K4248" s="369">
        <f t="shared" si="200"/>
        <v>6</v>
      </c>
      <c r="L4248" s="369">
        <f>+IF((C4248&gt;='Resultats - informe'!$E$16)*(C4248&lt;='Resultats - informe'!$G$16),1,0)</f>
        <v>1</v>
      </c>
      <c r="M4248" s="369" cm="1">
        <f t="array" ref="M4248">+_xlfn.IFS((C4248&gt;='Resultats - informe'!$D$26)*(C4248&lt;='Resultats - informe'!$E$26),0,(C4248&gt;='Resultats - informe'!$D$27)*(C4248&lt;='Resultats - informe'!$E$27),0,(C4248&gt;='Resultats - informe'!$D$28)*(C4248&lt;='Resultats - informe'!$E$28),0,(C4248&gt;='Resultats - informe'!$D$29)*(C4248&lt;='Resultats - informe'!$E$29),0,1,1)</f>
        <v>0</v>
      </c>
      <c r="N4248" s="366">
        <f>+VLOOKUP(D4248,'Resultats - informe'!$Y$18:$AG$42,'Introducció dades consum'!K4248+1,0)</f>
        <v>0</v>
      </c>
      <c r="O4248" s="370" cm="1">
        <f t="array" ref="O4248">+_xlfn.SWITCH(MONTH(C4248),1,1,2,1,3,1,4,2,5,2,6,3,7,3,8,3,9,3,10,2,11,2,12,1,2)</f>
        <v>1</v>
      </c>
      <c r="P4248" s="43"/>
    </row>
    <row r="4249" spans="1:16" ht="18" x14ac:dyDescent="0.35">
      <c r="A4249" s="43"/>
      <c r="C4249" s="393"/>
      <c r="E4249" s="394"/>
      <c r="F4249" s="394">
        <v>0</v>
      </c>
      <c r="G4249" s="394"/>
      <c r="H4249" s="8" t="s">
        <v>235</v>
      </c>
      <c r="I4249" s="368">
        <f t="shared" si="199"/>
        <v>0</v>
      </c>
      <c r="J4249" s="365">
        <f t="shared" si="198"/>
        <v>0</v>
      </c>
      <c r="K4249" s="369">
        <f t="shared" si="200"/>
        <v>6</v>
      </c>
      <c r="L4249" s="369">
        <f>+IF((C4249&gt;='Resultats - informe'!$E$16)*(C4249&lt;='Resultats - informe'!$G$16),1,0)</f>
        <v>1</v>
      </c>
      <c r="M4249" s="369" cm="1">
        <f t="array" ref="M4249">+_xlfn.IFS((C4249&gt;='Resultats - informe'!$D$26)*(C4249&lt;='Resultats - informe'!$E$26),0,(C4249&gt;='Resultats - informe'!$D$27)*(C4249&lt;='Resultats - informe'!$E$27),0,(C4249&gt;='Resultats - informe'!$D$28)*(C4249&lt;='Resultats - informe'!$E$28),0,(C4249&gt;='Resultats - informe'!$D$29)*(C4249&lt;='Resultats - informe'!$E$29),0,1,1)</f>
        <v>0</v>
      </c>
      <c r="N4249" s="366">
        <f>+VLOOKUP(D4249,'Resultats - informe'!$Y$18:$AG$42,'Introducció dades consum'!K4249+1,0)</f>
        <v>0</v>
      </c>
      <c r="O4249" s="370" cm="1">
        <f t="array" ref="O4249">+_xlfn.SWITCH(MONTH(C4249),1,1,2,1,3,1,4,2,5,2,6,3,7,3,8,3,9,3,10,2,11,2,12,1,2)</f>
        <v>1</v>
      </c>
      <c r="P4249" s="43"/>
    </row>
    <row r="4250" spans="1:16" ht="18" x14ac:dyDescent="0.35">
      <c r="A4250" s="43"/>
      <c r="C4250" s="393"/>
      <c r="E4250" s="394"/>
      <c r="F4250" s="394">
        <v>0</v>
      </c>
      <c r="G4250" s="394"/>
      <c r="H4250" s="8" t="s">
        <v>235</v>
      </c>
      <c r="I4250" s="368">
        <f t="shared" si="199"/>
        <v>0</v>
      </c>
      <c r="J4250" s="365">
        <f t="shared" si="198"/>
        <v>0</v>
      </c>
      <c r="K4250" s="369">
        <f t="shared" si="200"/>
        <v>6</v>
      </c>
      <c r="L4250" s="369">
        <f>+IF((C4250&gt;='Resultats - informe'!$E$16)*(C4250&lt;='Resultats - informe'!$G$16),1,0)</f>
        <v>1</v>
      </c>
      <c r="M4250" s="369" cm="1">
        <f t="array" ref="M4250">+_xlfn.IFS((C4250&gt;='Resultats - informe'!$D$26)*(C4250&lt;='Resultats - informe'!$E$26),0,(C4250&gt;='Resultats - informe'!$D$27)*(C4250&lt;='Resultats - informe'!$E$27),0,(C4250&gt;='Resultats - informe'!$D$28)*(C4250&lt;='Resultats - informe'!$E$28),0,(C4250&gt;='Resultats - informe'!$D$29)*(C4250&lt;='Resultats - informe'!$E$29),0,1,1)</f>
        <v>0</v>
      </c>
      <c r="N4250" s="366">
        <f>+VLOOKUP(D4250,'Resultats - informe'!$Y$18:$AG$42,'Introducció dades consum'!K4250+1,0)</f>
        <v>0</v>
      </c>
      <c r="O4250" s="370" cm="1">
        <f t="array" ref="O4250">+_xlfn.SWITCH(MONTH(C4250),1,1,2,1,3,1,4,2,5,2,6,3,7,3,8,3,9,3,10,2,11,2,12,1,2)</f>
        <v>1</v>
      </c>
      <c r="P4250" s="43"/>
    </row>
    <row r="4251" spans="1:16" ht="18" x14ac:dyDescent="0.35">
      <c r="A4251" s="43"/>
      <c r="C4251" s="393"/>
      <c r="E4251" s="394"/>
      <c r="F4251" s="394">
        <v>0</v>
      </c>
      <c r="G4251" s="394"/>
      <c r="H4251" s="8" t="s">
        <v>61</v>
      </c>
      <c r="I4251" s="368">
        <f t="shared" si="199"/>
        <v>0</v>
      </c>
      <c r="J4251" s="365">
        <f t="shared" si="198"/>
        <v>0</v>
      </c>
      <c r="K4251" s="369">
        <f t="shared" si="200"/>
        <v>6</v>
      </c>
      <c r="L4251" s="369">
        <f>+IF((C4251&gt;='Resultats - informe'!$E$16)*(C4251&lt;='Resultats - informe'!$G$16),1,0)</f>
        <v>1</v>
      </c>
      <c r="M4251" s="369" cm="1">
        <f t="array" ref="M4251">+_xlfn.IFS((C4251&gt;='Resultats - informe'!$D$26)*(C4251&lt;='Resultats - informe'!$E$26),0,(C4251&gt;='Resultats - informe'!$D$27)*(C4251&lt;='Resultats - informe'!$E$27),0,(C4251&gt;='Resultats - informe'!$D$28)*(C4251&lt;='Resultats - informe'!$E$28),0,(C4251&gt;='Resultats - informe'!$D$29)*(C4251&lt;='Resultats - informe'!$E$29),0,1,1)</f>
        <v>0</v>
      </c>
      <c r="N4251" s="366">
        <f>+VLOOKUP(D4251,'Resultats - informe'!$Y$18:$AG$42,'Introducció dades consum'!K4251+1,0)</f>
        <v>0</v>
      </c>
      <c r="O4251" s="370" cm="1">
        <f t="array" ref="O4251">+_xlfn.SWITCH(MONTH(C4251),1,1,2,1,3,1,4,2,5,2,6,3,7,3,8,3,9,3,10,2,11,2,12,1,2)</f>
        <v>1</v>
      </c>
      <c r="P4251" s="43"/>
    </row>
    <row r="4252" spans="1:16" ht="18" x14ac:dyDescent="0.35">
      <c r="A4252" s="43"/>
      <c r="C4252" s="393"/>
      <c r="E4252" s="394"/>
      <c r="F4252" s="394">
        <v>0</v>
      </c>
      <c r="G4252" s="394"/>
      <c r="H4252" s="8" t="s">
        <v>235</v>
      </c>
      <c r="I4252" s="368">
        <f t="shared" si="199"/>
        <v>0</v>
      </c>
      <c r="J4252" s="365">
        <f t="shared" si="198"/>
        <v>0</v>
      </c>
      <c r="K4252" s="369">
        <f t="shared" si="200"/>
        <v>6</v>
      </c>
      <c r="L4252" s="369">
        <f>+IF((C4252&gt;='Resultats - informe'!$E$16)*(C4252&lt;='Resultats - informe'!$G$16),1,0)</f>
        <v>1</v>
      </c>
      <c r="M4252" s="369" cm="1">
        <f t="array" ref="M4252">+_xlfn.IFS((C4252&gt;='Resultats - informe'!$D$26)*(C4252&lt;='Resultats - informe'!$E$26),0,(C4252&gt;='Resultats - informe'!$D$27)*(C4252&lt;='Resultats - informe'!$E$27),0,(C4252&gt;='Resultats - informe'!$D$28)*(C4252&lt;='Resultats - informe'!$E$28),0,(C4252&gt;='Resultats - informe'!$D$29)*(C4252&lt;='Resultats - informe'!$E$29),0,1,1)</f>
        <v>0</v>
      </c>
      <c r="N4252" s="366">
        <f>+VLOOKUP(D4252,'Resultats - informe'!$Y$18:$AG$42,'Introducció dades consum'!K4252+1,0)</f>
        <v>0</v>
      </c>
      <c r="O4252" s="370" cm="1">
        <f t="array" ref="O4252">+_xlfn.SWITCH(MONTH(C4252),1,1,2,1,3,1,4,2,5,2,6,3,7,3,8,3,9,3,10,2,11,2,12,1,2)</f>
        <v>1</v>
      </c>
      <c r="P4252" s="43"/>
    </row>
    <row r="4253" spans="1:16" ht="18" x14ac:dyDescent="0.35">
      <c r="A4253" s="43"/>
      <c r="C4253" s="393"/>
      <c r="E4253" s="394"/>
      <c r="F4253" s="394">
        <v>0</v>
      </c>
      <c r="G4253" s="394"/>
      <c r="H4253" s="8" t="s">
        <v>235</v>
      </c>
      <c r="I4253" s="368">
        <f t="shared" si="199"/>
        <v>0</v>
      </c>
      <c r="J4253" s="365">
        <f t="shared" si="198"/>
        <v>0</v>
      </c>
      <c r="K4253" s="369">
        <f t="shared" si="200"/>
        <v>6</v>
      </c>
      <c r="L4253" s="369">
        <f>+IF((C4253&gt;='Resultats - informe'!$E$16)*(C4253&lt;='Resultats - informe'!$G$16),1,0)</f>
        <v>1</v>
      </c>
      <c r="M4253" s="369" cm="1">
        <f t="array" ref="M4253">+_xlfn.IFS((C4253&gt;='Resultats - informe'!$D$26)*(C4253&lt;='Resultats - informe'!$E$26),0,(C4253&gt;='Resultats - informe'!$D$27)*(C4253&lt;='Resultats - informe'!$E$27),0,(C4253&gt;='Resultats - informe'!$D$28)*(C4253&lt;='Resultats - informe'!$E$28),0,(C4253&gt;='Resultats - informe'!$D$29)*(C4253&lt;='Resultats - informe'!$E$29),0,1,1)</f>
        <v>0</v>
      </c>
      <c r="N4253" s="366">
        <f>+VLOOKUP(D4253,'Resultats - informe'!$Y$18:$AG$42,'Introducció dades consum'!K4253+1,0)</f>
        <v>0</v>
      </c>
      <c r="O4253" s="370" cm="1">
        <f t="array" ref="O4253">+_xlfn.SWITCH(MONTH(C4253),1,1,2,1,3,1,4,2,5,2,6,3,7,3,8,3,9,3,10,2,11,2,12,1,2)</f>
        <v>1</v>
      </c>
      <c r="P4253" s="43"/>
    </row>
    <row r="4254" spans="1:16" ht="18" x14ac:dyDescent="0.35">
      <c r="A4254" s="43"/>
      <c r="C4254" s="393"/>
      <c r="E4254" s="394"/>
      <c r="F4254" s="394">
        <v>0</v>
      </c>
      <c r="G4254" s="394"/>
      <c r="H4254" s="8" t="s">
        <v>235</v>
      </c>
      <c r="I4254" s="368">
        <f t="shared" si="199"/>
        <v>0</v>
      </c>
      <c r="J4254" s="365">
        <f t="shared" si="198"/>
        <v>0</v>
      </c>
      <c r="K4254" s="369">
        <f t="shared" si="200"/>
        <v>6</v>
      </c>
      <c r="L4254" s="369">
        <f>+IF((C4254&gt;='Resultats - informe'!$E$16)*(C4254&lt;='Resultats - informe'!$G$16),1,0)</f>
        <v>1</v>
      </c>
      <c r="M4254" s="369" cm="1">
        <f t="array" ref="M4254">+_xlfn.IFS((C4254&gt;='Resultats - informe'!$D$26)*(C4254&lt;='Resultats - informe'!$E$26),0,(C4254&gt;='Resultats - informe'!$D$27)*(C4254&lt;='Resultats - informe'!$E$27),0,(C4254&gt;='Resultats - informe'!$D$28)*(C4254&lt;='Resultats - informe'!$E$28),0,(C4254&gt;='Resultats - informe'!$D$29)*(C4254&lt;='Resultats - informe'!$E$29),0,1,1)</f>
        <v>0</v>
      </c>
      <c r="N4254" s="366">
        <f>+VLOOKUP(D4254,'Resultats - informe'!$Y$18:$AG$42,'Introducció dades consum'!K4254+1,0)</f>
        <v>0</v>
      </c>
      <c r="O4254" s="370" cm="1">
        <f t="array" ref="O4254">+_xlfn.SWITCH(MONTH(C4254),1,1,2,1,3,1,4,2,5,2,6,3,7,3,8,3,9,3,10,2,11,2,12,1,2)</f>
        <v>1</v>
      </c>
      <c r="P4254" s="43"/>
    </row>
    <row r="4255" spans="1:16" ht="18" x14ac:dyDescent="0.35">
      <c r="A4255" s="43"/>
      <c r="C4255" s="393"/>
      <c r="E4255" s="394"/>
      <c r="F4255" s="394">
        <v>0</v>
      </c>
      <c r="G4255" s="394"/>
      <c r="H4255" s="8" t="s">
        <v>235</v>
      </c>
      <c r="I4255" s="368">
        <f t="shared" si="199"/>
        <v>0</v>
      </c>
      <c r="J4255" s="365">
        <f t="shared" si="198"/>
        <v>0</v>
      </c>
      <c r="K4255" s="369">
        <f t="shared" si="200"/>
        <v>6</v>
      </c>
      <c r="L4255" s="369">
        <f>+IF((C4255&gt;='Resultats - informe'!$E$16)*(C4255&lt;='Resultats - informe'!$G$16),1,0)</f>
        <v>1</v>
      </c>
      <c r="M4255" s="369" cm="1">
        <f t="array" ref="M4255">+_xlfn.IFS((C4255&gt;='Resultats - informe'!$D$26)*(C4255&lt;='Resultats - informe'!$E$26),0,(C4255&gt;='Resultats - informe'!$D$27)*(C4255&lt;='Resultats - informe'!$E$27),0,(C4255&gt;='Resultats - informe'!$D$28)*(C4255&lt;='Resultats - informe'!$E$28),0,(C4255&gt;='Resultats - informe'!$D$29)*(C4255&lt;='Resultats - informe'!$E$29),0,1,1)</f>
        <v>0</v>
      </c>
      <c r="N4255" s="366">
        <f>+VLOOKUP(D4255,'Resultats - informe'!$Y$18:$AG$42,'Introducció dades consum'!K4255+1,0)</f>
        <v>0</v>
      </c>
      <c r="O4255" s="370" cm="1">
        <f t="array" ref="O4255">+_xlfn.SWITCH(MONTH(C4255),1,1,2,1,3,1,4,2,5,2,6,3,7,3,8,3,9,3,10,2,11,2,12,1,2)</f>
        <v>1</v>
      </c>
      <c r="P4255" s="43"/>
    </row>
    <row r="4256" spans="1:16" ht="18" x14ac:dyDescent="0.35">
      <c r="A4256" s="43"/>
      <c r="C4256" s="393"/>
      <c r="E4256" s="394"/>
      <c r="F4256" s="394">
        <v>0</v>
      </c>
      <c r="G4256" s="394"/>
      <c r="H4256" s="8" t="s">
        <v>235</v>
      </c>
      <c r="I4256" s="368">
        <f t="shared" si="199"/>
        <v>0</v>
      </c>
      <c r="J4256" s="365">
        <f t="shared" si="198"/>
        <v>0</v>
      </c>
      <c r="K4256" s="369">
        <f t="shared" si="200"/>
        <v>6</v>
      </c>
      <c r="L4256" s="369">
        <f>+IF((C4256&gt;='Resultats - informe'!$E$16)*(C4256&lt;='Resultats - informe'!$G$16),1,0)</f>
        <v>1</v>
      </c>
      <c r="M4256" s="369" cm="1">
        <f t="array" ref="M4256">+_xlfn.IFS((C4256&gt;='Resultats - informe'!$D$26)*(C4256&lt;='Resultats - informe'!$E$26),0,(C4256&gt;='Resultats - informe'!$D$27)*(C4256&lt;='Resultats - informe'!$E$27),0,(C4256&gt;='Resultats - informe'!$D$28)*(C4256&lt;='Resultats - informe'!$E$28),0,(C4256&gt;='Resultats - informe'!$D$29)*(C4256&lt;='Resultats - informe'!$E$29),0,1,1)</f>
        <v>0</v>
      </c>
      <c r="N4256" s="366">
        <f>+VLOOKUP(D4256,'Resultats - informe'!$Y$18:$AG$42,'Introducció dades consum'!K4256+1,0)</f>
        <v>0</v>
      </c>
      <c r="O4256" s="370" cm="1">
        <f t="array" ref="O4256">+_xlfn.SWITCH(MONTH(C4256),1,1,2,1,3,1,4,2,5,2,6,3,7,3,8,3,9,3,10,2,11,2,12,1,2)</f>
        <v>1</v>
      </c>
      <c r="P4256" s="43"/>
    </row>
    <row r="4257" spans="1:16" ht="18" x14ac:dyDescent="0.35">
      <c r="A4257" s="43"/>
      <c r="C4257" s="393"/>
      <c r="E4257" s="394"/>
      <c r="F4257" s="394">
        <v>0.23899999999999999</v>
      </c>
      <c r="G4257" s="394"/>
      <c r="H4257" s="8" t="s">
        <v>235</v>
      </c>
      <c r="I4257" s="368">
        <f t="shared" si="199"/>
        <v>0</v>
      </c>
      <c r="J4257" s="365">
        <f t="shared" si="198"/>
        <v>0</v>
      </c>
      <c r="K4257" s="369">
        <f t="shared" si="200"/>
        <v>6</v>
      </c>
      <c r="L4257" s="369">
        <f>+IF((C4257&gt;='Resultats - informe'!$E$16)*(C4257&lt;='Resultats - informe'!$G$16),1,0)</f>
        <v>1</v>
      </c>
      <c r="M4257" s="369" cm="1">
        <f t="array" ref="M4257">+_xlfn.IFS((C4257&gt;='Resultats - informe'!$D$26)*(C4257&lt;='Resultats - informe'!$E$26),0,(C4257&gt;='Resultats - informe'!$D$27)*(C4257&lt;='Resultats - informe'!$E$27),0,(C4257&gt;='Resultats - informe'!$D$28)*(C4257&lt;='Resultats - informe'!$E$28),0,(C4257&gt;='Resultats - informe'!$D$29)*(C4257&lt;='Resultats - informe'!$E$29),0,1,1)</f>
        <v>0</v>
      </c>
      <c r="N4257" s="366">
        <f>+VLOOKUP(D4257,'Resultats - informe'!$Y$18:$AG$42,'Introducció dades consum'!K4257+1,0)</f>
        <v>0</v>
      </c>
      <c r="O4257" s="370" cm="1">
        <f t="array" ref="O4257">+_xlfn.SWITCH(MONTH(C4257),1,1,2,1,3,1,4,2,5,2,6,3,7,3,8,3,9,3,10,2,11,2,12,1,2)</f>
        <v>1</v>
      </c>
      <c r="P4257" s="43"/>
    </row>
    <row r="4258" spans="1:16" ht="18" x14ac:dyDescent="0.35">
      <c r="A4258" s="43"/>
      <c r="C4258" s="393"/>
      <c r="E4258" s="394"/>
      <c r="F4258" s="394">
        <v>0.81299999999999994</v>
      </c>
      <c r="G4258" s="394"/>
      <c r="H4258" s="8" t="s">
        <v>235</v>
      </c>
      <c r="I4258" s="368">
        <f t="shared" si="199"/>
        <v>0</v>
      </c>
      <c r="J4258" s="365">
        <f t="shared" si="198"/>
        <v>0</v>
      </c>
      <c r="K4258" s="369">
        <f t="shared" si="200"/>
        <v>6</v>
      </c>
      <c r="L4258" s="369">
        <f>+IF((C4258&gt;='Resultats - informe'!$E$16)*(C4258&lt;='Resultats - informe'!$G$16),1,0)</f>
        <v>1</v>
      </c>
      <c r="M4258" s="369" cm="1">
        <f t="array" ref="M4258">+_xlfn.IFS((C4258&gt;='Resultats - informe'!$D$26)*(C4258&lt;='Resultats - informe'!$E$26),0,(C4258&gt;='Resultats - informe'!$D$27)*(C4258&lt;='Resultats - informe'!$E$27),0,(C4258&gt;='Resultats - informe'!$D$28)*(C4258&lt;='Resultats - informe'!$E$28),0,(C4258&gt;='Resultats - informe'!$D$29)*(C4258&lt;='Resultats - informe'!$E$29),0,1,1)</f>
        <v>0</v>
      </c>
      <c r="N4258" s="366">
        <f>+VLOOKUP(D4258,'Resultats - informe'!$Y$18:$AG$42,'Introducció dades consum'!K4258+1,0)</f>
        <v>0</v>
      </c>
      <c r="O4258" s="370" cm="1">
        <f t="array" ref="O4258">+_xlfn.SWITCH(MONTH(C4258),1,1,2,1,3,1,4,2,5,2,6,3,7,3,8,3,9,3,10,2,11,2,12,1,2)</f>
        <v>1</v>
      </c>
      <c r="P4258" s="43"/>
    </row>
    <row r="4259" spans="1:16" ht="18" x14ac:dyDescent="0.35">
      <c r="A4259" s="43"/>
      <c r="C4259" s="393"/>
      <c r="E4259" s="394"/>
      <c r="F4259" s="394">
        <v>0</v>
      </c>
      <c r="G4259" s="394"/>
      <c r="H4259" s="8" t="s">
        <v>61</v>
      </c>
      <c r="I4259" s="368">
        <f t="shared" si="199"/>
        <v>0</v>
      </c>
      <c r="J4259" s="365">
        <f t="shared" si="198"/>
        <v>0</v>
      </c>
      <c r="K4259" s="369">
        <f t="shared" si="200"/>
        <v>6</v>
      </c>
      <c r="L4259" s="369">
        <f>+IF((C4259&gt;='Resultats - informe'!$E$16)*(C4259&lt;='Resultats - informe'!$G$16),1,0)</f>
        <v>1</v>
      </c>
      <c r="M4259" s="369" cm="1">
        <f t="array" ref="M4259">+_xlfn.IFS((C4259&gt;='Resultats - informe'!$D$26)*(C4259&lt;='Resultats - informe'!$E$26),0,(C4259&gt;='Resultats - informe'!$D$27)*(C4259&lt;='Resultats - informe'!$E$27),0,(C4259&gt;='Resultats - informe'!$D$28)*(C4259&lt;='Resultats - informe'!$E$28),0,(C4259&gt;='Resultats - informe'!$D$29)*(C4259&lt;='Resultats - informe'!$E$29),0,1,1)</f>
        <v>0</v>
      </c>
      <c r="N4259" s="366">
        <f>+VLOOKUP(D4259,'Resultats - informe'!$Y$18:$AG$42,'Introducció dades consum'!K4259+1,0)</f>
        <v>0</v>
      </c>
      <c r="O4259" s="370" cm="1">
        <f t="array" ref="O4259">+_xlfn.SWITCH(MONTH(C4259),1,1,2,1,3,1,4,2,5,2,6,3,7,3,8,3,9,3,10,2,11,2,12,1,2)</f>
        <v>1</v>
      </c>
      <c r="P4259" s="43"/>
    </row>
    <row r="4260" spans="1:16" ht="18" x14ac:dyDescent="0.35">
      <c r="A4260" s="43"/>
      <c r="C4260" s="393"/>
      <c r="E4260" s="394"/>
      <c r="F4260" s="394">
        <v>2.8759999999999999</v>
      </c>
      <c r="G4260" s="394"/>
      <c r="H4260" s="8" t="s">
        <v>235</v>
      </c>
      <c r="I4260" s="368">
        <f t="shared" si="199"/>
        <v>0</v>
      </c>
      <c r="J4260" s="365">
        <f t="shared" si="198"/>
        <v>0</v>
      </c>
      <c r="K4260" s="369">
        <f t="shared" si="200"/>
        <v>6</v>
      </c>
      <c r="L4260" s="369">
        <f>+IF((C4260&gt;='Resultats - informe'!$E$16)*(C4260&lt;='Resultats - informe'!$G$16),1,0)</f>
        <v>1</v>
      </c>
      <c r="M4260" s="369" cm="1">
        <f t="array" ref="M4260">+_xlfn.IFS((C4260&gt;='Resultats - informe'!$D$26)*(C4260&lt;='Resultats - informe'!$E$26),0,(C4260&gt;='Resultats - informe'!$D$27)*(C4260&lt;='Resultats - informe'!$E$27),0,(C4260&gt;='Resultats - informe'!$D$28)*(C4260&lt;='Resultats - informe'!$E$28),0,(C4260&gt;='Resultats - informe'!$D$29)*(C4260&lt;='Resultats - informe'!$E$29),0,1,1)</f>
        <v>0</v>
      </c>
      <c r="N4260" s="366">
        <f>+VLOOKUP(D4260,'Resultats - informe'!$Y$18:$AG$42,'Introducció dades consum'!K4260+1,0)</f>
        <v>0</v>
      </c>
      <c r="O4260" s="370" cm="1">
        <f t="array" ref="O4260">+_xlfn.SWITCH(MONTH(C4260),1,1,2,1,3,1,4,2,5,2,6,3,7,3,8,3,9,3,10,2,11,2,12,1,2)</f>
        <v>1</v>
      </c>
      <c r="P4260" s="43"/>
    </row>
    <row r="4261" spans="1:16" ht="18" x14ac:dyDescent="0.35">
      <c r="A4261" s="43"/>
      <c r="C4261" s="393"/>
      <c r="E4261" s="394"/>
      <c r="F4261" s="394">
        <v>3.851</v>
      </c>
      <c r="G4261" s="394"/>
      <c r="H4261" s="8" t="s">
        <v>235</v>
      </c>
      <c r="I4261" s="368">
        <f t="shared" si="199"/>
        <v>0</v>
      </c>
      <c r="J4261" s="365">
        <f t="shared" si="198"/>
        <v>0</v>
      </c>
      <c r="K4261" s="369">
        <f t="shared" si="200"/>
        <v>6</v>
      </c>
      <c r="L4261" s="369">
        <f>+IF((C4261&gt;='Resultats - informe'!$E$16)*(C4261&lt;='Resultats - informe'!$G$16),1,0)</f>
        <v>1</v>
      </c>
      <c r="M4261" s="369" cm="1">
        <f t="array" ref="M4261">+_xlfn.IFS((C4261&gt;='Resultats - informe'!$D$26)*(C4261&lt;='Resultats - informe'!$E$26),0,(C4261&gt;='Resultats - informe'!$D$27)*(C4261&lt;='Resultats - informe'!$E$27),0,(C4261&gt;='Resultats - informe'!$D$28)*(C4261&lt;='Resultats - informe'!$E$28),0,(C4261&gt;='Resultats - informe'!$D$29)*(C4261&lt;='Resultats - informe'!$E$29),0,1,1)</f>
        <v>0</v>
      </c>
      <c r="N4261" s="366">
        <f>+VLOOKUP(D4261,'Resultats - informe'!$Y$18:$AG$42,'Introducció dades consum'!K4261+1,0)</f>
        <v>0</v>
      </c>
      <c r="O4261" s="370" cm="1">
        <f t="array" ref="O4261">+_xlfn.SWITCH(MONTH(C4261),1,1,2,1,3,1,4,2,5,2,6,3,7,3,8,3,9,3,10,2,11,2,12,1,2)</f>
        <v>1</v>
      </c>
      <c r="P4261" s="43"/>
    </row>
    <row r="4262" spans="1:16" ht="18" x14ac:dyDescent="0.35">
      <c r="A4262" s="43"/>
      <c r="C4262" s="393"/>
      <c r="E4262" s="394"/>
      <c r="F4262" s="394">
        <v>3.456</v>
      </c>
      <c r="G4262" s="394"/>
      <c r="H4262" s="8" t="s">
        <v>61</v>
      </c>
      <c r="I4262" s="368">
        <f t="shared" si="199"/>
        <v>0</v>
      </c>
      <c r="J4262" s="365">
        <f t="shared" si="198"/>
        <v>0</v>
      </c>
      <c r="K4262" s="369">
        <f t="shared" si="200"/>
        <v>6</v>
      </c>
      <c r="L4262" s="369">
        <f>+IF((C4262&gt;='Resultats - informe'!$E$16)*(C4262&lt;='Resultats - informe'!$G$16),1,0)</f>
        <v>1</v>
      </c>
      <c r="M4262" s="369" cm="1">
        <f t="array" ref="M4262">+_xlfn.IFS((C4262&gt;='Resultats - informe'!$D$26)*(C4262&lt;='Resultats - informe'!$E$26),0,(C4262&gt;='Resultats - informe'!$D$27)*(C4262&lt;='Resultats - informe'!$E$27),0,(C4262&gt;='Resultats - informe'!$D$28)*(C4262&lt;='Resultats - informe'!$E$28),0,(C4262&gt;='Resultats - informe'!$D$29)*(C4262&lt;='Resultats - informe'!$E$29),0,1,1)</f>
        <v>0</v>
      </c>
      <c r="N4262" s="366">
        <f>+VLOOKUP(D4262,'Resultats - informe'!$Y$18:$AG$42,'Introducció dades consum'!K4262+1,0)</f>
        <v>0</v>
      </c>
      <c r="O4262" s="370" cm="1">
        <f t="array" ref="O4262">+_xlfn.SWITCH(MONTH(C4262),1,1,2,1,3,1,4,2,5,2,6,3,7,3,8,3,9,3,10,2,11,2,12,1,2)</f>
        <v>1</v>
      </c>
      <c r="P4262" s="43"/>
    </row>
    <row r="4263" spans="1:16" ht="18" x14ac:dyDescent="0.35">
      <c r="A4263" s="43"/>
      <c r="C4263" s="393"/>
      <c r="E4263" s="394"/>
      <c r="F4263" s="394">
        <v>4.7629999999999999</v>
      </c>
      <c r="G4263" s="394"/>
      <c r="H4263" s="8" t="s">
        <v>61</v>
      </c>
      <c r="I4263" s="368">
        <f t="shared" si="199"/>
        <v>0</v>
      </c>
      <c r="J4263" s="365">
        <f t="shared" si="198"/>
        <v>0</v>
      </c>
      <c r="K4263" s="369">
        <f t="shared" si="200"/>
        <v>6</v>
      </c>
      <c r="L4263" s="369">
        <f>+IF((C4263&gt;='Resultats - informe'!$E$16)*(C4263&lt;='Resultats - informe'!$G$16),1,0)</f>
        <v>1</v>
      </c>
      <c r="M4263" s="369" cm="1">
        <f t="array" ref="M4263">+_xlfn.IFS((C4263&gt;='Resultats - informe'!$D$26)*(C4263&lt;='Resultats - informe'!$E$26),0,(C4263&gt;='Resultats - informe'!$D$27)*(C4263&lt;='Resultats - informe'!$E$27),0,(C4263&gt;='Resultats - informe'!$D$28)*(C4263&lt;='Resultats - informe'!$E$28),0,(C4263&gt;='Resultats - informe'!$D$29)*(C4263&lt;='Resultats - informe'!$E$29),0,1,1)</f>
        <v>0</v>
      </c>
      <c r="N4263" s="366">
        <f>+VLOOKUP(D4263,'Resultats - informe'!$Y$18:$AG$42,'Introducció dades consum'!K4263+1,0)</f>
        <v>0</v>
      </c>
      <c r="O4263" s="370" cm="1">
        <f t="array" ref="O4263">+_xlfn.SWITCH(MONTH(C4263),1,1,2,1,3,1,4,2,5,2,6,3,7,3,8,3,9,3,10,2,11,2,12,1,2)</f>
        <v>1</v>
      </c>
      <c r="P4263" s="43"/>
    </row>
    <row r="4264" spans="1:16" ht="18" x14ac:dyDescent="0.35">
      <c r="A4264" s="43"/>
      <c r="C4264" s="393"/>
      <c r="E4264" s="394"/>
      <c r="F4264" s="394">
        <v>4.9260000000000002</v>
      </c>
      <c r="G4264" s="394"/>
      <c r="H4264" s="8" t="s">
        <v>235</v>
      </c>
      <c r="I4264" s="368">
        <f t="shared" si="199"/>
        <v>0</v>
      </c>
      <c r="J4264" s="365">
        <f t="shared" si="198"/>
        <v>0</v>
      </c>
      <c r="K4264" s="369">
        <f t="shared" si="200"/>
        <v>6</v>
      </c>
      <c r="L4264" s="369">
        <f>+IF((C4264&gt;='Resultats - informe'!$E$16)*(C4264&lt;='Resultats - informe'!$G$16),1,0)</f>
        <v>1</v>
      </c>
      <c r="M4264" s="369" cm="1">
        <f t="array" ref="M4264">+_xlfn.IFS((C4264&gt;='Resultats - informe'!$D$26)*(C4264&lt;='Resultats - informe'!$E$26),0,(C4264&gt;='Resultats - informe'!$D$27)*(C4264&lt;='Resultats - informe'!$E$27),0,(C4264&gt;='Resultats - informe'!$D$28)*(C4264&lt;='Resultats - informe'!$E$28),0,(C4264&gt;='Resultats - informe'!$D$29)*(C4264&lt;='Resultats - informe'!$E$29),0,1,1)</f>
        <v>0</v>
      </c>
      <c r="N4264" s="366">
        <f>+VLOOKUP(D4264,'Resultats - informe'!$Y$18:$AG$42,'Introducció dades consum'!K4264+1,0)</f>
        <v>0</v>
      </c>
      <c r="O4264" s="370" cm="1">
        <f t="array" ref="O4264">+_xlfn.SWITCH(MONTH(C4264),1,1,2,1,3,1,4,2,5,2,6,3,7,3,8,3,9,3,10,2,11,2,12,1,2)</f>
        <v>1</v>
      </c>
      <c r="P4264" s="43"/>
    </row>
    <row r="4265" spans="1:16" ht="18" x14ac:dyDescent="0.35">
      <c r="A4265" s="43"/>
      <c r="C4265" s="393"/>
      <c r="E4265" s="394"/>
      <c r="F4265" s="394">
        <v>4.4119999999999999</v>
      </c>
      <c r="G4265" s="394"/>
      <c r="H4265" s="8" t="s">
        <v>235</v>
      </c>
      <c r="I4265" s="368">
        <f t="shared" si="199"/>
        <v>0</v>
      </c>
      <c r="J4265" s="365">
        <f t="shared" si="198"/>
        <v>0</v>
      </c>
      <c r="K4265" s="369">
        <f t="shared" si="200"/>
        <v>6</v>
      </c>
      <c r="L4265" s="369">
        <f>+IF((C4265&gt;='Resultats - informe'!$E$16)*(C4265&lt;='Resultats - informe'!$G$16),1,0)</f>
        <v>1</v>
      </c>
      <c r="M4265" s="369" cm="1">
        <f t="array" ref="M4265">+_xlfn.IFS((C4265&gt;='Resultats - informe'!$D$26)*(C4265&lt;='Resultats - informe'!$E$26),0,(C4265&gt;='Resultats - informe'!$D$27)*(C4265&lt;='Resultats - informe'!$E$27),0,(C4265&gt;='Resultats - informe'!$D$28)*(C4265&lt;='Resultats - informe'!$E$28),0,(C4265&gt;='Resultats - informe'!$D$29)*(C4265&lt;='Resultats - informe'!$E$29),0,1,1)</f>
        <v>0</v>
      </c>
      <c r="N4265" s="366">
        <f>+VLOOKUP(D4265,'Resultats - informe'!$Y$18:$AG$42,'Introducció dades consum'!K4265+1,0)</f>
        <v>0</v>
      </c>
      <c r="O4265" s="370" cm="1">
        <f t="array" ref="O4265">+_xlfn.SWITCH(MONTH(C4265),1,1,2,1,3,1,4,2,5,2,6,3,7,3,8,3,9,3,10,2,11,2,12,1,2)</f>
        <v>1</v>
      </c>
      <c r="P4265" s="43"/>
    </row>
    <row r="4266" spans="1:16" ht="18" x14ac:dyDescent="0.35">
      <c r="A4266" s="43"/>
      <c r="C4266" s="393"/>
      <c r="E4266" s="394"/>
      <c r="F4266" s="394">
        <v>4.8730000000000002</v>
      </c>
      <c r="G4266" s="394"/>
      <c r="H4266" s="8" t="s">
        <v>61</v>
      </c>
      <c r="I4266" s="368">
        <f t="shared" si="199"/>
        <v>0</v>
      </c>
      <c r="J4266" s="365">
        <f t="shared" si="198"/>
        <v>0</v>
      </c>
      <c r="K4266" s="369">
        <f t="shared" si="200"/>
        <v>6</v>
      </c>
      <c r="L4266" s="369">
        <f>+IF((C4266&gt;='Resultats - informe'!$E$16)*(C4266&lt;='Resultats - informe'!$G$16),1,0)</f>
        <v>1</v>
      </c>
      <c r="M4266" s="369" cm="1">
        <f t="array" ref="M4266">+_xlfn.IFS((C4266&gt;='Resultats - informe'!$D$26)*(C4266&lt;='Resultats - informe'!$E$26),0,(C4266&gt;='Resultats - informe'!$D$27)*(C4266&lt;='Resultats - informe'!$E$27),0,(C4266&gt;='Resultats - informe'!$D$28)*(C4266&lt;='Resultats - informe'!$E$28),0,(C4266&gt;='Resultats - informe'!$D$29)*(C4266&lt;='Resultats - informe'!$E$29),0,1,1)</f>
        <v>0</v>
      </c>
      <c r="N4266" s="366">
        <f>+VLOOKUP(D4266,'Resultats - informe'!$Y$18:$AG$42,'Introducció dades consum'!K4266+1,0)</f>
        <v>0</v>
      </c>
      <c r="O4266" s="370" cm="1">
        <f t="array" ref="O4266">+_xlfn.SWITCH(MONTH(C4266),1,1,2,1,3,1,4,2,5,2,6,3,7,3,8,3,9,3,10,2,11,2,12,1,2)</f>
        <v>1</v>
      </c>
      <c r="P4266" s="43"/>
    </row>
    <row r="4267" spans="1:16" ht="18" x14ac:dyDescent="0.35">
      <c r="A4267" s="43"/>
      <c r="C4267" s="393"/>
      <c r="E4267" s="394"/>
      <c r="F4267" s="394">
        <v>6.2030000000000003</v>
      </c>
      <c r="G4267" s="394"/>
      <c r="H4267" s="8" t="s">
        <v>61</v>
      </c>
      <c r="I4267" s="368">
        <f t="shared" si="199"/>
        <v>0</v>
      </c>
      <c r="J4267" s="365">
        <f t="shared" si="198"/>
        <v>0</v>
      </c>
      <c r="K4267" s="369">
        <f t="shared" si="200"/>
        <v>6</v>
      </c>
      <c r="L4267" s="369">
        <f>+IF((C4267&gt;='Resultats - informe'!$E$16)*(C4267&lt;='Resultats - informe'!$G$16),1,0)</f>
        <v>1</v>
      </c>
      <c r="M4267" s="369" cm="1">
        <f t="array" ref="M4267">+_xlfn.IFS((C4267&gt;='Resultats - informe'!$D$26)*(C4267&lt;='Resultats - informe'!$E$26),0,(C4267&gt;='Resultats - informe'!$D$27)*(C4267&lt;='Resultats - informe'!$E$27),0,(C4267&gt;='Resultats - informe'!$D$28)*(C4267&lt;='Resultats - informe'!$E$28),0,(C4267&gt;='Resultats - informe'!$D$29)*(C4267&lt;='Resultats - informe'!$E$29),0,1,1)</f>
        <v>0</v>
      </c>
      <c r="N4267" s="366">
        <f>+VLOOKUP(D4267,'Resultats - informe'!$Y$18:$AG$42,'Introducció dades consum'!K4267+1,0)</f>
        <v>0</v>
      </c>
      <c r="O4267" s="370" cm="1">
        <f t="array" ref="O4267">+_xlfn.SWITCH(MONTH(C4267),1,1,2,1,3,1,4,2,5,2,6,3,7,3,8,3,9,3,10,2,11,2,12,1,2)</f>
        <v>1</v>
      </c>
      <c r="P4267" s="43"/>
    </row>
    <row r="4268" spans="1:16" ht="18" x14ac:dyDescent="0.35">
      <c r="A4268" s="43"/>
      <c r="C4268" s="393"/>
      <c r="E4268" s="394"/>
      <c r="F4268" s="394">
        <v>3.45</v>
      </c>
      <c r="G4268" s="394"/>
      <c r="H4268" s="8" t="s">
        <v>61</v>
      </c>
      <c r="I4268" s="368">
        <f t="shared" si="199"/>
        <v>0</v>
      </c>
      <c r="J4268" s="365">
        <f t="shared" si="198"/>
        <v>0</v>
      </c>
      <c r="K4268" s="369">
        <f t="shared" si="200"/>
        <v>6</v>
      </c>
      <c r="L4268" s="369">
        <f>+IF((C4268&gt;='Resultats - informe'!$E$16)*(C4268&lt;='Resultats - informe'!$G$16),1,0)</f>
        <v>1</v>
      </c>
      <c r="M4268" s="369" cm="1">
        <f t="array" ref="M4268">+_xlfn.IFS((C4268&gt;='Resultats - informe'!$D$26)*(C4268&lt;='Resultats - informe'!$E$26),0,(C4268&gt;='Resultats - informe'!$D$27)*(C4268&lt;='Resultats - informe'!$E$27),0,(C4268&gt;='Resultats - informe'!$D$28)*(C4268&lt;='Resultats - informe'!$E$28),0,(C4268&gt;='Resultats - informe'!$D$29)*(C4268&lt;='Resultats - informe'!$E$29),0,1,1)</f>
        <v>0</v>
      </c>
      <c r="N4268" s="366">
        <f>+VLOOKUP(D4268,'Resultats - informe'!$Y$18:$AG$42,'Introducció dades consum'!K4268+1,0)</f>
        <v>0</v>
      </c>
      <c r="O4268" s="370" cm="1">
        <f t="array" ref="O4268">+_xlfn.SWITCH(MONTH(C4268),1,1,2,1,3,1,4,2,5,2,6,3,7,3,8,3,9,3,10,2,11,2,12,1,2)</f>
        <v>1</v>
      </c>
      <c r="P4268" s="43"/>
    </row>
    <row r="4269" spans="1:16" ht="18" x14ac:dyDescent="0.35">
      <c r="A4269" s="43"/>
      <c r="C4269" s="393"/>
      <c r="E4269" s="394"/>
      <c r="F4269" s="394">
        <v>2.4660000000000002</v>
      </c>
      <c r="G4269" s="394"/>
      <c r="H4269" s="8" t="s">
        <v>61</v>
      </c>
      <c r="I4269" s="368">
        <f t="shared" si="199"/>
        <v>0</v>
      </c>
      <c r="J4269" s="365">
        <f t="shared" si="198"/>
        <v>0</v>
      </c>
      <c r="K4269" s="369">
        <f t="shared" si="200"/>
        <v>6</v>
      </c>
      <c r="L4269" s="369">
        <f>+IF((C4269&gt;='Resultats - informe'!$E$16)*(C4269&lt;='Resultats - informe'!$G$16),1,0)</f>
        <v>1</v>
      </c>
      <c r="M4269" s="369" cm="1">
        <f t="array" ref="M4269">+_xlfn.IFS((C4269&gt;='Resultats - informe'!$D$26)*(C4269&lt;='Resultats - informe'!$E$26),0,(C4269&gt;='Resultats - informe'!$D$27)*(C4269&lt;='Resultats - informe'!$E$27),0,(C4269&gt;='Resultats - informe'!$D$28)*(C4269&lt;='Resultats - informe'!$E$28),0,(C4269&gt;='Resultats - informe'!$D$29)*(C4269&lt;='Resultats - informe'!$E$29),0,1,1)</f>
        <v>0</v>
      </c>
      <c r="N4269" s="366">
        <f>+VLOOKUP(D4269,'Resultats - informe'!$Y$18:$AG$42,'Introducció dades consum'!K4269+1,0)</f>
        <v>0</v>
      </c>
      <c r="O4269" s="370" cm="1">
        <f t="array" ref="O4269">+_xlfn.SWITCH(MONTH(C4269),1,1,2,1,3,1,4,2,5,2,6,3,7,3,8,3,9,3,10,2,11,2,12,1,2)</f>
        <v>1</v>
      </c>
      <c r="P4269" s="43"/>
    </row>
    <row r="4270" spans="1:16" ht="18" x14ac:dyDescent="0.35">
      <c r="A4270" s="43"/>
      <c r="C4270" s="393"/>
      <c r="E4270" s="394"/>
      <c r="F4270" s="394">
        <v>2.2469999999999999</v>
      </c>
      <c r="G4270" s="394"/>
      <c r="H4270" s="8" t="s">
        <v>61</v>
      </c>
      <c r="I4270" s="368">
        <f t="shared" si="199"/>
        <v>0</v>
      </c>
      <c r="J4270" s="365">
        <f t="shared" si="198"/>
        <v>0</v>
      </c>
      <c r="K4270" s="369">
        <f t="shared" si="200"/>
        <v>6</v>
      </c>
      <c r="L4270" s="369">
        <f>+IF((C4270&gt;='Resultats - informe'!$E$16)*(C4270&lt;='Resultats - informe'!$G$16),1,0)</f>
        <v>1</v>
      </c>
      <c r="M4270" s="369" cm="1">
        <f t="array" ref="M4270">+_xlfn.IFS((C4270&gt;='Resultats - informe'!$D$26)*(C4270&lt;='Resultats - informe'!$E$26),0,(C4270&gt;='Resultats - informe'!$D$27)*(C4270&lt;='Resultats - informe'!$E$27),0,(C4270&gt;='Resultats - informe'!$D$28)*(C4270&lt;='Resultats - informe'!$E$28),0,(C4270&gt;='Resultats - informe'!$D$29)*(C4270&lt;='Resultats - informe'!$E$29),0,1,1)</f>
        <v>0</v>
      </c>
      <c r="N4270" s="366">
        <f>+VLOOKUP(D4270,'Resultats - informe'!$Y$18:$AG$42,'Introducció dades consum'!K4270+1,0)</f>
        <v>0</v>
      </c>
      <c r="O4270" s="370" cm="1">
        <f t="array" ref="O4270">+_xlfn.SWITCH(MONTH(C4270),1,1,2,1,3,1,4,2,5,2,6,3,7,3,8,3,9,3,10,2,11,2,12,1,2)</f>
        <v>1</v>
      </c>
      <c r="P4270" s="43"/>
    </row>
    <row r="4271" spans="1:16" ht="18" x14ac:dyDescent="0.35">
      <c r="A4271" s="43"/>
      <c r="C4271" s="393"/>
      <c r="E4271" s="394"/>
      <c r="F4271" s="394">
        <v>0.68500000000000005</v>
      </c>
      <c r="G4271" s="394"/>
      <c r="H4271" s="8" t="s">
        <v>61</v>
      </c>
      <c r="I4271" s="368">
        <f t="shared" si="199"/>
        <v>0</v>
      </c>
      <c r="J4271" s="365">
        <f t="shared" si="198"/>
        <v>0</v>
      </c>
      <c r="K4271" s="369">
        <f t="shared" si="200"/>
        <v>6</v>
      </c>
      <c r="L4271" s="369">
        <f>+IF((C4271&gt;='Resultats - informe'!$E$16)*(C4271&lt;='Resultats - informe'!$G$16),1,0)</f>
        <v>1</v>
      </c>
      <c r="M4271" s="369" cm="1">
        <f t="array" ref="M4271">+_xlfn.IFS((C4271&gt;='Resultats - informe'!$D$26)*(C4271&lt;='Resultats - informe'!$E$26),0,(C4271&gt;='Resultats - informe'!$D$27)*(C4271&lt;='Resultats - informe'!$E$27),0,(C4271&gt;='Resultats - informe'!$D$28)*(C4271&lt;='Resultats - informe'!$E$28),0,(C4271&gt;='Resultats - informe'!$D$29)*(C4271&lt;='Resultats - informe'!$E$29),0,1,1)</f>
        <v>0</v>
      </c>
      <c r="N4271" s="366">
        <f>+VLOOKUP(D4271,'Resultats - informe'!$Y$18:$AG$42,'Introducció dades consum'!K4271+1,0)</f>
        <v>0</v>
      </c>
      <c r="O4271" s="370" cm="1">
        <f t="array" ref="O4271">+_xlfn.SWITCH(MONTH(C4271),1,1,2,1,3,1,4,2,5,2,6,3,7,3,8,3,9,3,10,2,11,2,12,1,2)</f>
        <v>1</v>
      </c>
      <c r="P4271" s="43"/>
    </row>
    <row r="4272" spans="1:16" ht="18" x14ac:dyDescent="0.35">
      <c r="A4272" s="43"/>
      <c r="C4272" s="393"/>
      <c r="E4272" s="394"/>
      <c r="F4272" s="394">
        <v>0</v>
      </c>
      <c r="G4272" s="394"/>
      <c r="H4272" s="8" t="s">
        <v>235</v>
      </c>
      <c r="I4272" s="368">
        <f t="shared" si="199"/>
        <v>0</v>
      </c>
      <c r="J4272" s="365">
        <f t="shared" si="198"/>
        <v>0</v>
      </c>
      <c r="K4272" s="369">
        <f t="shared" si="200"/>
        <v>6</v>
      </c>
      <c r="L4272" s="369">
        <f>+IF((C4272&gt;='Resultats - informe'!$E$16)*(C4272&lt;='Resultats - informe'!$G$16),1,0)</f>
        <v>1</v>
      </c>
      <c r="M4272" s="369" cm="1">
        <f t="array" ref="M4272">+_xlfn.IFS((C4272&gt;='Resultats - informe'!$D$26)*(C4272&lt;='Resultats - informe'!$E$26),0,(C4272&gt;='Resultats - informe'!$D$27)*(C4272&lt;='Resultats - informe'!$E$27),0,(C4272&gt;='Resultats - informe'!$D$28)*(C4272&lt;='Resultats - informe'!$E$28),0,(C4272&gt;='Resultats - informe'!$D$29)*(C4272&lt;='Resultats - informe'!$E$29),0,1,1)</f>
        <v>0</v>
      </c>
      <c r="N4272" s="366">
        <f>+VLOOKUP(D4272,'Resultats - informe'!$Y$18:$AG$42,'Introducció dades consum'!K4272+1,0)</f>
        <v>0</v>
      </c>
      <c r="O4272" s="370" cm="1">
        <f t="array" ref="O4272">+_xlfn.SWITCH(MONTH(C4272),1,1,2,1,3,1,4,2,5,2,6,3,7,3,8,3,9,3,10,2,11,2,12,1,2)</f>
        <v>1</v>
      </c>
      <c r="P4272" s="43"/>
    </row>
    <row r="4273" spans="1:16" ht="18" x14ac:dyDescent="0.35">
      <c r="A4273" s="43"/>
      <c r="C4273" s="393"/>
      <c r="E4273" s="394"/>
      <c r="F4273" s="394">
        <v>0</v>
      </c>
      <c r="G4273" s="394"/>
      <c r="H4273" s="8" t="s">
        <v>235</v>
      </c>
      <c r="I4273" s="368">
        <f t="shared" si="199"/>
        <v>0</v>
      </c>
      <c r="J4273" s="365">
        <f t="shared" si="198"/>
        <v>0</v>
      </c>
      <c r="K4273" s="369">
        <f t="shared" si="200"/>
        <v>6</v>
      </c>
      <c r="L4273" s="369">
        <f>+IF((C4273&gt;='Resultats - informe'!$E$16)*(C4273&lt;='Resultats - informe'!$G$16),1,0)</f>
        <v>1</v>
      </c>
      <c r="M4273" s="369" cm="1">
        <f t="array" ref="M4273">+_xlfn.IFS((C4273&gt;='Resultats - informe'!$D$26)*(C4273&lt;='Resultats - informe'!$E$26),0,(C4273&gt;='Resultats - informe'!$D$27)*(C4273&lt;='Resultats - informe'!$E$27),0,(C4273&gt;='Resultats - informe'!$D$28)*(C4273&lt;='Resultats - informe'!$E$28),0,(C4273&gt;='Resultats - informe'!$D$29)*(C4273&lt;='Resultats - informe'!$E$29),0,1,1)</f>
        <v>0</v>
      </c>
      <c r="N4273" s="366">
        <f>+VLOOKUP(D4273,'Resultats - informe'!$Y$18:$AG$42,'Introducció dades consum'!K4273+1,0)</f>
        <v>0</v>
      </c>
      <c r="O4273" s="370" cm="1">
        <f t="array" ref="O4273">+_xlfn.SWITCH(MONTH(C4273),1,1,2,1,3,1,4,2,5,2,6,3,7,3,8,3,9,3,10,2,11,2,12,1,2)</f>
        <v>1</v>
      </c>
      <c r="P4273" s="43"/>
    </row>
    <row r="4274" spans="1:16" ht="18" x14ac:dyDescent="0.35">
      <c r="A4274" s="43"/>
      <c r="C4274" s="393"/>
      <c r="E4274" s="394"/>
      <c r="F4274" s="394">
        <v>0</v>
      </c>
      <c r="G4274" s="394"/>
      <c r="H4274" s="8" t="s">
        <v>235</v>
      </c>
      <c r="I4274" s="368">
        <f t="shared" si="199"/>
        <v>0</v>
      </c>
      <c r="J4274" s="365">
        <f t="shared" si="198"/>
        <v>0</v>
      </c>
      <c r="K4274" s="369">
        <f t="shared" si="200"/>
        <v>6</v>
      </c>
      <c r="L4274" s="369">
        <f>+IF((C4274&gt;='Resultats - informe'!$E$16)*(C4274&lt;='Resultats - informe'!$G$16),1,0)</f>
        <v>1</v>
      </c>
      <c r="M4274" s="369" cm="1">
        <f t="array" ref="M4274">+_xlfn.IFS((C4274&gt;='Resultats - informe'!$D$26)*(C4274&lt;='Resultats - informe'!$E$26),0,(C4274&gt;='Resultats - informe'!$D$27)*(C4274&lt;='Resultats - informe'!$E$27),0,(C4274&gt;='Resultats - informe'!$D$28)*(C4274&lt;='Resultats - informe'!$E$28),0,(C4274&gt;='Resultats - informe'!$D$29)*(C4274&lt;='Resultats - informe'!$E$29),0,1,1)</f>
        <v>0</v>
      </c>
      <c r="N4274" s="366">
        <f>+VLOOKUP(D4274,'Resultats - informe'!$Y$18:$AG$42,'Introducció dades consum'!K4274+1,0)</f>
        <v>0</v>
      </c>
      <c r="O4274" s="370" cm="1">
        <f t="array" ref="O4274">+_xlfn.SWITCH(MONTH(C4274),1,1,2,1,3,1,4,2,5,2,6,3,7,3,8,3,9,3,10,2,11,2,12,1,2)</f>
        <v>1</v>
      </c>
      <c r="P4274" s="43"/>
    </row>
    <row r="4275" spans="1:16" ht="18" x14ac:dyDescent="0.35">
      <c r="A4275" s="43"/>
      <c r="C4275" s="393"/>
      <c r="E4275" s="394"/>
      <c r="F4275" s="394">
        <v>0</v>
      </c>
      <c r="G4275" s="394"/>
      <c r="H4275" s="8" t="s">
        <v>235</v>
      </c>
      <c r="I4275" s="368">
        <f t="shared" si="199"/>
        <v>0</v>
      </c>
      <c r="J4275" s="365">
        <f t="shared" si="198"/>
        <v>0</v>
      </c>
      <c r="K4275" s="369">
        <f t="shared" si="200"/>
        <v>6</v>
      </c>
      <c r="L4275" s="369">
        <f>+IF((C4275&gt;='Resultats - informe'!$E$16)*(C4275&lt;='Resultats - informe'!$G$16),1,0)</f>
        <v>1</v>
      </c>
      <c r="M4275" s="369" cm="1">
        <f t="array" ref="M4275">+_xlfn.IFS((C4275&gt;='Resultats - informe'!$D$26)*(C4275&lt;='Resultats - informe'!$E$26),0,(C4275&gt;='Resultats - informe'!$D$27)*(C4275&lt;='Resultats - informe'!$E$27),0,(C4275&gt;='Resultats - informe'!$D$28)*(C4275&lt;='Resultats - informe'!$E$28),0,(C4275&gt;='Resultats - informe'!$D$29)*(C4275&lt;='Resultats - informe'!$E$29),0,1,1)</f>
        <v>0</v>
      </c>
      <c r="N4275" s="366">
        <f>+VLOOKUP(D4275,'Resultats - informe'!$Y$18:$AG$42,'Introducció dades consum'!K4275+1,0)</f>
        <v>0</v>
      </c>
      <c r="O4275" s="370" cm="1">
        <f t="array" ref="O4275">+_xlfn.SWITCH(MONTH(C4275),1,1,2,1,3,1,4,2,5,2,6,3,7,3,8,3,9,3,10,2,11,2,12,1,2)</f>
        <v>1</v>
      </c>
      <c r="P4275" s="43"/>
    </row>
    <row r="4276" spans="1:16" ht="18" x14ac:dyDescent="0.35">
      <c r="A4276" s="43"/>
      <c r="C4276" s="393"/>
      <c r="E4276" s="394"/>
      <c r="F4276" s="394">
        <v>0</v>
      </c>
      <c r="G4276" s="394"/>
      <c r="H4276" s="8" t="s">
        <v>235</v>
      </c>
      <c r="I4276" s="368">
        <f t="shared" si="199"/>
        <v>0</v>
      </c>
      <c r="J4276" s="365">
        <f t="shared" si="198"/>
        <v>0</v>
      </c>
      <c r="K4276" s="369">
        <f t="shared" si="200"/>
        <v>6</v>
      </c>
      <c r="L4276" s="369">
        <f>+IF((C4276&gt;='Resultats - informe'!$E$16)*(C4276&lt;='Resultats - informe'!$G$16),1,0)</f>
        <v>1</v>
      </c>
      <c r="M4276" s="369" cm="1">
        <f t="array" ref="M4276">+_xlfn.IFS((C4276&gt;='Resultats - informe'!$D$26)*(C4276&lt;='Resultats - informe'!$E$26),0,(C4276&gt;='Resultats - informe'!$D$27)*(C4276&lt;='Resultats - informe'!$E$27),0,(C4276&gt;='Resultats - informe'!$D$28)*(C4276&lt;='Resultats - informe'!$E$28),0,(C4276&gt;='Resultats - informe'!$D$29)*(C4276&lt;='Resultats - informe'!$E$29),0,1,1)</f>
        <v>0</v>
      </c>
      <c r="N4276" s="366">
        <f>+VLOOKUP(D4276,'Resultats - informe'!$Y$18:$AG$42,'Introducció dades consum'!K4276+1,0)</f>
        <v>0</v>
      </c>
      <c r="O4276" s="370" cm="1">
        <f t="array" ref="O4276">+_xlfn.SWITCH(MONTH(C4276),1,1,2,1,3,1,4,2,5,2,6,3,7,3,8,3,9,3,10,2,11,2,12,1,2)</f>
        <v>1</v>
      </c>
      <c r="P4276" s="43"/>
    </row>
    <row r="4277" spans="1:16" ht="18" x14ac:dyDescent="0.35">
      <c r="A4277" s="43"/>
      <c r="C4277" s="393"/>
      <c r="E4277" s="394"/>
      <c r="F4277" s="394">
        <v>0</v>
      </c>
      <c r="G4277" s="394"/>
      <c r="H4277" s="8" t="s">
        <v>235</v>
      </c>
      <c r="I4277" s="368">
        <f t="shared" si="199"/>
        <v>0</v>
      </c>
      <c r="J4277" s="365">
        <f t="shared" si="198"/>
        <v>0</v>
      </c>
      <c r="K4277" s="369">
        <f t="shared" si="200"/>
        <v>6</v>
      </c>
      <c r="L4277" s="369">
        <f>+IF((C4277&gt;='Resultats - informe'!$E$16)*(C4277&lt;='Resultats - informe'!$G$16),1,0)</f>
        <v>1</v>
      </c>
      <c r="M4277" s="369" cm="1">
        <f t="array" ref="M4277">+_xlfn.IFS((C4277&gt;='Resultats - informe'!$D$26)*(C4277&lt;='Resultats - informe'!$E$26),0,(C4277&gt;='Resultats - informe'!$D$27)*(C4277&lt;='Resultats - informe'!$E$27),0,(C4277&gt;='Resultats - informe'!$D$28)*(C4277&lt;='Resultats - informe'!$E$28),0,(C4277&gt;='Resultats - informe'!$D$29)*(C4277&lt;='Resultats - informe'!$E$29),0,1,1)</f>
        <v>0</v>
      </c>
      <c r="N4277" s="366">
        <f>+VLOOKUP(D4277,'Resultats - informe'!$Y$18:$AG$42,'Introducció dades consum'!K4277+1,0)</f>
        <v>0</v>
      </c>
      <c r="O4277" s="370" cm="1">
        <f t="array" ref="O4277">+_xlfn.SWITCH(MONTH(C4277),1,1,2,1,3,1,4,2,5,2,6,3,7,3,8,3,9,3,10,2,11,2,12,1,2)</f>
        <v>1</v>
      </c>
      <c r="P4277" s="43"/>
    </row>
    <row r="4278" spans="1:16" ht="18" x14ac:dyDescent="0.35">
      <c r="A4278" s="43"/>
      <c r="C4278" s="393"/>
      <c r="E4278" s="394"/>
      <c r="F4278" s="394">
        <v>0</v>
      </c>
      <c r="G4278" s="394"/>
      <c r="H4278" s="8" t="s">
        <v>235</v>
      </c>
      <c r="I4278" s="368">
        <f t="shared" si="199"/>
        <v>0</v>
      </c>
      <c r="J4278" s="365">
        <f t="shared" si="198"/>
        <v>0</v>
      </c>
      <c r="K4278" s="369">
        <f t="shared" si="200"/>
        <v>6</v>
      </c>
      <c r="L4278" s="369">
        <f>+IF((C4278&gt;='Resultats - informe'!$E$16)*(C4278&lt;='Resultats - informe'!$G$16),1,0)</f>
        <v>1</v>
      </c>
      <c r="M4278" s="369" cm="1">
        <f t="array" ref="M4278">+_xlfn.IFS((C4278&gt;='Resultats - informe'!$D$26)*(C4278&lt;='Resultats - informe'!$E$26),0,(C4278&gt;='Resultats - informe'!$D$27)*(C4278&lt;='Resultats - informe'!$E$27),0,(C4278&gt;='Resultats - informe'!$D$28)*(C4278&lt;='Resultats - informe'!$E$28),0,(C4278&gt;='Resultats - informe'!$D$29)*(C4278&lt;='Resultats - informe'!$E$29),0,1,1)</f>
        <v>0</v>
      </c>
      <c r="N4278" s="366">
        <f>+VLOOKUP(D4278,'Resultats - informe'!$Y$18:$AG$42,'Introducció dades consum'!K4278+1,0)</f>
        <v>0</v>
      </c>
      <c r="O4278" s="370" cm="1">
        <f t="array" ref="O4278">+_xlfn.SWITCH(MONTH(C4278),1,1,2,1,3,1,4,2,5,2,6,3,7,3,8,3,9,3,10,2,11,2,12,1,2)</f>
        <v>1</v>
      </c>
      <c r="P4278" s="43"/>
    </row>
    <row r="4279" spans="1:16" ht="18" x14ac:dyDescent="0.35">
      <c r="A4279" s="43"/>
      <c r="C4279" s="393"/>
      <c r="E4279" s="394"/>
      <c r="F4279" s="394">
        <v>0</v>
      </c>
      <c r="G4279" s="394"/>
      <c r="H4279" s="8" t="s">
        <v>235</v>
      </c>
      <c r="I4279" s="368">
        <f t="shared" si="199"/>
        <v>0</v>
      </c>
      <c r="J4279" s="365">
        <f t="shared" si="198"/>
        <v>0</v>
      </c>
      <c r="K4279" s="369">
        <f t="shared" si="200"/>
        <v>6</v>
      </c>
      <c r="L4279" s="369">
        <f>+IF((C4279&gt;='Resultats - informe'!$E$16)*(C4279&lt;='Resultats - informe'!$G$16),1,0)</f>
        <v>1</v>
      </c>
      <c r="M4279" s="369" cm="1">
        <f t="array" ref="M4279">+_xlfn.IFS((C4279&gt;='Resultats - informe'!$D$26)*(C4279&lt;='Resultats - informe'!$E$26),0,(C4279&gt;='Resultats - informe'!$D$27)*(C4279&lt;='Resultats - informe'!$E$27),0,(C4279&gt;='Resultats - informe'!$D$28)*(C4279&lt;='Resultats - informe'!$E$28),0,(C4279&gt;='Resultats - informe'!$D$29)*(C4279&lt;='Resultats - informe'!$E$29),0,1,1)</f>
        <v>0</v>
      </c>
      <c r="N4279" s="366">
        <f>+VLOOKUP(D4279,'Resultats - informe'!$Y$18:$AG$42,'Introducció dades consum'!K4279+1,0)</f>
        <v>0</v>
      </c>
      <c r="O4279" s="370" cm="1">
        <f t="array" ref="O4279">+_xlfn.SWITCH(MONTH(C4279),1,1,2,1,3,1,4,2,5,2,6,3,7,3,8,3,9,3,10,2,11,2,12,1,2)</f>
        <v>1</v>
      </c>
      <c r="P4279" s="43"/>
    </row>
    <row r="4280" spans="1:16" ht="18" x14ac:dyDescent="0.35">
      <c r="A4280" s="43"/>
      <c r="C4280" s="393"/>
      <c r="E4280" s="394"/>
      <c r="F4280" s="394">
        <v>0</v>
      </c>
      <c r="G4280" s="394"/>
      <c r="H4280" s="8" t="s">
        <v>235</v>
      </c>
      <c r="I4280" s="368">
        <f t="shared" si="199"/>
        <v>0</v>
      </c>
      <c r="J4280" s="365">
        <f t="shared" si="198"/>
        <v>0</v>
      </c>
      <c r="K4280" s="369">
        <f t="shared" si="200"/>
        <v>6</v>
      </c>
      <c r="L4280" s="369">
        <f>+IF((C4280&gt;='Resultats - informe'!$E$16)*(C4280&lt;='Resultats - informe'!$G$16),1,0)</f>
        <v>1</v>
      </c>
      <c r="M4280" s="369" cm="1">
        <f t="array" ref="M4280">+_xlfn.IFS((C4280&gt;='Resultats - informe'!$D$26)*(C4280&lt;='Resultats - informe'!$E$26),0,(C4280&gt;='Resultats - informe'!$D$27)*(C4280&lt;='Resultats - informe'!$E$27),0,(C4280&gt;='Resultats - informe'!$D$28)*(C4280&lt;='Resultats - informe'!$E$28),0,(C4280&gt;='Resultats - informe'!$D$29)*(C4280&lt;='Resultats - informe'!$E$29),0,1,1)</f>
        <v>0</v>
      </c>
      <c r="N4280" s="366">
        <f>+VLOOKUP(D4280,'Resultats - informe'!$Y$18:$AG$42,'Introducció dades consum'!K4280+1,0)</f>
        <v>0</v>
      </c>
      <c r="O4280" s="370" cm="1">
        <f t="array" ref="O4280">+_xlfn.SWITCH(MONTH(C4280),1,1,2,1,3,1,4,2,5,2,6,3,7,3,8,3,9,3,10,2,11,2,12,1,2)</f>
        <v>1</v>
      </c>
      <c r="P4280" s="43"/>
    </row>
    <row r="4281" spans="1:16" ht="18" x14ac:dyDescent="0.35">
      <c r="A4281" s="43"/>
      <c r="C4281" s="393"/>
      <c r="E4281" s="394"/>
      <c r="F4281" s="394">
        <v>0.22500000000000001</v>
      </c>
      <c r="G4281" s="394"/>
      <c r="H4281" s="8" t="s">
        <v>235</v>
      </c>
      <c r="I4281" s="368">
        <f t="shared" si="199"/>
        <v>0</v>
      </c>
      <c r="J4281" s="365">
        <f t="shared" si="198"/>
        <v>0</v>
      </c>
      <c r="K4281" s="369">
        <f t="shared" si="200"/>
        <v>6</v>
      </c>
      <c r="L4281" s="369">
        <f>+IF((C4281&gt;='Resultats - informe'!$E$16)*(C4281&lt;='Resultats - informe'!$G$16),1,0)</f>
        <v>1</v>
      </c>
      <c r="M4281" s="369" cm="1">
        <f t="array" ref="M4281">+_xlfn.IFS((C4281&gt;='Resultats - informe'!$D$26)*(C4281&lt;='Resultats - informe'!$E$26),0,(C4281&gt;='Resultats - informe'!$D$27)*(C4281&lt;='Resultats - informe'!$E$27),0,(C4281&gt;='Resultats - informe'!$D$28)*(C4281&lt;='Resultats - informe'!$E$28),0,(C4281&gt;='Resultats - informe'!$D$29)*(C4281&lt;='Resultats - informe'!$E$29),0,1,1)</f>
        <v>0</v>
      </c>
      <c r="N4281" s="366">
        <f>+VLOOKUP(D4281,'Resultats - informe'!$Y$18:$AG$42,'Introducció dades consum'!K4281+1,0)</f>
        <v>0</v>
      </c>
      <c r="O4281" s="370" cm="1">
        <f t="array" ref="O4281">+_xlfn.SWITCH(MONTH(C4281),1,1,2,1,3,1,4,2,5,2,6,3,7,3,8,3,9,3,10,2,11,2,12,1,2)</f>
        <v>1</v>
      </c>
      <c r="P4281" s="43"/>
    </row>
    <row r="4282" spans="1:16" ht="18" x14ac:dyDescent="0.35">
      <c r="A4282" s="43"/>
      <c r="C4282" s="393"/>
      <c r="E4282" s="394"/>
      <c r="F4282" s="394">
        <v>0.77800000000000002</v>
      </c>
      <c r="G4282" s="394"/>
      <c r="H4282" s="8" t="s">
        <v>235</v>
      </c>
      <c r="I4282" s="368">
        <f t="shared" si="199"/>
        <v>0</v>
      </c>
      <c r="J4282" s="365">
        <f t="shared" si="198"/>
        <v>0</v>
      </c>
      <c r="K4282" s="369">
        <f t="shared" si="200"/>
        <v>6</v>
      </c>
      <c r="L4282" s="369">
        <f>+IF((C4282&gt;='Resultats - informe'!$E$16)*(C4282&lt;='Resultats - informe'!$G$16),1,0)</f>
        <v>1</v>
      </c>
      <c r="M4282" s="369" cm="1">
        <f t="array" ref="M4282">+_xlfn.IFS((C4282&gt;='Resultats - informe'!$D$26)*(C4282&lt;='Resultats - informe'!$E$26),0,(C4282&gt;='Resultats - informe'!$D$27)*(C4282&lt;='Resultats - informe'!$E$27),0,(C4282&gt;='Resultats - informe'!$D$28)*(C4282&lt;='Resultats - informe'!$E$28),0,(C4282&gt;='Resultats - informe'!$D$29)*(C4282&lt;='Resultats - informe'!$E$29),0,1,1)</f>
        <v>0</v>
      </c>
      <c r="N4282" s="366">
        <f>+VLOOKUP(D4282,'Resultats - informe'!$Y$18:$AG$42,'Introducció dades consum'!K4282+1,0)</f>
        <v>0</v>
      </c>
      <c r="O4282" s="370" cm="1">
        <f t="array" ref="O4282">+_xlfn.SWITCH(MONTH(C4282),1,1,2,1,3,1,4,2,5,2,6,3,7,3,8,3,9,3,10,2,11,2,12,1,2)</f>
        <v>1</v>
      </c>
      <c r="P4282" s="43"/>
    </row>
    <row r="4283" spans="1:16" ht="18" x14ac:dyDescent="0.35">
      <c r="A4283" s="43"/>
      <c r="C4283" s="393"/>
      <c r="E4283" s="394"/>
      <c r="F4283" s="394">
        <v>1.3420000000000001</v>
      </c>
      <c r="G4283" s="394"/>
      <c r="H4283" s="8" t="s">
        <v>235</v>
      </c>
      <c r="I4283" s="368">
        <f t="shared" si="199"/>
        <v>0</v>
      </c>
      <c r="J4283" s="365">
        <f t="shared" ref="J4283:J4346" si="201">+C4283</f>
        <v>0</v>
      </c>
      <c r="K4283" s="369">
        <f t="shared" si="200"/>
        <v>6</v>
      </c>
      <c r="L4283" s="369">
        <f>+IF((C4283&gt;='Resultats - informe'!$E$16)*(C4283&lt;='Resultats - informe'!$G$16),1,0)</f>
        <v>1</v>
      </c>
      <c r="M4283" s="369" cm="1">
        <f t="array" ref="M4283">+_xlfn.IFS((C4283&gt;='Resultats - informe'!$D$26)*(C4283&lt;='Resultats - informe'!$E$26),0,(C4283&gt;='Resultats - informe'!$D$27)*(C4283&lt;='Resultats - informe'!$E$27),0,(C4283&gt;='Resultats - informe'!$D$28)*(C4283&lt;='Resultats - informe'!$E$28),0,(C4283&gt;='Resultats - informe'!$D$29)*(C4283&lt;='Resultats - informe'!$E$29),0,1,1)</f>
        <v>0</v>
      </c>
      <c r="N4283" s="366">
        <f>+VLOOKUP(D4283,'Resultats - informe'!$Y$18:$AG$42,'Introducció dades consum'!K4283+1,0)</f>
        <v>0</v>
      </c>
      <c r="O4283" s="370" cm="1">
        <f t="array" ref="O4283">+_xlfn.SWITCH(MONTH(C4283),1,1,2,1,3,1,4,2,5,2,6,3,7,3,8,3,9,3,10,2,11,2,12,1,2)</f>
        <v>1</v>
      </c>
      <c r="P4283" s="43"/>
    </row>
    <row r="4284" spans="1:16" ht="18" x14ac:dyDescent="0.35">
      <c r="A4284" s="43"/>
      <c r="C4284" s="393"/>
      <c r="E4284" s="394"/>
      <c r="F4284" s="394">
        <v>1.859</v>
      </c>
      <c r="G4284" s="394"/>
      <c r="H4284" s="8" t="s">
        <v>235</v>
      </c>
      <c r="I4284" s="368">
        <f t="shared" si="199"/>
        <v>0</v>
      </c>
      <c r="J4284" s="365">
        <f t="shared" si="201"/>
        <v>0</v>
      </c>
      <c r="K4284" s="369">
        <f t="shared" si="200"/>
        <v>6</v>
      </c>
      <c r="L4284" s="369">
        <f>+IF((C4284&gt;='Resultats - informe'!$E$16)*(C4284&lt;='Resultats - informe'!$G$16),1,0)</f>
        <v>1</v>
      </c>
      <c r="M4284" s="369" cm="1">
        <f t="array" ref="M4284">+_xlfn.IFS((C4284&gt;='Resultats - informe'!$D$26)*(C4284&lt;='Resultats - informe'!$E$26),0,(C4284&gt;='Resultats - informe'!$D$27)*(C4284&lt;='Resultats - informe'!$E$27),0,(C4284&gt;='Resultats - informe'!$D$28)*(C4284&lt;='Resultats - informe'!$E$28),0,(C4284&gt;='Resultats - informe'!$D$29)*(C4284&lt;='Resultats - informe'!$E$29),0,1,1)</f>
        <v>0</v>
      </c>
      <c r="N4284" s="366">
        <f>+VLOOKUP(D4284,'Resultats - informe'!$Y$18:$AG$42,'Introducció dades consum'!K4284+1,0)</f>
        <v>0</v>
      </c>
      <c r="O4284" s="370" cm="1">
        <f t="array" ref="O4284">+_xlfn.SWITCH(MONTH(C4284),1,1,2,1,3,1,4,2,5,2,6,3,7,3,8,3,9,3,10,2,11,2,12,1,2)</f>
        <v>1</v>
      </c>
      <c r="P4284" s="43"/>
    </row>
    <row r="4285" spans="1:16" ht="18" x14ac:dyDescent="0.35">
      <c r="A4285" s="43"/>
      <c r="C4285" s="393"/>
      <c r="E4285" s="394"/>
      <c r="F4285" s="394">
        <v>2.0419999999999998</v>
      </c>
      <c r="G4285" s="394"/>
      <c r="H4285" s="8" t="s">
        <v>61</v>
      </c>
      <c r="I4285" s="368">
        <f t="shared" si="199"/>
        <v>0</v>
      </c>
      <c r="J4285" s="365">
        <f t="shared" si="201"/>
        <v>0</v>
      </c>
      <c r="K4285" s="369">
        <f t="shared" si="200"/>
        <v>6</v>
      </c>
      <c r="L4285" s="369">
        <f>+IF((C4285&gt;='Resultats - informe'!$E$16)*(C4285&lt;='Resultats - informe'!$G$16),1,0)</f>
        <v>1</v>
      </c>
      <c r="M4285" s="369" cm="1">
        <f t="array" ref="M4285">+_xlfn.IFS((C4285&gt;='Resultats - informe'!$D$26)*(C4285&lt;='Resultats - informe'!$E$26),0,(C4285&gt;='Resultats - informe'!$D$27)*(C4285&lt;='Resultats - informe'!$E$27),0,(C4285&gt;='Resultats - informe'!$D$28)*(C4285&lt;='Resultats - informe'!$E$28),0,(C4285&gt;='Resultats - informe'!$D$29)*(C4285&lt;='Resultats - informe'!$E$29),0,1,1)</f>
        <v>0</v>
      </c>
      <c r="N4285" s="366">
        <f>+VLOOKUP(D4285,'Resultats - informe'!$Y$18:$AG$42,'Introducció dades consum'!K4285+1,0)</f>
        <v>0</v>
      </c>
      <c r="O4285" s="370" cm="1">
        <f t="array" ref="O4285">+_xlfn.SWITCH(MONTH(C4285),1,1,2,1,3,1,4,2,5,2,6,3,7,3,8,3,9,3,10,2,11,2,12,1,2)</f>
        <v>1</v>
      </c>
      <c r="P4285" s="43"/>
    </row>
    <row r="4286" spans="1:16" ht="18" x14ac:dyDescent="0.35">
      <c r="A4286" s="43"/>
      <c r="C4286" s="393"/>
      <c r="E4286" s="394"/>
      <c r="F4286" s="394">
        <v>2.4289999999999998</v>
      </c>
      <c r="G4286" s="394"/>
      <c r="H4286" s="8" t="s">
        <v>235</v>
      </c>
      <c r="I4286" s="368">
        <f t="shared" si="199"/>
        <v>0</v>
      </c>
      <c r="J4286" s="365">
        <f t="shared" si="201"/>
        <v>0</v>
      </c>
      <c r="K4286" s="369">
        <f t="shared" si="200"/>
        <v>6</v>
      </c>
      <c r="L4286" s="369">
        <f>+IF((C4286&gt;='Resultats - informe'!$E$16)*(C4286&lt;='Resultats - informe'!$G$16),1,0)</f>
        <v>1</v>
      </c>
      <c r="M4286" s="369" cm="1">
        <f t="array" ref="M4286">+_xlfn.IFS((C4286&gt;='Resultats - informe'!$D$26)*(C4286&lt;='Resultats - informe'!$E$26),0,(C4286&gt;='Resultats - informe'!$D$27)*(C4286&lt;='Resultats - informe'!$E$27),0,(C4286&gt;='Resultats - informe'!$D$28)*(C4286&lt;='Resultats - informe'!$E$28),0,(C4286&gt;='Resultats - informe'!$D$29)*(C4286&lt;='Resultats - informe'!$E$29),0,1,1)</f>
        <v>0</v>
      </c>
      <c r="N4286" s="366">
        <f>+VLOOKUP(D4286,'Resultats - informe'!$Y$18:$AG$42,'Introducció dades consum'!K4286+1,0)</f>
        <v>0</v>
      </c>
      <c r="O4286" s="370" cm="1">
        <f t="array" ref="O4286">+_xlfn.SWITCH(MONTH(C4286),1,1,2,1,3,1,4,2,5,2,6,3,7,3,8,3,9,3,10,2,11,2,12,1,2)</f>
        <v>1</v>
      </c>
      <c r="P4286" s="43"/>
    </row>
    <row r="4287" spans="1:16" ht="18" x14ac:dyDescent="0.35">
      <c r="A4287" s="43"/>
      <c r="C4287" s="393"/>
      <c r="E4287" s="394"/>
      <c r="F4287" s="394">
        <v>2.9260000000000002</v>
      </c>
      <c r="G4287" s="394"/>
      <c r="H4287" s="8" t="s">
        <v>235</v>
      </c>
      <c r="I4287" s="368">
        <f t="shared" si="199"/>
        <v>0</v>
      </c>
      <c r="J4287" s="365">
        <f t="shared" si="201"/>
        <v>0</v>
      </c>
      <c r="K4287" s="369">
        <f t="shared" si="200"/>
        <v>6</v>
      </c>
      <c r="L4287" s="369">
        <f>+IF((C4287&gt;='Resultats - informe'!$E$16)*(C4287&lt;='Resultats - informe'!$G$16),1,0)</f>
        <v>1</v>
      </c>
      <c r="M4287" s="369" cm="1">
        <f t="array" ref="M4287">+_xlfn.IFS((C4287&gt;='Resultats - informe'!$D$26)*(C4287&lt;='Resultats - informe'!$E$26),0,(C4287&gt;='Resultats - informe'!$D$27)*(C4287&lt;='Resultats - informe'!$E$27),0,(C4287&gt;='Resultats - informe'!$D$28)*(C4287&lt;='Resultats - informe'!$E$28),0,(C4287&gt;='Resultats - informe'!$D$29)*(C4287&lt;='Resultats - informe'!$E$29),0,1,1)</f>
        <v>0</v>
      </c>
      <c r="N4287" s="366">
        <f>+VLOOKUP(D4287,'Resultats - informe'!$Y$18:$AG$42,'Introducció dades consum'!K4287+1,0)</f>
        <v>0</v>
      </c>
      <c r="O4287" s="370" cm="1">
        <f t="array" ref="O4287">+_xlfn.SWITCH(MONTH(C4287),1,1,2,1,3,1,4,2,5,2,6,3,7,3,8,3,9,3,10,2,11,2,12,1,2)</f>
        <v>1</v>
      </c>
      <c r="P4287" s="43"/>
    </row>
    <row r="4288" spans="1:16" ht="18" x14ac:dyDescent="0.35">
      <c r="A4288" s="43"/>
      <c r="C4288" s="393"/>
      <c r="E4288" s="394"/>
      <c r="F4288" s="394">
        <v>2.7879999999999998</v>
      </c>
      <c r="G4288" s="394"/>
      <c r="H4288" s="8" t="s">
        <v>235</v>
      </c>
      <c r="I4288" s="368">
        <f t="shared" si="199"/>
        <v>0</v>
      </c>
      <c r="J4288" s="365">
        <f t="shared" si="201"/>
        <v>0</v>
      </c>
      <c r="K4288" s="369">
        <f t="shared" si="200"/>
        <v>6</v>
      </c>
      <c r="L4288" s="369">
        <f>+IF((C4288&gt;='Resultats - informe'!$E$16)*(C4288&lt;='Resultats - informe'!$G$16),1,0)</f>
        <v>1</v>
      </c>
      <c r="M4288" s="369" cm="1">
        <f t="array" ref="M4288">+_xlfn.IFS((C4288&gt;='Resultats - informe'!$D$26)*(C4288&lt;='Resultats - informe'!$E$26),0,(C4288&gt;='Resultats - informe'!$D$27)*(C4288&lt;='Resultats - informe'!$E$27),0,(C4288&gt;='Resultats - informe'!$D$28)*(C4288&lt;='Resultats - informe'!$E$28),0,(C4288&gt;='Resultats - informe'!$D$29)*(C4288&lt;='Resultats - informe'!$E$29),0,1,1)</f>
        <v>0</v>
      </c>
      <c r="N4288" s="366">
        <f>+VLOOKUP(D4288,'Resultats - informe'!$Y$18:$AG$42,'Introducció dades consum'!K4288+1,0)</f>
        <v>0</v>
      </c>
      <c r="O4288" s="370" cm="1">
        <f t="array" ref="O4288">+_xlfn.SWITCH(MONTH(C4288),1,1,2,1,3,1,4,2,5,2,6,3,7,3,8,3,9,3,10,2,11,2,12,1,2)</f>
        <v>1</v>
      </c>
      <c r="P4288" s="43"/>
    </row>
    <row r="4289" spans="1:16" ht="18" x14ac:dyDescent="0.35">
      <c r="A4289" s="43"/>
      <c r="C4289" s="393"/>
      <c r="E4289" s="394"/>
      <c r="F4289" s="394">
        <v>2.4750000000000001</v>
      </c>
      <c r="G4289" s="394"/>
      <c r="H4289" s="8" t="s">
        <v>235</v>
      </c>
      <c r="I4289" s="368">
        <f t="shared" si="199"/>
        <v>0</v>
      </c>
      <c r="J4289" s="365">
        <f t="shared" si="201"/>
        <v>0</v>
      </c>
      <c r="K4289" s="369">
        <f t="shared" si="200"/>
        <v>6</v>
      </c>
      <c r="L4289" s="369">
        <f>+IF((C4289&gt;='Resultats - informe'!$E$16)*(C4289&lt;='Resultats - informe'!$G$16),1,0)</f>
        <v>1</v>
      </c>
      <c r="M4289" s="369" cm="1">
        <f t="array" ref="M4289">+_xlfn.IFS((C4289&gt;='Resultats - informe'!$D$26)*(C4289&lt;='Resultats - informe'!$E$26),0,(C4289&gt;='Resultats - informe'!$D$27)*(C4289&lt;='Resultats - informe'!$E$27),0,(C4289&gt;='Resultats - informe'!$D$28)*(C4289&lt;='Resultats - informe'!$E$28),0,(C4289&gt;='Resultats - informe'!$D$29)*(C4289&lt;='Resultats - informe'!$E$29),0,1,1)</f>
        <v>0</v>
      </c>
      <c r="N4289" s="366">
        <f>+VLOOKUP(D4289,'Resultats - informe'!$Y$18:$AG$42,'Introducció dades consum'!K4289+1,0)</f>
        <v>0</v>
      </c>
      <c r="O4289" s="370" cm="1">
        <f t="array" ref="O4289">+_xlfn.SWITCH(MONTH(C4289),1,1,2,1,3,1,4,2,5,2,6,3,7,3,8,3,9,3,10,2,11,2,12,1,2)</f>
        <v>1</v>
      </c>
      <c r="P4289" s="43"/>
    </row>
    <row r="4290" spans="1:16" ht="18" x14ac:dyDescent="0.35">
      <c r="A4290" s="43"/>
      <c r="C4290" s="393"/>
      <c r="E4290" s="394"/>
      <c r="F4290" s="394">
        <v>1.994</v>
      </c>
      <c r="G4290" s="394"/>
      <c r="H4290" s="8" t="s">
        <v>235</v>
      </c>
      <c r="I4290" s="368">
        <f t="shared" si="199"/>
        <v>0</v>
      </c>
      <c r="J4290" s="365">
        <f t="shared" si="201"/>
        <v>0</v>
      </c>
      <c r="K4290" s="369">
        <f t="shared" si="200"/>
        <v>6</v>
      </c>
      <c r="L4290" s="369">
        <f>+IF((C4290&gt;='Resultats - informe'!$E$16)*(C4290&lt;='Resultats - informe'!$G$16),1,0)</f>
        <v>1</v>
      </c>
      <c r="M4290" s="369" cm="1">
        <f t="array" ref="M4290">+_xlfn.IFS((C4290&gt;='Resultats - informe'!$D$26)*(C4290&lt;='Resultats - informe'!$E$26),0,(C4290&gt;='Resultats - informe'!$D$27)*(C4290&lt;='Resultats - informe'!$E$27),0,(C4290&gt;='Resultats - informe'!$D$28)*(C4290&lt;='Resultats - informe'!$E$28),0,(C4290&gt;='Resultats - informe'!$D$29)*(C4290&lt;='Resultats - informe'!$E$29),0,1,1)</f>
        <v>0</v>
      </c>
      <c r="N4290" s="366">
        <f>+VLOOKUP(D4290,'Resultats - informe'!$Y$18:$AG$42,'Introducció dades consum'!K4290+1,0)</f>
        <v>0</v>
      </c>
      <c r="O4290" s="370" cm="1">
        <f t="array" ref="O4290">+_xlfn.SWITCH(MONTH(C4290),1,1,2,1,3,1,4,2,5,2,6,3,7,3,8,3,9,3,10,2,11,2,12,1,2)</f>
        <v>1</v>
      </c>
      <c r="P4290" s="43"/>
    </row>
    <row r="4291" spans="1:16" ht="18" x14ac:dyDescent="0.35">
      <c r="A4291" s="43"/>
      <c r="C4291" s="393"/>
      <c r="E4291" s="394"/>
      <c r="F4291" s="394">
        <v>1.1399999999999999</v>
      </c>
      <c r="G4291" s="394"/>
      <c r="H4291" s="8" t="s">
        <v>235</v>
      </c>
      <c r="I4291" s="368">
        <f t="shared" si="199"/>
        <v>0</v>
      </c>
      <c r="J4291" s="365">
        <f t="shared" si="201"/>
        <v>0</v>
      </c>
      <c r="K4291" s="369">
        <f t="shared" si="200"/>
        <v>6</v>
      </c>
      <c r="L4291" s="369">
        <f>+IF((C4291&gt;='Resultats - informe'!$E$16)*(C4291&lt;='Resultats - informe'!$G$16),1,0)</f>
        <v>1</v>
      </c>
      <c r="M4291" s="369" cm="1">
        <f t="array" ref="M4291">+_xlfn.IFS((C4291&gt;='Resultats - informe'!$D$26)*(C4291&lt;='Resultats - informe'!$E$26),0,(C4291&gt;='Resultats - informe'!$D$27)*(C4291&lt;='Resultats - informe'!$E$27),0,(C4291&gt;='Resultats - informe'!$D$28)*(C4291&lt;='Resultats - informe'!$E$28),0,(C4291&gt;='Resultats - informe'!$D$29)*(C4291&lt;='Resultats - informe'!$E$29),0,1,1)</f>
        <v>0</v>
      </c>
      <c r="N4291" s="366">
        <f>+VLOOKUP(D4291,'Resultats - informe'!$Y$18:$AG$42,'Introducció dades consum'!K4291+1,0)</f>
        <v>0</v>
      </c>
      <c r="O4291" s="370" cm="1">
        <f t="array" ref="O4291">+_xlfn.SWITCH(MONTH(C4291),1,1,2,1,3,1,4,2,5,2,6,3,7,3,8,3,9,3,10,2,11,2,12,1,2)</f>
        <v>1</v>
      </c>
      <c r="P4291" s="43"/>
    </row>
    <row r="4292" spans="1:16" ht="18" x14ac:dyDescent="0.35">
      <c r="A4292" s="43"/>
      <c r="C4292" s="393"/>
      <c r="E4292" s="394"/>
      <c r="F4292" s="394">
        <v>0.621</v>
      </c>
      <c r="G4292" s="394"/>
      <c r="H4292" s="8" t="s">
        <v>235</v>
      </c>
      <c r="I4292" s="368">
        <f t="shared" si="199"/>
        <v>0</v>
      </c>
      <c r="J4292" s="365">
        <f t="shared" si="201"/>
        <v>0</v>
      </c>
      <c r="K4292" s="369">
        <f t="shared" si="200"/>
        <v>6</v>
      </c>
      <c r="L4292" s="369">
        <f>+IF((C4292&gt;='Resultats - informe'!$E$16)*(C4292&lt;='Resultats - informe'!$G$16),1,0)</f>
        <v>1</v>
      </c>
      <c r="M4292" s="369" cm="1">
        <f t="array" ref="M4292">+_xlfn.IFS((C4292&gt;='Resultats - informe'!$D$26)*(C4292&lt;='Resultats - informe'!$E$26),0,(C4292&gt;='Resultats - informe'!$D$27)*(C4292&lt;='Resultats - informe'!$E$27),0,(C4292&gt;='Resultats - informe'!$D$28)*(C4292&lt;='Resultats - informe'!$E$28),0,(C4292&gt;='Resultats - informe'!$D$29)*(C4292&lt;='Resultats - informe'!$E$29),0,1,1)</f>
        <v>0</v>
      </c>
      <c r="N4292" s="366">
        <f>+VLOOKUP(D4292,'Resultats - informe'!$Y$18:$AG$42,'Introducció dades consum'!K4292+1,0)</f>
        <v>0</v>
      </c>
      <c r="O4292" s="370" cm="1">
        <f t="array" ref="O4292">+_xlfn.SWITCH(MONTH(C4292),1,1,2,1,3,1,4,2,5,2,6,3,7,3,8,3,9,3,10,2,11,2,12,1,2)</f>
        <v>1</v>
      </c>
      <c r="P4292" s="43"/>
    </row>
    <row r="4293" spans="1:16" ht="18" x14ac:dyDescent="0.35">
      <c r="A4293" s="43"/>
      <c r="C4293" s="393"/>
      <c r="E4293" s="394"/>
      <c r="F4293" s="394">
        <v>0.155</v>
      </c>
      <c r="G4293" s="394"/>
      <c r="H4293" s="8" t="s">
        <v>235</v>
      </c>
      <c r="I4293" s="368">
        <f t="shared" si="199"/>
        <v>0</v>
      </c>
      <c r="J4293" s="365">
        <f t="shared" si="201"/>
        <v>0</v>
      </c>
      <c r="K4293" s="369">
        <f t="shared" si="200"/>
        <v>6</v>
      </c>
      <c r="L4293" s="369">
        <f>+IF((C4293&gt;='Resultats - informe'!$E$16)*(C4293&lt;='Resultats - informe'!$G$16),1,0)</f>
        <v>1</v>
      </c>
      <c r="M4293" s="369" cm="1">
        <f t="array" ref="M4293">+_xlfn.IFS((C4293&gt;='Resultats - informe'!$D$26)*(C4293&lt;='Resultats - informe'!$E$26),0,(C4293&gt;='Resultats - informe'!$D$27)*(C4293&lt;='Resultats - informe'!$E$27),0,(C4293&gt;='Resultats - informe'!$D$28)*(C4293&lt;='Resultats - informe'!$E$28),0,(C4293&gt;='Resultats - informe'!$D$29)*(C4293&lt;='Resultats - informe'!$E$29),0,1,1)</f>
        <v>0</v>
      </c>
      <c r="N4293" s="366">
        <f>+VLOOKUP(D4293,'Resultats - informe'!$Y$18:$AG$42,'Introducció dades consum'!K4293+1,0)</f>
        <v>0</v>
      </c>
      <c r="O4293" s="370" cm="1">
        <f t="array" ref="O4293">+_xlfn.SWITCH(MONTH(C4293),1,1,2,1,3,1,4,2,5,2,6,3,7,3,8,3,9,3,10,2,11,2,12,1,2)</f>
        <v>1</v>
      </c>
      <c r="P4293" s="43"/>
    </row>
    <row r="4294" spans="1:16" ht="18" x14ac:dyDescent="0.35">
      <c r="A4294" s="43"/>
      <c r="C4294" s="393"/>
      <c r="E4294" s="394"/>
      <c r="F4294" s="394">
        <v>0</v>
      </c>
      <c r="G4294" s="394"/>
      <c r="H4294" s="8" t="s">
        <v>235</v>
      </c>
      <c r="I4294" s="368">
        <f t="shared" ref="I4294:I4357" si="202">+E4294+G4294</f>
        <v>0</v>
      </c>
      <c r="J4294" s="365">
        <f t="shared" si="201"/>
        <v>0</v>
      </c>
      <c r="K4294" s="369">
        <f t="shared" ref="K4294:K4357" si="203">+WEEKDAY(C4294,2)</f>
        <v>6</v>
      </c>
      <c r="L4294" s="369">
        <f>+IF((C4294&gt;='Resultats - informe'!$E$16)*(C4294&lt;='Resultats - informe'!$G$16),1,0)</f>
        <v>1</v>
      </c>
      <c r="M4294" s="369" cm="1">
        <f t="array" ref="M4294">+_xlfn.IFS((C4294&gt;='Resultats - informe'!$D$26)*(C4294&lt;='Resultats - informe'!$E$26),0,(C4294&gt;='Resultats - informe'!$D$27)*(C4294&lt;='Resultats - informe'!$E$27),0,(C4294&gt;='Resultats - informe'!$D$28)*(C4294&lt;='Resultats - informe'!$E$28),0,(C4294&gt;='Resultats - informe'!$D$29)*(C4294&lt;='Resultats - informe'!$E$29),0,1,1)</f>
        <v>0</v>
      </c>
      <c r="N4294" s="366">
        <f>+VLOOKUP(D4294,'Resultats - informe'!$Y$18:$AG$42,'Introducció dades consum'!K4294+1,0)</f>
        <v>0</v>
      </c>
      <c r="O4294" s="370" cm="1">
        <f t="array" ref="O4294">+_xlfn.SWITCH(MONTH(C4294),1,1,2,1,3,1,4,2,5,2,6,3,7,3,8,3,9,3,10,2,11,2,12,1,2)</f>
        <v>1</v>
      </c>
      <c r="P4294" s="43"/>
    </row>
    <row r="4295" spans="1:16" ht="18" x14ac:dyDescent="0.35">
      <c r="A4295" s="43"/>
      <c r="C4295" s="393"/>
      <c r="E4295" s="394"/>
      <c r="F4295" s="394">
        <v>0.28799999999999998</v>
      </c>
      <c r="G4295" s="394"/>
      <c r="H4295" s="8" t="s">
        <v>61</v>
      </c>
      <c r="I4295" s="368">
        <f t="shared" si="202"/>
        <v>0</v>
      </c>
      <c r="J4295" s="365">
        <f t="shared" si="201"/>
        <v>0</v>
      </c>
      <c r="K4295" s="369">
        <f t="shared" si="203"/>
        <v>6</v>
      </c>
      <c r="L4295" s="369">
        <f>+IF((C4295&gt;='Resultats - informe'!$E$16)*(C4295&lt;='Resultats - informe'!$G$16),1,0)</f>
        <v>1</v>
      </c>
      <c r="M4295" s="369" cm="1">
        <f t="array" ref="M4295">+_xlfn.IFS((C4295&gt;='Resultats - informe'!$D$26)*(C4295&lt;='Resultats - informe'!$E$26),0,(C4295&gt;='Resultats - informe'!$D$27)*(C4295&lt;='Resultats - informe'!$E$27),0,(C4295&gt;='Resultats - informe'!$D$28)*(C4295&lt;='Resultats - informe'!$E$28),0,(C4295&gt;='Resultats - informe'!$D$29)*(C4295&lt;='Resultats - informe'!$E$29),0,1,1)</f>
        <v>0</v>
      </c>
      <c r="N4295" s="366">
        <f>+VLOOKUP(D4295,'Resultats - informe'!$Y$18:$AG$42,'Introducció dades consum'!K4295+1,0)</f>
        <v>0</v>
      </c>
      <c r="O4295" s="370" cm="1">
        <f t="array" ref="O4295">+_xlfn.SWITCH(MONTH(C4295),1,1,2,1,3,1,4,2,5,2,6,3,7,3,8,3,9,3,10,2,11,2,12,1,2)</f>
        <v>1</v>
      </c>
      <c r="P4295" s="43"/>
    </row>
    <row r="4296" spans="1:16" ht="18" x14ac:dyDescent="0.35">
      <c r="A4296" s="43"/>
      <c r="C4296" s="393"/>
      <c r="E4296" s="394"/>
      <c r="F4296" s="394">
        <v>0</v>
      </c>
      <c r="G4296" s="394"/>
      <c r="H4296" s="8" t="s">
        <v>61</v>
      </c>
      <c r="I4296" s="368">
        <f t="shared" si="202"/>
        <v>0</v>
      </c>
      <c r="J4296" s="365">
        <f t="shared" si="201"/>
        <v>0</v>
      </c>
      <c r="K4296" s="369">
        <f t="shared" si="203"/>
        <v>6</v>
      </c>
      <c r="L4296" s="369">
        <f>+IF((C4296&gt;='Resultats - informe'!$E$16)*(C4296&lt;='Resultats - informe'!$G$16),1,0)</f>
        <v>1</v>
      </c>
      <c r="M4296" s="369" cm="1">
        <f t="array" ref="M4296">+_xlfn.IFS((C4296&gt;='Resultats - informe'!$D$26)*(C4296&lt;='Resultats - informe'!$E$26),0,(C4296&gt;='Resultats - informe'!$D$27)*(C4296&lt;='Resultats - informe'!$E$27),0,(C4296&gt;='Resultats - informe'!$D$28)*(C4296&lt;='Resultats - informe'!$E$28),0,(C4296&gt;='Resultats - informe'!$D$29)*(C4296&lt;='Resultats - informe'!$E$29),0,1,1)</f>
        <v>0</v>
      </c>
      <c r="N4296" s="366">
        <f>+VLOOKUP(D4296,'Resultats - informe'!$Y$18:$AG$42,'Introducció dades consum'!K4296+1,0)</f>
        <v>0</v>
      </c>
      <c r="O4296" s="370" cm="1">
        <f t="array" ref="O4296">+_xlfn.SWITCH(MONTH(C4296),1,1,2,1,3,1,4,2,5,2,6,3,7,3,8,3,9,3,10,2,11,2,12,1,2)</f>
        <v>1</v>
      </c>
      <c r="P4296" s="43"/>
    </row>
    <row r="4297" spans="1:16" ht="18" x14ac:dyDescent="0.35">
      <c r="A4297" s="43"/>
      <c r="C4297" s="393"/>
      <c r="E4297" s="394"/>
      <c r="F4297" s="394">
        <v>0</v>
      </c>
      <c r="G4297" s="394"/>
      <c r="H4297" s="8" t="s">
        <v>235</v>
      </c>
      <c r="I4297" s="368">
        <f t="shared" si="202"/>
        <v>0</v>
      </c>
      <c r="J4297" s="365">
        <f t="shared" si="201"/>
        <v>0</v>
      </c>
      <c r="K4297" s="369">
        <f t="shared" si="203"/>
        <v>6</v>
      </c>
      <c r="L4297" s="369">
        <f>+IF((C4297&gt;='Resultats - informe'!$E$16)*(C4297&lt;='Resultats - informe'!$G$16),1,0)</f>
        <v>1</v>
      </c>
      <c r="M4297" s="369" cm="1">
        <f t="array" ref="M4297">+_xlfn.IFS((C4297&gt;='Resultats - informe'!$D$26)*(C4297&lt;='Resultats - informe'!$E$26),0,(C4297&gt;='Resultats - informe'!$D$27)*(C4297&lt;='Resultats - informe'!$E$27),0,(C4297&gt;='Resultats - informe'!$D$28)*(C4297&lt;='Resultats - informe'!$E$28),0,(C4297&gt;='Resultats - informe'!$D$29)*(C4297&lt;='Resultats - informe'!$E$29),0,1,1)</f>
        <v>0</v>
      </c>
      <c r="N4297" s="366">
        <f>+VLOOKUP(D4297,'Resultats - informe'!$Y$18:$AG$42,'Introducció dades consum'!K4297+1,0)</f>
        <v>0</v>
      </c>
      <c r="O4297" s="370" cm="1">
        <f t="array" ref="O4297">+_xlfn.SWITCH(MONTH(C4297),1,1,2,1,3,1,4,2,5,2,6,3,7,3,8,3,9,3,10,2,11,2,12,1,2)</f>
        <v>1</v>
      </c>
      <c r="P4297" s="43"/>
    </row>
    <row r="4298" spans="1:16" ht="18" x14ac:dyDescent="0.35">
      <c r="A4298" s="43"/>
      <c r="C4298" s="393"/>
      <c r="E4298" s="394"/>
      <c r="F4298" s="394">
        <v>0</v>
      </c>
      <c r="G4298" s="394"/>
      <c r="H4298" s="8" t="s">
        <v>235</v>
      </c>
      <c r="I4298" s="368">
        <f t="shared" si="202"/>
        <v>0</v>
      </c>
      <c r="J4298" s="365">
        <f t="shared" si="201"/>
        <v>0</v>
      </c>
      <c r="K4298" s="369">
        <f t="shared" si="203"/>
        <v>6</v>
      </c>
      <c r="L4298" s="369">
        <f>+IF((C4298&gt;='Resultats - informe'!$E$16)*(C4298&lt;='Resultats - informe'!$G$16),1,0)</f>
        <v>1</v>
      </c>
      <c r="M4298" s="369" cm="1">
        <f t="array" ref="M4298">+_xlfn.IFS((C4298&gt;='Resultats - informe'!$D$26)*(C4298&lt;='Resultats - informe'!$E$26),0,(C4298&gt;='Resultats - informe'!$D$27)*(C4298&lt;='Resultats - informe'!$E$27),0,(C4298&gt;='Resultats - informe'!$D$28)*(C4298&lt;='Resultats - informe'!$E$28),0,(C4298&gt;='Resultats - informe'!$D$29)*(C4298&lt;='Resultats - informe'!$E$29),0,1,1)</f>
        <v>0</v>
      </c>
      <c r="N4298" s="366">
        <f>+VLOOKUP(D4298,'Resultats - informe'!$Y$18:$AG$42,'Introducció dades consum'!K4298+1,0)</f>
        <v>0</v>
      </c>
      <c r="O4298" s="370" cm="1">
        <f t="array" ref="O4298">+_xlfn.SWITCH(MONTH(C4298),1,1,2,1,3,1,4,2,5,2,6,3,7,3,8,3,9,3,10,2,11,2,12,1,2)</f>
        <v>1</v>
      </c>
      <c r="P4298" s="43"/>
    </row>
    <row r="4299" spans="1:16" ht="18" x14ac:dyDescent="0.35">
      <c r="A4299" s="43"/>
      <c r="C4299" s="393"/>
      <c r="E4299" s="394"/>
      <c r="F4299" s="394">
        <v>0</v>
      </c>
      <c r="G4299" s="394"/>
      <c r="H4299" s="8" t="s">
        <v>235</v>
      </c>
      <c r="I4299" s="368">
        <f t="shared" si="202"/>
        <v>0</v>
      </c>
      <c r="J4299" s="365">
        <f t="shared" si="201"/>
        <v>0</v>
      </c>
      <c r="K4299" s="369">
        <f t="shared" si="203"/>
        <v>6</v>
      </c>
      <c r="L4299" s="369">
        <f>+IF((C4299&gt;='Resultats - informe'!$E$16)*(C4299&lt;='Resultats - informe'!$G$16),1,0)</f>
        <v>1</v>
      </c>
      <c r="M4299" s="369" cm="1">
        <f t="array" ref="M4299">+_xlfn.IFS((C4299&gt;='Resultats - informe'!$D$26)*(C4299&lt;='Resultats - informe'!$E$26),0,(C4299&gt;='Resultats - informe'!$D$27)*(C4299&lt;='Resultats - informe'!$E$27),0,(C4299&gt;='Resultats - informe'!$D$28)*(C4299&lt;='Resultats - informe'!$E$28),0,(C4299&gt;='Resultats - informe'!$D$29)*(C4299&lt;='Resultats - informe'!$E$29),0,1,1)</f>
        <v>0</v>
      </c>
      <c r="N4299" s="366">
        <f>+VLOOKUP(D4299,'Resultats - informe'!$Y$18:$AG$42,'Introducció dades consum'!K4299+1,0)</f>
        <v>0</v>
      </c>
      <c r="O4299" s="370" cm="1">
        <f t="array" ref="O4299">+_xlfn.SWITCH(MONTH(C4299),1,1,2,1,3,1,4,2,5,2,6,3,7,3,8,3,9,3,10,2,11,2,12,1,2)</f>
        <v>1</v>
      </c>
      <c r="P4299" s="43"/>
    </row>
    <row r="4300" spans="1:16" ht="18" x14ac:dyDescent="0.35">
      <c r="A4300" s="43"/>
      <c r="C4300" s="393"/>
      <c r="E4300" s="394"/>
      <c r="F4300" s="394">
        <v>0</v>
      </c>
      <c r="G4300" s="394"/>
      <c r="H4300" s="8" t="s">
        <v>235</v>
      </c>
      <c r="I4300" s="368">
        <f t="shared" si="202"/>
        <v>0</v>
      </c>
      <c r="J4300" s="365">
        <f t="shared" si="201"/>
        <v>0</v>
      </c>
      <c r="K4300" s="369">
        <f t="shared" si="203"/>
        <v>6</v>
      </c>
      <c r="L4300" s="369">
        <f>+IF((C4300&gt;='Resultats - informe'!$E$16)*(C4300&lt;='Resultats - informe'!$G$16),1,0)</f>
        <v>1</v>
      </c>
      <c r="M4300" s="369" cm="1">
        <f t="array" ref="M4300">+_xlfn.IFS((C4300&gt;='Resultats - informe'!$D$26)*(C4300&lt;='Resultats - informe'!$E$26),0,(C4300&gt;='Resultats - informe'!$D$27)*(C4300&lt;='Resultats - informe'!$E$27),0,(C4300&gt;='Resultats - informe'!$D$28)*(C4300&lt;='Resultats - informe'!$E$28),0,(C4300&gt;='Resultats - informe'!$D$29)*(C4300&lt;='Resultats - informe'!$E$29),0,1,1)</f>
        <v>0</v>
      </c>
      <c r="N4300" s="366">
        <f>+VLOOKUP(D4300,'Resultats - informe'!$Y$18:$AG$42,'Introducció dades consum'!K4300+1,0)</f>
        <v>0</v>
      </c>
      <c r="O4300" s="370" cm="1">
        <f t="array" ref="O4300">+_xlfn.SWITCH(MONTH(C4300),1,1,2,1,3,1,4,2,5,2,6,3,7,3,8,3,9,3,10,2,11,2,12,1,2)</f>
        <v>1</v>
      </c>
      <c r="P4300" s="43"/>
    </row>
    <row r="4301" spans="1:16" ht="18" x14ac:dyDescent="0.35">
      <c r="A4301" s="43"/>
      <c r="C4301" s="393"/>
      <c r="E4301" s="394"/>
      <c r="F4301" s="394">
        <v>0</v>
      </c>
      <c r="G4301" s="394"/>
      <c r="H4301" s="8" t="s">
        <v>235</v>
      </c>
      <c r="I4301" s="368">
        <f t="shared" si="202"/>
        <v>0</v>
      </c>
      <c r="J4301" s="365">
        <f t="shared" si="201"/>
        <v>0</v>
      </c>
      <c r="K4301" s="369">
        <f t="shared" si="203"/>
        <v>6</v>
      </c>
      <c r="L4301" s="369">
        <f>+IF((C4301&gt;='Resultats - informe'!$E$16)*(C4301&lt;='Resultats - informe'!$G$16),1,0)</f>
        <v>1</v>
      </c>
      <c r="M4301" s="369" cm="1">
        <f t="array" ref="M4301">+_xlfn.IFS((C4301&gt;='Resultats - informe'!$D$26)*(C4301&lt;='Resultats - informe'!$E$26),0,(C4301&gt;='Resultats - informe'!$D$27)*(C4301&lt;='Resultats - informe'!$E$27),0,(C4301&gt;='Resultats - informe'!$D$28)*(C4301&lt;='Resultats - informe'!$E$28),0,(C4301&gt;='Resultats - informe'!$D$29)*(C4301&lt;='Resultats - informe'!$E$29),0,1,1)</f>
        <v>0</v>
      </c>
      <c r="N4301" s="366">
        <f>+VLOOKUP(D4301,'Resultats - informe'!$Y$18:$AG$42,'Introducció dades consum'!K4301+1,0)</f>
        <v>0</v>
      </c>
      <c r="O4301" s="370" cm="1">
        <f t="array" ref="O4301">+_xlfn.SWITCH(MONTH(C4301),1,1,2,1,3,1,4,2,5,2,6,3,7,3,8,3,9,3,10,2,11,2,12,1,2)</f>
        <v>1</v>
      </c>
      <c r="P4301" s="43"/>
    </row>
    <row r="4302" spans="1:16" ht="18" x14ac:dyDescent="0.35">
      <c r="A4302" s="43"/>
      <c r="C4302" s="393"/>
      <c r="E4302" s="394"/>
      <c r="F4302" s="394">
        <v>0</v>
      </c>
      <c r="G4302" s="394"/>
      <c r="H4302" s="8" t="s">
        <v>235</v>
      </c>
      <c r="I4302" s="368">
        <f t="shared" si="202"/>
        <v>0</v>
      </c>
      <c r="J4302" s="365">
        <f t="shared" si="201"/>
        <v>0</v>
      </c>
      <c r="K4302" s="369">
        <f t="shared" si="203"/>
        <v>6</v>
      </c>
      <c r="L4302" s="369">
        <f>+IF((C4302&gt;='Resultats - informe'!$E$16)*(C4302&lt;='Resultats - informe'!$G$16),1,0)</f>
        <v>1</v>
      </c>
      <c r="M4302" s="369" cm="1">
        <f t="array" ref="M4302">+_xlfn.IFS((C4302&gt;='Resultats - informe'!$D$26)*(C4302&lt;='Resultats - informe'!$E$26),0,(C4302&gt;='Resultats - informe'!$D$27)*(C4302&lt;='Resultats - informe'!$E$27),0,(C4302&gt;='Resultats - informe'!$D$28)*(C4302&lt;='Resultats - informe'!$E$28),0,(C4302&gt;='Resultats - informe'!$D$29)*(C4302&lt;='Resultats - informe'!$E$29),0,1,1)</f>
        <v>0</v>
      </c>
      <c r="N4302" s="366">
        <f>+VLOOKUP(D4302,'Resultats - informe'!$Y$18:$AG$42,'Introducció dades consum'!K4302+1,0)</f>
        <v>0</v>
      </c>
      <c r="O4302" s="370" cm="1">
        <f t="array" ref="O4302">+_xlfn.SWITCH(MONTH(C4302),1,1,2,1,3,1,4,2,5,2,6,3,7,3,8,3,9,3,10,2,11,2,12,1,2)</f>
        <v>1</v>
      </c>
      <c r="P4302" s="43"/>
    </row>
    <row r="4303" spans="1:16" ht="18" x14ac:dyDescent="0.35">
      <c r="A4303" s="43"/>
      <c r="C4303" s="393"/>
      <c r="E4303" s="394"/>
      <c r="F4303" s="394">
        <v>0</v>
      </c>
      <c r="G4303" s="394"/>
      <c r="H4303" s="8" t="s">
        <v>61</v>
      </c>
      <c r="I4303" s="368">
        <f t="shared" si="202"/>
        <v>0</v>
      </c>
      <c r="J4303" s="365">
        <f t="shared" si="201"/>
        <v>0</v>
      </c>
      <c r="K4303" s="369">
        <f t="shared" si="203"/>
        <v>6</v>
      </c>
      <c r="L4303" s="369">
        <f>+IF((C4303&gt;='Resultats - informe'!$E$16)*(C4303&lt;='Resultats - informe'!$G$16),1,0)</f>
        <v>1</v>
      </c>
      <c r="M4303" s="369" cm="1">
        <f t="array" ref="M4303">+_xlfn.IFS((C4303&gt;='Resultats - informe'!$D$26)*(C4303&lt;='Resultats - informe'!$E$26),0,(C4303&gt;='Resultats - informe'!$D$27)*(C4303&lt;='Resultats - informe'!$E$27),0,(C4303&gt;='Resultats - informe'!$D$28)*(C4303&lt;='Resultats - informe'!$E$28),0,(C4303&gt;='Resultats - informe'!$D$29)*(C4303&lt;='Resultats - informe'!$E$29),0,1,1)</f>
        <v>0</v>
      </c>
      <c r="N4303" s="366">
        <f>+VLOOKUP(D4303,'Resultats - informe'!$Y$18:$AG$42,'Introducció dades consum'!K4303+1,0)</f>
        <v>0</v>
      </c>
      <c r="O4303" s="370" cm="1">
        <f t="array" ref="O4303">+_xlfn.SWITCH(MONTH(C4303),1,1,2,1,3,1,4,2,5,2,6,3,7,3,8,3,9,3,10,2,11,2,12,1,2)</f>
        <v>1</v>
      </c>
      <c r="P4303" s="43"/>
    </row>
    <row r="4304" spans="1:16" ht="18" x14ac:dyDescent="0.35">
      <c r="A4304" s="43"/>
      <c r="C4304" s="393"/>
      <c r="E4304" s="394"/>
      <c r="F4304" s="394">
        <v>0</v>
      </c>
      <c r="G4304" s="394"/>
      <c r="H4304" s="8" t="s">
        <v>61</v>
      </c>
      <c r="I4304" s="368">
        <f t="shared" si="202"/>
        <v>0</v>
      </c>
      <c r="J4304" s="365">
        <f t="shared" si="201"/>
        <v>0</v>
      </c>
      <c r="K4304" s="369">
        <f t="shared" si="203"/>
        <v>6</v>
      </c>
      <c r="L4304" s="369">
        <f>+IF((C4304&gt;='Resultats - informe'!$E$16)*(C4304&lt;='Resultats - informe'!$G$16),1,0)</f>
        <v>1</v>
      </c>
      <c r="M4304" s="369" cm="1">
        <f t="array" ref="M4304">+_xlfn.IFS((C4304&gt;='Resultats - informe'!$D$26)*(C4304&lt;='Resultats - informe'!$E$26),0,(C4304&gt;='Resultats - informe'!$D$27)*(C4304&lt;='Resultats - informe'!$E$27),0,(C4304&gt;='Resultats - informe'!$D$28)*(C4304&lt;='Resultats - informe'!$E$28),0,(C4304&gt;='Resultats - informe'!$D$29)*(C4304&lt;='Resultats - informe'!$E$29),0,1,1)</f>
        <v>0</v>
      </c>
      <c r="N4304" s="366">
        <f>+VLOOKUP(D4304,'Resultats - informe'!$Y$18:$AG$42,'Introducció dades consum'!K4304+1,0)</f>
        <v>0</v>
      </c>
      <c r="O4304" s="370" cm="1">
        <f t="array" ref="O4304">+_xlfn.SWITCH(MONTH(C4304),1,1,2,1,3,1,4,2,5,2,6,3,7,3,8,3,9,3,10,2,11,2,12,1,2)</f>
        <v>1</v>
      </c>
      <c r="P4304" s="43"/>
    </row>
    <row r="4305" spans="1:16" ht="18" x14ac:dyDescent="0.35">
      <c r="A4305" s="43"/>
      <c r="C4305" s="393"/>
      <c r="E4305" s="394"/>
      <c r="F4305" s="394">
        <v>0.22600000000000001</v>
      </c>
      <c r="G4305" s="394"/>
      <c r="H4305" s="8" t="s">
        <v>235</v>
      </c>
      <c r="I4305" s="368">
        <f t="shared" si="202"/>
        <v>0</v>
      </c>
      <c r="J4305" s="365">
        <f t="shared" si="201"/>
        <v>0</v>
      </c>
      <c r="K4305" s="369">
        <f t="shared" si="203"/>
        <v>6</v>
      </c>
      <c r="L4305" s="369">
        <f>+IF((C4305&gt;='Resultats - informe'!$E$16)*(C4305&lt;='Resultats - informe'!$G$16),1,0)</f>
        <v>1</v>
      </c>
      <c r="M4305" s="369" cm="1">
        <f t="array" ref="M4305">+_xlfn.IFS((C4305&gt;='Resultats - informe'!$D$26)*(C4305&lt;='Resultats - informe'!$E$26),0,(C4305&gt;='Resultats - informe'!$D$27)*(C4305&lt;='Resultats - informe'!$E$27),0,(C4305&gt;='Resultats - informe'!$D$28)*(C4305&lt;='Resultats - informe'!$E$28),0,(C4305&gt;='Resultats - informe'!$D$29)*(C4305&lt;='Resultats - informe'!$E$29),0,1,1)</f>
        <v>0</v>
      </c>
      <c r="N4305" s="366">
        <f>+VLOOKUP(D4305,'Resultats - informe'!$Y$18:$AG$42,'Introducció dades consum'!K4305+1,0)</f>
        <v>0</v>
      </c>
      <c r="O4305" s="370" cm="1">
        <f t="array" ref="O4305">+_xlfn.SWITCH(MONTH(C4305),1,1,2,1,3,1,4,2,5,2,6,3,7,3,8,3,9,3,10,2,11,2,12,1,2)</f>
        <v>1</v>
      </c>
      <c r="P4305" s="43"/>
    </row>
    <row r="4306" spans="1:16" ht="18" x14ac:dyDescent="0.35">
      <c r="A4306" s="43"/>
      <c r="C4306" s="393"/>
      <c r="E4306" s="394"/>
      <c r="F4306" s="394">
        <v>0.82799999999999996</v>
      </c>
      <c r="G4306" s="394"/>
      <c r="H4306" s="8" t="s">
        <v>235</v>
      </c>
      <c r="I4306" s="368">
        <f t="shared" si="202"/>
        <v>0</v>
      </c>
      <c r="J4306" s="365">
        <f t="shared" si="201"/>
        <v>0</v>
      </c>
      <c r="K4306" s="369">
        <f t="shared" si="203"/>
        <v>6</v>
      </c>
      <c r="L4306" s="369">
        <f>+IF((C4306&gt;='Resultats - informe'!$E$16)*(C4306&lt;='Resultats - informe'!$G$16),1,0)</f>
        <v>1</v>
      </c>
      <c r="M4306" s="369" cm="1">
        <f t="array" ref="M4306">+_xlfn.IFS((C4306&gt;='Resultats - informe'!$D$26)*(C4306&lt;='Resultats - informe'!$E$26),0,(C4306&gt;='Resultats - informe'!$D$27)*(C4306&lt;='Resultats - informe'!$E$27),0,(C4306&gt;='Resultats - informe'!$D$28)*(C4306&lt;='Resultats - informe'!$E$28),0,(C4306&gt;='Resultats - informe'!$D$29)*(C4306&lt;='Resultats - informe'!$E$29),0,1,1)</f>
        <v>0</v>
      </c>
      <c r="N4306" s="366">
        <f>+VLOOKUP(D4306,'Resultats - informe'!$Y$18:$AG$42,'Introducció dades consum'!K4306+1,0)</f>
        <v>0</v>
      </c>
      <c r="O4306" s="370" cm="1">
        <f t="array" ref="O4306">+_xlfn.SWITCH(MONTH(C4306),1,1,2,1,3,1,4,2,5,2,6,3,7,3,8,3,9,3,10,2,11,2,12,1,2)</f>
        <v>1</v>
      </c>
      <c r="P4306" s="43"/>
    </row>
    <row r="4307" spans="1:16" ht="18" x14ac:dyDescent="0.35">
      <c r="A4307" s="43"/>
      <c r="C4307" s="393"/>
      <c r="E4307" s="394"/>
      <c r="F4307" s="394">
        <v>1.3959999999999999</v>
      </c>
      <c r="G4307" s="394"/>
      <c r="H4307" s="8" t="s">
        <v>235</v>
      </c>
      <c r="I4307" s="368">
        <f t="shared" si="202"/>
        <v>0</v>
      </c>
      <c r="J4307" s="365">
        <f t="shared" si="201"/>
        <v>0</v>
      </c>
      <c r="K4307" s="369">
        <f t="shared" si="203"/>
        <v>6</v>
      </c>
      <c r="L4307" s="369">
        <f>+IF((C4307&gt;='Resultats - informe'!$E$16)*(C4307&lt;='Resultats - informe'!$G$16),1,0)</f>
        <v>1</v>
      </c>
      <c r="M4307" s="369" cm="1">
        <f t="array" ref="M4307">+_xlfn.IFS((C4307&gt;='Resultats - informe'!$D$26)*(C4307&lt;='Resultats - informe'!$E$26),0,(C4307&gt;='Resultats - informe'!$D$27)*(C4307&lt;='Resultats - informe'!$E$27),0,(C4307&gt;='Resultats - informe'!$D$28)*(C4307&lt;='Resultats - informe'!$E$28),0,(C4307&gt;='Resultats - informe'!$D$29)*(C4307&lt;='Resultats - informe'!$E$29),0,1,1)</f>
        <v>0</v>
      </c>
      <c r="N4307" s="366">
        <f>+VLOOKUP(D4307,'Resultats - informe'!$Y$18:$AG$42,'Introducció dades consum'!K4307+1,0)</f>
        <v>0</v>
      </c>
      <c r="O4307" s="370" cm="1">
        <f t="array" ref="O4307">+_xlfn.SWITCH(MONTH(C4307),1,1,2,1,3,1,4,2,5,2,6,3,7,3,8,3,9,3,10,2,11,2,12,1,2)</f>
        <v>1</v>
      </c>
      <c r="P4307" s="43"/>
    </row>
    <row r="4308" spans="1:16" ht="18" x14ac:dyDescent="0.35">
      <c r="A4308" s="43"/>
      <c r="C4308" s="393"/>
      <c r="E4308" s="394"/>
      <c r="F4308" s="394">
        <v>0.52300000000000002</v>
      </c>
      <c r="G4308" s="394"/>
      <c r="H4308" s="8" t="s">
        <v>61</v>
      </c>
      <c r="I4308" s="368">
        <f t="shared" si="202"/>
        <v>0</v>
      </c>
      <c r="J4308" s="365">
        <f t="shared" si="201"/>
        <v>0</v>
      </c>
      <c r="K4308" s="369">
        <f t="shared" si="203"/>
        <v>6</v>
      </c>
      <c r="L4308" s="369">
        <f>+IF((C4308&gt;='Resultats - informe'!$E$16)*(C4308&lt;='Resultats - informe'!$G$16),1,0)</f>
        <v>1</v>
      </c>
      <c r="M4308" s="369" cm="1">
        <f t="array" ref="M4308">+_xlfn.IFS((C4308&gt;='Resultats - informe'!$D$26)*(C4308&lt;='Resultats - informe'!$E$26),0,(C4308&gt;='Resultats - informe'!$D$27)*(C4308&lt;='Resultats - informe'!$E$27),0,(C4308&gt;='Resultats - informe'!$D$28)*(C4308&lt;='Resultats - informe'!$E$28),0,(C4308&gt;='Resultats - informe'!$D$29)*(C4308&lt;='Resultats - informe'!$E$29),0,1,1)</f>
        <v>0</v>
      </c>
      <c r="N4308" s="366">
        <f>+VLOOKUP(D4308,'Resultats - informe'!$Y$18:$AG$42,'Introducció dades consum'!K4308+1,0)</f>
        <v>0</v>
      </c>
      <c r="O4308" s="370" cm="1">
        <f t="array" ref="O4308">+_xlfn.SWITCH(MONTH(C4308),1,1,2,1,3,1,4,2,5,2,6,3,7,3,8,3,9,3,10,2,11,2,12,1,2)</f>
        <v>1</v>
      </c>
      <c r="P4308" s="43"/>
    </row>
    <row r="4309" spans="1:16" ht="18" x14ac:dyDescent="0.35">
      <c r="A4309" s="43"/>
      <c r="C4309" s="393"/>
      <c r="E4309" s="394"/>
      <c r="F4309" s="394">
        <v>1.9890000000000001</v>
      </c>
      <c r="G4309" s="394"/>
      <c r="H4309" s="8" t="s">
        <v>61</v>
      </c>
      <c r="I4309" s="368">
        <f t="shared" si="202"/>
        <v>0</v>
      </c>
      <c r="J4309" s="365">
        <f t="shared" si="201"/>
        <v>0</v>
      </c>
      <c r="K4309" s="369">
        <f t="shared" si="203"/>
        <v>6</v>
      </c>
      <c r="L4309" s="369">
        <f>+IF((C4309&gt;='Resultats - informe'!$E$16)*(C4309&lt;='Resultats - informe'!$G$16),1,0)</f>
        <v>1</v>
      </c>
      <c r="M4309" s="369" cm="1">
        <f t="array" ref="M4309">+_xlfn.IFS((C4309&gt;='Resultats - informe'!$D$26)*(C4309&lt;='Resultats - informe'!$E$26),0,(C4309&gt;='Resultats - informe'!$D$27)*(C4309&lt;='Resultats - informe'!$E$27),0,(C4309&gt;='Resultats - informe'!$D$28)*(C4309&lt;='Resultats - informe'!$E$28),0,(C4309&gt;='Resultats - informe'!$D$29)*(C4309&lt;='Resultats - informe'!$E$29),0,1,1)</f>
        <v>0</v>
      </c>
      <c r="N4309" s="366">
        <f>+VLOOKUP(D4309,'Resultats - informe'!$Y$18:$AG$42,'Introducció dades consum'!K4309+1,0)</f>
        <v>0</v>
      </c>
      <c r="O4309" s="370" cm="1">
        <f t="array" ref="O4309">+_xlfn.SWITCH(MONTH(C4309),1,1,2,1,3,1,4,2,5,2,6,3,7,3,8,3,9,3,10,2,11,2,12,1,2)</f>
        <v>1</v>
      </c>
      <c r="P4309" s="43"/>
    </row>
    <row r="4310" spans="1:16" ht="18" x14ac:dyDescent="0.35">
      <c r="A4310" s="43"/>
      <c r="C4310" s="393"/>
      <c r="E4310" s="394"/>
      <c r="F4310" s="394">
        <v>3.9910000000000001</v>
      </c>
      <c r="G4310" s="394"/>
      <c r="H4310" s="8" t="s">
        <v>61</v>
      </c>
      <c r="I4310" s="368">
        <f t="shared" si="202"/>
        <v>0</v>
      </c>
      <c r="J4310" s="365">
        <f t="shared" si="201"/>
        <v>0</v>
      </c>
      <c r="K4310" s="369">
        <f t="shared" si="203"/>
        <v>6</v>
      </c>
      <c r="L4310" s="369">
        <f>+IF((C4310&gt;='Resultats - informe'!$E$16)*(C4310&lt;='Resultats - informe'!$G$16),1,0)</f>
        <v>1</v>
      </c>
      <c r="M4310" s="369" cm="1">
        <f t="array" ref="M4310">+_xlfn.IFS((C4310&gt;='Resultats - informe'!$D$26)*(C4310&lt;='Resultats - informe'!$E$26),0,(C4310&gt;='Resultats - informe'!$D$27)*(C4310&lt;='Resultats - informe'!$E$27),0,(C4310&gt;='Resultats - informe'!$D$28)*(C4310&lt;='Resultats - informe'!$E$28),0,(C4310&gt;='Resultats - informe'!$D$29)*(C4310&lt;='Resultats - informe'!$E$29),0,1,1)</f>
        <v>0</v>
      </c>
      <c r="N4310" s="366">
        <f>+VLOOKUP(D4310,'Resultats - informe'!$Y$18:$AG$42,'Introducció dades consum'!K4310+1,0)</f>
        <v>0</v>
      </c>
      <c r="O4310" s="370" cm="1">
        <f t="array" ref="O4310">+_xlfn.SWITCH(MONTH(C4310),1,1,2,1,3,1,4,2,5,2,6,3,7,3,8,3,9,3,10,2,11,2,12,1,2)</f>
        <v>1</v>
      </c>
      <c r="P4310" s="43"/>
    </row>
    <row r="4311" spans="1:16" ht="18" x14ac:dyDescent="0.35">
      <c r="A4311" s="43"/>
      <c r="C4311" s="393"/>
      <c r="E4311" s="394"/>
      <c r="F4311" s="394">
        <v>5.2569999999999997</v>
      </c>
      <c r="G4311" s="394"/>
      <c r="H4311" s="8" t="s">
        <v>61</v>
      </c>
      <c r="I4311" s="368">
        <f t="shared" si="202"/>
        <v>0</v>
      </c>
      <c r="J4311" s="365">
        <f t="shared" si="201"/>
        <v>0</v>
      </c>
      <c r="K4311" s="369">
        <f t="shared" si="203"/>
        <v>6</v>
      </c>
      <c r="L4311" s="369">
        <f>+IF((C4311&gt;='Resultats - informe'!$E$16)*(C4311&lt;='Resultats - informe'!$G$16),1,0)</f>
        <v>1</v>
      </c>
      <c r="M4311" s="369" cm="1">
        <f t="array" ref="M4311">+_xlfn.IFS((C4311&gt;='Resultats - informe'!$D$26)*(C4311&lt;='Resultats - informe'!$E$26),0,(C4311&gt;='Resultats - informe'!$D$27)*(C4311&lt;='Resultats - informe'!$E$27),0,(C4311&gt;='Resultats - informe'!$D$28)*(C4311&lt;='Resultats - informe'!$E$28),0,(C4311&gt;='Resultats - informe'!$D$29)*(C4311&lt;='Resultats - informe'!$E$29),0,1,1)</f>
        <v>0</v>
      </c>
      <c r="N4311" s="366">
        <f>+VLOOKUP(D4311,'Resultats - informe'!$Y$18:$AG$42,'Introducció dades consum'!K4311+1,0)</f>
        <v>0</v>
      </c>
      <c r="O4311" s="370" cm="1">
        <f t="array" ref="O4311">+_xlfn.SWITCH(MONTH(C4311),1,1,2,1,3,1,4,2,5,2,6,3,7,3,8,3,9,3,10,2,11,2,12,1,2)</f>
        <v>1</v>
      </c>
      <c r="P4311" s="43"/>
    </row>
    <row r="4312" spans="1:16" ht="18" x14ac:dyDescent="0.35">
      <c r="A4312" s="43"/>
      <c r="C4312" s="393"/>
      <c r="E4312" s="394"/>
      <c r="F4312" s="394">
        <v>6.0460000000000003</v>
      </c>
      <c r="G4312" s="394"/>
      <c r="H4312" s="8" t="s">
        <v>61</v>
      </c>
      <c r="I4312" s="368">
        <f t="shared" si="202"/>
        <v>0</v>
      </c>
      <c r="J4312" s="365">
        <f t="shared" si="201"/>
        <v>0</v>
      </c>
      <c r="K4312" s="369">
        <f t="shared" si="203"/>
        <v>6</v>
      </c>
      <c r="L4312" s="369">
        <f>+IF((C4312&gt;='Resultats - informe'!$E$16)*(C4312&lt;='Resultats - informe'!$G$16),1,0)</f>
        <v>1</v>
      </c>
      <c r="M4312" s="369" cm="1">
        <f t="array" ref="M4312">+_xlfn.IFS((C4312&gt;='Resultats - informe'!$D$26)*(C4312&lt;='Resultats - informe'!$E$26),0,(C4312&gt;='Resultats - informe'!$D$27)*(C4312&lt;='Resultats - informe'!$E$27),0,(C4312&gt;='Resultats - informe'!$D$28)*(C4312&lt;='Resultats - informe'!$E$28),0,(C4312&gt;='Resultats - informe'!$D$29)*(C4312&lt;='Resultats - informe'!$E$29),0,1,1)</f>
        <v>0</v>
      </c>
      <c r="N4312" s="366">
        <f>+VLOOKUP(D4312,'Resultats - informe'!$Y$18:$AG$42,'Introducció dades consum'!K4312+1,0)</f>
        <v>0</v>
      </c>
      <c r="O4312" s="370" cm="1">
        <f t="array" ref="O4312">+_xlfn.SWITCH(MONTH(C4312),1,1,2,1,3,1,4,2,5,2,6,3,7,3,8,3,9,3,10,2,11,2,12,1,2)</f>
        <v>1</v>
      </c>
      <c r="P4312" s="43"/>
    </row>
    <row r="4313" spans="1:16" ht="18" x14ac:dyDescent="0.35">
      <c r="A4313" s="43"/>
      <c r="C4313" s="393"/>
      <c r="E4313" s="394"/>
      <c r="F4313" s="394">
        <v>6.4420000000000002</v>
      </c>
      <c r="G4313" s="394"/>
      <c r="H4313" s="8" t="s">
        <v>61</v>
      </c>
      <c r="I4313" s="368">
        <f t="shared" si="202"/>
        <v>0</v>
      </c>
      <c r="J4313" s="365">
        <f t="shared" si="201"/>
        <v>0</v>
      </c>
      <c r="K4313" s="369">
        <f t="shared" si="203"/>
        <v>6</v>
      </c>
      <c r="L4313" s="369">
        <f>+IF((C4313&gt;='Resultats - informe'!$E$16)*(C4313&lt;='Resultats - informe'!$G$16),1,0)</f>
        <v>1</v>
      </c>
      <c r="M4313" s="369" cm="1">
        <f t="array" ref="M4313">+_xlfn.IFS((C4313&gt;='Resultats - informe'!$D$26)*(C4313&lt;='Resultats - informe'!$E$26),0,(C4313&gt;='Resultats - informe'!$D$27)*(C4313&lt;='Resultats - informe'!$E$27),0,(C4313&gt;='Resultats - informe'!$D$28)*(C4313&lt;='Resultats - informe'!$E$28),0,(C4313&gt;='Resultats - informe'!$D$29)*(C4313&lt;='Resultats - informe'!$E$29),0,1,1)</f>
        <v>0</v>
      </c>
      <c r="N4313" s="366">
        <f>+VLOOKUP(D4313,'Resultats - informe'!$Y$18:$AG$42,'Introducció dades consum'!K4313+1,0)</f>
        <v>0</v>
      </c>
      <c r="O4313" s="370" cm="1">
        <f t="array" ref="O4313">+_xlfn.SWITCH(MONTH(C4313),1,1,2,1,3,1,4,2,5,2,6,3,7,3,8,3,9,3,10,2,11,2,12,1,2)</f>
        <v>1</v>
      </c>
      <c r="P4313" s="43"/>
    </row>
    <row r="4314" spans="1:16" ht="18" x14ac:dyDescent="0.35">
      <c r="A4314" s="43"/>
      <c r="C4314" s="393"/>
      <c r="E4314" s="394"/>
      <c r="F4314" s="394">
        <v>6.4260000000000002</v>
      </c>
      <c r="G4314" s="394"/>
      <c r="H4314" s="8" t="s">
        <v>61</v>
      </c>
      <c r="I4314" s="368">
        <f t="shared" si="202"/>
        <v>0</v>
      </c>
      <c r="J4314" s="365">
        <f t="shared" si="201"/>
        <v>0</v>
      </c>
      <c r="K4314" s="369">
        <f t="shared" si="203"/>
        <v>6</v>
      </c>
      <c r="L4314" s="369">
        <f>+IF((C4314&gt;='Resultats - informe'!$E$16)*(C4314&lt;='Resultats - informe'!$G$16),1,0)</f>
        <v>1</v>
      </c>
      <c r="M4314" s="369" cm="1">
        <f t="array" ref="M4314">+_xlfn.IFS((C4314&gt;='Resultats - informe'!$D$26)*(C4314&lt;='Resultats - informe'!$E$26),0,(C4314&gt;='Resultats - informe'!$D$27)*(C4314&lt;='Resultats - informe'!$E$27),0,(C4314&gt;='Resultats - informe'!$D$28)*(C4314&lt;='Resultats - informe'!$E$28),0,(C4314&gt;='Resultats - informe'!$D$29)*(C4314&lt;='Resultats - informe'!$E$29),0,1,1)</f>
        <v>0</v>
      </c>
      <c r="N4314" s="366">
        <f>+VLOOKUP(D4314,'Resultats - informe'!$Y$18:$AG$42,'Introducció dades consum'!K4314+1,0)</f>
        <v>0</v>
      </c>
      <c r="O4314" s="370" cm="1">
        <f t="array" ref="O4314">+_xlfn.SWITCH(MONTH(C4314),1,1,2,1,3,1,4,2,5,2,6,3,7,3,8,3,9,3,10,2,11,2,12,1,2)</f>
        <v>1</v>
      </c>
      <c r="P4314" s="43"/>
    </row>
    <row r="4315" spans="1:16" ht="18" x14ac:dyDescent="0.35">
      <c r="A4315" s="43"/>
      <c r="C4315" s="393"/>
      <c r="E4315" s="394"/>
      <c r="F4315" s="394">
        <v>1.4039999999999999</v>
      </c>
      <c r="G4315" s="394"/>
      <c r="H4315" s="8" t="s">
        <v>235</v>
      </c>
      <c r="I4315" s="368">
        <f t="shared" si="202"/>
        <v>0</v>
      </c>
      <c r="J4315" s="365">
        <f t="shared" si="201"/>
        <v>0</v>
      </c>
      <c r="K4315" s="369">
        <f t="shared" si="203"/>
        <v>6</v>
      </c>
      <c r="L4315" s="369">
        <f>+IF((C4315&gt;='Resultats - informe'!$E$16)*(C4315&lt;='Resultats - informe'!$G$16),1,0)</f>
        <v>1</v>
      </c>
      <c r="M4315" s="369" cm="1">
        <f t="array" ref="M4315">+_xlfn.IFS((C4315&gt;='Resultats - informe'!$D$26)*(C4315&lt;='Resultats - informe'!$E$26),0,(C4315&gt;='Resultats - informe'!$D$27)*(C4315&lt;='Resultats - informe'!$E$27),0,(C4315&gt;='Resultats - informe'!$D$28)*(C4315&lt;='Resultats - informe'!$E$28),0,(C4315&gt;='Resultats - informe'!$D$29)*(C4315&lt;='Resultats - informe'!$E$29),0,1,1)</f>
        <v>0</v>
      </c>
      <c r="N4315" s="366">
        <f>+VLOOKUP(D4315,'Resultats - informe'!$Y$18:$AG$42,'Introducció dades consum'!K4315+1,0)</f>
        <v>0</v>
      </c>
      <c r="O4315" s="370" cm="1">
        <f t="array" ref="O4315">+_xlfn.SWITCH(MONTH(C4315),1,1,2,1,3,1,4,2,5,2,6,3,7,3,8,3,9,3,10,2,11,2,12,1,2)</f>
        <v>1</v>
      </c>
      <c r="P4315" s="43"/>
    </row>
    <row r="4316" spans="1:16" ht="18" x14ac:dyDescent="0.35">
      <c r="A4316" s="43"/>
      <c r="C4316" s="393"/>
      <c r="E4316" s="394"/>
      <c r="F4316" s="394">
        <v>0.81499999999999995</v>
      </c>
      <c r="G4316" s="394"/>
      <c r="H4316" s="8" t="s">
        <v>235</v>
      </c>
      <c r="I4316" s="368">
        <f t="shared" si="202"/>
        <v>0</v>
      </c>
      <c r="J4316" s="365">
        <f t="shared" si="201"/>
        <v>0</v>
      </c>
      <c r="K4316" s="369">
        <f t="shared" si="203"/>
        <v>6</v>
      </c>
      <c r="L4316" s="369">
        <f>+IF((C4316&gt;='Resultats - informe'!$E$16)*(C4316&lt;='Resultats - informe'!$G$16),1,0)</f>
        <v>1</v>
      </c>
      <c r="M4316" s="369" cm="1">
        <f t="array" ref="M4316">+_xlfn.IFS((C4316&gt;='Resultats - informe'!$D$26)*(C4316&lt;='Resultats - informe'!$E$26),0,(C4316&gt;='Resultats - informe'!$D$27)*(C4316&lt;='Resultats - informe'!$E$27),0,(C4316&gt;='Resultats - informe'!$D$28)*(C4316&lt;='Resultats - informe'!$E$28),0,(C4316&gt;='Resultats - informe'!$D$29)*(C4316&lt;='Resultats - informe'!$E$29),0,1,1)</f>
        <v>0</v>
      </c>
      <c r="N4316" s="366">
        <f>+VLOOKUP(D4316,'Resultats - informe'!$Y$18:$AG$42,'Introducció dades consum'!K4316+1,0)</f>
        <v>0</v>
      </c>
      <c r="O4316" s="370" cm="1">
        <f t="array" ref="O4316">+_xlfn.SWITCH(MONTH(C4316),1,1,2,1,3,1,4,2,5,2,6,3,7,3,8,3,9,3,10,2,11,2,12,1,2)</f>
        <v>1</v>
      </c>
      <c r="P4316" s="43"/>
    </row>
    <row r="4317" spans="1:16" ht="18" x14ac:dyDescent="0.35">
      <c r="A4317" s="43"/>
      <c r="C4317" s="393"/>
      <c r="E4317" s="394"/>
      <c r="F4317" s="394">
        <v>0.224</v>
      </c>
      <c r="G4317" s="394"/>
      <c r="H4317" s="8" t="s">
        <v>235</v>
      </c>
      <c r="I4317" s="368">
        <f t="shared" si="202"/>
        <v>0</v>
      </c>
      <c r="J4317" s="365">
        <f t="shared" si="201"/>
        <v>0</v>
      </c>
      <c r="K4317" s="369">
        <f t="shared" si="203"/>
        <v>6</v>
      </c>
      <c r="L4317" s="369">
        <f>+IF((C4317&gt;='Resultats - informe'!$E$16)*(C4317&lt;='Resultats - informe'!$G$16),1,0)</f>
        <v>1</v>
      </c>
      <c r="M4317" s="369" cm="1">
        <f t="array" ref="M4317">+_xlfn.IFS((C4317&gt;='Resultats - informe'!$D$26)*(C4317&lt;='Resultats - informe'!$E$26),0,(C4317&gt;='Resultats - informe'!$D$27)*(C4317&lt;='Resultats - informe'!$E$27),0,(C4317&gt;='Resultats - informe'!$D$28)*(C4317&lt;='Resultats - informe'!$E$28),0,(C4317&gt;='Resultats - informe'!$D$29)*(C4317&lt;='Resultats - informe'!$E$29),0,1,1)</f>
        <v>0</v>
      </c>
      <c r="N4317" s="366">
        <f>+VLOOKUP(D4317,'Resultats - informe'!$Y$18:$AG$42,'Introducció dades consum'!K4317+1,0)</f>
        <v>0</v>
      </c>
      <c r="O4317" s="370" cm="1">
        <f t="array" ref="O4317">+_xlfn.SWITCH(MONTH(C4317),1,1,2,1,3,1,4,2,5,2,6,3,7,3,8,3,9,3,10,2,11,2,12,1,2)</f>
        <v>1</v>
      </c>
      <c r="P4317" s="43"/>
    </row>
    <row r="4318" spans="1:16" ht="18" x14ac:dyDescent="0.35">
      <c r="A4318" s="43"/>
      <c r="C4318" s="393"/>
      <c r="E4318" s="394"/>
      <c r="F4318" s="394">
        <v>0</v>
      </c>
      <c r="G4318" s="394"/>
      <c r="H4318" s="8" t="s">
        <v>235</v>
      </c>
      <c r="I4318" s="368">
        <f t="shared" si="202"/>
        <v>0</v>
      </c>
      <c r="J4318" s="365">
        <f t="shared" si="201"/>
        <v>0</v>
      </c>
      <c r="K4318" s="369">
        <f t="shared" si="203"/>
        <v>6</v>
      </c>
      <c r="L4318" s="369">
        <f>+IF((C4318&gt;='Resultats - informe'!$E$16)*(C4318&lt;='Resultats - informe'!$G$16),1,0)</f>
        <v>1</v>
      </c>
      <c r="M4318" s="369" cm="1">
        <f t="array" ref="M4318">+_xlfn.IFS((C4318&gt;='Resultats - informe'!$D$26)*(C4318&lt;='Resultats - informe'!$E$26),0,(C4318&gt;='Resultats - informe'!$D$27)*(C4318&lt;='Resultats - informe'!$E$27),0,(C4318&gt;='Resultats - informe'!$D$28)*(C4318&lt;='Resultats - informe'!$E$28),0,(C4318&gt;='Resultats - informe'!$D$29)*(C4318&lt;='Resultats - informe'!$E$29),0,1,1)</f>
        <v>0</v>
      </c>
      <c r="N4318" s="366">
        <f>+VLOOKUP(D4318,'Resultats - informe'!$Y$18:$AG$42,'Introducció dades consum'!K4318+1,0)</f>
        <v>0</v>
      </c>
      <c r="O4318" s="370" cm="1">
        <f t="array" ref="O4318">+_xlfn.SWITCH(MONTH(C4318),1,1,2,1,3,1,4,2,5,2,6,3,7,3,8,3,9,3,10,2,11,2,12,1,2)</f>
        <v>1</v>
      </c>
      <c r="P4318" s="43"/>
    </row>
    <row r="4319" spans="1:16" ht="18" x14ac:dyDescent="0.35">
      <c r="A4319" s="43"/>
      <c r="C4319" s="393"/>
      <c r="E4319" s="394"/>
      <c r="F4319" s="394">
        <v>0</v>
      </c>
      <c r="G4319" s="394"/>
      <c r="H4319" s="8" t="s">
        <v>235</v>
      </c>
      <c r="I4319" s="368">
        <f t="shared" si="202"/>
        <v>0</v>
      </c>
      <c r="J4319" s="365">
        <f t="shared" si="201"/>
        <v>0</v>
      </c>
      <c r="K4319" s="369">
        <f t="shared" si="203"/>
        <v>6</v>
      </c>
      <c r="L4319" s="369">
        <f>+IF((C4319&gt;='Resultats - informe'!$E$16)*(C4319&lt;='Resultats - informe'!$G$16),1,0)</f>
        <v>1</v>
      </c>
      <c r="M4319" s="369" cm="1">
        <f t="array" ref="M4319">+_xlfn.IFS((C4319&gt;='Resultats - informe'!$D$26)*(C4319&lt;='Resultats - informe'!$E$26),0,(C4319&gt;='Resultats - informe'!$D$27)*(C4319&lt;='Resultats - informe'!$E$27),0,(C4319&gt;='Resultats - informe'!$D$28)*(C4319&lt;='Resultats - informe'!$E$28),0,(C4319&gt;='Resultats - informe'!$D$29)*(C4319&lt;='Resultats - informe'!$E$29),0,1,1)</f>
        <v>0</v>
      </c>
      <c r="N4319" s="366">
        <f>+VLOOKUP(D4319,'Resultats - informe'!$Y$18:$AG$42,'Introducció dades consum'!K4319+1,0)</f>
        <v>0</v>
      </c>
      <c r="O4319" s="370" cm="1">
        <f t="array" ref="O4319">+_xlfn.SWITCH(MONTH(C4319),1,1,2,1,3,1,4,2,5,2,6,3,7,3,8,3,9,3,10,2,11,2,12,1,2)</f>
        <v>1</v>
      </c>
      <c r="P4319" s="43"/>
    </row>
    <row r="4320" spans="1:16" ht="18" x14ac:dyDescent="0.35">
      <c r="A4320" s="43"/>
      <c r="C4320" s="393"/>
      <c r="E4320" s="394"/>
      <c r="F4320" s="394">
        <v>0</v>
      </c>
      <c r="G4320" s="394"/>
      <c r="H4320" s="8" t="s">
        <v>235</v>
      </c>
      <c r="I4320" s="368">
        <f t="shared" si="202"/>
        <v>0</v>
      </c>
      <c r="J4320" s="365">
        <f t="shared" si="201"/>
        <v>0</v>
      </c>
      <c r="K4320" s="369">
        <f t="shared" si="203"/>
        <v>6</v>
      </c>
      <c r="L4320" s="369">
        <f>+IF((C4320&gt;='Resultats - informe'!$E$16)*(C4320&lt;='Resultats - informe'!$G$16),1,0)</f>
        <v>1</v>
      </c>
      <c r="M4320" s="369" cm="1">
        <f t="array" ref="M4320">+_xlfn.IFS((C4320&gt;='Resultats - informe'!$D$26)*(C4320&lt;='Resultats - informe'!$E$26),0,(C4320&gt;='Resultats - informe'!$D$27)*(C4320&lt;='Resultats - informe'!$E$27),0,(C4320&gt;='Resultats - informe'!$D$28)*(C4320&lt;='Resultats - informe'!$E$28),0,(C4320&gt;='Resultats - informe'!$D$29)*(C4320&lt;='Resultats - informe'!$E$29),0,1,1)</f>
        <v>0</v>
      </c>
      <c r="N4320" s="366">
        <f>+VLOOKUP(D4320,'Resultats - informe'!$Y$18:$AG$42,'Introducció dades consum'!K4320+1,0)</f>
        <v>0</v>
      </c>
      <c r="O4320" s="370" cm="1">
        <f t="array" ref="O4320">+_xlfn.SWITCH(MONTH(C4320),1,1,2,1,3,1,4,2,5,2,6,3,7,3,8,3,9,3,10,2,11,2,12,1,2)</f>
        <v>1</v>
      </c>
      <c r="P4320" s="43"/>
    </row>
    <row r="4321" spans="1:16" ht="18" x14ac:dyDescent="0.35">
      <c r="A4321" s="43"/>
      <c r="C4321" s="393"/>
      <c r="E4321" s="394"/>
      <c r="F4321" s="394">
        <v>0</v>
      </c>
      <c r="G4321" s="394"/>
      <c r="H4321" s="8" t="s">
        <v>61</v>
      </c>
      <c r="I4321" s="368">
        <f t="shared" si="202"/>
        <v>0</v>
      </c>
      <c r="J4321" s="365">
        <f t="shared" si="201"/>
        <v>0</v>
      </c>
      <c r="K4321" s="369">
        <f t="shared" si="203"/>
        <v>6</v>
      </c>
      <c r="L4321" s="369">
        <f>+IF((C4321&gt;='Resultats - informe'!$E$16)*(C4321&lt;='Resultats - informe'!$G$16),1,0)</f>
        <v>1</v>
      </c>
      <c r="M4321" s="369" cm="1">
        <f t="array" ref="M4321">+_xlfn.IFS((C4321&gt;='Resultats - informe'!$D$26)*(C4321&lt;='Resultats - informe'!$E$26),0,(C4321&gt;='Resultats - informe'!$D$27)*(C4321&lt;='Resultats - informe'!$E$27),0,(C4321&gt;='Resultats - informe'!$D$28)*(C4321&lt;='Resultats - informe'!$E$28),0,(C4321&gt;='Resultats - informe'!$D$29)*(C4321&lt;='Resultats - informe'!$E$29),0,1,1)</f>
        <v>0</v>
      </c>
      <c r="N4321" s="366">
        <f>+VLOOKUP(D4321,'Resultats - informe'!$Y$18:$AG$42,'Introducció dades consum'!K4321+1,0)</f>
        <v>0</v>
      </c>
      <c r="O4321" s="370" cm="1">
        <f t="array" ref="O4321">+_xlfn.SWITCH(MONTH(C4321),1,1,2,1,3,1,4,2,5,2,6,3,7,3,8,3,9,3,10,2,11,2,12,1,2)</f>
        <v>1</v>
      </c>
      <c r="P4321" s="43"/>
    </row>
    <row r="4322" spans="1:16" ht="18" x14ac:dyDescent="0.35">
      <c r="A4322" s="43"/>
      <c r="C4322" s="393"/>
      <c r="E4322" s="394"/>
      <c r="F4322" s="394">
        <v>0</v>
      </c>
      <c r="G4322" s="394"/>
      <c r="H4322" s="8" t="s">
        <v>61</v>
      </c>
      <c r="I4322" s="368">
        <f t="shared" si="202"/>
        <v>0</v>
      </c>
      <c r="J4322" s="365">
        <f t="shared" si="201"/>
        <v>0</v>
      </c>
      <c r="K4322" s="369">
        <f t="shared" si="203"/>
        <v>6</v>
      </c>
      <c r="L4322" s="369">
        <f>+IF((C4322&gt;='Resultats - informe'!$E$16)*(C4322&lt;='Resultats - informe'!$G$16),1,0)</f>
        <v>1</v>
      </c>
      <c r="M4322" s="369" cm="1">
        <f t="array" ref="M4322">+_xlfn.IFS((C4322&gt;='Resultats - informe'!$D$26)*(C4322&lt;='Resultats - informe'!$E$26),0,(C4322&gt;='Resultats - informe'!$D$27)*(C4322&lt;='Resultats - informe'!$E$27),0,(C4322&gt;='Resultats - informe'!$D$28)*(C4322&lt;='Resultats - informe'!$E$28),0,(C4322&gt;='Resultats - informe'!$D$29)*(C4322&lt;='Resultats - informe'!$E$29),0,1,1)</f>
        <v>0</v>
      </c>
      <c r="N4322" s="366">
        <f>+VLOOKUP(D4322,'Resultats - informe'!$Y$18:$AG$42,'Introducció dades consum'!K4322+1,0)</f>
        <v>0</v>
      </c>
      <c r="O4322" s="370" cm="1">
        <f t="array" ref="O4322">+_xlfn.SWITCH(MONTH(C4322),1,1,2,1,3,1,4,2,5,2,6,3,7,3,8,3,9,3,10,2,11,2,12,1,2)</f>
        <v>1</v>
      </c>
      <c r="P4322" s="43"/>
    </row>
    <row r="4323" spans="1:16" ht="18" x14ac:dyDescent="0.35">
      <c r="A4323" s="43"/>
      <c r="C4323" s="393"/>
      <c r="E4323" s="394"/>
      <c r="F4323" s="394">
        <v>0</v>
      </c>
      <c r="G4323" s="394"/>
      <c r="H4323" s="8" t="s">
        <v>235</v>
      </c>
      <c r="I4323" s="368">
        <f t="shared" si="202"/>
        <v>0</v>
      </c>
      <c r="J4323" s="365">
        <f t="shared" si="201"/>
        <v>0</v>
      </c>
      <c r="K4323" s="369">
        <f t="shared" si="203"/>
        <v>6</v>
      </c>
      <c r="L4323" s="369">
        <f>+IF((C4323&gt;='Resultats - informe'!$E$16)*(C4323&lt;='Resultats - informe'!$G$16),1,0)</f>
        <v>1</v>
      </c>
      <c r="M4323" s="369" cm="1">
        <f t="array" ref="M4323">+_xlfn.IFS((C4323&gt;='Resultats - informe'!$D$26)*(C4323&lt;='Resultats - informe'!$E$26),0,(C4323&gt;='Resultats - informe'!$D$27)*(C4323&lt;='Resultats - informe'!$E$27),0,(C4323&gt;='Resultats - informe'!$D$28)*(C4323&lt;='Resultats - informe'!$E$28),0,(C4323&gt;='Resultats - informe'!$D$29)*(C4323&lt;='Resultats - informe'!$E$29),0,1,1)</f>
        <v>0</v>
      </c>
      <c r="N4323" s="366">
        <f>+VLOOKUP(D4323,'Resultats - informe'!$Y$18:$AG$42,'Introducció dades consum'!K4323+1,0)</f>
        <v>0</v>
      </c>
      <c r="O4323" s="370" cm="1">
        <f t="array" ref="O4323">+_xlfn.SWITCH(MONTH(C4323),1,1,2,1,3,1,4,2,5,2,6,3,7,3,8,3,9,3,10,2,11,2,12,1,2)</f>
        <v>1</v>
      </c>
      <c r="P4323" s="43"/>
    </row>
    <row r="4324" spans="1:16" ht="18" x14ac:dyDescent="0.35">
      <c r="A4324" s="43"/>
      <c r="C4324" s="393"/>
      <c r="E4324" s="394"/>
      <c r="F4324" s="394">
        <v>0</v>
      </c>
      <c r="G4324" s="394"/>
      <c r="H4324" s="8" t="s">
        <v>235</v>
      </c>
      <c r="I4324" s="368">
        <f t="shared" si="202"/>
        <v>0</v>
      </c>
      <c r="J4324" s="365">
        <f t="shared" si="201"/>
        <v>0</v>
      </c>
      <c r="K4324" s="369">
        <f t="shared" si="203"/>
        <v>6</v>
      </c>
      <c r="L4324" s="369">
        <f>+IF((C4324&gt;='Resultats - informe'!$E$16)*(C4324&lt;='Resultats - informe'!$G$16),1,0)</f>
        <v>1</v>
      </c>
      <c r="M4324" s="369" cm="1">
        <f t="array" ref="M4324">+_xlfn.IFS((C4324&gt;='Resultats - informe'!$D$26)*(C4324&lt;='Resultats - informe'!$E$26),0,(C4324&gt;='Resultats - informe'!$D$27)*(C4324&lt;='Resultats - informe'!$E$27),0,(C4324&gt;='Resultats - informe'!$D$28)*(C4324&lt;='Resultats - informe'!$E$28),0,(C4324&gt;='Resultats - informe'!$D$29)*(C4324&lt;='Resultats - informe'!$E$29),0,1,1)</f>
        <v>0</v>
      </c>
      <c r="N4324" s="366">
        <f>+VLOOKUP(D4324,'Resultats - informe'!$Y$18:$AG$42,'Introducció dades consum'!K4324+1,0)</f>
        <v>0</v>
      </c>
      <c r="O4324" s="370" cm="1">
        <f t="array" ref="O4324">+_xlfn.SWITCH(MONTH(C4324),1,1,2,1,3,1,4,2,5,2,6,3,7,3,8,3,9,3,10,2,11,2,12,1,2)</f>
        <v>1</v>
      </c>
      <c r="P4324" s="43"/>
    </row>
    <row r="4325" spans="1:16" ht="18" x14ac:dyDescent="0.35">
      <c r="A4325" s="43"/>
      <c r="C4325" s="393"/>
      <c r="E4325" s="394"/>
      <c r="F4325" s="394">
        <v>0</v>
      </c>
      <c r="G4325" s="394"/>
      <c r="H4325" s="8" t="s">
        <v>235</v>
      </c>
      <c r="I4325" s="368">
        <f t="shared" si="202"/>
        <v>0</v>
      </c>
      <c r="J4325" s="365">
        <f t="shared" si="201"/>
        <v>0</v>
      </c>
      <c r="K4325" s="369">
        <f t="shared" si="203"/>
        <v>6</v>
      </c>
      <c r="L4325" s="369">
        <f>+IF((C4325&gt;='Resultats - informe'!$E$16)*(C4325&lt;='Resultats - informe'!$G$16),1,0)</f>
        <v>1</v>
      </c>
      <c r="M4325" s="369" cm="1">
        <f t="array" ref="M4325">+_xlfn.IFS((C4325&gt;='Resultats - informe'!$D$26)*(C4325&lt;='Resultats - informe'!$E$26),0,(C4325&gt;='Resultats - informe'!$D$27)*(C4325&lt;='Resultats - informe'!$E$27),0,(C4325&gt;='Resultats - informe'!$D$28)*(C4325&lt;='Resultats - informe'!$E$28),0,(C4325&gt;='Resultats - informe'!$D$29)*(C4325&lt;='Resultats - informe'!$E$29),0,1,1)</f>
        <v>0</v>
      </c>
      <c r="N4325" s="366">
        <f>+VLOOKUP(D4325,'Resultats - informe'!$Y$18:$AG$42,'Introducció dades consum'!K4325+1,0)</f>
        <v>0</v>
      </c>
      <c r="O4325" s="370" cm="1">
        <f t="array" ref="O4325">+_xlfn.SWITCH(MONTH(C4325),1,1,2,1,3,1,4,2,5,2,6,3,7,3,8,3,9,3,10,2,11,2,12,1,2)</f>
        <v>1</v>
      </c>
      <c r="P4325" s="43"/>
    </row>
    <row r="4326" spans="1:16" ht="18" x14ac:dyDescent="0.35">
      <c r="A4326" s="43"/>
      <c r="C4326" s="393"/>
      <c r="E4326" s="394"/>
      <c r="F4326" s="394">
        <v>0</v>
      </c>
      <c r="G4326" s="394"/>
      <c r="H4326" s="8" t="s">
        <v>235</v>
      </c>
      <c r="I4326" s="368">
        <f t="shared" si="202"/>
        <v>0</v>
      </c>
      <c r="J4326" s="365">
        <f t="shared" si="201"/>
        <v>0</v>
      </c>
      <c r="K4326" s="369">
        <f t="shared" si="203"/>
        <v>6</v>
      </c>
      <c r="L4326" s="369">
        <f>+IF((C4326&gt;='Resultats - informe'!$E$16)*(C4326&lt;='Resultats - informe'!$G$16),1,0)</f>
        <v>1</v>
      </c>
      <c r="M4326" s="369" cm="1">
        <f t="array" ref="M4326">+_xlfn.IFS((C4326&gt;='Resultats - informe'!$D$26)*(C4326&lt;='Resultats - informe'!$E$26),0,(C4326&gt;='Resultats - informe'!$D$27)*(C4326&lt;='Resultats - informe'!$E$27),0,(C4326&gt;='Resultats - informe'!$D$28)*(C4326&lt;='Resultats - informe'!$E$28),0,(C4326&gt;='Resultats - informe'!$D$29)*(C4326&lt;='Resultats - informe'!$E$29),0,1,1)</f>
        <v>0</v>
      </c>
      <c r="N4326" s="366">
        <f>+VLOOKUP(D4326,'Resultats - informe'!$Y$18:$AG$42,'Introducció dades consum'!K4326+1,0)</f>
        <v>0</v>
      </c>
      <c r="O4326" s="370" cm="1">
        <f t="array" ref="O4326">+_xlfn.SWITCH(MONTH(C4326),1,1,2,1,3,1,4,2,5,2,6,3,7,3,8,3,9,3,10,2,11,2,12,1,2)</f>
        <v>1</v>
      </c>
      <c r="P4326" s="43"/>
    </row>
    <row r="4327" spans="1:16" ht="18" x14ac:dyDescent="0.35">
      <c r="A4327" s="43"/>
      <c r="C4327" s="393"/>
      <c r="E4327" s="394"/>
      <c r="F4327" s="394">
        <v>0</v>
      </c>
      <c r="G4327" s="394"/>
      <c r="H4327" s="8" t="s">
        <v>235</v>
      </c>
      <c r="I4327" s="368">
        <f t="shared" si="202"/>
        <v>0</v>
      </c>
      <c r="J4327" s="365">
        <f t="shared" si="201"/>
        <v>0</v>
      </c>
      <c r="K4327" s="369">
        <f t="shared" si="203"/>
        <v>6</v>
      </c>
      <c r="L4327" s="369">
        <f>+IF((C4327&gt;='Resultats - informe'!$E$16)*(C4327&lt;='Resultats - informe'!$G$16),1,0)</f>
        <v>1</v>
      </c>
      <c r="M4327" s="369" cm="1">
        <f t="array" ref="M4327">+_xlfn.IFS((C4327&gt;='Resultats - informe'!$D$26)*(C4327&lt;='Resultats - informe'!$E$26),0,(C4327&gt;='Resultats - informe'!$D$27)*(C4327&lt;='Resultats - informe'!$E$27),0,(C4327&gt;='Resultats - informe'!$D$28)*(C4327&lt;='Resultats - informe'!$E$28),0,(C4327&gt;='Resultats - informe'!$D$29)*(C4327&lt;='Resultats - informe'!$E$29),0,1,1)</f>
        <v>0</v>
      </c>
      <c r="N4327" s="366">
        <f>+VLOOKUP(D4327,'Resultats - informe'!$Y$18:$AG$42,'Introducció dades consum'!K4327+1,0)</f>
        <v>0</v>
      </c>
      <c r="O4327" s="370" cm="1">
        <f t="array" ref="O4327">+_xlfn.SWITCH(MONTH(C4327),1,1,2,1,3,1,4,2,5,2,6,3,7,3,8,3,9,3,10,2,11,2,12,1,2)</f>
        <v>1</v>
      </c>
      <c r="P4327" s="43"/>
    </row>
    <row r="4328" spans="1:16" ht="18" x14ac:dyDescent="0.35">
      <c r="A4328" s="43"/>
      <c r="C4328" s="393"/>
      <c r="E4328" s="394"/>
      <c r="F4328" s="394">
        <v>0</v>
      </c>
      <c r="G4328" s="394"/>
      <c r="H4328" s="8" t="s">
        <v>235</v>
      </c>
      <c r="I4328" s="368">
        <f t="shared" si="202"/>
        <v>0</v>
      </c>
      <c r="J4328" s="365">
        <f t="shared" si="201"/>
        <v>0</v>
      </c>
      <c r="K4328" s="369">
        <f t="shared" si="203"/>
        <v>6</v>
      </c>
      <c r="L4328" s="369">
        <f>+IF((C4328&gt;='Resultats - informe'!$E$16)*(C4328&lt;='Resultats - informe'!$G$16),1,0)</f>
        <v>1</v>
      </c>
      <c r="M4328" s="369" cm="1">
        <f t="array" ref="M4328">+_xlfn.IFS((C4328&gt;='Resultats - informe'!$D$26)*(C4328&lt;='Resultats - informe'!$E$26),0,(C4328&gt;='Resultats - informe'!$D$27)*(C4328&lt;='Resultats - informe'!$E$27),0,(C4328&gt;='Resultats - informe'!$D$28)*(C4328&lt;='Resultats - informe'!$E$28),0,(C4328&gt;='Resultats - informe'!$D$29)*(C4328&lt;='Resultats - informe'!$E$29),0,1,1)</f>
        <v>0</v>
      </c>
      <c r="N4328" s="366">
        <f>+VLOOKUP(D4328,'Resultats - informe'!$Y$18:$AG$42,'Introducció dades consum'!K4328+1,0)</f>
        <v>0</v>
      </c>
      <c r="O4328" s="370" cm="1">
        <f t="array" ref="O4328">+_xlfn.SWITCH(MONTH(C4328),1,1,2,1,3,1,4,2,5,2,6,3,7,3,8,3,9,3,10,2,11,2,12,1,2)</f>
        <v>1</v>
      </c>
      <c r="P4328" s="43"/>
    </row>
    <row r="4329" spans="1:16" ht="18" x14ac:dyDescent="0.35">
      <c r="A4329" s="43"/>
      <c r="C4329" s="393"/>
      <c r="E4329" s="394"/>
      <c r="F4329" s="394">
        <v>0.22600000000000001</v>
      </c>
      <c r="G4329" s="394"/>
      <c r="H4329" s="8" t="s">
        <v>235</v>
      </c>
      <c r="I4329" s="368">
        <f t="shared" si="202"/>
        <v>0</v>
      </c>
      <c r="J4329" s="365">
        <f t="shared" si="201"/>
        <v>0</v>
      </c>
      <c r="K4329" s="369">
        <f t="shared" si="203"/>
        <v>6</v>
      </c>
      <c r="L4329" s="369">
        <f>+IF((C4329&gt;='Resultats - informe'!$E$16)*(C4329&lt;='Resultats - informe'!$G$16),1,0)</f>
        <v>1</v>
      </c>
      <c r="M4329" s="369" cm="1">
        <f t="array" ref="M4329">+_xlfn.IFS((C4329&gt;='Resultats - informe'!$D$26)*(C4329&lt;='Resultats - informe'!$E$26),0,(C4329&gt;='Resultats - informe'!$D$27)*(C4329&lt;='Resultats - informe'!$E$27),0,(C4329&gt;='Resultats - informe'!$D$28)*(C4329&lt;='Resultats - informe'!$E$28),0,(C4329&gt;='Resultats - informe'!$D$29)*(C4329&lt;='Resultats - informe'!$E$29),0,1,1)</f>
        <v>0</v>
      </c>
      <c r="N4329" s="366">
        <f>+VLOOKUP(D4329,'Resultats - informe'!$Y$18:$AG$42,'Introducció dades consum'!K4329+1,0)</f>
        <v>0</v>
      </c>
      <c r="O4329" s="370" cm="1">
        <f t="array" ref="O4329">+_xlfn.SWITCH(MONTH(C4329),1,1,2,1,3,1,4,2,5,2,6,3,7,3,8,3,9,3,10,2,11,2,12,1,2)</f>
        <v>1</v>
      </c>
      <c r="P4329" s="43"/>
    </row>
    <row r="4330" spans="1:16" ht="18" x14ac:dyDescent="0.35">
      <c r="A4330" s="43"/>
      <c r="C4330" s="393"/>
      <c r="E4330" s="394"/>
      <c r="F4330" s="394">
        <v>0.81299999999999994</v>
      </c>
      <c r="G4330" s="394"/>
      <c r="H4330" s="8" t="s">
        <v>235</v>
      </c>
      <c r="I4330" s="368">
        <f t="shared" si="202"/>
        <v>0</v>
      </c>
      <c r="J4330" s="365">
        <f t="shared" si="201"/>
        <v>0</v>
      </c>
      <c r="K4330" s="369">
        <f t="shared" si="203"/>
        <v>6</v>
      </c>
      <c r="L4330" s="369">
        <f>+IF((C4330&gt;='Resultats - informe'!$E$16)*(C4330&lt;='Resultats - informe'!$G$16),1,0)</f>
        <v>1</v>
      </c>
      <c r="M4330" s="369" cm="1">
        <f t="array" ref="M4330">+_xlfn.IFS((C4330&gt;='Resultats - informe'!$D$26)*(C4330&lt;='Resultats - informe'!$E$26),0,(C4330&gt;='Resultats - informe'!$D$27)*(C4330&lt;='Resultats - informe'!$E$27),0,(C4330&gt;='Resultats - informe'!$D$28)*(C4330&lt;='Resultats - informe'!$E$28),0,(C4330&gt;='Resultats - informe'!$D$29)*(C4330&lt;='Resultats - informe'!$E$29),0,1,1)</f>
        <v>0</v>
      </c>
      <c r="N4330" s="366">
        <f>+VLOOKUP(D4330,'Resultats - informe'!$Y$18:$AG$42,'Introducció dades consum'!K4330+1,0)</f>
        <v>0</v>
      </c>
      <c r="O4330" s="370" cm="1">
        <f t="array" ref="O4330">+_xlfn.SWITCH(MONTH(C4330),1,1,2,1,3,1,4,2,5,2,6,3,7,3,8,3,9,3,10,2,11,2,12,1,2)</f>
        <v>1</v>
      </c>
      <c r="P4330" s="43"/>
    </row>
    <row r="4331" spans="1:16" ht="18" x14ac:dyDescent="0.35">
      <c r="A4331" s="43"/>
      <c r="C4331" s="393"/>
      <c r="E4331" s="394"/>
      <c r="F4331" s="394">
        <v>1.3220000000000001</v>
      </c>
      <c r="G4331" s="394"/>
      <c r="H4331" s="8" t="s">
        <v>235</v>
      </c>
      <c r="I4331" s="368">
        <f t="shared" si="202"/>
        <v>0</v>
      </c>
      <c r="J4331" s="365">
        <f t="shared" si="201"/>
        <v>0</v>
      </c>
      <c r="K4331" s="369">
        <f t="shared" si="203"/>
        <v>6</v>
      </c>
      <c r="L4331" s="369">
        <f>+IF((C4331&gt;='Resultats - informe'!$E$16)*(C4331&lt;='Resultats - informe'!$G$16),1,0)</f>
        <v>1</v>
      </c>
      <c r="M4331" s="369" cm="1">
        <f t="array" ref="M4331">+_xlfn.IFS((C4331&gt;='Resultats - informe'!$D$26)*(C4331&lt;='Resultats - informe'!$E$26),0,(C4331&gt;='Resultats - informe'!$D$27)*(C4331&lt;='Resultats - informe'!$E$27),0,(C4331&gt;='Resultats - informe'!$D$28)*(C4331&lt;='Resultats - informe'!$E$28),0,(C4331&gt;='Resultats - informe'!$D$29)*(C4331&lt;='Resultats - informe'!$E$29),0,1,1)</f>
        <v>0</v>
      </c>
      <c r="N4331" s="366">
        <f>+VLOOKUP(D4331,'Resultats - informe'!$Y$18:$AG$42,'Introducció dades consum'!K4331+1,0)</f>
        <v>0</v>
      </c>
      <c r="O4331" s="370" cm="1">
        <f t="array" ref="O4331">+_xlfn.SWITCH(MONTH(C4331),1,1,2,1,3,1,4,2,5,2,6,3,7,3,8,3,9,3,10,2,11,2,12,1,2)</f>
        <v>1</v>
      </c>
      <c r="P4331" s="43"/>
    </row>
    <row r="4332" spans="1:16" ht="18" x14ac:dyDescent="0.35">
      <c r="A4332" s="43"/>
      <c r="C4332" s="393"/>
      <c r="E4332" s="394"/>
      <c r="F4332" s="394">
        <v>2.9889999999999999</v>
      </c>
      <c r="G4332" s="394"/>
      <c r="H4332" s="8" t="s">
        <v>235</v>
      </c>
      <c r="I4332" s="368">
        <f t="shared" si="202"/>
        <v>0</v>
      </c>
      <c r="J4332" s="365">
        <f t="shared" si="201"/>
        <v>0</v>
      </c>
      <c r="K4332" s="369">
        <f t="shared" si="203"/>
        <v>6</v>
      </c>
      <c r="L4332" s="369">
        <f>+IF((C4332&gt;='Resultats - informe'!$E$16)*(C4332&lt;='Resultats - informe'!$G$16),1,0)</f>
        <v>1</v>
      </c>
      <c r="M4332" s="369" cm="1">
        <f t="array" ref="M4332">+_xlfn.IFS((C4332&gt;='Resultats - informe'!$D$26)*(C4332&lt;='Resultats - informe'!$E$26),0,(C4332&gt;='Resultats - informe'!$D$27)*(C4332&lt;='Resultats - informe'!$E$27),0,(C4332&gt;='Resultats - informe'!$D$28)*(C4332&lt;='Resultats - informe'!$E$28),0,(C4332&gt;='Resultats - informe'!$D$29)*(C4332&lt;='Resultats - informe'!$E$29),0,1,1)</f>
        <v>0</v>
      </c>
      <c r="N4332" s="366">
        <f>+VLOOKUP(D4332,'Resultats - informe'!$Y$18:$AG$42,'Introducció dades consum'!K4332+1,0)</f>
        <v>0</v>
      </c>
      <c r="O4332" s="370" cm="1">
        <f t="array" ref="O4332">+_xlfn.SWITCH(MONTH(C4332),1,1,2,1,3,1,4,2,5,2,6,3,7,3,8,3,9,3,10,2,11,2,12,1,2)</f>
        <v>1</v>
      </c>
      <c r="P4332" s="43"/>
    </row>
    <row r="4333" spans="1:16" ht="18" x14ac:dyDescent="0.35">
      <c r="A4333" s="43"/>
      <c r="C4333" s="393"/>
      <c r="E4333" s="394"/>
      <c r="F4333" s="394">
        <v>3.7879999999999998</v>
      </c>
      <c r="G4333" s="394"/>
      <c r="H4333" s="8" t="s">
        <v>235</v>
      </c>
      <c r="I4333" s="368">
        <f t="shared" si="202"/>
        <v>0</v>
      </c>
      <c r="J4333" s="365">
        <f t="shared" si="201"/>
        <v>0</v>
      </c>
      <c r="K4333" s="369">
        <f t="shared" si="203"/>
        <v>6</v>
      </c>
      <c r="L4333" s="369">
        <f>+IF((C4333&gt;='Resultats - informe'!$E$16)*(C4333&lt;='Resultats - informe'!$G$16),1,0)</f>
        <v>1</v>
      </c>
      <c r="M4333" s="369" cm="1">
        <f t="array" ref="M4333">+_xlfn.IFS((C4333&gt;='Resultats - informe'!$D$26)*(C4333&lt;='Resultats - informe'!$E$26),0,(C4333&gt;='Resultats - informe'!$D$27)*(C4333&lt;='Resultats - informe'!$E$27),0,(C4333&gt;='Resultats - informe'!$D$28)*(C4333&lt;='Resultats - informe'!$E$28),0,(C4333&gt;='Resultats - informe'!$D$29)*(C4333&lt;='Resultats - informe'!$E$29),0,1,1)</f>
        <v>0</v>
      </c>
      <c r="N4333" s="366">
        <f>+VLOOKUP(D4333,'Resultats - informe'!$Y$18:$AG$42,'Introducció dades consum'!K4333+1,0)</f>
        <v>0</v>
      </c>
      <c r="O4333" s="370" cm="1">
        <f t="array" ref="O4333">+_xlfn.SWITCH(MONTH(C4333),1,1,2,1,3,1,4,2,5,2,6,3,7,3,8,3,9,3,10,2,11,2,12,1,2)</f>
        <v>1</v>
      </c>
      <c r="P4333" s="43"/>
    </row>
    <row r="4334" spans="1:16" ht="18" x14ac:dyDescent="0.35">
      <c r="A4334" s="43"/>
      <c r="C4334" s="393"/>
      <c r="E4334" s="394"/>
      <c r="F4334" s="394">
        <v>3.1070000000000002</v>
      </c>
      <c r="G4334" s="394"/>
      <c r="H4334" s="8" t="s">
        <v>61</v>
      </c>
      <c r="I4334" s="368">
        <f t="shared" si="202"/>
        <v>0</v>
      </c>
      <c r="J4334" s="365">
        <f t="shared" si="201"/>
        <v>0</v>
      </c>
      <c r="K4334" s="369">
        <f t="shared" si="203"/>
        <v>6</v>
      </c>
      <c r="L4334" s="369">
        <f>+IF((C4334&gt;='Resultats - informe'!$E$16)*(C4334&lt;='Resultats - informe'!$G$16),1,0)</f>
        <v>1</v>
      </c>
      <c r="M4334" s="369" cm="1">
        <f t="array" ref="M4334">+_xlfn.IFS((C4334&gt;='Resultats - informe'!$D$26)*(C4334&lt;='Resultats - informe'!$E$26),0,(C4334&gt;='Resultats - informe'!$D$27)*(C4334&lt;='Resultats - informe'!$E$27),0,(C4334&gt;='Resultats - informe'!$D$28)*(C4334&lt;='Resultats - informe'!$E$28),0,(C4334&gt;='Resultats - informe'!$D$29)*(C4334&lt;='Resultats - informe'!$E$29),0,1,1)</f>
        <v>0</v>
      </c>
      <c r="N4334" s="366">
        <f>+VLOOKUP(D4334,'Resultats - informe'!$Y$18:$AG$42,'Introducció dades consum'!K4334+1,0)</f>
        <v>0</v>
      </c>
      <c r="O4334" s="370" cm="1">
        <f t="array" ref="O4334">+_xlfn.SWITCH(MONTH(C4334),1,1,2,1,3,1,4,2,5,2,6,3,7,3,8,3,9,3,10,2,11,2,12,1,2)</f>
        <v>1</v>
      </c>
      <c r="P4334" s="43"/>
    </row>
    <row r="4335" spans="1:16" ht="18" x14ac:dyDescent="0.35">
      <c r="A4335" s="43"/>
      <c r="C4335" s="393"/>
      <c r="E4335" s="394"/>
      <c r="F4335" s="394">
        <v>4.5460000000000003</v>
      </c>
      <c r="G4335" s="394"/>
      <c r="H4335" s="8" t="s">
        <v>61</v>
      </c>
      <c r="I4335" s="368">
        <f t="shared" si="202"/>
        <v>0</v>
      </c>
      <c r="J4335" s="365">
        <f t="shared" si="201"/>
        <v>0</v>
      </c>
      <c r="K4335" s="369">
        <f t="shared" si="203"/>
        <v>6</v>
      </c>
      <c r="L4335" s="369">
        <f>+IF((C4335&gt;='Resultats - informe'!$E$16)*(C4335&lt;='Resultats - informe'!$G$16),1,0)</f>
        <v>1</v>
      </c>
      <c r="M4335" s="369" cm="1">
        <f t="array" ref="M4335">+_xlfn.IFS((C4335&gt;='Resultats - informe'!$D$26)*(C4335&lt;='Resultats - informe'!$E$26),0,(C4335&gt;='Resultats - informe'!$D$27)*(C4335&lt;='Resultats - informe'!$E$27),0,(C4335&gt;='Resultats - informe'!$D$28)*(C4335&lt;='Resultats - informe'!$E$28),0,(C4335&gt;='Resultats - informe'!$D$29)*(C4335&lt;='Resultats - informe'!$E$29),0,1,1)</f>
        <v>0</v>
      </c>
      <c r="N4335" s="366">
        <f>+VLOOKUP(D4335,'Resultats - informe'!$Y$18:$AG$42,'Introducció dades consum'!K4335+1,0)</f>
        <v>0</v>
      </c>
      <c r="O4335" s="370" cm="1">
        <f t="array" ref="O4335">+_xlfn.SWITCH(MONTH(C4335),1,1,2,1,3,1,4,2,5,2,6,3,7,3,8,3,9,3,10,2,11,2,12,1,2)</f>
        <v>1</v>
      </c>
      <c r="P4335" s="43"/>
    </row>
    <row r="4336" spans="1:16" ht="18" x14ac:dyDescent="0.35">
      <c r="A4336" s="43"/>
      <c r="C4336" s="393"/>
      <c r="E4336" s="394"/>
      <c r="F4336" s="394">
        <v>5.024</v>
      </c>
      <c r="G4336" s="394"/>
      <c r="H4336" s="8" t="s">
        <v>61</v>
      </c>
      <c r="I4336" s="368">
        <f t="shared" si="202"/>
        <v>0</v>
      </c>
      <c r="J4336" s="365">
        <f t="shared" si="201"/>
        <v>0</v>
      </c>
      <c r="K4336" s="369">
        <f t="shared" si="203"/>
        <v>6</v>
      </c>
      <c r="L4336" s="369">
        <f>+IF((C4336&gt;='Resultats - informe'!$E$16)*(C4336&lt;='Resultats - informe'!$G$16),1,0)</f>
        <v>1</v>
      </c>
      <c r="M4336" s="369" cm="1">
        <f t="array" ref="M4336">+_xlfn.IFS((C4336&gt;='Resultats - informe'!$D$26)*(C4336&lt;='Resultats - informe'!$E$26),0,(C4336&gt;='Resultats - informe'!$D$27)*(C4336&lt;='Resultats - informe'!$E$27),0,(C4336&gt;='Resultats - informe'!$D$28)*(C4336&lt;='Resultats - informe'!$E$28),0,(C4336&gt;='Resultats - informe'!$D$29)*(C4336&lt;='Resultats - informe'!$E$29),0,1,1)</f>
        <v>0</v>
      </c>
      <c r="N4336" s="366">
        <f>+VLOOKUP(D4336,'Resultats - informe'!$Y$18:$AG$42,'Introducció dades consum'!K4336+1,0)</f>
        <v>0</v>
      </c>
      <c r="O4336" s="370" cm="1">
        <f t="array" ref="O4336">+_xlfn.SWITCH(MONTH(C4336),1,1,2,1,3,1,4,2,5,2,6,3,7,3,8,3,9,3,10,2,11,2,12,1,2)</f>
        <v>1</v>
      </c>
      <c r="P4336" s="43"/>
    </row>
    <row r="4337" spans="1:16" ht="18" x14ac:dyDescent="0.35">
      <c r="A4337" s="43"/>
      <c r="C4337" s="393"/>
      <c r="E4337" s="394"/>
      <c r="F4337" s="394">
        <v>4.3330000000000002</v>
      </c>
      <c r="G4337" s="394"/>
      <c r="H4337" s="8" t="s">
        <v>235</v>
      </c>
      <c r="I4337" s="368">
        <f t="shared" si="202"/>
        <v>0</v>
      </c>
      <c r="J4337" s="365">
        <f t="shared" si="201"/>
        <v>0</v>
      </c>
      <c r="K4337" s="369">
        <f t="shared" si="203"/>
        <v>6</v>
      </c>
      <c r="L4337" s="369">
        <f>+IF((C4337&gt;='Resultats - informe'!$E$16)*(C4337&lt;='Resultats - informe'!$G$16),1,0)</f>
        <v>1</v>
      </c>
      <c r="M4337" s="369" cm="1">
        <f t="array" ref="M4337">+_xlfn.IFS((C4337&gt;='Resultats - informe'!$D$26)*(C4337&lt;='Resultats - informe'!$E$26),0,(C4337&gt;='Resultats - informe'!$D$27)*(C4337&lt;='Resultats - informe'!$E$27),0,(C4337&gt;='Resultats - informe'!$D$28)*(C4337&lt;='Resultats - informe'!$E$28),0,(C4337&gt;='Resultats - informe'!$D$29)*(C4337&lt;='Resultats - informe'!$E$29),0,1,1)</f>
        <v>0</v>
      </c>
      <c r="N4337" s="366">
        <f>+VLOOKUP(D4337,'Resultats - informe'!$Y$18:$AG$42,'Introducció dades consum'!K4337+1,0)</f>
        <v>0</v>
      </c>
      <c r="O4337" s="370" cm="1">
        <f t="array" ref="O4337">+_xlfn.SWITCH(MONTH(C4337),1,1,2,1,3,1,4,2,5,2,6,3,7,3,8,3,9,3,10,2,11,2,12,1,2)</f>
        <v>1</v>
      </c>
      <c r="P4337" s="43"/>
    </row>
    <row r="4338" spans="1:16" ht="18" x14ac:dyDescent="0.35">
      <c r="A4338" s="43"/>
      <c r="C4338" s="393"/>
      <c r="E4338" s="394"/>
      <c r="F4338" s="394">
        <v>2.9809999999999999</v>
      </c>
      <c r="G4338" s="394"/>
      <c r="H4338" s="8" t="s">
        <v>235</v>
      </c>
      <c r="I4338" s="368">
        <f t="shared" si="202"/>
        <v>0</v>
      </c>
      <c r="J4338" s="365">
        <f t="shared" si="201"/>
        <v>0</v>
      </c>
      <c r="K4338" s="369">
        <f t="shared" si="203"/>
        <v>6</v>
      </c>
      <c r="L4338" s="369">
        <f>+IF((C4338&gt;='Resultats - informe'!$E$16)*(C4338&lt;='Resultats - informe'!$G$16),1,0)</f>
        <v>1</v>
      </c>
      <c r="M4338" s="369" cm="1">
        <f t="array" ref="M4338">+_xlfn.IFS((C4338&gt;='Resultats - informe'!$D$26)*(C4338&lt;='Resultats - informe'!$E$26),0,(C4338&gt;='Resultats - informe'!$D$27)*(C4338&lt;='Resultats - informe'!$E$27),0,(C4338&gt;='Resultats - informe'!$D$28)*(C4338&lt;='Resultats - informe'!$E$28),0,(C4338&gt;='Resultats - informe'!$D$29)*(C4338&lt;='Resultats - informe'!$E$29),0,1,1)</f>
        <v>0</v>
      </c>
      <c r="N4338" s="366">
        <f>+VLOOKUP(D4338,'Resultats - informe'!$Y$18:$AG$42,'Introducció dades consum'!K4338+1,0)</f>
        <v>0</v>
      </c>
      <c r="O4338" s="370" cm="1">
        <f t="array" ref="O4338">+_xlfn.SWITCH(MONTH(C4338),1,1,2,1,3,1,4,2,5,2,6,3,7,3,8,3,9,3,10,2,11,2,12,1,2)</f>
        <v>1</v>
      </c>
      <c r="P4338" s="43"/>
    </row>
    <row r="4339" spans="1:16" ht="18" x14ac:dyDescent="0.35">
      <c r="A4339" s="43"/>
      <c r="C4339" s="393"/>
      <c r="E4339" s="394"/>
      <c r="F4339" s="394">
        <v>2.3530000000000002</v>
      </c>
      <c r="G4339" s="394"/>
      <c r="H4339" s="8" t="s">
        <v>235</v>
      </c>
      <c r="I4339" s="368">
        <f t="shared" si="202"/>
        <v>0</v>
      </c>
      <c r="J4339" s="365">
        <f t="shared" si="201"/>
        <v>0</v>
      </c>
      <c r="K4339" s="369">
        <f t="shared" si="203"/>
        <v>6</v>
      </c>
      <c r="L4339" s="369">
        <f>+IF((C4339&gt;='Resultats - informe'!$E$16)*(C4339&lt;='Resultats - informe'!$G$16),1,0)</f>
        <v>1</v>
      </c>
      <c r="M4339" s="369" cm="1">
        <f t="array" ref="M4339">+_xlfn.IFS((C4339&gt;='Resultats - informe'!$D$26)*(C4339&lt;='Resultats - informe'!$E$26),0,(C4339&gt;='Resultats - informe'!$D$27)*(C4339&lt;='Resultats - informe'!$E$27),0,(C4339&gt;='Resultats - informe'!$D$28)*(C4339&lt;='Resultats - informe'!$E$28),0,(C4339&gt;='Resultats - informe'!$D$29)*(C4339&lt;='Resultats - informe'!$E$29),0,1,1)</f>
        <v>0</v>
      </c>
      <c r="N4339" s="366">
        <f>+VLOOKUP(D4339,'Resultats - informe'!$Y$18:$AG$42,'Introducció dades consum'!K4339+1,0)</f>
        <v>0</v>
      </c>
      <c r="O4339" s="370" cm="1">
        <f t="array" ref="O4339">+_xlfn.SWITCH(MONTH(C4339),1,1,2,1,3,1,4,2,5,2,6,3,7,3,8,3,9,3,10,2,11,2,12,1,2)</f>
        <v>1</v>
      </c>
      <c r="P4339" s="43"/>
    </row>
    <row r="4340" spans="1:16" ht="18" x14ac:dyDescent="0.35">
      <c r="A4340" s="43"/>
      <c r="C4340" s="393"/>
      <c r="E4340" s="394"/>
      <c r="F4340" s="394">
        <v>0</v>
      </c>
      <c r="G4340" s="394"/>
      <c r="H4340" s="8" t="s">
        <v>61</v>
      </c>
      <c r="I4340" s="368">
        <f t="shared" si="202"/>
        <v>0</v>
      </c>
      <c r="J4340" s="365">
        <f t="shared" si="201"/>
        <v>0</v>
      </c>
      <c r="K4340" s="369">
        <f t="shared" si="203"/>
        <v>6</v>
      </c>
      <c r="L4340" s="369">
        <f>+IF((C4340&gt;='Resultats - informe'!$E$16)*(C4340&lt;='Resultats - informe'!$G$16),1,0)</f>
        <v>1</v>
      </c>
      <c r="M4340" s="369" cm="1">
        <f t="array" ref="M4340">+_xlfn.IFS((C4340&gt;='Resultats - informe'!$D$26)*(C4340&lt;='Resultats - informe'!$E$26),0,(C4340&gt;='Resultats - informe'!$D$27)*(C4340&lt;='Resultats - informe'!$E$27),0,(C4340&gt;='Resultats - informe'!$D$28)*(C4340&lt;='Resultats - informe'!$E$28),0,(C4340&gt;='Resultats - informe'!$D$29)*(C4340&lt;='Resultats - informe'!$E$29),0,1,1)</f>
        <v>0</v>
      </c>
      <c r="N4340" s="366">
        <f>+VLOOKUP(D4340,'Resultats - informe'!$Y$18:$AG$42,'Introducció dades consum'!K4340+1,0)</f>
        <v>0</v>
      </c>
      <c r="O4340" s="370" cm="1">
        <f t="array" ref="O4340">+_xlfn.SWITCH(MONTH(C4340),1,1,2,1,3,1,4,2,5,2,6,3,7,3,8,3,9,3,10,2,11,2,12,1,2)</f>
        <v>1</v>
      </c>
      <c r="P4340" s="43"/>
    </row>
    <row r="4341" spans="1:16" ht="18" x14ac:dyDescent="0.35">
      <c r="A4341" s="43"/>
      <c r="C4341" s="393"/>
      <c r="E4341" s="394"/>
      <c r="F4341" s="394">
        <v>0</v>
      </c>
      <c r="G4341" s="394"/>
      <c r="H4341" s="8" t="s">
        <v>61</v>
      </c>
      <c r="I4341" s="368">
        <f t="shared" si="202"/>
        <v>0</v>
      </c>
      <c r="J4341" s="365">
        <f t="shared" si="201"/>
        <v>0</v>
      </c>
      <c r="K4341" s="369">
        <f t="shared" si="203"/>
        <v>6</v>
      </c>
      <c r="L4341" s="369">
        <f>+IF((C4341&gt;='Resultats - informe'!$E$16)*(C4341&lt;='Resultats - informe'!$G$16),1,0)</f>
        <v>1</v>
      </c>
      <c r="M4341" s="369" cm="1">
        <f t="array" ref="M4341">+_xlfn.IFS((C4341&gt;='Resultats - informe'!$D$26)*(C4341&lt;='Resultats - informe'!$E$26),0,(C4341&gt;='Resultats - informe'!$D$27)*(C4341&lt;='Resultats - informe'!$E$27),0,(C4341&gt;='Resultats - informe'!$D$28)*(C4341&lt;='Resultats - informe'!$E$28),0,(C4341&gt;='Resultats - informe'!$D$29)*(C4341&lt;='Resultats - informe'!$E$29),0,1,1)</f>
        <v>0</v>
      </c>
      <c r="N4341" s="366">
        <f>+VLOOKUP(D4341,'Resultats - informe'!$Y$18:$AG$42,'Introducció dades consum'!K4341+1,0)</f>
        <v>0</v>
      </c>
      <c r="O4341" s="370" cm="1">
        <f t="array" ref="O4341">+_xlfn.SWITCH(MONTH(C4341),1,1,2,1,3,1,4,2,5,2,6,3,7,3,8,3,9,3,10,2,11,2,12,1,2)</f>
        <v>1</v>
      </c>
      <c r="P4341" s="43"/>
    </row>
    <row r="4342" spans="1:16" ht="18" x14ac:dyDescent="0.35">
      <c r="A4342" s="43"/>
      <c r="C4342" s="393"/>
      <c r="E4342" s="394"/>
      <c r="F4342" s="394">
        <v>0</v>
      </c>
      <c r="G4342" s="394"/>
      <c r="H4342" s="8" t="s">
        <v>61</v>
      </c>
      <c r="I4342" s="368">
        <f t="shared" si="202"/>
        <v>0</v>
      </c>
      <c r="J4342" s="365">
        <f t="shared" si="201"/>
        <v>0</v>
      </c>
      <c r="K4342" s="369">
        <f t="shared" si="203"/>
        <v>6</v>
      </c>
      <c r="L4342" s="369">
        <f>+IF((C4342&gt;='Resultats - informe'!$E$16)*(C4342&lt;='Resultats - informe'!$G$16),1,0)</f>
        <v>1</v>
      </c>
      <c r="M4342" s="369" cm="1">
        <f t="array" ref="M4342">+_xlfn.IFS((C4342&gt;='Resultats - informe'!$D$26)*(C4342&lt;='Resultats - informe'!$E$26),0,(C4342&gt;='Resultats - informe'!$D$27)*(C4342&lt;='Resultats - informe'!$E$27),0,(C4342&gt;='Resultats - informe'!$D$28)*(C4342&lt;='Resultats - informe'!$E$28),0,(C4342&gt;='Resultats - informe'!$D$29)*(C4342&lt;='Resultats - informe'!$E$29),0,1,1)</f>
        <v>0</v>
      </c>
      <c r="N4342" s="366">
        <f>+VLOOKUP(D4342,'Resultats - informe'!$Y$18:$AG$42,'Introducció dades consum'!K4342+1,0)</f>
        <v>0</v>
      </c>
      <c r="O4342" s="370" cm="1">
        <f t="array" ref="O4342">+_xlfn.SWITCH(MONTH(C4342),1,1,2,1,3,1,4,2,5,2,6,3,7,3,8,3,9,3,10,2,11,2,12,1,2)</f>
        <v>1</v>
      </c>
      <c r="P4342" s="43"/>
    </row>
    <row r="4343" spans="1:16" ht="18" x14ac:dyDescent="0.35">
      <c r="A4343" s="43"/>
      <c r="C4343" s="393"/>
      <c r="E4343" s="394"/>
      <c r="F4343" s="394">
        <v>0</v>
      </c>
      <c r="G4343" s="394"/>
      <c r="H4343" s="8" t="s">
        <v>61</v>
      </c>
      <c r="I4343" s="368">
        <f t="shared" si="202"/>
        <v>0</v>
      </c>
      <c r="J4343" s="365">
        <f t="shared" si="201"/>
        <v>0</v>
      </c>
      <c r="K4343" s="369">
        <f t="shared" si="203"/>
        <v>6</v>
      </c>
      <c r="L4343" s="369">
        <f>+IF((C4343&gt;='Resultats - informe'!$E$16)*(C4343&lt;='Resultats - informe'!$G$16),1,0)</f>
        <v>1</v>
      </c>
      <c r="M4343" s="369" cm="1">
        <f t="array" ref="M4343">+_xlfn.IFS((C4343&gt;='Resultats - informe'!$D$26)*(C4343&lt;='Resultats - informe'!$E$26),0,(C4343&gt;='Resultats - informe'!$D$27)*(C4343&lt;='Resultats - informe'!$E$27),0,(C4343&gt;='Resultats - informe'!$D$28)*(C4343&lt;='Resultats - informe'!$E$28),0,(C4343&gt;='Resultats - informe'!$D$29)*(C4343&lt;='Resultats - informe'!$E$29),0,1,1)</f>
        <v>0</v>
      </c>
      <c r="N4343" s="366">
        <f>+VLOOKUP(D4343,'Resultats - informe'!$Y$18:$AG$42,'Introducció dades consum'!K4343+1,0)</f>
        <v>0</v>
      </c>
      <c r="O4343" s="370" cm="1">
        <f t="array" ref="O4343">+_xlfn.SWITCH(MONTH(C4343),1,1,2,1,3,1,4,2,5,2,6,3,7,3,8,3,9,3,10,2,11,2,12,1,2)</f>
        <v>1</v>
      </c>
      <c r="P4343" s="43"/>
    </row>
    <row r="4344" spans="1:16" ht="18" x14ac:dyDescent="0.35">
      <c r="A4344" s="43"/>
      <c r="C4344" s="393"/>
      <c r="E4344" s="394"/>
      <c r="F4344" s="394">
        <v>0</v>
      </c>
      <c r="G4344" s="394"/>
      <c r="H4344" s="8" t="s">
        <v>61</v>
      </c>
      <c r="I4344" s="368">
        <f t="shared" si="202"/>
        <v>0</v>
      </c>
      <c r="J4344" s="365">
        <f t="shared" si="201"/>
        <v>0</v>
      </c>
      <c r="K4344" s="369">
        <f t="shared" si="203"/>
        <v>6</v>
      </c>
      <c r="L4344" s="369">
        <f>+IF((C4344&gt;='Resultats - informe'!$E$16)*(C4344&lt;='Resultats - informe'!$G$16),1,0)</f>
        <v>1</v>
      </c>
      <c r="M4344" s="369" cm="1">
        <f t="array" ref="M4344">+_xlfn.IFS((C4344&gt;='Resultats - informe'!$D$26)*(C4344&lt;='Resultats - informe'!$E$26),0,(C4344&gt;='Resultats - informe'!$D$27)*(C4344&lt;='Resultats - informe'!$E$27),0,(C4344&gt;='Resultats - informe'!$D$28)*(C4344&lt;='Resultats - informe'!$E$28),0,(C4344&gt;='Resultats - informe'!$D$29)*(C4344&lt;='Resultats - informe'!$E$29),0,1,1)</f>
        <v>0</v>
      </c>
      <c r="N4344" s="366">
        <f>+VLOOKUP(D4344,'Resultats - informe'!$Y$18:$AG$42,'Introducció dades consum'!K4344+1,0)</f>
        <v>0</v>
      </c>
      <c r="O4344" s="370" cm="1">
        <f t="array" ref="O4344">+_xlfn.SWITCH(MONTH(C4344),1,1,2,1,3,1,4,2,5,2,6,3,7,3,8,3,9,3,10,2,11,2,12,1,2)</f>
        <v>1</v>
      </c>
      <c r="P4344" s="43"/>
    </row>
    <row r="4345" spans="1:16" ht="18" x14ac:dyDescent="0.35">
      <c r="A4345" s="43"/>
      <c r="C4345" s="393"/>
      <c r="E4345" s="394"/>
      <c r="F4345" s="394">
        <v>0</v>
      </c>
      <c r="G4345" s="394"/>
      <c r="H4345" s="8" t="s">
        <v>61</v>
      </c>
      <c r="I4345" s="368">
        <f t="shared" si="202"/>
        <v>0</v>
      </c>
      <c r="J4345" s="365">
        <f t="shared" si="201"/>
        <v>0</v>
      </c>
      <c r="K4345" s="369">
        <f t="shared" si="203"/>
        <v>6</v>
      </c>
      <c r="L4345" s="369">
        <f>+IF((C4345&gt;='Resultats - informe'!$E$16)*(C4345&lt;='Resultats - informe'!$G$16),1,0)</f>
        <v>1</v>
      </c>
      <c r="M4345" s="369" cm="1">
        <f t="array" ref="M4345">+_xlfn.IFS((C4345&gt;='Resultats - informe'!$D$26)*(C4345&lt;='Resultats - informe'!$E$26),0,(C4345&gt;='Resultats - informe'!$D$27)*(C4345&lt;='Resultats - informe'!$E$27),0,(C4345&gt;='Resultats - informe'!$D$28)*(C4345&lt;='Resultats - informe'!$E$28),0,(C4345&gt;='Resultats - informe'!$D$29)*(C4345&lt;='Resultats - informe'!$E$29),0,1,1)</f>
        <v>0</v>
      </c>
      <c r="N4345" s="366">
        <f>+VLOOKUP(D4345,'Resultats - informe'!$Y$18:$AG$42,'Introducció dades consum'!K4345+1,0)</f>
        <v>0</v>
      </c>
      <c r="O4345" s="370" cm="1">
        <f t="array" ref="O4345">+_xlfn.SWITCH(MONTH(C4345),1,1,2,1,3,1,4,2,5,2,6,3,7,3,8,3,9,3,10,2,11,2,12,1,2)</f>
        <v>1</v>
      </c>
      <c r="P4345" s="43"/>
    </row>
    <row r="4346" spans="1:16" ht="18" x14ac:dyDescent="0.35">
      <c r="A4346" s="43"/>
      <c r="C4346" s="393"/>
      <c r="E4346" s="394"/>
      <c r="F4346" s="394">
        <v>0</v>
      </c>
      <c r="G4346" s="394"/>
      <c r="H4346" s="8" t="s">
        <v>61</v>
      </c>
      <c r="I4346" s="368">
        <f t="shared" si="202"/>
        <v>0</v>
      </c>
      <c r="J4346" s="365">
        <f t="shared" si="201"/>
        <v>0</v>
      </c>
      <c r="K4346" s="369">
        <f t="shared" si="203"/>
        <v>6</v>
      </c>
      <c r="L4346" s="369">
        <f>+IF((C4346&gt;='Resultats - informe'!$E$16)*(C4346&lt;='Resultats - informe'!$G$16),1,0)</f>
        <v>1</v>
      </c>
      <c r="M4346" s="369" cm="1">
        <f t="array" ref="M4346">+_xlfn.IFS((C4346&gt;='Resultats - informe'!$D$26)*(C4346&lt;='Resultats - informe'!$E$26),0,(C4346&gt;='Resultats - informe'!$D$27)*(C4346&lt;='Resultats - informe'!$E$27),0,(C4346&gt;='Resultats - informe'!$D$28)*(C4346&lt;='Resultats - informe'!$E$28),0,(C4346&gt;='Resultats - informe'!$D$29)*(C4346&lt;='Resultats - informe'!$E$29),0,1,1)</f>
        <v>0</v>
      </c>
      <c r="N4346" s="366">
        <f>+VLOOKUP(D4346,'Resultats - informe'!$Y$18:$AG$42,'Introducció dades consum'!K4346+1,0)</f>
        <v>0</v>
      </c>
      <c r="O4346" s="370" cm="1">
        <f t="array" ref="O4346">+_xlfn.SWITCH(MONTH(C4346),1,1,2,1,3,1,4,2,5,2,6,3,7,3,8,3,9,3,10,2,11,2,12,1,2)</f>
        <v>1</v>
      </c>
      <c r="P4346" s="43"/>
    </row>
    <row r="4347" spans="1:16" ht="18" x14ac:dyDescent="0.35">
      <c r="A4347" s="43"/>
      <c r="C4347" s="393"/>
      <c r="E4347" s="394"/>
      <c r="F4347" s="394">
        <v>0</v>
      </c>
      <c r="G4347" s="394"/>
      <c r="H4347" s="8" t="s">
        <v>61</v>
      </c>
      <c r="I4347" s="368">
        <f t="shared" si="202"/>
        <v>0</v>
      </c>
      <c r="J4347" s="365">
        <f t="shared" ref="J4347:J4410" si="204">+C4347</f>
        <v>0</v>
      </c>
      <c r="K4347" s="369">
        <f t="shared" si="203"/>
        <v>6</v>
      </c>
      <c r="L4347" s="369">
        <f>+IF((C4347&gt;='Resultats - informe'!$E$16)*(C4347&lt;='Resultats - informe'!$G$16),1,0)</f>
        <v>1</v>
      </c>
      <c r="M4347" s="369" cm="1">
        <f t="array" ref="M4347">+_xlfn.IFS((C4347&gt;='Resultats - informe'!$D$26)*(C4347&lt;='Resultats - informe'!$E$26),0,(C4347&gt;='Resultats - informe'!$D$27)*(C4347&lt;='Resultats - informe'!$E$27),0,(C4347&gt;='Resultats - informe'!$D$28)*(C4347&lt;='Resultats - informe'!$E$28),0,(C4347&gt;='Resultats - informe'!$D$29)*(C4347&lt;='Resultats - informe'!$E$29),0,1,1)</f>
        <v>0</v>
      </c>
      <c r="N4347" s="366">
        <f>+VLOOKUP(D4347,'Resultats - informe'!$Y$18:$AG$42,'Introducció dades consum'!K4347+1,0)</f>
        <v>0</v>
      </c>
      <c r="O4347" s="370" cm="1">
        <f t="array" ref="O4347">+_xlfn.SWITCH(MONTH(C4347),1,1,2,1,3,1,4,2,5,2,6,3,7,3,8,3,9,3,10,2,11,2,12,1,2)</f>
        <v>1</v>
      </c>
      <c r="P4347" s="43"/>
    </row>
    <row r="4348" spans="1:16" ht="18" x14ac:dyDescent="0.35">
      <c r="A4348" s="43"/>
      <c r="C4348" s="393"/>
      <c r="E4348" s="394"/>
      <c r="F4348" s="394">
        <v>0</v>
      </c>
      <c r="G4348" s="394"/>
      <c r="H4348" s="8" t="s">
        <v>235</v>
      </c>
      <c r="I4348" s="368">
        <f t="shared" si="202"/>
        <v>0</v>
      </c>
      <c r="J4348" s="365">
        <f t="shared" si="204"/>
        <v>0</v>
      </c>
      <c r="K4348" s="369">
        <f t="shared" si="203"/>
        <v>6</v>
      </c>
      <c r="L4348" s="369">
        <f>+IF((C4348&gt;='Resultats - informe'!$E$16)*(C4348&lt;='Resultats - informe'!$G$16),1,0)</f>
        <v>1</v>
      </c>
      <c r="M4348" s="369" cm="1">
        <f t="array" ref="M4348">+_xlfn.IFS((C4348&gt;='Resultats - informe'!$D$26)*(C4348&lt;='Resultats - informe'!$E$26),0,(C4348&gt;='Resultats - informe'!$D$27)*(C4348&lt;='Resultats - informe'!$E$27),0,(C4348&gt;='Resultats - informe'!$D$28)*(C4348&lt;='Resultats - informe'!$E$28),0,(C4348&gt;='Resultats - informe'!$D$29)*(C4348&lt;='Resultats - informe'!$E$29),0,1,1)</f>
        <v>0</v>
      </c>
      <c r="N4348" s="366">
        <f>+VLOOKUP(D4348,'Resultats - informe'!$Y$18:$AG$42,'Introducció dades consum'!K4348+1,0)</f>
        <v>0</v>
      </c>
      <c r="O4348" s="370" cm="1">
        <f t="array" ref="O4348">+_xlfn.SWITCH(MONTH(C4348),1,1,2,1,3,1,4,2,5,2,6,3,7,3,8,3,9,3,10,2,11,2,12,1,2)</f>
        <v>1</v>
      </c>
      <c r="P4348" s="43"/>
    </row>
    <row r="4349" spans="1:16" ht="18" x14ac:dyDescent="0.35">
      <c r="A4349" s="43"/>
      <c r="C4349" s="393"/>
      <c r="E4349" s="394"/>
      <c r="F4349" s="394">
        <v>0</v>
      </c>
      <c r="G4349" s="394"/>
      <c r="H4349" s="8" t="s">
        <v>235</v>
      </c>
      <c r="I4349" s="368">
        <f t="shared" si="202"/>
        <v>0</v>
      </c>
      <c r="J4349" s="365">
        <f t="shared" si="204"/>
        <v>0</v>
      </c>
      <c r="K4349" s="369">
        <f t="shared" si="203"/>
        <v>6</v>
      </c>
      <c r="L4349" s="369">
        <f>+IF((C4349&gt;='Resultats - informe'!$E$16)*(C4349&lt;='Resultats - informe'!$G$16),1,0)</f>
        <v>1</v>
      </c>
      <c r="M4349" s="369" cm="1">
        <f t="array" ref="M4349">+_xlfn.IFS((C4349&gt;='Resultats - informe'!$D$26)*(C4349&lt;='Resultats - informe'!$E$26),0,(C4349&gt;='Resultats - informe'!$D$27)*(C4349&lt;='Resultats - informe'!$E$27),0,(C4349&gt;='Resultats - informe'!$D$28)*(C4349&lt;='Resultats - informe'!$E$28),0,(C4349&gt;='Resultats - informe'!$D$29)*(C4349&lt;='Resultats - informe'!$E$29),0,1,1)</f>
        <v>0</v>
      </c>
      <c r="N4349" s="366">
        <f>+VLOOKUP(D4349,'Resultats - informe'!$Y$18:$AG$42,'Introducció dades consum'!K4349+1,0)</f>
        <v>0</v>
      </c>
      <c r="O4349" s="370" cm="1">
        <f t="array" ref="O4349">+_xlfn.SWITCH(MONTH(C4349),1,1,2,1,3,1,4,2,5,2,6,3,7,3,8,3,9,3,10,2,11,2,12,1,2)</f>
        <v>1</v>
      </c>
      <c r="P4349" s="43"/>
    </row>
    <row r="4350" spans="1:16" ht="18" x14ac:dyDescent="0.35">
      <c r="A4350" s="43"/>
      <c r="C4350" s="393"/>
      <c r="E4350" s="394"/>
      <c r="F4350" s="394">
        <v>0</v>
      </c>
      <c r="G4350" s="394"/>
      <c r="H4350" s="8" t="s">
        <v>235</v>
      </c>
      <c r="I4350" s="368">
        <f t="shared" si="202"/>
        <v>0</v>
      </c>
      <c r="J4350" s="365">
        <f t="shared" si="204"/>
        <v>0</v>
      </c>
      <c r="K4350" s="369">
        <f t="shared" si="203"/>
        <v>6</v>
      </c>
      <c r="L4350" s="369">
        <f>+IF((C4350&gt;='Resultats - informe'!$E$16)*(C4350&lt;='Resultats - informe'!$G$16),1,0)</f>
        <v>1</v>
      </c>
      <c r="M4350" s="369" cm="1">
        <f t="array" ref="M4350">+_xlfn.IFS((C4350&gt;='Resultats - informe'!$D$26)*(C4350&lt;='Resultats - informe'!$E$26),0,(C4350&gt;='Resultats - informe'!$D$27)*(C4350&lt;='Resultats - informe'!$E$27),0,(C4350&gt;='Resultats - informe'!$D$28)*(C4350&lt;='Resultats - informe'!$E$28),0,(C4350&gt;='Resultats - informe'!$D$29)*(C4350&lt;='Resultats - informe'!$E$29),0,1,1)</f>
        <v>0</v>
      </c>
      <c r="N4350" s="366">
        <f>+VLOOKUP(D4350,'Resultats - informe'!$Y$18:$AG$42,'Introducció dades consum'!K4350+1,0)</f>
        <v>0</v>
      </c>
      <c r="O4350" s="370" cm="1">
        <f t="array" ref="O4350">+_xlfn.SWITCH(MONTH(C4350),1,1,2,1,3,1,4,2,5,2,6,3,7,3,8,3,9,3,10,2,11,2,12,1,2)</f>
        <v>1</v>
      </c>
      <c r="P4350" s="43"/>
    </row>
    <row r="4351" spans="1:16" ht="18" x14ac:dyDescent="0.35">
      <c r="A4351" s="43"/>
      <c r="C4351" s="393"/>
      <c r="E4351" s="394"/>
      <c r="F4351" s="394">
        <v>0</v>
      </c>
      <c r="G4351" s="394"/>
      <c r="H4351" s="8" t="s">
        <v>235</v>
      </c>
      <c r="I4351" s="368">
        <f t="shared" si="202"/>
        <v>0</v>
      </c>
      <c r="J4351" s="365">
        <f t="shared" si="204"/>
        <v>0</v>
      </c>
      <c r="K4351" s="369">
        <f t="shared" si="203"/>
        <v>6</v>
      </c>
      <c r="L4351" s="369">
        <f>+IF((C4351&gt;='Resultats - informe'!$E$16)*(C4351&lt;='Resultats - informe'!$G$16),1,0)</f>
        <v>1</v>
      </c>
      <c r="M4351" s="369" cm="1">
        <f t="array" ref="M4351">+_xlfn.IFS((C4351&gt;='Resultats - informe'!$D$26)*(C4351&lt;='Resultats - informe'!$E$26),0,(C4351&gt;='Resultats - informe'!$D$27)*(C4351&lt;='Resultats - informe'!$E$27),0,(C4351&gt;='Resultats - informe'!$D$28)*(C4351&lt;='Resultats - informe'!$E$28),0,(C4351&gt;='Resultats - informe'!$D$29)*(C4351&lt;='Resultats - informe'!$E$29),0,1,1)</f>
        <v>0</v>
      </c>
      <c r="N4351" s="366">
        <f>+VLOOKUP(D4351,'Resultats - informe'!$Y$18:$AG$42,'Introducció dades consum'!K4351+1,0)</f>
        <v>0</v>
      </c>
      <c r="O4351" s="370" cm="1">
        <f t="array" ref="O4351">+_xlfn.SWITCH(MONTH(C4351),1,1,2,1,3,1,4,2,5,2,6,3,7,3,8,3,9,3,10,2,11,2,12,1,2)</f>
        <v>1</v>
      </c>
      <c r="P4351" s="43"/>
    </row>
    <row r="4352" spans="1:16" ht="18" x14ac:dyDescent="0.35">
      <c r="A4352" s="43"/>
      <c r="C4352" s="393"/>
      <c r="E4352" s="394"/>
      <c r="F4352" s="394">
        <v>0</v>
      </c>
      <c r="G4352" s="394"/>
      <c r="H4352" s="8" t="s">
        <v>235</v>
      </c>
      <c r="I4352" s="368">
        <f t="shared" si="202"/>
        <v>0</v>
      </c>
      <c r="J4352" s="365">
        <f t="shared" si="204"/>
        <v>0</v>
      </c>
      <c r="K4352" s="369">
        <f t="shared" si="203"/>
        <v>6</v>
      </c>
      <c r="L4352" s="369">
        <f>+IF((C4352&gt;='Resultats - informe'!$E$16)*(C4352&lt;='Resultats - informe'!$G$16),1,0)</f>
        <v>1</v>
      </c>
      <c r="M4352" s="369" cm="1">
        <f t="array" ref="M4352">+_xlfn.IFS((C4352&gt;='Resultats - informe'!$D$26)*(C4352&lt;='Resultats - informe'!$E$26),0,(C4352&gt;='Resultats - informe'!$D$27)*(C4352&lt;='Resultats - informe'!$E$27),0,(C4352&gt;='Resultats - informe'!$D$28)*(C4352&lt;='Resultats - informe'!$E$28),0,(C4352&gt;='Resultats - informe'!$D$29)*(C4352&lt;='Resultats - informe'!$E$29),0,1,1)</f>
        <v>0</v>
      </c>
      <c r="N4352" s="366">
        <f>+VLOOKUP(D4352,'Resultats - informe'!$Y$18:$AG$42,'Introducció dades consum'!K4352+1,0)</f>
        <v>0</v>
      </c>
      <c r="O4352" s="370" cm="1">
        <f t="array" ref="O4352">+_xlfn.SWITCH(MONTH(C4352),1,1,2,1,3,1,4,2,5,2,6,3,7,3,8,3,9,3,10,2,11,2,12,1,2)</f>
        <v>1</v>
      </c>
      <c r="P4352" s="43"/>
    </row>
    <row r="4353" spans="1:16" ht="18" x14ac:dyDescent="0.35">
      <c r="A4353" s="43"/>
      <c r="C4353" s="393"/>
      <c r="E4353" s="394"/>
      <c r="F4353" s="394">
        <v>0</v>
      </c>
      <c r="G4353" s="394"/>
      <c r="H4353" s="8" t="s">
        <v>235</v>
      </c>
      <c r="I4353" s="368">
        <f t="shared" si="202"/>
        <v>0</v>
      </c>
      <c r="J4353" s="365">
        <f t="shared" si="204"/>
        <v>0</v>
      </c>
      <c r="K4353" s="369">
        <f t="shared" si="203"/>
        <v>6</v>
      </c>
      <c r="L4353" s="369">
        <f>+IF((C4353&gt;='Resultats - informe'!$E$16)*(C4353&lt;='Resultats - informe'!$G$16),1,0)</f>
        <v>1</v>
      </c>
      <c r="M4353" s="369" cm="1">
        <f t="array" ref="M4353">+_xlfn.IFS((C4353&gt;='Resultats - informe'!$D$26)*(C4353&lt;='Resultats - informe'!$E$26),0,(C4353&gt;='Resultats - informe'!$D$27)*(C4353&lt;='Resultats - informe'!$E$27),0,(C4353&gt;='Resultats - informe'!$D$28)*(C4353&lt;='Resultats - informe'!$E$28),0,(C4353&gt;='Resultats - informe'!$D$29)*(C4353&lt;='Resultats - informe'!$E$29),0,1,1)</f>
        <v>0</v>
      </c>
      <c r="N4353" s="366">
        <f>+VLOOKUP(D4353,'Resultats - informe'!$Y$18:$AG$42,'Introducció dades consum'!K4353+1,0)</f>
        <v>0</v>
      </c>
      <c r="O4353" s="370" cm="1">
        <f t="array" ref="O4353">+_xlfn.SWITCH(MONTH(C4353),1,1,2,1,3,1,4,2,5,2,6,3,7,3,8,3,9,3,10,2,11,2,12,1,2)</f>
        <v>1</v>
      </c>
      <c r="P4353" s="43"/>
    </row>
    <row r="4354" spans="1:16" ht="18" x14ac:dyDescent="0.35">
      <c r="A4354" s="43"/>
      <c r="C4354" s="393"/>
      <c r="E4354" s="394"/>
      <c r="F4354" s="394">
        <v>0</v>
      </c>
      <c r="G4354" s="394"/>
      <c r="H4354" s="8" t="s">
        <v>235</v>
      </c>
      <c r="I4354" s="368">
        <f t="shared" si="202"/>
        <v>0</v>
      </c>
      <c r="J4354" s="365">
        <f t="shared" si="204"/>
        <v>0</v>
      </c>
      <c r="K4354" s="369">
        <f t="shared" si="203"/>
        <v>6</v>
      </c>
      <c r="L4354" s="369">
        <f>+IF((C4354&gt;='Resultats - informe'!$E$16)*(C4354&lt;='Resultats - informe'!$G$16),1,0)</f>
        <v>1</v>
      </c>
      <c r="M4354" s="369" cm="1">
        <f t="array" ref="M4354">+_xlfn.IFS((C4354&gt;='Resultats - informe'!$D$26)*(C4354&lt;='Resultats - informe'!$E$26),0,(C4354&gt;='Resultats - informe'!$D$27)*(C4354&lt;='Resultats - informe'!$E$27),0,(C4354&gt;='Resultats - informe'!$D$28)*(C4354&lt;='Resultats - informe'!$E$28),0,(C4354&gt;='Resultats - informe'!$D$29)*(C4354&lt;='Resultats - informe'!$E$29),0,1,1)</f>
        <v>0</v>
      </c>
      <c r="N4354" s="366">
        <f>+VLOOKUP(D4354,'Resultats - informe'!$Y$18:$AG$42,'Introducció dades consum'!K4354+1,0)</f>
        <v>0</v>
      </c>
      <c r="O4354" s="370" cm="1">
        <f t="array" ref="O4354">+_xlfn.SWITCH(MONTH(C4354),1,1,2,1,3,1,4,2,5,2,6,3,7,3,8,3,9,3,10,2,11,2,12,1,2)</f>
        <v>1</v>
      </c>
      <c r="P4354" s="43"/>
    </row>
    <row r="4355" spans="1:16" ht="18" x14ac:dyDescent="0.35">
      <c r="A4355" s="43"/>
      <c r="C4355" s="393"/>
      <c r="E4355" s="394"/>
      <c r="F4355" s="394">
        <v>0</v>
      </c>
      <c r="G4355" s="394"/>
      <c r="H4355" s="8" t="s">
        <v>235</v>
      </c>
      <c r="I4355" s="368">
        <f t="shared" si="202"/>
        <v>0</v>
      </c>
      <c r="J4355" s="365">
        <f t="shared" si="204"/>
        <v>0</v>
      </c>
      <c r="K4355" s="369">
        <f t="shared" si="203"/>
        <v>6</v>
      </c>
      <c r="L4355" s="369">
        <f>+IF((C4355&gt;='Resultats - informe'!$E$16)*(C4355&lt;='Resultats - informe'!$G$16),1,0)</f>
        <v>1</v>
      </c>
      <c r="M4355" s="369" cm="1">
        <f t="array" ref="M4355">+_xlfn.IFS((C4355&gt;='Resultats - informe'!$D$26)*(C4355&lt;='Resultats - informe'!$E$26),0,(C4355&gt;='Resultats - informe'!$D$27)*(C4355&lt;='Resultats - informe'!$E$27),0,(C4355&gt;='Resultats - informe'!$D$28)*(C4355&lt;='Resultats - informe'!$E$28),0,(C4355&gt;='Resultats - informe'!$D$29)*(C4355&lt;='Resultats - informe'!$E$29),0,1,1)</f>
        <v>0</v>
      </c>
      <c r="N4355" s="366">
        <f>+VLOOKUP(D4355,'Resultats - informe'!$Y$18:$AG$42,'Introducció dades consum'!K4355+1,0)</f>
        <v>0</v>
      </c>
      <c r="O4355" s="370" cm="1">
        <f t="array" ref="O4355">+_xlfn.SWITCH(MONTH(C4355),1,1,2,1,3,1,4,2,5,2,6,3,7,3,8,3,9,3,10,2,11,2,12,1,2)</f>
        <v>1</v>
      </c>
      <c r="P4355" s="43"/>
    </row>
    <row r="4356" spans="1:16" ht="18" x14ac:dyDescent="0.35">
      <c r="A4356" s="43"/>
      <c r="C4356" s="393"/>
      <c r="E4356" s="394"/>
      <c r="F4356" s="394">
        <v>0</v>
      </c>
      <c r="G4356" s="394"/>
      <c r="H4356" s="8" t="s">
        <v>235</v>
      </c>
      <c r="I4356" s="368">
        <f t="shared" si="202"/>
        <v>0</v>
      </c>
      <c r="J4356" s="365">
        <f t="shared" si="204"/>
        <v>0</v>
      </c>
      <c r="K4356" s="369">
        <f t="shared" si="203"/>
        <v>6</v>
      </c>
      <c r="L4356" s="369">
        <f>+IF((C4356&gt;='Resultats - informe'!$E$16)*(C4356&lt;='Resultats - informe'!$G$16),1,0)</f>
        <v>1</v>
      </c>
      <c r="M4356" s="369" cm="1">
        <f t="array" ref="M4356">+_xlfn.IFS((C4356&gt;='Resultats - informe'!$D$26)*(C4356&lt;='Resultats - informe'!$E$26),0,(C4356&gt;='Resultats - informe'!$D$27)*(C4356&lt;='Resultats - informe'!$E$27),0,(C4356&gt;='Resultats - informe'!$D$28)*(C4356&lt;='Resultats - informe'!$E$28),0,(C4356&gt;='Resultats - informe'!$D$29)*(C4356&lt;='Resultats - informe'!$E$29),0,1,1)</f>
        <v>0</v>
      </c>
      <c r="N4356" s="366">
        <f>+VLOOKUP(D4356,'Resultats - informe'!$Y$18:$AG$42,'Introducció dades consum'!K4356+1,0)</f>
        <v>0</v>
      </c>
      <c r="O4356" s="370" cm="1">
        <f t="array" ref="O4356">+_xlfn.SWITCH(MONTH(C4356),1,1,2,1,3,1,4,2,5,2,6,3,7,3,8,3,9,3,10,2,11,2,12,1,2)</f>
        <v>1</v>
      </c>
      <c r="P4356" s="43"/>
    </row>
    <row r="4357" spans="1:16" ht="18" x14ac:dyDescent="0.35">
      <c r="A4357" s="43"/>
      <c r="C4357" s="393"/>
      <c r="E4357" s="394"/>
      <c r="F4357" s="394">
        <v>0.89300000000000002</v>
      </c>
      <c r="G4357" s="394"/>
      <c r="H4357" s="8" t="s">
        <v>235</v>
      </c>
      <c r="I4357" s="368">
        <f t="shared" si="202"/>
        <v>0</v>
      </c>
      <c r="J4357" s="365">
        <f t="shared" si="204"/>
        <v>0</v>
      </c>
      <c r="K4357" s="369">
        <f t="shared" si="203"/>
        <v>6</v>
      </c>
      <c r="L4357" s="369">
        <f>+IF((C4357&gt;='Resultats - informe'!$E$16)*(C4357&lt;='Resultats - informe'!$G$16),1,0)</f>
        <v>1</v>
      </c>
      <c r="M4357" s="369" cm="1">
        <f t="array" ref="M4357">+_xlfn.IFS((C4357&gt;='Resultats - informe'!$D$26)*(C4357&lt;='Resultats - informe'!$E$26),0,(C4357&gt;='Resultats - informe'!$D$27)*(C4357&lt;='Resultats - informe'!$E$27),0,(C4357&gt;='Resultats - informe'!$D$28)*(C4357&lt;='Resultats - informe'!$E$28),0,(C4357&gt;='Resultats - informe'!$D$29)*(C4357&lt;='Resultats - informe'!$E$29),0,1,1)</f>
        <v>0</v>
      </c>
      <c r="N4357" s="366">
        <f>+VLOOKUP(D4357,'Resultats - informe'!$Y$18:$AG$42,'Introducció dades consum'!K4357+1,0)</f>
        <v>0</v>
      </c>
      <c r="O4357" s="370" cm="1">
        <f t="array" ref="O4357">+_xlfn.SWITCH(MONTH(C4357),1,1,2,1,3,1,4,2,5,2,6,3,7,3,8,3,9,3,10,2,11,2,12,1,2)</f>
        <v>1</v>
      </c>
      <c r="P4357" s="43"/>
    </row>
    <row r="4358" spans="1:16" ht="18" x14ac:dyDescent="0.35">
      <c r="A4358" s="43"/>
      <c r="C4358" s="393"/>
      <c r="E4358" s="394"/>
      <c r="F4358" s="394">
        <v>2.7450000000000001</v>
      </c>
      <c r="G4358" s="394"/>
      <c r="H4358" s="8" t="s">
        <v>235</v>
      </c>
      <c r="I4358" s="368">
        <f t="shared" ref="I4358:I4421" si="205">+E4358+G4358</f>
        <v>0</v>
      </c>
      <c r="J4358" s="365">
        <f t="shared" si="204"/>
        <v>0</v>
      </c>
      <c r="K4358" s="369">
        <f t="shared" ref="K4358:K4421" si="206">+WEEKDAY(C4358,2)</f>
        <v>6</v>
      </c>
      <c r="L4358" s="369">
        <f>+IF((C4358&gt;='Resultats - informe'!$E$16)*(C4358&lt;='Resultats - informe'!$G$16),1,0)</f>
        <v>1</v>
      </c>
      <c r="M4358" s="369" cm="1">
        <f t="array" ref="M4358">+_xlfn.IFS((C4358&gt;='Resultats - informe'!$D$26)*(C4358&lt;='Resultats - informe'!$E$26),0,(C4358&gt;='Resultats - informe'!$D$27)*(C4358&lt;='Resultats - informe'!$E$27),0,(C4358&gt;='Resultats - informe'!$D$28)*(C4358&lt;='Resultats - informe'!$E$28),0,(C4358&gt;='Resultats - informe'!$D$29)*(C4358&lt;='Resultats - informe'!$E$29),0,1,1)</f>
        <v>0</v>
      </c>
      <c r="N4358" s="366">
        <f>+VLOOKUP(D4358,'Resultats - informe'!$Y$18:$AG$42,'Introducció dades consum'!K4358+1,0)</f>
        <v>0</v>
      </c>
      <c r="O4358" s="370" cm="1">
        <f t="array" ref="O4358">+_xlfn.SWITCH(MONTH(C4358),1,1,2,1,3,1,4,2,5,2,6,3,7,3,8,3,9,3,10,2,11,2,12,1,2)</f>
        <v>1</v>
      </c>
      <c r="P4358" s="43"/>
    </row>
    <row r="4359" spans="1:16" ht="18" x14ac:dyDescent="0.35">
      <c r="A4359" s="43"/>
      <c r="C4359" s="393"/>
      <c r="E4359" s="394"/>
      <c r="F4359" s="394">
        <v>4.1630000000000003</v>
      </c>
      <c r="G4359" s="394"/>
      <c r="H4359" s="8" t="s">
        <v>235</v>
      </c>
      <c r="I4359" s="368">
        <f t="shared" si="205"/>
        <v>0</v>
      </c>
      <c r="J4359" s="365">
        <f t="shared" si="204"/>
        <v>0</v>
      </c>
      <c r="K4359" s="369">
        <f t="shared" si="206"/>
        <v>6</v>
      </c>
      <c r="L4359" s="369">
        <f>+IF((C4359&gt;='Resultats - informe'!$E$16)*(C4359&lt;='Resultats - informe'!$G$16),1,0)</f>
        <v>1</v>
      </c>
      <c r="M4359" s="369" cm="1">
        <f t="array" ref="M4359">+_xlfn.IFS((C4359&gt;='Resultats - informe'!$D$26)*(C4359&lt;='Resultats - informe'!$E$26),0,(C4359&gt;='Resultats - informe'!$D$27)*(C4359&lt;='Resultats - informe'!$E$27),0,(C4359&gt;='Resultats - informe'!$D$28)*(C4359&lt;='Resultats - informe'!$E$28),0,(C4359&gt;='Resultats - informe'!$D$29)*(C4359&lt;='Resultats - informe'!$E$29),0,1,1)</f>
        <v>0</v>
      </c>
      <c r="N4359" s="366">
        <f>+VLOOKUP(D4359,'Resultats - informe'!$Y$18:$AG$42,'Introducció dades consum'!K4359+1,0)</f>
        <v>0</v>
      </c>
      <c r="O4359" s="370" cm="1">
        <f t="array" ref="O4359">+_xlfn.SWITCH(MONTH(C4359),1,1,2,1,3,1,4,2,5,2,6,3,7,3,8,3,9,3,10,2,11,2,12,1,2)</f>
        <v>1</v>
      </c>
      <c r="P4359" s="43"/>
    </row>
    <row r="4360" spans="1:16" ht="18" x14ac:dyDescent="0.35">
      <c r="A4360" s="43"/>
      <c r="C4360" s="393"/>
      <c r="E4360" s="394"/>
      <c r="F4360" s="394">
        <v>0</v>
      </c>
      <c r="G4360" s="394"/>
      <c r="H4360" s="8" t="s">
        <v>235</v>
      </c>
      <c r="I4360" s="368">
        <f t="shared" si="205"/>
        <v>0</v>
      </c>
      <c r="J4360" s="365">
        <f t="shared" si="204"/>
        <v>0</v>
      </c>
      <c r="K4360" s="369">
        <f t="shared" si="206"/>
        <v>6</v>
      </c>
      <c r="L4360" s="369">
        <f>+IF((C4360&gt;='Resultats - informe'!$E$16)*(C4360&lt;='Resultats - informe'!$G$16),1,0)</f>
        <v>1</v>
      </c>
      <c r="M4360" s="369" cm="1">
        <f t="array" ref="M4360">+_xlfn.IFS((C4360&gt;='Resultats - informe'!$D$26)*(C4360&lt;='Resultats - informe'!$E$26),0,(C4360&gt;='Resultats - informe'!$D$27)*(C4360&lt;='Resultats - informe'!$E$27),0,(C4360&gt;='Resultats - informe'!$D$28)*(C4360&lt;='Resultats - informe'!$E$28),0,(C4360&gt;='Resultats - informe'!$D$29)*(C4360&lt;='Resultats - informe'!$E$29),0,1,1)</f>
        <v>0</v>
      </c>
      <c r="N4360" s="366">
        <f>+VLOOKUP(D4360,'Resultats - informe'!$Y$18:$AG$42,'Introducció dades consum'!K4360+1,0)</f>
        <v>0</v>
      </c>
      <c r="O4360" s="370" cm="1">
        <f t="array" ref="O4360">+_xlfn.SWITCH(MONTH(C4360),1,1,2,1,3,1,4,2,5,2,6,3,7,3,8,3,9,3,10,2,11,2,12,1,2)</f>
        <v>1</v>
      </c>
      <c r="P4360" s="43"/>
    </row>
    <row r="4361" spans="1:16" ht="18" x14ac:dyDescent="0.35">
      <c r="A4361" s="43"/>
      <c r="C4361" s="393"/>
      <c r="E4361" s="394"/>
      <c r="F4361" s="394">
        <v>0</v>
      </c>
      <c r="G4361" s="394"/>
      <c r="H4361" s="8" t="s">
        <v>235</v>
      </c>
      <c r="I4361" s="368">
        <f t="shared" si="205"/>
        <v>0</v>
      </c>
      <c r="J4361" s="365">
        <f t="shared" si="204"/>
        <v>0</v>
      </c>
      <c r="K4361" s="369">
        <f t="shared" si="206"/>
        <v>6</v>
      </c>
      <c r="L4361" s="369">
        <f>+IF((C4361&gt;='Resultats - informe'!$E$16)*(C4361&lt;='Resultats - informe'!$G$16),1,0)</f>
        <v>1</v>
      </c>
      <c r="M4361" s="369" cm="1">
        <f t="array" ref="M4361">+_xlfn.IFS((C4361&gt;='Resultats - informe'!$D$26)*(C4361&lt;='Resultats - informe'!$E$26),0,(C4361&gt;='Resultats - informe'!$D$27)*(C4361&lt;='Resultats - informe'!$E$27),0,(C4361&gt;='Resultats - informe'!$D$28)*(C4361&lt;='Resultats - informe'!$E$28),0,(C4361&gt;='Resultats - informe'!$D$29)*(C4361&lt;='Resultats - informe'!$E$29),0,1,1)</f>
        <v>0</v>
      </c>
      <c r="N4361" s="366">
        <f>+VLOOKUP(D4361,'Resultats - informe'!$Y$18:$AG$42,'Introducció dades consum'!K4361+1,0)</f>
        <v>0</v>
      </c>
      <c r="O4361" s="370" cm="1">
        <f t="array" ref="O4361">+_xlfn.SWITCH(MONTH(C4361),1,1,2,1,3,1,4,2,5,2,6,3,7,3,8,3,9,3,10,2,11,2,12,1,2)</f>
        <v>1</v>
      </c>
      <c r="P4361" s="43"/>
    </row>
    <row r="4362" spans="1:16" ht="18" x14ac:dyDescent="0.35">
      <c r="A4362" s="43"/>
      <c r="C4362" s="393"/>
      <c r="E4362" s="394"/>
      <c r="F4362" s="394">
        <v>5.38</v>
      </c>
      <c r="G4362" s="394"/>
      <c r="H4362" s="8" t="s">
        <v>235</v>
      </c>
      <c r="I4362" s="368">
        <f t="shared" si="205"/>
        <v>0</v>
      </c>
      <c r="J4362" s="365">
        <f t="shared" si="204"/>
        <v>0</v>
      </c>
      <c r="K4362" s="369">
        <f t="shared" si="206"/>
        <v>6</v>
      </c>
      <c r="L4362" s="369">
        <f>+IF((C4362&gt;='Resultats - informe'!$E$16)*(C4362&lt;='Resultats - informe'!$G$16),1,0)</f>
        <v>1</v>
      </c>
      <c r="M4362" s="369" cm="1">
        <f t="array" ref="M4362">+_xlfn.IFS((C4362&gt;='Resultats - informe'!$D$26)*(C4362&lt;='Resultats - informe'!$E$26),0,(C4362&gt;='Resultats - informe'!$D$27)*(C4362&lt;='Resultats - informe'!$E$27),0,(C4362&gt;='Resultats - informe'!$D$28)*(C4362&lt;='Resultats - informe'!$E$28),0,(C4362&gt;='Resultats - informe'!$D$29)*(C4362&lt;='Resultats - informe'!$E$29),0,1,1)</f>
        <v>0</v>
      </c>
      <c r="N4362" s="366">
        <f>+VLOOKUP(D4362,'Resultats - informe'!$Y$18:$AG$42,'Introducció dades consum'!K4362+1,0)</f>
        <v>0</v>
      </c>
      <c r="O4362" s="370" cm="1">
        <f t="array" ref="O4362">+_xlfn.SWITCH(MONTH(C4362),1,1,2,1,3,1,4,2,5,2,6,3,7,3,8,3,9,3,10,2,11,2,12,1,2)</f>
        <v>1</v>
      </c>
      <c r="P4362" s="43"/>
    </row>
    <row r="4363" spans="1:16" ht="18" x14ac:dyDescent="0.35">
      <c r="A4363" s="43"/>
      <c r="C4363" s="393"/>
      <c r="E4363" s="394"/>
      <c r="F4363" s="394">
        <v>0</v>
      </c>
      <c r="G4363" s="394"/>
      <c r="H4363" s="8" t="s">
        <v>235</v>
      </c>
      <c r="I4363" s="368">
        <f t="shared" si="205"/>
        <v>0</v>
      </c>
      <c r="J4363" s="365">
        <f t="shared" si="204"/>
        <v>0</v>
      </c>
      <c r="K4363" s="369">
        <f t="shared" si="206"/>
        <v>6</v>
      </c>
      <c r="L4363" s="369">
        <f>+IF((C4363&gt;='Resultats - informe'!$E$16)*(C4363&lt;='Resultats - informe'!$G$16),1,0)</f>
        <v>1</v>
      </c>
      <c r="M4363" s="369" cm="1">
        <f t="array" ref="M4363">+_xlfn.IFS((C4363&gt;='Resultats - informe'!$D$26)*(C4363&lt;='Resultats - informe'!$E$26),0,(C4363&gt;='Resultats - informe'!$D$27)*(C4363&lt;='Resultats - informe'!$E$27),0,(C4363&gt;='Resultats - informe'!$D$28)*(C4363&lt;='Resultats - informe'!$E$28),0,(C4363&gt;='Resultats - informe'!$D$29)*(C4363&lt;='Resultats - informe'!$E$29),0,1,1)</f>
        <v>0</v>
      </c>
      <c r="N4363" s="366">
        <f>+VLOOKUP(D4363,'Resultats - informe'!$Y$18:$AG$42,'Introducció dades consum'!K4363+1,0)</f>
        <v>0</v>
      </c>
      <c r="O4363" s="370" cm="1">
        <f t="array" ref="O4363">+_xlfn.SWITCH(MONTH(C4363),1,1,2,1,3,1,4,2,5,2,6,3,7,3,8,3,9,3,10,2,11,2,12,1,2)</f>
        <v>1</v>
      </c>
      <c r="P4363" s="43"/>
    </row>
    <row r="4364" spans="1:16" ht="18" x14ac:dyDescent="0.35">
      <c r="A4364" s="43"/>
      <c r="C4364" s="393"/>
      <c r="E4364" s="394"/>
      <c r="F4364" s="394">
        <v>0</v>
      </c>
      <c r="G4364" s="394"/>
      <c r="H4364" s="8" t="s">
        <v>235</v>
      </c>
      <c r="I4364" s="368">
        <f t="shared" si="205"/>
        <v>0</v>
      </c>
      <c r="J4364" s="365">
        <f t="shared" si="204"/>
        <v>0</v>
      </c>
      <c r="K4364" s="369">
        <f t="shared" si="206"/>
        <v>6</v>
      </c>
      <c r="L4364" s="369">
        <f>+IF((C4364&gt;='Resultats - informe'!$E$16)*(C4364&lt;='Resultats - informe'!$G$16),1,0)</f>
        <v>1</v>
      </c>
      <c r="M4364" s="369" cm="1">
        <f t="array" ref="M4364">+_xlfn.IFS((C4364&gt;='Resultats - informe'!$D$26)*(C4364&lt;='Resultats - informe'!$E$26),0,(C4364&gt;='Resultats - informe'!$D$27)*(C4364&lt;='Resultats - informe'!$E$27),0,(C4364&gt;='Resultats - informe'!$D$28)*(C4364&lt;='Resultats - informe'!$E$28),0,(C4364&gt;='Resultats - informe'!$D$29)*(C4364&lt;='Resultats - informe'!$E$29),0,1,1)</f>
        <v>0</v>
      </c>
      <c r="N4364" s="366">
        <f>+VLOOKUP(D4364,'Resultats - informe'!$Y$18:$AG$42,'Introducció dades consum'!K4364+1,0)</f>
        <v>0</v>
      </c>
      <c r="O4364" s="370" cm="1">
        <f t="array" ref="O4364">+_xlfn.SWITCH(MONTH(C4364),1,1,2,1,3,1,4,2,5,2,6,3,7,3,8,3,9,3,10,2,11,2,12,1,2)</f>
        <v>1</v>
      </c>
      <c r="P4364" s="43"/>
    </row>
    <row r="4365" spans="1:16" ht="18" x14ac:dyDescent="0.35">
      <c r="A4365" s="43"/>
      <c r="C4365" s="393"/>
      <c r="E4365" s="394"/>
      <c r="F4365" s="394">
        <v>0</v>
      </c>
      <c r="G4365" s="394"/>
      <c r="H4365" s="8" t="s">
        <v>235</v>
      </c>
      <c r="I4365" s="368">
        <f t="shared" si="205"/>
        <v>0</v>
      </c>
      <c r="J4365" s="365">
        <f t="shared" si="204"/>
        <v>0</v>
      </c>
      <c r="K4365" s="369">
        <f t="shared" si="206"/>
        <v>6</v>
      </c>
      <c r="L4365" s="369">
        <f>+IF((C4365&gt;='Resultats - informe'!$E$16)*(C4365&lt;='Resultats - informe'!$G$16),1,0)</f>
        <v>1</v>
      </c>
      <c r="M4365" s="369" cm="1">
        <f t="array" ref="M4365">+_xlfn.IFS((C4365&gt;='Resultats - informe'!$D$26)*(C4365&lt;='Resultats - informe'!$E$26),0,(C4365&gt;='Resultats - informe'!$D$27)*(C4365&lt;='Resultats - informe'!$E$27),0,(C4365&gt;='Resultats - informe'!$D$28)*(C4365&lt;='Resultats - informe'!$E$28),0,(C4365&gt;='Resultats - informe'!$D$29)*(C4365&lt;='Resultats - informe'!$E$29),0,1,1)</f>
        <v>0</v>
      </c>
      <c r="N4365" s="366">
        <f>+VLOOKUP(D4365,'Resultats - informe'!$Y$18:$AG$42,'Introducció dades consum'!K4365+1,0)</f>
        <v>0</v>
      </c>
      <c r="O4365" s="370" cm="1">
        <f t="array" ref="O4365">+_xlfn.SWITCH(MONTH(C4365),1,1,2,1,3,1,4,2,5,2,6,3,7,3,8,3,9,3,10,2,11,2,12,1,2)</f>
        <v>1</v>
      </c>
      <c r="P4365" s="43"/>
    </row>
    <row r="4366" spans="1:16" ht="18" x14ac:dyDescent="0.35">
      <c r="A4366" s="43"/>
      <c r="C4366" s="393"/>
      <c r="E4366" s="394"/>
      <c r="F4366" s="394">
        <v>0</v>
      </c>
      <c r="G4366" s="394"/>
      <c r="H4366" s="8" t="s">
        <v>235</v>
      </c>
      <c r="I4366" s="368">
        <f t="shared" si="205"/>
        <v>0</v>
      </c>
      <c r="J4366" s="365">
        <f t="shared" si="204"/>
        <v>0</v>
      </c>
      <c r="K4366" s="369">
        <f t="shared" si="206"/>
        <v>6</v>
      </c>
      <c r="L4366" s="369">
        <f>+IF((C4366&gt;='Resultats - informe'!$E$16)*(C4366&lt;='Resultats - informe'!$G$16),1,0)</f>
        <v>1</v>
      </c>
      <c r="M4366" s="369" cm="1">
        <f t="array" ref="M4366">+_xlfn.IFS((C4366&gt;='Resultats - informe'!$D$26)*(C4366&lt;='Resultats - informe'!$E$26),0,(C4366&gt;='Resultats - informe'!$D$27)*(C4366&lt;='Resultats - informe'!$E$27),0,(C4366&gt;='Resultats - informe'!$D$28)*(C4366&lt;='Resultats - informe'!$E$28),0,(C4366&gt;='Resultats - informe'!$D$29)*(C4366&lt;='Resultats - informe'!$E$29),0,1,1)</f>
        <v>0</v>
      </c>
      <c r="N4366" s="366">
        <f>+VLOOKUP(D4366,'Resultats - informe'!$Y$18:$AG$42,'Introducció dades consum'!K4366+1,0)</f>
        <v>0</v>
      </c>
      <c r="O4366" s="370" cm="1">
        <f t="array" ref="O4366">+_xlfn.SWITCH(MONTH(C4366),1,1,2,1,3,1,4,2,5,2,6,3,7,3,8,3,9,3,10,2,11,2,12,1,2)</f>
        <v>1</v>
      </c>
      <c r="P4366" s="43"/>
    </row>
    <row r="4367" spans="1:16" ht="18" x14ac:dyDescent="0.35">
      <c r="A4367" s="43"/>
      <c r="C4367" s="393"/>
      <c r="E4367" s="394"/>
      <c r="F4367" s="394">
        <v>0</v>
      </c>
      <c r="G4367" s="394"/>
      <c r="H4367" s="8" t="s">
        <v>235</v>
      </c>
      <c r="I4367" s="368">
        <f t="shared" si="205"/>
        <v>0</v>
      </c>
      <c r="J4367" s="365">
        <f t="shared" si="204"/>
        <v>0</v>
      </c>
      <c r="K4367" s="369">
        <f t="shared" si="206"/>
        <v>6</v>
      </c>
      <c r="L4367" s="369">
        <f>+IF((C4367&gt;='Resultats - informe'!$E$16)*(C4367&lt;='Resultats - informe'!$G$16),1,0)</f>
        <v>1</v>
      </c>
      <c r="M4367" s="369" cm="1">
        <f t="array" ref="M4367">+_xlfn.IFS((C4367&gt;='Resultats - informe'!$D$26)*(C4367&lt;='Resultats - informe'!$E$26),0,(C4367&gt;='Resultats - informe'!$D$27)*(C4367&lt;='Resultats - informe'!$E$27),0,(C4367&gt;='Resultats - informe'!$D$28)*(C4367&lt;='Resultats - informe'!$E$28),0,(C4367&gt;='Resultats - informe'!$D$29)*(C4367&lt;='Resultats - informe'!$E$29),0,1,1)</f>
        <v>0</v>
      </c>
      <c r="N4367" s="366">
        <f>+VLOOKUP(D4367,'Resultats - informe'!$Y$18:$AG$42,'Introducció dades consum'!K4367+1,0)</f>
        <v>0</v>
      </c>
      <c r="O4367" s="370" cm="1">
        <f t="array" ref="O4367">+_xlfn.SWITCH(MONTH(C4367),1,1,2,1,3,1,4,2,5,2,6,3,7,3,8,3,9,3,10,2,11,2,12,1,2)</f>
        <v>1</v>
      </c>
      <c r="P4367" s="43"/>
    </row>
    <row r="4368" spans="1:16" ht="18" x14ac:dyDescent="0.35">
      <c r="A4368" s="43"/>
      <c r="C4368" s="393"/>
      <c r="E4368" s="394"/>
      <c r="F4368" s="394">
        <v>0</v>
      </c>
      <c r="G4368" s="394"/>
      <c r="H4368" s="8" t="s">
        <v>235</v>
      </c>
      <c r="I4368" s="368">
        <f t="shared" si="205"/>
        <v>0</v>
      </c>
      <c r="J4368" s="365">
        <f t="shared" si="204"/>
        <v>0</v>
      </c>
      <c r="K4368" s="369">
        <f t="shared" si="206"/>
        <v>6</v>
      </c>
      <c r="L4368" s="369">
        <f>+IF((C4368&gt;='Resultats - informe'!$E$16)*(C4368&lt;='Resultats - informe'!$G$16),1,0)</f>
        <v>1</v>
      </c>
      <c r="M4368" s="369" cm="1">
        <f t="array" ref="M4368">+_xlfn.IFS((C4368&gt;='Resultats - informe'!$D$26)*(C4368&lt;='Resultats - informe'!$E$26),0,(C4368&gt;='Resultats - informe'!$D$27)*(C4368&lt;='Resultats - informe'!$E$27),0,(C4368&gt;='Resultats - informe'!$D$28)*(C4368&lt;='Resultats - informe'!$E$28),0,(C4368&gt;='Resultats - informe'!$D$29)*(C4368&lt;='Resultats - informe'!$E$29),0,1,1)</f>
        <v>0</v>
      </c>
      <c r="N4368" s="366">
        <f>+VLOOKUP(D4368,'Resultats - informe'!$Y$18:$AG$42,'Introducció dades consum'!K4368+1,0)</f>
        <v>0</v>
      </c>
      <c r="O4368" s="370" cm="1">
        <f t="array" ref="O4368">+_xlfn.SWITCH(MONTH(C4368),1,1,2,1,3,1,4,2,5,2,6,3,7,3,8,3,9,3,10,2,11,2,12,1,2)</f>
        <v>1</v>
      </c>
      <c r="P4368" s="43"/>
    </row>
    <row r="4369" spans="1:16" ht="18" x14ac:dyDescent="0.35">
      <c r="A4369" s="43"/>
      <c r="C4369" s="393"/>
      <c r="E4369" s="394"/>
      <c r="F4369" s="394">
        <v>0</v>
      </c>
      <c r="G4369" s="394"/>
      <c r="H4369" s="8" t="s">
        <v>235</v>
      </c>
      <c r="I4369" s="368">
        <f t="shared" si="205"/>
        <v>0</v>
      </c>
      <c r="J4369" s="365">
        <f t="shared" si="204"/>
        <v>0</v>
      </c>
      <c r="K4369" s="369">
        <f t="shared" si="206"/>
        <v>6</v>
      </c>
      <c r="L4369" s="369">
        <f>+IF((C4369&gt;='Resultats - informe'!$E$16)*(C4369&lt;='Resultats - informe'!$G$16),1,0)</f>
        <v>1</v>
      </c>
      <c r="M4369" s="369" cm="1">
        <f t="array" ref="M4369">+_xlfn.IFS((C4369&gt;='Resultats - informe'!$D$26)*(C4369&lt;='Resultats - informe'!$E$26),0,(C4369&gt;='Resultats - informe'!$D$27)*(C4369&lt;='Resultats - informe'!$E$27),0,(C4369&gt;='Resultats - informe'!$D$28)*(C4369&lt;='Resultats - informe'!$E$28),0,(C4369&gt;='Resultats - informe'!$D$29)*(C4369&lt;='Resultats - informe'!$E$29),0,1,1)</f>
        <v>0</v>
      </c>
      <c r="N4369" s="366">
        <f>+VLOOKUP(D4369,'Resultats - informe'!$Y$18:$AG$42,'Introducció dades consum'!K4369+1,0)</f>
        <v>0</v>
      </c>
      <c r="O4369" s="370" cm="1">
        <f t="array" ref="O4369">+_xlfn.SWITCH(MONTH(C4369),1,1,2,1,3,1,4,2,5,2,6,3,7,3,8,3,9,3,10,2,11,2,12,1,2)</f>
        <v>1</v>
      </c>
      <c r="P4369" s="43"/>
    </row>
    <row r="4370" spans="1:16" ht="18" x14ac:dyDescent="0.35">
      <c r="A4370" s="43"/>
      <c r="C4370" s="393"/>
      <c r="E4370" s="394"/>
      <c r="F4370" s="394">
        <v>0</v>
      </c>
      <c r="G4370" s="394"/>
      <c r="H4370" s="8" t="s">
        <v>235</v>
      </c>
      <c r="I4370" s="368">
        <f t="shared" si="205"/>
        <v>0</v>
      </c>
      <c r="J4370" s="365">
        <f t="shared" si="204"/>
        <v>0</v>
      </c>
      <c r="K4370" s="369">
        <f t="shared" si="206"/>
        <v>6</v>
      </c>
      <c r="L4370" s="369">
        <f>+IF((C4370&gt;='Resultats - informe'!$E$16)*(C4370&lt;='Resultats - informe'!$G$16),1,0)</f>
        <v>1</v>
      </c>
      <c r="M4370" s="369" cm="1">
        <f t="array" ref="M4370">+_xlfn.IFS((C4370&gt;='Resultats - informe'!$D$26)*(C4370&lt;='Resultats - informe'!$E$26),0,(C4370&gt;='Resultats - informe'!$D$27)*(C4370&lt;='Resultats - informe'!$E$27),0,(C4370&gt;='Resultats - informe'!$D$28)*(C4370&lt;='Resultats - informe'!$E$28),0,(C4370&gt;='Resultats - informe'!$D$29)*(C4370&lt;='Resultats - informe'!$E$29),0,1,1)</f>
        <v>0</v>
      </c>
      <c r="N4370" s="366">
        <f>+VLOOKUP(D4370,'Resultats - informe'!$Y$18:$AG$42,'Introducció dades consum'!K4370+1,0)</f>
        <v>0</v>
      </c>
      <c r="O4370" s="370" cm="1">
        <f t="array" ref="O4370">+_xlfn.SWITCH(MONTH(C4370),1,1,2,1,3,1,4,2,5,2,6,3,7,3,8,3,9,3,10,2,11,2,12,1,2)</f>
        <v>1</v>
      </c>
      <c r="P4370" s="43"/>
    </row>
    <row r="4371" spans="1:16" ht="18" x14ac:dyDescent="0.35">
      <c r="A4371" s="43"/>
      <c r="C4371" s="393"/>
      <c r="E4371" s="394"/>
      <c r="F4371" s="394">
        <v>0</v>
      </c>
      <c r="G4371" s="394"/>
      <c r="H4371" s="8" t="s">
        <v>235</v>
      </c>
      <c r="I4371" s="368">
        <f t="shared" si="205"/>
        <v>0</v>
      </c>
      <c r="J4371" s="365">
        <f t="shared" si="204"/>
        <v>0</v>
      </c>
      <c r="K4371" s="369">
        <f t="shared" si="206"/>
        <v>6</v>
      </c>
      <c r="L4371" s="369">
        <f>+IF((C4371&gt;='Resultats - informe'!$E$16)*(C4371&lt;='Resultats - informe'!$G$16),1,0)</f>
        <v>1</v>
      </c>
      <c r="M4371" s="369" cm="1">
        <f t="array" ref="M4371">+_xlfn.IFS((C4371&gt;='Resultats - informe'!$D$26)*(C4371&lt;='Resultats - informe'!$E$26),0,(C4371&gt;='Resultats - informe'!$D$27)*(C4371&lt;='Resultats - informe'!$E$27),0,(C4371&gt;='Resultats - informe'!$D$28)*(C4371&lt;='Resultats - informe'!$E$28),0,(C4371&gt;='Resultats - informe'!$D$29)*(C4371&lt;='Resultats - informe'!$E$29),0,1,1)</f>
        <v>0</v>
      </c>
      <c r="N4371" s="366">
        <f>+VLOOKUP(D4371,'Resultats - informe'!$Y$18:$AG$42,'Introducció dades consum'!K4371+1,0)</f>
        <v>0</v>
      </c>
      <c r="O4371" s="370" cm="1">
        <f t="array" ref="O4371">+_xlfn.SWITCH(MONTH(C4371),1,1,2,1,3,1,4,2,5,2,6,3,7,3,8,3,9,3,10,2,11,2,12,1,2)</f>
        <v>1</v>
      </c>
      <c r="P4371" s="43"/>
    </row>
    <row r="4372" spans="1:16" ht="18" x14ac:dyDescent="0.35">
      <c r="A4372" s="43"/>
      <c r="C4372" s="393"/>
      <c r="E4372" s="394"/>
      <c r="F4372" s="394">
        <v>0</v>
      </c>
      <c r="G4372" s="394"/>
      <c r="H4372" s="8" t="s">
        <v>235</v>
      </c>
      <c r="I4372" s="368">
        <f t="shared" si="205"/>
        <v>0</v>
      </c>
      <c r="J4372" s="365">
        <f t="shared" si="204"/>
        <v>0</v>
      </c>
      <c r="K4372" s="369">
        <f t="shared" si="206"/>
        <v>6</v>
      </c>
      <c r="L4372" s="369">
        <f>+IF((C4372&gt;='Resultats - informe'!$E$16)*(C4372&lt;='Resultats - informe'!$G$16),1,0)</f>
        <v>1</v>
      </c>
      <c r="M4372" s="369" cm="1">
        <f t="array" ref="M4372">+_xlfn.IFS((C4372&gt;='Resultats - informe'!$D$26)*(C4372&lt;='Resultats - informe'!$E$26),0,(C4372&gt;='Resultats - informe'!$D$27)*(C4372&lt;='Resultats - informe'!$E$27),0,(C4372&gt;='Resultats - informe'!$D$28)*(C4372&lt;='Resultats - informe'!$E$28),0,(C4372&gt;='Resultats - informe'!$D$29)*(C4372&lt;='Resultats - informe'!$E$29),0,1,1)</f>
        <v>0</v>
      </c>
      <c r="N4372" s="366">
        <f>+VLOOKUP(D4372,'Resultats - informe'!$Y$18:$AG$42,'Introducció dades consum'!K4372+1,0)</f>
        <v>0</v>
      </c>
      <c r="O4372" s="370" cm="1">
        <f t="array" ref="O4372">+_xlfn.SWITCH(MONTH(C4372),1,1,2,1,3,1,4,2,5,2,6,3,7,3,8,3,9,3,10,2,11,2,12,1,2)</f>
        <v>1</v>
      </c>
      <c r="P4372" s="43"/>
    </row>
    <row r="4373" spans="1:16" ht="18" x14ac:dyDescent="0.35">
      <c r="A4373" s="43"/>
      <c r="C4373" s="393"/>
      <c r="E4373" s="394"/>
      <c r="F4373" s="394">
        <v>0</v>
      </c>
      <c r="G4373" s="394"/>
      <c r="H4373" s="8" t="s">
        <v>235</v>
      </c>
      <c r="I4373" s="368">
        <f t="shared" si="205"/>
        <v>0</v>
      </c>
      <c r="J4373" s="365">
        <f t="shared" si="204"/>
        <v>0</v>
      </c>
      <c r="K4373" s="369">
        <f t="shared" si="206"/>
        <v>6</v>
      </c>
      <c r="L4373" s="369">
        <f>+IF((C4373&gt;='Resultats - informe'!$E$16)*(C4373&lt;='Resultats - informe'!$G$16),1,0)</f>
        <v>1</v>
      </c>
      <c r="M4373" s="369" cm="1">
        <f t="array" ref="M4373">+_xlfn.IFS((C4373&gt;='Resultats - informe'!$D$26)*(C4373&lt;='Resultats - informe'!$E$26),0,(C4373&gt;='Resultats - informe'!$D$27)*(C4373&lt;='Resultats - informe'!$E$27),0,(C4373&gt;='Resultats - informe'!$D$28)*(C4373&lt;='Resultats - informe'!$E$28),0,(C4373&gt;='Resultats - informe'!$D$29)*(C4373&lt;='Resultats - informe'!$E$29),0,1,1)</f>
        <v>0</v>
      </c>
      <c r="N4373" s="366">
        <f>+VLOOKUP(D4373,'Resultats - informe'!$Y$18:$AG$42,'Introducció dades consum'!K4373+1,0)</f>
        <v>0</v>
      </c>
      <c r="O4373" s="370" cm="1">
        <f t="array" ref="O4373">+_xlfn.SWITCH(MONTH(C4373),1,1,2,1,3,1,4,2,5,2,6,3,7,3,8,3,9,3,10,2,11,2,12,1,2)</f>
        <v>1</v>
      </c>
      <c r="P4373" s="43"/>
    </row>
    <row r="4374" spans="1:16" ht="18" x14ac:dyDescent="0.35">
      <c r="A4374" s="43"/>
      <c r="C4374" s="393"/>
      <c r="E4374" s="394"/>
      <c r="F4374" s="394">
        <v>0</v>
      </c>
      <c r="G4374" s="394"/>
      <c r="H4374" s="8" t="s">
        <v>235</v>
      </c>
      <c r="I4374" s="368">
        <f t="shared" si="205"/>
        <v>0</v>
      </c>
      <c r="J4374" s="365">
        <f t="shared" si="204"/>
        <v>0</v>
      </c>
      <c r="K4374" s="369">
        <f t="shared" si="206"/>
        <v>6</v>
      </c>
      <c r="L4374" s="369">
        <f>+IF((C4374&gt;='Resultats - informe'!$E$16)*(C4374&lt;='Resultats - informe'!$G$16),1,0)</f>
        <v>1</v>
      </c>
      <c r="M4374" s="369" cm="1">
        <f t="array" ref="M4374">+_xlfn.IFS((C4374&gt;='Resultats - informe'!$D$26)*(C4374&lt;='Resultats - informe'!$E$26),0,(C4374&gt;='Resultats - informe'!$D$27)*(C4374&lt;='Resultats - informe'!$E$27),0,(C4374&gt;='Resultats - informe'!$D$28)*(C4374&lt;='Resultats - informe'!$E$28),0,(C4374&gt;='Resultats - informe'!$D$29)*(C4374&lt;='Resultats - informe'!$E$29),0,1,1)</f>
        <v>0</v>
      </c>
      <c r="N4374" s="366">
        <f>+VLOOKUP(D4374,'Resultats - informe'!$Y$18:$AG$42,'Introducció dades consum'!K4374+1,0)</f>
        <v>0</v>
      </c>
      <c r="O4374" s="370" cm="1">
        <f t="array" ref="O4374">+_xlfn.SWITCH(MONTH(C4374),1,1,2,1,3,1,4,2,5,2,6,3,7,3,8,3,9,3,10,2,11,2,12,1,2)</f>
        <v>1</v>
      </c>
      <c r="P4374" s="43"/>
    </row>
    <row r="4375" spans="1:16" ht="18" x14ac:dyDescent="0.35">
      <c r="A4375" s="43"/>
      <c r="C4375" s="393"/>
      <c r="E4375" s="394"/>
      <c r="F4375" s="394">
        <v>0</v>
      </c>
      <c r="G4375" s="394"/>
      <c r="H4375" s="8" t="s">
        <v>235</v>
      </c>
      <c r="I4375" s="368">
        <f t="shared" si="205"/>
        <v>0</v>
      </c>
      <c r="J4375" s="365">
        <f t="shared" si="204"/>
        <v>0</v>
      </c>
      <c r="K4375" s="369">
        <f t="shared" si="206"/>
        <v>6</v>
      </c>
      <c r="L4375" s="369">
        <f>+IF((C4375&gt;='Resultats - informe'!$E$16)*(C4375&lt;='Resultats - informe'!$G$16),1,0)</f>
        <v>1</v>
      </c>
      <c r="M4375" s="369" cm="1">
        <f t="array" ref="M4375">+_xlfn.IFS((C4375&gt;='Resultats - informe'!$D$26)*(C4375&lt;='Resultats - informe'!$E$26),0,(C4375&gt;='Resultats - informe'!$D$27)*(C4375&lt;='Resultats - informe'!$E$27),0,(C4375&gt;='Resultats - informe'!$D$28)*(C4375&lt;='Resultats - informe'!$E$28),0,(C4375&gt;='Resultats - informe'!$D$29)*(C4375&lt;='Resultats - informe'!$E$29),0,1,1)</f>
        <v>0</v>
      </c>
      <c r="N4375" s="366">
        <f>+VLOOKUP(D4375,'Resultats - informe'!$Y$18:$AG$42,'Introducció dades consum'!K4375+1,0)</f>
        <v>0</v>
      </c>
      <c r="O4375" s="370" cm="1">
        <f t="array" ref="O4375">+_xlfn.SWITCH(MONTH(C4375),1,1,2,1,3,1,4,2,5,2,6,3,7,3,8,3,9,3,10,2,11,2,12,1,2)</f>
        <v>1</v>
      </c>
      <c r="P4375" s="43"/>
    </row>
    <row r="4376" spans="1:16" ht="18" x14ac:dyDescent="0.35">
      <c r="A4376" s="43"/>
      <c r="C4376" s="393"/>
      <c r="E4376" s="394"/>
      <c r="F4376" s="394">
        <v>0</v>
      </c>
      <c r="G4376" s="394"/>
      <c r="H4376" s="8" t="s">
        <v>235</v>
      </c>
      <c r="I4376" s="368">
        <f t="shared" si="205"/>
        <v>0</v>
      </c>
      <c r="J4376" s="365">
        <f t="shared" si="204"/>
        <v>0</v>
      </c>
      <c r="K4376" s="369">
        <f t="shared" si="206"/>
        <v>6</v>
      </c>
      <c r="L4376" s="369">
        <f>+IF((C4376&gt;='Resultats - informe'!$E$16)*(C4376&lt;='Resultats - informe'!$G$16),1,0)</f>
        <v>1</v>
      </c>
      <c r="M4376" s="369" cm="1">
        <f t="array" ref="M4376">+_xlfn.IFS((C4376&gt;='Resultats - informe'!$D$26)*(C4376&lt;='Resultats - informe'!$E$26),0,(C4376&gt;='Resultats - informe'!$D$27)*(C4376&lt;='Resultats - informe'!$E$27),0,(C4376&gt;='Resultats - informe'!$D$28)*(C4376&lt;='Resultats - informe'!$E$28),0,(C4376&gt;='Resultats - informe'!$D$29)*(C4376&lt;='Resultats - informe'!$E$29),0,1,1)</f>
        <v>0</v>
      </c>
      <c r="N4376" s="366">
        <f>+VLOOKUP(D4376,'Resultats - informe'!$Y$18:$AG$42,'Introducció dades consum'!K4376+1,0)</f>
        <v>0</v>
      </c>
      <c r="O4376" s="370" cm="1">
        <f t="array" ref="O4376">+_xlfn.SWITCH(MONTH(C4376),1,1,2,1,3,1,4,2,5,2,6,3,7,3,8,3,9,3,10,2,11,2,12,1,2)</f>
        <v>1</v>
      </c>
      <c r="P4376" s="43"/>
    </row>
    <row r="4377" spans="1:16" ht="18" x14ac:dyDescent="0.35">
      <c r="A4377" s="43"/>
      <c r="C4377" s="393"/>
      <c r="E4377" s="394"/>
      <c r="F4377" s="394">
        <v>0</v>
      </c>
      <c r="G4377" s="394"/>
      <c r="H4377" s="8" t="s">
        <v>235</v>
      </c>
      <c r="I4377" s="368">
        <f t="shared" si="205"/>
        <v>0</v>
      </c>
      <c r="J4377" s="365">
        <f t="shared" si="204"/>
        <v>0</v>
      </c>
      <c r="K4377" s="369">
        <f t="shared" si="206"/>
        <v>6</v>
      </c>
      <c r="L4377" s="369">
        <f>+IF((C4377&gt;='Resultats - informe'!$E$16)*(C4377&lt;='Resultats - informe'!$G$16),1,0)</f>
        <v>1</v>
      </c>
      <c r="M4377" s="369" cm="1">
        <f t="array" ref="M4377">+_xlfn.IFS((C4377&gt;='Resultats - informe'!$D$26)*(C4377&lt;='Resultats - informe'!$E$26),0,(C4377&gt;='Resultats - informe'!$D$27)*(C4377&lt;='Resultats - informe'!$E$27),0,(C4377&gt;='Resultats - informe'!$D$28)*(C4377&lt;='Resultats - informe'!$E$28),0,(C4377&gt;='Resultats - informe'!$D$29)*(C4377&lt;='Resultats - informe'!$E$29),0,1,1)</f>
        <v>0</v>
      </c>
      <c r="N4377" s="366">
        <f>+VLOOKUP(D4377,'Resultats - informe'!$Y$18:$AG$42,'Introducció dades consum'!K4377+1,0)</f>
        <v>0</v>
      </c>
      <c r="O4377" s="370" cm="1">
        <f t="array" ref="O4377">+_xlfn.SWITCH(MONTH(C4377),1,1,2,1,3,1,4,2,5,2,6,3,7,3,8,3,9,3,10,2,11,2,12,1,2)</f>
        <v>1</v>
      </c>
      <c r="P4377" s="43"/>
    </row>
    <row r="4378" spans="1:16" ht="18" x14ac:dyDescent="0.35">
      <c r="A4378" s="43"/>
      <c r="C4378" s="393"/>
      <c r="E4378" s="394"/>
      <c r="F4378" s="394">
        <v>0</v>
      </c>
      <c r="G4378" s="394"/>
      <c r="H4378" s="8" t="s">
        <v>235</v>
      </c>
      <c r="I4378" s="368">
        <f t="shared" si="205"/>
        <v>0</v>
      </c>
      <c r="J4378" s="365">
        <f t="shared" si="204"/>
        <v>0</v>
      </c>
      <c r="K4378" s="369">
        <f t="shared" si="206"/>
        <v>6</v>
      </c>
      <c r="L4378" s="369">
        <f>+IF((C4378&gt;='Resultats - informe'!$E$16)*(C4378&lt;='Resultats - informe'!$G$16),1,0)</f>
        <v>1</v>
      </c>
      <c r="M4378" s="369" cm="1">
        <f t="array" ref="M4378">+_xlfn.IFS((C4378&gt;='Resultats - informe'!$D$26)*(C4378&lt;='Resultats - informe'!$E$26),0,(C4378&gt;='Resultats - informe'!$D$27)*(C4378&lt;='Resultats - informe'!$E$27),0,(C4378&gt;='Resultats - informe'!$D$28)*(C4378&lt;='Resultats - informe'!$E$28),0,(C4378&gt;='Resultats - informe'!$D$29)*(C4378&lt;='Resultats - informe'!$E$29),0,1,1)</f>
        <v>0</v>
      </c>
      <c r="N4378" s="366">
        <f>+VLOOKUP(D4378,'Resultats - informe'!$Y$18:$AG$42,'Introducció dades consum'!K4378+1,0)</f>
        <v>0</v>
      </c>
      <c r="O4378" s="370" cm="1">
        <f t="array" ref="O4378">+_xlfn.SWITCH(MONTH(C4378),1,1,2,1,3,1,4,2,5,2,6,3,7,3,8,3,9,3,10,2,11,2,12,1,2)</f>
        <v>1</v>
      </c>
      <c r="P4378" s="43"/>
    </row>
    <row r="4379" spans="1:16" ht="18" x14ac:dyDescent="0.35">
      <c r="A4379" s="43"/>
      <c r="C4379" s="393"/>
      <c r="E4379" s="394"/>
      <c r="F4379" s="394">
        <v>0</v>
      </c>
      <c r="G4379" s="394"/>
      <c r="H4379" s="8" t="s">
        <v>235</v>
      </c>
      <c r="I4379" s="368">
        <f t="shared" si="205"/>
        <v>0</v>
      </c>
      <c r="J4379" s="365">
        <f t="shared" si="204"/>
        <v>0</v>
      </c>
      <c r="K4379" s="369">
        <f t="shared" si="206"/>
        <v>6</v>
      </c>
      <c r="L4379" s="369">
        <f>+IF((C4379&gt;='Resultats - informe'!$E$16)*(C4379&lt;='Resultats - informe'!$G$16),1,0)</f>
        <v>1</v>
      </c>
      <c r="M4379" s="369" cm="1">
        <f t="array" ref="M4379">+_xlfn.IFS((C4379&gt;='Resultats - informe'!$D$26)*(C4379&lt;='Resultats - informe'!$E$26),0,(C4379&gt;='Resultats - informe'!$D$27)*(C4379&lt;='Resultats - informe'!$E$27),0,(C4379&gt;='Resultats - informe'!$D$28)*(C4379&lt;='Resultats - informe'!$E$28),0,(C4379&gt;='Resultats - informe'!$D$29)*(C4379&lt;='Resultats - informe'!$E$29),0,1,1)</f>
        <v>0</v>
      </c>
      <c r="N4379" s="366">
        <f>+VLOOKUP(D4379,'Resultats - informe'!$Y$18:$AG$42,'Introducció dades consum'!K4379+1,0)</f>
        <v>0</v>
      </c>
      <c r="O4379" s="370" cm="1">
        <f t="array" ref="O4379">+_xlfn.SWITCH(MONTH(C4379),1,1,2,1,3,1,4,2,5,2,6,3,7,3,8,3,9,3,10,2,11,2,12,1,2)</f>
        <v>1</v>
      </c>
      <c r="P4379" s="43"/>
    </row>
    <row r="4380" spans="1:16" ht="18" x14ac:dyDescent="0.35">
      <c r="A4380" s="43"/>
      <c r="C4380" s="393"/>
      <c r="E4380" s="394"/>
      <c r="F4380" s="394">
        <v>0</v>
      </c>
      <c r="G4380" s="394"/>
      <c r="H4380" s="8" t="s">
        <v>235</v>
      </c>
      <c r="I4380" s="368">
        <f t="shared" si="205"/>
        <v>0</v>
      </c>
      <c r="J4380" s="365">
        <f t="shared" si="204"/>
        <v>0</v>
      </c>
      <c r="K4380" s="369">
        <f t="shared" si="206"/>
        <v>6</v>
      </c>
      <c r="L4380" s="369">
        <f>+IF((C4380&gt;='Resultats - informe'!$E$16)*(C4380&lt;='Resultats - informe'!$G$16),1,0)</f>
        <v>1</v>
      </c>
      <c r="M4380" s="369" cm="1">
        <f t="array" ref="M4380">+_xlfn.IFS((C4380&gt;='Resultats - informe'!$D$26)*(C4380&lt;='Resultats - informe'!$E$26),0,(C4380&gt;='Resultats - informe'!$D$27)*(C4380&lt;='Resultats - informe'!$E$27),0,(C4380&gt;='Resultats - informe'!$D$28)*(C4380&lt;='Resultats - informe'!$E$28),0,(C4380&gt;='Resultats - informe'!$D$29)*(C4380&lt;='Resultats - informe'!$E$29),0,1,1)</f>
        <v>0</v>
      </c>
      <c r="N4380" s="366">
        <f>+VLOOKUP(D4380,'Resultats - informe'!$Y$18:$AG$42,'Introducció dades consum'!K4380+1,0)</f>
        <v>0</v>
      </c>
      <c r="O4380" s="370" cm="1">
        <f t="array" ref="O4380">+_xlfn.SWITCH(MONTH(C4380),1,1,2,1,3,1,4,2,5,2,6,3,7,3,8,3,9,3,10,2,11,2,12,1,2)</f>
        <v>1</v>
      </c>
      <c r="P4380" s="43"/>
    </row>
    <row r="4381" spans="1:16" ht="18" x14ac:dyDescent="0.35">
      <c r="A4381" s="43"/>
      <c r="C4381" s="393"/>
      <c r="E4381" s="394"/>
      <c r="F4381" s="394">
        <v>0.98199999999999998</v>
      </c>
      <c r="G4381" s="394"/>
      <c r="H4381" s="8" t="s">
        <v>235</v>
      </c>
      <c r="I4381" s="368">
        <f t="shared" si="205"/>
        <v>0</v>
      </c>
      <c r="J4381" s="365">
        <f t="shared" si="204"/>
        <v>0</v>
      </c>
      <c r="K4381" s="369">
        <f t="shared" si="206"/>
        <v>6</v>
      </c>
      <c r="L4381" s="369">
        <f>+IF((C4381&gt;='Resultats - informe'!$E$16)*(C4381&lt;='Resultats - informe'!$G$16),1,0)</f>
        <v>1</v>
      </c>
      <c r="M4381" s="369" cm="1">
        <f t="array" ref="M4381">+_xlfn.IFS((C4381&gt;='Resultats - informe'!$D$26)*(C4381&lt;='Resultats - informe'!$E$26),0,(C4381&gt;='Resultats - informe'!$D$27)*(C4381&lt;='Resultats - informe'!$E$27),0,(C4381&gt;='Resultats - informe'!$D$28)*(C4381&lt;='Resultats - informe'!$E$28),0,(C4381&gt;='Resultats - informe'!$D$29)*(C4381&lt;='Resultats - informe'!$E$29),0,1,1)</f>
        <v>0</v>
      </c>
      <c r="N4381" s="366">
        <f>+VLOOKUP(D4381,'Resultats - informe'!$Y$18:$AG$42,'Introducció dades consum'!K4381+1,0)</f>
        <v>0</v>
      </c>
      <c r="O4381" s="370" cm="1">
        <f t="array" ref="O4381">+_xlfn.SWITCH(MONTH(C4381),1,1,2,1,3,1,4,2,5,2,6,3,7,3,8,3,9,3,10,2,11,2,12,1,2)</f>
        <v>1</v>
      </c>
      <c r="P4381" s="43"/>
    </row>
    <row r="4382" spans="1:16" ht="18" x14ac:dyDescent="0.35">
      <c r="A4382" s="43"/>
      <c r="C4382" s="393"/>
      <c r="E4382" s="394"/>
      <c r="F4382" s="394">
        <v>2.379</v>
      </c>
      <c r="G4382" s="394"/>
      <c r="H4382" s="8" t="s">
        <v>235</v>
      </c>
      <c r="I4382" s="368">
        <f t="shared" si="205"/>
        <v>0</v>
      </c>
      <c r="J4382" s="365">
        <f t="shared" si="204"/>
        <v>0</v>
      </c>
      <c r="K4382" s="369">
        <f t="shared" si="206"/>
        <v>6</v>
      </c>
      <c r="L4382" s="369">
        <f>+IF((C4382&gt;='Resultats - informe'!$E$16)*(C4382&lt;='Resultats - informe'!$G$16),1,0)</f>
        <v>1</v>
      </c>
      <c r="M4382" s="369" cm="1">
        <f t="array" ref="M4382">+_xlfn.IFS((C4382&gt;='Resultats - informe'!$D$26)*(C4382&lt;='Resultats - informe'!$E$26),0,(C4382&gt;='Resultats - informe'!$D$27)*(C4382&lt;='Resultats - informe'!$E$27),0,(C4382&gt;='Resultats - informe'!$D$28)*(C4382&lt;='Resultats - informe'!$E$28),0,(C4382&gt;='Resultats - informe'!$D$29)*(C4382&lt;='Resultats - informe'!$E$29),0,1,1)</f>
        <v>0</v>
      </c>
      <c r="N4382" s="366">
        <f>+VLOOKUP(D4382,'Resultats - informe'!$Y$18:$AG$42,'Introducció dades consum'!K4382+1,0)</f>
        <v>0</v>
      </c>
      <c r="O4382" s="370" cm="1">
        <f t="array" ref="O4382">+_xlfn.SWITCH(MONTH(C4382),1,1,2,1,3,1,4,2,5,2,6,3,7,3,8,3,9,3,10,2,11,2,12,1,2)</f>
        <v>1</v>
      </c>
      <c r="P4382" s="43"/>
    </row>
    <row r="4383" spans="1:16" ht="18" x14ac:dyDescent="0.35">
      <c r="A4383" s="43"/>
      <c r="C4383" s="393"/>
      <c r="E4383" s="394"/>
      <c r="F4383" s="394">
        <v>3.9249999999999998</v>
      </c>
      <c r="G4383" s="394"/>
      <c r="H4383" s="8" t="s">
        <v>235</v>
      </c>
      <c r="I4383" s="368">
        <f t="shared" si="205"/>
        <v>0</v>
      </c>
      <c r="J4383" s="365">
        <f t="shared" si="204"/>
        <v>0</v>
      </c>
      <c r="K4383" s="369">
        <f t="shared" si="206"/>
        <v>6</v>
      </c>
      <c r="L4383" s="369">
        <f>+IF((C4383&gt;='Resultats - informe'!$E$16)*(C4383&lt;='Resultats - informe'!$G$16),1,0)</f>
        <v>1</v>
      </c>
      <c r="M4383" s="369" cm="1">
        <f t="array" ref="M4383">+_xlfn.IFS((C4383&gt;='Resultats - informe'!$D$26)*(C4383&lt;='Resultats - informe'!$E$26),0,(C4383&gt;='Resultats - informe'!$D$27)*(C4383&lt;='Resultats - informe'!$E$27),0,(C4383&gt;='Resultats - informe'!$D$28)*(C4383&lt;='Resultats - informe'!$E$28),0,(C4383&gt;='Resultats - informe'!$D$29)*(C4383&lt;='Resultats - informe'!$E$29),0,1,1)</f>
        <v>0</v>
      </c>
      <c r="N4383" s="366">
        <f>+VLOOKUP(D4383,'Resultats - informe'!$Y$18:$AG$42,'Introducció dades consum'!K4383+1,0)</f>
        <v>0</v>
      </c>
      <c r="O4383" s="370" cm="1">
        <f t="array" ref="O4383">+_xlfn.SWITCH(MONTH(C4383),1,1,2,1,3,1,4,2,5,2,6,3,7,3,8,3,9,3,10,2,11,2,12,1,2)</f>
        <v>1</v>
      </c>
      <c r="P4383" s="43"/>
    </row>
    <row r="4384" spans="1:16" ht="18" x14ac:dyDescent="0.35">
      <c r="A4384" s="43"/>
      <c r="C4384" s="393"/>
      <c r="E4384" s="394"/>
      <c r="F4384" s="394">
        <v>4.9379999999999997</v>
      </c>
      <c r="G4384" s="394"/>
      <c r="H4384" s="8" t="s">
        <v>235</v>
      </c>
      <c r="I4384" s="368">
        <f t="shared" si="205"/>
        <v>0</v>
      </c>
      <c r="J4384" s="365">
        <f t="shared" si="204"/>
        <v>0</v>
      </c>
      <c r="K4384" s="369">
        <f t="shared" si="206"/>
        <v>6</v>
      </c>
      <c r="L4384" s="369">
        <f>+IF((C4384&gt;='Resultats - informe'!$E$16)*(C4384&lt;='Resultats - informe'!$G$16),1,0)</f>
        <v>1</v>
      </c>
      <c r="M4384" s="369" cm="1">
        <f t="array" ref="M4384">+_xlfn.IFS((C4384&gt;='Resultats - informe'!$D$26)*(C4384&lt;='Resultats - informe'!$E$26),0,(C4384&gt;='Resultats - informe'!$D$27)*(C4384&lt;='Resultats - informe'!$E$27),0,(C4384&gt;='Resultats - informe'!$D$28)*(C4384&lt;='Resultats - informe'!$E$28),0,(C4384&gt;='Resultats - informe'!$D$29)*(C4384&lt;='Resultats - informe'!$E$29),0,1,1)</f>
        <v>0</v>
      </c>
      <c r="N4384" s="366">
        <f>+VLOOKUP(D4384,'Resultats - informe'!$Y$18:$AG$42,'Introducció dades consum'!K4384+1,0)</f>
        <v>0</v>
      </c>
      <c r="O4384" s="370" cm="1">
        <f t="array" ref="O4384">+_xlfn.SWITCH(MONTH(C4384),1,1,2,1,3,1,4,2,5,2,6,3,7,3,8,3,9,3,10,2,11,2,12,1,2)</f>
        <v>1</v>
      </c>
      <c r="P4384" s="43"/>
    </row>
    <row r="4385" spans="1:16" ht="18" x14ac:dyDescent="0.35">
      <c r="A4385" s="43"/>
      <c r="C4385" s="393"/>
      <c r="E4385" s="394"/>
      <c r="F4385" s="394">
        <v>4.9509999999999996</v>
      </c>
      <c r="G4385" s="394"/>
      <c r="H4385" s="8" t="s">
        <v>235</v>
      </c>
      <c r="I4385" s="368">
        <f t="shared" si="205"/>
        <v>0</v>
      </c>
      <c r="J4385" s="365">
        <f t="shared" si="204"/>
        <v>0</v>
      </c>
      <c r="K4385" s="369">
        <f t="shared" si="206"/>
        <v>6</v>
      </c>
      <c r="L4385" s="369">
        <f>+IF((C4385&gt;='Resultats - informe'!$E$16)*(C4385&lt;='Resultats - informe'!$G$16),1,0)</f>
        <v>1</v>
      </c>
      <c r="M4385" s="369" cm="1">
        <f t="array" ref="M4385">+_xlfn.IFS((C4385&gt;='Resultats - informe'!$D$26)*(C4385&lt;='Resultats - informe'!$E$26),0,(C4385&gt;='Resultats - informe'!$D$27)*(C4385&lt;='Resultats - informe'!$E$27),0,(C4385&gt;='Resultats - informe'!$D$28)*(C4385&lt;='Resultats - informe'!$E$28),0,(C4385&gt;='Resultats - informe'!$D$29)*(C4385&lt;='Resultats - informe'!$E$29),0,1,1)</f>
        <v>0</v>
      </c>
      <c r="N4385" s="366">
        <f>+VLOOKUP(D4385,'Resultats - informe'!$Y$18:$AG$42,'Introducció dades consum'!K4385+1,0)</f>
        <v>0</v>
      </c>
      <c r="O4385" s="370" cm="1">
        <f t="array" ref="O4385">+_xlfn.SWITCH(MONTH(C4385),1,1,2,1,3,1,4,2,5,2,6,3,7,3,8,3,9,3,10,2,11,2,12,1,2)</f>
        <v>1</v>
      </c>
      <c r="P4385" s="43"/>
    </row>
    <row r="4386" spans="1:16" ht="18" x14ac:dyDescent="0.35">
      <c r="A4386" s="43"/>
      <c r="C4386" s="393"/>
      <c r="E4386" s="394"/>
      <c r="F4386" s="394">
        <v>0</v>
      </c>
      <c r="G4386" s="394"/>
      <c r="H4386" s="8" t="s">
        <v>235</v>
      </c>
      <c r="I4386" s="368">
        <f t="shared" si="205"/>
        <v>0</v>
      </c>
      <c r="J4386" s="365">
        <f t="shared" si="204"/>
        <v>0</v>
      </c>
      <c r="K4386" s="369">
        <f t="shared" si="206"/>
        <v>6</v>
      </c>
      <c r="L4386" s="369">
        <f>+IF((C4386&gt;='Resultats - informe'!$E$16)*(C4386&lt;='Resultats - informe'!$G$16),1,0)</f>
        <v>1</v>
      </c>
      <c r="M4386" s="369" cm="1">
        <f t="array" ref="M4386">+_xlfn.IFS((C4386&gt;='Resultats - informe'!$D$26)*(C4386&lt;='Resultats - informe'!$E$26),0,(C4386&gt;='Resultats - informe'!$D$27)*(C4386&lt;='Resultats - informe'!$E$27),0,(C4386&gt;='Resultats - informe'!$D$28)*(C4386&lt;='Resultats - informe'!$E$28),0,(C4386&gt;='Resultats - informe'!$D$29)*(C4386&lt;='Resultats - informe'!$E$29),0,1,1)</f>
        <v>0</v>
      </c>
      <c r="N4386" s="366">
        <f>+VLOOKUP(D4386,'Resultats - informe'!$Y$18:$AG$42,'Introducció dades consum'!K4386+1,0)</f>
        <v>0</v>
      </c>
      <c r="O4386" s="370" cm="1">
        <f t="array" ref="O4386">+_xlfn.SWITCH(MONTH(C4386),1,1,2,1,3,1,4,2,5,2,6,3,7,3,8,3,9,3,10,2,11,2,12,1,2)</f>
        <v>1</v>
      </c>
      <c r="P4386" s="43"/>
    </row>
    <row r="4387" spans="1:16" ht="18" x14ac:dyDescent="0.35">
      <c r="A4387" s="43"/>
      <c r="C4387" s="393"/>
      <c r="E4387" s="394"/>
      <c r="F4387" s="394">
        <v>0</v>
      </c>
      <c r="G4387" s="394"/>
      <c r="H4387" s="8" t="s">
        <v>235</v>
      </c>
      <c r="I4387" s="368">
        <f t="shared" si="205"/>
        <v>0</v>
      </c>
      <c r="J4387" s="365">
        <f t="shared" si="204"/>
        <v>0</v>
      </c>
      <c r="K4387" s="369">
        <f t="shared" si="206"/>
        <v>6</v>
      </c>
      <c r="L4387" s="369">
        <f>+IF((C4387&gt;='Resultats - informe'!$E$16)*(C4387&lt;='Resultats - informe'!$G$16),1,0)</f>
        <v>1</v>
      </c>
      <c r="M4387" s="369" cm="1">
        <f t="array" ref="M4387">+_xlfn.IFS((C4387&gt;='Resultats - informe'!$D$26)*(C4387&lt;='Resultats - informe'!$E$26),0,(C4387&gt;='Resultats - informe'!$D$27)*(C4387&lt;='Resultats - informe'!$E$27),0,(C4387&gt;='Resultats - informe'!$D$28)*(C4387&lt;='Resultats - informe'!$E$28),0,(C4387&gt;='Resultats - informe'!$D$29)*(C4387&lt;='Resultats - informe'!$E$29),0,1,1)</f>
        <v>0</v>
      </c>
      <c r="N4387" s="366">
        <f>+VLOOKUP(D4387,'Resultats - informe'!$Y$18:$AG$42,'Introducció dades consum'!K4387+1,0)</f>
        <v>0</v>
      </c>
      <c r="O4387" s="370" cm="1">
        <f t="array" ref="O4387">+_xlfn.SWITCH(MONTH(C4387),1,1,2,1,3,1,4,2,5,2,6,3,7,3,8,3,9,3,10,2,11,2,12,1,2)</f>
        <v>1</v>
      </c>
      <c r="P4387" s="43"/>
    </row>
    <row r="4388" spans="1:16" ht="18" x14ac:dyDescent="0.35">
      <c r="A4388" s="43"/>
      <c r="C4388" s="393"/>
      <c r="E4388" s="394"/>
      <c r="F4388" s="394">
        <v>0.60299999999999998</v>
      </c>
      <c r="G4388" s="394"/>
      <c r="H4388" s="8" t="s">
        <v>235</v>
      </c>
      <c r="I4388" s="368">
        <f t="shared" si="205"/>
        <v>0</v>
      </c>
      <c r="J4388" s="365">
        <f t="shared" si="204"/>
        <v>0</v>
      </c>
      <c r="K4388" s="369">
        <f t="shared" si="206"/>
        <v>6</v>
      </c>
      <c r="L4388" s="369">
        <f>+IF((C4388&gt;='Resultats - informe'!$E$16)*(C4388&lt;='Resultats - informe'!$G$16),1,0)</f>
        <v>1</v>
      </c>
      <c r="M4388" s="369" cm="1">
        <f t="array" ref="M4388">+_xlfn.IFS((C4388&gt;='Resultats - informe'!$D$26)*(C4388&lt;='Resultats - informe'!$E$26),0,(C4388&gt;='Resultats - informe'!$D$27)*(C4388&lt;='Resultats - informe'!$E$27),0,(C4388&gt;='Resultats - informe'!$D$28)*(C4388&lt;='Resultats - informe'!$E$28),0,(C4388&gt;='Resultats - informe'!$D$29)*(C4388&lt;='Resultats - informe'!$E$29),0,1,1)</f>
        <v>0</v>
      </c>
      <c r="N4388" s="366">
        <f>+VLOOKUP(D4388,'Resultats - informe'!$Y$18:$AG$42,'Introducció dades consum'!K4388+1,0)</f>
        <v>0</v>
      </c>
      <c r="O4388" s="370" cm="1">
        <f t="array" ref="O4388">+_xlfn.SWITCH(MONTH(C4388),1,1,2,1,3,1,4,2,5,2,6,3,7,3,8,3,9,3,10,2,11,2,12,1,2)</f>
        <v>1</v>
      </c>
      <c r="P4388" s="43"/>
    </row>
    <row r="4389" spans="1:16" ht="18" x14ac:dyDescent="0.35">
      <c r="A4389" s="43"/>
      <c r="C4389" s="393"/>
      <c r="E4389" s="394"/>
      <c r="F4389" s="394">
        <v>0.08</v>
      </c>
      <c r="G4389" s="394"/>
      <c r="H4389" s="8" t="s">
        <v>235</v>
      </c>
      <c r="I4389" s="368">
        <f t="shared" si="205"/>
        <v>0</v>
      </c>
      <c r="J4389" s="365">
        <f t="shared" si="204"/>
        <v>0</v>
      </c>
      <c r="K4389" s="369">
        <f t="shared" si="206"/>
        <v>6</v>
      </c>
      <c r="L4389" s="369">
        <f>+IF((C4389&gt;='Resultats - informe'!$E$16)*(C4389&lt;='Resultats - informe'!$G$16),1,0)</f>
        <v>1</v>
      </c>
      <c r="M4389" s="369" cm="1">
        <f t="array" ref="M4389">+_xlfn.IFS((C4389&gt;='Resultats - informe'!$D$26)*(C4389&lt;='Resultats - informe'!$E$26),0,(C4389&gt;='Resultats - informe'!$D$27)*(C4389&lt;='Resultats - informe'!$E$27),0,(C4389&gt;='Resultats - informe'!$D$28)*(C4389&lt;='Resultats - informe'!$E$28),0,(C4389&gt;='Resultats - informe'!$D$29)*(C4389&lt;='Resultats - informe'!$E$29),0,1,1)</f>
        <v>0</v>
      </c>
      <c r="N4389" s="366">
        <f>+VLOOKUP(D4389,'Resultats - informe'!$Y$18:$AG$42,'Introducció dades consum'!K4389+1,0)</f>
        <v>0</v>
      </c>
      <c r="O4389" s="370" cm="1">
        <f t="array" ref="O4389">+_xlfn.SWITCH(MONTH(C4389),1,1,2,1,3,1,4,2,5,2,6,3,7,3,8,3,9,3,10,2,11,2,12,1,2)</f>
        <v>1</v>
      </c>
      <c r="P4389" s="43"/>
    </row>
    <row r="4390" spans="1:16" ht="18" x14ac:dyDescent="0.35">
      <c r="A4390" s="43"/>
      <c r="C4390" s="393"/>
      <c r="E4390" s="394"/>
      <c r="F4390" s="394">
        <v>0.22500000000000001</v>
      </c>
      <c r="G4390" s="394"/>
      <c r="H4390" s="8" t="s">
        <v>235</v>
      </c>
      <c r="I4390" s="368">
        <f t="shared" si="205"/>
        <v>0</v>
      </c>
      <c r="J4390" s="365">
        <f t="shared" si="204"/>
        <v>0</v>
      </c>
      <c r="K4390" s="369">
        <f t="shared" si="206"/>
        <v>6</v>
      </c>
      <c r="L4390" s="369">
        <f>+IF((C4390&gt;='Resultats - informe'!$E$16)*(C4390&lt;='Resultats - informe'!$G$16),1,0)</f>
        <v>1</v>
      </c>
      <c r="M4390" s="369" cm="1">
        <f t="array" ref="M4390">+_xlfn.IFS((C4390&gt;='Resultats - informe'!$D$26)*(C4390&lt;='Resultats - informe'!$E$26),0,(C4390&gt;='Resultats - informe'!$D$27)*(C4390&lt;='Resultats - informe'!$E$27),0,(C4390&gt;='Resultats - informe'!$D$28)*(C4390&lt;='Resultats - informe'!$E$28),0,(C4390&gt;='Resultats - informe'!$D$29)*(C4390&lt;='Resultats - informe'!$E$29),0,1,1)</f>
        <v>0</v>
      </c>
      <c r="N4390" s="366">
        <f>+VLOOKUP(D4390,'Resultats - informe'!$Y$18:$AG$42,'Introducció dades consum'!K4390+1,0)</f>
        <v>0</v>
      </c>
      <c r="O4390" s="370" cm="1">
        <f t="array" ref="O4390">+_xlfn.SWITCH(MONTH(C4390),1,1,2,1,3,1,4,2,5,2,6,3,7,3,8,3,9,3,10,2,11,2,12,1,2)</f>
        <v>1</v>
      </c>
      <c r="P4390" s="43"/>
    </row>
    <row r="4391" spans="1:16" ht="18" x14ac:dyDescent="0.35">
      <c r="A4391" s="43"/>
      <c r="C4391" s="393"/>
      <c r="E4391" s="394"/>
      <c r="F4391" s="394">
        <v>0.106</v>
      </c>
      <c r="G4391" s="394"/>
      <c r="H4391" s="8" t="s">
        <v>235</v>
      </c>
      <c r="I4391" s="368">
        <f t="shared" si="205"/>
        <v>0</v>
      </c>
      <c r="J4391" s="365">
        <f t="shared" si="204"/>
        <v>0</v>
      </c>
      <c r="K4391" s="369">
        <f t="shared" si="206"/>
        <v>6</v>
      </c>
      <c r="L4391" s="369">
        <f>+IF((C4391&gt;='Resultats - informe'!$E$16)*(C4391&lt;='Resultats - informe'!$G$16),1,0)</f>
        <v>1</v>
      </c>
      <c r="M4391" s="369" cm="1">
        <f t="array" ref="M4391">+_xlfn.IFS((C4391&gt;='Resultats - informe'!$D$26)*(C4391&lt;='Resultats - informe'!$E$26),0,(C4391&gt;='Resultats - informe'!$D$27)*(C4391&lt;='Resultats - informe'!$E$27),0,(C4391&gt;='Resultats - informe'!$D$28)*(C4391&lt;='Resultats - informe'!$E$28),0,(C4391&gt;='Resultats - informe'!$D$29)*(C4391&lt;='Resultats - informe'!$E$29),0,1,1)</f>
        <v>0</v>
      </c>
      <c r="N4391" s="366">
        <f>+VLOOKUP(D4391,'Resultats - informe'!$Y$18:$AG$42,'Introducció dades consum'!K4391+1,0)</f>
        <v>0</v>
      </c>
      <c r="O4391" s="370" cm="1">
        <f t="array" ref="O4391">+_xlfn.SWITCH(MONTH(C4391),1,1,2,1,3,1,4,2,5,2,6,3,7,3,8,3,9,3,10,2,11,2,12,1,2)</f>
        <v>1</v>
      </c>
      <c r="P4391" s="43"/>
    </row>
    <row r="4392" spans="1:16" ht="18" x14ac:dyDescent="0.35">
      <c r="A4392" s="43"/>
      <c r="C4392" s="393"/>
      <c r="E4392" s="394"/>
      <c r="F4392" s="394">
        <v>0</v>
      </c>
      <c r="G4392" s="394"/>
      <c r="H4392" s="8" t="s">
        <v>235</v>
      </c>
      <c r="I4392" s="368">
        <f t="shared" si="205"/>
        <v>0</v>
      </c>
      <c r="J4392" s="365">
        <f t="shared" si="204"/>
        <v>0</v>
      </c>
      <c r="K4392" s="369">
        <f t="shared" si="206"/>
        <v>6</v>
      </c>
      <c r="L4392" s="369">
        <f>+IF((C4392&gt;='Resultats - informe'!$E$16)*(C4392&lt;='Resultats - informe'!$G$16),1,0)</f>
        <v>1</v>
      </c>
      <c r="M4392" s="369" cm="1">
        <f t="array" ref="M4392">+_xlfn.IFS((C4392&gt;='Resultats - informe'!$D$26)*(C4392&lt;='Resultats - informe'!$E$26),0,(C4392&gt;='Resultats - informe'!$D$27)*(C4392&lt;='Resultats - informe'!$E$27),0,(C4392&gt;='Resultats - informe'!$D$28)*(C4392&lt;='Resultats - informe'!$E$28),0,(C4392&gt;='Resultats - informe'!$D$29)*(C4392&lt;='Resultats - informe'!$E$29),0,1,1)</f>
        <v>0</v>
      </c>
      <c r="N4392" s="366">
        <f>+VLOOKUP(D4392,'Resultats - informe'!$Y$18:$AG$42,'Introducció dades consum'!K4392+1,0)</f>
        <v>0</v>
      </c>
      <c r="O4392" s="370" cm="1">
        <f t="array" ref="O4392">+_xlfn.SWITCH(MONTH(C4392),1,1,2,1,3,1,4,2,5,2,6,3,7,3,8,3,9,3,10,2,11,2,12,1,2)</f>
        <v>1</v>
      </c>
      <c r="P4392" s="43"/>
    </row>
    <row r="4393" spans="1:16" ht="18" x14ac:dyDescent="0.35">
      <c r="A4393" s="43"/>
      <c r="C4393" s="393"/>
      <c r="E4393" s="394"/>
      <c r="F4393" s="394">
        <v>0</v>
      </c>
      <c r="G4393" s="394"/>
      <c r="H4393" s="8" t="s">
        <v>235</v>
      </c>
      <c r="I4393" s="368">
        <f t="shared" si="205"/>
        <v>0</v>
      </c>
      <c r="J4393" s="365">
        <f t="shared" si="204"/>
        <v>0</v>
      </c>
      <c r="K4393" s="369">
        <f t="shared" si="206"/>
        <v>6</v>
      </c>
      <c r="L4393" s="369">
        <f>+IF((C4393&gt;='Resultats - informe'!$E$16)*(C4393&lt;='Resultats - informe'!$G$16),1,0)</f>
        <v>1</v>
      </c>
      <c r="M4393" s="369" cm="1">
        <f t="array" ref="M4393">+_xlfn.IFS((C4393&gt;='Resultats - informe'!$D$26)*(C4393&lt;='Resultats - informe'!$E$26),0,(C4393&gt;='Resultats - informe'!$D$27)*(C4393&lt;='Resultats - informe'!$E$27),0,(C4393&gt;='Resultats - informe'!$D$28)*(C4393&lt;='Resultats - informe'!$E$28),0,(C4393&gt;='Resultats - informe'!$D$29)*(C4393&lt;='Resultats - informe'!$E$29),0,1,1)</f>
        <v>0</v>
      </c>
      <c r="N4393" s="366">
        <f>+VLOOKUP(D4393,'Resultats - informe'!$Y$18:$AG$42,'Introducció dades consum'!K4393+1,0)</f>
        <v>0</v>
      </c>
      <c r="O4393" s="370" cm="1">
        <f t="array" ref="O4393">+_xlfn.SWITCH(MONTH(C4393),1,1,2,1,3,1,4,2,5,2,6,3,7,3,8,3,9,3,10,2,11,2,12,1,2)</f>
        <v>1</v>
      </c>
      <c r="P4393" s="43"/>
    </row>
    <row r="4394" spans="1:16" ht="18" x14ac:dyDescent="0.35">
      <c r="A4394" s="43"/>
      <c r="C4394" s="393"/>
      <c r="E4394" s="394"/>
      <c r="F4394" s="394">
        <v>0</v>
      </c>
      <c r="G4394" s="394"/>
      <c r="H4394" s="8" t="s">
        <v>235</v>
      </c>
      <c r="I4394" s="368">
        <f t="shared" si="205"/>
        <v>0</v>
      </c>
      <c r="J4394" s="365">
        <f t="shared" si="204"/>
        <v>0</v>
      </c>
      <c r="K4394" s="369">
        <f t="shared" si="206"/>
        <v>6</v>
      </c>
      <c r="L4394" s="369">
        <f>+IF((C4394&gt;='Resultats - informe'!$E$16)*(C4394&lt;='Resultats - informe'!$G$16),1,0)</f>
        <v>1</v>
      </c>
      <c r="M4394" s="369" cm="1">
        <f t="array" ref="M4394">+_xlfn.IFS((C4394&gt;='Resultats - informe'!$D$26)*(C4394&lt;='Resultats - informe'!$E$26),0,(C4394&gt;='Resultats - informe'!$D$27)*(C4394&lt;='Resultats - informe'!$E$27),0,(C4394&gt;='Resultats - informe'!$D$28)*(C4394&lt;='Resultats - informe'!$E$28),0,(C4394&gt;='Resultats - informe'!$D$29)*(C4394&lt;='Resultats - informe'!$E$29),0,1,1)</f>
        <v>0</v>
      </c>
      <c r="N4394" s="366">
        <f>+VLOOKUP(D4394,'Resultats - informe'!$Y$18:$AG$42,'Introducció dades consum'!K4394+1,0)</f>
        <v>0</v>
      </c>
      <c r="O4394" s="370" cm="1">
        <f t="array" ref="O4394">+_xlfn.SWITCH(MONTH(C4394),1,1,2,1,3,1,4,2,5,2,6,3,7,3,8,3,9,3,10,2,11,2,12,1,2)</f>
        <v>1</v>
      </c>
      <c r="P4394" s="43"/>
    </row>
    <row r="4395" spans="1:16" ht="18" x14ac:dyDescent="0.35">
      <c r="A4395" s="43"/>
      <c r="C4395" s="393"/>
      <c r="E4395" s="394"/>
      <c r="F4395" s="394">
        <v>0</v>
      </c>
      <c r="G4395" s="394"/>
      <c r="H4395" s="8" t="s">
        <v>235</v>
      </c>
      <c r="I4395" s="368">
        <f t="shared" si="205"/>
        <v>0</v>
      </c>
      <c r="J4395" s="365">
        <f t="shared" si="204"/>
        <v>0</v>
      </c>
      <c r="K4395" s="369">
        <f t="shared" si="206"/>
        <v>6</v>
      </c>
      <c r="L4395" s="369">
        <f>+IF((C4395&gt;='Resultats - informe'!$E$16)*(C4395&lt;='Resultats - informe'!$G$16),1,0)</f>
        <v>1</v>
      </c>
      <c r="M4395" s="369" cm="1">
        <f t="array" ref="M4395">+_xlfn.IFS((C4395&gt;='Resultats - informe'!$D$26)*(C4395&lt;='Resultats - informe'!$E$26),0,(C4395&gt;='Resultats - informe'!$D$27)*(C4395&lt;='Resultats - informe'!$E$27),0,(C4395&gt;='Resultats - informe'!$D$28)*(C4395&lt;='Resultats - informe'!$E$28),0,(C4395&gt;='Resultats - informe'!$D$29)*(C4395&lt;='Resultats - informe'!$E$29),0,1,1)</f>
        <v>0</v>
      </c>
      <c r="N4395" s="366">
        <f>+VLOOKUP(D4395,'Resultats - informe'!$Y$18:$AG$42,'Introducció dades consum'!K4395+1,0)</f>
        <v>0</v>
      </c>
      <c r="O4395" s="370" cm="1">
        <f t="array" ref="O4395">+_xlfn.SWITCH(MONTH(C4395),1,1,2,1,3,1,4,2,5,2,6,3,7,3,8,3,9,3,10,2,11,2,12,1,2)</f>
        <v>1</v>
      </c>
      <c r="P4395" s="43"/>
    </row>
    <row r="4396" spans="1:16" ht="18" x14ac:dyDescent="0.35">
      <c r="A4396" s="43"/>
      <c r="C4396" s="393"/>
      <c r="E4396" s="394"/>
      <c r="F4396" s="394">
        <v>0</v>
      </c>
      <c r="G4396" s="394"/>
      <c r="H4396" s="8" t="s">
        <v>235</v>
      </c>
      <c r="I4396" s="368">
        <f t="shared" si="205"/>
        <v>0</v>
      </c>
      <c r="J4396" s="365">
        <f t="shared" si="204"/>
        <v>0</v>
      </c>
      <c r="K4396" s="369">
        <f t="shared" si="206"/>
        <v>6</v>
      </c>
      <c r="L4396" s="369">
        <f>+IF((C4396&gt;='Resultats - informe'!$E$16)*(C4396&lt;='Resultats - informe'!$G$16),1,0)</f>
        <v>1</v>
      </c>
      <c r="M4396" s="369" cm="1">
        <f t="array" ref="M4396">+_xlfn.IFS((C4396&gt;='Resultats - informe'!$D$26)*(C4396&lt;='Resultats - informe'!$E$26),0,(C4396&gt;='Resultats - informe'!$D$27)*(C4396&lt;='Resultats - informe'!$E$27),0,(C4396&gt;='Resultats - informe'!$D$28)*(C4396&lt;='Resultats - informe'!$E$28),0,(C4396&gt;='Resultats - informe'!$D$29)*(C4396&lt;='Resultats - informe'!$E$29),0,1,1)</f>
        <v>0</v>
      </c>
      <c r="N4396" s="366">
        <f>+VLOOKUP(D4396,'Resultats - informe'!$Y$18:$AG$42,'Introducció dades consum'!K4396+1,0)</f>
        <v>0</v>
      </c>
      <c r="O4396" s="370" cm="1">
        <f t="array" ref="O4396">+_xlfn.SWITCH(MONTH(C4396),1,1,2,1,3,1,4,2,5,2,6,3,7,3,8,3,9,3,10,2,11,2,12,1,2)</f>
        <v>1</v>
      </c>
      <c r="P4396" s="43"/>
    </row>
    <row r="4397" spans="1:16" ht="18" x14ac:dyDescent="0.35">
      <c r="A4397" s="43"/>
      <c r="C4397" s="393"/>
      <c r="E4397" s="394"/>
      <c r="F4397" s="394">
        <v>0</v>
      </c>
      <c r="G4397" s="394"/>
      <c r="H4397" s="8" t="s">
        <v>235</v>
      </c>
      <c r="I4397" s="368">
        <f t="shared" si="205"/>
        <v>0</v>
      </c>
      <c r="J4397" s="365">
        <f t="shared" si="204"/>
        <v>0</v>
      </c>
      <c r="K4397" s="369">
        <f t="shared" si="206"/>
        <v>6</v>
      </c>
      <c r="L4397" s="369">
        <f>+IF((C4397&gt;='Resultats - informe'!$E$16)*(C4397&lt;='Resultats - informe'!$G$16),1,0)</f>
        <v>1</v>
      </c>
      <c r="M4397" s="369" cm="1">
        <f t="array" ref="M4397">+_xlfn.IFS((C4397&gt;='Resultats - informe'!$D$26)*(C4397&lt;='Resultats - informe'!$E$26),0,(C4397&gt;='Resultats - informe'!$D$27)*(C4397&lt;='Resultats - informe'!$E$27),0,(C4397&gt;='Resultats - informe'!$D$28)*(C4397&lt;='Resultats - informe'!$E$28),0,(C4397&gt;='Resultats - informe'!$D$29)*(C4397&lt;='Resultats - informe'!$E$29),0,1,1)</f>
        <v>0</v>
      </c>
      <c r="N4397" s="366">
        <f>+VLOOKUP(D4397,'Resultats - informe'!$Y$18:$AG$42,'Introducció dades consum'!K4397+1,0)</f>
        <v>0</v>
      </c>
      <c r="O4397" s="370" cm="1">
        <f t="array" ref="O4397">+_xlfn.SWITCH(MONTH(C4397),1,1,2,1,3,1,4,2,5,2,6,3,7,3,8,3,9,3,10,2,11,2,12,1,2)</f>
        <v>1</v>
      </c>
      <c r="P4397" s="43"/>
    </row>
    <row r="4398" spans="1:16" ht="18" x14ac:dyDescent="0.35">
      <c r="A4398" s="43"/>
      <c r="C4398" s="393"/>
      <c r="E4398" s="394"/>
      <c r="F4398" s="394">
        <v>0</v>
      </c>
      <c r="G4398" s="394"/>
      <c r="H4398" s="8" t="s">
        <v>235</v>
      </c>
      <c r="I4398" s="368">
        <f t="shared" si="205"/>
        <v>0</v>
      </c>
      <c r="J4398" s="365">
        <f t="shared" si="204"/>
        <v>0</v>
      </c>
      <c r="K4398" s="369">
        <f t="shared" si="206"/>
        <v>6</v>
      </c>
      <c r="L4398" s="369">
        <f>+IF((C4398&gt;='Resultats - informe'!$E$16)*(C4398&lt;='Resultats - informe'!$G$16),1,0)</f>
        <v>1</v>
      </c>
      <c r="M4398" s="369" cm="1">
        <f t="array" ref="M4398">+_xlfn.IFS((C4398&gt;='Resultats - informe'!$D$26)*(C4398&lt;='Resultats - informe'!$E$26),0,(C4398&gt;='Resultats - informe'!$D$27)*(C4398&lt;='Resultats - informe'!$E$27),0,(C4398&gt;='Resultats - informe'!$D$28)*(C4398&lt;='Resultats - informe'!$E$28),0,(C4398&gt;='Resultats - informe'!$D$29)*(C4398&lt;='Resultats - informe'!$E$29),0,1,1)</f>
        <v>0</v>
      </c>
      <c r="N4398" s="366">
        <f>+VLOOKUP(D4398,'Resultats - informe'!$Y$18:$AG$42,'Introducció dades consum'!K4398+1,0)</f>
        <v>0</v>
      </c>
      <c r="O4398" s="370" cm="1">
        <f t="array" ref="O4398">+_xlfn.SWITCH(MONTH(C4398),1,1,2,1,3,1,4,2,5,2,6,3,7,3,8,3,9,3,10,2,11,2,12,1,2)</f>
        <v>1</v>
      </c>
      <c r="P4398" s="43"/>
    </row>
    <row r="4399" spans="1:16" ht="18" x14ac:dyDescent="0.35">
      <c r="A4399" s="43"/>
      <c r="C4399" s="393"/>
      <c r="E4399" s="394"/>
      <c r="F4399" s="394">
        <v>0</v>
      </c>
      <c r="G4399" s="394"/>
      <c r="H4399" s="8" t="s">
        <v>235</v>
      </c>
      <c r="I4399" s="368">
        <f t="shared" si="205"/>
        <v>0</v>
      </c>
      <c r="J4399" s="365">
        <f t="shared" si="204"/>
        <v>0</v>
      </c>
      <c r="K4399" s="369">
        <f t="shared" si="206"/>
        <v>6</v>
      </c>
      <c r="L4399" s="369">
        <f>+IF((C4399&gt;='Resultats - informe'!$E$16)*(C4399&lt;='Resultats - informe'!$G$16),1,0)</f>
        <v>1</v>
      </c>
      <c r="M4399" s="369" cm="1">
        <f t="array" ref="M4399">+_xlfn.IFS((C4399&gt;='Resultats - informe'!$D$26)*(C4399&lt;='Resultats - informe'!$E$26),0,(C4399&gt;='Resultats - informe'!$D$27)*(C4399&lt;='Resultats - informe'!$E$27),0,(C4399&gt;='Resultats - informe'!$D$28)*(C4399&lt;='Resultats - informe'!$E$28),0,(C4399&gt;='Resultats - informe'!$D$29)*(C4399&lt;='Resultats - informe'!$E$29),0,1,1)</f>
        <v>0</v>
      </c>
      <c r="N4399" s="366">
        <f>+VLOOKUP(D4399,'Resultats - informe'!$Y$18:$AG$42,'Introducció dades consum'!K4399+1,0)</f>
        <v>0</v>
      </c>
      <c r="O4399" s="370" cm="1">
        <f t="array" ref="O4399">+_xlfn.SWITCH(MONTH(C4399),1,1,2,1,3,1,4,2,5,2,6,3,7,3,8,3,9,3,10,2,11,2,12,1,2)</f>
        <v>1</v>
      </c>
      <c r="P4399" s="43"/>
    </row>
    <row r="4400" spans="1:16" ht="18" x14ac:dyDescent="0.35">
      <c r="A4400" s="43"/>
      <c r="C4400" s="393"/>
      <c r="E4400" s="394"/>
      <c r="F4400" s="394">
        <v>0</v>
      </c>
      <c r="G4400" s="394"/>
      <c r="H4400" s="8" t="s">
        <v>235</v>
      </c>
      <c r="I4400" s="368">
        <f t="shared" si="205"/>
        <v>0</v>
      </c>
      <c r="J4400" s="365">
        <f t="shared" si="204"/>
        <v>0</v>
      </c>
      <c r="K4400" s="369">
        <f t="shared" si="206"/>
        <v>6</v>
      </c>
      <c r="L4400" s="369">
        <f>+IF((C4400&gt;='Resultats - informe'!$E$16)*(C4400&lt;='Resultats - informe'!$G$16),1,0)</f>
        <v>1</v>
      </c>
      <c r="M4400" s="369" cm="1">
        <f t="array" ref="M4400">+_xlfn.IFS((C4400&gt;='Resultats - informe'!$D$26)*(C4400&lt;='Resultats - informe'!$E$26),0,(C4400&gt;='Resultats - informe'!$D$27)*(C4400&lt;='Resultats - informe'!$E$27),0,(C4400&gt;='Resultats - informe'!$D$28)*(C4400&lt;='Resultats - informe'!$E$28),0,(C4400&gt;='Resultats - informe'!$D$29)*(C4400&lt;='Resultats - informe'!$E$29),0,1,1)</f>
        <v>0</v>
      </c>
      <c r="N4400" s="366">
        <f>+VLOOKUP(D4400,'Resultats - informe'!$Y$18:$AG$42,'Introducció dades consum'!K4400+1,0)</f>
        <v>0</v>
      </c>
      <c r="O4400" s="370" cm="1">
        <f t="array" ref="O4400">+_xlfn.SWITCH(MONTH(C4400),1,1,2,1,3,1,4,2,5,2,6,3,7,3,8,3,9,3,10,2,11,2,12,1,2)</f>
        <v>1</v>
      </c>
      <c r="P4400" s="43"/>
    </row>
    <row r="4401" spans="1:16" ht="18" x14ac:dyDescent="0.35">
      <c r="A4401" s="43"/>
      <c r="C4401" s="393"/>
      <c r="E4401" s="394"/>
      <c r="F4401" s="394">
        <v>0</v>
      </c>
      <c r="G4401" s="394"/>
      <c r="H4401" s="8" t="s">
        <v>235</v>
      </c>
      <c r="I4401" s="368">
        <f t="shared" si="205"/>
        <v>0</v>
      </c>
      <c r="J4401" s="365">
        <f t="shared" si="204"/>
        <v>0</v>
      </c>
      <c r="K4401" s="369">
        <f t="shared" si="206"/>
        <v>6</v>
      </c>
      <c r="L4401" s="369">
        <f>+IF((C4401&gt;='Resultats - informe'!$E$16)*(C4401&lt;='Resultats - informe'!$G$16),1,0)</f>
        <v>1</v>
      </c>
      <c r="M4401" s="369" cm="1">
        <f t="array" ref="M4401">+_xlfn.IFS((C4401&gt;='Resultats - informe'!$D$26)*(C4401&lt;='Resultats - informe'!$E$26),0,(C4401&gt;='Resultats - informe'!$D$27)*(C4401&lt;='Resultats - informe'!$E$27),0,(C4401&gt;='Resultats - informe'!$D$28)*(C4401&lt;='Resultats - informe'!$E$28),0,(C4401&gt;='Resultats - informe'!$D$29)*(C4401&lt;='Resultats - informe'!$E$29),0,1,1)</f>
        <v>0</v>
      </c>
      <c r="N4401" s="366">
        <f>+VLOOKUP(D4401,'Resultats - informe'!$Y$18:$AG$42,'Introducció dades consum'!K4401+1,0)</f>
        <v>0</v>
      </c>
      <c r="O4401" s="370" cm="1">
        <f t="array" ref="O4401">+_xlfn.SWITCH(MONTH(C4401),1,1,2,1,3,1,4,2,5,2,6,3,7,3,8,3,9,3,10,2,11,2,12,1,2)</f>
        <v>1</v>
      </c>
      <c r="P4401" s="43"/>
    </row>
    <row r="4402" spans="1:16" ht="18" x14ac:dyDescent="0.35">
      <c r="A4402" s="43"/>
      <c r="C4402" s="393"/>
      <c r="E4402" s="394"/>
      <c r="F4402" s="394">
        <v>0</v>
      </c>
      <c r="G4402" s="394"/>
      <c r="H4402" s="8" t="s">
        <v>235</v>
      </c>
      <c r="I4402" s="368">
        <f t="shared" si="205"/>
        <v>0</v>
      </c>
      <c r="J4402" s="365">
        <f t="shared" si="204"/>
        <v>0</v>
      </c>
      <c r="K4402" s="369">
        <f t="shared" si="206"/>
        <v>6</v>
      </c>
      <c r="L4402" s="369">
        <f>+IF((C4402&gt;='Resultats - informe'!$E$16)*(C4402&lt;='Resultats - informe'!$G$16),1,0)</f>
        <v>1</v>
      </c>
      <c r="M4402" s="369" cm="1">
        <f t="array" ref="M4402">+_xlfn.IFS((C4402&gt;='Resultats - informe'!$D$26)*(C4402&lt;='Resultats - informe'!$E$26),0,(C4402&gt;='Resultats - informe'!$D$27)*(C4402&lt;='Resultats - informe'!$E$27),0,(C4402&gt;='Resultats - informe'!$D$28)*(C4402&lt;='Resultats - informe'!$E$28),0,(C4402&gt;='Resultats - informe'!$D$29)*(C4402&lt;='Resultats - informe'!$E$29),0,1,1)</f>
        <v>0</v>
      </c>
      <c r="N4402" s="366">
        <f>+VLOOKUP(D4402,'Resultats - informe'!$Y$18:$AG$42,'Introducció dades consum'!K4402+1,0)</f>
        <v>0</v>
      </c>
      <c r="O4402" s="370" cm="1">
        <f t="array" ref="O4402">+_xlfn.SWITCH(MONTH(C4402),1,1,2,1,3,1,4,2,5,2,6,3,7,3,8,3,9,3,10,2,11,2,12,1,2)</f>
        <v>1</v>
      </c>
      <c r="P4402" s="43"/>
    </row>
    <row r="4403" spans="1:16" ht="18" x14ac:dyDescent="0.35">
      <c r="A4403" s="43"/>
      <c r="C4403" s="393"/>
      <c r="E4403" s="394"/>
      <c r="F4403" s="394">
        <v>0</v>
      </c>
      <c r="G4403" s="394"/>
      <c r="H4403" s="8" t="s">
        <v>235</v>
      </c>
      <c r="I4403" s="368">
        <f t="shared" si="205"/>
        <v>0</v>
      </c>
      <c r="J4403" s="365">
        <f t="shared" si="204"/>
        <v>0</v>
      </c>
      <c r="K4403" s="369">
        <f t="shared" si="206"/>
        <v>6</v>
      </c>
      <c r="L4403" s="369">
        <f>+IF((C4403&gt;='Resultats - informe'!$E$16)*(C4403&lt;='Resultats - informe'!$G$16),1,0)</f>
        <v>1</v>
      </c>
      <c r="M4403" s="369" cm="1">
        <f t="array" ref="M4403">+_xlfn.IFS((C4403&gt;='Resultats - informe'!$D$26)*(C4403&lt;='Resultats - informe'!$E$26),0,(C4403&gt;='Resultats - informe'!$D$27)*(C4403&lt;='Resultats - informe'!$E$27),0,(C4403&gt;='Resultats - informe'!$D$28)*(C4403&lt;='Resultats - informe'!$E$28),0,(C4403&gt;='Resultats - informe'!$D$29)*(C4403&lt;='Resultats - informe'!$E$29),0,1,1)</f>
        <v>0</v>
      </c>
      <c r="N4403" s="366">
        <f>+VLOOKUP(D4403,'Resultats - informe'!$Y$18:$AG$42,'Introducció dades consum'!K4403+1,0)</f>
        <v>0</v>
      </c>
      <c r="O4403" s="370" cm="1">
        <f t="array" ref="O4403">+_xlfn.SWITCH(MONTH(C4403),1,1,2,1,3,1,4,2,5,2,6,3,7,3,8,3,9,3,10,2,11,2,12,1,2)</f>
        <v>1</v>
      </c>
      <c r="P4403" s="43"/>
    </row>
    <row r="4404" spans="1:16" ht="18" x14ac:dyDescent="0.35">
      <c r="A4404" s="43"/>
      <c r="C4404" s="393"/>
      <c r="E4404" s="394"/>
      <c r="F4404" s="394">
        <v>0</v>
      </c>
      <c r="G4404" s="394"/>
      <c r="H4404" s="8" t="s">
        <v>235</v>
      </c>
      <c r="I4404" s="368">
        <f t="shared" si="205"/>
        <v>0</v>
      </c>
      <c r="J4404" s="365">
        <f t="shared" si="204"/>
        <v>0</v>
      </c>
      <c r="K4404" s="369">
        <f t="shared" si="206"/>
        <v>6</v>
      </c>
      <c r="L4404" s="369">
        <f>+IF((C4404&gt;='Resultats - informe'!$E$16)*(C4404&lt;='Resultats - informe'!$G$16),1,0)</f>
        <v>1</v>
      </c>
      <c r="M4404" s="369" cm="1">
        <f t="array" ref="M4404">+_xlfn.IFS((C4404&gt;='Resultats - informe'!$D$26)*(C4404&lt;='Resultats - informe'!$E$26),0,(C4404&gt;='Resultats - informe'!$D$27)*(C4404&lt;='Resultats - informe'!$E$27),0,(C4404&gt;='Resultats - informe'!$D$28)*(C4404&lt;='Resultats - informe'!$E$28),0,(C4404&gt;='Resultats - informe'!$D$29)*(C4404&lt;='Resultats - informe'!$E$29),0,1,1)</f>
        <v>0</v>
      </c>
      <c r="N4404" s="366">
        <f>+VLOOKUP(D4404,'Resultats - informe'!$Y$18:$AG$42,'Introducció dades consum'!K4404+1,0)</f>
        <v>0</v>
      </c>
      <c r="O4404" s="370" cm="1">
        <f t="array" ref="O4404">+_xlfn.SWITCH(MONTH(C4404),1,1,2,1,3,1,4,2,5,2,6,3,7,3,8,3,9,3,10,2,11,2,12,1,2)</f>
        <v>1</v>
      </c>
      <c r="P4404" s="43"/>
    </row>
    <row r="4405" spans="1:16" ht="18" x14ac:dyDescent="0.35">
      <c r="A4405" s="43"/>
      <c r="C4405" s="393"/>
      <c r="E4405" s="394"/>
      <c r="F4405" s="394">
        <v>1.097</v>
      </c>
      <c r="G4405" s="394"/>
      <c r="H4405" s="8" t="s">
        <v>235</v>
      </c>
      <c r="I4405" s="368">
        <f t="shared" si="205"/>
        <v>0</v>
      </c>
      <c r="J4405" s="365">
        <f t="shared" si="204"/>
        <v>0</v>
      </c>
      <c r="K4405" s="369">
        <f t="shared" si="206"/>
        <v>6</v>
      </c>
      <c r="L4405" s="369">
        <f>+IF((C4405&gt;='Resultats - informe'!$E$16)*(C4405&lt;='Resultats - informe'!$G$16),1,0)</f>
        <v>1</v>
      </c>
      <c r="M4405" s="369" cm="1">
        <f t="array" ref="M4405">+_xlfn.IFS((C4405&gt;='Resultats - informe'!$D$26)*(C4405&lt;='Resultats - informe'!$E$26),0,(C4405&gt;='Resultats - informe'!$D$27)*(C4405&lt;='Resultats - informe'!$E$27),0,(C4405&gt;='Resultats - informe'!$D$28)*(C4405&lt;='Resultats - informe'!$E$28),0,(C4405&gt;='Resultats - informe'!$D$29)*(C4405&lt;='Resultats - informe'!$E$29),0,1,1)</f>
        <v>0</v>
      </c>
      <c r="N4405" s="366">
        <f>+VLOOKUP(D4405,'Resultats - informe'!$Y$18:$AG$42,'Introducció dades consum'!K4405+1,0)</f>
        <v>0</v>
      </c>
      <c r="O4405" s="370" cm="1">
        <f t="array" ref="O4405">+_xlfn.SWITCH(MONTH(C4405),1,1,2,1,3,1,4,2,5,2,6,3,7,3,8,3,9,3,10,2,11,2,12,1,2)</f>
        <v>1</v>
      </c>
      <c r="P4405" s="43"/>
    </row>
    <row r="4406" spans="1:16" ht="18" x14ac:dyDescent="0.35">
      <c r="A4406" s="43"/>
      <c r="C4406" s="393"/>
      <c r="E4406" s="394"/>
      <c r="F4406" s="394">
        <v>2.8039999999999998</v>
      </c>
      <c r="G4406" s="394"/>
      <c r="H4406" s="8" t="s">
        <v>235</v>
      </c>
      <c r="I4406" s="368">
        <f t="shared" si="205"/>
        <v>0</v>
      </c>
      <c r="J4406" s="365">
        <f t="shared" si="204"/>
        <v>0</v>
      </c>
      <c r="K4406" s="369">
        <f t="shared" si="206"/>
        <v>6</v>
      </c>
      <c r="L4406" s="369">
        <f>+IF((C4406&gt;='Resultats - informe'!$E$16)*(C4406&lt;='Resultats - informe'!$G$16),1,0)</f>
        <v>1</v>
      </c>
      <c r="M4406" s="369" cm="1">
        <f t="array" ref="M4406">+_xlfn.IFS((C4406&gt;='Resultats - informe'!$D$26)*(C4406&lt;='Resultats - informe'!$E$26),0,(C4406&gt;='Resultats - informe'!$D$27)*(C4406&lt;='Resultats - informe'!$E$27),0,(C4406&gt;='Resultats - informe'!$D$28)*(C4406&lt;='Resultats - informe'!$E$28),0,(C4406&gt;='Resultats - informe'!$D$29)*(C4406&lt;='Resultats - informe'!$E$29),0,1,1)</f>
        <v>0</v>
      </c>
      <c r="N4406" s="366">
        <f>+VLOOKUP(D4406,'Resultats - informe'!$Y$18:$AG$42,'Introducció dades consum'!K4406+1,0)</f>
        <v>0</v>
      </c>
      <c r="O4406" s="370" cm="1">
        <f t="array" ref="O4406">+_xlfn.SWITCH(MONTH(C4406),1,1,2,1,3,1,4,2,5,2,6,3,7,3,8,3,9,3,10,2,11,2,12,1,2)</f>
        <v>1</v>
      </c>
      <c r="P4406" s="43"/>
    </row>
    <row r="4407" spans="1:16" ht="18" x14ac:dyDescent="0.35">
      <c r="A4407" s="43"/>
      <c r="C4407" s="393"/>
      <c r="E4407" s="394"/>
      <c r="F4407" s="394">
        <v>4.0190000000000001</v>
      </c>
      <c r="G4407" s="394"/>
      <c r="H4407" s="8" t="s">
        <v>235</v>
      </c>
      <c r="I4407" s="368">
        <f t="shared" si="205"/>
        <v>0</v>
      </c>
      <c r="J4407" s="365">
        <f t="shared" si="204"/>
        <v>0</v>
      </c>
      <c r="K4407" s="369">
        <f t="shared" si="206"/>
        <v>6</v>
      </c>
      <c r="L4407" s="369">
        <f>+IF((C4407&gt;='Resultats - informe'!$E$16)*(C4407&lt;='Resultats - informe'!$G$16),1,0)</f>
        <v>1</v>
      </c>
      <c r="M4407" s="369" cm="1">
        <f t="array" ref="M4407">+_xlfn.IFS((C4407&gt;='Resultats - informe'!$D$26)*(C4407&lt;='Resultats - informe'!$E$26),0,(C4407&gt;='Resultats - informe'!$D$27)*(C4407&lt;='Resultats - informe'!$E$27),0,(C4407&gt;='Resultats - informe'!$D$28)*(C4407&lt;='Resultats - informe'!$E$28),0,(C4407&gt;='Resultats - informe'!$D$29)*(C4407&lt;='Resultats - informe'!$E$29),0,1,1)</f>
        <v>0</v>
      </c>
      <c r="N4407" s="366">
        <f>+VLOOKUP(D4407,'Resultats - informe'!$Y$18:$AG$42,'Introducció dades consum'!K4407+1,0)</f>
        <v>0</v>
      </c>
      <c r="O4407" s="370" cm="1">
        <f t="array" ref="O4407">+_xlfn.SWITCH(MONTH(C4407),1,1,2,1,3,1,4,2,5,2,6,3,7,3,8,3,9,3,10,2,11,2,12,1,2)</f>
        <v>1</v>
      </c>
      <c r="P4407" s="43"/>
    </row>
    <row r="4408" spans="1:16" ht="18" x14ac:dyDescent="0.35">
      <c r="A4408" s="43"/>
      <c r="C4408" s="393"/>
      <c r="E4408" s="394"/>
      <c r="F4408" s="394">
        <v>4.9740000000000002</v>
      </c>
      <c r="G4408" s="394"/>
      <c r="H4408" s="8" t="s">
        <v>235</v>
      </c>
      <c r="I4408" s="368">
        <f t="shared" si="205"/>
        <v>0</v>
      </c>
      <c r="J4408" s="365">
        <f t="shared" si="204"/>
        <v>0</v>
      </c>
      <c r="K4408" s="369">
        <f t="shared" si="206"/>
        <v>6</v>
      </c>
      <c r="L4408" s="369">
        <f>+IF((C4408&gt;='Resultats - informe'!$E$16)*(C4408&lt;='Resultats - informe'!$G$16),1,0)</f>
        <v>1</v>
      </c>
      <c r="M4408" s="369" cm="1">
        <f t="array" ref="M4408">+_xlfn.IFS((C4408&gt;='Resultats - informe'!$D$26)*(C4408&lt;='Resultats - informe'!$E$26),0,(C4408&gt;='Resultats - informe'!$D$27)*(C4408&lt;='Resultats - informe'!$E$27),0,(C4408&gt;='Resultats - informe'!$D$28)*(C4408&lt;='Resultats - informe'!$E$28),0,(C4408&gt;='Resultats - informe'!$D$29)*(C4408&lt;='Resultats - informe'!$E$29),0,1,1)</f>
        <v>0</v>
      </c>
      <c r="N4408" s="366">
        <f>+VLOOKUP(D4408,'Resultats - informe'!$Y$18:$AG$42,'Introducció dades consum'!K4408+1,0)</f>
        <v>0</v>
      </c>
      <c r="O4408" s="370" cm="1">
        <f t="array" ref="O4408">+_xlfn.SWITCH(MONTH(C4408),1,1,2,1,3,1,4,2,5,2,6,3,7,3,8,3,9,3,10,2,11,2,12,1,2)</f>
        <v>1</v>
      </c>
      <c r="P4408" s="43"/>
    </row>
    <row r="4409" spans="1:16" ht="18" x14ac:dyDescent="0.35">
      <c r="A4409" s="43"/>
      <c r="C4409" s="393"/>
      <c r="E4409" s="394"/>
      <c r="F4409" s="394">
        <v>3.871</v>
      </c>
      <c r="G4409" s="394"/>
      <c r="H4409" s="8" t="s">
        <v>235</v>
      </c>
      <c r="I4409" s="368">
        <f t="shared" si="205"/>
        <v>0</v>
      </c>
      <c r="J4409" s="365">
        <f t="shared" si="204"/>
        <v>0</v>
      </c>
      <c r="K4409" s="369">
        <f t="shared" si="206"/>
        <v>6</v>
      </c>
      <c r="L4409" s="369">
        <f>+IF((C4409&gt;='Resultats - informe'!$E$16)*(C4409&lt;='Resultats - informe'!$G$16),1,0)</f>
        <v>1</v>
      </c>
      <c r="M4409" s="369" cm="1">
        <f t="array" ref="M4409">+_xlfn.IFS((C4409&gt;='Resultats - informe'!$D$26)*(C4409&lt;='Resultats - informe'!$E$26),0,(C4409&gt;='Resultats - informe'!$D$27)*(C4409&lt;='Resultats - informe'!$E$27),0,(C4409&gt;='Resultats - informe'!$D$28)*(C4409&lt;='Resultats - informe'!$E$28),0,(C4409&gt;='Resultats - informe'!$D$29)*(C4409&lt;='Resultats - informe'!$E$29),0,1,1)</f>
        <v>0</v>
      </c>
      <c r="N4409" s="366">
        <f>+VLOOKUP(D4409,'Resultats - informe'!$Y$18:$AG$42,'Introducció dades consum'!K4409+1,0)</f>
        <v>0</v>
      </c>
      <c r="O4409" s="370" cm="1">
        <f t="array" ref="O4409">+_xlfn.SWITCH(MONTH(C4409),1,1,2,1,3,1,4,2,5,2,6,3,7,3,8,3,9,3,10,2,11,2,12,1,2)</f>
        <v>1</v>
      </c>
      <c r="P4409" s="43"/>
    </row>
    <row r="4410" spans="1:16" ht="18" x14ac:dyDescent="0.35">
      <c r="A4410" s="43"/>
      <c r="C4410" s="393"/>
      <c r="E4410" s="394"/>
      <c r="F4410" s="394">
        <v>0.36799999999999999</v>
      </c>
      <c r="G4410" s="394"/>
      <c r="H4410" s="8" t="s">
        <v>235</v>
      </c>
      <c r="I4410" s="368">
        <f t="shared" si="205"/>
        <v>0</v>
      </c>
      <c r="J4410" s="365">
        <f t="shared" si="204"/>
        <v>0</v>
      </c>
      <c r="K4410" s="369">
        <f t="shared" si="206"/>
        <v>6</v>
      </c>
      <c r="L4410" s="369">
        <f>+IF((C4410&gt;='Resultats - informe'!$E$16)*(C4410&lt;='Resultats - informe'!$G$16),1,0)</f>
        <v>1</v>
      </c>
      <c r="M4410" s="369" cm="1">
        <f t="array" ref="M4410">+_xlfn.IFS((C4410&gt;='Resultats - informe'!$D$26)*(C4410&lt;='Resultats - informe'!$E$26),0,(C4410&gt;='Resultats - informe'!$D$27)*(C4410&lt;='Resultats - informe'!$E$27),0,(C4410&gt;='Resultats - informe'!$D$28)*(C4410&lt;='Resultats - informe'!$E$28),0,(C4410&gt;='Resultats - informe'!$D$29)*(C4410&lt;='Resultats - informe'!$E$29),0,1,1)</f>
        <v>0</v>
      </c>
      <c r="N4410" s="366">
        <f>+VLOOKUP(D4410,'Resultats - informe'!$Y$18:$AG$42,'Introducció dades consum'!K4410+1,0)</f>
        <v>0</v>
      </c>
      <c r="O4410" s="370" cm="1">
        <f t="array" ref="O4410">+_xlfn.SWITCH(MONTH(C4410),1,1,2,1,3,1,4,2,5,2,6,3,7,3,8,3,9,3,10,2,11,2,12,1,2)</f>
        <v>1</v>
      </c>
      <c r="P4410" s="43"/>
    </row>
    <row r="4411" spans="1:16" ht="18" x14ac:dyDescent="0.35">
      <c r="A4411" s="43"/>
      <c r="C4411" s="393"/>
      <c r="E4411" s="394"/>
      <c r="F4411" s="394">
        <v>0</v>
      </c>
      <c r="G4411" s="394"/>
      <c r="H4411" s="8" t="s">
        <v>235</v>
      </c>
      <c r="I4411" s="368">
        <f t="shared" si="205"/>
        <v>0</v>
      </c>
      <c r="J4411" s="365">
        <f t="shared" ref="J4411:J4474" si="207">+C4411</f>
        <v>0</v>
      </c>
      <c r="K4411" s="369">
        <f t="shared" si="206"/>
        <v>6</v>
      </c>
      <c r="L4411" s="369">
        <f>+IF((C4411&gt;='Resultats - informe'!$E$16)*(C4411&lt;='Resultats - informe'!$G$16),1,0)</f>
        <v>1</v>
      </c>
      <c r="M4411" s="369" cm="1">
        <f t="array" ref="M4411">+_xlfn.IFS((C4411&gt;='Resultats - informe'!$D$26)*(C4411&lt;='Resultats - informe'!$E$26),0,(C4411&gt;='Resultats - informe'!$D$27)*(C4411&lt;='Resultats - informe'!$E$27),0,(C4411&gt;='Resultats - informe'!$D$28)*(C4411&lt;='Resultats - informe'!$E$28),0,(C4411&gt;='Resultats - informe'!$D$29)*(C4411&lt;='Resultats - informe'!$E$29),0,1,1)</f>
        <v>0</v>
      </c>
      <c r="N4411" s="366">
        <f>+VLOOKUP(D4411,'Resultats - informe'!$Y$18:$AG$42,'Introducció dades consum'!K4411+1,0)</f>
        <v>0</v>
      </c>
      <c r="O4411" s="370" cm="1">
        <f t="array" ref="O4411">+_xlfn.SWITCH(MONTH(C4411),1,1,2,1,3,1,4,2,5,2,6,3,7,3,8,3,9,3,10,2,11,2,12,1,2)</f>
        <v>1</v>
      </c>
      <c r="P4411" s="43"/>
    </row>
    <row r="4412" spans="1:16" ht="18" x14ac:dyDescent="0.35">
      <c r="A4412" s="43"/>
      <c r="C4412" s="393"/>
      <c r="E4412" s="394"/>
      <c r="F4412" s="394">
        <v>0</v>
      </c>
      <c r="G4412" s="394"/>
      <c r="H4412" s="8" t="s">
        <v>235</v>
      </c>
      <c r="I4412" s="368">
        <f t="shared" si="205"/>
        <v>0</v>
      </c>
      <c r="J4412" s="365">
        <f t="shared" si="207"/>
        <v>0</v>
      </c>
      <c r="K4412" s="369">
        <f t="shared" si="206"/>
        <v>6</v>
      </c>
      <c r="L4412" s="369">
        <f>+IF((C4412&gt;='Resultats - informe'!$E$16)*(C4412&lt;='Resultats - informe'!$G$16),1,0)</f>
        <v>1</v>
      </c>
      <c r="M4412" s="369" cm="1">
        <f t="array" ref="M4412">+_xlfn.IFS((C4412&gt;='Resultats - informe'!$D$26)*(C4412&lt;='Resultats - informe'!$E$26),0,(C4412&gt;='Resultats - informe'!$D$27)*(C4412&lt;='Resultats - informe'!$E$27),0,(C4412&gt;='Resultats - informe'!$D$28)*(C4412&lt;='Resultats - informe'!$E$28),0,(C4412&gt;='Resultats - informe'!$D$29)*(C4412&lt;='Resultats - informe'!$E$29),0,1,1)</f>
        <v>0</v>
      </c>
      <c r="N4412" s="366">
        <f>+VLOOKUP(D4412,'Resultats - informe'!$Y$18:$AG$42,'Introducció dades consum'!K4412+1,0)</f>
        <v>0</v>
      </c>
      <c r="O4412" s="370" cm="1">
        <f t="array" ref="O4412">+_xlfn.SWITCH(MONTH(C4412),1,1,2,1,3,1,4,2,5,2,6,3,7,3,8,3,9,3,10,2,11,2,12,1,2)</f>
        <v>1</v>
      </c>
      <c r="P4412" s="43"/>
    </row>
    <row r="4413" spans="1:16" ht="18" x14ac:dyDescent="0.35">
      <c r="A4413" s="43"/>
      <c r="C4413" s="393"/>
      <c r="E4413" s="394"/>
      <c r="F4413" s="394">
        <v>0</v>
      </c>
      <c r="G4413" s="394"/>
      <c r="H4413" s="8" t="s">
        <v>235</v>
      </c>
      <c r="I4413" s="368">
        <f t="shared" si="205"/>
        <v>0</v>
      </c>
      <c r="J4413" s="365">
        <f t="shared" si="207"/>
        <v>0</v>
      </c>
      <c r="K4413" s="369">
        <f t="shared" si="206"/>
        <v>6</v>
      </c>
      <c r="L4413" s="369">
        <f>+IF((C4413&gt;='Resultats - informe'!$E$16)*(C4413&lt;='Resultats - informe'!$G$16),1,0)</f>
        <v>1</v>
      </c>
      <c r="M4413" s="369" cm="1">
        <f t="array" ref="M4413">+_xlfn.IFS((C4413&gt;='Resultats - informe'!$D$26)*(C4413&lt;='Resultats - informe'!$E$26),0,(C4413&gt;='Resultats - informe'!$D$27)*(C4413&lt;='Resultats - informe'!$E$27),0,(C4413&gt;='Resultats - informe'!$D$28)*(C4413&lt;='Resultats - informe'!$E$28),0,(C4413&gt;='Resultats - informe'!$D$29)*(C4413&lt;='Resultats - informe'!$E$29),0,1,1)</f>
        <v>0</v>
      </c>
      <c r="N4413" s="366">
        <f>+VLOOKUP(D4413,'Resultats - informe'!$Y$18:$AG$42,'Introducció dades consum'!K4413+1,0)</f>
        <v>0</v>
      </c>
      <c r="O4413" s="370" cm="1">
        <f t="array" ref="O4413">+_xlfn.SWITCH(MONTH(C4413),1,1,2,1,3,1,4,2,5,2,6,3,7,3,8,3,9,3,10,2,11,2,12,1,2)</f>
        <v>1</v>
      </c>
      <c r="P4413" s="43"/>
    </row>
    <row r="4414" spans="1:16" ht="18" x14ac:dyDescent="0.35">
      <c r="A4414" s="43"/>
      <c r="C4414" s="393"/>
      <c r="E4414" s="394"/>
      <c r="F4414" s="394">
        <v>0</v>
      </c>
      <c r="G4414" s="394"/>
      <c r="H4414" s="8" t="s">
        <v>235</v>
      </c>
      <c r="I4414" s="368">
        <f t="shared" si="205"/>
        <v>0</v>
      </c>
      <c r="J4414" s="365">
        <f t="shared" si="207"/>
        <v>0</v>
      </c>
      <c r="K4414" s="369">
        <f t="shared" si="206"/>
        <v>6</v>
      </c>
      <c r="L4414" s="369">
        <f>+IF((C4414&gt;='Resultats - informe'!$E$16)*(C4414&lt;='Resultats - informe'!$G$16),1,0)</f>
        <v>1</v>
      </c>
      <c r="M4414" s="369" cm="1">
        <f t="array" ref="M4414">+_xlfn.IFS((C4414&gt;='Resultats - informe'!$D$26)*(C4414&lt;='Resultats - informe'!$E$26),0,(C4414&gt;='Resultats - informe'!$D$27)*(C4414&lt;='Resultats - informe'!$E$27),0,(C4414&gt;='Resultats - informe'!$D$28)*(C4414&lt;='Resultats - informe'!$E$28),0,(C4414&gt;='Resultats - informe'!$D$29)*(C4414&lt;='Resultats - informe'!$E$29),0,1,1)</f>
        <v>0</v>
      </c>
      <c r="N4414" s="366">
        <f>+VLOOKUP(D4414,'Resultats - informe'!$Y$18:$AG$42,'Introducció dades consum'!K4414+1,0)</f>
        <v>0</v>
      </c>
      <c r="O4414" s="370" cm="1">
        <f t="array" ref="O4414">+_xlfn.SWITCH(MONTH(C4414),1,1,2,1,3,1,4,2,5,2,6,3,7,3,8,3,9,3,10,2,11,2,12,1,2)</f>
        <v>1</v>
      </c>
      <c r="P4414" s="43"/>
    </row>
    <row r="4415" spans="1:16" ht="18" x14ac:dyDescent="0.35">
      <c r="A4415" s="43"/>
      <c r="C4415" s="393"/>
      <c r="E4415" s="394"/>
      <c r="F4415" s="394">
        <v>0</v>
      </c>
      <c r="G4415" s="394"/>
      <c r="H4415" s="8" t="s">
        <v>235</v>
      </c>
      <c r="I4415" s="368">
        <f t="shared" si="205"/>
        <v>0</v>
      </c>
      <c r="J4415" s="365">
        <f t="shared" si="207"/>
        <v>0</v>
      </c>
      <c r="K4415" s="369">
        <f t="shared" si="206"/>
        <v>6</v>
      </c>
      <c r="L4415" s="369">
        <f>+IF((C4415&gt;='Resultats - informe'!$E$16)*(C4415&lt;='Resultats - informe'!$G$16),1,0)</f>
        <v>1</v>
      </c>
      <c r="M4415" s="369" cm="1">
        <f t="array" ref="M4415">+_xlfn.IFS((C4415&gt;='Resultats - informe'!$D$26)*(C4415&lt;='Resultats - informe'!$E$26),0,(C4415&gt;='Resultats - informe'!$D$27)*(C4415&lt;='Resultats - informe'!$E$27),0,(C4415&gt;='Resultats - informe'!$D$28)*(C4415&lt;='Resultats - informe'!$E$28),0,(C4415&gt;='Resultats - informe'!$D$29)*(C4415&lt;='Resultats - informe'!$E$29),0,1,1)</f>
        <v>0</v>
      </c>
      <c r="N4415" s="366">
        <f>+VLOOKUP(D4415,'Resultats - informe'!$Y$18:$AG$42,'Introducció dades consum'!K4415+1,0)</f>
        <v>0</v>
      </c>
      <c r="O4415" s="370" cm="1">
        <f t="array" ref="O4415">+_xlfn.SWITCH(MONTH(C4415),1,1,2,1,3,1,4,2,5,2,6,3,7,3,8,3,9,3,10,2,11,2,12,1,2)</f>
        <v>1</v>
      </c>
      <c r="P4415" s="43"/>
    </row>
    <row r="4416" spans="1:16" ht="18" x14ac:dyDescent="0.35">
      <c r="A4416" s="43"/>
      <c r="C4416" s="393"/>
      <c r="E4416" s="394"/>
      <c r="F4416" s="394">
        <v>0</v>
      </c>
      <c r="G4416" s="394"/>
      <c r="H4416" s="8" t="s">
        <v>235</v>
      </c>
      <c r="I4416" s="368">
        <f t="shared" si="205"/>
        <v>0</v>
      </c>
      <c r="J4416" s="365">
        <f t="shared" si="207"/>
        <v>0</v>
      </c>
      <c r="K4416" s="369">
        <f t="shared" si="206"/>
        <v>6</v>
      </c>
      <c r="L4416" s="369">
        <f>+IF((C4416&gt;='Resultats - informe'!$E$16)*(C4416&lt;='Resultats - informe'!$G$16),1,0)</f>
        <v>1</v>
      </c>
      <c r="M4416" s="369" cm="1">
        <f t="array" ref="M4416">+_xlfn.IFS((C4416&gt;='Resultats - informe'!$D$26)*(C4416&lt;='Resultats - informe'!$E$26),0,(C4416&gt;='Resultats - informe'!$D$27)*(C4416&lt;='Resultats - informe'!$E$27),0,(C4416&gt;='Resultats - informe'!$D$28)*(C4416&lt;='Resultats - informe'!$E$28),0,(C4416&gt;='Resultats - informe'!$D$29)*(C4416&lt;='Resultats - informe'!$E$29),0,1,1)</f>
        <v>0</v>
      </c>
      <c r="N4416" s="366">
        <f>+VLOOKUP(D4416,'Resultats - informe'!$Y$18:$AG$42,'Introducció dades consum'!K4416+1,0)</f>
        <v>0</v>
      </c>
      <c r="O4416" s="370" cm="1">
        <f t="array" ref="O4416">+_xlfn.SWITCH(MONTH(C4416),1,1,2,1,3,1,4,2,5,2,6,3,7,3,8,3,9,3,10,2,11,2,12,1,2)</f>
        <v>1</v>
      </c>
      <c r="P4416" s="43"/>
    </row>
    <row r="4417" spans="1:16" ht="18" x14ac:dyDescent="0.35">
      <c r="A4417" s="43"/>
      <c r="C4417" s="393"/>
      <c r="E4417" s="394"/>
      <c r="F4417" s="394">
        <v>0</v>
      </c>
      <c r="G4417" s="394"/>
      <c r="H4417" s="8" t="s">
        <v>235</v>
      </c>
      <c r="I4417" s="368">
        <f t="shared" si="205"/>
        <v>0</v>
      </c>
      <c r="J4417" s="365">
        <f t="shared" si="207"/>
        <v>0</v>
      </c>
      <c r="K4417" s="369">
        <f t="shared" si="206"/>
        <v>6</v>
      </c>
      <c r="L4417" s="369">
        <f>+IF((C4417&gt;='Resultats - informe'!$E$16)*(C4417&lt;='Resultats - informe'!$G$16),1,0)</f>
        <v>1</v>
      </c>
      <c r="M4417" s="369" cm="1">
        <f t="array" ref="M4417">+_xlfn.IFS((C4417&gt;='Resultats - informe'!$D$26)*(C4417&lt;='Resultats - informe'!$E$26),0,(C4417&gt;='Resultats - informe'!$D$27)*(C4417&lt;='Resultats - informe'!$E$27),0,(C4417&gt;='Resultats - informe'!$D$28)*(C4417&lt;='Resultats - informe'!$E$28),0,(C4417&gt;='Resultats - informe'!$D$29)*(C4417&lt;='Resultats - informe'!$E$29),0,1,1)</f>
        <v>0</v>
      </c>
      <c r="N4417" s="366">
        <f>+VLOOKUP(D4417,'Resultats - informe'!$Y$18:$AG$42,'Introducció dades consum'!K4417+1,0)</f>
        <v>0</v>
      </c>
      <c r="O4417" s="370" cm="1">
        <f t="array" ref="O4417">+_xlfn.SWITCH(MONTH(C4417),1,1,2,1,3,1,4,2,5,2,6,3,7,3,8,3,9,3,10,2,11,2,12,1,2)</f>
        <v>1</v>
      </c>
      <c r="P4417" s="43"/>
    </row>
    <row r="4418" spans="1:16" ht="18" x14ac:dyDescent="0.35">
      <c r="A4418" s="43"/>
      <c r="C4418" s="393"/>
      <c r="E4418" s="394"/>
      <c r="F4418" s="394">
        <v>0</v>
      </c>
      <c r="G4418" s="394"/>
      <c r="H4418" s="8" t="s">
        <v>235</v>
      </c>
      <c r="I4418" s="368">
        <f t="shared" si="205"/>
        <v>0</v>
      </c>
      <c r="J4418" s="365">
        <f t="shared" si="207"/>
        <v>0</v>
      </c>
      <c r="K4418" s="369">
        <f t="shared" si="206"/>
        <v>6</v>
      </c>
      <c r="L4418" s="369">
        <f>+IF((C4418&gt;='Resultats - informe'!$E$16)*(C4418&lt;='Resultats - informe'!$G$16),1,0)</f>
        <v>1</v>
      </c>
      <c r="M4418" s="369" cm="1">
        <f t="array" ref="M4418">+_xlfn.IFS((C4418&gt;='Resultats - informe'!$D$26)*(C4418&lt;='Resultats - informe'!$E$26),0,(C4418&gt;='Resultats - informe'!$D$27)*(C4418&lt;='Resultats - informe'!$E$27),0,(C4418&gt;='Resultats - informe'!$D$28)*(C4418&lt;='Resultats - informe'!$E$28),0,(C4418&gt;='Resultats - informe'!$D$29)*(C4418&lt;='Resultats - informe'!$E$29),0,1,1)</f>
        <v>0</v>
      </c>
      <c r="N4418" s="366">
        <f>+VLOOKUP(D4418,'Resultats - informe'!$Y$18:$AG$42,'Introducció dades consum'!K4418+1,0)</f>
        <v>0</v>
      </c>
      <c r="O4418" s="370" cm="1">
        <f t="array" ref="O4418">+_xlfn.SWITCH(MONTH(C4418),1,1,2,1,3,1,4,2,5,2,6,3,7,3,8,3,9,3,10,2,11,2,12,1,2)</f>
        <v>1</v>
      </c>
      <c r="P4418" s="43"/>
    </row>
    <row r="4419" spans="1:16" ht="18" x14ac:dyDescent="0.35">
      <c r="A4419" s="43"/>
      <c r="C4419" s="393"/>
      <c r="E4419" s="394"/>
      <c r="F4419" s="394">
        <v>0</v>
      </c>
      <c r="G4419" s="394"/>
      <c r="H4419" s="8" t="s">
        <v>235</v>
      </c>
      <c r="I4419" s="368">
        <f t="shared" si="205"/>
        <v>0</v>
      </c>
      <c r="J4419" s="365">
        <f t="shared" si="207"/>
        <v>0</v>
      </c>
      <c r="K4419" s="369">
        <f t="shared" si="206"/>
        <v>6</v>
      </c>
      <c r="L4419" s="369">
        <f>+IF((C4419&gt;='Resultats - informe'!$E$16)*(C4419&lt;='Resultats - informe'!$G$16),1,0)</f>
        <v>1</v>
      </c>
      <c r="M4419" s="369" cm="1">
        <f t="array" ref="M4419">+_xlfn.IFS((C4419&gt;='Resultats - informe'!$D$26)*(C4419&lt;='Resultats - informe'!$E$26),0,(C4419&gt;='Resultats - informe'!$D$27)*(C4419&lt;='Resultats - informe'!$E$27),0,(C4419&gt;='Resultats - informe'!$D$28)*(C4419&lt;='Resultats - informe'!$E$28),0,(C4419&gt;='Resultats - informe'!$D$29)*(C4419&lt;='Resultats - informe'!$E$29),0,1,1)</f>
        <v>0</v>
      </c>
      <c r="N4419" s="366">
        <f>+VLOOKUP(D4419,'Resultats - informe'!$Y$18:$AG$42,'Introducció dades consum'!K4419+1,0)</f>
        <v>0</v>
      </c>
      <c r="O4419" s="370" cm="1">
        <f t="array" ref="O4419">+_xlfn.SWITCH(MONTH(C4419),1,1,2,1,3,1,4,2,5,2,6,3,7,3,8,3,9,3,10,2,11,2,12,1,2)</f>
        <v>1</v>
      </c>
      <c r="P4419" s="43"/>
    </row>
    <row r="4420" spans="1:16" ht="18" x14ac:dyDescent="0.35">
      <c r="A4420" s="43"/>
      <c r="C4420" s="393"/>
      <c r="E4420" s="394"/>
      <c r="F4420" s="394">
        <v>0</v>
      </c>
      <c r="G4420" s="394"/>
      <c r="H4420" s="8" t="s">
        <v>235</v>
      </c>
      <c r="I4420" s="368">
        <f t="shared" si="205"/>
        <v>0</v>
      </c>
      <c r="J4420" s="365">
        <f t="shared" si="207"/>
        <v>0</v>
      </c>
      <c r="K4420" s="369">
        <f t="shared" si="206"/>
        <v>6</v>
      </c>
      <c r="L4420" s="369">
        <f>+IF((C4420&gt;='Resultats - informe'!$E$16)*(C4420&lt;='Resultats - informe'!$G$16),1,0)</f>
        <v>1</v>
      </c>
      <c r="M4420" s="369" cm="1">
        <f t="array" ref="M4420">+_xlfn.IFS((C4420&gt;='Resultats - informe'!$D$26)*(C4420&lt;='Resultats - informe'!$E$26),0,(C4420&gt;='Resultats - informe'!$D$27)*(C4420&lt;='Resultats - informe'!$E$27),0,(C4420&gt;='Resultats - informe'!$D$28)*(C4420&lt;='Resultats - informe'!$E$28),0,(C4420&gt;='Resultats - informe'!$D$29)*(C4420&lt;='Resultats - informe'!$E$29),0,1,1)</f>
        <v>0</v>
      </c>
      <c r="N4420" s="366">
        <f>+VLOOKUP(D4420,'Resultats - informe'!$Y$18:$AG$42,'Introducció dades consum'!K4420+1,0)</f>
        <v>0</v>
      </c>
      <c r="O4420" s="370" cm="1">
        <f t="array" ref="O4420">+_xlfn.SWITCH(MONTH(C4420),1,1,2,1,3,1,4,2,5,2,6,3,7,3,8,3,9,3,10,2,11,2,12,1,2)</f>
        <v>1</v>
      </c>
      <c r="P4420" s="43"/>
    </row>
    <row r="4421" spans="1:16" ht="18" x14ac:dyDescent="0.35">
      <c r="A4421" s="43"/>
      <c r="C4421" s="393"/>
      <c r="E4421" s="394"/>
      <c r="F4421" s="394">
        <v>0</v>
      </c>
      <c r="G4421" s="394"/>
      <c r="H4421" s="8" t="s">
        <v>235</v>
      </c>
      <c r="I4421" s="368">
        <f t="shared" si="205"/>
        <v>0</v>
      </c>
      <c r="J4421" s="365">
        <f t="shared" si="207"/>
        <v>0</v>
      </c>
      <c r="K4421" s="369">
        <f t="shared" si="206"/>
        <v>6</v>
      </c>
      <c r="L4421" s="369">
        <f>+IF((C4421&gt;='Resultats - informe'!$E$16)*(C4421&lt;='Resultats - informe'!$G$16),1,0)</f>
        <v>1</v>
      </c>
      <c r="M4421" s="369" cm="1">
        <f t="array" ref="M4421">+_xlfn.IFS((C4421&gt;='Resultats - informe'!$D$26)*(C4421&lt;='Resultats - informe'!$E$26),0,(C4421&gt;='Resultats - informe'!$D$27)*(C4421&lt;='Resultats - informe'!$E$27),0,(C4421&gt;='Resultats - informe'!$D$28)*(C4421&lt;='Resultats - informe'!$E$28),0,(C4421&gt;='Resultats - informe'!$D$29)*(C4421&lt;='Resultats - informe'!$E$29),0,1,1)</f>
        <v>0</v>
      </c>
      <c r="N4421" s="366">
        <f>+VLOOKUP(D4421,'Resultats - informe'!$Y$18:$AG$42,'Introducció dades consum'!K4421+1,0)</f>
        <v>0</v>
      </c>
      <c r="O4421" s="370" cm="1">
        <f t="array" ref="O4421">+_xlfn.SWITCH(MONTH(C4421),1,1,2,1,3,1,4,2,5,2,6,3,7,3,8,3,9,3,10,2,11,2,12,1,2)</f>
        <v>1</v>
      </c>
      <c r="P4421" s="43"/>
    </row>
    <row r="4422" spans="1:16" ht="18" x14ac:dyDescent="0.35">
      <c r="A4422" s="43"/>
      <c r="C4422" s="393"/>
      <c r="E4422" s="394"/>
      <c r="F4422" s="394">
        <v>0</v>
      </c>
      <c r="G4422" s="394"/>
      <c r="H4422" s="8" t="s">
        <v>235</v>
      </c>
      <c r="I4422" s="368">
        <f t="shared" ref="I4422:I4485" si="208">+E4422+G4422</f>
        <v>0</v>
      </c>
      <c r="J4422" s="365">
        <f t="shared" si="207"/>
        <v>0</v>
      </c>
      <c r="K4422" s="369">
        <f t="shared" ref="K4422:K4485" si="209">+WEEKDAY(C4422,2)</f>
        <v>6</v>
      </c>
      <c r="L4422" s="369">
        <f>+IF((C4422&gt;='Resultats - informe'!$E$16)*(C4422&lt;='Resultats - informe'!$G$16),1,0)</f>
        <v>1</v>
      </c>
      <c r="M4422" s="369" cm="1">
        <f t="array" ref="M4422">+_xlfn.IFS((C4422&gt;='Resultats - informe'!$D$26)*(C4422&lt;='Resultats - informe'!$E$26),0,(C4422&gt;='Resultats - informe'!$D$27)*(C4422&lt;='Resultats - informe'!$E$27),0,(C4422&gt;='Resultats - informe'!$D$28)*(C4422&lt;='Resultats - informe'!$E$28),0,(C4422&gt;='Resultats - informe'!$D$29)*(C4422&lt;='Resultats - informe'!$E$29),0,1,1)</f>
        <v>0</v>
      </c>
      <c r="N4422" s="366">
        <f>+VLOOKUP(D4422,'Resultats - informe'!$Y$18:$AG$42,'Introducció dades consum'!K4422+1,0)</f>
        <v>0</v>
      </c>
      <c r="O4422" s="370" cm="1">
        <f t="array" ref="O4422">+_xlfn.SWITCH(MONTH(C4422),1,1,2,1,3,1,4,2,5,2,6,3,7,3,8,3,9,3,10,2,11,2,12,1,2)</f>
        <v>1</v>
      </c>
      <c r="P4422" s="43"/>
    </row>
    <row r="4423" spans="1:16" ht="18" x14ac:dyDescent="0.35">
      <c r="A4423" s="43"/>
      <c r="C4423" s="393"/>
      <c r="E4423" s="394"/>
      <c r="F4423" s="394">
        <v>0</v>
      </c>
      <c r="G4423" s="394"/>
      <c r="H4423" s="8" t="s">
        <v>235</v>
      </c>
      <c r="I4423" s="368">
        <f t="shared" si="208"/>
        <v>0</v>
      </c>
      <c r="J4423" s="365">
        <f t="shared" si="207"/>
        <v>0</v>
      </c>
      <c r="K4423" s="369">
        <f t="shared" si="209"/>
        <v>6</v>
      </c>
      <c r="L4423" s="369">
        <f>+IF((C4423&gt;='Resultats - informe'!$E$16)*(C4423&lt;='Resultats - informe'!$G$16),1,0)</f>
        <v>1</v>
      </c>
      <c r="M4423" s="369" cm="1">
        <f t="array" ref="M4423">+_xlfn.IFS((C4423&gt;='Resultats - informe'!$D$26)*(C4423&lt;='Resultats - informe'!$E$26),0,(C4423&gt;='Resultats - informe'!$D$27)*(C4423&lt;='Resultats - informe'!$E$27),0,(C4423&gt;='Resultats - informe'!$D$28)*(C4423&lt;='Resultats - informe'!$E$28),0,(C4423&gt;='Resultats - informe'!$D$29)*(C4423&lt;='Resultats - informe'!$E$29),0,1,1)</f>
        <v>0</v>
      </c>
      <c r="N4423" s="366">
        <f>+VLOOKUP(D4423,'Resultats - informe'!$Y$18:$AG$42,'Introducció dades consum'!K4423+1,0)</f>
        <v>0</v>
      </c>
      <c r="O4423" s="370" cm="1">
        <f t="array" ref="O4423">+_xlfn.SWITCH(MONTH(C4423),1,1,2,1,3,1,4,2,5,2,6,3,7,3,8,3,9,3,10,2,11,2,12,1,2)</f>
        <v>1</v>
      </c>
      <c r="P4423" s="43"/>
    </row>
    <row r="4424" spans="1:16" ht="18" x14ac:dyDescent="0.35">
      <c r="A4424" s="43"/>
      <c r="C4424" s="393"/>
      <c r="E4424" s="394"/>
      <c r="F4424" s="394">
        <v>0</v>
      </c>
      <c r="G4424" s="394"/>
      <c r="H4424" s="8" t="s">
        <v>235</v>
      </c>
      <c r="I4424" s="368">
        <f t="shared" si="208"/>
        <v>0</v>
      </c>
      <c r="J4424" s="365">
        <f t="shared" si="207"/>
        <v>0</v>
      </c>
      <c r="K4424" s="369">
        <f t="shared" si="209"/>
        <v>6</v>
      </c>
      <c r="L4424" s="369">
        <f>+IF((C4424&gt;='Resultats - informe'!$E$16)*(C4424&lt;='Resultats - informe'!$G$16),1,0)</f>
        <v>1</v>
      </c>
      <c r="M4424" s="369" cm="1">
        <f t="array" ref="M4424">+_xlfn.IFS((C4424&gt;='Resultats - informe'!$D$26)*(C4424&lt;='Resultats - informe'!$E$26),0,(C4424&gt;='Resultats - informe'!$D$27)*(C4424&lt;='Resultats - informe'!$E$27),0,(C4424&gt;='Resultats - informe'!$D$28)*(C4424&lt;='Resultats - informe'!$E$28),0,(C4424&gt;='Resultats - informe'!$D$29)*(C4424&lt;='Resultats - informe'!$E$29),0,1,1)</f>
        <v>0</v>
      </c>
      <c r="N4424" s="366">
        <f>+VLOOKUP(D4424,'Resultats - informe'!$Y$18:$AG$42,'Introducció dades consum'!K4424+1,0)</f>
        <v>0</v>
      </c>
      <c r="O4424" s="370" cm="1">
        <f t="array" ref="O4424">+_xlfn.SWITCH(MONTH(C4424),1,1,2,1,3,1,4,2,5,2,6,3,7,3,8,3,9,3,10,2,11,2,12,1,2)</f>
        <v>1</v>
      </c>
      <c r="P4424" s="43"/>
    </row>
    <row r="4425" spans="1:16" ht="18" x14ac:dyDescent="0.35">
      <c r="A4425" s="43"/>
      <c r="C4425" s="393"/>
      <c r="E4425" s="394"/>
      <c r="F4425" s="394">
        <v>0</v>
      </c>
      <c r="G4425" s="394"/>
      <c r="H4425" s="8" t="s">
        <v>235</v>
      </c>
      <c r="I4425" s="368">
        <f t="shared" si="208"/>
        <v>0</v>
      </c>
      <c r="J4425" s="365">
        <f t="shared" si="207"/>
        <v>0</v>
      </c>
      <c r="K4425" s="369">
        <f t="shared" si="209"/>
        <v>6</v>
      </c>
      <c r="L4425" s="369">
        <f>+IF((C4425&gt;='Resultats - informe'!$E$16)*(C4425&lt;='Resultats - informe'!$G$16),1,0)</f>
        <v>1</v>
      </c>
      <c r="M4425" s="369" cm="1">
        <f t="array" ref="M4425">+_xlfn.IFS((C4425&gt;='Resultats - informe'!$D$26)*(C4425&lt;='Resultats - informe'!$E$26),0,(C4425&gt;='Resultats - informe'!$D$27)*(C4425&lt;='Resultats - informe'!$E$27),0,(C4425&gt;='Resultats - informe'!$D$28)*(C4425&lt;='Resultats - informe'!$E$28),0,(C4425&gt;='Resultats - informe'!$D$29)*(C4425&lt;='Resultats - informe'!$E$29),0,1,1)</f>
        <v>0</v>
      </c>
      <c r="N4425" s="366">
        <f>+VLOOKUP(D4425,'Resultats - informe'!$Y$18:$AG$42,'Introducció dades consum'!K4425+1,0)</f>
        <v>0</v>
      </c>
      <c r="O4425" s="370" cm="1">
        <f t="array" ref="O4425">+_xlfn.SWITCH(MONTH(C4425),1,1,2,1,3,1,4,2,5,2,6,3,7,3,8,3,9,3,10,2,11,2,12,1,2)</f>
        <v>1</v>
      </c>
      <c r="P4425" s="43"/>
    </row>
    <row r="4426" spans="1:16" ht="18" x14ac:dyDescent="0.35">
      <c r="A4426" s="43"/>
      <c r="C4426" s="393"/>
      <c r="E4426" s="394"/>
      <c r="F4426" s="394">
        <v>0</v>
      </c>
      <c r="G4426" s="394"/>
      <c r="H4426" s="8" t="s">
        <v>235</v>
      </c>
      <c r="I4426" s="368">
        <f t="shared" si="208"/>
        <v>0</v>
      </c>
      <c r="J4426" s="365">
        <f t="shared" si="207"/>
        <v>0</v>
      </c>
      <c r="K4426" s="369">
        <f t="shared" si="209"/>
        <v>6</v>
      </c>
      <c r="L4426" s="369">
        <f>+IF((C4426&gt;='Resultats - informe'!$E$16)*(C4426&lt;='Resultats - informe'!$G$16),1,0)</f>
        <v>1</v>
      </c>
      <c r="M4426" s="369" cm="1">
        <f t="array" ref="M4426">+_xlfn.IFS((C4426&gt;='Resultats - informe'!$D$26)*(C4426&lt;='Resultats - informe'!$E$26),0,(C4426&gt;='Resultats - informe'!$D$27)*(C4426&lt;='Resultats - informe'!$E$27),0,(C4426&gt;='Resultats - informe'!$D$28)*(C4426&lt;='Resultats - informe'!$E$28),0,(C4426&gt;='Resultats - informe'!$D$29)*(C4426&lt;='Resultats - informe'!$E$29),0,1,1)</f>
        <v>0</v>
      </c>
      <c r="N4426" s="366">
        <f>+VLOOKUP(D4426,'Resultats - informe'!$Y$18:$AG$42,'Introducció dades consum'!K4426+1,0)</f>
        <v>0</v>
      </c>
      <c r="O4426" s="370" cm="1">
        <f t="array" ref="O4426">+_xlfn.SWITCH(MONTH(C4426),1,1,2,1,3,1,4,2,5,2,6,3,7,3,8,3,9,3,10,2,11,2,12,1,2)</f>
        <v>1</v>
      </c>
      <c r="P4426" s="43"/>
    </row>
    <row r="4427" spans="1:16" ht="18" x14ac:dyDescent="0.35">
      <c r="A4427" s="43"/>
      <c r="C4427" s="393"/>
      <c r="E4427" s="394"/>
      <c r="F4427" s="394">
        <v>0</v>
      </c>
      <c r="G4427" s="394"/>
      <c r="H4427" s="8" t="s">
        <v>235</v>
      </c>
      <c r="I4427" s="368">
        <f t="shared" si="208"/>
        <v>0</v>
      </c>
      <c r="J4427" s="365">
        <f t="shared" si="207"/>
        <v>0</v>
      </c>
      <c r="K4427" s="369">
        <f t="shared" si="209"/>
        <v>6</v>
      </c>
      <c r="L4427" s="369">
        <f>+IF((C4427&gt;='Resultats - informe'!$E$16)*(C4427&lt;='Resultats - informe'!$G$16),1,0)</f>
        <v>1</v>
      </c>
      <c r="M4427" s="369" cm="1">
        <f t="array" ref="M4427">+_xlfn.IFS((C4427&gt;='Resultats - informe'!$D$26)*(C4427&lt;='Resultats - informe'!$E$26),0,(C4427&gt;='Resultats - informe'!$D$27)*(C4427&lt;='Resultats - informe'!$E$27),0,(C4427&gt;='Resultats - informe'!$D$28)*(C4427&lt;='Resultats - informe'!$E$28),0,(C4427&gt;='Resultats - informe'!$D$29)*(C4427&lt;='Resultats - informe'!$E$29),0,1,1)</f>
        <v>0</v>
      </c>
      <c r="N4427" s="366">
        <f>+VLOOKUP(D4427,'Resultats - informe'!$Y$18:$AG$42,'Introducció dades consum'!K4427+1,0)</f>
        <v>0</v>
      </c>
      <c r="O4427" s="370" cm="1">
        <f t="array" ref="O4427">+_xlfn.SWITCH(MONTH(C4427),1,1,2,1,3,1,4,2,5,2,6,3,7,3,8,3,9,3,10,2,11,2,12,1,2)</f>
        <v>1</v>
      </c>
      <c r="P4427" s="43"/>
    </row>
    <row r="4428" spans="1:16" ht="18" x14ac:dyDescent="0.35">
      <c r="A4428" s="43"/>
      <c r="C4428" s="393"/>
      <c r="E4428" s="394"/>
      <c r="F4428" s="394">
        <v>0</v>
      </c>
      <c r="G4428" s="394"/>
      <c r="H4428" s="8" t="s">
        <v>235</v>
      </c>
      <c r="I4428" s="368">
        <f t="shared" si="208"/>
        <v>0</v>
      </c>
      <c r="J4428" s="365">
        <f t="shared" si="207"/>
        <v>0</v>
      </c>
      <c r="K4428" s="369">
        <f t="shared" si="209"/>
        <v>6</v>
      </c>
      <c r="L4428" s="369">
        <f>+IF((C4428&gt;='Resultats - informe'!$E$16)*(C4428&lt;='Resultats - informe'!$G$16),1,0)</f>
        <v>1</v>
      </c>
      <c r="M4428" s="369" cm="1">
        <f t="array" ref="M4428">+_xlfn.IFS((C4428&gt;='Resultats - informe'!$D$26)*(C4428&lt;='Resultats - informe'!$E$26),0,(C4428&gt;='Resultats - informe'!$D$27)*(C4428&lt;='Resultats - informe'!$E$27),0,(C4428&gt;='Resultats - informe'!$D$28)*(C4428&lt;='Resultats - informe'!$E$28),0,(C4428&gt;='Resultats - informe'!$D$29)*(C4428&lt;='Resultats - informe'!$E$29),0,1,1)</f>
        <v>0</v>
      </c>
      <c r="N4428" s="366">
        <f>+VLOOKUP(D4428,'Resultats - informe'!$Y$18:$AG$42,'Introducció dades consum'!K4428+1,0)</f>
        <v>0</v>
      </c>
      <c r="O4428" s="370" cm="1">
        <f t="array" ref="O4428">+_xlfn.SWITCH(MONTH(C4428),1,1,2,1,3,1,4,2,5,2,6,3,7,3,8,3,9,3,10,2,11,2,12,1,2)</f>
        <v>1</v>
      </c>
      <c r="P4428" s="43"/>
    </row>
    <row r="4429" spans="1:16" ht="18" x14ac:dyDescent="0.35">
      <c r="A4429" s="43"/>
      <c r="C4429" s="393"/>
      <c r="E4429" s="394"/>
      <c r="F4429" s="394">
        <v>1.1060000000000001</v>
      </c>
      <c r="G4429" s="394"/>
      <c r="H4429" s="8" t="s">
        <v>235</v>
      </c>
      <c r="I4429" s="368">
        <f t="shared" si="208"/>
        <v>0</v>
      </c>
      <c r="J4429" s="365">
        <f t="shared" si="207"/>
        <v>0</v>
      </c>
      <c r="K4429" s="369">
        <f t="shared" si="209"/>
        <v>6</v>
      </c>
      <c r="L4429" s="369">
        <f>+IF((C4429&gt;='Resultats - informe'!$E$16)*(C4429&lt;='Resultats - informe'!$G$16),1,0)</f>
        <v>1</v>
      </c>
      <c r="M4429" s="369" cm="1">
        <f t="array" ref="M4429">+_xlfn.IFS((C4429&gt;='Resultats - informe'!$D$26)*(C4429&lt;='Resultats - informe'!$E$26),0,(C4429&gt;='Resultats - informe'!$D$27)*(C4429&lt;='Resultats - informe'!$E$27),0,(C4429&gt;='Resultats - informe'!$D$28)*(C4429&lt;='Resultats - informe'!$E$28),0,(C4429&gt;='Resultats - informe'!$D$29)*(C4429&lt;='Resultats - informe'!$E$29),0,1,1)</f>
        <v>0</v>
      </c>
      <c r="N4429" s="366">
        <f>+VLOOKUP(D4429,'Resultats - informe'!$Y$18:$AG$42,'Introducció dades consum'!K4429+1,0)</f>
        <v>0</v>
      </c>
      <c r="O4429" s="370" cm="1">
        <f t="array" ref="O4429">+_xlfn.SWITCH(MONTH(C4429),1,1,2,1,3,1,4,2,5,2,6,3,7,3,8,3,9,3,10,2,11,2,12,1,2)</f>
        <v>1</v>
      </c>
      <c r="P4429" s="43"/>
    </row>
    <row r="4430" spans="1:16" ht="18" x14ac:dyDescent="0.35">
      <c r="A4430" s="43"/>
      <c r="C4430" s="393"/>
      <c r="E4430" s="394"/>
      <c r="F4430" s="394">
        <v>3.0619999999999998</v>
      </c>
      <c r="G4430" s="394"/>
      <c r="H4430" s="8" t="s">
        <v>235</v>
      </c>
      <c r="I4430" s="368">
        <f t="shared" si="208"/>
        <v>0</v>
      </c>
      <c r="J4430" s="365">
        <f t="shared" si="207"/>
        <v>0</v>
      </c>
      <c r="K4430" s="369">
        <f t="shared" si="209"/>
        <v>6</v>
      </c>
      <c r="L4430" s="369">
        <f>+IF((C4430&gt;='Resultats - informe'!$E$16)*(C4430&lt;='Resultats - informe'!$G$16),1,0)</f>
        <v>1</v>
      </c>
      <c r="M4430" s="369" cm="1">
        <f t="array" ref="M4430">+_xlfn.IFS((C4430&gt;='Resultats - informe'!$D$26)*(C4430&lt;='Resultats - informe'!$E$26),0,(C4430&gt;='Resultats - informe'!$D$27)*(C4430&lt;='Resultats - informe'!$E$27),0,(C4430&gt;='Resultats - informe'!$D$28)*(C4430&lt;='Resultats - informe'!$E$28),0,(C4430&gt;='Resultats - informe'!$D$29)*(C4430&lt;='Resultats - informe'!$E$29),0,1,1)</f>
        <v>0</v>
      </c>
      <c r="N4430" s="366">
        <f>+VLOOKUP(D4430,'Resultats - informe'!$Y$18:$AG$42,'Introducció dades consum'!K4430+1,0)</f>
        <v>0</v>
      </c>
      <c r="O4430" s="370" cm="1">
        <f t="array" ref="O4430">+_xlfn.SWITCH(MONTH(C4430),1,1,2,1,3,1,4,2,5,2,6,3,7,3,8,3,9,3,10,2,11,2,12,1,2)</f>
        <v>1</v>
      </c>
      <c r="P4430" s="43"/>
    </row>
    <row r="4431" spans="1:16" ht="18" x14ac:dyDescent="0.35">
      <c r="A4431" s="43"/>
      <c r="C4431" s="393"/>
      <c r="E4431" s="394"/>
      <c r="F4431" s="394">
        <v>3.9460000000000002</v>
      </c>
      <c r="G4431" s="394"/>
      <c r="H4431" s="8" t="s">
        <v>235</v>
      </c>
      <c r="I4431" s="368">
        <f t="shared" si="208"/>
        <v>0</v>
      </c>
      <c r="J4431" s="365">
        <f t="shared" si="207"/>
        <v>0</v>
      </c>
      <c r="K4431" s="369">
        <f t="shared" si="209"/>
        <v>6</v>
      </c>
      <c r="L4431" s="369">
        <f>+IF((C4431&gt;='Resultats - informe'!$E$16)*(C4431&lt;='Resultats - informe'!$G$16),1,0)</f>
        <v>1</v>
      </c>
      <c r="M4431" s="369" cm="1">
        <f t="array" ref="M4431">+_xlfn.IFS((C4431&gt;='Resultats - informe'!$D$26)*(C4431&lt;='Resultats - informe'!$E$26),0,(C4431&gt;='Resultats - informe'!$D$27)*(C4431&lt;='Resultats - informe'!$E$27),0,(C4431&gt;='Resultats - informe'!$D$28)*(C4431&lt;='Resultats - informe'!$E$28),0,(C4431&gt;='Resultats - informe'!$D$29)*(C4431&lt;='Resultats - informe'!$E$29),0,1,1)</f>
        <v>0</v>
      </c>
      <c r="N4431" s="366">
        <f>+VLOOKUP(D4431,'Resultats - informe'!$Y$18:$AG$42,'Introducció dades consum'!K4431+1,0)</f>
        <v>0</v>
      </c>
      <c r="O4431" s="370" cm="1">
        <f t="array" ref="O4431">+_xlfn.SWITCH(MONTH(C4431),1,1,2,1,3,1,4,2,5,2,6,3,7,3,8,3,9,3,10,2,11,2,12,1,2)</f>
        <v>1</v>
      </c>
      <c r="P4431" s="43"/>
    </row>
    <row r="4432" spans="1:16" ht="18" x14ac:dyDescent="0.35">
      <c r="A4432" s="43"/>
      <c r="C4432" s="393"/>
      <c r="E4432" s="394"/>
      <c r="F4432" s="394">
        <v>3.7050000000000001</v>
      </c>
      <c r="G4432" s="394"/>
      <c r="H4432" s="8" t="s">
        <v>235</v>
      </c>
      <c r="I4432" s="368">
        <f t="shared" si="208"/>
        <v>0</v>
      </c>
      <c r="J4432" s="365">
        <f t="shared" si="207"/>
        <v>0</v>
      </c>
      <c r="K4432" s="369">
        <f t="shared" si="209"/>
        <v>6</v>
      </c>
      <c r="L4432" s="369">
        <f>+IF((C4432&gt;='Resultats - informe'!$E$16)*(C4432&lt;='Resultats - informe'!$G$16),1,0)</f>
        <v>1</v>
      </c>
      <c r="M4432" s="369" cm="1">
        <f t="array" ref="M4432">+_xlfn.IFS((C4432&gt;='Resultats - informe'!$D$26)*(C4432&lt;='Resultats - informe'!$E$26),0,(C4432&gt;='Resultats - informe'!$D$27)*(C4432&lt;='Resultats - informe'!$E$27),0,(C4432&gt;='Resultats - informe'!$D$28)*(C4432&lt;='Resultats - informe'!$E$28),0,(C4432&gt;='Resultats - informe'!$D$29)*(C4432&lt;='Resultats - informe'!$E$29),0,1,1)</f>
        <v>0</v>
      </c>
      <c r="N4432" s="366">
        <f>+VLOOKUP(D4432,'Resultats - informe'!$Y$18:$AG$42,'Introducció dades consum'!K4432+1,0)</f>
        <v>0</v>
      </c>
      <c r="O4432" s="370" cm="1">
        <f t="array" ref="O4432">+_xlfn.SWITCH(MONTH(C4432),1,1,2,1,3,1,4,2,5,2,6,3,7,3,8,3,9,3,10,2,11,2,12,1,2)</f>
        <v>1</v>
      </c>
      <c r="P4432" s="43"/>
    </row>
    <row r="4433" spans="1:16" ht="18" x14ac:dyDescent="0.35">
      <c r="A4433" s="43"/>
      <c r="C4433" s="393"/>
      <c r="E4433" s="394"/>
      <c r="F4433" s="394">
        <v>5.1909999999999998</v>
      </c>
      <c r="G4433" s="394"/>
      <c r="H4433" s="8" t="s">
        <v>235</v>
      </c>
      <c r="I4433" s="368">
        <f t="shared" si="208"/>
        <v>0</v>
      </c>
      <c r="J4433" s="365">
        <f t="shared" si="207"/>
        <v>0</v>
      </c>
      <c r="K4433" s="369">
        <f t="shared" si="209"/>
        <v>6</v>
      </c>
      <c r="L4433" s="369">
        <f>+IF((C4433&gt;='Resultats - informe'!$E$16)*(C4433&lt;='Resultats - informe'!$G$16),1,0)</f>
        <v>1</v>
      </c>
      <c r="M4433" s="369" cm="1">
        <f t="array" ref="M4433">+_xlfn.IFS((C4433&gt;='Resultats - informe'!$D$26)*(C4433&lt;='Resultats - informe'!$E$26),0,(C4433&gt;='Resultats - informe'!$D$27)*(C4433&lt;='Resultats - informe'!$E$27),0,(C4433&gt;='Resultats - informe'!$D$28)*(C4433&lt;='Resultats - informe'!$E$28),0,(C4433&gt;='Resultats - informe'!$D$29)*(C4433&lt;='Resultats - informe'!$E$29),0,1,1)</f>
        <v>0</v>
      </c>
      <c r="N4433" s="366">
        <f>+VLOOKUP(D4433,'Resultats - informe'!$Y$18:$AG$42,'Introducció dades consum'!K4433+1,0)</f>
        <v>0</v>
      </c>
      <c r="O4433" s="370" cm="1">
        <f t="array" ref="O4433">+_xlfn.SWITCH(MONTH(C4433),1,1,2,1,3,1,4,2,5,2,6,3,7,3,8,3,9,3,10,2,11,2,12,1,2)</f>
        <v>1</v>
      </c>
      <c r="P4433" s="43"/>
    </row>
    <row r="4434" spans="1:16" ht="18" x14ac:dyDescent="0.35">
      <c r="A4434" s="43"/>
      <c r="C4434" s="393"/>
      <c r="E4434" s="394"/>
      <c r="F4434" s="394">
        <v>5.43</v>
      </c>
      <c r="G4434" s="394"/>
      <c r="H4434" s="8" t="s">
        <v>235</v>
      </c>
      <c r="I4434" s="368">
        <f t="shared" si="208"/>
        <v>0</v>
      </c>
      <c r="J4434" s="365">
        <f t="shared" si="207"/>
        <v>0</v>
      </c>
      <c r="K4434" s="369">
        <f t="shared" si="209"/>
        <v>6</v>
      </c>
      <c r="L4434" s="369">
        <f>+IF((C4434&gt;='Resultats - informe'!$E$16)*(C4434&lt;='Resultats - informe'!$G$16),1,0)</f>
        <v>1</v>
      </c>
      <c r="M4434" s="369" cm="1">
        <f t="array" ref="M4434">+_xlfn.IFS((C4434&gt;='Resultats - informe'!$D$26)*(C4434&lt;='Resultats - informe'!$E$26),0,(C4434&gt;='Resultats - informe'!$D$27)*(C4434&lt;='Resultats - informe'!$E$27),0,(C4434&gt;='Resultats - informe'!$D$28)*(C4434&lt;='Resultats - informe'!$E$28),0,(C4434&gt;='Resultats - informe'!$D$29)*(C4434&lt;='Resultats - informe'!$E$29),0,1,1)</f>
        <v>0</v>
      </c>
      <c r="N4434" s="366">
        <f>+VLOOKUP(D4434,'Resultats - informe'!$Y$18:$AG$42,'Introducció dades consum'!K4434+1,0)</f>
        <v>0</v>
      </c>
      <c r="O4434" s="370" cm="1">
        <f t="array" ref="O4434">+_xlfn.SWITCH(MONTH(C4434),1,1,2,1,3,1,4,2,5,2,6,3,7,3,8,3,9,3,10,2,11,2,12,1,2)</f>
        <v>1</v>
      </c>
      <c r="P4434" s="43"/>
    </row>
    <row r="4435" spans="1:16" ht="18" x14ac:dyDescent="0.35">
      <c r="A4435" s="43"/>
      <c r="C4435" s="393"/>
      <c r="E4435" s="394"/>
      <c r="F4435" s="394">
        <v>2.9209999999999998</v>
      </c>
      <c r="G4435" s="394"/>
      <c r="H4435" s="8" t="s">
        <v>235</v>
      </c>
      <c r="I4435" s="368">
        <f t="shared" si="208"/>
        <v>0</v>
      </c>
      <c r="J4435" s="365">
        <f t="shared" si="207"/>
        <v>0</v>
      </c>
      <c r="K4435" s="369">
        <f t="shared" si="209"/>
        <v>6</v>
      </c>
      <c r="L4435" s="369">
        <f>+IF((C4435&gt;='Resultats - informe'!$E$16)*(C4435&lt;='Resultats - informe'!$G$16),1,0)</f>
        <v>1</v>
      </c>
      <c r="M4435" s="369" cm="1">
        <f t="array" ref="M4435">+_xlfn.IFS((C4435&gt;='Resultats - informe'!$D$26)*(C4435&lt;='Resultats - informe'!$E$26),0,(C4435&gt;='Resultats - informe'!$D$27)*(C4435&lt;='Resultats - informe'!$E$27),0,(C4435&gt;='Resultats - informe'!$D$28)*(C4435&lt;='Resultats - informe'!$E$28),0,(C4435&gt;='Resultats - informe'!$D$29)*(C4435&lt;='Resultats - informe'!$E$29),0,1,1)</f>
        <v>0</v>
      </c>
      <c r="N4435" s="366">
        <f>+VLOOKUP(D4435,'Resultats - informe'!$Y$18:$AG$42,'Introducció dades consum'!K4435+1,0)</f>
        <v>0</v>
      </c>
      <c r="O4435" s="370" cm="1">
        <f t="array" ref="O4435">+_xlfn.SWITCH(MONTH(C4435),1,1,2,1,3,1,4,2,5,2,6,3,7,3,8,3,9,3,10,2,11,2,12,1,2)</f>
        <v>1</v>
      </c>
      <c r="P4435" s="43"/>
    </row>
    <row r="4436" spans="1:16" ht="18" x14ac:dyDescent="0.35">
      <c r="A4436" s="43"/>
      <c r="C4436" s="393"/>
      <c r="E4436" s="394"/>
      <c r="F4436" s="394">
        <v>0</v>
      </c>
      <c r="G4436" s="394"/>
      <c r="H4436" s="8" t="s">
        <v>235</v>
      </c>
      <c r="I4436" s="368">
        <f t="shared" si="208"/>
        <v>0</v>
      </c>
      <c r="J4436" s="365">
        <f t="shared" si="207"/>
        <v>0</v>
      </c>
      <c r="K4436" s="369">
        <f t="shared" si="209"/>
        <v>6</v>
      </c>
      <c r="L4436" s="369">
        <f>+IF((C4436&gt;='Resultats - informe'!$E$16)*(C4436&lt;='Resultats - informe'!$G$16),1,0)</f>
        <v>1</v>
      </c>
      <c r="M4436" s="369" cm="1">
        <f t="array" ref="M4436">+_xlfn.IFS((C4436&gt;='Resultats - informe'!$D$26)*(C4436&lt;='Resultats - informe'!$E$26),0,(C4436&gt;='Resultats - informe'!$D$27)*(C4436&lt;='Resultats - informe'!$E$27),0,(C4436&gt;='Resultats - informe'!$D$28)*(C4436&lt;='Resultats - informe'!$E$28),0,(C4436&gt;='Resultats - informe'!$D$29)*(C4436&lt;='Resultats - informe'!$E$29),0,1,1)</f>
        <v>0</v>
      </c>
      <c r="N4436" s="366">
        <f>+VLOOKUP(D4436,'Resultats - informe'!$Y$18:$AG$42,'Introducció dades consum'!K4436+1,0)</f>
        <v>0</v>
      </c>
      <c r="O4436" s="370" cm="1">
        <f t="array" ref="O4436">+_xlfn.SWITCH(MONTH(C4436),1,1,2,1,3,1,4,2,5,2,6,3,7,3,8,3,9,3,10,2,11,2,12,1,2)</f>
        <v>1</v>
      </c>
      <c r="P4436" s="43"/>
    </row>
    <row r="4437" spans="1:16" ht="18" x14ac:dyDescent="0.35">
      <c r="A4437" s="43"/>
      <c r="C4437" s="393"/>
      <c r="E4437" s="394"/>
      <c r="F4437" s="394">
        <v>0</v>
      </c>
      <c r="G4437" s="394"/>
      <c r="H4437" s="8" t="s">
        <v>235</v>
      </c>
      <c r="I4437" s="368">
        <f t="shared" si="208"/>
        <v>0</v>
      </c>
      <c r="J4437" s="365">
        <f t="shared" si="207"/>
        <v>0</v>
      </c>
      <c r="K4437" s="369">
        <f t="shared" si="209"/>
        <v>6</v>
      </c>
      <c r="L4437" s="369">
        <f>+IF((C4437&gt;='Resultats - informe'!$E$16)*(C4437&lt;='Resultats - informe'!$G$16),1,0)</f>
        <v>1</v>
      </c>
      <c r="M4437" s="369" cm="1">
        <f t="array" ref="M4437">+_xlfn.IFS((C4437&gt;='Resultats - informe'!$D$26)*(C4437&lt;='Resultats - informe'!$E$26),0,(C4437&gt;='Resultats - informe'!$D$27)*(C4437&lt;='Resultats - informe'!$E$27),0,(C4437&gt;='Resultats - informe'!$D$28)*(C4437&lt;='Resultats - informe'!$E$28),0,(C4437&gt;='Resultats - informe'!$D$29)*(C4437&lt;='Resultats - informe'!$E$29),0,1,1)</f>
        <v>0</v>
      </c>
      <c r="N4437" s="366">
        <f>+VLOOKUP(D4437,'Resultats - informe'!$Y$18:$AG$42,'Introducció dades consum'!K4437+1,0)</f>
        <v>0</v>
      </c>
      <c r="O4437" s="370" cm="1">
        <f t="array" ref="O4437">+_xlfn.SWITCH(MONTH(C4437),1,1,2,1,3,1,4,2,5,2,6,3,7,3,8,3,9,3,10,2,11,2,12,1,2)</f>
        <v>1</v>
      </c>
      <c r="P4437" s="43"/>
    </row>
    <row r="4438" spans="1:16" ht="18" x14ac:dyDescent="0.35">
      <c r="A4438" s="43"/>
      <c r="C4438" s="393"/>
      <c r="E4438" s="394"/>
      <c r="F4438" s="394">
        <v>0</v>
      </c>
      <c r="G4438" s="394"/>
      <c r="H4438" s="8" t="s">
        <v>235</v>
      </c>
      <c r="I4438" s="368">
        <f t="shared" si="208"/>
        <v>0</v>
      </c>
      <c r="J4438" s="365">
        <f t="shared" si="207"/>
        <v>0</v>
      </c>
      <c r="K4438" s="369">
        <f t="shared" si="209"/>
        <v>6</v>
      </c>
      <c r="L4438" s="369">
        <f>+IF((C4438&gt;='Resultats - informe'!$E$16)*(C4438&lt;='Resultats - informe'!$G$16),1,0)</f>
        <v>1</v>
      </c>
      <c r="M4438" s="369" cm="1">
        <f t="array" ref="M4438">+_xlfn.IFS((C4438&gt;='Resultats - informe'!$D$26)*(C4438&lt;='Resultats - informe'!$E$26),0,(C4438&gt;='Resultats - informe'!$D$27)*(C4438&lt;='Resultats - informe'!$E$27),0,(C4438&gt;='Resultats - informe'!$D$28)*(C4438&lt;='Resultats - informe'!$E$28),0,(C4438&gt;='Resultats - informe'!$D$29)*(C4438&lt;='Resultats - informe'!$E$29),0,1,1)</f>
        <v>0</v>
      </c>
      <c r="N4438" s="366">
        <f>+VLOOKUP(D4438,'Resultats - informe'!$Y$18:$AG$42,'Introducció dades consum'!K4438+1,0)</f>
        <v>0</v>
      </c>
      <c r="O4438" s="370" cm="1">
        <f t="array" ref="O4438">+_xlfn.SWITCH(MONTH(C4438),1,1,2,1,3,1,4,2,5,2,6,3,7,3,8,3,9,3,10,2,11,2,12,1,2)</f>
        <v>1</v>
      </c>
      <c r="P4438" s="43"/>
    </row>
    <row r="4439" spans="1:16" ht="18" x14ac:dyDescent="0.35">
      <c r="A4439" s="43"/>
      <c r="C4439" s="393"/>
      <c r="E4439" s="394"/>
      <c r="F4439" s="394">
        <v>0</v>
      </c>
      <c r="G4439" s="394"/>
      <c r="H4439" s="8" t="s">
        <v>235</v>
      </c>
      <c r="I4439" s="368">
        <f t="shared" si="208"/>
        <v>0</v>
      </c>
      <c r="J4439" s="365">
        <f t="shared" si="207"/>
        <v>0</v>
      </c>
      <c r="K4439" s="369">
        <f t="shared" si="209"/>
        <v>6</v>
      </c>
      <c r="L4439" s="369">
        <f>+IF((C4439&gt;='Resultats - informe'!$E$16)*(C4439&lt;='Resultats - informe'!$G$16),1,0)</f>
        <v>1</v>
      </c>
      <c r="M4439" s="369" cm="1">
        <f t="array" ref="M4439">+_xlfn.IFS((C4439&gt;='Resultats - informe'!$D$26)*(C4439&lt;='Resultats - informe'!$E$26),0,(C4439&gt;='Resultats - informe'!$D$27)*(C4439&lt;='Resultats - informe'!$E$27),0,(C4439&gt;='Resultats - informe'!$D$28)*(C4439&lt;='Resultats - informe'!$E$28),0,(C4439&gt;='Resultats - informe'!$D$29)*(C4439&lt;='Resultats - informe'!$E$29),0,1,1)</f>
        <v>0</v>
      </c>
      <c r="N4439" s="366">
        <f>+VLOOKUP(D4439,'Resultats - informe'!$Y$18:$AG$42,'Introducció dades consum'!K4439+1,0)</f>
        <v>0</v>
      </c>
      <c r="O4439" s="370" cm="1">
        <f t="array" ref="O4439">+_xlfn.SWITCH(MONTH(C4439),1,1,2,1,3,1,4,2,5,2,6,3,7,3,8,3,9,3,10,2,11,2,12,1,2)</f>
        <v>1</v>
      </c>
      <c r="P4439" s="43"/>
    </row>
    <row r="4440" spans="1:16" ht="18" x14ac:dyDescent="0.35">
      <c r="A4440" s="43"/>
      <c r="C4440" s="393"/>
      <c r="E4440" s="394"/>
      <c r="F4440" s="394">
        <v>0</v>
      </c>
      <c r="G4440" s="394"/>
      <c r="H4440" s="8" t="s">
        <v>235</v>
      </c>
      <c r="I4440" s="368">
        <f t="shared" si="208"/>
        <v>0</v>
      </c>
      <c r="J4440" s="365">
        <f t="shared" si="207"/>
        <v>0</v>
      </c>
      <c r="K4440" s="369">
        <f t="shared" si="209"/>
        <v>6</v>
      </c>
      <c r="L4440" s="369">
        <f>+IF((C4440&gt;='Resultats - informe'!$E$16)*(C4440&lt;='Resultats - informe'!$G$16),1,0)</f>
        <v>1</v>
      </c>
      <c r="M4440" s="369" cm="1">
        <f t="array" ref="M4440">+_xlfn.IFS((C4440&gt;='Resultats - informe'!$D$26)*(C4440&lt;='Resultats - informe'!$E$26),0,(C4440&gt;='Resultats - informe'!$D$27)*(C4440&lt;='Resultats - informe'!$E$27),0,(C4440&gt;='Resultats - informe'!$D$28)*(C4440&lt;='Resultats - informe'!$E$28),0,(C4440&gt;='Resultats - informe'!$D$29)*(C4440&lt;='Resultats - informe'!$E$29),0,1,1)</f>
        <v>0</v>
      </c>
      <c r="N4440" s="366">
        <f>+VLOOKUP(D4440,'Resultats - informe'!$Y$18:$AG$42,'Introducció dades consum'!K4440+1,0)</f>
        <v>0</v>
      </c>
      <c r="O4440" s="370" cm="1">
        <f t="array" ref="O4440">+_xlfn.SWITCH(MONTH(C4440),1,1,2,1,3,1,4,2,5,2,6,3,7,3,8,3,9,3,10,2,11,2,12,1,2)</f>
        <v>1</v>
      </c>
      <c r="P4440" s="43"/>
    </row>
    <row r="4441" spans="1:16" ht="18" x14ac:dyDescent="0.35">
      <c r="A4441" s="43"/>
      <c r="C4441" s="393"/>
      <c r="E4441" s="394"/>
      <c r="F4441" s="394">
        <v>0</v>
      </c>
      <c r="G4441" s="394"/>
      <c r="H4441" s="8" t="s">
        <v>235</v>
      </c>
      <c r="I4441" s="368">
        <f t="shared" si="208"/>
        <v>0</v>
      </c>
      <c r="J4441" s="365">
        <f t="shared" si="207"/>
        <v>0</v>
      </c>
      <c r="K4441" s="369">
        <f t="shared" si="209"/>
        <v>6</v>
      </c>
      <c r="L4441" s="369">
        <f>+IF((C4441&gt;='Resultats - informe'!$E$16)*(C4441&lt;='Resultats - informe'!$G$16),1,0)</f>
        <v>1</v>
      </c>
      <c r="M4441" s="369" cm="1">
        <f t="array" ref="M4441">+_xlfn.IFS((C4441&gt;='Resultats - informe'!$D$26)*(C4441&lt;='Resultats - informe'!$E$26),0,(C4441&gt;='Resultats - informe'!$D$27)*(C4441&lt;='Resultats - informe'!$E$27),0,(C4441&gt;='Resultats - informe'!$D$28)*(C4441&lt;='Resultats - informe'!$E$28),0,(C4441&gt;='Resultats - informe'!$D$29)*(C4441&lt;='Resultats - informe'!$E$29),0,1,1)</f>
        <v>0</v>
      </c>
      <c r="N4441" s="366">
        <f>+VLOOKUP(D4441,'Resultats - informe'!$Y$18:$AG$42,'Introducció dades consum'!K4441+1,0)</f>
        <v>0</v>
      </c>
      <c r="O4441" s="370" cm="1">
        <f t="array" ref="O4441">+_xlfn.SWITCH(MONTH(C4441),1,1,2,1,3,1,4,2,5,2,6,3,7,3,8,3,9,3,10,2,11,2,12,1,2)</f>
        <v>1</v>
      </c>
      <c r="P4441" s="43"/>
    </row>
    <row r="4442" spans="1:16" ht="18" x14ac:dyDescent="0.35">
      <c r="A4442" s="43"/>
      <c r="C4442" s="393"/>
      <c r="E4442" s="394"/>
      <c r="F4442" s="394">
        <v>0</v>
      </c>
      <c r="G4442" s="394"/>
      <c r="H4442" s="8" t="s">
        <v>235</v>
      </c>
      <c r="I4442" s="368">
        <f t="shared" si="208"/>
        <v>0</v>
      </c>
      <c r="J4442" s="365">
        <f t="shared" si="207"/>
        <v>0</v>
      </c>
      <c r="K4442" s="369">
        <f t="shared" si="209"/>
        <v>6</v>
      </c>
      <c r="L4442" s="369">
        <f>+IF((C4442&gt;='Resultats - informe'!$E$16)*(C4442&lt;='Resultats - informe'!$G$16),1,0)</f>
        <v>1</v>
      </c>
      <c r="M4442" s="369" cm="1">
        <f t="array" ref="M4442">+_xlfn.IFS((C4442&gt;='Resultats - informe'!$D$26)*(C4442&lt;='Resultats - informe'!$E$26),0,(C4442&gt;='Resultats - informe'!$D$27)*(C4442&lt;='Resultats - informe'!$E$27),0,(C4442&gt;='Resultats - informe'!$D$28)*(C4442&lt;='Resultats - informe'!$E$28),0,(C4442&gt;='Resultats - informe'!$D$29)*(C4442&lt;='Resultats - informe'!$E$29),0,1,1)</f>
        <v>0</v>
      </c>
      <c r="N4442" s="366">
        <f>+VLOOKUP(D4442,'Resultats - informe'!$Y$18:$AG$42,'Introducció dades consum'!K4442+1,0)</f>
        <v>0</v>
      </c>
      <c r="O4442" s="370" cm="1">
        <f t="array" ref="O4442">+_xlfn.SWITCH(MONTH(C4442),1,1,2,1,3,1,4,2,5,2,6,3,7,3,8,3,9,3,10,2,11,2,12,1,2)</f>
        <v>1</v>
      </c>
      <c r="P4442" s="43"/>
    </row>
    <row r="4443" spans="1:16" ht="18" x14ac:dyDescent="0.35">
      <c r="A4443" s="43"/>
      <c r="C4443" s="393"/>
      <c r="E4443" s="394"/>
      <c r="F4443" s="394">
        <v>0</v>
      </c>
      <c r="G4443" s="394"/>
      <c r="H4443" s="8" t="s">
        <v>235</v>
      </c>
      <c r="I4443" s="368">
        <f t="shared" si="208"/>
        <v>0</v>
      </c>
      <c r="J4443" s="365">
        <f t="shared" si="207"/>
        <v>0</v>
      </c>
      <c r="K4443" s="369">
        <f t="shared" si="209"/>
        <v>6</v>
      </c>
      <c r="L4443" s="369">
        <f>+IF((C4443&gt;='Resultats - informe'!$E$16)*(C4443&lt;='Resultats - informe'!$G$16),1,0)</f>
        <v>1</v>
      </c>
      <c r="M4443" s="369" cm="1">
        <f t="array" ref="M4443">+_xlfn.IFS((C4443&gt;='Resultats - informe'!$D$26)*(C4443&lt;='Resultats - informe'!$E$26),0,(C4443&gt;='Resultats - informe'!$D$27)*(C4443&lt;='Resultats - informe'!$E$27),0,(C4443&gt;='Resultats - informe'!$D$28)*(C4443&lt;='Resultats - informe'!$E$28),0,(C4443&gt;='Resultats - informe'!$D$29)*(C4443&lt;='Resultats - informe'!$E$29),0,1,1)</f>
        <v>0</v>
      </c>
      <c r="N4443" s="366">
        <f>+VLOOKUP(D4443,'Resultats - informe'!$Y$18:$AG$42,'Introducció dades consum'!K4443+1,0)</f>
        <v>0</v>
      </c>
      <c r="O4443" s="370" cm="1">
        <f t="array" ref="O4443">+_xlfn.SWITCH(MONTH(C4443),1,1,2,1,3,1,4,2,5,2,6,3,7,3,8,3,9,3,10,2,11,2,12,1,2)</f>
        <v>1</v>
      </c>
      <c r="P4443" s="43"/>
    </row>
    <row r="4444" spans="1:16" ht="18" x14ac:dyDescent="0.35">
      <c r="A4444" s="43"/>
      <c r="C4444" s="393"/>
      <c r="E4444" s="394"/>
      <c r="F4444" s="394">
        <v>0</v>
      </c>
      <c r="G4444" s="394"/>
      <c r="H4444" s="8" t="s">
        <v>235</v>
      </c>
      <c r="I4444" s="368">
        <f t="shared" si="208"/>
        <v>0</v>
      </c>
      <c r="J4444" s="365">
        <f t="shared" si="207"/>
        <v>0</v>
      </c>
      <c r="K4444" s="369">
        <f t="shared" si="209"/>
        <v>6</v>
      </c>
      <c r="L4444" s="369">
        <f>+IF((C4444&gt;='Resultats - informe'!$E$16)*(C4444&lt;='Resultats - informe'!$G$16),1,0)</f>
        <v>1</v>
      </c>
      <c r="M4444" s="369" cm="1">
        <f t="array" ref="M4444">+_xlfn.IFS((C4444&gt;='Resultats - informe'!$D$26)*(C4444&lt;='Resultats - informe'!$E$26),0,(C4444&gt;='Resultats - informe'!$D$27)*(C4444&lt;='Resultats - informe'!$E$27),0,(C4444&gt;='Resultats - informe'!$D$28)*(C4444&lt;='Resultats - informe'!$E$28),0,(C4444&gt;='Resultats - informe'!$D$29)*(C4444&lt;='Resultats - informe'!$E$29),0,1,1)</f>
        <v>0</v>
      </c>
      <c r="N4444" s="366">
        <f>+VLOOKUP(D4444,'Resultats - informe'!$Y$18:$AG$42,'Introducció dades consum'!K4444+1,0)</f>
        <v>0</v>
      </c>
      <c r="O4444" s="370" cm="1">
        <f t="array" ref="O4444">+_xlfn.SWITCH(MONTH(C4444),1,1,2,1,3,1,4,2,5,2,6,3,7,3,8,3,9,3,10,2,11,2,12,1,2)</f>
        <v>1</v>
      </c>
      <c r="P4444" s="43"/>
    </row>
    <row r="4445" spans="1:16" ht="18" x14ac:dyDescent="0.35">
      <c r="A4445" s="43"/>
      <c r="C4445" s="393"/>
      <c r="E4445" s="394"/>
      <c r="F4445" s="394">
        <v>0</v>
      </c>
      <c r="G4445" s="394"/>
      <c r="H4445" s="8" t="s">
        <v>235</v>
      </c>
      <c r="I4445" s="368">
        <f t="shared" si="208"/>
        <v>0</v>
      </c>
      <c r="J4445" s="365">
        <f t="shared" si="207"/>
        <v>0</v>
      </c>
      <c r="K4445" s="369">
        <f t="shared" si="209"/>
        <v>6</v>
      </c>
      <c r="L4445" s="369">
        <f>+IF((C4445&gt;='Resultats - informe'!$E$16)*(C4445&lt;='Resultats - informe'!$G$16),1,0)</f>
        <v>1</v>
      </c>
      <c r="M4445" s="369" cm="1">
        <f t="array" ref="M4445">+_xlfn.IFS((C4445&gt;='Resultats - informe'!$D$26)*(C4445&lt;='Resultats - informe'!$E$26),0,(C4445&gt;='Resultats - informe'!$D$27)*(C4445&lt;='Resultats - informe'!$E$27),0,(C4445&gt;='Resultats - informe'!$D$28)*(C4445&lt;='Resultats - informe'!$E$28),0,(C4445&gt;='Resultats - informe'!$D$29)*(C4445&lt;='Resultats - informe'!$E$29),0,1,1)</f>
        <v>0</v>
      </c>
      <c r="N4445" s="366">
        <f>+VLOOKUP(D4445,'Resultats - informe'!$Y$18:$AG$42,'Introducció dades consum'!K4445+1,0)</f>
        <v>0</v>
      </c>
      <c r="O4445" s="370" cm="1">
        <f t="array" ref="O4445">+_xlfn.SWITCH(MONTH(C4445),1,1,2,1,3,1,4,2,5,2,6,3,7,3,8,3,9,3,10,2,11,2,12,1,2)</f>
        <v>1</v>
      </c>
      <c r="P4445" s="43"/>
    </row>
    <row r="4446" spans="1:16" ht="18" x14ac:dyDescent="0.35">
      <c r="A4446" s="43"/>
      <c r="C4446" s="393"/>
      <c r="E4446" s="394"/>
      <c r="F4446" s="394">
        <v>0</v>
      </c>
      <c r="G4446" s="394"/>
      <c r="H4446" s="8" t="s">
        <v>235</v>
      </c>
      <c r="I4446" s="368">
        <f t="shared" si="208"/>
        <v>0</v>
      </c>
      <c r="J4446" s="365">
        <f t="shared" si="207"/>
        <v>0</v>
      </c>
      <c r="K4446" s="369">
        <f t="shared" si="209"/>
        <v>6</v>
      </c>
      <c r="L4446" s="369">
        <f>+IF((C4446&gt;='Resultats - informe'!$E$16)*(C4446&lt;='Resultats - informe'!$G$16),1,0)</f>
        <v>1</v>
      </c>
      <c r="M4446" s="369" cm="1">
        <f t="array" ref="M4446">+_xlfn.IFS((C4446&gt;='Resultats - informe'!$D$26)*(C4446&lt;='Resultats - informe'!$E$26),0,(C4446&gt;='Resultats - informe'!$D$27)*(C4446&lt;='Resultats - informe'!$E$27),0,(C4446&gt;='Resultats - informe'!$D$28)*(C4446&lt;='Resultats - informe'!$E$28),0,(C4446&gt;='Resultats - informe'!$D$29)*(C4446&lt;='Resultats - informe'!$E$29),0,1,1)</f>
        <v>0</v>
      </c>
      <c r="N4446" s="366">
        <f>+VLOOKUP(D4446,'Resultats - informe'!$Y$18:$AG$42,'Introducció dades consum'!K4446+1,0)</f>
        <v>0</v>
      </c>
      <c r="O4446" s="370" cm="1">
        <f t="array" ref="O4446">+_xlfn.SWITCH(MONTH(C4446),1,1,2,1,3,1,4,2,5,2,6,3,7,3,8,3,9,3,10,2,11,2,12,1,2)</f>
        <v>1</v>
      </c>
      <c r="P4446" s="43"/>
    </row>
    <row r="4447" spans="1:16" ht="18" x14ac:dyDescent="0.35">
      <c r="A4447" s="43"/>
      <c r="C4447" s="393"/>
      <c r="E4447" s="394"/>
      <c r="F4447" s="394">
        <v>0</v>
      </c>
      <c r="G4447" s="394"/>
      <c r="H4447" s="8" t="s">
        <v>235</v>
      </c>
      <c r="I4447" s="368">
        <f t="shared" si="208"/>
        <v>0</v>
      </c>
      <c r="J4447" s="365">
        <f t="shared" si="207"/>
        <v>0</v>
      </c>
      <c r="K4447" s="369">
        <f t="shared" si="209"/>
        <v>6</v>
      </c>
      <c r="L4447" s="369">
        <f>+IF((C4447&gt;='Resultats - informe'!$E$16)*(C4447&lt;='Resultats - informe'!$G$16),1,0)</f>
        <v>1</v>
      </c>
      <c r="M4447" s="369" cm="1">
        <f t="array" ref="M4447">+_xlfn.IFS((C4447&gt;='Resultats - informe'!$D$26)*(C4447&lt;='Resultats - informe'!$E$26),0,(C4447&gt;='Resultats - informe'!$D$27)*(C4447&lt;='Resultats - informe'!$E$27),0,(C4447&gt;='Resultats - informe'!$D$28)*(C4447&lt;='Resultats - informe'!$E$28),0,(C4447&gt;='Resultats - informe'!$D$29)*(C4447&lt;='Resultats - informe'!$E$29),0,1,1)</f>
        <v>0</v>
      </c>
      <c r="N4447" s="366">
        <f>+VLOOKUP(D4447,'Resultats - informe'!$Y$18:$AG$42,'Introducció dades consum'!K4447+1,0)</f>
        <v>0</v>
      </c>
      <c r="O4447" s="370" cm="1">
        <f t="array" ref="O4447">+_xlfn.SWITCH(MONTH(C4447),1,1,2,1,3,1,4,2,5,2,6,3,7,3,8,3,9,3,10,2,11,2,12,1,2)</f>
        <v>1</v>
      </c>
      <c r="P4447" s="43"/>
    </row>
    <row r="4448" spans="1:16" ht="18" x14ac:dyDescent="0.35">
      <c r="A4448" s="43"/>
      <c r="C4448" s="393"/>
      <c r="E4448" s="394"/>
      <c r="F4448" s="394">
        <v>0</v>
      </c>
      <c r="G4448" s="394"/>
      <c r="H4448" s="8" t="s">
        <v>235</v>
      </c>
      <c r="I4448" s="368">
        <f t="shared" si="208"/>
        <v>0</v>
      </c>
      <c r="J4448" s="365">
        <f t="shared" si="207"/>
        <v>0</v>
      </c>
      <c r="K4448" s="369">
        <f t="shared" si="209"/>
        <v>6</v>
      </c>
      <c r="L4448" s="369">
        <f>+IF((C4448&gt;='Resultats - informe'!$E$16)*(C4448&lt;='Resultats - informe'!$G$16),1,0)</f>
        <v>1</v>
      </c>
      <c r="M4448" s="369" cm="1">
        <f t="array" ref="M4448">+_xlfn.IFS((C4448&gt;='Resultats - informe'!$D$26)*(C4448&lt;='Resultats - informe'!$E$26),0,(C4448&gt;='Resultats - informe'!$D$27)*(C4448&lt;='Resultats - informe'!$E$27),0,(C4448&gt;='Resultats - informe'!$D$28)*(C4448&lt;='Resultats - informe'!$E$28),0,(C4448&gt;='Resultats - informe'!$D$29)*(C4448&lt;='Resultats - informe'!$E$29),0,1,1)</f>
        <v>0</v>
      </c>
      <c r="N4448" s="366">
        <f>+VLOOKUP(D4448,'Resultats - informe'!$Y$18:$AG$42,'Introducció dades consum'!K4448+1,0)</f>
        <v>0</v>
      </c>
      <c r="O4448" s="370" cm="1">
        <f t="array" ref="O4448">+_xlfn.SWITCH(MONTH(C4448),1,1,2,1,3,1,4,2,5,2,6,3,7,3,8,3,9,3,10,2,11,2,12,1,2)</f>
        <v>1</v>
      </c>
      <c r="P4448" s="43"/>
    </row>
    <row r="4449" spans="1:16" ht="18" x14ac:dyDescent="0.35">
      <c r="A4449" s="43"/>
      <c r="C4449" s="393"/>
      <c r="E4449" s="394"/>
      <c r="F4449" s="394">
        <v>0</v>
      </c>
      <c r="G4449" s="394"/>
      <c r="H4449" s="8" t="s">
        <v>235</v>
      </c>
      <c r="I4449" s="368">
        <f t="shared" si="208"/>
        <v>0</v>
      </c>
      <c r="J4449" s="365">
        <f t="shared" si="207"/>
        <v>0</v>
      </c>
      <c r="K4449" s="369">
        <f t="shared" si="209"/>
        <v>6</v>
      </c>
      <c r="L4449" s="369">
        <f>+IF((C4449&gt;='Resultats - informe'!$E$16)*(C4449&lt;='Resultats - informe'!$G$16),1,0)</f>
        <v>1</v>
      </c>
      <c r="M4449" s="369" cm="1">
        <f t="array" ref="M4449">+_xlfn.IFS((C4449&gt;='Resultats - informe'!$D$26)*(C4449&lt;='Resultats - informe'!$E$26),0,(C4449&gt;='Resultats - informe'!$D$27)*(C4449&lt;='Resultats - informe'!$E$27),0,(C4449&gt;='Resultats - informe'!$D$28)*(C4449&lt;='Resultats - informe'!$E$28),0,(C4449&gt;='Resultats - informe'!$D$29)*(C4449&lt;='Resultats - informe'!$E$29),0,1,1)</f>
        <v>0</v>
      </c>
      <c r="N4449" s="366">
        <f>+VLOOKUP(D4449,'Resultats - informe'!$Y$18:$AG$42,'Introducció dades consum'!K4449+1,0)</f>
        <v>0</v>
      </c>
      <c r="O4449" s="370" cm="1">
        <f t="array" ref="O4449">+_xlfn.SWITCH(MONTH(C4449),1,1,2,1,3,1,4,2,5,2,6,3,7,3,8,3,9,3,10,2,11,2,12,1,2)</f>
        <v>1</v>
      </c>
      <c r="P4449" s="43"/>
    </row>
    <row r="4450" spans="1:16" ht="18" x14ac:dyDescent="0.35">
      <c r="A4450" s="43"/>
      <c r="C4450" s="393"/>
      <c r="E4450" s="394"/>
      <c r="F4450" s="394">
        <v>0</v>
      </c>
      <c r="G4450" s="394"/>
      <c r="H4450" s="8" t="s">
        <v>235</v>
      </c>
      <c r="I4450" s="368">
        <f t="shared" si="208"/>
        <v>0</v>
      </c>
      <c r="J4450" s="365">
        <f t="shared" si="207"/>
        <v>0</v>
      </c>
      <c r="K4450" s="369">
        <f t="shared" si="209"/>
        <v>6</v>
      </c>
      <c r="L4450" s="369">
        <f>+IF((C4450&gt;='Resultats - informe'!$E$16)*(C4450&lt;='Resultats - informe'!$G$16),1,0)</f>
        <v>1</v>
      </c>
      <c r="M4450" s="369" cm="1">
        <f t="array" ref="M4450">+_xlfn.IFS((C4450&gt;='Resultats - informe'!$D$26)*(C4450&lt;='Resultats - informe'!$E$26),0,(C4450&gt;='Resultats - informe'!$D$27)*(C4450&lt;='Resultats - informe'!$E$27),0,(C4450&gt;='Resultats - informe'!$D$28)*(C4450&lt;='Resultats - informe'!$E$28),0,(C4450&gt;='Resultats - informe'!$D$29)*(C4450&lt;='Resultats - informe'!$E$29),0,1,1)</f>
        <v>0</v>
      </c>
      <c r="N4450" s="366">
        <f>+VLOOKUP(D4450,'Resultats - informe'!$Y$18:$AG$42,'Introducció dades consum'!K4450+1,0)</f>
        <v>0</v>
      </c>
      <c r="O4450" s="370" cm="1">
        <f t="array" ref="O4450">+_xlfn.SWITCH(MONTH(C4450),1,1,2,1,3,1,4,2,5,2,6,3,7,3,8,3,9,3,10,2,11,2,12,1,2)</f>
        <v>1</v>
      </c>
      <c r="P4450" s="43"/>
    </row>
    <row r="4451" spans="1:16" ht="18" x14ac:dyDescent="0.35">
      <c r="A4451" s="43"/>
      <c r="C4451" s="393"/>
      <c r="E4451" s="394"/>
      <c r="F4451" s="394">
        <v>0</v>
      </c>
      <c r="G4451" s="394"/>
      <c r="H4451" s="8" t="s">
        <v>235</v>
      </c>
      <c r="I4451" s="368">
        <f t="shared" si="208"/>
        <v>0</v>
      </c>
      <c r="J4451" s="365">
        <f t="shared" si="207"/>
        <v>0</v>
      </c>
      <c r="K4451" s="369">
        <f t="shared" si="209"/>
        <v>6</v>
      </c>
      <c r="L4451" s="369">
        <f>+IF((C4451&gt;='Resultats - informe'!$E$16)*(C4451&lt;='Resultats - informe'!$G$16),1,0)</f>
        <v>1</v>
      </c>
      <c r="M4451" s="369" cm="1">
        <f t="array" ref="M4451">+_xlfn.IFS((C4451&gt;='Resultats - informe'!$D$26)*(C4451&lt;='Resultats - informe'!$E$26),0,(C4451&gt;='Resultats - informe'!$D$27)*(C4451&lt;='Resultats - informe'!$E$27),0,(C4451&gt;='Resultats - informe'!$D$28)*(C4451&lt;='Resultats - informe'!$E$28),0,(C4451&gt;='Resultats - informe'!$D$29)*(C4451&lt;='Resultats - informe'!$E$29),0,1,1)</f>
        <v>0</v>
      </c>
      <c r="N4451" s="366">
        <f>+VLOOKUP(D4451,'Resultats - informe'!$Y$18:$AG$42,'Introducció dades consum'!K4451+1,0)</f>
        <v>0</v>
      </c>
      <c r="O4451" s="370" cm="1">
        <f t="array" ref="O4451">+_xlfn.SWITCH(MONTH(C4451),1,1,2,1,3,1,4,2,5,2,6,3,7,3,8,3,9,3,10,2,11,2,12,1,2)</f>
        <v>1</v>
      </c>
      <c r="P4451" s="43"/>
    </row>
    <row r="4452" spans="1:16" ht="18" x14ac:dyDescent="0.35">
      <c r="A4452" s="43"/>
      <c r="C4452" s="393"/>
      <c r="E4452" s="394"/>
      <c r="F4452" s="394">
        <v>0.626</v>
      </c>
      <c r="G4452" s="394"/>
      <c r="H4452" s="8" t="s">
        <v>235</v>
      </c>
      <c r="I4452" s="368">
        <f t="shared" si="208"/>
        <v>0</v>
      </c>
      <c r="J4452" s="365">
        <f t="shared" si="207"/>
        <v>0</v>
      </c>
      <c r="K4452" s="369">
        <f t="shared" si="209"/>
        <v>6</v>
      </c>
      <c r="L4452" s="369">
        <f>+IF((C4452&gt;='Resultats - informe'!$E$16)*(C4452&lt;='Resultats - informe'!$G$16),1,0)</f>
        <v>1</v>
      </c>
      <c r="M4452" s="369" cm="1">
        <f t="array" ref="M4452">+_xlfn.IFS((C4452&gt;='Resultats - informe'!$D$26)*(C4452&lt;='Resultats - informe'!$E$26),0,(C4452&gt;='Resultats - informe'!$D$27)*(C4452&lt;='Resultats - informe'!$E$27),0,(C4452&gt;='Resultats - informe'!$D$28)*(C4452&lt;='Resultats - informe'!$E$28),0,(C4452&gt;='Resultats - informe'!$D$29)*(C4452&lt;='Resultats - informe'!$E$29),0,1,1)</f>
        <v>0</v>
      </c>
      <c r="N4452" s="366">
        <f>+VLOOKUP(D4452,'Resultats - informe'!$Y$18:$AG$42,'Introducció dades consum'!K4452+1,0)</f>
        <v>0</v>
      </c>
      <c r="O4452" s="370" cm="1">
        <f t="array" ref="O4452">+_xlfn.SWITCH(MONTH(C4452),1,1,2,1,3,1,4,2,5,2,6,3,7,3,8,3,9,3,10,2,11,2,12,1,2)</f>
        <v>1</v>
      </c>
      <c r="P4452" s="43"/>
    </row>
    <row r="4453" spans="1:16" ht="18" x14ac:dyDescent="0.35">
      <c r="A4453" s="43"/>
      <c r="C4453" s="393"/>
      <c r="E4453" s="394"/>
      <c r="F4453" s="394">
        <v>1.4319999999999999</v>
      </c>
      <c r="G4453" s="394"/>
      <c r="H4453" s="8" t="s">
        <v>235</v>
      </c>
      <c r="I4453" s="368">
        <f t="shared" si="208"/>
        <v>0</v>
      </c>
      <c r="J4453" s="365">
        <f t="shared" si="207"/>
        <v>0</v>
      </c>
      <c r="K4453" s="369">
        <f t="shared" si="209"/>
        <v>6</v>
      </c>
      <c r="L4453" s="369">
        <f>+IF((C4453&gt;='Resultats - informe'!$E$16)*(C4453&lt;='Resultats - informe'!$G$16),1,0)</f>
        <v>1</v>
      </c>
      <c r="M4453" s="369" cm="1">
        <f t="array" ref="M4453">+_xlfn.IFS((C4453&gt;='Resultats - informe'!$D$26)*(C4453&lt;='Resultats - informe'!$E$26),0,(C4453&gt;='Resultats - informe'!$D$27)*(C4453&lt;='Resultats - informe'!$E$27),0,(C4453&gt;='Resultats - informe'!$D$28)*(C4453&lt;='Resultats - informe'!$E$28),0,(C4453&gt;='Resultats - informe'!$D$29)*(C4453&lt;='Resultats - informe'!$E$29),0,1,1)</f>
        <v>0</v>
      </c>
      <c r="N4453" s="366">
        <f>+VLOOKUP(D4453,'Resultats - informe'!$Y$18:$AG$42,'Introducció dades consum'!K4453+1,0)</f>
        <v>0</v>
      </c>
      <c r="O4453" s="370" cm="1">
        <f t="array" ref="O4453">+_xlfn.SWITCH(MONTH(C4453),1,1,2,1,3,1,4,2,5,2,6,3,7,3,8,3,9,3,10,2,11,2,12,1,2)</f>
        <v>1</v>
      </c>
      <c r="P4453" s="43"/>
    </row>
    <row r="4454" spans="1:16" ht="18" x14ac:dyDescent="0.35">
      <c r="A4454" s="43"/>
      <c r="C4454" s="393"/>
      <c r="E4454" s="394"/>
      <c r="F4454" s="394">
        <v>2.9689999999999999</v>
      </c>
      <c r="G4454" s="394"/>
      <c r="H4454" s="8" t="s">
        <v>235</v>
      </c>
      <c r="I4454" s="368">
        <f t="shared" si="208"/>
        <v>0</v>
      </c>
      <c r="J4454" s="365">
        <f t="shared" si="207"/>
        <v>0</v>
      </c>
      <c r="K4454" s="369">
        <f t="shared" si="209"/>
        <v>6</v>
      </c>
      <c r="L4454" s="369">
        <f>+IF((C4454&gt;='Resultats - informe'!$E$16)*(C4454&lt;='Resultats - informe'!$G$16),1,0)</f>
        <v>1</v>
      </c>
      <c r="M4454" s="369" cm="1">
        <f t="array" ref="M4454">+_xlfn.IFS((C4454&gt;='Resultats - informe'!$D$26)*(C4454&lt;='Resultats - informe'!$E$26),0,(C4454&gt;='Resultats - informe'!$D$27)*(C4454&lt;='Resultats - informe'!$E$27),0,(C4454&gt;='Resultats - informe'!$D$28)*(C4454&lt;='Resultats - informe'!$E$28),0,(C4454&gt;='Resultats - informe'!$D$29)*(C4454&lt;='Resultats - informe'!$E$29),0,1,1)</f>
        <v>0</v>
      </c>
      <c r="N4454" s="366">
        <f>+VLOOKUP(D4454,'Resultats - informe'!$Y$18:$AG$42,'Introducció dades consum'!K4454+1,0)</f>
        <v>0</v>
      </c>
      <c r="O4454" s="370" cm="1">
        <f t="array" ref="O4454">+_xlfn.SWITCH(MONTH(C4454),1,1,2,1,3,1,4,2,5,2,6,3,7,3,8,3,9,3,10,2,11,2,12,1,2)</f>
        <v>1</v>
      </c>
      <c r="P4454" s="43"/>
    </row>
    <row r="4455" spans="1:16" ht="18" x14ac:dyDescent="0.35">
      <c r="A4455" s="43"/>
      <c r="C4455" s="393"/>
      <c r="E4455" s="394"/>
      <c r="F4455" s="394">
        <v>3.8639999999999999</v>
      </c>
      <c r="G4455" s="394"/>
      <c r="H4455" s="8" t="s">
        <v>235</v>
      </c>
      <c r="I4455" s="368">
        <f t="shared" si="208"/>
        <v>0</v>
      </c>
      <c r="J4455" s="365">
        <f t="shared" si="207"/>
        <v>0</v>
      </c>
      <c r="K4455" s="369">
        <f t="shared" si="209"/>
        <v>6</v>
      </c>
      <c r="L4455" s="369">
        <f>+IF((C4455&gt;='Resultats - informe'!$E$16)*(C4455&lt;='Resultats - informe'!$G$16),1,0)</f>
        <v>1</v>
      </c>
      <c r="M4455" s="369" cm="1">
        <f t="array" ref="M4455">+_xlfn.IFS((C4455&gt;='Resultats - informe'!$D$26)*(C4455&lt;='Resultats - informe'!$E$26),0,(C4455&gt;='Resultats - informe'!$D$27)*(C4455&lt;='Resultats - informe'!$E$27),0,(C4455&gt;='Resultats - informe'!$D$28)*(C4455&lt;='Resultats - informe'!$E$28),0,(C4455&gt;='Resultats - informe'!$D$29)*(C4455&lt;='Resultats - informe'!$E$29),0,1,1)</f>
        <v>0</v>
      </c>
      <c r="N4455" s="366">
        <f>+VLOOKUP(D4455,'Resultats - informe'!$Y$18:$AG$42,'Introducció dades consum'!K4455+1,0)</f>
        <v>0</v>
      </c>
      <c r="O4455" s="370" cm="1">
        <f t="array" ref="O4455">+_xlfn.SWITCH(MONTH(C4455),1,1,2,1,3,1,4,2,5,2,6,3,7,3,8,3,9,3,10,2,11,2,12,1,2)</f>
        <v>1</v>
      </c>
      <c r="P4455" s="43"/>
    </row>
    <row r="4456" spans="1:16" ht="18" x14ac:dyDescent="0.35">
      <c r="A4456" s="43"/>
      <c r="C4456" s="393"/>
      <c r="E4456" s="394"/>
      <c r="F4456" s="394">
        <v>5.05</v>
      </c>
      <c r="G4456" s="394"/>
      <c r="H4456" s="8" t="s">
        <v>235</v>
      </c>
      <c r="I4456" s="368">
        <f t="shared" si="208"/>
        <v>0</v>
      </c>
      <c r="J4456" s="365">
        <f t="shared" si="207"/>
        <v>0</v>
      </c>
      <c r="K4456" s="369">
        <f t="shared" si="209"/>
        <v>6</v>
      </c>
      <c r="L4456" s="369">
        <f>+IF((C4456&gt;='Resultats - informe'!$E$16)*(C4456&lt;='Resultats - informe'!$G$16),1,0)</f>
        <v>1</v>
      </c>
      <c r="M4456" s="369" cm="1">
        <f t="array" ref="M4456">+_xlfn.IFS((C4456&gt;='Resultats - informe'!$D$26)*(C4456&lt;='Resultats - informe'!$E$26),0,(C4456&gt;='Resultats - informe'!$D$27)*(C4456&lt;='Resultats - informe'!$E$27),0,(C4456&gt;='Resultats - informe'!$D$28)*(C4456&lt;='Resultats - informe'!$E$28),0,(C4456&gt;='Resultats - informe'!$D$29)*(C4456&lt;='Resultats - informe'!$E$29),0,1,1)</f>
        <v>0</v>
      </c>
      <c r="N4456" s="366">
        <f>+VLOOKUP(D4456,'Resultats - informe'!$Y$18:$AG$42,'Introducció dades consum'!K4456+1,0)</f>
        <v>0</v>
      </c>
      <c r="O4456" s="370" cm="1">
        <f t="array" ref="O4456">+_xlfn.SWITCH(MONTH(C4456),1,1,2,1,3,1,4,2,5,2,6,3,7,3,8,3,9,3,10,2,11,2,12,1,2)</f>
        <v>1</v>
      </c>
      <c r="P4456" s="43"/>
    </row>
    <row r="4457" spans="1:16" ht="18" x14ac:dyDescent="0.35">
      <c r="A4457" s="43"/>
      <c r="C4457" s="393"/>
      <c r="E4457" s="394"/>
      <c r="F4457" s="394">
        <v>2.1030000000000002</v>
      </c>
      <c r="G4457" s="394"/>
      <c r="H4457" s="8" t="s">
        <v>235</v>
      </c>
      <c r="I4457" s="368">
        <f t="shared" si="208"/>
        <v>0</v>
      </c>
      <c r="J4457" s="365">
        <f t="shared" si="207"/>
        <v>0</v>
      </c>
      <c r="K4457" s="369">
        <f t="shared" si="209"/>
        <v>6</v>
      </c>
      <c r="L4457" s="369">
        <f>+IF((C4457&gt;='Resultats - informe'!$E$16)*(C4457&lt;='Resultats - informe'!$G$16),1,0)</f>
        <v>1</v>
      </c>
      <c r="M4457" s="369" cm="1">
        <f t="array" ref="M4457">+_xlfn.IFS((C4457&gt;='Resultats - informe'!$D$26)*(C4457&lt;='Resultats - informe'!$E$26),0,(C4457&gt;='Resultats - informe'!$D$27)*(C4457&lt;='Resultats - informe'!$E$27),0,(C4457&gt;='Resultats - informe'!$D$28)*(C4457&lt;='Resultats - informe'!$E$28),0,(C4457&gt;='Resultats - informe'!$D$29)*(C4457&lt;='Resultats - informe'!$E$29),0,1,1)</f>
        <v>0</v>
      </c>
      <c r="N4457" s="366">
        <f>+VLOOKUP(D4457,'Resultats - informe'!$Y$18:$AG$42,'Introducció dades consum'!K4457+1,0)</f>
        <v>0</v>
      </c>
      <c r="O4457" s="370" cm="1">
        <f t="array" ref="O4457">+_xlfn.SWITCH(MONTH(C4457),1,1,2,1,3,1,4,2,5,2,6,3,7,3,8,3,9,3,10,2,11,2,12,1,2)</f>
        <v>1</v>
      </c>
      <c r="P4457" s="43"/>
    </row>
    <row r="4458" spans="1:16" ht="18" x14ac:dyDescent="0.35">
      <c r="A4458" s="43"/>
      <c r="C4458" s="393"/>
      <c r="E4458" s="394"/>
      <c r="F4458" s="394">
        <v>1.25</v>
      </c>
      <c r="G4458" s="394"/>
      <c r="H4458" s="8" t="s">
        <v>235</v>
      </c>
      <c r="I4458" s="368">
        <f t="shared" si="208"/>
        <v>0</v>
      </c>
      <c r="J4458" s="365">
        <f t="shared" si="207"/>
        <v>0</v>
      </c>
      <c r="K4458" s="369">
        <f t="shared" si="209"/>
        <v>6</v>
      </c>
      <c r="L4458" s="369">
        <f>+IF((C4458&gt;='Resultats - informe'!$E$16)*(C4458&lt;='Resultats - informe'!$G$16),1,0)</f>
        <v>1</v>
      </c>
      <c r="M4458" s="369" cm="1">
        <f t="array" ref="M4458">+_xlfn.IFS((C4458&gt;='Resultats - informe'!$D$26)*(C4458&lt;='Resultats - informe'!$E$26),0,(C4458&gt;='Resultats - informe'!$D$27)*(C4458&lt;='Resultats - informe'!$E$27),0,(C4458&gt;='Resultats - informe'!$D$28)*(C4458&lt;='Resultats - informe'!$E$28),0,(C4458&gt;='Resultats - informe'!$D$29)*(C4458&lt;='Resultats - informe'!$E$29),0,1,1)</f>
        <v>0</v>
      </c>
      <c r="N4458" s="366">
        <f>+VLOOKUP(D4458,'Resultats - informe'!$Y$18:$AG$42,'Introducció dades consum'!K4458+1,0)</f>
        <v>0</v>
      </c>
      <c r="O4458" s="370" cm="1">
        <f t="array" ref="O4458">+_xlfn.SWITCH(MONTH(C4458),1,1,2,1,3,1,4,2,5,2,6,3,7,3,8,3,9,3,10,2,11,2,12,1,2)</f>
        <v>1</v>
      </c>
      <c r="P4458" s="43"/>
    </row>
    <row r="4459" spans="1:16" ht="18" x14ac:dyDescent="0.35">
      <c r="A4459" s="43"/>
      <c r="C4459" s="393"/>
      <c r="E4459" s="394"/>
      <c r="F4459" s="394">
        <v>1.6679999999999999</v>
      </c>
      <c r="G4459" s="394"/>
      <c r="H4459" s="8" t="s">
        <v>235</v>
      </c>
      <c r="I4459" s="368">
        <f t="shared" si="208"/>
        <v>0</v>
      </c>
      <c r="J4459" s="365">
        <f t="shared" si="207"/>
        <v>0</v>
      </c>
      <c r="K4459" s="369">
        <f t="shared" si="209"/>
        <v>6</v>
      </c>
      <c r="L4459" s="369">
        <f>+IF((C4459&gt;='Resultats - informe'!$E$16)*(C4459&lt;='Resultats - informe'!$G$16),1,0)</f>
        <v>1</v>
      </c>
      <c r="M4459" s="369" cm="1">
        <f t="array" ref="M4459">+_xlfn.IFS((C4459&gt;='Resultats - informe'!$D$26)*(C4459&lt;='Resultats - informe'!$E$26),0,(C4459&gt;='Resultats - informe'!$D$27)*(C4459&lt;='Resultats - informe'!$E$27),0,(C4459&gt;='Resultats - informe'!$D$28)*(C4459&lt;='Resultats - informe'!$E$28),0,(C4459&gt;='Resultats - informe'!$D$29)*(C4459&lt;='Resultats - informe'!$E$29),0,1,1)</f>
        <v>0</v>
      </c>
      <c r="N4459" s="366">
        <f>+VLOOKUP(D4459,'Resultats - informe'!$Y$18:$AG$42,'Introducció dades consum'!K4459+1,0)</f>
        <v>0</v>
      </c>
      <c r="O4459" s="370" cm="1">
        <f t="array" ref="O4459">+_xlfn.SWITCH(MONTH(C4459),1,1,2,1,3,1,4,2,5,2,6,3,7,3,8,3,9,3,10,2,11,2,12,1,2)</f>
        <v>1</v>
      </c>
      <c r="P4459" s="43"/>
    </row>
    <row r="4460" spans="1:16" ht="18" x14ac:dyDescent="0.35">
      <c r="A4460" s="43"/>
      <c r="C4460" s="393"/>
      <c r="E4460" s="394"/>
      <c r="F4460" s="394">
        <v>3.5150000000000001</v>
      </c>
      <c r="G4460" s="394"/>
      <c r="H4460" s="8" t="s">
        <v>235</v>
      </c>
      <c r="I4460" s="368">
        <f t="shared" si="208"/>
        <v>0</v>
      </c>
      <c r="J4460" s="365">
        <f t="shared" si="207"/>
        <v>0</v>
      </c>
      <c r="K4460" s="369">
        <f t="shared" si="209"/>
        <v>6</v>
      </c>
      <c r="L4460" s="369">
        <f>+IF((C4460&gt;='Resultats - informe'!$E$16)*(C4460&lt;='Resultats - informe'!$G$16),1,0)</f>
        <v>1</v>
      </c>
      <c r="M4460" s="369" cm="1">
        <f t="array" ref="M4460">+_xlfn.IFS((C4460&gt;='Resultats - informe'!$D$26)*(C4460&lt;='Resultats - informe'!$E$26),0,(C4460&gt;='Resultats - informe'!$D$27)*(C4460&lt;='Resultats - informe'!$E$27),0,(C4460&gt;='Resultats - informe'!$D$28)*(C4460&lt;='Resultats - informe'!$E$28),0,(C4460&gt;='Resultats - informe'!$D$29)*(C4460&lt;='Resultats - informe'!$E$29),0,1,1)</f>
        <v>0</v>
      </c>
      <c r="N4460" s="366">
        <f>+VLOOKUP(D4460,'Resultats - informe'!$Y$18:$AG$42,'Introducció dades consum'!K4460+1,0)</f>
        <v>0</v>
      </c>
      <c r="O4460" s="370" cm="1">
        <f t="array" ref="O4460">+_xlfn.SWITCH(MONTH(C4460),1,1,2,1,3,1,4,2,5,2,6,3,7,3,8,3,9,3,10,2,11,2,12,1,2)</f>
        <v>1</v>
      </c>
      <c r="P4460" s="43"/>
    </row>
    <row r="4461" spans="1:16" ht="18" x14ac:dyDescent="0.35">
      <c r="A4461" s="43"/>
      <c r="C4461" s="393"/>
      <c r="E4461" s="394"/>
      <c r="F4461" s="394">
        <v>1.7809999999999999</v>
      </c>
      <c r="G4461" s="394"/>
      <c r="H4461" s="8" t="s">
        <v>235</v>
      </c>
      <c r="I4461" s="368">
        <f t="shared" si="208"/>
        <v>0</v>
      </c>
      <c r="J4461" s="365">
        <f t="shared" si="207"/>
        <v>0</v>
      </c>
      <c r="K4461" s="369">
        <f t="shared" si="209"/>
        <v>6</v>
      </c>
      <c r="L4461" s="369">
        <f>+IF((C4461&gt;='Resultats - informe'!$E$16)*(C4461&lt;='Resultats - informe'!$G$16),1,0)</f>
        <v>1</v>
      </c>
      <c r="M4461" s="369" cm="1">
        <f t="array" ref="M4461">+_xlfn.IFS((C4461&gt;='Resultats - informe'!$D$26)*(C4461&lt;='Resultats - informe'!$E$26),0,(C4461&gt;='Resultats - informe'!$D$27)*(C4461&lt;='Resultats - informe'!$E$27),0,(C4461&gt;='Resultats - informe'!$D$28)*(C4461&lt;='Resultats - informe'!$E$28),0,(C4461&gt;='Resultats - informe'!$D$29)*(C4461&lt;='Resultats - informe'!$E$29),0,1,1)</f>
        <v>0</v>
      </c>
      <c r="N4461" s="366">
        <f>+VLOOKUP(D4461,'Resultats - informe'!$Y$18:$AG$42,'Introducció dades consum'!K4461+1,0)</f>
        <v>0</v>
      </c>
      <c r="O4461" s="370" cm="1">
        <f t="array" ref="O4461">+_xlfn.SWITCH(MONTH(C4461),1,1,2,1,3,1,4,2,5,2,6,3,7,3,8,3,9,3,10,2,11,2,12,1,2)</f>
        <v>1</v>
      </c>
      <c r="P4461" s="43"/>
    </row>
    <row r="4462" spans="1:16" ht="18" x14ac:dyDescent="0.35">
      <c r="A4462" s="43"/>
      <c r="C4462" s="393"/>
      <c r="E4462" s="394"/>
      <c r="F4462" s="394">
        <v>1.611</v>
      </c>
      <c r="G4462" s="394"/>
      <c r="H4462" s="8" t="s">
        <v>235</v>
      </c>
      <c r="I4462" s="368">
        <f t="shared" si="208"/>
        <v>0</v>
      </c>
      <c r="J4462" s="365">
        <f t="shared" si="207"/>
        <v>0</v>
      </c>
      <c r="K4462" s="369">
        <f t="shared" si="209"/>
        <v>6</v>
      </c>
      <c r="L4462" s="369">
        <f>+IF((C4462&gt;='Resultats - informe'!$E$16)*(C4462&lt;='Resultats - informe'!$G$16),1,0)</f>
        <v>1</v>
      </c>
      <c r="M4462" s="369" cm="1">
        <f t="array" ref="M4462">+_xlfn.IFS((C4462&gt;='Resultats - informe'!$D$26)*(C4462&lt;='Resultats - informe'!$E$26),0,(C4462&gt;='Resultats - informe'!$D$27)*(C4462&lt;='Resultats - informe'!$E$27),0,(C4462&gt;='Resultats - informe'!$D$28)*(C4462&lt;='Resultats - informe'!$E$28),0,(C4462&gt;='Resultats - informe'!$D$29)*(C4462&lt;='Resultats - informe'!$E$29),0,1,1)</f>
        <v>0</v>
      </c>
      <c r="N4462" s="366">
        <f>+VLOOKUP(D4462,'Resultats - informe'!$Y$18:$AG$42,'Introducció dades consum'!K4462+1,0)</f>
        <v>0</v>
      </c>
      <c r="O4462" s="370" cm="1">
        <f t="array" ref="O4462">+_xlfn.SWITCH(MONTH(C4462),1,1,2,1,3,1,4,2,5,2,6,3,7,3,8,3,9,3,10,2,11,2,12,1,2)</f>
        <v>1</v>
      </c>
      <c r="P4462" s="43"/>
    </row>
    <row r="4463" spans="1:16" ht="18" x14ac:dyDescent="0.35">
      <c r="A4463" s="43"/>
      <c r="C4463" s="393"/>
      <c r="E4463" s="394"/>
      <c r="F4463" s="394">
        <v>0.34599999999999997</v>
      </c>
      <c r="G4463" s="394"/>
      <c r="H4463" s="8" t="s">
        <v>235</v>
      </c>
      <c r="I4463" s="368">
        <f t="shared" si="208"/>
        <v>0</v>
      </c>
      <c r="J4463" s="365">
        <f t="shared" si="207"/>
        <v>0</v>
      </c>
      <c r="K4463" s="369">
        <f t="shared" si="209"/>
        <v>6</v>
      </c>
      <c r="L4463" s="369">
        <f>+IF((C4463&gt;='Resultats - informe'!$E$16)*(C4463&lt;='Resultats - informe'!$G$16),1,0)</f>
        <v>1</v>
      </c>
      <c r="M4463" s="369" cm="1">
        <f t="array" ref="M4463">+_xlfn.IFS((C4463&gt;='Resultats - informe'!$D$26)*(C4463&lt;='Resultats - informe'!$E$26),0,(C4463&gt;='Resultats - informe'!$D$27)*(C4463&lt;='Resultats - informe'!$E$27),0,(C4463&gt;='Resultats - informe'!$D$28)*(C4463&lt;='Resultats - informe'!$E$28),0,(C4463&gt;='Resultats - informe'!$D$29)*(C4463&lt;='Resultats - informe'!$E$29),0,1,1)</f>
        <v>0</v>
      </c>
      <c r="N4463" s="366">
        <f>+VLOOKUP(D4463,'Resultats - informe'!$Y$18:$AG$42,'Introducció dades consum'!K4463+1,0)</f>
        <v>0</v>
      </c>
      <c r="O4463" s="370" cm="1">
        <f t="array" ref="O4463">+_xlfn.SWITCH(MONTH(C4463),1,1,2,1,3,1,4,2,5,2,6,3,7,3,8,3,9,3,10,2,11,2,12,1,2)</f>
        <v>1</v>
      </c>
      <c r="P4463" s="43"/>
    </row>
    <row r="4464" spans="1:16" ht="18" x14ac:dyDescent="0.35">
      <c r="A4464" s="43"/>
      <c r="C4464" s="393"/>
      <c r="E4464" s="394"/>
      <c r="F4464" s="394">
        <v>0</v>
      </c>
      <c r="G4464" s="394"/>
      <c r="H4464" s="8" t="s">
        <v>235</v>
      </c>
      <c r="I4464" s="368">
        <f t="shared" si="208"/>
        <v>0</v>
      </c>
      <c r="J4464" s="365">
        <f t="shared" si="207"/>
        <v>0</v>
      </c>
      <c r="K4464" s="369">
        <f t="shared" si="209"/>
        <v>6</v>
      </c>
      <c r="L4464" s="369">
        <f>+IF((C4464&gt;='Resultats - informe'!$E$16)*(C4464&lt;='Resultats - informe'!$G$16),1,0)</f>
        <v>1</v>
      </c>
      <c r="M4464" s="369" cm="1">
        <f t="array" ref="M4464">+_xlfn.IFS((C4464&gt;='Resultats - informe'!$D$26)*(C4464&lt;='Resultats - informe'!$E$26),0,(C4464&gt;='Resultats - informe'!$D$27)*(C4464&lt;='Resultats - informe'!$E$27),0,(C4464&gt;='Resultats - informe'!$D$28)*(C4464&lt;='Resultats - informe'!$E$28),0,(C4464&gt;='Resultats - informe'!$D$29)*(C4464&lt;='Resultats - informe'!$E$29),0,1,1)</f>
        <v>0</v>
      </c>
      <c r="N4464" s="366">
        <f>+VLOOKUP(D4464,'Resultats - informe'!$Y$18:$AG$42,'Introducció dades consum'!K4464+1,0)</f>
        <v>0</v>
      </c>
      <c r="O4464" s="370" cm="1">
        <f t="array" ref="O4464">+_xlfn.SWITCH(MONTH(C4464),1,1,2,1,3,1,4,2,5,2,6,3,7,3,8,3,9,3,10,2,11,2,12,1,2)</f>
        <v>1</v>
      </c>
      <c r="P4464" s="43"/>
    </row>
    <row r="4465" spans="1:16" ht="18" x14ac:dyDescent="0.35">
      <c r="A4465" s="43"/>
      <c r="C4465" s="393"/>
      <c r="E4465" s="394"/>
      <c r="F4465" s="394">
        <v>0</v>
      </c>
      <c r="G4465" s="394"/>
      <c r="H4465" s="8" t="s">
        <v>235</v>
      </c>
      <c r="I4465" s="368">
        <f t="shared" si="208"/>
        <v>0</v>
      </c>
      <c r="J4465" s="365">
        <f t="shared" si="207"/>
        <v>0</v>
      </c>
      <c r="K4465" s="369">
        <f t="shared" si="209"/>
        <v>6</v>
      </c>
      <c r="L4465" s="369">
        <f>+IF((C4465&gt;='Resultats - informe'!$E$16)*(C4465&lt;='Resultats - informe'!$G$16),1,0)</f>
        <v>1</v>
      </c>
      <c r="M4465" s="369" cm="1">
        <f t="array" ref="M4465">+_xlfn.IFS((C4465&gt;='Resultats - informe'!$D$26)*(C4465&lt;='Resultats - informe'!$E$26),0,(C4465&gt;='Resultats - informe'!$D$27)*(C4465&lt;='Resultats - informe'!$E$27),0,(C4465&gt;='Resultats - informe'!$D$28)*(C4465&lt;='Resultats - informe'!$E$28),0,(C4465&gt;='Resultats - informe'!$D$29)*(C4465&lt;='Resultats - informe'!$E$29),0,1,1)</f>
        <v>0</v>
      </c>
      <c r="N4465" s="366">
        <f>+VLOOKUP(D4465,'Resultats - informe'!$Y$18:$AG$42,'Introducció dades consum'!K4465+1,0)</f>
        <v>0</v>
      </c>
      <c r="O4465" s="370" cm="1">
        <f t="array" ref="O4465">+_xlfn.SWITCH(MONTH(C4465),1,1,2,1,3,1,4,2,5,2,6,3,7,3,8,3,9,3,10,2,11,2,12,1,2)</f>
        <v>1</v>
      </c>
      <c r="P4465" s="43"/>
    </row>
    <row r="4466" spans="1:16" ht="18" x14ac:dyDescent="0.35">
      <c r="A4466" s="43"/>
      <c r="C4466" s="393"/>
      <c r="E4466" s="394"/>
      <c r="F4466" s="394">
        <v>0</v>
      </c>
      <c r="G4466" s="394"/>
      <c r="H4466" s="8" t="s">
        <v>235</v>
      </c>
      <c r="I4466" s="368">
        <f t="shared" si="208"/>
        <v>0</v>
      </c>
      <c r="J4466" s="365">
        <f t="shared" si="207"/>
        <v>0</v>
      </c>
      <c r="K4466" s="369">
        <f t="shared" si="209"/>
        <v>6</v>
      </c>
      <c r="L4466" s="369">
        <f>+IF((C4466&gt;='Resultats - informe'!$E$16)*(C4466&lt;='Resultats - informe'!$G$16),1,0)</f>
        <v>1</v>
      </c>
      <c r="M4466" s="369" cm="1">
        <f t="array" ref="M4466">+_xlfn.IFS((C4466&gt;='Resultats - informe'!$D$26)*(C4466&lt;='Resultats - informe'!$E$26),0,(C4466&gt;='Resultats - informe'!$D$27)*(C4466&lt;='Resultats - informe'!$E$27),0,(C4466&gt;='Resultats - informe'!$D$28)*(C4466&lt;='Resultats - informe'!$E$28),0,(C4466&gt;='Resultats - informe'!$D$29)*(C4466&lt;='Resultats - informe'!$E$29),0,1,1)</f>
        <v>0</v>
      </c>
      <c r="N4466" s="366">
        <f>+VLOOKUP(D4466,'Resultats - informe'!$Y$18:$AG$42,'Introducció dades consum'!K4466+1,0)</f>
        <v>0</v>
      </c>
      <c r="O4466" s="370" cm="1">
        <f t="array" ref="O4466">+_xlfn.SWITCH(MONTH(C4466),1,1,2,1,3,1,4,2,5,2,6,3,7,3,8,3,9,3,10,2,11,2,12,1,2)</f>
        <v>1</v>
      </c>
      <c r="P4466" s="43"/>
    </row>
    <row r="4467" spans="1:16" ht="18" x14ac:dyDescent="0.35">
      <c r="A4467" s="43"/>
      <c r="C4467" s="393"/>
      <c r="E4467" s="394"/>
      <c r="F4467" s="394">
        <v>0</v>
      </c>
      <c r="G4467" s="394"/>
      <c r="H4467" s="8" t="s">
        <v>235</v>
      </c>
      <c r="I4467" s="368">
        <f t="shared" si="208"/>
        <v>0</v>
      </c>
      <c r="J4467" s="365">
        <f t="shared" si="207"/>
        <v>0</v>
      </c>
      <c r="K4467" s="369">
        <f t="shared" si="209"/>
        <v>6</v>
      </c>
      <c r="L4467" s="369">
        <f>+IF((C4467&gt;='Resultats - informe'!$E$16)*(C4467&lt;='Resultats - informe'!$G$16),1,0)</f>
        <v>1</v>
      </c>
      <c r="M4467" s="369" cm="1">
        <f t="array" ref="M4467">+_xlfn.IFS((C4467&gt;='Resultats - informe'!$D$26)*(C4467&lt;='Resultats - informe'!$E$26),0,(C4467&gt;='Resultats - informe'!$D$27)*(C4467&lt;='Resultats - informe'!$E$27),0,(C4467&gt;='Resultats - informe'!$D$28)*(C4467&lt;='Resultats - informe'!$E$28),0,(C4467&gt;='Resultats - informe'!$D$29)*(C4467&lt;='Resultats - informe'!$E$29),0,1,1)</f>
        <v>0</v>
      </c>
      <c r="N4467" s="366">
        <f>+VLOOKUP(D4467,'Resultats - informe'!$Y$18:$AG$42,'Introducció dades consum'!K4467+1,0)</f>
        <v>0</v>
      </c>
      <c r="O4467" s="370" cm="1">
        <f t="array" ref="O4467">+_xlfn.SWITCH(MONTH(C4467),1,1,2,1,3,1,4,2,5,2,6,3,7,3,8,3,9,3,10,2,11,2,12,1,2)</f>
        <v>1</v>
      </c>
      <c r="P4467" s="43"/>
    </row>
    <row r="4468" spans="1:16" ht="18" x14ac:dyDescent="0.35">
      <c r="A4468" s="43"/>
      <c r="C4468" s="393"/>
      <c r="E4468" s="394"/>
      <c r="F4468" s="394">
        <v>0</v>
      </c>
      <c r="G4468" s="394"/>
      <c r="H4468" s="8" t="s">
        <v>235</v>
      </c>
      <c r="I4468" s="368">
        <f t="shared" si="208"/>
        <v>0</v>
      </c>
      <c r="J4468" s="365">
        <f t="shared" si="207"/>
        <v>0</v>
      </c>
      <c r="K4468" s="369">
        <f t="shared" si="209"/>
        <v>6</v>
      </c>
      <c r="L4468" s="369">
        <f>+IF((C4468&gt;='Resultats - informe'!$E$16)*(C4468&lt;='Resultats - informe'!$G$16),1,0)</f>
        <v>1</v>
      </c>
      <c r="M4468" s="369" cm="1">
        <f t="array" ref="M4468">+_xlfn.IFS((C4468&gt;='Resultats - informe'!$D$26)*(C4468&lt;='Resultats - informe'!$E$26),0,(C4468&gt;='Resultats - informe'!$D$27)*(C4468&lt;='Resultats - informe'!$E$27),0,(C4468&gt;='Resultats - informe'!$D$28)*(C4468&lt;='Resultats - informe'!$E$28),0,(C4468&gt;='Resultats - informe'!$D$29)*(C4468&lt;='Resultats - informe'!$E$29),0,1,1)</f>
        <v>0</v>
      </c>
      <c r="N4468" s="366">
        <f>+VLOOKUP(D4468,'Resultats - informe'!$Y$18:$AG$42,'Introducció dades consum'!K4468+1,0)</f>
        <v>0</v>
      </c>
      <c r="O4468" s="370" cm="1">
        <f t="array" ref="O4468">+_xlfn.SWITCH(MONTH(C4468),1,1,2,1,3,1,4,2,5,2,6,3,7,3,8,3,9,3,10,2,11,2,12,1,2)</f>
        <v>1</v>
      </c>
      <c r="P4468" s="43"/>
    </row>
    <row r="4469" spans="1:16" ht="18" x14ac:dyDescent="0.35">
      <c r="A4469" s="43"/>
      <c r="C4469" s="393"/>
      <c r="E4469" s="394"/>
      <c r="F4469" s="394">
        <v>0</v>
      </c>
      <c r="G4469" s="394"/>
      <c r="H4469" s="8" t="s">
        <v>235</v>
      </c>
      <c r="I4469" s="368">
        <f t="shared" si="208"/>
        <v>0</v>
      </c>
      <c r="J4469" s="365">
        <f t="shared" si="207"/>
        <v>0</v>
      </c>
      <c r="K4469" s="369">
        <f t="shared" si="209"/>
        <v>6</v>
      </c>
      <c r="L4469" s="369">
        <f>+IF((C4469&gt;='Resultats - informe'!$E$16)*(C4469&lt;='Resultats - informe'!$G$16),1,0)</f>
        <v>1</v>
      </c>
      <c r="M4469" s="369" cm="1">
        <f t="array" ref="M4469">+_xlfn.IFS((C4469&gt;='Resultats - informe'!$D$26)*(C4469&lt;='Resultats - informe'!$E$26),0,(C4469&gt;='Resultats - informe'!$D$27)*(C4469&lt;='Resultats - informe'!$E$27),0,(C4469&gt;='Resultats - informe'!$D$28)*(C4469&lt;='Resultats - informe'!$E$28),0,(C4469&gt;='Resultats - informe'!$D$29)*(C4469&lt;='Resultats - informe'!$E$29),0,1,1)</f>
        <v>0</v>
      </c>
      <c r="N4469" s="366">
        <f>+VLOOKUP(D4469,'Resultats - informe'!$Y$18:$AG$42,'Introducció dades consum'!K4469+1,0)</f>
        <v>0</v>
      </c>
      <c r="O4469" s="370" cm="1">
        <f t="array" ref="O4469">+_xlfn.SWITCH(MONTH(C4469),1,1,2,1,3,1,4,2,5,2,6,3,7,3,8,3,9,3,10,2,11,2,12,1,2)</f>
        <v>1</v>
      </c>
      <c r="P4469" s="43"/>
    </row>
    <row r="4470" spans="1:16" ht="18" x14ac:dyDescent="0.35">
      <c r="A4470" s="43"/>
      <c r="C4470" s="393"/>
      <c r="E4470" s="394"/>
      <c r="F4470" s="394">
        <v>0</v>
      </c>
      <c r="G4470" s="394"/>
      <c r="H4470" s="8" t="s">
        <v>235</v>
      </c>
      <c r="I4470" s="368">
        <f t="shared" si="208"/>
        <v>0</v>
      </c>
      <c r="J4470" s="365">
        <f t="shared" si="207"/>
        <v>0</v>
      </c>
      <c r="K4470" s="369">
        <f t="shared" si="209"/>
        <v>6</v>
      </c>
      <c r="L4470" s="369">
        <f>+IF((C4470&gt;='Resultats - informe'!$E$16)*(C4470&lt;='Resultats - informe'!$G$16),1,0)</f>
        <v>1</v>
      </c>
      <c r="M4470" s="369" cm="1">
        <f t="array" ref="M4470">+_xlfn.IFS((C4470&gt;='Resultats - informe'!$D$26)*(C4470&lt;='Resultats - informe'!$E$26),0,(C4470&gt;='Resultats - informe'!$D$27)*(C4470&lt;='Resultats - informe'!$E$27),0,(C4470&gt;='Resultats - informe'!$D$28)*(C4470&lt;='Resultats - informe'!$E$28),0,(C4470&gt;='Resultats - informe'!$D$29)*(C4470&lt;='Resultats - informe'!$E$29),0,1,1)</f>
        <v>0</v>
      </c>
      <c r="N4470" s="366">
        <f>+VLOOKUP(D4470,'Resultats - informe'!$Y$18:$AG$42,'Introducció dades consum'!K4470+1,0)</f>
        <v>0</v>
      </c>
      <c r="O4470" s="370" cm="1">
        <f t="array" ref="O4470">+_xlfn.SWITCH(MONTH(C4470),1,1,2,1,3,1,4,2,5,2,6,3,7,3,8,3,9,3,10,2,11,2,12,1,2)</f>
        <v>1</v>
      </c>
      <c r="P4470" s="43"/>
    </row>
    <row r="4471" spans="1:16" ht="18" x14ac:dyDescent="0.35">
      <c r="A4471" s="43"/>
      <c r="C4471" s="393"/>
      <c r="E4471" s="394"/>
      <c r="F4471" s="394">
        <v>0</v>
      </c>
      <c r="G4471" s="394"/>
      <c r="H4471" s="8" t="s">
        <v>235</v>
      </c>
      <c r="I4471" s="368">
        <f t="shared" si="208"/>
        <v>0</v>
      </c>
      <c r="J4471" s="365">
        <f t="shared" si="207"/>
        <v>0</v>
      </c>
      <c r="K4471" s="369">
        <f t="shared" si="209"/>
        <v>6</v>
      </c>
      <c r="L4471" s="369">
        <f>+IF((C4471&gt;='Resultats - informe'!$E$16)*(C4471&lt;='Resultats - informe'!$G$16),1,0)</f>
        <v>1</v>
      </c>
      <c r="M4471" s="369" cm="1">
        <f t="array" ref="M4471">+_xlfn.IFS((C4471&gt;='Resultats - informe'!$D$26)*(C4471&lt;='Resultats - informe'!$E$26),0,(C4471&gt;='Resultats - informe'!$D$27)*(C4471&lt;='Resultats - informe'!$E$27),0,(C4471&gt;='Resultats - informe'!$D$28)*(C4471&lt;='Resultats - informe'!$E$28),0,(C4471&gt;='Resultats - informe'!$D$29)*(C4471&lt;='Resultats - informe'!$E$29),0,1,1)</f>
        <v>0</v>
      </c>
      <c r="N4471" s="366">
        <f>+VLOOKUP(D4471,'Resultats - informe'!$Y$18:$AG$42,'Introducció dades consum'!K4471+1,0)</f>
        <v>0</v>
      </c>
      <c r="O4471" s="370" cm="1">
        <f t="array" ref="O4471">+_xlfn.SWITCH(MONTH(C4471),1,1,2,1,3,1,4,2,5,2,6,3,7,3,8,3,9,3,10,2,11,2,12,1,2)</f>
        <v>1</v>
      </c>
      <c r="P4471" s="43"/>
    </row>
    <row r="4472" spans="1:16" ht="18" x14ac:dyDescent="0.35">
      <c r="A4472" s="43"/>
      <c r="C4472" s="393"/>
      <c r="E4472" s="394"/>
      <c r="F4472" s="394">
        <v>0</v>
      </c>
      <c r="G4472" s="394"/>
      <c r="H4472" s="8" t="s">
        <v>235</v>
      </c>
      <c r="I4472" s="368">
        <f t="shared" si="208"/>
        <v>0</v>
      </c>
      <c r="J4472" s="365">
        <f t="shared" si="207"/>
        <v>0</v>
      </c>
      <c r="K4472" s="369">
        <f t="shared" si="209"/>
        <v>6</v>
      </c>
      <c r="L4472" s="369">
        <f>+IF((C4472&gt;='Resultats - informe'!$E$16)*(C4472&lt;='Resultats - informe'!$G$16),1,0)</f>
        <v>1</v>
      </c>
      <c r="M4472" s="369" cm="1">
        <f t="array" ref="M4472">+_xlfn.IFS((C4472&gt;='Resultats - informe'!$D$26)*(C4472&lt;='Resultats - informe'!$E$26),0,(C4472&gt;='Resultats - informe'!$D$27)*(C4472&lt;='Resultats - informe'!$E$27),0,(C4472&gt;='Resultats - informe'!$D$28)*(C4472&lt;='Resultats - informe'!$E$28),0,(C4472&gt;='Resultats - informe'!$D$29)*(C4472&lt;='Resultats - informe'!$E$29),0,1,1)</f>
        <v>0</v>
      </c>
      <c r="N4472" s="366">
        <f>+VLOOKUP(D4472,'Resultats - informe'!$Y$18:$AG$42,'Introducció dades consum'!K4472+1,0)</f>
        <v>0</v>
      </c>
      <c r="O4472" s="370" cm="1">
        <f t="array" ref="O4472">+_xlfn.SWITCH(MONTH(C4472),1,1,2,1,3,1,4,2,5,2,6,3,7,3,8,3,9,3,10,2,11,2,12,1,2)</f>
        <v>1</v>
      </c>
      <c r="P4472" s="43"/>
    </row>
    <row r="4473" spans="1:16" ht="18" x14ac:dyDescent="0.35">
      <c r="A4473" s="43"/>
      <c r="C4473" s="393"/>
      <c r="E4473" s="394"/>
      <c r="F4473" s="394">
        <v>0</v>
      </c>
      <c r="G4473" s="394"/>
      <c r="H4473" s="8" t="s">
        <v>235</v>
      </c>
      <c r="I4473" s="368">
        <f t="shared" si="208"/>
        <v>0</v>
      </c>
      <c r="J4473" s="365">
        <f t="shared" si="207"/>
        <v>0</v>
      </c>
      <c r="K4473" s="369">
        <f t="shared" si="209"/>
        <v>6</v>
      </c>
      <c r="L4473" s="369">
        <f>+IF((C4473&gt;='Resultats - informe'!$E$16)*(C4473&lt;='Resultats - informe'!$G$16),1,0)</f>
        <v>1</v>
      </c>
      <c r="M4473" s="369" cm="1">
        <f t="array" ref="M4473">+_xlfn.IFS((C4473&gt;='Resultats - informe'!$D$26)*(C4473&lt;='Resultats - informe'!$E$26),0,(C4473&gt;='Resultats - informe'!$D$27)*(C4473&lt;='Resultats - informe'!$E$27),0,(C4473&gt;='Resultats - informe'!$D$28)*(C4473&lt;='Resultats - informe'!$E$28),0,(C4473&gt;='Resultats - informe'!$D$29)*(C4473&lt;='Resultats - informe'!$E$29),0,1,1)</f>
        <v>0</v>
      </c>
      <c r="N4473" s="366">
        <f>+VLOOKUP(D4473,'Resultats - informe'!$Y$18:$AG$42,'Introducció dades consum'!K4473+1,0)</f>
        <v>0</v>
      </c>
      <c r="O4473" s="370" cm="1">
        <f t="array" ref="O4473">+_xlfn.SWITCH(MONTH(C4473),1,1,2,1,3,1,4,2,5,2,6,3,7,3,8,3,9,3,10,2,11,2,12,1,2)</f>
        <v>1</v>
      </c>
      <c r="P4473" s="43"/>
    </row>
    <row r="4474" spans="1:16" ht="18" x14ac:dyDescent="0.35">
      <c r="A4474" s="43"/>
      <c r="C4474" s="393"/>
      <c r="E4474" s="394"/>
      <c r="F4474" s="394">
        <v>0</v>
      </c>
      <c r="G4474" s="394"/>
      <c r="H4474" s="8" t="s">
        <v>235</v>
      </c>
      <c r="I4474" s="368">
        <f t="shared" si="208"/>
        <v>0</v>
      </c>
      <c r="J4474" s="365">
        <f t="shared" si="207"/>
        <v>0</v>
      </c>
      <c r="K4474" s="369">
        <f t="shared" si="209"/>
        <v>6</v>
      </c>
      <c r="L4474" s="369">
        <f>+IF((C4474&gt;='Resultats - informe'!$E$16)*(C4474&lt;='Resultats - informe'!$G$16),1,0)</f>
        <v>1</v>
      </c>
      <c r="M4474" s="369" cm="1">
        <f t="array" ref="M4474">+_xlfn.IFS((C4474&gt;='Resultats - informe'!$D$26)*(C4474&lt;='Resultats - informe'!$E$26),0,(C4474&gt;='Resultats - informe'!$D$27)*(C4474&lt;='Resultats - informe'!$E$27),0,(C4474&gt;='Resultats - informe'!$D$28)*(C4474&lt;='Resultats - informe'!$E$28),0,(C4474&gt;='Resultats - informe'!$D$29)*(C4474&lt;='Resultats - informe'!$E$29),0,1,1)</f>
        <v>0</v>
      </c>
      <c r="N4474" s="366">
        <f>+VLOOKUP(D4474,'Resultats - informe'!$Y$18:$AG$42,'Introducció dades consum'!K4474+1,0)</f>
        <v>0</v>
      </c>
      <c r="O4474" s="370" cm="1">
        <f t="array" ref="O4474">+_xlfn.SWITCH(MONTH(C4474),1,1,2,1,3,1,4,2,5,2,6,3,7,3,8,3,9,3,10,2,11,2,12,1,2)</f>
        <v>1</v>
      </c>
      <c r="P4474" s="43"/>
    </row>
    <row r="4475" spans="1:16" ht="18" x14ac:dyDescent="0.35">
      <c r="A4475" s="43"/>
      <c r="C4475" s="393"/>
      <c r="E4475" s="394"/>
      <c r="F4475" s="394">
        <v>0</v>
      </c>
      <c r="G4475" s="394"/>
      <c r="H4475" s="8" t="s">
        <v>235</v>
      </c>
      <c r="I4475" s="368">
        <f t="shared" si="208"/>
        <v>0</v>
      </c>
      <c r="J4475" s="365">
        <f t="shared" ref="J4475:J4538" si="210">+C4475</f>
        <v>0</v>
      </c>
      <c r="K4475" s="369">
        <f t="shared" si="209"/>
        <v>6</v>
      </c>
      <c r="L4475" s="369">
        <f>+IF((C4475&gt;='Resultats - informe'!$E$16)*(C4475&lt;='Resultats - informe'!$G$16),1,0)</f>
        <v>1</v>
      </c>
      <c r="M4475" s="369" cm="1">
        <f t="array" ref="M4475">+_xlfn.IFS((C4475&gt;='Resultats - informe'!$D$26)*(C4475&lt;='Resultats - informe'!$E$26),0,(C4475&gt;='Resultats - informe'!$D$27)*(C4475&lt;='Resultats - informe'!$E$27),0,(C4475&gt;='Resultats - informe'!$D$28)*(C4475&lt;='Resultats - informe'!$E$28),0,(C4475&gt;='Resultats - informe'!$D$29)*(C4475&lt;='Resultats - informe'!$E$29),0,1,1)</f>
        <v>0</v>
      </c>
      <c r="N4475" s="366">
        <f>+VLOOKUP(D4475,'Resultats - informe'!$Y$18:$AG$42,'Introducció dades consum'!K4475+1,0)</f>
        <v>0</v>
      </c>
      <c r="O4475" s="370" cm="1">
        <f t="array" ref="O4475">+_xlfn.SWITCH(MONTH(C4475),1,1,2,1,3,1,4,2,5,2,6,3,7,3,8,3,9,3,10,2,11,2,12,1,2)</f>
        <v>1</v>
      </c>
      <c r="P4475" s="43"/>
    </row>
    <row r="4476" spans="1:16" ht="18" x14ac:dyDescent="0.35">
      <c r="A4476" s="43"/>
      <c r="C4476" s="393"/>
      <c r="E4476" s="394"/>
      <c r="F4476" s="394">
        <v>0.53300000000000003</v>
      </c>
      <c r="G4476" s="394"/>
      <c r="H4476" s="8" t="s">
        <v>235</v>
      </c>
      <c r="I4476" s="368">
        <f t="shared" si="208"/>
        <v>0</v>
      </c>
      <c r="J4476" s="365">
        <f t="shared" si="210"/>
        <v>0</v>
      </c>
      <c r="K4476" s="369">
        <f t="shared" si="209"/>
        <v>6</v>
      </c>
      <c r="L4476" s="369">
        <f>+IF((C4476&gt;='Resultats - informe'!$E$16)*(C4476&lt;='Resultats - informe'!$G$16),1,0)</f>
        <v>1</v>
      </c>
      <c r="M4476" s="369" cm="1">
        <f t="array" ref="M4476">+_xlfn.IFS((C4476&gt;='Resultats - informe'!$D$26)*(C4476&lt;='Resultats - informe'!$E$26),0,(C4476&gt;='Resultats - informe'!$D$27)*(C4476&lt;='Resultats - informe'!$E$27),0,(C4476&gt;='Resultats - informe'!$D$28)*(C4476&lt;='Resultats - informe'!$E$28),0,(C4476&gt;='Resultats - informe'!$D$29)*(C4476&lt;='Resultats - informe'!$E$29),0,1,1)</f>
        <v>0</v>
      </c>
      <c r="N4476" s="366">
        <f>+VLOOKUP(D4476,'Resultats - informe'!$Y$18:$AG$42,'Introducció dades consum'!K4476+1,0)</f>
        <v>0</v>
      </c>
      <c r="O4476" s="370" cm="1">
        <f t="array" ref="O4476">+_xlfn.SWITCH(MONTH(C4476),1,1,2,1,3,1,4,2,5,2,6,3,7,3,8,3,9,3,10,2,11,2,12,1,2)</f>
        <v>1</v>
      </c>
      <c r="P4476" s="43"/>
    </row>
    <row r="4477" spans="1:16" ht="18" x14ac:dyDescent="0.35">
      <c r="A4477" s="43"/>
      <c r="C4477" s="393"/>
      <c r="E4477" s="394"/>
      <c r="F4477" s="394">
        <v>2.0270000000000001</v>
      </c>
      <c r="G4477" s="394"/>
      <c r="H4477" s="8" t="s">
        <v>235</v>
      </c>
      <c r="I4477" s="368">
        <f t="shared" si="208"/>
        <v>0</v>
      </c>
      <c r="J4477" s="365">
        <f t="shared" si="210"/>
        <v>0</v>
      </c>
      <c r="K4477" s="369">
        <f t="shared" si="209"/>
        <v>6</v>
      </c>
      <c r="L4477" s="369">
        <f>+IF((C4477&gt;='Resultats - informe'!$E$16)*(C4477&lt;='Resultats - informe'!$G$16),1,0)</f>
        <v>1</v>
      </c>
      <c r="M4477" s="369" cm="1">
        <f t="array" ref="M4477">+_xlfn.IFS((C4477&gt;='Resultats - informe'!$D$26)*(C4477&lt;='Resultats - informe'!$E$26),0,(C4477&gt;='Resultats - informe'!$D$27)*(C4477&lt;='Resultats - informe'!$E$27),0,(C4477&gt;='Resultats - informe'!$D$28)*(C4477&lt;='Resultats - informe'!$E$28),0,(C4477&gt;='Resultats - informe'!$D$29)*(C4477&lt;='Resultats - informe'!$E$29),0,1,1)</f>
        <v>0</v>
      </c>
      <c r="N4477" s="366">
        <f>+VLOOKUP(D4477,'Resultats - informe'!$Y$18:$AG$42,'Introducció dades consum'!K4477+1,0)</f>
        <v>0</v>
      </c>
      <c r="O4477" s="370" cm="1">
        <f t="array" ref="O4477">+_xlfn.SWITCH(MONTH(C4477),1,1,2,1,3,1,4,2,5,2,6,3,7,3,8,3,9,3,10,2,11,2,12,1,2)</f>
        <v>1</v>
      </c>
      <c r="P4477" s="43"/>
    </row>
    <row r="4478" spans="1:16" ht="18" x14ac:dyDescent="0.35">
      <c r="A4478" s="43"/>
      <c r="C4478" s="393"/>
      <c r="E4478" s="394"/>
      <c r="F4478" s="394">
        <v>3.802</v>
      </c>
      <c r="G4478" s="394"/>
      <c r="H4478" s="8" t="s">
        <v>235</v>
      </c>
      <c r="I4478" s="368">
        <f t="shared" si="208"/>
        <v>0</v>
      </c>
      <c r="J4478" s="365">
        <f t="shared" si="210"/>
        <v>0</v>
      </c>
      <c r="K4478" s="369">
        <f t="shared" si="209"/>
        <v>6</v>
      </c>
      <c r="L4478" s="369">
        <f>+IF((C4478&gt;='Resultats - informe'!$E$16)*(C4478&lt;='Resultats - informe'!$G$16),1,0)</f>
        <v>1</v>
      </c>
      <c r="M4478" s="369" cm="1">
        <f t="array" ref="M4478">+_xlfn.IFS((C4478&gt;='Resultats - informe'!$D$26)*(C4478&lt;='Resultats - informe'!$E$26),0,(C4478&gt;='Resultats - informe'!$D$27)*(C4478&lt;='Resultats - informe'!$E$27),0,(C4478&gt;='Resultats - informe'!$D$28)*(C4478&lt;='Resultats - informe'!$E$28),0,(C4478&gt;='Resultats - informe'!$D$29)*(C4478&lt;='Resultats - informe'!$E$29),0,1,1)</f>
        <v>0</v>
      </c>
      <c r="N4478" s="366">
        <f>+VLOOKUP(D4478,'Resultats - informe'!$Y$18:$AG$42,'Introducció dades consum'!K4478+1,0)</f>
        <v>0</v>
      </c>
      <c r="O4478" s="370" cm="1">
        <f t="array" ref="O4478">+_xlfn.SWITCH(MONTH(C4478),1,1,2,1,3,1,4,2,5,2,6,3,7,3,8,3,9,3,10,2,11,2,12,1,2)</f>
        <v>1</v>
      </c>
      <c r="P4478" s="43"/>
    </row>
    <row r="4479" spans="1:16" ht="18" x14ac:dyDescent="0.35">
      <c r="A4479" s="43"/>
      <c r="C4479" s="393"/>
      <c r="E4479" s="394"/>
      <c r="F4479" s="394">
        <v>4.8010000000000002</v>
      </c>
      <c r="G4479" s="394"/>
      <c r="H4479" s="8" t="s">
        <v>235</v>
      </c>
      <c r="I4479" s="368">
        <f t="shared" si="208"/>
        <v>0</v>
      </c>
      <c r="J4479" s="365">
        <f t="shared" si="210"/>
        <v>0</v>
      </c>
      <c r="K4479" s="369">
        <f t="shared" si="209"/>
        <v>6</v>
      </c>
      <c r="L4479" s="369">
        <f>+IF((C4479&gt;='Resultats - informe'!$E$16)*(C4479&lt;='Resultats - informe'!$G$16),1,0)</f>
        <v>1</v>
      </c>
      <c r="M4479" s="369" cm="1">
        <f t="array" ref="M4479">+_xlfn.IFS((C4479&gt;='Resultats - informe'!$D$26)*(C4479&lt;='Resultats - informe'!$E$26),0,(C4479&gt;='Resultats - informe'!$D$27)*(C4479&lt;='Resultats - informe'!$E$27),0,(C4479&gt;='Resultats - informe'!$D$28)*(C4479&lt;='Resultats - informe'!$E$28),0,(C4479&gt;='Resultats - informe'!$D$29)*(C4479&lt;='Resultats - informe'!$E$29),0,1,1)</f>
        <v>0</v>
      </c>
      <c r="N4479" s="366">
        <f>+VLOOKUP(D4479,'Resultats - informe'!$Y$18:$AG$42,'Introducció dades consum'!K4479+1,0)</f>
        <v>0</v>
      </c>
      <c r="O4479" s="370" cm="1">
        <f t="array" ref="O4479">+_xlfn.SWITCH(MONTH(C4479),1,1,2,1,3,1,4,2,5,2,6,3,7,3,8,3,9,3,10,2,11,2,12,1,2)</f>
        <v>1</v>
      </c>
      <c r="P4479" s="43"/>
    </row>
    <row r="4480" spans="1:16" ht="18" x14ac:dyDescent="0.35">
      <c r="A4480" s="43"/>
      <c r="C4480" s="393"/>
      <c r="E4480" s="394"/>
      <c r="F4480" s="394">
        <v>2.464</v>
      </c>
      <c r="G4480" s="394"/>
      <c r="H4480" s="8" t="s">
        <v>235</v>
      </c>
      <c r="I4480" s="368">
        <f t="shared" si="208"/>
        <v>0</v>
      </c>
      <c r="J4480" s="365">
        <f t="shared" si="210"/>
        <v>0</v>
      </c>
      <c r="K4480" s="369">
        <f t="shared" si="209"/>
        <v>6</v>
      </c>
      <c r="L4480" s="369">
        <f>+IF((C4480&gt;='Resultats - informe'!$E$16)*(C4480&lt;='Resultats - informe'!$G$16),1,0)</f>
        <v>1</v>
      </c>
      <c r="M4480" s="369" cm="1">
        <f t="array" ref="M4480">+_xlfn.IFS((C4480&gt;='Resultats - informe'!$D$26)*(C4480&lt;='Resultats - informe'!$E$26),0,(C4480&gt;='Resultats - informe'!$D$27)*(C4480&lt;='Resultats - informe'!$E$27),0,(C4480&gt;='Resultats - informe'!$D$28)*(C4480&lt;='Resultats - informe'!$E$28),0,(C4480&gt;='Resultats - informe'!$D$29)*(C4480&lt;='Resultats - informe'!$E$29),0,1,1)</f>
        <v>0</v>
      </c>
      <c r="N4480" s="366">
        <f>+VLOOKUP(D4480,'Resultats - informe'!$Y$18:$AG$42,'Introducció dades consum'!K4480+1,0)</f>
        <v>0</v>
      </c>
      <c r="O4480" s="370" cm="1">
        <f t="array" ref="O4480">+_xlfn.SWITCH(MONTH(C4480),1,1,2,1,3,1,4,2,5,2,6,3,7,3,8,3,9,3,10,2,11,2,12,1,2)</f>
        <v>1</v>
      </c>
      <c r="P4480" s="43"/>
    </row>
    <row r="4481" spans="1:16" ht="18" x14ac:dyDescent="0.35">
      <c r="A4481" s="43"/>
      <c r="C4481" s="393"/>
      <c r="E4481" s="394"/>
      <c r="F4481" s="394">
        <v>2.6379999999999999</v>
      </c>
      <c r="G4481" s="394"/>
      <c r="H4481" s="8" t="s">
        <v>235</v>
      </c>
      <c r="I4481" s="368">
        <f t="shared" si="208"/>
        <v>0</v>
      </c>
      <c r="J4481" s="365">
        <f t="shared" si="210"/>
        <v>0</v>
      </c>
      <c r="K4481" s="369">
        <f t="shared" si="209"/>
        <v>6</v>
      </c>
      <c r="L4481" s="369">
        <f>+IF((C4481&gt;='Resultats - informe'!$E$16)*(C4481&lt;='Resultats - informe'!$G$16),1,0)</f>
        <v>1</v>
      </c>
      <c r="M4481" s="369" cm="1">
        <f t="array" ref="M4481">+_xlfn.IFS((C4481&gt;='Resultats - informe'!$D$26)*(C4481&lt;='Resultats - informe'!$E$26),0,(C4481&gt;='Resultats - informe'!$D$27)*(C4481&lt;='Resultats - informe'!$E$27),0,(C4481&gt;='Resultats - informe'!$D$28)*(C4481&lt;='Resultats - informe'!$E$28),0,(C4481&gt;='Resultats - informe'!$D$29)*(C4481&lt;='Resultats - informe'!$E$29),0,1,1)</f>
        <v>0</v>
      </c>
      <c r="N4481" s="366">
        <f>+VLOOKUP(D4481,'Resultats - informe'!$Y$18:$AG$42,'Introducció dades consum'!K4481+1,0)</f>
        <v>0</v>
      </c>
      <c r="O4481" s="370" cm="1">
        <f t="array" ref="O4481">+_xlfn.SWITCH(MONTH(C4481),1,1,2,1,3,1,4,2,5,2,6,3,7,3,8,3,9,3,10,2,11,2,12,1,2)</f>
        <v>1</v>
      </c>
      <c r="P4481" s="43"/>
    </row>
    <row r="4482" spans="1:16" ht="18" x14ac:dyDescent="0.35">
      <c r="A4482" s="43"/>
      <c r="C4482" s="393"/>
      <c r="E4482" s="394"/>
      <c r="F4482" s="394">
        <v>4.899</v>
      </c>
      <c r="G4482" s="394"/>
      <c r="H4482" s="8" t="s">
        <v>235</v>
      </c>
      <c r="I4482" s="368">
        <f t="shared" si="208"/>
        <v>0</v>
      </c>
      <c r="J4482" s="365">
        <f t="shared" si="210"/>
        <v>0</v>
      </c>
      <c r="K4482" s="369">
        <f t="shared" si="209"/>
        <v>6</v>
      </c>
      <c r="L4482" s="369">
        <f>+IF((C4482&gt;='Resultats - informe'!$E$16)*(C4482&lt;='Resultats - informe'!$G$16),1,0)</f>
        <v>1</v>
      </c>
      <c r="M4482" s="369" cm="1">
        <f t="array" ref="M4482">+_xlfn.IFS((C4482&gt;='Resultats - informe'!$D$26)*(C4482&lt;='Resultats - informe'!$E$26),0,(C4482&gt;='Resultats - informe'!$D$27)*(C4482&lt;='Resultats - informe'!$E$27),0,(C4482&gt;='Resultats - informe'!$D$28)*(C4482&lt;='Resultats - informe'!$E$28),0,(C4482&gt;='Resultats - informe'!$D$29)*(C4482&lt;='Resultats - informe'!$E$29),0,1,1)</f>
        <v>0</v>
      </c>
      <c r="N4482" s="366">
        <f>+VLOOKUP(D4482,'Resultats - informe'!$Y$18:$AG$42,'Introducció dades consum'!K4482+1,0)</f>
        <v>0</v>
      </c>
      <c r="O4482" s="370" cm="1">
        <f t="array" ref="O4482">+_xlfn.SWITCH(MONTH(C4482),1,1,2,1,3,1,4,2,5,2,6,3,7,3,8,3,9,3,10,2,11,2,12,1,2)</f>
        <v>1</v>
      </c>
      <c r="P4482" s="43"/>
    </row>
    <row r="4483" spans="1:16" ht="18" x14ac:dyDescent="0.35">
      <c r="A4483" s="43"/>
      <c r="C4483" s="393"/>
      <c r="E4483" s="394"/>
      <c r="F4483" s="394">
        <v>6.5149999999999997</v>
      </c>
      <c r="G4483" s="394"/>
      <c r="H4483" s="8" t="s">
        <v>235</v>
      </c>
      <c r="I4483" s="368">
        <f t="shared" si="208"/>
        <v>0</v>
      </c>
      <c r="J4483" s="365">
        <f t="shared" si="210"/>
        <v>0</v>
      </c>
      <c r="K4483" s="369">
        <f t="shared" si="209"/>
        <v>6</v>
      </c>
      <c r="L4483" s="369">
        <f>+IF((C4483&gt;='Resultats - informe'!$E$16)*(C4483&lt;='Resultats - informe'!$G$16),1,0)</f>
        <v>1</v>
      </c>
      <c r="M4483" s="369" cm="1">
        <f t="array" ref="M4483">+_xlfn.IFS((C4483&gt;='Resultats - informe'!$D$26)*(C4483&lt;='Resultats - informe'!$E$26),0,(C4483&gt;='Resultats - informe'!$D$27)*(C4483&lt;='Resultats - informe'!$E$27),0,(C4483&gt;='Resultats - informe'!$D$28)*(C4483&lt;='Resultats - informe'!$E$28),0,(C4483&gt;='Resultats - informe'!$D$29)*(C4483&lt;='Resultats - informe'!$E$29),0,1,1)</f>
        <v>0</v>
      </c>
      <c r="N4483" s="366">
        <f>+VLOOKUP(D4483,'Resultats - informe'!$Y$18:$AG$42,'Introducció dades consum'!K4483+1,0)</f>
        <v>0</v>
      </c>
      <c r="O4483" s="370" cm="1">
        <f t="array" ref="O4483">+_xlfn.SWITCH(MONTH(C4483),1,1,2,1,3,1,4,2,5,2,6,3,7,3,8,3,9,3,10,2,11,2,12,1,2)</f>
        <v>1</v>
      </c>
      <c r="P4483" s="43"/>
    </row>
    <row r="4484" spans="1:16" ht="18" x14ac:dyDescent="0.35">
      <c r="A4484" s="43"/>
      <c r="C4484" s="393"/>
      <c r="E4484" s="394"/>
      <c r="F4484" s="394">
        <v>3.8140000000000001</v>
      </c>
      <c r="G4484" s="394"/>
      <c r="H4484" s="8" t="s">
        <v>235</v>
      </c>
      <c r="I4484" s="368">
        <f t="shared" si="208"/>
        <v>0</v>
      </c>
      <c r="J4484" s="365">
        <f t="shared" si="210"/>
        <v>0</v>
      </c>
      <c r="K4484" s="369">
        <f t="shared" si="209"/>
        <v>6</v>
      </c>
      <c r="L4484" s="369">
        <f>+IF((C4484&gt;='Resultats - informe'!$E$16)*(C4484&lt;='Resultats - informe'!$G$16),1,0)</f>
        <v>1</v>
      </c>
      <c r="M4484" s="369" cm="1">
        <f t="array" ref="M4484">+_xlfn.IFS((C4484&gt;='Resultats - informe'!$D$26)*(C4484&lt;='Resultats - informe'!$E$26),0,(C4484&gt;='Resultats - informe'!$D$27)*(C4484&lt;='Resultats - informe'!$E$27),0,(C4484&gt;='Resultats - informe'!$D$28)*(C4484&lt;='Resultats - informe'!$E$28),0,(C4484&gt;='Resultats - informe'!$D$29)*(C4484&lt;='Resultats - informe'!$E$29),0,1,1)</f>
        <v>0</v>
      </c>
      <c r="N4484" s="366">
        <f>+VLOOKUP(D4484,'Resultats - informe'!$Y$18:$AG$42,'Introducció dades consum'!K4484+1,0)</f>
        <v>0</v>
      </c>
      <c r="O4484" s="370" cm="1">
        <f t="array" ref="O4484">+_xlfn.SWITCH(MONTH(C4484),1,1,2,1,3,1,4,2,5,2,6,3,7,3,8,3,9,3,10,2,11,2,12,1,2)</f>
        <v>1</v>
      </c>
      <c r="P4484" s="43"/>
    </row>
    <row r="4485" spans="1:16" ht="18" x14ac:dyDescent="0.35">
      <c r="A4485" s="43"/>
      <c r="C4485" s="393"/>
      <c r="E4485" s="394"/>
      <c r="F4485" s="394">
        <v>0.61499999999999999</v>
      </c>
      <c r="G4485" s="394"/>
      <c r="H4485" s="8" t="s">
        <v>235</v>
      </c>
      <c r="I4485" s="368">
        <f t="shared" si="208"/>
        <v>0</v>
      </c>
      <c r="J4485" s="365">
        <f t="shared" si="210"/>
        <v>0</v>
      </c>
      <c r="K4485" s="369">
        <f t="shared" si="209"/>
        <v>6</v>
      </c>
      <c r="L4485" s="369">
        <f>+IF((C4485&gt;='Resultats - informe'!$E$16)*(C4485&lt;='Resultats - informe'!$G$16),1,0)</f>
        <v>1</v>
      </c>
      <c r="M4485" s="369" cm="1">
        <f t="array" ref="M4485">+_xlfn.IFS((C4485&gt;='Resultats - informe'!$D$26)*(C4485&lt;='Resultats - informe'!$E$26),0,(C4485&gt;='Resultats - informe'!$D$27)*(C4485&lt;='Resultats - informe'!$E$27),0,(C4485&gt;='Resultats - informe'!$D$28)*(C4485&lt;='Resultats - informe'!$E$28),0,(C4485&gt;='Resultats - informe'!$D$29)*(C4485&lt;='Resultats - informe'!$E$29),0,1,1)</f>
        <v>0</v>
      </c>
      <c r="N4485" s="366">
        <f>+VLOOKUP(D4485,'Resultats - informe'!$Y$18:$AG$42,'Introducció dades consum'!K4485+1,0)</f>
        <v>0</v>
      </c>
      <c r="O4485" s="370" cm="1">
        <f t="array" ref="O4485">+_xlfn.SWITCH(MONTH(C4485),1,1,2,1,3,1,4,2,5,2,6,3,7,3,8,3,9,3,10,2,11,2,12,1,2)</f>
        <v>1</v>
      </c>
      <c r="P4485" s="43"/>
    </row>
    <row r="4486" spans="1:16" ht="18" x14ac:dyDescent="0.35">
      <c r="A4486" s="43"/>
      <c r="C4486" s="393"/>
      <c r="E4486" s="394"/>
      <c r="F4486" s="394">
        <v>0.55500000000000005</v>
      </c>
      <c r="G4486" s="394"/>
      <c r="H4486" s="8" t="s">
        <v>235</v>
      </c>
      <c r="I4486" s="368">
        <f t="shared" ref="I4486:I4549" si="211">+E4486+G4486</f>
        <v>0</v>
      </c>
      <c r="J4486" s="365">
        <f t="shared" si="210"/>
        <v>0</v>
      </c>
      <c r="K4486" s="369">
        <f t="shared" ref="K4486:K4549" si="212">+WEEKDAY(C4486,2)</f>
        <v>6</v>
      </c>
      <c r="L4486" s="369">
        <f>+IF((C4486&gt;='Resultats - informe'!$E$16)*(C4486&lt;='Resultats - informe'!$G$16),1,0)</f>
        <v>1</v>
      </c>
      <c r="M4486" s="369" cm="1">
        <f t="array" ref="M4486">+_xlfn.IFS((C4486&gt;='Resultats - informe'!$D$26)*(C4486&lt;='Resultats - informe'!$E$26),0,(C4486&gt;='Resultats - informe'!$D$27)*(C4486&lt;='Resultats - informe'!$E$27),0,(C4486&gt;='Resultats - informe'!$D$28)*(C4486&lt;='Resultats - informe'!$E$28),0,(C4486&gt;='Resultats - informe'!$D$29)*(C4486&lt;='Resultats - informe'!$E$29),0,1,1)</f>
        <v>0</v>
      </c>
      <c r="N4486" s="366">
        <f>+VLOOKUP(D4486,'Resultats - informe'!$Y$18:$AG$42,'Introducció dades consum'!K4486+1,0)</f>
        <v>0</v>
      </c>
      <c r="O4486" s="370" cm="1">
        <f t="array" ref="O4486">+_xlfn.SWITCH(MONTH(C4486),1,1,2,1,3,1,4,2,5,2,6,3,7,3,8,3,9,3,10,2,11,2,12,1,2)</f>
        <v>1</v>
      </c>
      <c r="P4486" s="43"/>
    </row>
    <row r="4487" spans="1:16" ht="18" x14ac:dyDescent="0.35">
      <c r="A4487" s="43"/>
      <c r="C4487" s="393"/>
      <c r="E4487" s="394"/>
      <c r="F4487" s="394">
        <v>0.69199999999999995</v>
      </c>
      <c r="G4487" s="394"/>
      <c r="H4487" s="8" t="s">
        <v>235</v>
      </c>
      <c r="I4487" s="368">
        <f t="shared" si="211"/>
        <v>0</v>
      </c>
      <c r="J4487" s="365">
        <f t="shared" si="210"/>
        <v>0</v>
      </c>
      <c r="K4487" s="369">
        <f t="shared" si="212"/>
        <v>6</v>
      </c>
      <c r="L4487" s="369">
        <f>+IF((C4487&gt;='Resultats - informe'!$E$16)*(C4487&lt;='Resultats - informe'!$G$16),1,0)</f>
        <v>1</v>
      </c>
      <c r="M4487" s="369" cm="1">
        <f t="array" ref="M4487">+_xlfn.IFS((C4487&gt;='Resultats - informe'!$D$26)*(C4487&lt;='Resultats - informe'!$E$26),0,(C4487&gt;='Resultats - informe'!$D$27)*(C4487&lt;='Resultats - informe'!$E$27),0,(C4487&gt;='Resultats - informe'!$D$28)*(C4487&lt;='Resultats - informe'!$E$28),0,(C4487&gt;='Resultats - informe'!$D$29)*(C4487&lt;='Resultats - informe'!$E$29),0,1,1)</f>
        <v>0</v>
      </c>
      <c r="N4487" s="366">
        <f>+VLOOKUP(D4487,'Resultats - informe'!$Y$18:$AG$42,'Introducció dades consum'!K4487+1,0)</f>
        <v>0</v>
      </c>
      <c r="O4487" s="370" cm="1">
        <f t="array" ref="O4487">+_xlfn.SWITCH(MONTH(C4487),1,1,2,1,3,1,4,2,5,2,6,3,7,3,8,3,9,3,10,2,11,2,12,1,2)</f>
        <v>1</v>
      </c>
      <c r="P4487" s="43"/>
    </row>
    <row r="4488" spans="1:16" ht="18" x14ac:dyDescent="0.35">
      <c r="A4488" s="43"/>
      <c r="C4488" s="393"/>
      <c r="E4488" s="394"/>
      <c r="F4488" s="394">
        <v>0.316</v>
      </c>
      <c r="G4488" s="394"/>
      <c r="H4488" s="8" t="s">
        <v>235</v>
      </c>
      <c r="I4488" s="368">
        <f t="shared" si="211"/>
        <v>0</v>
      </c>
      <c r="J4488" s="365">
        <f t="shared" si="210"/>
        <v>0</v>
      </c>
      <c r="K4488" s="369">
        <f t="shared" si="212"/>
        <v>6</v>
      </c>
      <c r="L4488" s="369">
        <f>+IF((C4488&gt;='Resultats - informe'!$E$16)*(C4488&lt;='Resultats - informe'!$G$16),1,0)</f>
        <v>1</v>
      </c>
      <c r="M4488" s="369" cm="1">
        <f t="array" ref="M4488">+_xlfn.IFS((C4488&gt;='Resultats - informe'!$D$26)*(C4488&lt;='Resultats - informe'!$E$26),0,(C4488&gt;='Resultats - informe'!$D$27)*(C4488&lt;='Resultats - informe'!$E$27),0,(C4488&gt;='Resultats - informe'!$D$28)*(C4488&lt;='Resultats - informe'!$E$28),0,(C4488&gt;='Resultats - informe'!$D$29)*(C4488&lt;='Resultats - informe'!$E$29),0,1,1)</f>
        <v>0</v>
      </c>
      <c r="N4488" s="366">
        <f>+VLOOKUP(D4488,'Resultats - informe'!$Y$18:$AG$42,'Introducció dades consum'!K4488+1,0)</f>
        <v>0</v>
      </c>
      <c r="O4488" s="370" cm="1">
        <f t="array" ref="O4488">+_xlfn.SWITCH(MONTH(C4488),1,1,2,1,3,1,4,2,5,2,6,3,7,3,8,3,9,3,10,2,11,2,12,1,2)</f>
        <v>1</v>
      </c>
      <c r="P4488" s="43"/>
    </row>
    <row r="4489" spans="1:16" ht="18" x14ac:dyDescent="0.35">
      <c r="A4489" s="43"/>
      <c r="C4489" s="393"/>
      <c r="E4489" s="394"/>
      <c r="F4489" s="394">
        <v>0</v>
      </c>
      <c r="G4489" s="394"/>
      <c r="H4489" s="8" t="s">
        <v>235</v>
      </c>
      <c r="I4489" s="368">
        <f t="shared" si="211"/>
        <v>0</v>
      </c>
      <c r="J4489" s="365">
        <f t="shared" si="210"/>
        <v>0</v>
      </c>
      <c r="K4489" s="369">
        <f t="shared" si="212"/>
        <v>6</v>
      </c>
      <c r="L4489" s="369">
        <f>+IF((C4489&gt;='Resultats - informe'!$E$16)*(C4489&lt;='Resultats - informe'!$G$16),1,0)</f>
        <v>1</v>
      </c>
      <c r="M4489" s="369" cm="1">
        <f t="array" ref="M4489">+_xlfn.IFS((C4489&gt;='Resultats - informe'!$D$26)*(C4489&lt;='Resultats - informe'!$E$26),0,(C4489&gt;='Resultats - informe'!$D$27)*(C4489&lt;='Resultats - informe'!$E$27),0,(C4489&gt;='Resultats - informe'!$D$28)*(C4489&lt;='Resultats - informe'!$E$28),0,(C4489&gt;='Resultats - informe'!$D$29)*(C4489&lt;='Resultats - informe'!$E$29),0,1,1)</f>
        <v>0</v>
      </c>
      <c r="N4489" s="366">
        <f>+VLOOKUP(D4489,'Resultats - informe'!$Y$18:$AG$42,'Introducció dades consum'!K4489+1,0)</f>
        <v>0</v>
      </c>
      <c r="O4489" s="370" cm="1">
        <f t="array" ref="O4489">+_xlfn.SWITCH(MONTH(C4489),1,1,2,1,3,1,4,2,5,2,6,3,7,3,8,3,9,3,10,2,11,2,12,1,2)</f>
        <v>1</v>
      </c>
      <c r="P4489" s="43"/>
    </row>
    <row r="4490" spans="1:16" ht="18" x14ac:dyDescent="0.35">
      <c r="A4490" s="43"/>
      <c r="C4490" s="393"/>
      <c r="E4490" s="394"/>
      <c r="F4490" s="394">
        <v>0</v>
      </c>
      <c r="G4490" s="394"/>
      <c r="H4490" s="8" t="s">
        <v>235</v>
      </c>
      <c r="I4490" s="368">
        <f t="shared" si="211"/>
        <v>0</v>
      </c>
      <c r="J4490" s="365">
        <f t="shared" si="210"/>
        <v>0</v>
      </c>
      <c r="K4490" s="369">
        <f t="shared" si="212"/>
        <v>6</v>
      </c>
      <c r="L4490" s="369">
        <f>+IF((C4490&gt;='Resultats - informe'!$E$16)*(C4490&lt;='Resultats - informe'!$G$16),1,0)</f>
        <v>1</v>
      </c>
      <c r="M4490" s="369" cm="1">
        <f t="array" ref="M4490">+_xlfn.IFS((C4490&gt;='Resultats - informe'!$D$26)*(C4490&lt;='Resultats - informe'!$E$26),0,(C4490&gt;='Resultats - informe'!$D$27)*(C4490&lt;='Resultats - informe'!$E$27),0,(C4490&gt;='Resultats - informe'!$D$28)*(C4490&lt;='Resultats - informe'!$E$28),0,(C4490&gt;='Resultats - informe'!$D$29)*(C4490&lt;='Resultats - informe'!$E$29),0,1,1)</f>
        <v>0</v>
      </c>
      <c r="N4490" s="366">
        <f>+VLOOKUP(D4490,'Resultats - informe'!$Y$18:$AG$42,'Introducció dades consum'!K4490+1,0)</f>
        <v>0</v>
      </c>
      <c r="O4490" s="370" cm="1">
        <f t="array" ref="O4490">+_xlfn.SWITCH(MONTH(C4490),1,1,2,1,3,1,4,2,5,2,6,3,7,3,8,3,9,3,10,2,11,2,12,1,2)</f>
        <v>1</v>
      </c>
      <c r="P4490" s="43"/>
    </row>
    <row r="4491" spans="1:16" ht="18" x14ac:dyDescent="0.35">
      <c r="A4491" s="43"/>
      <c r="C4491" s="393"/>
      <c r="E4491" s="394"/>
      <c r="F4491" s="394">
        <v>0</v>
      </c>
      <c r="G4491" s="394"/>
      <c r="H4491" s="8" t="s">
        <v>235</v>
      </c>
      <c r="I4491" s="368">
        <f t="shared" si="211"/>
        <v>0</v>
      </c>
      <c r="J4491" s="365">
        <f t="shared" si="210"/>
        <v>0</v>
      </c>
      <c r="K4491" s="369">
        <f t="shared" si="212"/>
        <v>6</v>
      </c>
      <c r="L4491" s="369">
        <f>+IF((C4491&gt;='Resultats - informe'!$E$16)*(C4491&lt;='Resultats - informe'!$G$16),1,0)</f>
        <v>1</v>
      </c>
      <c r="M4491" s="369" cm="1">
        <f t="array" ref="M4491">+_xlfn.IFS((C4491&gt;='Resultats - informe'!$D$26)*(C4491&lt;='Resultats - informe'!$E$26),0,(C4491&gt;='Resultats - informe'!$D$27)*(C4491&lt;='Resultats - informe'!$E$27),0,(C4491&gt;='Resultats - informe'!$D$28)*(C4491&lt;='Resultats - informe'!$E$28),0,(C4491&gt;='Resultats - informe'!$D$29)*(C4491&lt;='Resultats - informe'!$E$29),0,1,1)</f>
        <v>0</v>
      </c>
      <c r="N4491" s="366">
        <f>+VLOOKUP(D4491,'Resultats - informe'!$Y$18:$AG$42,'Introducció dades consum'!K4491+1,0)</f>
        <v>0</v>
      </c>
      <c r="O4491" s="370" cm="1">
        <f t="array" ref="O4491">+_xlfn.SWITCH(MONTH(C4491),1,1,2,1,3,1,4,2,5,2,6,3,7,3,8,3,9,3,10,2,11,2,12,1,2)</f>
        <v>1</v>
      </c>
      <c r="P4491" s="43"/>
    </row>
    <row r="4492" spans="1:16" ht="18" x14ac:dyDescent="0.35">
      <c r="A4492" s="43"/>
      <c r="C4492" s="393"/>
      <c r="E4492" s="394"/>
      <c r="F4492" s="394">
        <v>0</v>
      </c>
      <c r="G4492" s="394"/>
      <c r="H4492" s="8" t="s">
        <v>235</v>
      </c>
      <c r="I4492" s="368">
        <f t="shared" si="211"/>
        <v>0</v>
      </c>
      <c r="J4492" s="365">
        <f t="shared" si="210"/>
        <v>0</v>
      </c>
      <c r="K4492" s="369">
        <f t="shared" si="212"/>
        <v>6</v>
      </c>
      <c r="L4492" s="369">
        <f>+IF((C4492&gt;='Resultats - informe'!$E$16)*(C4492&lt;='Resultats - informe'!$G$16),1,0)</f>
        <v>1</v>
      </c>
      <c r="M4492" s="369" cm="1">
        <f t="array" ref="M4492">+_xlfn.IFS((C4492&gt;='Resultats - informe'!$D$26)*(C4492&lt;='Resultats - informe'!$E$26),0,(C4492&gt;='Resultats - informe'!$D$27)*(C4492&lt;='Resultats - informe'!$E$27),0,(C4492&gt;='Resultats - informe'!$D$28)*(C4492&lt;='Resultats - informe'!$E$28),0,(C4492&gt;='Resultats - informe'!$D$29)*(C4492&lt;='Resultats - informe'!$E$29),0,1,1)</f>
        <v>0</v>
      </c>
      <c r="N4492" s="366">
        <f>+VLOOKUP(D4492,'Resultats - informe'!$Y$18:$AG$42,'Introducció dades consum'!K4492+1,0)</f>
        <v>0</v>
      </c>
      <c r="O4492" s="370" cm="1">
        <f t="array" ref="O4492">+_xlfn.SWITCH(MONTH(C4492),1,1,2,1,3,1,4,2,5,2,6,3,7,3,8,3,9,3,10,2,11,2,12,1,2)</f>
        <v>1</v>
      </c>
      <c r="P4492" s="43"/>
    </row>
    <row r="4493" spans="1:16" ht="18" x14ac:dyDescent="0.35">
      <c r="A4493" s="43"/>
      <c r="C4493" s="393"/>
      <c r="E4493" s="394"/>
      <c r="F4493" s="394">
        <v>0</v>
      </c>
      <c r="G4493" s="394"/>
      <c r="H4493" s="8" t="s">
        <v>235</v>
      </c>
      <c r="I4493" s="368">
        <f t="shared" si="211"/>
        <v>0</v>
      </c>
      <c r="J4493" s="365">
        <f t="shared" si="210"/>
        <v>0</v>
      </c>
      <c r="K4493" s="369">
        <f t="shared" si="212"/>
        <v>6</v>
      </c>
      <c r="L4493" s="369">
        <f>+IF((C4493&gt;='Resultats - informe'!$E$16)*(C4493&lt;='Resultats - informe'!$G$16),1,0)</f>
        <v>1</v>
      </c>
      <c r="M4493" s="369" cm="1">
        <f t="array" ref="M4493">+_xlfn.IFS((C4493&gt;='Resultats - informe'!$D$26)*(C4493&lt;='Resultats - informe'!$E$26),0,(C4493&gt;='Resultats - informe'!$D$27)*(C4493&lt;='Resultats - informe'!$E$27),0,(C4493&gt;='Resultats - informe'!$D$28)*(C4493&lt;='Resultats - informe'!$E$28),0,(C4493&gt;='Resultats - informe'!$D$29)*(C4493&lt;='Resultats - informe'!$E$29),0,1,1)</f>
        <v>0</v>
      </c>
      <c r="N4493" s="366">
        <f>+VLOOKUP(D4493,'Resultats - informe'!$Y$18:$AG$42,'Introducció dades consum'!K4493+1,0)</f>
        <v>0</v>
      </c>
      <c r="O4493" s="370" cm="1">
        <f t="array" ref="O4493">+_xlfn.SWITCH(MONTH(C4493),1,1,2,1,3,1,4,2,5,2,6,3,7,3,8,3,9,3,10,2,11,2,12,1,2)</f>
        <v>1</v>
      </c>
      <c r="P4493" s="43"/>
    </row>
    <row r="4494" spans="1:16" ht="18" x14ac:dyDescent="0.35">
      <c r="A4494" s="43"/>
      <c r="C4494" s="393"/>
      <c r="E4494" s="394"/>
      <c r="F4494" s="394">
        <v>0</v>
      </c>
      <c r="G4494" s="394"/>
      <c r="H4494" s="8" t="s">
        <v>235</v>
      </c>
      <c r="I4494" s="368">
        <f t="shared" si="211"/>
        <v>0</v>
      </c>
      <c r="J4494" s="365">
        <f t="shared" si="210"/>
        <v>0</v>
      </c>
      <c r="K4494" s="369">
        <f t="shared" si="212"/>
        <v>6</v>
      </c>
      <c r="L4494" s="369">
        <f>+IF((C4494&gt;='Resultats - informe'!$E$16)*(C4494&lt;='Resultats - informe'!$G$16),1,0)</f>
        <v>1</v>
      </c>
      <c r="M4494" s="369" cm="1">
        <f t="array" ref="M4494">+_xlfn.IFS((C4494&gt;='Resultats - informe'!$D$26)*(C4494&lt;='Resultats - informe'!$E$26),0,(C4494&gt;='Resultats - informe'!$D$27)*(C4494&lt;='Resultats - informe'!$E$27),0,(C4494&gt;='Resultats - informe'!$D$28)*(C4494&lt;='Resultats - informe'!$E$28),0,(C4494&gt;='Resultats - informe'!$D$29)*(C4494&lt;='Resultats - informe'!$E$29),0,1,1)</f>
        <v>0</v>
      </c>
      <c r="N4494" s="366">
        <f>+VLOOKUP(D4494,'Resultats - informe'!$Y$18:$AG$42,'Introducció dades consum'!K4494+1,0)</f>
        <v>0</v>
      </c>
      <c r="O4494" s="370" cm="1">
        <f t="array" ref="O4494">+_xlfn.SWITCH(MONTH(C4494),1,1,2,1,3,1,4,2,5,2,6,3,7,3,8,3,9,3,10,2,11,2,12,1,2)</f>
        <v>1</v>
      </c>
      <c r="P4494" s="43"/>
    </row>
    <row r="4495" spans="1:16" ht="18" x14ac:dyDescent="0.35">
      <c r="A4495" s="43"/>
      <c r="C4495" s="393"/>
      <c r="E4495" s="394"/>
      <c r="F4495" s="394">
        <v>0</v>
      </c>
      <c r="G4495" s="394"/>
      <c r="H4495" s="8" t="s">
        <v>235</v>
      </c>
      <c r="I4495" s="368">
        <f t="shared" si="211"/>
        <v>0</v>
      </c>
      <c r="J4495" s="365">
        <f t="shared" si="210"/>
        <v>0</v>
      </c>
      <c r="K4495" s="369">
        <f t="shared" si="212"/>
        <v>6</v>
      </c>
      <c r="L4495" s="369">
        <f>+IF((C4495&gt;='Resultats - informe'!$E$16)*(C4495&lt;='Resultats - informe'!$G$16),1,0)</f>
        <v>1</v>
      </c>
      <c r="M4495" s="369" cm="1">
        <f t="array" ref="M4495">+_xlfn.IFS((C4495&gt;='Resultats - informe'!$D$26)*(C4495&lt;='Resultats - informe'!$E$26),0,(C4495&gt;='Resultats - informe'!$D$27)*(C4495&lt;='Resultats - informe'!$E$27),0,(C4495&gt;='Resultats - informe'!$D$28)*(C4495&lt;='Resultats - informe'!$E$28),0,(C4495&gt;='Resultats - informe'!$D$29)*(C4495&lt;='Resultats - informe'!$E$29),0,1,1)</f>
        <v>0</v>
      </c>
      <c r="N4495" s="366">
        <f>+VLOOKUP(D4495,'Resultats - informe'!$Y$18:$AG$42,'Introducció dades consum'!K4495+1,0)</f>
        <v>0</v>
      </c>
      <c r="O4495" s="370" cm="1">
        <f t="array" ref="O4495">+_xlfn.SWITCH(MONTH(C4495),1,1,2,1,3,1,4,2,5,2,6,3,7,3,8,3,9,3,10,2,11,2,12,1,2)</f>
        <v>1</v>
      </c>
      <c r="P4495" s="43"/>
    </row>
    <row r="4496" spans="1:16" ht="18" x14ac:dyDescent="0.35">
      <c r="A4496" s="43"/>
      <c r="C4496" s="393"/>
      <c r="E4496" s="394"/>
      <c r="F4496" s="394">
        <v>0</v>
      </c>
      <c r="G4496" s="394"/>
      <c r="H4496" s="8" t="s">
        <v>235</v>
      </c>
      <c r="I4496" s="368">
        <f t="shared" si="211"/>
        <v>0</v>
      </c>
      <c r="J4496" s="365">
        <f t="shared" si="210"/>
        <v>0</v>
      </c>
      <c r="K4496" s="369">
        <f t="shared" si="212"/>
        <v>6</v>
      </c>
      <c r="L4496" s="369">
        <f>+IF((C4496&gt;='Resultats - informe'!$E$16)*(C4496&lt;='Resultats - informe'!$G$16),1,0)</f>
        <v>1</v>
      </c>
      <c r="M4496" s="369" cm="1">
        <f t="array" ref="M4496">+_xlfn.IFS((C4496&gt;='Resultats - informe'!$D$26)*(C4496&lt;='Resultats - informe'!$E$26),0,(C4496&gt;='Resultats - informe'!$D$27)*(C4496&lt;='Resultats - informe'!$E$27),0,(C4496&gt;='Resultats - informe'!$D$28)*(C4496&lt;='Resultats - informe'!$E$28),0,(C4496&gt;='Resultats - informe'!$D$29)*(C4496&lt;='Resultats - informe'!$E$29),0,1,1)</f>
        <v>0</v>
      </c>
      <c r="N4496" s="366">
        <f>+VLOOKUP(D4496,'Resultats - informe'!$Y$18:$AG$42,'Introducció dades consum'!K4496+1,0)</f>
        <v>0</v>
      </c>
      <c r="O4496" s="370" cm="1">
        <f t="array" ref="O4496">+_xlfn.SWITCH(MONTH(C4496),1,1,2,1,3,1,4,2,5,2,6,3,7,3,8,3,9,3,10,2,11,2,12,1,2)</f>
        <v>1</v>
      </c>
      <c r="P4496" s="43"/>
    </row>
    <row r="4497" spans="1:16" ht="18" x14ac:dyDescent="0.35">
      <c r="A4497" s="43"/>
      <c r="C4497" s="393"/>
      <c r="E4497" s="394"/>
      <c r="F4497" s="394">
        <v>0</v>
      </c>
      <c r="G4497" s="394"/>
      <c r="H4497" s="8" t="s">
        <v>235</v>
      </c>
      <c r="I4497" s="368">
        <f t="shared" si="211"/>
        <v>0</v>
      </c>
      <c r="J4497" s="365">
        <f t="shared" si="210"/>
        <v>0</v>
      </c>
      <c r="K4497" s="369">
        <f t="shared" si="212"/>
        <v>6</v>
      </c>
      <c r="L4497" s="369">
        <f>+IF((C4497&gt;='Resultats - informe'!$E$16)*(C4497&lt;='Resultats - informe'!$G$16),1,0)</f>
        <v>1</v>
      </c>
      <c r="M4497" s="369" cm="1">
        <f t="array" ref="M4497">+_xlfn.IFS((C4497&gt;='Resultats - informe'!$D$26)*(C4497&lt;='Resultats - informe'!$E$26),0,(C4497&gt;='Resultats - informe'!$D$27)*(C4497&lt;='Resultats - informe'!$E$27),0,(C4497&gt;='Resultats - informe'!$D$28)*(C4497&lt;='Resultats - informe'!$E$28),0,(C4497&gt;='Resultats - informe'!$D$29)*(C4497&lt;='Resultats - informe'!$E$29),0,1,1)</f>
        <v>0</v>
      </c>
      <c r="N4497" s="366">
        <f>+VLOOKUP(D4497,'Resultats - informe'!$Y$18:$AG$42,'Introducció dades consum'!K4497+1,0)</f>
        <v>0</v>
      </c>
      <c r="O4497" s="370" cm="1">
        <f t="array" ref="O4497">+_xlfn.SWITCH(MONTH(C4497),1,1,2,1,3,1,4,2,5,2,6,3,7,3,8,3,9,3,10,2,11,2,12,1,2)</f>
        <v>1</v>
      </c>
      <c r="P4497" s="43"/>
    </row>
    <row r="4498" spans="1:16" ht="18" x14ac:dyDescent="0.35">
      <c r="A4498" s="43"/>
      <c r="C4498" s="393"/>
      <c r="E4498" s="394"/>
      <c r="F4498" s="394">
        <v>0</v>
      </c>
      <c r="G4498" s="394"/>
      <c r="H4498" s="8" t="s">
        <v>235</v>
      </c>
      <c r="I4498" s="368">
        <f t="shared" si="211"/>
        <v>0</v>
      </c>
      <c r="J4498" s="365">
        <f t="shared" si="210"/>
        <v>0</v>
      </c>
      <c r="K4498" s="369">
        <f t="shared" si="212"/>
        <v>6</v>
      </c>
      <c r="L4498" s="369">
        <f>+IF((C4498&gt;='Resultats - informe'!$E$16)*(C4498&lt;='Resultats - informe'!$G$16),1,0)</f>
        <v>1</v>
      </c>
      <c r="M4498" s="369" cm="1">
        <f t="array" ref="M4498">+_xlfn.IFS((C4498&gt;='Resultats - informe'!$D$26)*(C4498&lt;='Resultats - informe'!$E$26),0,(C4498&gt;='Resultats - informe'!$D$27)*(C4498&lt;='Resultats - informe'!$E$27),0,(C4498&gt;='Resultats - informe'!$D$28)*(C4498&lt;='Resultats - informe'!$E$28),0,(C4498&gt;='Resultats - informe'!$D$29)*(C4498&lt;='Resultats - informe'!$E$29),0,1,1)</f>
        <v>0</v>
      </c>
      <c r="N4498" s="366">
        <f>+VLOOKUP(D4498,'Resultats - informe'!$Y$18:$AG$42,'Introducció dades consum'!K4498+1,0)</f>
        <v>0</v>
      </c>
      <c r="O4498" s="370" cm="1">
        <f t="array" ref="O4498">+_xlfn.SWITCH(MONTH(C4498),1,1,2,1,3,1,4,2,5,2,6,3,7,3,8,3,9,3,10,2,11,2,12,1,2)</f>
        <v>1</v>
      </c>
      <c r="P4498" s="43"/>
    </row>
    <row r="4499" spans="1:16" ht="18" x14ac:dyDescent="0.35">
      <c r="A4499" s="43"/>
      <c r="C4499" s="393"/>
      <c r="E4499" s="394"/>
      <c r="F4499" s="394">
        <v>0.28100000000000003</v>
      </c>
      <c r="G4499" s="394"/>
      <c r="H4499" s="8" t="s">
        <v>235</v>
      </c>
      <c r="I4499" s="368">
        <f t="shared" si="211"/>
        <v>0</v>
      </c>
      <c r="J4499" s="365">
        <f t="shared" si="210"/>
        <v>0</v>
      </c>
      <c r="K4499" s="369">
        <f t="shared" si="212"/>
        <v>6</v>
      </c>
      <c r="L4499" s="369">
        <f>+IF((C4499&gt;='Resultats - informe'!$E$16)*(C4499&lt;='Resultats - informe'!$G$16),1,0)</f>
        <v>1</v>
      </c>
      <c r="M4499" s="369" cm="1">
        <f t="array" ref="M4499">+_xlfn.IFS((C4499&gt;='Resultats - informe'!$D$26)*(C4499&lt;='Resultats - informe'!$E$26),0,(C4499&gt;='Resultats - informe'!$D$27)*(C4499&lt;='Resultats - informe'!$E$27),0,(C4499&gt;='Resultats - informe'!$D$28)*(C4499&lt;='Resultats - informe'!$E$28),0,(C4499&gt;='Resultats - informe'!$D$29)*(C4499&lt;='Resultats - informe'!$E$29),0,1,1)</f>
        <v>0</v>
      </c>
      <c r="N4499" s="366">
        <f>+VLOOKUP(D4499,'Resultats - informe'!$Y$18:$AG$42,'Introducció dades consum'!K4499+1,0)</f>
        <v>0</v>
      </c>
      <c r="O4499" s="370" cm="1">
        <f t="array" ref="O4499">+_xlfn.SWITCH(MONTH(C4499),1,1,2,1,3,1,4,2,5,2,6,3,7,3,8,3,9,3,10,2,11,2,12,1,2)</f>
        <v>1</v>
      </c>
      <c r="P4499" s="43"/>
    </row>
    <row r="4500" spans="1:16" ht="18" x14ac:dyDescent="0.35">
      <c r="A4500" s="43"/>
      <c r="C4500" s="393"/>
      <c r="E4500" s="394"/>
      <c r="F4500" s="394">
        <v>8.1000000000000003E-2</v>
      </c>
      <c r="G4500" s="394"/>
      <c r="H4500" s="8" t="s">
        <v>235</v>
      </c>
      <c r="I4500" s="368">
        <f t="shared" si="211"/>
        <v>0</v>
      </c>
      <c r="J4500" s="365">
        <f t="shared" si="210"/>
        <v>0</v>
      </c>
      <c r="K4500" s="369">
        <f t="shared" si="212"/>
        <v>6</v>
      </c>
      <c r="L4500" s="369">
        <f>+IF((C4500&gt;='Resultats - informe'!$E$16)*(C4500&lt;='Resultats - informe'!$G$16),1,0)</f>
        <v>1</v>
      </c>
      <c r="M4500" s="369" cm="1">
        <f t="array" ref="M4500">+_xlfn.IFS((C4500&gt;='Resultats - informe'!$D$26)*(C4500&lt;='Resultats - informe'!$E$26),0,(C4500&gt;='Resultats - informe'!$D$27)*(C4500&lt;='Resultats - informe'!$E$27),0,(C4500&gt;='Resultats - informe'!$D$28)*(C4500&lt;='Resultats - informe'!$E$28),0,(C4500&gt;='Resultats - informe'!$D$29)*(C4500&lt;='Resultats - informe'!$E$29),0,1,1)</f>
        <v>0</v>
      </c>
      <c r="N4500" s="366">
        <f>+VLOOKUP(D4500,'Resultats - informe'!$Y$18:$AG$42,'Introducció dades consum'!K4500+1,0)</f>
        <v>0</v>
      </c>
      <c r="O4500" s="370" cm="1">
        <f t="array" ref="O4500">+_xlfn.SWITCH(MONTH(C4500),1,1,2,1,3,1,4,2,5,2,6,3,7,3,8,3,9,3,10,2,11,2,12,1,2)</f>
        <v>1</v>
      </c>
      <c r="P4500" s="43"/>
    </row>
    <row r="4501" spans="1:16" ht="18" x14ac:dyDescent="0.35">
      <c r="A4501" s="43"/>
      <c r="C4501" s="393"/>
      <c r="E4501" s="394"/>
      <c r="F4501" s="394">
        <v>1.264</v>
      </c>
      <c r="G4501" s="394"/>
      <c r="H4501" s="8" t="s">
        <v>235</v>
      </c>
      <c r="I4501" s="368">
        <f t="shared" si="211"/>
        <v>0</v>
      </c>
      <c r="J4501" s="365">
        <f t="shared" si="210"/>
        <v>0</v>
      </c>
      <c r="K4501" s="369">
        <f t="shared" si="212"/>
        <v>6</v>
      </c>
      <c r="L4501" s="369">
        <f>+IF((C4501&gt;='Resultats - informe'!$E$16)*(C4501&lt;='Resultats - informe'!$G$16),1,0)</f>
        <v>1</v>
      </c>
      <c r="M4501" s="369" cm="1">
        <f t="array" ref="M4501">+_xlfn.IFS((C4501&gt;='Resultats - informe'!$D$26)*(C4501&lt;='Resultats - informe'!$E$26),0,(C4501&gt;='Resultats - informe'!$D$27)*(C4501&lt;='Resultats - informe'!$E$27),0,(C4501&gt;='Resultats - informe'!$D$28)*(C4501&lt;='Resultats - informe'!$E$28),0,(C4501&gt;='Resultats - informe'!$D$29)*(C4501&lt;='Resultats - informe'!$E$29),0,1,1)</f>
        <v>0</v>
      </c>
      <c r="N4501" s="366">
        <f>+VLOOKUP(D4501,'Resultats - informe'!$Y$18:$AG$42,'Introducció dades consum'!K4501+1,0)</f>
        <v>0</v>
      </c>
      <c r="O4501" s="370" cm="1">
        <f t="array" ref="O4501">+_xlfn.SWITCH(MONTH(C4501),1,1,2,1,3,1,4,2,5,2,6,3,7,3,8,3,9,3,10,2,11,2,12,1,2)</f>
        <v>1</v>
      </c>
      <c r="P4501" s="43"/>
    </row>
    <row r="4502" spans="1:16" ht="18" x14ac:dyDescent="0.35">
      <c r="A4502" s="43"/>
      <c r="C4502" s="393"/>
      <c r="E4502" s="394"/>
      <c r="F4502" s="394">
        <v>2.66</v>
      </c>
      <c r="G4502" s="394"/>
      <c r="H4502" s="8" t="s">
        <v>235</v>
      </c>
      <c r="I4502" s="368">
        <f t="shared" si="211"/>
        <v>0</v>
      </c>
      <c r="J4502" s="365">
        <f t="shared" si="210"/>
        <v>0</v>
      </c>
      <c r="K4502" s="369">
        <f t="shared" si="212"/>
        <v>6</v>
      </c>
      <c r="L4502" s="369">
        <f>+IF((C4502&gt;='Resultats - informe'!$E$16)*(C4502&lt;='Resultats - informe'!$G$16),1,0)</f>
        <v>1</v>
      </c>
      <c r="M4502" s="369" cm="1">
        <f t="array" ref="M4502">+_xlfn.IFS((C4502&gt;='Resultats - informe'!$D$26)*(C4502&lt;='Resultats - informe'!$E$26),0,(C4502&gt;='Resultats - informe'!$D$27)*(C4502&lt;='Resultats - informe'!$E$27),0,(C4502&gt;='Resultats - informe'!$D$28)*(C4502&lt;='Resultats - informe'!$E$28),0,(C4502&gt;='Resultats - informe'!$D$29)*(C4502&lt;='Resultats - informe'!$E$29),0,1,1)</f>
        <v>0</v>
      </c>
      <c r="N4502" s="366">
        <f>+VLOOKUP(D4502,'Resultats - informe'!$Y$18:$AG$42,'Introducció dades consum'!K4502+1,0)</f>
        <v>0</v>
      </c>
      <c r="O4502" s="370" cm="1">
        <f t="array" ref="O4502">+_xlfn.SWITCH(MONTH(C4502),1,1,2,1,3,1,4,2,5,2,6,3,7,3,8,3,9,3,10,2,11,2,12,1,2)</f>
        <v>1</v>
      </c>
      <c r="P4502" s="43"/>
    </row>
    <row r="4503" spans="1:16" ht="18" x14ac:dyDescent="0.35">
      <c r="A4503" s="43"/>
      <c r="C4503" s="393"/>
      <c r="E4503" s="394"/>
      <c r="F4503" s="394">
        <v>4.1870000000000003</v>
      </c>
      <c r="G4503" s="394"/>
      <c r="H4503" s="8" t="s">
        <v>235</v>
      </c>
      <c r="I4503" s="368">
        <f t="shared" si="211"/>
        <v>0</v>
      </c>
      <c r="J4503" s="365">
        <f t="shared" si="210"/>
        <v>0</v>
      </c>
      <c r="K4503" s="369">
        <f t="shared" si="212"/>
        <v>6</v>
      </c>
      <c r="L4503" s="369">
        <f>+IF((C4503&gt;='Resultats - informe'!$E$16)*(C4503&lt;='Resultats - informe'!$G$16),1,0)</f>
        <v>1</v>
      </c>
      <c r="M4503" s="369" cm="1">
        <f t="array" ref="M4503">+_xlfn.IFS((C4503&gt;='Resultats - informe'!$D$26)*(C4503&lt;='Resultats - informe'!$E$26),0,(C4503&gt;='Resultats - informe'!$D$27)*(C4503&lt;='Resultats - informe'!$E$27),0,(C4503&gt;='Resultats - informe'!$D$28)*(C4503&lt;='Resultats - informe'!$E$28),0,(C4503&gt;='Resultats - informe'!$D$29)*(C4503&lt;='Resultats - informe'!$E$29),0,1,1)</f>
        <v>0</v>
      </c>
      <c r="N4503" s="366">
        <f>+VLOOKUP(D4503,'Resultats - informe'!$Y$18:$AG$42,'Introducció dades consum'!K4503+1,0)</f>
        <v>0</v>
      </c>
      <c r="O4503" s="370" cm="1">
        <f t="array" ref="O4503">+_xlfn.SWITCH(MONTH(C4503),1,1,2,1,3,1,4,2,5,2,6,3,7,3,8,3,9,3,10,2,11,2,12,1,2)</f>
        <v>1</v>
      </c>
      <c r="P4503" s="43"/>
    </row>
    <row r="4504" spans="1:16" ht="18" x14ac:dyDescent="0.35">
      <c r="A4504" s="43"/>
      <c r="C4504" s="393"/>
      <c r="E4504" s="394"/>
      <c r="F4504" s="394">
        <v>3.7330000000000001</v>
      </c>
      <c r="G4504" s="394"/>
      <c r="H4504" s="8" t="s">
        <v>235</v>
      </c>
      <c r="I4504" s="368">
        <f t="shared" si="211"/>
        <v>0</v>
      </c>
      <c r="J4504" s="365">
        <f t="shared" si="210"/>
        <v>0</v>
      </c>
      <c r="K4504" s="369">
        <f t="shared" si="212"/>
        <v>6</v>
      </c>
      <c r="L4504" s="369">
        <f>+IF((C4504&gt;='Resultats - informe'!$E$16)*(C4504&lt;='Resultats - informe'!$G$16),1,0)</f>
        <v>1</v>
      </c>
      <c r="M4504" s="369" cm="1">
        <f t="array" ref="M4504">+_xlfn.IFS((C4504&gt;='Resultats - informe'!$D$26)*(C4504&lt;='Resultats - informe'!$E$26),0,(C4504&gt;='Resultats - informe'!$D$27)*(C4504&lt;='Resultats - informe'!$E$27),0,(C4504&gt;='Resultats - informe'!$D$28)*(C4504&lt;='Resultats - informe'!$E$28),0,(C4504&gt;='Resultats - informe'!$D$29)*(C4504&lt;='Resultats - informe'!$E$29),0,1,1)</f>
        <v>0</v>
      </c>
      <c r="N4504" s="366">
        <f>+VLOOKUP(D4504,'Resultats - informe'!$Y$18:$AG$42,'Introducció dades consum'!K4504+1,0)</f>
        <v>0</v>
      </c>
      <c r="O4504" s="370" cm="1">
        <f t="array" ref="O4504">+_xlfn.SWITCH(MONTH(C4504),1,1,2,1,3,1,4,2,5,2,6,3,7,3,8,3,9,3,10,2,11,2,12,1,2)</f>
        <v>1</v>
      </c>
      <c r="P4504" s="43"/>
    </row>
    <row r="4505" spans="1:16" ht="18" x14ac:dyDescent="0.35">
      <c r="A4505" s="43"/>
      <c r="C4505" s="393"/>
      <c r="E4505" s="394"/>
      <c r="F4505" s="394">
        <v>1.7969999999999999</v>
      </c>
      <c r="G4505" s="394"/>
      <c r="H4505" s="8" t="s">
        <v>235</v>
      </c>
      <c r="I4505" s="368">
        <f t="shared" si="211"/>
        <v>0</v>
      </c>
      <c r="J4505" s="365">
        <f t="shared" si="210"/>
        <v>0</v>
      </c>
      <c r="K4505" s="369">
        <f t="shared" si="212"/>
        <v>6</v>
      </c>
      <c r="L4505" s="369">
        <f>+IF((C4505&gt;='Resultats - informe'!$E$16)*(C4505&lt;='Resultats - informe'!$G$16),1,0)</f>
        <v>1</v>
      </c>
      <c r="M4505" s="369" cm="1">
        <f t="array" ref="M4505">+_xlfn.IFS((C4505&gt;='Resultats - informe'!$D$26)*(C4505&lt;='Resultats - informe'!$E$26),0,(C4505&gt;='Resultats - informe'!$D$27)*(C4505&lt;='Resultats - informe'!$E$27),0,(C4505&gt;='Resultats - informe'!$D$28)*(C4505&lt;='Resultats - informe'!$E$28),0,(C4505&gt;='Resultats - informe'!$D$29)*(C4505&lt;='Resultats - informe'!$E$29),0,1,1)</f>
        <v>0</v>
      </c>
      <c r="N4505" s="366">
        <f>+VLOOKUP(D4505,'Resultats - informe'!$Y$18:$AG$42,'Introducció dades consum'!K4505+1,0)</f>
        <v>0</v>
      </c>
      <c r="O4505" s="370" cm="1">
        <f t="array" ref="O4505">+_xlfn.SWITCH(MONTH(C4505),1,1,2,1,3,1,4,2,5,2,6,3,7,3,8,3,9,3,10,2,11,2,12,1,2)</f>
        <v>1</v>
      </c>
      <c r="P4505" s="43"/>
    </row>
    <row r="4506" spans="1:16" ht="18" x14ac:dyDescent="0.35">
      <c r="A4506" s="43"/>
      <c r="C4506" s="393"/>
      <c r="E4506" s="394"/>
      <c r="F4506" s="394">
        <v>2.371</v>
      </c>
      <c r="G4506" s="394"/>
      <c r="H4506" s="8" t="s">
        <v>235</v>
      </c>
      <c r="I4506" s="368">
        <f t="shared" si="211"/>
        <v>0</v>
      </c>
      <c r="J4506" s="365">
        <f t="shared" si="210"/>
        <v>0</v>
      </c>
      <c r="K4506" s="369">
        <f t="shared" si="212"/>
        <v>6</v>
      </c>
      <c r="L4506" s="369">
        <f>+IF((C4506&gt;='Resultats - informe'!$E$16)*(C4506&lt;='Resultats - informe'!$G$16),1,0)</f>
        <v>1</v>
      </c>
      <c r="M4506" s="369" cm="1">
        <f t="array" ref="M4506">+_xlfn.IFS((C4506&gt;='Resultats - informe'!$D$26)*(C4506&lt;='Resultats - informe'!$E$26),0,(C4506&gt;='Resultats - informe'!$D$27)*(C4506&lt;='Resultats - informe'!$E$27),0,(C4506&gt;='Resultats - informe'!$D$28)*(C4506&lt;='Resultats - informe'!$E$28),0,(C4506&gt;='Resultats - informe'!$D$29)*(C4506&lt;='Resultats - informe'!$E$29),0,1,1)</f>
        <v>0</v>
      </c>
      <c r="N4506" s="366">
        <f>+VLOOKUP(D4506,'Resultats - informe'!$Y$18:$AG$42,'Introducció dades consum'!K4506+1,0)</f>
        <v>0</v>
      </c>
      <c r="O4506" s="370" cm="1">
        <f t="array" ref="O4506">+_xlfn.SWITCH(MONTH(C4506),1,1,2,1,3,1,4,2,5,2,6,3,7,3,8,3,9,3,10,2,11,2,12,1,2)</f>
        <v>1</v>
      </c>
      <c r="P4506" s="43"/>
    </row>
    <row r="4507" spans="1:16" ht="18" x14ac:dyDescent="0.35">
      <c r="A4507" s="43"/>
      <c r="C4507" s="393"/>
      <c r="E4507" s="394"/>
      <c r="F4507" s="394">
        <v>3.8250000000000002</v>
      </c>
      <c r="G4507" s="394"/>
      <c r="H4507" s="8" t="s">
        <v>235</v>
      </c>
      <c r="I4507" s="368">
        <f t="shared" si="211"/>
        <v>0</v>
      </c>
      <c r="J4507" s="365">
        <f t="shared" si="210"/>
        <v>0</v>
      </c>
      <c r="K4507" s="369">
        <f t="shared" si="212"/>
        <v>6</v>
      </c>
      <c r="L4507" s="369">
        <f>+IF((C4507&gt;='Resultats - informe'!$E$16)*(C4507&lt;='Resultats - informe'!$G$16),1,0)</f>
        <v>1</v>
      </c>
      <c r="M4507" s="369" cm="1">
        <f t="array" ref="M4507">+_xlfn.IFS((C4507&gt;='Resultats - informe'!$D$26)*(C4507&lt;='Resultats - informe'!$E$26),0,(C4507&gt;='Resultats - informe'!$D$27)*(C4507&lt;='Resultats - informe'!$E$27),0,(C4507&gt;='Resultats - informe'!$D$28)*(C4507&lt;='Resultats - informe'!$E$28),0,(C4507&gt;='Resultats - informe'!$D$29)*(C4507&lt;='Resultats - informe'!$E$29),0,1,1)</f>
        <v>0</v>
      </c>
      <c r="N4507" s="366">
        <f>+VLOOKUP(D4507,'Resultats - informe'!$Y$18:$AG$42,'Introducció dades consum'!K4507+1,0)</f>
        <v>0</v>
      </c>
      <c r="O4507" s="370" cm="1">
        <f t="array" ref="O4507">+_xlfn.SWITCH(MONTH(C4507),1,1,2,1,3,1,4,2,5,2,6,3,7,3,8,3,9,3,10,2,11,2,12,1,2)</f>
        <v>1</v>
      </c>
      <c r="P4507" s="43"/>
    </row>
    <row r="4508" spans="1:16" ht="18" x14ac:dyDescent="0.35">
      <c r="A4508" s="43"/>
      <c r="C4508" s="393"/>
      <c r="E4508" s="394"/>
      <c r="F4508" s="394">
        <v>3.782</v>
      </c>
      <c r="G4508" s="394"/>
      <c r="H4508" s="8" t="s">
        <v>235</v>
      </c>
      <c r="I4508" s="368">
        <f t="shared" si="211"/>
        <v>0</v>
      </c>
      <c r="J4508" s="365">
        <f t="shared" si="210"/>
        <v>0</v>
      </c>
      <c r="K4508" s="369">
        <f t="shared" si="212"/>
        <v>6</v>
      </c>
      <c r="L4508" s="369">
        <f>+IF((C4508&gt;='Resultats - informe'!$E$16)*(C4508&lt;='Resultats - informe'!$G$16),1,0)</f>
        <v>1</v>
      </c>
      <c r="M4508" s="369" cm="1">
        <f t="array" ref="M4508">+_xlfn.IFS((C4508&gt;='Resultats - informe'!$D$26)*(C4508&lt;='Resultats - informe'!$E$26),0,(C4508&gt;='Resultats - informe'!$D$27)*(C4508&lt;='Resultats - informe'!$E$27),0,(C4508&gt;='Resultats - informe'!$D$28)*(C4508&lt;='Resultats - informe'!$E$28),0,(C4508&gt;='Resultats - informe'!$D$29)*(C4508&lt;='Resultats - informe'!$E$29),0,1,1)</f>
        <v>0</v>
      </c>
      <c r="N4508" s="366">
        <f>+VLOOKUP(D4508,'Resultats - informe'!$Y$18:$AG$42,'Introducció dades consum'!K4508+1,0)</f>
        <v>0</v>
      </c>
      <c r="O4508" s="370" cm="1">
        <f t="array" ref="O4508">+_xlfn.SWITCH(MONTH(C4508),1,1,2,1,3,1,4,2,5,2,6,3,7,3,8,3,9,3,10,2,11,2,12,1,2)</f>
        <v>1</v>
      </c>
      <c r="P4508" s="43"/>
    </row>
    <row r="4509" spans="1:16" ht="18" x14ac:dyDescent="0.35">
      <c r="A4509" s="43"/>
      <c r="C4509" s="393"/>
      <c r="E4509" s="394"/>
      <c r="F4509" s="394">
        <v>1.2450000000000001</v>
      </c>
      <c r="G4509" s="394"/>
      <c r="H4509" s="8" t="s">
        <v>235</v>
      </c>
      <c r="I4509" s="368">
        <f t="shared" si="211"/>
        <v>0</v>
      </c>
      <c r="J4509" s="365">
        <f t="shared" si="210"/>
        <v>0</v>
      </c>
      <c r="K4509" s="369">
        <f t="shared" si="212"/>
        <v>6</v>
      </c>
      <c r="L4509" s="369">
        <f>+IF((C4509&gt;='Resultats - informe'!$E$16)*(C4509&lt;='Resultats - informe'!$G$16),1,0)</f>
        <v>1</v>
      </c>
      <c r="M4509" s="369" cm="1">
        <f t="array" ref="M4509">+_xlfn.IFS((C4509&gt;='Resultats - informe'!$D$26)*(C4509&lt;='Resultats - informe'!$E$26),0,(C4509&gt;='Resultats - informe'!$D$27)*(C4509&lt;='Resultats - informe'!$E$27),0,(C4509&gt;='Resultats - informe'!$D$28)*(C4509&lt;='Resultats - informe'!$E$28),0,(C4509&gt;='Resultats - informe'!$D$29)*(C4509&lt;='Resultats - informe'!$E$29),0,1,1)</f>
        <v>0</v>
      </c>
      <c r="N4509" s="366">
        <f>+VLOOKUP(D4509,'Resultats - informe'!$Y$18:$AG$42,'Introducció dades consum'!K4509+1,0)</f>
        <v>0</v>
      </c>
      <c r="O4509" s="370" cm="1">
        <f t="array" ref="O4509">+_xlfn.SWITCH(MONTH(C4509),1,1,2,1,3,1,4,2,5,2,6,3,7,3,8,3,9,3,10,2,11,2,12,1,2)</f>
        <v>1</v>
      </c>
      <c r="P4509" s="43"/>
    </row>
    <row r="4510" spans="1:16" ht="18" x14ac:dyDescent="0.35">
      <c r="A4510" s="43"/>
      <c r="C4510" s="393"/>
      <c r="E4510" s="394"/>
      <c r="F4510" s="394">
        <v>0.16600000000000001</v>
      </c>
      <c r="G4510" s="394"/>
      <c r="H4510" s="8" t="s">
        <v>235</v>
      </c>
      <c r="I4510" s="368">
        <f t="shared" si="211"/>
        <v>0</v>
      </c>
      <c r="J4510" s="365">
        <f t="shared" si="210"/>
        <v>0</v>
      </c>
      <c r="K4510" s="369">
        <f t="shared" si="212"/>
        <v>6</v>
      </c>
      <c r="L4510" s="369">
        <f>+IF((C4510&gt;='Resultats - informe'!$E$16)*(C4510&lt;='Resultats - informe'!$G$16),1,0)</f>
        <v>1</v>
      </c>
      <c r="M4510" s="369" cm="1">
        <f t="array" ref="M4510">+_xlfn.IFS((C4510&gt;='Resultats - informe'!$D$26)*(C4510&lt;='Resultats - informe'!$E$26),0,(C4510&gt;='Resultats - informe'!$D$27)*(C4510&lt;='Resultats - informe'!$E$27),0,(C4510&gt;='Resultats - informe'!$D$28)*(C4510&lt;='Resultats - informe'!$E$28),0,(C4510&gt;='Resultats - informe'!$D$29)*(C4510&lt;='Resultats - informe'!$E$29),0,1,1)</f>
        <v>0</v>
      </c>
      <c r="N4510" s="366">
        <f>+VLOOKUP(D4510,'Resultats - informe'!$Y$18:$AG$42,'Introducció dades consum'!K4510+1,0)</f>
        <v>0</v>
      </c>
      <c r="O4510" s="370" cm="1">
        <f t="array" ref="O4510">+_xlfn.SWITCH(MONTH(C4510),1,1,2,1,3,1,4,2,5,2,6,3,7,3,8,3,9,3,10,2,11,2,12,1,2)</f>
        <v>1</v>
      </c>
      <c r="P4510" s="43"/>
    </row>
    <row r="4511" spans="1:16" ht="18" x14ac:dyDescent="0.35">
      <c r="A4511" s="43"/>
      <c r="C4511" s="393"/>
      <c r="E4511" s="394"/>
      <c r="F4511" s="394">
        <v>0</v>
      </c>
      <c r="G4511" s="394"/>
      <c r="H4511" s="8" t="s">
        <v>235</v>
      </c>
      <c r="I4511" s="368">
        <f t="shared" si="211"/>
        <v>0</v>
      </c>
      <c r="J4511" s="365">
        <f t="shared" si="210"/>
        <v>0</v>
      </c>
      <c r="K4511" s="369">
        <f t="shared" si="212"/>
        <v>6</v>
      </c>
      <c r="L4511" s="369">
        <f>+IF((C4511&gt;='Resultats - informe'!$E$16)*(C4511&lt;='Resultats - informe'!$G$16),1,0)</f>
        <v>1</v>
      </c>
      <c r="M4511" s="369" cm="1">
        <f t="array" ref="M4511">+_xlfn.IFS((C4511&gt;='Resultats - informe'!$D$26)*(C4511&lt;='Resultats - informe'!$E$26),0,(C4511&gt;='Resultats - informe'!$D$27)*(C4511&lt;='Resultats - informe'!$E$27),0,(C4511&gt;='Resultats - informe'!$D$28)*(C4511&lt;='Resultats - informe'!$E$28),0,(C4511&gt;='Resultats - informe'!$D$29)*(C4511&lt;='Resultats - informe'!$E$29),0,1,1)</f>
        <v>0</v>
      </c>
      <c r="N4511" s="366">
        <f>+VLOOKUP(D4511,'Resultats - informe'!$Y$18:$AG$42,'Introducció dades consum'!K4511+1,0)</f>
        <v>0</v>
      </c>
      <c r="O4511" s="370" cm="1">
        <f t="array" ref="O4511">+_xlfn.SWITCH(MONTH(C4511),1,1,2,1,3,1,4,2,5,2,6,3,7,3,8,3,9,3,10,2,11,2,12,1,2)</f>
        <v>1</v>
      </c>
      <c r="P4511" s="43"/>
    </row>
    <row r="4512" spans="1:16" ht="18" x14ac:dyDescent="0.35">
      <c r="A4512" s="43"/>
      <c r="C4512" s="393"/>
      <c r="E4512" s="394"/>
      <c r="F4512" s="394">
        <v>0</v>
      </c>
      <c r="G4512" s="394"/>
      <c r="H4512" s="8" t="s">
        <v>235</v>
      </c>
      <c r="I4512" s="368">
        <f t="shared" si="211"/>
        <v>0</v>
      </c>
      <c r="J4512" s="365">
        <f t="shared" si="210"/>
        <v>0</v>
      </c>
      <c r="K4512" s="369">
        <f t="shared" si="212"/>
        <v>6</v>
      </c>
      <c r="L4512" s="369">
        <f>+IF((C4512&gt;='Resultats - informe'!$E$16)*(C4512&lt;='Resultats - informe'!$G$16),1,0)</f>
        <v>1</v>
      </c>
      <c r="M4512" s="369" cm="1">
        <f t="array" ref="M4512">+_xlfn.IFS((C4512&gt;='Resultats - informe'!$D$26)*(C4512&lt;='Resultats - informe'!$E$26),0,(C4512&gt;='Resultats - informe'!$D$27)*(C4512&lt;='Resultats - informe'!$E$27),0,(C4512&gt;='Resultats - informe'!$D$28)*(C4512&lt;='Resultats - informe'!$E$28),0,(C4512&gt;='Resultats - informe'!$D$29)*(C4512&lt;='Resultats - informe'!$E$29),0,1,1)</f>
        <v>0</v>
      </c>
      <c r="N4512" s="366">
        <f>+VLOOKUP(D4512,'Resultats - informe'!$Y$18:$AG$42,'Introducció dades consum'!K4512+1,0)</f>
        <v>0</v>
      </c>
      <c r="O4512" s="370" cm="1">
        <f t="array" ref="O4512">+_xlfn.SWITCH(MONTH(C4512),1,1,2,1,3,1,4,2,5,2,6,3,7,3,8,3,9,3,10,2,11,2,12,1,2)</f>
        <v>1</v>
      </c>
      <c r="P4512" s="43"/>
    </row>
    <row r="4513" spans="1:16" ht="18" x14ac:dyDescent="0.35">
      <c r="A4513" s="43"/>
      <c r="C4513" s="393"/>
      <c r="E4513" s="394"/>
      <c r="F4513" s="394">
        <v>0</v>
      </c>
      <c r="G4513" s="394"/>
      <c r="H4513" s="8" t="s">
        <v>235</v>
      </c>
      <c r="I4513" s="368">
        <f t="shared" si="211"/>
        <v>0</v>
      </c>
      <c r="J4513" s="365">
        <f t="shared" si="210"/>
        <v>0</v>
      </c>
      <c r="K4513" s="369">
        <f t="shared" si="212"/>
        <v>6</v>
      </c>
      <c r="L4513" s="369">
        <f>+IF((C4513&gt;='Resultats - informe'!$E$16)*(C4513&lt;='Resultats - informe'!$G$16),1,0)</f>
        <v>1</v>
      </c>
      <c r="M4513" s="369" cm="1">
        <f t="array" ref="M4513">+_xlfn.IFS((C4513&gt;='Resultats - informe'!$D$26)*(C4513&lt;='Resultats - informe'!$E$26),0,(C4513&gt;='Resultats - informe'!$D$27)*(C4513&lt;='Resultats - informe'!$E$27),0,(C4513&gt;='Resultats - informe'!$D$28)*(C4513&lt;='Resultats - informe'!$E$28),0,(C4513&gt;='Resultats - informe'!$D$29)*(C4513&lt;='Resultats - informe'!$E$29),0,1,1)</f>
        <v>0</v>
      </c>
      <c r="N4513" s="366">
        <f>+VLOOKUP(D4513,'Resultats - informe'!$Y$18:$AG$42,'Introducció dades consum'!K4513+1,0)</f>
        <v>0</v>
      </c>
      <c r="O4513" s="370" cm="1">
        <f t="array" ref="O4513">+_xlfn.SWITCH(MONTH(C4513),1,1,2,1,3,1,4,2,5,2,6,3,7,3,8,3,9,3,10,2,11,2,12,1,2)</f>
        <v>1</v>
      </c>
      <c r="P4513" s="43"/>
    </row>
    <row r="4514" spans="1:16" ht="18" x14ac:dyDescent="0.35">
      <c r="A4514" s="43"/>
      <c r="C4514" s="393"/>
      <c r="E4514" s="394"/>
      <c r="F4514" s="394">
        <v>0</v>
      </c>
      <c r="G4514" s="394"/>
      <c r="H4514" s="8" t="s">
        <v>235</v>
      </c>
      <c r="I4514" s="368">
        <f t="shared" si="211"/>
        <v>0</v>
      </c>
      <c r="J4514" s="365">
        <f t="shared" si="210"/>
        <v>0</v>
      </c>
      <c r="K4514" s="369">
        <f t="shared" si="212"/>
        <v>6</v>
      </c>
      <c r="L4514" s="369">
        <f>+IF((C4514&gt;='Resultats - informe'!$E$16)*(C4514&lt;='Resultats - informe'!$G$16),1,0)</f>
        <v>1</v>
      </c>
      <c r="M4514" s="369" cm="1">
        <f t="array" ref="M4514">+_xlfn.IFS((C4514&gt;='Resultats - informe'!$D$26)*(C4514&lt;='Resultats - informe'!$E$26),0,(C4514&gt;='Resultats - informe'!$D$27)*(C4514&lt;='Resultats - informe'!$E$27),0,(C4514&gt;='Resultats - informe'!$D$28)*(C4514&lt;='Resultats - informe'!$E$28),0,(C4514&gt;='Resultats - informe'!$D$29)*(C4514&lt;='Resultats - informe'!$E$29),0,1,1)</f>
        <v>0</v>
      </c>
      <c r="N4514" s="366">
        <f>+VLOOKUP(D4514,'Resultats - informe'!$Y$18:$AG$42,'Introducció dades consum'!K4514+1,0)</f>
        <v>0</v>
      </c>
      <c r="O4514" s="370" cm="1">
        <f t="array" ref="O4514">+_xlfn.SWITCH(MONTH(C4514),1,1,2,1,3,1,4,2,5,2,6,3,7,3,8,3,9,3,10,2,11,2,12,1,2)</f>
        <v>1</v>
      </c>
      <c r="P4514" s="43"/>
    </row>
    <row r="4515" spans="1:16" ht="18" x14ac:dyDescent="0.35">
      <c r="A4515" s="43"/>
      <c r="C4515" s="393"/>
      <c r="E4515" s="394"/>
      <c r="F4515" s="394">
        <v>0</v>
      </c>
      <c r="G4515" s="394"/>
      <c r="H4515" s="8" t="s">
        <v>235</v>
      </c>
      <c r="I4515" s="368">
        <f t="shared" si="211"/>
        <v>0</v>
      </c>
      <c r="J4515" s="365">
        <f t="shared" si="210"/>
        <v>0</v>
      </c>
      <c r="K4515" s="369">
        <f t="shared" si="212"/>
        <v>6</v>
      </c>
      <c r="L4515" s="369">
        <f>+IF((C4515&gt;='Resultats - informe'!$E$16)*(C4515&lt;='Resultats - informe'!$G$16),1,0)</f>
        <v>1</v>
      </c>
      <c r="M4515" s="369" cm="1">
        <f t="array" ref="M4515">+_xlfn.IFS((C4515&gt;='Resultats - informe'!$D$26)*(C4515&lt;='Resultats - informe'!$E$26),0,(C4515&gt;='Resultats - informe'!$D$27)*(C4515&lt;='Resultats - informe'!$E$27),0,(C4515&gt;='Resultats - informe'!$D$28)*(C4515&lt;='Resultats - informe'!$E$28),0,(C4515&gt;='Resultats - informe'!$D$29)*(C4515&lt;='Resultats - informe'!$E$29),0,1,1)</f>
        <v>0</v>
      </c>
      <c r="N4515" s="366">
        <f>+VLOOKUP(D4515,'Resultats - informe'!$Y$18:$AG$42,'Introducció dades consum'!K4515+1,0)</f>
        <v>0</v>
      </c>
      <c r="O4515" s="370" cm="1">
        <f t="array" ref="O4515">+_xlfn.SWITCH(MONTH(C4515),1,1,2,1,3,1,4,2,5,2,6,3,7,3,8,3,9,3,10,2,11,2,12,1,2)</f>
        <v>1</v>
      </c>
      <c r="P4515" s="43"/>
    </row>
    <row r="4516" spans="1:16" ht="18" x14ac:dyDescent="0.35">
      <c r="A4516" s="43"/>
      <c r="C4516" s="393"/>
      <c r="E4516" s="394"/>
      <c r="F4516" s="394">
        <v>0</v>
      </c>
      <c r="G4516" s="394"/>
      <c r="H4516" s="8" t="s">
        <v>235</v>
      </c>
      <c r="I4516" s="368">
        <f t="shared" si="211"/>
        <v>0</v>
      </c>
      <c r="J4516" s="365">
        <f t="shared" si="210"/>
        <v>0</v>
      </c>
      <c r="K4516" s="369">
        <f t="shared" si="212"/>
        <v>6</v>
      </c>
      <c r="L4516" s="369">
        <f>+IF((C4516&gt;='Resultats - informe'!$E$16)*(C4516&lt;='Resultats - informe'!$G$16),1,0)</f>
        <v>1</v>
      </c>
      <c r="M4516" s="369" cm="1">
        <f t="array" ref="M4516">+_xlfn.IFS((C4516&gt;='Resultats - informe'!$D$26)*(C4516&lt;='Resultats - informe'!$E$26),0,(C4516&gt;='Resultats - informe'!$D$27)*(C4516&lt;='Resultats - informe'!$E$27),0,(C4516&gt;='Resultats - informe'!$D$28)*(C4516&lt;='Resultats - informe'!$E$28),0,(C4516&gt;='Resultats - informe'!$D$29)*(C4516&lt;='Resultats - informe'!$E$29),0,1,1)</f>
        <v>0</v>
      </c>
      <c r="N4516" s="366">
        <f>+VLOOKUP(D4516,'Resultats - informe'!$Y$18:$AG$42,'Introducció dades consum'!K4516+1,0)</f>
        <v>0</v>
      </c>
      <c r="O4516" s="370" cm="1">
        <f t="array" ref="O4516">+_xlfn.SWITCH(MONTH(C4516),1,1,2,1,3,1,4,2,5,2,6,3,7,3,8,3,9,3,10,2,11,2,12,1,2)</f>
        <v>1</v>
      </c>
      <c r="P4516" s="43"/>
    </row>
    <row r="4517" spans="1:16" ht="18" x14ac:dyDescent="0.35">
      <c r="A4517" s="43"/>
      <c r="C4517" s="393"/>
      <c r="E4517" s="394"/>
      <c r="F4517" s="394">
        <v>0</v>
      </c>
      <c r="G4517" s="394"/>
      <c r="H4517" s="8" t="s">
        <v>235</v>
      </c>
      <c r="I4517" s="368">
        <f t="shared" si="211"/>
        <v>0</v>
      </c>
      <c r="J4517" s="365">
        <f t="shared" si="210"/>
        <v>0</v>
      </c>
      <c r="K4517" s="369">
        <f t="shared" si="212"/>
        <v>6</v>
      </c>
      <c r="L4517" s="369">
        <f>+IF((C4517&gt;='Resultats - informe'!$E$16)*(C4517&lt;='Resultats - informe'!$G$16),1,0)</f>
        <v>1</v>
      </c>
      <c r="M4517" s="369" cm="1">
        <f t="array" ref="M4517">+_xlfn.IFS((C4517&gt;='Resultats - informe'!$D$26)*(C4517&lt;='Resultats - informe'!$E$26),0,(C4517&gt;='Resultats - informe'!$D$27)*(C4517&lt;='Resultats - informe'!$E$27),0,(C4517&gt;='Resultats - informe'!$D$28)*(C4517&lt;='Resultats - informe'!$E$28),0,(C4517&gt;='Resultats - informe'!$D$29)*(C4517&lt;='Resultats - informe'!$E$29),0,1,1)</f>
        <v>0</v>
      </c>
      <c r="N4517" s="366">
        <f>+VLOOKUP(D4517,'Resultats - informe'!$Y$18:$AG$42,'Introducció dades consum'!K4517+1,0)</f>
        <v>0</v>
      </c>
      <c r="O4517" s="370" cm="1">
        <f t="array" ref="O4517">+_xlfn.SWITCH(MONTH(C4517),1,1,2,1,3,1,4,2,5,2,6,3,7,3,8,3,9,3,10,2,11,2,12,1,2)</f>
        <v>1</v>
      </c>
      <c r="P4517" s="43"/>
    </row>
    <row r="4518" spans="1:16" ht="18" x14ac:dyDescent="0.35">
      <c r="A4518" s="43"/>
      <c r="C4518" s="393"/>
      <c r="E4518" s="394"/>
      <c r="F4518" s="394">
        <v>0</v>
      </c>
      <c r="G4518" s="394"/>
      <c r="H4518" s="8" t="s">
        <v>235</v>
      </c>
      <c r="I4518" s="368">
        <f t="shared" si="211"/>
        <v>0</v>
      </c>
      <c r="J4518" s="365">
        <f t="shared" si="210"/>
        <v>0</v>
      </c>
      <c r="K4518" s="369">
        <f t="shared" si="212"/>
        <v>6</v>
      </c>
      <c r="L4518" s="369">
        <f>+IF((C4518&gt;='Resultats - informe'!$E$16)*(C4518&lt;='Resultats - informe'!$G$16),1,0)</f>
        <v>1</v>
      </c>
      <c r="M4518" s="369" cm="1">
        <f t="array" ref="M4518">+_xlfn.IFS((C4518&gt;='Resultats - informe'!$D$26)*(C4518&lt;='Resultats - informe'!$E$26),0,(C4518&gt;='Resultats - informe'!$D$27)*(C4518&lt;='Resultats - informe'!$E$27),0,(C4518&gt;='Resultats - informe'!$D$28)*(C4518&lt;='Resultats - informe'!$E$28),0,(C4518&gt;='Resultats - informe'!$D$29)*(C4518&lt;='Resultats - informe'!$E$29),0,1,1)</f>
        <v>0</v>
      </c>
      <c r="N4518" s="366">
        <f>+VLOOKUP(D4518,'Resultats - informe'!$Y$18:$AG$42,'Introducció dades consum'!K4518+1,0)</f>
        <v>0</v>
      </c>
      <c r="O4518" s="370" cm="1">
        <f t="array" ref="O4518">+_xlfn.SWITCH(MONTH(C4518),1,1,2,1,3,1,4,2,5,2,6,3,7,3,8,3,9,3,10,2,11,2,12,1,2)</f>
        <v>1</v>
      </c>
      <c r="P4518" s="43"/>
    </row>
    <row r="4519" spans="1:16" ht="18" x14ac:dyDescent="0.35">
      <c r="A4519" s="43"/>
      <c r="C4519" s="393"/>
      <c r="E4519" s="394"/>
      <c r="F4519" s="394">
        <v>0</v>
      </c>
      <c r="G4519" s="394"/>
      <c r="H4519" s="8" t="s">
        <v>235</v>
      </c>
      <c r="I4519" s="368">
        <f t="shared" si="211"/>
        <v>0</v>
      </c>
      <c r="J4519" s="365">
        <f t="shared" si="210"/>
        <v>0</v>
      </c>
      <c r="K4519" s="369">
        <f t="shared" si="212"/>
        <v>6</v>
      </c>
      <c r="L4519" s="369">
        <f>+IF((C4519&gt;='Resultats - informe'!$E$16)*(C4519&lt;='Resultats - informe'!$G$16),1,0)</f>
        <v>1</v>
      </c>
      <c r="M4519" s="369" cm="1">
        <f t="array" ref="M4519">+_xlfn.IFS((C4519&gt;='Resultats - informe'!$D$26)*(C4519&lt;='Resultats - informe'!$E$26),0,(C4519&gt;='Resultats - informe'!$D$27)*(C4519&lt;='Resultats - informe'!$E$27),0,(C4519&gt;='Resultats - informe'!$D$28)*(C4519&lt;='Resultats - informe'!$E$28),0,(C4519&gt;='Resultats - informe'!$D$29)*(C4519&lt;='Resultats - informe'!$E$29),0,1,1)</f>
        <v>0</v>
      </c>
      <c r="N4519" s="366">
        <f>+VLOOKUP(D4519,'Resultats - informe'!$Y$18:$AG$42,'Introducció dades consum'!K4519+1,0)</f>
        <v>0</v>
      </c>
      <c r="O4519" s="370" cm="1">
        <f t="array" ref="O4519">+_xlfn.SWITCH(MONTH(C4519),1,1,2,1,3,1,4,2,5,2,6,3,7,3,8,3,9,3,10,2,11,2,12,1,2)</f>
        <v>1</v>
      </c>
      <c r="P4519" s="43"/>
    </row>
    <row r="4520" spans="1:16" ht="18" x14ac:dyDescent="0.35">
      <c r="A4520" s="43"/>
      <c r="C4520" s="393"/>
      <c r="E4520" s="394"/>
      <c r="F4520" s="394">
        <v>0</v>
      </c>
      <c r="G4520" s="394"/>
      <c r="H4520" s="8" t="s">
        <v>235</v>
      </c>
      <c r="I4520" s="368">
        <f t="shared" si="211"/>
        <v>0</v>
      </c>
      <c r="J4520" s="365">
        <f t="shared" si="210"/>
        <v>0</v>
      </c>
      <c r="K4520" s="369">
        <f t="shared" si="212"/>
        <v>6</v>
      </c>
      <c r="L4520" s="369">
        <f>+IF((C4520&gt;='Resultats - informe'!$E$16)*(C4520&lt;='Resultats - informe'!$G$16),1,0)</f>
        <v>1</v>
      </c>
      <c r="M4520" s="369" cm="1">
        <f t="array" ref="M4520">+_xlfn.IFS((C4520&gt;='Resultats - informe'!$D$26)*(C4520&lt;='Resultats - informe'!$E$26),0,(C4520&gt;='Resultats - informe'!$D$27)*(C4520&lt;='Resultats - informe'!$E$27),0,(C4520&gt;='Resultats - informe'!$D$28)*(C4520&lt;='Resultats - informe'!$E$28),0,(C4520&gt;='Resultats - informe'!$D$29)*(C4520&lt;='Resultats - informe'!$E$29),0,1,1)</f>
        <v>0</v>
      </c>
      <c r="N4520" s="366">
        <f>+VLOOKUP(D4520,'Resultats - informe'!$Y$18:$AG$42,'Introducció dades consum'!K4520+1,0)</f>
        <v>0</v>
      </c>
      <c r="O4520" s="370" cm="1">
        <f t="array" ref="O4520">+_xlfn.SWITCH(MONTH(C4520),1,1,2,1,3,1,4,2,5,2,6,3,7,3,8,3,9,3,10,2,11,2,12,1,2)</f>
        <v>1</v>
      </c>
      <c r="P4520" s="43"/>
    </row>
    <row r="4521" spans="1:16" ht="18" x14ac:dyDescent="0.35">
      <c r="A4521" s="43"/>
      <c r="C4521" s="393"/>
      <c r="E4521" s="394"/>
      <c r="F4521" s="394">
        <v>0</v>
      </c>
      <c r="G4521" s="394"/>
      <c r="H4521" s="8" t="s">
        <v>235</v>
      </c>
      <c r="I4521" s="368">
        <f t="shared" si="211"/>
        <v>0</v>
      </c>
      <c r="J4521" s="365">
        <f t="shared" si="210"/>
        <v>0</v>
      </c>
      <c r="K4521" s="369">
        <f t="shared" si="212"/>
        <v>6</v>
      </c>
      <c r="L4521" s="369">
        <f>+IF((C4521&gt;='Resultats - informe'!$E$16)*(C4521&lt;='Resultats - informe'!$G$16),1,0)</f>
        <v>1</v>
      </c>
      <c r="M4521" s="369" cm="1">
        <f t="array" ref="M4521">+_xlfn.IFS((C4521&gt;='Resultats - informe'!$D$26)*(C4521&lt;='Resultats - informe'!$E$26),0,(C4521&gt;='Resultats - informe'!$D$27)*(C4521&lt;='Resultats - informe'!$E$27),0,(C4521&gt;='Resultats - informe'!$D$28)*(C4521&lt;='Resultats - informe'!$E$28),0,(C4521&gt;='Resultats - informe'!$D$29)*(C4521&lt;='Resultats - informe'!$E$29),0,1,1)</f>
        <v>0</v>
      </c>
      <c r="N4521" s="366">
        <f>+VLOOKUP(D4521,'Resultats - informe'!$Y$18:$AG$42,'Introducció dades consum'!K4521+1,0)</f>
        <v>0</v>
      </c>
      <c r="O4521" s="370" cm="1">
        <f t="array" ref="O4521">+_xlfn.SWITCH(MONTH(C4521),1,1,2,1,3,1,4,2,5,2,6,3,7,3,8,3,9,3,10,2,11,2,12,1,2)</f>
        <v>1</v>
      </c>
      <c r="P4521" s="43"/>
    </row>
    <row r="4522" spans="1:16" ht="18" x14ac:dyDescent="0.35">
      <c r="A4522" s="43"/>
      <c r="C4522" s="393"/>
      <c r="E4522" s="394"/>
      <c r="F4522" s="394">
        <v>0</v>
      </c>
      <c r="G4522" s="394"/>
      <c r="H4522" s="8" t="s">
        <v>235</v>
      </c>
      <c r="I4522" s="368">
        <f t="shared" si="211"/>
        <v>0</v>
      </c>
      <c r="J4522" s="365">
        <f t="shared" si="210"/>
        <v>0</v>
      </c>
      <c r="K4522" s="369">
        <f t="shared" si="212"/>
        <v>6</v>
      </c>
      <c r="L4522" s="369">
        <f>+IF((C4522&gt;='Resultats - informe'!$E$16)*(C4522&lt;='Resultats - informe'!$G$16),1,0)</f>
        <v>1</v>
      </c>
      <c r="M4522" s="369" cm="1">
        <f t="array" ref="M4522">+_xlfn.IFS((C4522&gt;='Resultats - informe'!$D$26)*(C4522&lt;='Resultats - informe'!$E$26),0,(C4522&gt;='Resultats - informe'!$D$27)*(C4522&lt;='Resultats - informe'!$E$27),0,(C4522&gt;='Resultats - informe'!$D$28)*(C4522&lt;='Resultats - informe'!$E$28),0,(C4522&gt;='Resultats - informe'!$D$29)*(C4522&lt;='Resultats - informe'!$E$29),0,1,1)</f>
        <v>0</v>
      </c>
      <c r="N4522" s="366">
        <f>+VLOOKUP(D4522,'Resultats - informe'!$Y$18:$AG$42,'Introducció dades consum'!K4522+1,0)</f>
        <v>0</v>
      </c>
      <c r="O4522" s="370" cm="1">
        <f t="array" ref="O4522">+_xlfn.SWITCH(MONTH(C4522),1,1,2,1,3,1,4,2,5,2,6,3,7,3,8,3,9,3,10,2,11,2,12,1,2)</f>
        <v>1</v>
      </c>
      <c r="P4522" s="43"/>
    </row>
    <row r="4523" spans="1:16" ht="18" x14ac:dyDescent="0.35">
      <c r="A4523" s="43"/>
      <c r="C4523" s="393"/>
      <c r="E4523" s="394"/>
      <c r="F4523" s="394">
        <v>0</v>
      </c>
      <c r="G4523" s="394"/>
      <c r="H4523" s="8" t="s">
        <v>235</v>
      </c>
      <c r="I4523" s="368">
        <f t="shared" si="211"/>
        <v>0</v>
      </c>
      <c r="J4523" s="365">
        <f t="shared" si="210"/>
        <v>0</v>
      </c>
      <c r="K4523" s="369">
        <f t="shared" si="212"/>
        <v>6</v>
      </c>
      <c r="L4523" s="369">
        <f>+IF((C4523&gt;='Resultats - informe'!$E$16)*(C4523&lt;='Resultats - informe'!$G$16),1,0)</f>
        <v>1</v>
      </c>
      <c r="M4523" s="369" cm="1">
        <f t="array" ref="M4523">+_xlfn.IFS((C4523&gt;='Resultats - informe'!$D$26)*(C4523&lt;='Resultats - informe'!$E$26),0,(C4523&gt;='Resultats - informe'!$D$27)*(C4523&lt;='Resultats - informe'!$E$27),0,(C4523&gt;='Resultats - informe'!$D$28)*(C4523&lt;='Resultats - informe'!$E$28),0,(C4523&gt;='Resultats - informe'!$D$29)*(C4523&lt;='Resultats - informe'!$E$29),0,1,1)</f>
        <v>0</v>
      </c>
      <c r="N4523" s="366">
        <f>+VLOOKUP(D4523,'Resultats - informe'!$Y$18:$AG$42,'Introducció dades consum'!K4523+1,0)</f>
        <v>0</v>
      </c>
      <c r="O4523" s="370" cm="1">
        <f t="array" ref="O4523">+_xlfn.SWITCH(MONTH(C4523),1,1,2,1,3,1,4,2,5,2,6,3,7,3,8,3,9,3,10,2,11,2,12,1,2)</f>
        <v>1</v>
      </c>
      <c r="P4523" s="43"/>
    </row>
    <row r="4524" spans="1:16" ht="18" x14ac:dyDescent="0.35">
      <c r="A4524" s="43"/>
      <c r="C4524" s="393"/>
      <c r="E4524" s="394"/>
      <c r="F4524" s="394">
        <v>0.121</v>
      </c>
      <c r="G4524" s="394"/>
      <c r="H4524" s="8" t="s">
        <v>235</v>
      </c>
      <c r="I4524" s="368">
        <f t="shared" si="211"/>
        <v>0</v>
      </c>
      <c r="J4524" s="365">
        <f t="shared" si="210"/>
        <v>0</v>
      </c>
      <c r="K4524" s="369">
        <f t="shared" si="212"/>
        <v>6</v>
      </c>
      <c r="L4524" s="369">
        <f>+IF((C4524&gt;='Resultats - informe'!$E$16)*(C4524&lt;='Resultats - informe'!$G$16),1,0)</f>
        <v>1</v>
      </c>
      <c r="M4524" s="369" cm="1">
        <f t="array" ref="M4524">+_xlfn.IFS((C4524&gt;='Resultats - informe'!$D$26)*(C4524&lt;='Resultats - informe'!$E$26),0,(C4524&gt;='Resultats - informe'!$D$27)*(C4524&lt;='Resultats - informe'!$E$27),0,(C4524&gt;='Resultats - informe'!$D$28)*(C4524&lt;='Resultats - informe'!$E$28),0,(C4524&gt;='Resultats - informe'!$D$29)*(C4524&lt;='Resultats - informe'!$E$29),0,1,1)</f>
        <v>0</v>
      </c>
      <c r="N4524" s="366">
        <f>+VLOOKUP(D4524,'Resultats - informe'!$Y$18:$AG$42,'Introducció dades consum'!K4524+1,0)</f>
        <v>0</v>
      </c>
      <c r="O4524" s="370" cm="1">
        <f t="array" ref="O4524">+_xlfn.SWITCH(MONTH(C4524),1,1,2,1,3,1,4,2,5,2,6,3,7,3,8,3,9,3,10,2,11,2,12,1,2)</f>
        <v>1</v>
      </c>
      <c r="P4524" s="43"/>
    </row>
    <row r="4525" spans="1:16" ht="18" x14ac:dyDescent="0.35">
      <c r="A4525" s="43"/>
      <c r="C4525" s="393"/>
      <c r="E4525" s="394"/>
      <c r="F4525" s="394">
        <v>1.5209999999999999</v>
      </c>
      <c r="G4525" s="394"/>
      <c r="H4525" s="8" t="s">
        <v>235</v>
      </c>
      <c r="I4525" s="368">
        <f t="shared" si="211"/>
        <v>0</v>
      </c>
      <c r="J4525" s="365">
        <f t="shared" si="210"/>
        <v>0</v>
      </c>
      <c r="K4525" s="369">
        <f t="shared" si="212"/>
        <v>6</v>
      </c>
      <c r="L4525" s="369">
        <f>+IF((C4525&gt;='Resultats - informe'!$E$16)*(C4525&lt;='Resultats - informe'!$G$16),1,0)</f>
        <v>1</v>
      </c>
      <c r="M4525" s="369" cm="1">
        <f t="array" ref="M4525">+_xlfn.IFS((C4525&gt;='Resultats - informe'!$D$26)*(C4525&lt;='Resultats - informe'!$E$26),0,(C4525&gt;='Resultats - informe'!$D$27)*(C4525&lt;='Resultats - informe'!$E$27),0,(C4525&gt;='Resultats - informe'!$D$28)*(C4525&lt;='Resultats - informe'!$E$28),0,(C4525&gt;='Resultats - informe'!$D$29)*(C4525&lt;='Resultats - informe'!$E$29),0,1,1)</f>
        <v>0</v>
      </c>
      <c r="N4525" s="366">
        <f>+VLOOKUP(D4525,'Resultats - informe'!$Y$18:$AG$42,'Introducció dades consum'!K4525+1,0)</f>
        <v>0</v>
      </c>
      <c r="O4525" s="370" cm="1">
        <f t="array" ref="O4525">+_xlfn.SWITCH(MONTH(C4525),1,1,2,1,3,1,4,2,5,2,6,3,7,3,8,3,9,3,10,2,11,2,12,1,2)</f>
        <v>1</v>
      </c>
      <c r="P4525" s="43"/>
    </row>
    <row r="4526" spans="1:16" ht="18" x14ac:dyDescent="0.35">
      <c r="A4526" s="43"/>
      <c r="C4526" s="393"/>
      <c r="E4526" s="394"/>
      <c r="F4526" s="394">
        <v>3.4790000000000001</v>
      </c>
      <c r="G4526" s="394"/>
      <c r="H4526" s="8" t="s">
        <v>235</v>
      </c>
      <c r="I4526" s="368">
        <f t="shared" si="211"/>
        <v>0</v>
      </c>
      <c r="J4526" s="365">
        <f t="shared" si="210"/>
        <v>0</v>
      </c>
      <c r="K4526" s="369">
        <f t="shared" si="212"/>
        <v>6</v>
      </c>
      <c r="L4526" s="369">
        <f>+IF((C4526&gt;='Resultats - informe'!$E$16)*(C4526&lt;='Resultats - informe'!$G$16),1,0)</f>
        <v>1</v>
      </c>
      <c r="M4526" s="369" cm="1">
        <f t="array" ref="M4526">+_xlfn.IFS((C4526&gt;='Resultats - informe'!$D$26)*(C4526&lt;='Resultats - informe'!$E$26),0,(C4526&gt;='Resultats - informe'!$D$27)*(C4526&lt;='Resultats - informe'!$E$27),0,(C4526&gt;='Resultats - informe'!$D$28)*(C4526&lt;='Resultats - informe'!$E$28),0,(C4526&gt;='Resultats - informe'!$D$29)*(C4526&lt;='Resultats - informe'!$E$29),0,1,1)</f>
        <v>0</v>
      </c>
      <c r="N4526" s="366">
        <f>+VLOOKUP(D4526,'Resultats - informe'!$Y$18:$AG$42,'Introducció dades consum'!K4526+1,0)</f>
        <v>0</v>
      </c>
      <c r="O4526" s="370" cm="1">
        <f t="array" ref="O4526">+_xlfn.SWITCH(MONTH(C4526),1,1,2,1,3,1,4,2,5,2,6,3,7,3,8,3,9,3,10,2,11,2,12,1,2)</f>
        <v>1</v>
      </c>
      <c r="P4526" s="43"/>
    </row>
    <row r="4527" spans="1:16" ht="18" x14ac:dyDescent="0.35">
      <c r="A4527" s="43"/>
      <c r="C4527" s="393"/>
      <c r="E4527" s="394"/>
      <c r="F4527" s="394">
        <v>4.6539999999999999</v>
      </c>
      <c r="G4527" s="394"/>
      <c r="H4527" s="8" t="s">
        <v>235</v>
      </c>
      <c r="I4527" s="368">
        <f t="shared" si="211"/>
        <v>0</v>
      </c>
      <c r="J4527" s="365">
        <f t="shared" si="210"/>
        <v>0</v>
      </c>
      <c r="K4527" s="369">
        <f t="shared" si="212"/>
        <v>6</v>
      </c>
      <c r="L4527" s="369">
        <f>+IF((C4527&gt;='Resultats - informe'!$E$16)*(C4527&lt;='Resultats - informe'!$G$16),1,0)</f>
        <v>1</v>
      </c>
      <c r="M4527" s="369" cm="1">
        <f t="array" ref="M4527">+_xlfn.IFS((C4527&gt;='Resultats - informe'!$D$26)*(C4527&lt;='Resultats - informe'!$E$26),0,(C4527&gt;='Resultats - informe'!$D$27)*(C4527&lt;='Resultats - informe'!$E$27),0,(C4527&gt;='Resultats - informe'!$D$28)*(C4527&lt;='Resultats - informe'!$E$28),0,(C4527&gt;='Resultats - informe'!$D$29)*(C4527&lt;='Resultats - informe'!$E$29),0,1,1)</f>
        <v>0</v>
      </c>
      <c r="N4527" s="366">
        <f>+VLOOKUP(D4527,'Resultats - informe'!$Y$18:$AG$42,'Introducció dades consum'!K4527+1,0)</f>
        <v>0</v>
      </c>
      <c r="O4527" s="370" cm="1">
        <f t="array" ref="O4527">+_xlfn.SWITCH(MONTH(C4527),1,1,2,1,3,1,4,2,5,2,6,3,7,3,8,3,9,3,10,2,11,2,12,1,2)</f>
        <v>1</v>
      </c>
      <c r="P4527" s="43"/>
    </row>
    <row r="4528" spans="1:16" ht="18" x14ac:dyDescent="0.35">
      <c r="A4528" s="43"/>
      <c r="C4528" s="393"/>
      <c r="E4528" s="394"/>
      <c r="F4528" s="394">
        <v>5.367</v>
      </c>
      <c r="G4528" s="394"/>
      <c r="H4528" s="8" t="s">
        <v>235</v>
      </c>
      <c r="I4528" s="368">
        <f t="shared" si="211"/>
        <v>0</v>
      </c>
      <c r="J4528" s="365">
        <f t="shared" si="210"/>
        <v>0</v>
      </c>
      <c r="K4528" s="369">
        <f t="shared" si="212"/>
        <v>6</v>
      </c>
      <c r="L4528" s="369">
        <f>+IF((C4528&gt;='Resultats - informe'!$E$16)*(C4528&lt;='Resultats - informe'!$G$16),1,0)</f>
        <v>1</v>
      </c>
      <c r="M4528" s="369" cm="1">
        <f t="array" ref="M4528">+_xlfn.IFS((C4528&gt;='Resultats - informe'!$D$26)*(C4528&lt;='Resultats - informe'!$E$26),0,(C4528&gt;='Resultats - informe'!$D$27)*(C4528&lt;='Resultats - informe'!$E$27),0,(C4528&gt;='Resultats - informe'!$D$28)*(C4528&lt;='Resultats - informe'!$E$28),0,(C4528&gt;='Resultats - informe'!$D$29)*(C4528&lt;='Resultats - informe'!$E$29),0,1,1)</f>
        <v>0</v>
      </c>
      <c r="N4528" s="366">
        <f>+VLOOKUP(D4528,'Resultats - informe'!$Y$18:$AG$42,'Introducció dades consum'!K4528+1,0)</f>
        <v>0</v>
      </c>
      <c r="O4528" s="370" cm="1">
        <f t="array" ref="O4528">+_xlfn.SWITCH(MONTH(C4528),1,1,2,1,3,1,4,2,5,2,6,3,7,3,8,3,9,3,10,2,11,2,12,1,2)</f>
        <v>1</v>
      </c>
      <c r="P4528" s="43"/>
    </row>
    <row r="4529" spans="1:16" ht="18" x14ac:dyDescent="0.35">
      <c r="A4529" s="43"/>
      <c r="C4529" s="393"/>
      <c r="E4529" s="394"/>
      <c r="F4529" s="394">
        <v>5.7519999999999998</v>
      </c>
      <c r="G4529" s="394"/>
      <c r="H4529" s="8" t="s">
        <v>235</v>
      </c>
      <c r="I4529" s="368">
        <f t="shared" si="211"/>
        <v>0</v>
      </c>
      <c r="J4529" s="365">
        <f t="shared" si="210"/>
        <v>0</v>
      </c>
      <c r="K4529" s="369">
        <f t="shared" si="212"/>
        <v>6</v>
      </c>
      <c r="L4529" s="369">
        <f>+IF((C4529&gt;='Resultats - informe'!$E$16)*(C4529&lt;='Resultats - informe'!$G$16),1,0)</f>
        <v>1</v>
      </c>
      <c r="M4529" s="369" cm="1">
        <f t="array" ref="M4529">+_xlfn.IFS((C4529&gt;='Resultats - informe'!$D$26)*(C4529&lt;='Resultats - informe'!$E$26),0,(C4529&gt;='Resultats - informe'!$D$27)*(C4529&lt;='Resultats - informe'!$E$27),0,(C4529&gt;='Resultats - informe'!$D$28)*(C4529&lt;='Resultats - informe'!$E$28),0,(C4529&gt;='Resultats - informe'!$D$29)*(C4529&lt;='Resultats - informe'!$E$29),0,1,1)</f>
        <v>0</v>
      </c>
      <c r="N4529" s="366">
        <f>+VLOOKUP(D4529,'Resultats - informe'!$Y$18:$AG$42,'Introducció dades consum'!K4529+1,0)</f>
        <v>0</v>
      </c>
      <c r="O4529" s="370" cm="1">
        <f t="array" ref="O4529">+_xlfn.SWITCH(MONTH(C4529),1,1,2,1,3,1,4,2,5,2,6,3,7,3,8,3,9,3,10,2,11,2,12,1,2)</f>
        <v>1</v>
      </c>
      <c r="P4529" s="43"/>
    </row>
    <row r="4530" spans="1:16" ht="18" x14ac:dyDescent="0.35">
      <c r="A4530" s="43"/>
      <c r="C4530" s="393"/>
      <c r="E4530" s="394"/>
      <c r="F4530" s="394">
        <v>6.2720000000000002</v>
      </c>
      <c r="G4530" s="394"/>
      <c r="H4530" s="8" t="s">
        <v>235</v>
      </c>
      <c r="I4530" s="368">
        <f t="shared" si="211"/>
        <v>0</v>
      </c>
      <c r="J4530" s="365">
        <f t="shared" si="210"/>
        <v>0</v>
      </c>
      <c r="K4530" s="369">
        <f t="shared" si="212"/>
        <v>6</v>
      </c>
      <c r="L4530" s="369">
        <f>+IF((C4530&gt;='Resultats - informe'!$E$16)*(C4530&lt;='Resultats - informe'!$G$16),1,0)</f>
        <v>1</v>
      </c>
      <c r="M4530" s="369" cm="1">
        <f t="array" ref="M4530">+_xlfn.IFS((C4530&gt;='Resultats - informe'!$D$26)*(C4530&lt;='Resultats - informe'!$E$26),0,(C4530&gt;='Resultats - informe'!$D$27)*(C4530&lt;='Resultats - informe'!$E$27),0,(C4530&gt;='Resultats - informe'!$D$28)*(C4530&lt;='Resultats - informe'!$E$28),0,(C4530&gt;='Resultats - informe'!$D$29)*(C4530&lt;='Resultats - informe'!$E$29),0,1,1)</f>
        <v>0</v>
      </c>
      <c r="N4530" s="366">
        <f>+VLOOKUP(D4530,'Resultats - informe'!$Y$18:$AG$42,'Introducció dades consum'!K4530+1,0)</f>
        <v>0</v>
      </c>
      <c r="O4530" s="370" cm="1">
        <f t="array" ref="O4530">+_xlfn.SWITCH(MONTH(C4530),1,1,2,1,3,1,4,2,5,2,6,3,7,3,8,3,9,3,10,2,11,2,12,1,2)</f>
        <v>1</v>
      </c>
      <c r="P4530" s="43"/>
    </row>
    <row r="4531" spans="1:16" ht="18" x14ac:dyDescent="0.35">
      <c r="A4531" s="43"/>
      <c r="C4531" s="393"/>
      <c r="E4531" s="394"/>
      <c r="F4531" s="394">
        <v>5.125</v>
      </c>
      <c r="G4531" s="394"/>
      <c r="H4531" s="8" t="s">
        <v>235</v>
      </c>
      <c r="I4531" s="368">
        <f t="shared" si="211"/>
        <v>0</v>
      </c>
      <c r="J4531" s="365">
        <f t="shared" si="210"/>
        <v>0</v>
      </c>
      <c r="K4531" s="369">
        <f t="shared" si="212"/>
        <v>6</v>
      </c>
      <c r="L4531" s="369">
        <f>+IF((C4531&gt;='Resultats - informe'!$E$16)*(C4531&lt;='Resultats - informe'!$G$16),1,0)</f>
        <v>1</v>
      </c>
      <c r="M4531" s="369" cm="1">
        <f t="array" ref="M4531">+_xlfn.IFS((C4531&gt;='Resultats - informe'!$D$26)*(C4531&lt;='Resultats - informe'!$E$26),0,(C4531&gt;='Resultats - informe'!$D$27)*(C4531&lt;='Resultats - informe'!$E$27),0,(C4531&gt;='Resultats - informe'!$D$28)*(C4531&lt;='Resultats - informe'!$E$28),0,(C4531&gt;='Resultats - informe'!$D$29)*(C4531&lt;='Resultats - informe'!$E$29),0,1,1)</f>
        <v>0</v>
      </c>
      <c r="N4531" s="366">
        <f>+VLOOKUP(D4531,'Resultats - informe'!$Y$18:$AG$42,'Introducció dades consum'!K4531+1,0)</f>
        <v>0</v>
      </c>
      <c r="O4531" s="370" cm="1">
        <f t="array" ref="O4531">+_xlfn.SWITCH(MONTH(C4531),1,1,2,1,3,1,4,2,5,2,6,3,7,3,8,3,9,3,10,2,11,2,12,1,2)</f>
        <v>1</v>
      </c>
      <c r="P4531" s="43"/>
    </row>
    <row r="4532" spans="1:16" ht="18" x14ac:dyDescent="0.35">
      <c r="A4532" s="43"/>
      <c r="C4532" s="393"/>
      <c r="E4532" s="394"/>
      <c r="F4532" s="394">
        <v>4.5250000000000004</v>
      </c>
      <c r="G4532" s="394"/>
      <c r="H4532" s="8" t="s">
        <v>235</v>
      </c>
      <c r="I4532" s="368">
        <f t="shared" si="211"/>
        <v>0</v>
      </c>
      <c r="J4532" s="365">
        <f t="shared" si="210"/>
        <v>0</v>
      </c>
      <c r="K4532" s="369">
        <f t="shared" si="212"/>
        <v>6</v>
      </c>
      <c r="L4532" s="369">
        <f>+IF((C4532&gt;='Resultats - informe'!$E$16)*(C4532&lt;='Resultats - informe'!$G$16),1,0)</f>
        <v>1</v>
      </c>
      <c r="M4532" s="369" cm="1">
        <f t="array" ref="M4532">+_xlfn.IFS((C4532&gt;='Resultats - informe'!$D$26)*(C4532&lt;='Resultats - informe'!$E$26),0,(C4532&gt;='Resultats - informe'!$D$27)*(C4532&lt;='Resultats - informe'!$E$27),0,(C4532&gt;='Resultats - informe'!$D$28)*(C4532&lt;='Resultats - informe'!$E$28),0,(C4532&gt;='Resultats - informe'!$D$29)*(C4532&lt;='Resultats - informe'!$E$29),0,1,1)</f>
        <v>0</v>
      </c>
      <c r="N4532" s="366">
        <f>+VLOOKUP(D4532,'Resultats - informe'!$Y$18:$AG$42,'Introducció dades consum'!K4532+1,0)</f>
        <v>0</v>
      </c>
      <c r="O4532" s="370" cm="1">
        <f t="array" ref="O4532">+_xlfn.SWITCH(MONTH(C4532),1,1,2,1,3,1,4,2,5,2,6,3,7,3,8,3,9,3,10,2,11,2,12,1,2)</f>
        <v>1</v>
      </c>
      <c r="P4532" s="43"/>
    </row>
    <row r="4533" spans="1:16" ht="18" x14ac:dyDescent="0.35">
      <c r="A4533" s="43"/>
      <c r="C4533" s="393"/>
      <c r="E4533" s="394"/>
      <c r="F4533" s="394">
        <v>3.6560000000000001</v>
      </c>
      <c r="G4533" s="394"/>
      <c r="H4533" s="8" t="s">
        <v>235</v>
      </c>
      <c r="I4533" s="368">
        <f t="shared" si="211"/>
        <v>0</v>
      </c>
      <c r="J4533" s="365">
        <f t="shared" si="210"/>
        <v>0</v>
      </c>
      <c r="K4533" s="369">
        <f t="shared" si="212"/>
        <v>6</v>
      </c>
      <c r="L4533" s="369">
        <f>+IF((C4533&gt;='Resultats - informe'!$E$16)*(C4533&lt;='Resultats - informe'!$G$16),1,0)</f>
        <v>1</v>
      </c>
      <c r="M4533" s="369" cm="1">
        <f t="array" ref="M4533">+_xlfn.IFS((C4533&gt;='Resultats - informe'!$D$26)*(C4533&lt;='Resultats - informe'!$E$26),0,(C4533&gt;='Resultats - informe'!$D$27)*(C4533&lt;='Resultats - informe'!$E$27),0,(C4533&gt;='Resultats - informe'!$D$28)*(C4533&lt;='Resultats - informe'!$E$28),0,(C4533&gt;='Resultats - informe'!$D$29)*(C4533&lt;='Resultats - informe'!$E$29),0,1,1)</f>
        <v>0</v>
      </c>
      <c r="N4533" s="366">
        <f>+VLOOKUP(D4533,'Resultats - informe'!$Y$18:$AG$42,'Introducció dades consum'!K4533+1,0)</f>
        <v>0</v>
      </c>
      <c r="O4533" s="370" cm="1">
        <f t="array" ref="O4533">+_xlfn.SWITCH(MONTH(C4533),1,1,2,1,3,1,4,2,5,2,6,3,7,3,8,3,9,3,10,2,11,2,12,1,2)</f>
        <v>1</v>
      </c>
      <c r="P4533" s="43"/>
    </row>
    <row r="4534" spans="1:16" ht="18" x14ac:dyDescent="0.35">
      <c r="A4534" s="43"/>
      <c r="C4534" s="393"/>
      <c r="E4534" s="394"/>
      <c r="F4534" s="394">
        <v>1.0629999999999999</v>
      </c>
      <c r="G4534" s="394"/>
      <c r="H4534" s="8" t="s">
        <v>235</v>
      </c>
      <c r="I4534" s="368">
        <f t="shared" si="211"/>
        <v>0</v>
      </c>
      <c r="J4534" s="365">
        <f t="shared" si="210"/>
        <v>0</v>
      </c>
      <c r="K4534" s="369">
        <f t="shared" si="212"/>
        <v>6</v>
      </c>
      <c r="L4534" s="369">
        <f>+IF((C4534&gt;='Resultats - informe'!$E$16)*(C4534&lt;='Resultats - informe'!$G$16),1,0)</f>
        <v>1</v>
      </c>
      <c r="M4534" s="369" cm="1">
        <f t="array" ref="M4534">+_xlfn.IFS((C4534&gt;='Resultats - informe'!$D$26)*(C4534&lt;='Resultats - informe'!$E$26),0,(C4534&gt;='Resultats - informe'!$D$27)*(C4534&lt;='Resultats - informe'!$E$27),0,(C4534&gt;='Resultats - informe'!$D$28)*(C4534&lt;='Resultats - informe'!$E$28),0,(C4534&gt;='Resultats - informe'!$D$29)*(C4534&lt;='Resultats - informe'!$E$29),0,1,1)</f>
        <v>0</v>
      </c>
      <c r="N4534" s="366">
        <f>+VLOOKUP(D4534,'Resultats - informe'!$Y$18:$AG$42,'Introducció dades consum'!K4534+1,0)</f>
        <v>0</v>
      </c>
      <c r="O4534" s="370" cm="1">
        <f t="array" ref="O4534">+_xlfn.SWITCH(MONTH(C4534),1,1,2,1,3,1,4,2,5,2,6,3,7,3,8,3,9,3,10,2,11,2,12,1,2)</f>
        <v>1</v>
      </c>
      <c r="P4534" s="43"/>
    </row>
    <row r="4535" spans="1:16" ht="18" x14ac:dyDescent="0.35">
      <c r="A4535" s="43"/>
      <c r="C4535" s="393"/>
      <c r="E4535" s="394"/>
      <c r="F4535" s="394">
        <v>1.01</v>
      </c>
      <c r="G4535" s="394"/>
      <c r="H4535" s="8" t="s">
        <v>235</v>
      </c>
      <c r="I4535" s="368">
        <f t="shared" si="211"/>
        <v>0</v>
      </c>
      <c r="J4535" s="365">
        <f t="shared" si="210"/>
        <v>0</v>
      </c>
      <c r="K4535" s="369">
        <f t="shared" si="212"/>
        <v>6</v>
      </c>
      <c r="L4535" s="369">
        <f>+IF((C4535&gt;='Resultats - informe'!$E$16)*(C4535&lt;='Resultats - informe'!$G$16),1,0)</f>
        <v>1</v>
      </c>
      <c r="M4535" s="369" cm="1">
        <f t="array" ref="M4535">+_xlfn.IFS((C4535&gt;='Resultats - informe'!$D$26)*(C4535&lt;='Resultats - informe'!$E$26),0,(C4535&gt;='Resultats - informe'!$D$27)*(C4535&lt;='Resultats - informe'!$E$27),0,(C4535&gt;='Resultats - informe'!$D$28)*(C4535&lt;='Resultats - informe'!$E$28),0,(C4535&gt;='Resultats - informe'!$D$29)*(C4535&lt;='Resultats - informe'!$E$29),0,1,1)</f>
        <v>0</v>
      </c>
      <c r="N4535" s="366">
        <f>+VLOOKUP(D4535,'Resultats - informe'!$Y$18:$AG$42,'Introducció dades consum'!K4535+1,0)</f>
        <v>0</v>
      </c>
      <c r="O4535" s="370" cm="1">
        <f t="array" ref="O4535">+_xlfn.SWITCH(MONTH(C4535),1,1,2,1,3,1,4,2,5,2,6,3,7,3,8,3,9,3,10,2,11,2,12,1,2)</f>
        <v>1</v>
      </c>
      <c r="P4535" s="43"/>
    </row>
    <row r="4536" spans="1:16" ht="18" x14ac:dyDescent="0.35">
      <c r="A4536" s="43"/>
      <c r="C4536" s="393"/>
      <c r="E4536" s="394"/>
      <c r="F4536" s="394">
        <v>0</v>
      </c>
      <c r="G4536" s="394"/>
      <c r="H4536" s="8" t="s">
        <v>235</v>
      </c>
      <c r="I4536" s="368">
        <f t="shared" si="211"/>
        <v>0</v>
      </c>
      <c r="J4536" s="365">
        <f t="shared" si="210"/>
        <v>0</v>
      </c>
      <c r="K4536" s="369">
        <f t="shared" si="212"/>
        <v>6</v>
      </c>
      <c r="L4536" s="369">
        <f>+IF((C4536&gt;='Resultats - informe'!$E$16)*(C4536&lt;='Resultats - informe'!$G$16),1,0)</f>
        <v>1</v>
      </c>
      <c r="M4536" s="369" cm="1">
        <f t="array" ref="M4536">+_xlfn.IFS((C4536&gt;='Resultats - informe'!$D$26)*(C4536&lt;='Resultats - informe'!$E$26),0,(C4536&gt;='Resultats - informe'!$D$27)*(C4536&lt;='Resultats - informe'!$E$27),0,(C4536&gt;='Resultats - informe'!$D$28)*(C4536&lt;='Resultats - informe'!$E$28),0,(C4536&gt;='Resultats - informe'!$D$29)*(C4536&lt;='Resultats - informe'!$E$29),0,1,1)</f>
        <v>0</v>
      </c>
      <c r="N4536" s="366">
        <f>+VLOOKUP(D4536,'Resultats - informe'!$Y$18:$AG$42,'Introducció dades consum'!K4536+1,0)</f>
        <v>0</v>
      </c>
      <c r="O4536" s="370" cm="1">
        <f t="array" ref="O4536">+_xlfn.SWITCH(MONTH(C4536),1,1,2,1,3,1,4,2,5,2,6,3,7,3,8,3,9,3,10,2,11,2,12,1,2)</f>
        <v>1</v>
      </c>
      <c r="P4536" s="43"/>
    </row>
    <row r="4537" spans="1:16" ht="18" x14ac:dyDescent="0.35">
      <c r="A4537" s="43"/>
      <c r="C4537" s="393"/>
      <c r="E4537" s="394"/>
      <c r="F4537" s="394">
        <v>0</v>
      </c>
      <c r="G4537" s="394"/>
      <c r="H4537" s="8" t="s">
        <v>235</v>
      </c>
      <c r="I4537" s="368">
        <f t="shared" si="211"/>
        <v>0</v>
      </c>
      <c r="J4537" s="365">
        <f t="shared" si="210"/>
        <v>0</v>
      </c>
      <c r="K4537" s="369">
        <f t="shared" si="212"/>
        <v>6</v>
      </c>
      <c r="L4537" s="369">
        <f>+IF((C4537&gt;='Resultats - informe'!$E$16)*(C4537&lt;='Resultats - informe'!$G$16),1,0)</f>
        <v>1</v>
      </c>
      <c r="M4537" s="369" cm="1">
        <f t="array" ref="M4537">+_xlfn.IFS((C4537&gt;='Resultats - informe'!$D$26)*(C4537&lt;='Resultats - informe'!$E$26),0,(C4537&gt;='Resultats - informe'!$D$27)*(C4537&lt;='Resultats - informe'!$E$27),0,(C4537&gt;='Resultats - informe'!$D$28)*(C4537&lt;='Resultats - informe'!$E$28),0,(C4537&gt;='Resultats - informe'!$D$29)*(C4537&lt;='Resultats - informe'!$E$29),0,1,1)</f>
        <v>0</v>
      </c>
      <c r="N4537" s="366">
        <f>+VLOOKUP(D4537,'Resultats - informe'!$Y$18:$AG$42,'Introducció dades consum'!K4537+1,0)</f>
        <v>0</v>
      </c>
      <c r="O4537" s="370" cm="1">
        <f t="array" ref="O4537">+_xlfn.SWITCH(MONTH(C4537),1,1,2,1,3,1,4,2,5,2,6,3,7,3,8,3,9,3,10,2,11,2,12,1,2)</f>
        <v>1</v>
      </c>
      <c r="P4537" s="43"/>
    </row>
    <row r="4538" spans="1:16" ht="18" x14ac:dyDescent="0.35">
      <c r="A4538" s="43"/>
      <c r="C4538" s="393"/>
      <c r="E4538" s="394"/>
      <c r="F4538" s="394">
        <v>0</v>
      </c>
      <c r="G4538" s="394"/>
      <c r="H4538" s="8" t="s">
        <v>235</v>
      </c>
      <c r="I4538" s="368">
        <f t="shared" si="211"/>
        <v>0</v>
      </c>
      <c r="J4538" s="365">
        <f t="shared" si="210"/>
        <v>0</v>
      </c>
      <c r="K4538" s="369">
        <f t="shared" si="212"/>
        <v>6</v>
      </c>
      <c r="L4538" s="369">
        <f>+IF((C4538&gt;='Resultats - informe'!$E$16)*(C4538&lt;='Resultats - informe'!$G$16),1,0)</f>
        <v>1</v>
      </c>
      <c r="M4538" s="369" cm="1">
        <f t="array" ref="M4538">+_xlfn.IFS((C4538&gt;='Resultats - informe'!$D$26)*(C4538&lt;='Resultats - informe'!$E$26),0,(C4538&gt;='Resultats - informe'!$D$27)*(C4538&lt;='Resultats - informe'!$E$27),0,(C4538&gt;='Resultats - informe'!$D$28)*(C4538&lt;='Resultats - informe'!$E$28),0,(C4538&gt;='Resultats - informe'!$D$29)*(C4538&lt;='Resultats - informe'!$E$29),0,1,1)</f>
        <v>0</v>
      </c>
      <c r="N4538" s="366">
        <f>+VLOOKUP(D4538,'Resultats - informe'!$Y$18:$AG$42,'Introducció dades consum'!K4538+1,0)</f>
        <v>0</v>
      </c>
      <c r="O4538" s="370" cm="1">
        <f t="array" ref="O4538">+_xlfn.SWITCH(MONTH(C4538),1,1,2,1,3,1,4,2,5,2,6,3,7,3,8,3,9,3,10,2,11,2,12,1,2)</f>
        <v>1</v>
      </c>
      <c r="P4538" s="43"/>
    </row>
    <row r="4539" spans="1:16" ht="18" x14ac:dyDescent="0.35">
      <c r="A4539" s="43"/>
      <c r="C4539" s="393"/>
      <c r="E4539" s="394"/>
      <c r="F4539" s="394">
        <v>0</v>
      </c>
      <c r="G4539" s="394"/>
      <c r="H4539" s="8" t="s">
        <v>235</v>
      </c>
      <c r="I4539" s="368">
        <f t="shared" si="211"/>
        <v>0</v>
      </c>
      <c r="J4539" s="365">
        <f t="shared" ref="J4539:J4602" si="213">+C4539</f>
        <v>0</v>
      </c>
      <c r="K4539" s="369">
        <f t="shared" si="212"/>
        <v>6</v>
      </c>
      <c r="L4539" s="369">
        <f>+IF((C4539&gt;='Resultats - informe'!$E$16)*(C4539&lt;='Resultats - informe'!$G$16),1,0)</f>
        <v>1</v>
      </c>
      <c r="M4539" s="369" cm="1">
        <f t="array" ref="M4539">+_xlfn.IFS((C4539&gt;='Resultats - informe'!$D$26)*(C4539&lt;='Resultats - informe'!$E$26),0,(C4539&gt;='Resultats - informe'!$D$27)*(C4539&lt;='Resultats - informe'!$E$27),0,(C4539&gt;='Resultats - informe'!$D$28)*(C4539&lt;='Resultats - informe'!$E$28),0,(C4539&gt;='Resultats - informe'!$D$29)*(C4539&lt;='Resultats - informe'!$E$29),0,1,1)</f>
        <v>0</v>
      </c>
      <c r="N4539" s="366">
        <f>+VLOOKUP(D4539,'Resultats - informe'!$Y$18:$AG$42,'Introducció dades consum'!K4539+1,0)</f>
        <v>0</v>
      </c>
      <c r="O4539" s="370" cm="1">
        <f t="array" ref="O4539">+_xlfn.SWITCH(MONTH(C4539),1,1,2,1,3,1,4,2,5,2,6,3,7,3,8,3,9,3,10,2,11,2,12,1,2)</f>
        <v>1</v>
      </c>
      <c r="P4539" s="43"/>
    </row>
    <row r="4540" spans="1:16" ht="18" x14ac:dyDescent="0.35">
      <c r="A4540" s="43"/>
      <c r="C4540" s="393"/>
      <c r="E4540" s="394"/>
      <c r="F4540" s="394">
        <v>0</v>
      </c>
      <c r="G4540" s="394"/>
      <c r="H4540" s="8" t="s">
        <v>235</v>
      </c>
      <c r="I4540" s="368">
        <f t="shared" si="211"/>
        <v>0</v>
      </c>
      <c r="J4540" s="365">
        <f t="shared" si="213"/>
        <v>0</v>
      </c>
      <c r="K4540" s="369">
        <f t="shared" si="212"/>
        <v>6</v>
      </c>
      <c r="L4540" s="369">
        <f>+IF((C4540&gt;='Resultats - informe'!$E$16)*(C4540&lt;='Resultats - informe'!$G$16),1,0)</f>
        <v>1</v>
      </c>
      <c r="M4540" s="369" cm="1">
        <f t="array" ref="M4540">+_xlfn.IFS((C4540&gt;='Resultats - informe'!$D$26)*(C4540&lt;='Resultats - informe'!$E$26),0,(C4540&gt;='Resultats - informe'!$D$27)*(C4540&lt;='Resultats - informe'!$E$27),0,(C4540&gt;='Resultats - informe'!$D$28)*(C4540&lt;='Resultats - informe'!$E$28),0,(C4540&gt;='Resultats - informe'!$D$29)*(C4540&lt;='Resultats - informe'!$E$29),0,1,1)</f>
        <v>0</v>
      </c>
      <c r="N4540" s="366">
        <f>+VLOOKUP(D4540,'Resultats - informe'!$Y$18:$AG$42,'Introducció dades consum'!K4540+1,0)</f>
        <v>0</v>
      </c>
      <c r="O4540" s="370" cm="1">
        <f t="array" ref="O4540">+_xlfn.SWITCH(MONTH(C4540),1,1,2,1,3,1,4,2,5,2,6,3,7,3,8,3,9,3,10,2,11,2,12,1,2)</f>
        <v>1</v>
      </c>
      <c r="P4540" s="43"/>
    </row>
    <row r="4541" spans="1:16" ht="18" x14ac:dyDescent="0.35">
      <c r="A4541" s="43"/>
      <c r="C4541" s="393"/>
      <c r="E4541" s="394"/>
      <c r="F4541" s="394">
        <v>0</v>
      </c>
      <c r="G4541" s="394"/>
      <c r="H4541" s="8" t="s">
        <v>235</v>
      </c>
      <c r="I4541" s="368">
        <f t="shared" si="211"/>
        <v>0</v>
      </c>
      <c r="J4541" s="365">
        <f t="shared" si="213"/>
        <v>0</v>
      </c>
      <c r="K4541" s="369">
        <f t="shared" si="212"/>
        <v>6</v>
      </c>
      <c r="L4541" s="369">
        <f>+IF((C4541&gt;='Resultats - informe'!$E$16)*(C4541&lt;='Resultats - informe'!$G$16),1,0)</f>
        <v>1</v>
      </c>
      <c r="M4541" s="369" cm="1">
        <f t="array" ref="M4541">+_xlfn.IFS((C4541&gt;='Resultats - informe'!$D$26)*(C4541&lt;='Resultats - informe'!$E$26),0,(C4541&gt;='Resultats - informe'!$D$27)*(C4541&lt;='Resultats - informe'!$E$27),0,(C4541&gt;='Resultats - informe'!$D$28)*(C4541&lt;='Resultats - informe'!$E$28),0,(C4541&gt;='Resultats - informe'!$D$29)*(C4541&lt;='Resultats - informe'!$E$29),0,1,1)</f>
        <v>0</v>
      </c>
      <c r="N4541" s="366">
        <f>+VLOOKUP(D4541,'Resultats - informe'!$Y$18:$AG$42,'Introducció dades consum'!K4541+1,0)</f>
        <v>0</v>
      </c>
      <c r="O4541" s="370" cm="1">
        <f t="array" ref="O4541">+_xlfn.SWITCH(MONTH(C4541),1,1,2,1,3,1,4,2,5,2,6,3,7,3,8,3,9,3,10,2,11,2,12,1,2)</f>
        <v>1</v>
      </c>
      <c r="P4541" s="43"/>
    </row>
    <row r="4542" spans="1:16" ht="18" x14ac:dyDescent="0.35">
      <c r="A4542" s="43"/>
      <c r="C4542" s="393"/>
      <c r="E4542" s="394"/>
      <c r="F4542" s="394">
        <v>0</v>
      </c>
      <c r="G4542" s="394"/>
      <c r="H4542" s="8" t="s">
        <v>235</v>
      </c>
      <c r="I4542" s="368">
        <f t="shared" si="211"/>
        <v>0</v>
      </c>
      <c r="J4542" s="365">
        <f t="shared" si="213"/>
        <v>0</v>
      </c>
      <c r="K4542" s="369">
        <f t="shared" si="212"/>
        <v>6</v>
      </c>
      <c r="L4542" s="369">
        <f>+IF((C4542&gt;='Resultats - informe'!$E$16)*(C4542&lt;='Resultats - informe'!$G$16),1,0)</f>
        <v>1</v>
      </c>
      <c r="M4542" s="369" cm="1">
        <f t="array" ref="M4542">+_xlfn.IFS((C4542&gt;='Resultats - informe'!$D$26)*(C4542&lt;='Resultats - informe'!$E$26),0,(C4542&gt;='Resultats - informe'!$D$27)*(C4542&lt;='Resultats - informe'!$E$27),0,(C4542&gt;='Resultats - informe'!$D$28)*(C4542&lt;='Resultats - informe'!$E$28),0,(C4542&gt;='Resultats - informe'!$D$29)*(C4542&lt;='Resultats - informe'!$E$29),0,1,1)</f>
        <v>0</v>
      </c>
      <c r="N4542" s="366">
        <f>+VLOOKUP(D4542,'Resultats - informe'!$Y$18:$AG$42,'Introducció dades consum'!K4542+1,0)</f>
        <v>0</v>
      </c>
      <c r="O4542" s="370" cm="1">
        <f t="array" ref="O4542">+_xlfn.SWITCH(MONTH(C4542),1,1,2,1,3,1,4,2,5,2,6,3,7,3,8,3,9,3,10,2,11,2,12,1,2)</f>
        <v>1</v>
      </c>
      <c r="P4542" s="43"/>
    </row>
    <row r="4543" spans="1:16" ht="18" x14ac:dyDescent="0.35">
      <c r="A4543" s="43"/>
      <c r="C4543" s="393"/>
      <c r="E4543" s="394"/>
      <c r="F4543" s="394">
        <v>0</v>
      </c>
      <c r="G4543" s="394"/>
      <c r="H4543" s="8" t="s">
        <v>235</v>
      </c>
      <c r="I4543" s="368">
        <f t="shared" si="211"/>
        <v>0</v>
      </c>
      <c r="J4543" s="365">
        <f t="shared" si="213"/>
        <v>0</v>
      </c>
      <c r="K4543" s="369">
        <f t="shared" si="212"/>
        <v>6</v>
      </c>
      <c r="L4543" s="369">
        <f>+IF((C4543&gt;='Resultats - informe'!$E$16)*(C4543&lt;='Resultats - informe'!$G$16),1,0)</f>
        <v>1</v>
      </c>
      <c r="M4543" s="369" cm="1">
        <f t="array" ref="M4543">+_xlfn.IFS((C4543&gt;='Resultats - informe'!$D$26)*(C4543&lt;='Resultats - informe'!$E$26),0,(C4543&gt;='Resultats - informe'!$D$27)*(C4543&lt;='Resultats - informe'!$E$27),0,(C4543&gt;='Resultats - informe'!$D$28)*(C4543&lt;='Resultats - informe'!$E$28),0,(C4543&gt;='Resultats - informe'!$D$29)*(C4543&lt;='Resultats - informe'!$E$29),0,1,1)</f>
        <v>0</v>
      </c>
      <c r="N4543" s="366">
        <f>+VLOOKUP(D4543,'Resultats - informe'!$Y$18:$AG$42,'Introducció dades consum'!K4543+1,0)</f>
        <v>0</v>
      </c>
      <c r="O4543" s="370" cm="1">
        <f t="array" ref="O4543">+_xlfn.SWITCH(MONTH(C4543),1,1,2,1,3,1,4,2,5,2,6,3,7,3,8,3,9,3,10,2,11,2,12,1,2)</f>
        <v>1</v>
      </c>
      <c r="P4543" s="43"/>
    </row>
    <row r="4544" spans="1:16" ht="18" x14ac:dyDescent="0.35">
      <c r="A4544" s="43"/>
      <c r="C4544" s="393"/>
      <c r="E4544" s="394"/>
      <c r="F4544" s="394">
        <v>0</v>
      </c>
      <c r="G4544" s="394"/>
      <c r="H4544" s="8" t="s">
        <v>235</v>
      </c>
      <c r="I4544" s="368">
        <f t="shared" si="211"/>
        <v>0</v>
      </c>
      <c r="J4544" s="365">
        <f t="shared" si="213"/>
        <v>0</v>
      </c>
      <c r="K4544" s="369">
        <f t="shared" si="212"/>
        <v>6</v>
      </c>
      <c r="L4544" s="369">
        <f>+IF((C4544&gt;='Resultats - informe'!$E$16)*(C4544&lt;='Resultats - informe'!$G$16),1,0)</f>
        <v>1</v>
      </c>
      <c r="M4544" s="369" cm="1">
        <f t="array" ref="M4544">+_xlfn.IFS((C4544&gt;='Resultats - informe'!$D$26)*(C4544&lt;='Resultats - informe'!$E$26),0,(C4544&gt;='Resultats - informe'!$D$27)*(C4544&lt;='Resultats - informe'!$E$27),0,(C4544&gt;='Resultats - informe'!$D$28)*(C4544&lt;='Resultats - informe'!$E$28),0,(C4544&gt;='Resultats - informe'!$D$29)*(C4544&lt;='Resultats - informe'!$E$29),0,1,1)</f>
        <v>0</v>
      </c>
      <c r="N4544" s="366">
        <f>+VLOOKUP(D4544,'Resultats - informe'!$Y$18:$AG$42,'Introducció dades consum'!K4544+1,0)</f>
        <v>0</v>
      </c>
      <c r="O4544" s="370" cm="1">
        <f t="array" ref="O4544">+_xlfn.SWITCH(MONTH(C4544),1,1,2,1,3,1,4,2,5,2,6,3,7,3,8,3,9,3,10,2,11,2,12,1,2)</f>
        <v>1</v>
      </c>
      <c r="P4544" s="43"/>
    </row>
    <row r="4545" spans="1:16" ht="18" x14ac:dyDescent="0.35">
      <c r="A4545" s="43"/>
      <c r="C4545" s="393"/>
      <c r="E4545" s="394"/>
      <c r="F4545" s="394">
        <v>0</v>
      </c>
      <c r="G4545" s="394"/>
      <c r="H4545" s="8" t="s">
        <v>235</v>
      </c>
      <c r="I4545" s="368">
        <f t="shared" si="211"/>
        <v>0</v>
      </c>
      <c r="J4545" s="365">
        <f t="shared" si="213"/>
        <v>0</v>
      </c>
      <c r="K4545" s="369">
        <f t="shared" si="212"/>
        <v>6</v>
      </c>
      <c r="L4545" s="369">
        <f>+IF((C4545&gt;='Resultats - informe'!$E$16)*(C4545&lt;='Resultats - informe'!$G$16),1,0)</f>
        <v>1</v>
      </c>
      <c r="M4545" s="369" cm="1">
        <f t="array" ref="M4545">+_xlfn.IFS((C4545&gt;='Resultats - informe'!$D$26)*(C4545&lt;='Resultats - informe'!$E$26),0,(C4545&gt;='Resultats - informe'!$D$27)*(C4545&lt;='Resultats - informe'!$E$27),0,(C4545&gt;='Resultats - informe'!$D$28)*(C4545&lt;='Resultats - informe'!$E$28),0,(C4545&gt;='Resultats - informe'!$D$29)*(C4545&lt;='Resultats - informe'!$E$29),0,1,1)</f>
        <v>0</v>
      </c>
      <c r="N4545" s="366">
        <f>+VLOOKUP(D4545,'Resultats - informe'!$Y$18:$AG$42,'Introducció dades consum'!K4545+1,0)</f>
        <v>0</v>
      </c>
      <c r="O4545" s="370" cm="1">
        <f t="array" ref="O4545">+_xlfn.SWITCH(MONTH(C4545),1,1,2,1,3,1,4,2,5,2,6,3,7,3,8,3,9,3,10,2,11,2,12,1,2)</f>
        <v>1</v>
      </c>
      <c r="P4545" s="43"/>
    </row>
    <row r="4546" spans="1:16" ht="18" x14ac:dyDescent="0.35">
      <c r="A4546" s="43"/>
      <c r="C4546" s="393"/>
      <c r="E4546" s="394"/>
      <c r="F4546" s="394">
        <v>0</v>
      </c>
      <c r="G4546" s="394"/>
      <c r="H4546" s="8" t="s">
        <v>235</v>
      </c>
      <c r="I4546" s="368">
        <f t="shared" si="211"/>
        <v>0</v>
      </c>
      <c r="J4546" s="365">
        <f t="shared" si="213"/>
        <v>0</v>
      </c>
      <c r="K4546" s="369">
        <f t="shared" si="212"/>
        <v>6</v>
      </c>
      <c r="L4546" s="369">
        <f>+IF((C4546&gt;='Resultats - informe'!$E$16)*(C4546&lt;='Resultats - informe'!$G$16),1,0)</f>
        <v>1</v>
      </c>
      <c r="M4546" s="369" cm="1">
        <f t="array" ref="M4546">+_xlfn.IFS((C4546&gt;='Resultats - informe'!$D$26)*(C4546&lt;='Resultats - informe'!$E$26),0,(C4546&gt;='Resultats - informe'!$D$27)*(C4546&lt;='Resultats - informe'!$E$27),0,(C4546&gt;='Resultats - informe'!$D$28)*(C4546&lt;='Resultats - informe'!$E$28),0,(C4546&gt;='Resultats - informe'!$D$29)*(C4546&lt;='Resultats - informe'!$E$29),0,1,1)</f>
        <v>0</v>
      </c>
      <c r="N4546" s="366">
        <f>+VLOOKUP(D4546,'Resultats - informe'!$Y$18:$AG$42,'Introducció dades consum'!K4546+1,0)</f>
        <v>0</v>
      </c>
      <c r="O4546" s="370" cm="1">
        <f t="array" ref="O4546">+_xlfn.SWITCH(MONTH(C4546),1,1,2,1,3,1,4,2,5,2,6,3,7,3,8,3,9,3,10,2,11,2,12,1,2)</f>
        <v>1</v>
      </c>
      <c r="P4546" s="43"/>
    </row>
    <row r="4547" spans="1:16" ht="18" x14ac:dyDescent="0.35">
      <c r="A4547" s="43"/>
      <c r="C4547" s="393"/>
      <c r="E4547" s="394"/>
      <c r="F4547" s="394">
        <v>0</v>
      </c>
      <c r="G4547" s="394"/>
      <c r="H4547" s="8" t="s">
        <v>235</v>
      </c>
      <c r="I4547" s="368">
        <f t="shared" si="211"/>
        <v>0</v>
      </c>
      <c r="J4547" s="365">
        <f t="shared" si="213"/>
        <v>0</v>
      </c>
      <c r="K4547" s="369">
        <f t="shared" si="212"/>
        <v>6</v>
      </c>
      <c r="L4547" s="369">
        <f>+IF((C4547&gt;='Resultats - informe'!$E$16)*(C4547&lt;='Resultats - informe'!$G$16),1,0)</f>
        <v>1</v>
      </c>
      <c r="M4547" s="369" cm="1">
        <f t="array" ref="M4547">+_xlfn.IFS((C4547&gt;='Resultats - informe'!$D$26)*(C4547&lt;='Resultats - informe'!$E$26),0,(C4547&gt;='Resultats - informe'!$D$27)*(C4547&lt;='Resultats - informe'!$E$27),0,(C4547&gt;='Resultats - informe'!$D$28)*(C4547&lt;='Resultats - informe'!$E$28),0,(C4547&gt;='Resultats - informe'!$D$29)*(C4547&lt;='Resultats - informe'!$E$29),0,1,1)</f>
        <v>0</v>
      </c>
      <c r="N4547" s="366">
        <f>+VLOOKUP(D4547,'Resultats - informe'!$Y$18:$AG$42,'Introducció dades consum'!K4547+1,0)</f>
        <v>0</v>
      </c>
      <c r="O4547" s="370" cm="1">
        <f t="array" ref="O4547">+_xlfn.SWITCH(MONTH(C4547),1,1,2,1,3,1,4,2,5,2,6,3,7,3,8,3,9,3,10,2,11,2,12,1,2)</f>
        <v>1</v>
      </c>
      <c r="P4547" s="43"/>
    </row>
    <row r="4548" spans="1:16" ht="18" x14ac:dyDescent="0.35">
      <c r="A4548" s="43"/>
      <c r="C4548" s="393"/>
      <c r="E4548" s="394"/>
      <c r="F4548" s="394">
        <v>7.2999999999999995E-2</v>
      </c>
      <c r="G4548" s="394"/>
      <c r="H4548" s="8" t="s">
        <v>235</v>
      </c>
      <c r="I4548" s="368">
        <f t="shared" si="211"/>
        <v>0</v>
      </c>
      <c r="J4548" s="365">
        <f t="shared" si="213"/>
        <v>0</v>
      </c>
      <c r="K4548" s="369">
        <f t="shared" si="212"/>
        <v>6</v>
      </c>
      <c r="L4548" s="369">
        <f>+IF((C4548&gt;='Resultats - informe'!$E$16)*(C4548&lt;='Resultats - informe'!$G$16),1,0)</f>
        <v>1</v>
      </c>
      <c r="M4548" s="369" cm="1">
        <f t="array" ref="M4548">+_xlfn.IFS((C4548&gt;='Resultats - informe'!$D$26)*(C4548&lt;='Resultats - informe'!$E$26),0,(C4548&gt;='Resultats - informe'!$D$27)*(C4548&lt;='Resultats - informe'!$E$27),0,(C4548&gt;='Resultats - informe'!$D$28)*(C4548&lt;='Resultats - informe'!$E$28),0,(C4548&gt;='Resultats - informe'!$D$29)*(C4548&lt;='Resultats - informe'!$E$29),0,1,1)</f>
        <v>0</v>
      </c>
      <c r="N4548" s="366">
        <f>+VLOOKUP(D4548,'Resultats - informe'!$Y$18:$AG$42,'Introducció dades consum'!K4548+1,0)</f>
        <v>0</v>
      </c>
      <c r="O4548" s="370" cm="1">
        <f t="array" ref="O4548">+_xlfn.SWITCH(MONTH(C4548),1,1,2,1,3,1,4,2,5,2,6,3,7,3,8,3,9,3,10,2,11,2,12,1,2)</f>
        <v>1</v>
      </c>
      <c r="P4548" s="43"/>
    </row>
    <row r="4549" spans="1:16" ht="18" x14ac:dyDescent="0.35">
      <c r="A4549" s="43"/>
      <c r="C4549" s="393"/>
      <c r="E4549" s="394"/>
      <c r="F4549" s="394">
        <v>1.3260000000000001</v>
      </c>
      <c r="G4549" s="394"/>
      <c r="H4549" s="8" t="s">
        <v>235</v>
      </c>
      <c r="I4549" s="368">
        <f t="shared" si="211"/>
        <v>0</v>
      </c>
      <c r="J4549" s="365">
        <f t="shared" si="213"/>
        <v>0</v>
      </c>
      <c r="K4549" s="369">
        <f t="shared" si="212"/>
        <v>6</v>
      </c>
      <c r="L4549" s="369">
        <f>+IF((C4549&gt;='Resultats - informe'!$E$16)*(C4549&lt;='Resultats - informe'!$G$16),1,0)</f>
        <v>1</v>
      </c>
      <c r="M4549" s="369" cm="1">
        <f t="array" ref="M4549">+_xlfn.IFS((C4549&gt;='Resultats - informe'!$D$26)*(C4549&lt;='Resultats - informe'!$E$26),0,(C4549&gt;='Resultats - informe'!$D$27)*(C4549&lt;='Resultats - informe'!$E$27),0,(C4549&gt;='Resultats - informe'!$D$28)*(C4549&lt;='Resultats - informe'!$E$28),0,(C4549&gt;='Resultats - informe'!$D$29)*(C4549&lt;='Resultats - informe'!$E$29),0,1,1)</f>
        <v>0</v>
      </c>
      <c r="N4549" s="366">
        <f>+VLOOKUP(D4549,'Resultats - informe'!$Y$18:$AG$42,'Introducció dades consum'!K4549+1,0)</f>
        <v>0</v>
      </c>
      <c r="O4549" s="370" cm="1">
        <f t="array" ref="O4549">+_xlfn.SWITCH(MONTH(C4549),1,1,2,1,3,1,4,2,5,2,6,3,7,3,8,3,9,3,10,2,11,2,12,1,2)</f>
        <v>1</v>
      </c>
      <c r="P4549" s="43"/>
    </row>
    <row r="4550" spans="1:16" ht="18" x14ac:dyDescent="0.35">
      <c r="A4550" s="43"/>
      <c r="C4550" s="393"/>
      <c r="E4550" s="394"/>
      <c r="F4550" s="394">
        <v>3.198</v>
      </c>
      <c r="G4550" s="394"/>
      <c r="H4550" s="8" t="s">
        <v>235</v>
      </c>
      <c r="I4550" s="368">
        <f t="shared" ref="I4550:I4613" si="214">+E4550+G4550</f>
        <v>0</v>
      </c>
      <c r="J4550" s="365">
        <f t="shared" si="213"/>
        <v>0</v>
      </c>
      <c r="K4550" s="369">
        <f t="shared" ref="K4550:K4613" si="215">+WEEKDAY(C4550,2)</f>
        <v>6</v>
      </c>
      <c r="L4550" s="369">
        <f>+IF((C4550&gt;='Resultats - informe'!$E$16)*(C4550&lt;='Resultats - informe'!$G$16),1,0)</f>
        <v>1</v>
      </c>
      <c r="M4550" s="369" cm="1">
        <f t="array" ref="M4550">+_xlfn.IFS((C4550&gt;='Resultats - informe'!$D$26)*(C4550&lt;='Resultats - informe'!$E$26),0,(C4550&gt;='Resultats - informe'!$D$27)*(C4550&lt;='Resultats - informe'!$E$27),0,(C4550&gt;='Resultats - informe'!$D$28)*(C4550&lt;='Resultats - informe'!$E$28),0,(C4550&gt;='Resultats - informe'!$D$29)*(C4550&lt;='Resultats - informe'!$E$29),0,1,1)</f>
        <v>0</v>
      </c>
      <c r="N4550" s="366">
        <f>+VLOOKUP(D4550,'Resultats - informe'!$Y$18:$AG$42,'Introducció dades consum'!K4550+1,0)</f>
        <v>0</v>
      </c>
      <c r="O4550" s="370" cm="1">
        <f t="array" ref="O4550">+_xlfn.SWITCH(MONTH(C4550),1,1,2,1,3,1,4,2,5,2,6,3,7,3,8,3,9,3,10,2,11,2,12,1,2)</f>
        <v>1</v>
      </c>
      <c r="P4550" s="43"/>
    </row>
    <row r="4551" spans="1:16" ht="18" x14ac:dyDescent="0.35">
      <c r="A4551" s="43"/>
      <c r="C4551" s="393"/>
      <c r="E4551" s="394"/>
      <c r="F4551" s="394">
        <v>4.452</v>
      </c>
      <c r="G4551" s="394"/>
      <c r="H4551" s="8" t="s">
        <v>235</v>
      </c>
      <c r="I4551" s="368">
        <f t="shared" si="214"/>
        <v>0</v>
      </c>
      <c r="J4551" s="365">
        <f t="shared" si="213"/>
        <v>0</v>
      </c>
      <c r="K4551" s="369">
        <f t="shared" si="215"/>
        <v>6</v>
      </c>
      <c r="L4551" s="369">
        <f>+IF((C4551&gt;='Resultats - informe'!$E$16)*(C4551&lt;='Resultats - informe'!$G$16),1,0)</f>
        <v>1</v>
      </c>
      <c r="M4551" s="369" cm="1">
        <f t="array" ref="M4551">+_xlfn.IFS((C4551&gt;='Resultats - informe'!$D$26)*(C4551&lt;='Resultats - informe'!$E$26),0,(C4551&gt;='Resultats - informe'!$D$27)*(C4551&lt;='Resultats - informe'!$E$27),0,(C4551&gt;='Resultats - informe'!$D$28)*(C4551&lt;='Resultats - informe'!$E$28),0,(C4551&gt;='Resultats - informe'!$D$29)*(C4551&lt;='Resultats - informe'!$E$29),0,1,1)</f>
        <v>0</v>
      </c>
      <c r="N4551" s="366">
        <f>+VLOOKUP(D4551,'Resultats - informe'!$Y$18:$AG$42,'Introducció dades consum'!K4551+1,0)</f>
        <v>0</v>
      </c>
      <c r="O4551" s="370" cm="1">
        <f t="array" ref="O4551">+_xlfn.SWITCH(MONTH(C4551),1,1,2,1,3,1,4,2,5,2,6,3,7,3,8,3,9,3,10,2,11,2,12,1,2)</f>
        <v>1</v>
      </c>
      <c r="P4551" s="43"/>
    </row>
    <row r="4552" spans="1:16" ht="18" x14ac:dyDescent="0.35">
      <c r="A4552" s="43"/>
      <c r="C4552" s="393"/>
      <c r="E4552" s="394"/>
      <c r="F4552" s="394">
        <v>5.2450000000000001</v>
      </c>
      <c r="G4552" s="394"/>
      <c r="H4552" s="8" t="s">
        <v>235</v>
      </c>
      <c r="I4552" s="368">
        <f t="shared" si="214"/>
        <v>0</v>
      </c>
      <c r="J4552" s="365">
        <f t="shared" si="213"/>
        <v>0</v>
      </c>
      <c r="K4552" s="369">
        <f t="shared" si="215"/>
        <v>6</v>
      </c>
      <c r="L4552" s="369">
        <f>+IF((C4552&gt;='Resultats - informe'!$E$16)*(C4552&lt;='Resultats - informe'!$G$16),1,0)</f>
        <v>1</v>
      </c>
      <c r="M4552" s="369" cm="1">
        <f t="array" ref="M4552">+_xlfn.IFS((C4552&gt;='Resultats - informe'!$D$26)*(C4552&lt;='Resultats - informe'!$E$26),0,(C4552&gt;='Resultats - informe'!$D$27)*(C4552&lt;='Resultats - informe'!$E$27),0,(C4552&gt;='Resultats - informe'!$D$28)*(C4552&lt;='Resultats - informe'!$E$28),0,(C4552&gt;='Resultats - informe'!$D$29)*(C4552&lt;='Resultats - informe'!$E$29),0,1,1)</f>
        <v>0</v>
      </c>
      <c r="N4552" s="366">
        <f>+VLOOKUP(D4552,'Resultats - informe'!$Y$18:$AG$42,'Introducció dades consum'!K4552+1,0)</f>
        <v>0</v>
      </c>
      <c r="O4552" s="370" cm="1">
        <f t="array" ref="O4552">+_xlfn.SWITCH(MONTH(C4552),1,1,2,1,3,1,4,2,5,2,6,3,7,3,8,3,9,3,10,2,11,2,12,1,2)</f>
        <v>1</v>
      </c>
      <c r="P4552" s="43"/>
    </row>
    <row r="4553" spans="1:16" ht="18" x14ac:dyDescent="0.35">
      <c r="A4553" s="43"/>
      <c r="C4553" s="393"/>
      <c r="E4553" s="394"/>
      <c r="F4553" s="394">
        <v>5.5209999999999999</v>
      </c>
      <c r="G4553" s="394"/>
      <c r="H4553" s="8" t="s">
        <v>235</v>
      </c>
      <c r="I4553" s="368">
        <f t="shared" si="214"/>
        <v>0</v>
      </c>
      <c r="J4553" s="365">
        <f t="shared" si="213"/>
        <v>0</v>
      </c>
      <c r="K4553" s="369">
        <f t="shared" si="215"/>
        <v>6</v>
      </c>
      <c r="L4553" s="369">
        <f>+IF((C4553&gt;='Resultats - informe'!$E$16)*(C4553&lt;='Resultats - informe'!$G$16),1,0)</f>
        <v>1</v>
      </c>
      <c r="M4553" s="369" cm="1">
        <f t="array" ref="M4553">+_xlfn.IFS((C4553&gt;='Resultats - informe'!$D$26)*(C4553&lt;='Resultats - informe'!$E$26),0,(C4553&gt;='Resultats - informe'!$D$27)*(C4553&lt;='Resultats - informe'!$E$27),0,(C4553&gt;='Resultats - informe'!$D$28)*(C4553&lt;='Resultats - informe'!$E$28),0,(C4553&gt;='Resultats - informe'!$D$29)*(C4553&lt;='Resultats - informe'!$E$29),0,1,1)</f>
        <v>0</v>
      </c>
      <c r="N4553" s="366">
        <f>+VLOOKUP(D4553,'Resultats - informe'!$Y$18:$AG$42,'Introducció dades consum'!K4553+1,0)</f>
        <v>0</v>
      </c>
      <c r="O4553" s="370" cm="1">
        <f t="array" ref="O4553">+_xlfn.SWITCH(MONTH(C4553),1,1,2,1,3,1,4,2,5,2,6,3,7,3,8,3,9,3,10,2,11,2,12,1,2)</f>
        <v>1</v>
      </c>
      <c r="P4553" s="43"/>
    </row>
    <row r="4554" spans="1:16" ht="18" x14ac:dyDescent="0.35">
      <c r="A4554" s="43"/>
      <c r="C4554" s="393"/>
      <c r="E4554" s="394"/>
      <c r="F4554" s="394">
        <v>5.649</v>
      </c>
      <c r="G4554" s="394"/>
      <c r="H4554" s="8" t="s">
        <v>235</v>
      </c>
      <c r="I4554" s="368">
        <f t="shared" si="214"/>
        <v>0</v>
      </c>
      <c r="J4554" s="365">
        <f t="shared" si="213"/>
        <v>0</v>
      </c>
      <c r="K4554" s="369">
        <f t="shared" si="215"/>
        <v>6</v>
      </c>
      <c r="L4554" s="369">
        <f>+IF((C4554&gt;='Resultats - informe'!$E$16)*(C4554&lt;='Resultats - informe'!$G$16),1,0)</f>
        <v>1</v>
      </c>
      <c r="M4554" s="369" cm="1">
        <f t="array" ref="M4554">+_xlfn.IFS((C4554&gt;='Resultats - informe'!$D$26)*(C4554&lt;='Resultats - informe'!$E$26),0,(C4554&gt;='Resultats - informe'!$D$27)*(C4554&lt;='Resultats - informe'!$E$27),0,(C4554&gt;='Resultats - informe'!$D$28)*(C4554&lt;='Resultats - informe'!$E$28),0,(C4554&gt;='Resultats - informe'!$D$29)*(C4554&lt;='Resultats - informe'!$E$29),0,1,1)</f>
        <v>0</v>
      </c>
      <c r="N4554" s="366">
        <f>+VLOOKUP(D4554,'Resultats - informe'!$Y$18:$AG$42,'Introducció dades consum'!K4554+1,0)</f>
        <v>0</v>
      </c>
      <c r="O4554" s="370" cm="1">
        <f t="array" ref="O4554">+_xlfn.SWITCH(MONTH(C4554),1,1,2,1,3,1,4,2,5,2,6,3,7,3,8,3,9,3,10,2,11,2,12,1,2)</f>
        <v>1</v>
      </c>
      <c r="P4554" s="43"/>
    </row>
    <row r="4555" spans="1:16" ht="18" x14ac:dyDescent="0.35">
      <c r="A4555" s="43"/>
      <c r="C4555" s="393"/>
      <c r="E4555" s="394"/>
      <c r="F4555" s="394">
        <v>3.4729999999999999</v>
      </c>
      <c r="G4555" s="394"/>
      <c r="H4555" s="8" t="s">
        <v>235</v>
      </c>
      <c r="I4555" s="368">
        <f t="shared" si="214"/>
        <v>0</v>
      </c>
      <c r="J4555" s="365">
        <f t="shared" si="213"/>
        <v>0</v>
      </c>
      <c r="K4555" s="369">
        <f t="shared" si="215"/>
        <v>6</v>
      </c>
      <c r="L4555" s="369">
        <f>+IF((C4555&gt;='Resultats - informe'!$E$16)*(C4555&lt;='Resultats - informe'!$G$16),1,0)</f>
        <v>1</v>
      </c>
      <c r="M4555" s="369" cm="1">
        <f t="array" ref="M4555">+_xlfn.IFS((C4555&gt;='Resultats - informe'!$D$26)*(C4555&lt;='Resultats - informe'!$E$26),0,(C4555&gt;='Resultats - informe'!$D$27)*(C4555&lt;='Resultats - informe'!$E$27),0,(C4555&gt;='Resultats - informe'!$D$28)*(C4555&lt;='Resultats - informe'!$E$28),0,(C4555&gt;='Resultats - informe'!$D$29)*(C4555&lt;='Resultats - informe'!$E$29),0,1,1)</f>
        <v>0</v>
      </c>
      <c r="N4555" s="366">
        <f>+VLOOKUP(D4555,'Resultats - informe'!$Y$18:$AG$42,'Introducció dades consum'!K4555+1,0)</f>
        <v>0</v>
      </c>
      <c r="O4555" s="370" cm="1">
        <f t="array" ref="O4555">+_xlfn.SWITCH(MONTH(C4555),1,1,2,1,3,1,4,2,5,2,6,3,7,3,8,3,9,3,10,2,11,2,12,1,2)</f>
        <v>1</v>
      </c>
      <c r="P4555" s="43"/>
    </row>
    <row r="4556" spans="1:16" ht="18" x14ac:dyDescent="0.35">
      <c r="A4556" s="43"/>
      <c r="C4556" s="393"/>
      <c r="E4556" s="394"/>
      <c r="F4556" s="394">
        <v>3.3109999999999999</v>
      </c>
      <c r="G4556" s="394"/>
      <c r="H4556" s="8" t="s">
        <v>235</v>
      </c>
      <c r="I4556" s="368">
        <f t="shared" si="214"/>
        <v>0</v>
      </c>
      <c r="J4556" s="365">
        <f t="shared" si="213"/>
        <v>0</v>
      </c>
      <c r="K4556" s="369">
        <f t="shared" si="215"/>
        <v>6</v>
      </c>
      <c r="L4556" s="369">
        <f>+IF((C4556&gt;='Resultats - informe'!$E$16)*(C4556&lt;='Resultats - informe'!$G$16),1,0)</f>
        <v>1</v>
      </c>
      <c r="M4556" s="369" cm="1">
        <f t="array" ref="M4556">+_xlfn.IFS((C4556&gt;='Resultats - informe'!$D$26)*(C4556&lt;='Resultats - informe'!$E$26),0,(C4556&gt;='Resultats - informe'!$D$27)*(C4556&lt;='Resultats - informe'!$E$27),0,(C4556&gt;='Resultats - informe'!$D$28)*(C4556&lt;='Resultats - informe'!$E$28),0,(C4556&gt;='Resultats - informe'!$D$29)*(C4556&lt;='Resultats - informe'!$E$29),0,1,1)</f>
        <v>0</v>
      </c>
      <c r="N4556" s="366">
        <f>+VLOOKUP(D4556,'Resultats - informe'!$Y$18:$AG$42,'Introducció dades consum'!K4556+1,0)</f>
        <v>0</v>
      </c>
      <c r="O4556" s="370" cm="1">
        <f t="array" ref="O4556">+_xlfn.SWITCH(MONTH(C4556),1,1,2,1,3,1,4,2,5,2,6,3,7,3,8,3,9,3,10,2,11,2,12,1,2)</f>
        <v>1</v>
      </c>
      <c r="P4556" s="43"/>
    </row>
    <row r="4557" spans="1:16" ht="18" x14ac:dyDescent="0.35">
      <c r="A4557" s="43"/>
      <c r="C4557" s="393"/>
      <c r="E4557" s="394"/>
      <c r="F4557" s="394">
        <v>1.337</v>
      </c>
      <c r="G4557" s="394"/>
      <c r="H4557" s="8" t="s">
        <v>235</v>
      </c>
      <c r="I4557" s="368">
        <f t="shared" si="214"/>
        <v>0</v>
      </c>
      <c r="J4557" s="365">
        <f t="shared" si="213"/>
        <v>0</v>
      </c>
      <c r="K4557" s="369">
        <f t="shared" si="215"/>
        <v>6</v>
      </c>
      <c r="L4557" s="369">
        <f>+IF((C4557&gt;='Resultats - informe'!$E$16)*(C4557&lt;='Resultats - informe'!$G$16),1,0)</f>
        <v>1</v>
      </c>
      <c r="M4557" s="369" cm="1">
        <f t="array" ref="M4557">+_xlfn.IFS((C4557&gt;='Resultats - informe'!$D$26)*(C4557&lt;='Resultats - informe'!$E$26),0,(C4557&gt;='Resultats - informe'!$D$27)*(C4557&lt;='Resultats - informe'!$E$27),0,(C4557&gt;='Resultats - informe'!$D$28)*(C4557&lt;='Resultats - informe'!$E$28),0,(C4557&gt;='Resultats - informe'!$D$29)*(C4557&lt;='Resultats - informe'!$E$29),0,1,1)</f>
        <v>0</v>
      </c>
      <c r="N4557" s="366">
        <f>+VLOOKUP(D4557,'Resultats - informe'!$Y$18:$AG$42,'Introducció dades consum'!K4557+1,0)</f>
        <v>0</v>
      </c>
      <c r="O4557" s="370" cm="1">
        <f t="array" ref="O4557">+_xlfn.SWITCH(MONTH(C4557),1,1,2,1,3,1,4,2,5,2,6,3,7,3,8,3,9,3,10,2,11,2,12,1,2)</f>
        <v>1</v>
      </c>
      <c r="P4557" s="43"/>
    </row>
    <row r="4558" spans="1:16" ht="18" x14ac:dyDescent="0.35">
      <c r="A4558" s="43"/>
      <c r="C4558" s="393"/>
      <c r="E4558" s="394"/>
      <c r="F4558" s="394">
        <v>0.377</v>
      </c>
      <c r="G4558" s="394"/>
      <c r="H4558" s="8" t="s">
        <v>235</v>
      </c>
      <c r="I4558" s="368">
        <f t="shared" si="214"/>
        <v>0</v>
      </c>
      <c r="J4558" s="365">
        <f t="shared" si="213"/>
        <v>0</v>
      </c>
      <c r="K4558" s="369">
        <f t="shared" si="215"/>
        <v>6</v>
      </c>
      <c r="L4558" s="369">
        <f>+IF((C4558&gt;='Resultats - informe'!$E$16)*(C4558&lt;='Resultats - informe'!$G$16),1,0)</f>
        <v>1</v>
      </c>
      <c r="M4558" s="369" cm="1">
        <f t="array" ref="M4558">+_xlfn.IFS((C4558&gt;='Resultats - informe'!$D$26)*(C4558&lt;='Resultats - informe'!$E$26),0,(C4558&gt;='Resultats - informe'!$D$27)*(C4558&lt;='Resultats - informe'!$E$27),0,(C4558&gt;='Resultats - informe'!$D$28)*(C4558&lt;='Resultats - informe'!$E$28),0,(C4558&gt;='Resultats - informe'!$D$29)*(C4558&lt;='Resultats - informe'!$E$29),0,1,1)</f>
        <v>0</v>
      </c>
      <c r="N4558" s="366">
        <f>+VLOOKUP(D4558,'Resultats - informe'!$Y$18:$AG$42,'Introducció dades consum'!K4558+1,0)</f>
        <v>0</v>
      </c>
      <c r="O4558" s="370" cm="1">
        <f t="array" ref="O4558">+_xlfn.SWITCH(MONTH(C4558),1,1,2,1,3,1,4,2,5,2,6,3,7,3,8,3,9,3,10,2,11,2,12,1,2)</f>
        <v>1</v>
      </c>
      <c r="P4558" s="43"/>
    </row>
    <row r="4559" spans="1:16" ht="18" x14ac:dyDescent="0.35">
      <c r="A4559" s="43"/>
      <c r="C4559" s="393"/>
      <c r="E4559" s="394"/>
      <c r="F4559" s="394">
        <v>0</v>
      </c>
      <c r="G4559" s="394"/>
      <c r="H4559" s="8" t="s">
        <v>235</v>
      </c>
      <c r="I4559" s="368">
        <f t="shared" si="214"/>
        <v>0</v>
      </c>
      <c r="J4559" s="365">
        <f t="shared" si="213"/>
        <v>0</v>
      </c>
      <c r="K4559" s="369">
        <f t="shared" si="215"/>
        <v>6</v>
      </c>
      <c r="L4559" s="369">
        <f>+IF((C4559&gt;='Resultats - informe'!$E$16)*(C4559&lt;='Resultats - informe'!$G$16),1,0)</f>
        <v>1</v>
      </c>
      <c r="M4559" s="369" cm="1">
        <f t="array" ref="M4559">+_xlfn.IFS((C4559&gt;='Resultats - informe'!$D$26)*(C4559&lt;='Resultats - informe'!$E$26),0,(C4559&gt;='Resultats - informe'!$D$27)*(C4559&lt;='Resultats - informe'!$E$27),0,(C4559&gt;='Resultats - informe'!$D$28)*(C4559&lt;='Resultats - informe'!$E$28),0,(C4559&gt;='Resultats - informe'!$D$29)*(C4559&lt;='Resultats - informe'!$E$29),0,1,1)</f>
        <v>0</v>
      </c>
      <c r="N4559" s="366">
        <f>+VLOOKUP(D4559,'Resultats - informe'!$Y$18:$AG$42,'Introducció dades consum'!K4559+1,0)</f>
        <v>0</v>
      </c>
      <c r="O4559" s="370" cm="1">
        <f t="array" ref="O4559">+_xlfn.SWITCH(MONTH(C4559),1,1,2,1,3,1,4,2,5,2,6,3,7,3,8,3,9,3,10,2,11,2,12,1,2)</f>
        <v>1</v>
      </c>
      <c r="P4559" s="43"/>
    </row>
    <row r="4560" spans="1:16" ht="18" x14ac:dyDescent="0.35">
      <c r="A4560" s="43"/>
      <c r="C4560" s="393"/>
      <c r="E4560" s="394"/>
      <c r="F4560" s="394">
        <v>0</v>
      </c>
      <c r="G4560" s="394"/>
      <c r="H4560" s="8" t="s">
        <v>235</v>
      </c>
      <c r="I4560" s="368">
        <f t="shared" si="214"/>
        <v>0</v>
      </c>
      <c r="J4560" s="365">
        <f t="shared" si="213"/>
        <v>0</v>
      </c>
      <c r="K4560" s="369">
        <f t="shared" si="215"/>
        <v>6</v>
      </c>
      <c r="L4560" s="369">
        <f>+IF((C4560&gt;='Resultats - informe'!$E$16)*(C4560&lt;='Resultats - informe'!$G$16),1,0)</f>
        <v>1</v>
      </c>
      <c r="M4560" s="369" cm="1">
        <f t="array" ref="M4560">+_xlfn.IFS((C4560&gt;='Resultats - informe'!$D$26)*(C4560&lt;='Resultats - informe'!$E$26),0,(C4560&gt;='Resultats - informe'!$D$27)*(C4560&lt;='Resultats - informe'!$E$27),0,(C4560&gt;='Resultats - informe'!$D$28)*(C4560&lt;='Resultats - informe'!$E$28),0,(C4560&gt;='Resultats - informe'!$D$29)*(C4560&lt;='Resultats - informe'!$E$29),0,1,1)</f>
        <v>0</v>
      </c>
      <c r="N4560" s="366">
        <f>+VLOOKUP(D4560,'Resultats - informe'!$Y$18:$AG$42,'Introducció dades consum'!K4560+1,0)</f>
        <v>0</v>
      </c>
      <c r="O4560" s="370" cm="1">
        <f t="array" ref="O4560">+_xlfn.SWITCH(MONTH(C4560),1,1,2,1,3,1,4,2,5,2,6,3,7,3,8,3,9,3,10,2,11,2,12,1,2)</f>
        <v>1</v>
      </c>
      <c r="P4560" s="43"/>
    </row>
    <row r="4561" spans="1:16" ht="18" x14ac:dyDescent="0.35">
      <c r="A4561" s="43"/>
      <c r="C4561" s="393"/>
      <c r="E4561" s="394"/>
      <c r="F4561" s="394">
        <v>0</v>
      </c>
      <c r="G4561" s="394"/>
      <c r="H4561" s="8" t="s">
        <v>235</v>
      </c>
      <c r="I4561" s="368">
        <f t="shared" si="214"/>
        <v>0</v>
      </c>
      <c r="J4561" s="365">
        <f t="shared" si="213"/>
        <v>0</v>
      </c>
      <c r="K4561" s="369">
        <f t="shared" si="215"/>
        <v>6</v>
      </c>
      <c r="L4561" s="369">
        <f>+IF((C4561&gt;='Resultats - informe'!$E$16)*(C4561&lt;='Resultats - informe'!$G$16),1,0)</f>
        <v>1</v>
      </c>
      <c r="M4561" s="369" cm="1">
        <f t="array" ref="M4561">+_xlfn.IFS((C4561&gt;='Resultats - informe'!$D$26)*(C4561&lt;='Resultats - informe'!$E$26),0,(C4561&gt;='Resultats - informe'!$D$27)*(C4561&lt;='Resultats - informe'!$E$27),0,(C4561&gt;='Resultats - informe'!$D$28)*(C4561&lt;='Resultats - informe'!$E$28),0,(C4561&gt;='Resultats - informe'!$D$29)*(C4561&lt;='Resultats - informe'!$E$29),0,1,1)</f>
        <v>0</v>
      </c>
      <c r="N4561" s="366">
        <f>+VLOOKUP(D4561,'Resultats - informe'!$Y$18:$AG$42,'Introducció dades consum'!K4561+1,0)</f>
        <v>0</v>
      </c>
      <c r="O4561" s="370" cm="1">
        <f t="array" ref="O4561">+_xlfn.SWITCH(MONTH(C4561),1,1,2,1,3,1,4,2,5,2,6,3,7,3,8,3,9,3,10,2,11,2,12,1,2)</f>
        <v>1</v>
      </c>
      <c r="P4561" s="43"/>
    </row>
    <row r="4562" spans="1:16" ht="18" x14ac:dyDescent="0.35">
      <c r="A4562" s="43"/>
      <c r="C4562" s="393"/>
      <c r="E4562" s="394"/>
      <c r="F4562" s="394">
        <v>0</v>
      </c>
      <c r="G4562" s="394"/>
      <c r="H4562" s="8" t="s">
        <v>235</v>
      </c>
      <c r="I4562" s="368">
        <f t="shared" si="214"/>
        <v>0</v>
      </c>
      <c r="J4562" s="365">
        <f t="shared" si="213"/>
        <v>0</v>
      </c>
      <c r="K4562" s="369">
        <f t="shared" si="215"/>
        <v>6</v>
      </c>
      <c r="L4562" s="369">
        <f>+IF((C4562&gt;='Resultats - informe'!$E$16)*(C4562&lt;='Resultats - informe'!$G$16),1,0)</f>
        <v>1</v>
      </c>
      <c r="M4562" s="369" cm="1">
        <f t="array" ref="M4562">+_xlfn.IFS((C4562&gt;='Resultats - informe'!$D$26)*(C4562&lt;='Resultats - informe'!$E$26),0,(C4562&gt;='Resultats - informe'!$D$27)*(C4562&lt;='Resultats - informe'!$E$27),0,(C4562&gt;='Resultats - informe'!$D$28)*(C4562&lt;='Resultats - informe'!$E$28),0,(C4562&gt;='Resultats - informe'!$D$29)*(C4562&lt;='Resultats - informe'!$E$29),0,1,1)</f>
        <v>0</v>
      </c>
      <c r="N4562" s="366">
        <f>+VLOOKUP(D4562,'Resultats - informe'!$Y$18:$AG$42,'Introducció dades consum'!K4562+1,0)</f>
        <v>0</v>
      </c>
      <c r="O4562" s="370" cm="1">
        <f t="array" ref="O4562">+_xlfn.SWITCH(MONTH(C4562),1,1,2,1,3,1,4,2,5,2,6,3,7,3,8,3,9,3,10,2,11,2,12,1,2)</f>
        <v>1</v>
      </c>
      <c r="P4562" s="43"/>
    </row>
    <row r="4563" spans="1:16" ht="18" x14ac:dyDescent="0.35">
      <c r="A4563" s="43"/>
      <c r="C4563" s="393"/>
      <c r="E4563" s="394"/>
      <c r="F4563" s="394">
        <v>0</v>
      </c>
      <c r="G4563" s="394"/>
      <c r="H4563" s="8" t="s">
        <v>235</v>
      </c>
      <c r="I4563" s="368">
        <f t="shared" si="214"/>
        <v>0</v>
      </c>
      <c r="J4563" s="365">
        <f t="shared" si="213"/>
        <v>0</v>
      </c>
      <c r="K4563" s="369">
        <f t="shared" si="215"/>
        <v>6</v>
      </c>
      <c r="L4563" s="369">
        <f>+IF((C4563&gt;='Resultats - informe'!$E$16)*(C4563&lt;='Resultats - informe'!$G$16),1,0)</f>
        <v>1</v>
      </c>
      <c r="M4563" s="369" cm="1">
        <f t="array" ref="M4563">+_xlfn.IFS((C4563&gt;='Resultats - informe'!$D$26)*(C4563&lt;='Resultats - informe'!$E$26),0,(C4563&gt;='Resultats - informe'!$D$27)*(C4563&lt;='Resultats - informe'!$E$27),0,(C4563&gt;='Resultats - informe'!$D$28)*(C4563&lt;='Resultats - informe'!$E$28),0,(C4563&gt;='Resultats - informe'!$D$29)*(C4563&lt;='Resultats - informe'!$E$29),0,1,1)</f>
        <v>0</v>
      </c>
      <c r="N4563" s="366">
        <f>+VLOOKUP(D4563,'Resultats - informe'!$Y$18:$AG$42,'Introducció dades consum'!K4563+1,0)</f>
        <v>0</v>
      </c>
      <c r="O4563" s="370" cm="1">
        <f t="array" ref="O4563">+_xlfn.SWITCH(MONTH(C4563),1,1,2,1,3,1,4,2,5,2,6,3,7,3,8,3,9,3,10,2,11,2,12,1,2)</f>
        <v>1</v>
      </c>
      <c r="P4563" s="43"/>
    </row>
    <row r="4564" spans="1:16" ht="18" x14ac:dyDescent="0.35">
      <c r="A4564" s="43"/>
      <c r="C4564" s="393"/>
      <c r="E4564" s="394"/>
      <c r="F4564" s="394">
        <v>0</v>
      </c>
      <c r="G4564" s="394"/>
      <c r="H4564" s="8" t="s">
        <v>235</v>
      </c>
      <c r="I4564" s="368">
        <f t="shared" si="214"/>
        <v>0</v>
      </c>
      <c r="J4564" s="365">
        <f t="shared" si="213"/>
        <v>0</v>
      </c>
      <c r="K4564" s="369">
        <f t="shared" si="215"/>
        <v>6</v>
      </c>
      <c r="L4564" s="369">
        <f>+IF((C4564&gt;='Resultats - informe'!$E$16)*(C4564&lt;='Resultats - informe'!$G$16),1,0)</f>
        <v>1</v>
      </c>
      <c r="M4564" s="369" cm="1">
        <f t="array" ref="M4564">+_xlfn.IFS((C4564&gt;='Resultats - informe'!$D$26)*(C4564&lt;='Resultats - informe'!$E$26),0,(C4564&gt;='Resultats - informe'!$D$27)*(C4564&lt;='Resultats - informe'!$E$27),0,(C4564&gt;='Resultats - informe'!$D$28)*(C4564&lt;='Resultats - informe'!$E$28),0,(C4564&gt;='Resultats - informe'!$D$29)*(C4564&lt;='Resultats - informe'!$E$29),0,1,1)</f>
        <v>0</v>
      </c>
      <c r="N4564" s="366">
        <f>+VLOOKUP(D4564,'Resultats - informe'!$Y$18:$AG$42,'Introducció dades consum'!K4564+1,0)</f>
        <v>0</v>
      </c>
      <c r="O4564" s="370" cm="1">
        <f t="array" ref="O4564">+_xlfn.SWITCH(MONTH(C4564),1,1,2,1,3,1,4,2,5,2,6,3,7,3,8,3,9,3,10,2,11,2,12,1,2)</f>
        <v>1</v>
      </c>
      <c r="P4564" s="43"/>
    </row>
    <row r="4565" spans="1:16" ht="18" x14ac:dyDescent="0.35">
      <c r="A4565" s="43"/>
      <c r="C4565" s="393"/>
      <c r="E4565" s="394"/>
      <c r="F4565" s="394">
        <v>0</v>
      </c>
      <c r="G4565" s="394"/>
      <c r="H4565" s="8" t="s">
        <v>235</v>
      </c>
      <c r="I4565" s="368">
        <f t="shared" si="214"/>
        <v>0</v>
      </c>
      <c r="J4565" s="365">
        <f t="shared" si="213"/>
        <v>0</v>
      </c>
      <c r="K4565" s="369">
        <f t="shared" si="215"/>
        <v>6</v>
      </c>
      <c r="L4565" s="369">
        <f>+IF((C4565&gt;='Resultats - informe'!$E$16)*(C4565&lt;='Resultats - informe'!$G$16),1,0)</f>
        <v>1</v>
      </c>
      <c r="M4565" s="369" cm="1">
        <f t="array" ref="M4565">+_xlfn.IFS((C4565&gt;='Resultats - informe'!$D$26)*(C4565&lt;='Resultats - informe'!$E$26),0,(C4565&gt;='Resultats - informe'!$D$27)*(C4565&lt;='Resultats - informe'!$E$27),0,(C4565&gt;='Resultats - informe'!$D$28)*(C4565&lt;='Resultats - informe'!$E$28),0,(C4565&gt;='Resultats - informe'!$D$29)*(C4565&lt;='Resultats - informe'!$E$29),0,1,1)</f>
        <v>0</v>
      </c>
      <c r="N4565" s="366">
        <f>+VLOOKUP(D4565,'Resultats - informe'!$Y$18:$AG$42,'Introducció dades consum'!K4565+1,0)</f>
        <v>0</v>
      </c>
      <c r="O4565" s="370" cm="1">
        <f t="array" ref="O4565">+_xlfn.SWITCH(MONTH(C4565),1,1,2,1,3,1,4,2,5,2,6,3,7,3,8,3,9,3,10,2,11,2,12,1,2)</f>
        <v>1</v>
      </c>
      <c r="P4565" s="43"/>
    </row>
    <row r="4566" spans="1:16" ht="18" x14ac:dyDescent="0.35">
      <c r="A4566" s="43"/>
      <c r="C4566" s="393"/>
      <c r="E4566" s="394"/>
      <c r="F4566" s="394">
        <v>0</v>
      </c>
      <c r="G4566" s="394"/>
      <c r="H4566" s="8" t="s">
        <v>235</v>
      </c>
      <c r="I4566" s="368">
        <f t="shared" si="214"/>
        <v>0</v>
      </c>
      <c r="J4566" s="365">
        <f t="shared" si="213"/>
        <v>0</v>
      </c>
      <c r="K4566" s="369">
        <f t="shared" si="215"/>
        <v>6</v>
      </c>
      <c r="L4566" s="369">
        <f>+IF((C4566&gt;='Resultats - informe'!$E$16)*(C4566&lt;='Resultats - informe'!$G$16),1,0)</f>
        <v>1</v>
      </c>
      <c r="M4566" s="369" cm="1">
        <f t="array" ref="M4566">+_xlfn.IFS((C4566&gt;='Resultats - informe'!$D$26)*(C4566&lt;='Resultats - informe'!$E$26),0,(C4566&gt;='Resultats - informe'!$D$27)*(C4566&lt;='Resultats - informe'!$E$27),0,(C4566&gt;='Resultats - informe'!$D$28)*(C4566&lt;='Resultats - informe'!$E$28),0,(C4566&gt;='Resultats - informe'!$D$29)*(C4566&lt;='Resultats - informe'!$E$29),0,1,1)</f>
        <v>0</v>
      </c>
      <c r="N4566" s="366">
        <f>+VLOOKUP(D4566,'Resultats - informe'!$Y$18:$AG$42,'Introducció dades consum'!K4566+1,0)</f>
        <v>0</v>
      </c>
      <c r="O4566" s="370" cm="1">
        <f t="array" ref="O4566">+_xlfn.SWITCH(MONTH(C4566),1,1,2,1,3,1,4,2,5,2,6,3,7,3,8,3,9,3,10,2,11,2,12,1,2)</f>
        <v>1</v>
      </c>
      <c r="P4566" s="43"/>
    </row>
    <row r="4567" spans="1:16" ht="18" x14ac:dyDescent="0.35">
      <c r="A4567" s="43"/>
      <c r="C4567" s="393"/>
      <c r="E4567" s="394"/>
      <c r="F4567" s="394">
        <v>0</v>
      </c>
      <c r="G4567" s="394"/>
      <c r="H4567" s="8" t="s">
        <v>235</v>
      </c>
      <c r="I4567" s="368">
        <f t="shared" si="214"/>
        <v>0</v>
      </c>
      <c r="J4567" s="365">
        <f t="shared" si="213"/>
        <v>0</v>
      </c>
      <c r="K4567" s="369">
        <f t="shared" si="215"/>
        <v>6</v>
      </c>
      <c r="L4567" s="369">
        <f>+IF((C4567&gt;='Resultats - informe'!$E$16)*(C4567&lt;='Resultats - informe'!$G$16),1,0)</f>
        <v>1</v>
      </c>
      <c r="M4567" s="369" cm="1">
        <f t="array" ref="M4567">+_xlfn.IFS((C4567&gt;='Resultats - informe'!$D$26)*(C4567&lt;='Resultats - informe'!$E$26),0,(C4567&gt;='Resultats - informe'!$D$27)*(C4567&lt;='Resultats - informe'!$E$27),0,(C4567&gt;='Resultats - informe'!$D$28)*(C4567&lt;='Resultats - informe'!$E$28),0,(C4567&gt;='Resultats - informe'!$D$29)*(C4567&lt;='Resultats - informe'!$E$29),0,1,1)</f>
        <v>0</v>
      </c>
      <c r="N4567" s="366">
        <f>+VLOOKUP(D4567,'Resultats - informe'!$Y$18:$AG$42,'Introducció dades consum'!K4567+1,0)</f>
        <v>0</v>
      </c>
      <c r="O4567" s="370" cm="1">
        <f t="array" ref="O4567">+_xlfn.SWITCH(MONTH(C4567),1,1,2,1,3,1,4,2,5,2,6,3,7,3,8,3,9,3,10,2,11,2,12,1,2)</f>
        <v>1</v>
      </c>
      <c r="P4567" s="43"/>
    </row>
    <row r="4568" spans="1:16" ht="18" x14ac:dyDescent="0.35">
      <c r="A4568" s="43"/>
      <c r="C4568" s="393"/>
      <c r="E4568" s="394"/>
      <c r="F4568" s="394">
        <v>0</v>
      </c>
      <c r="G4568" s="394"/>
      <c r="H4568" s="8" t="s">
        <v>235</v>
      </c>
      <c r="I4568" s="368">
        <f t="shared" si="214"/>
        <v>0</v>
      </c>
      <c r="J4568" s="365">
        <f t="shared" si="213"/>
        <v>0</v>
      </c>
      <c r="K4568" s="369">
        <f t="shared" si="215"/>
        <v>6</v>
      </c>
      <c r="L4568" s="369">
        <f>+IF((C4568&gt;='Resultats - informe'!$E$16)*(C4568&lt;='Resultats - informe'!$G$16),1,0)</f>
        <v>1</v>
      </c>
      <c r="M4568" s="369" cm="1">
        <f t="array" ref="M4568">+_xlfn.IFS((C4568&gt;='Resultats - informe'!$D$26)*(C4568&lt;='Resultats - informe'!$E$26),0,(C4568&gt;='Resultats - informe'!$D$27)*(C4568&lt;='Resultats - informe'!$E$27),0,(C4568&gt;='Resultats - informe'!$D$28)*(C4568&lt;='Resultats - informe'!$E$28),0,(C4568&gt;='Resultats - informe'!$D$29)*(C4568&lt;='Resultats - informe'!$E$29),0,1,1)</f>
        <v>0</v>
      </c>
      <c r="N4568" s="366">
        <f>+VLOOKUP(D4568,'Resultats - informe'!$Y$18:$AG$42,'Introducció dades consum'!K4568+1,0)</f>
        <v>0</v>
      </c>
      <c r="O4568" s="370" cm="1">
        <f t="array" ref="O4568">+_xlfn.SWITCH(MONTH(C4568),1,1,2,1,3,1,4,2,5,2,6,3,7,3,8,3,9,3,10,2,11,2,12,1,2)</f>
        <v>1</v>
      </c>
      <c r="P4568" s="43"/>
    </row>
    <row r="4569" spans="1:16" ht="18" x14ac:dyDescent="0.35">
      <c r="A4569" s="43"/>
      <c r="C4569" s="393"/>
      <c r="E4569" s="394"/>
      <c r="F4569" s="394">
        <v>0</v>
      </c>
      <c r="G4569" s="394"/>
      <c r="H4569" s="8" t="s">
        <v>235</v>
      </c>
      <c r="I4569" s="368">
        <f t="shared" si="214"/>
        <v>0</v>
      </c>
      <c r="J4569" s="365">
        <f t="shared" si="213"/>
        <v>0</v>
      </c>
      <c r="K4569" s="369">
        <f t="shared" si="215"/>
        <v>6</v>
      </c>
      <c r="L4569" s="369">
        <f>+IF((C4569&gt;='Resultats - informe'!$E$16)*(C4569&lt;='Resultats - informe'!$G$16),1,0)</f>
        <v>1</v>
      </c>
      <c r="M4569" s="369" cm="1">
        <f t="array" ref="M4569">+_xlfn.IFS((C4569&gt;='Resultats - informe'!$D$26)*(C4569&lt;='Resultats - informe'!$E$26),0,(C4569&gt;='Resultats - informe'!$D$27)*(C4569&lt;='Resultats - informe'!$E$27),0,(C4569&gt;='Resultats - informe'!$D$28)*(C4569&lt;='Resultats - informe'!$E$28),0,(C4569&gt;='Resultats - informe'!$D$29)*(C4569&lt;='Resultats - informe'!$E$29),0,1,1)</f>
        <v>0</v>
      </c>
      <c r="N4569" s="366">
        <f>+VLOOKUP(D4569,'Resultats - informe'!$Y$18:$AG$42,'Introducció dades consum'!K4569+1,0)</f>
        <v>0</v>
      </c>
      <c r="O4569" s="370" cm="1">
        <f t="array" ref="O4569">+_xlfn.SWITCH(MONTH(C4569),1,1,2,1,3,1,4,2,5,2,6,3,7,3,8,3,9,3,10,2,11,2,12,1,2)</f>
        <v>1</v>
      </c>
      <c r="P4569" s="43"/>
    </row>
    <row r="4570" spans="1:16" ht="18" x14ac:dyDescent="0.35">
      <c r="A4570" s="43"/>
      <c r="C4570" s="393"/>
      <c r="E4570" s="394"/>
      <c r="F4570" s="394">
        <v>0</v>
      </c>
      <c r="G4570" s="394"/>
      <c r="H4570" s="8" t="s">
        <v>235</v>
      </c>
      <c r="I4570" s="368">
        <f t="shared" si="214"/>
        <v>0</v>
      </c>
      <c r="J4570" s="365">
        <f t="shared" si="213"/>
        <v>0</v>
      </c>
      <c r="K4570" s="369">
        <f t="shared" si="215"/>
        <v>6</v>
      </c>
      <c r="L4570" s="369">
        <f>+IF((C4570&gt;='Resultats - informe'!$E$16)*(C4570&lt;='Resultats - informe'!$G$16),1,0)</f>
        <v>1</v>
      </c>
      <c r="M4570" s="369" cm="1">
        <f t="array" ref="M4570">+_xlfn.IFS((C4570&gt;='Resultats - informe'!$D$26)*(C4570&lt;='Resultats - informe'!$E$26),0,(C4570&gt;='Resultats - informe'!$D$27)*(C4570&lt;='Resultats - informe'!$E$27),0,(C4570&gt;='Resultats - informe'!$D$28)*(C4570&lt;='Resultats - informe'!$E$28),0,(C4570&gt;='Resultats - informe'!$D$29)*(C4570&lt;='Resultats - informe'!$E$29),0,1,1)</f>
        <v>0</v>
      </c>
      <c r="N4570" s="366">
        <f>+VLOOKUP(D4570,'Resultats - informe'!$Y$18:$AG$42,'Introducció dades consum'!K4570+1,0)</f>
        <v>0</v>
      </c>
      <c r="O4570" s="370" cm="1">
        <f t="array" ref="O4570">+_xlfn.SWITCH(MONTH(C4570),1,1,2,1,3,1,4,2,5,2,6,3,7,3,8,3,9,3,10,2,11,2,12,1,2)</f>
        <v>1</v>
      </c>
      <c r="P4570" s="43"/>
    </row>
    <row r="4571" spans="1:16" ht="18" x14ac:dyDescent="0.35">
      <c r="A4571" s="43"/>
      <c r="C4571" s="393"/>
      <c r="E4571" s="394"/>
      <c r="F4571" s="394">
        <v>0</v>
      </c>
      <c r="G4571" s="394"/>
      <c r="H4571" s="8" t="s">
        <v>235</v>
      </c>
      <c r="I4571" s="368">
        <f t="shared" si="214"/>
        <v>0</v>
      </c>
      <c r="J4571" s="365">
        <f t="shared" si="213"/>
        <v>0</v>
      </c>
      <c r="K4571" s="369">
        <f t="shared" si="215"/>
        <v>6</v>
      </c>
      <c r="L4571" s="369">
        <f>+IF((C4571&gt;='Resultats - informe'!$E$16)*(C4571&lt;='Resultats - informe'!$G$16),1,0)</f>
        <v>1</v>
      </c>
      <c r="M4571" s="369" cm="1">
        <f t="array" ref="M4571">+_xlfn.IFS((C4571&gt;='Resultats - informe'!$D$26)*(C4571&lt;='Resultats - informe'!$E$26),0,(C4571&gt;='Resultats - informe'!$D$27)*(C4571&lt;='Resultats - informe'!$E$27),0,(C4571&gt;='Resultats - informe'!$D$28)*(C4571&lt;='Resultats - informe'!$E$28),0,(C4571&gt;='Resultats - informe'!$D$29)*(C4571&lt;='Resultats - informe'!$E$29),0,1,1)</f>
        <v>0</v>
      </c>
      <c r="N4571" s="366">
        <f>+VLOOKUP(D4571,'Resultats - informe'!$Y$18:$AG$42,'Introducció dades consum'!K4571+1,0)</f>
        <v>0</v>
      </c>
      <c r="O4571" s="370" cm="1">
        <f t="array" ref="O4571">+_xlfn.SWITCH(MONTH(C4571),1,1,2,1,3,1,4,2,5,2,6,3,7,3,8,3,9,3,10,2,11,2,12,1,2)</f>
        <v>1</v>
      </c>
      <c r="P4571" s="43"/>
    </row>
    <row r="4572" spans="1:16" ht="18" x14ac:dyDescent="0.35">
      <c r="A4572" s="43"/>
      <c r="C4572" s="393"/>
      <c r="E4572" s="394"/>
      <c r="F4572" s="394">
        <v>0</v>
      </c>
      <c r="G4572" s="394"/>
      <c r="H4572" s="8" t="s">
        <v>235</v>
      </c>
      <c r="I4572" s="368">
        <f t="shared" si="214"/>
        <v>0</v>
      </c>
      <c r="J4572" s="365">
        <f t="shared" si="213"/>
        <v>0</v>
      </c>
      <c r="K4572" s="369">
        <f t="shared" si="215"/>
        <v>6</v>
      </c>
      <c r="L4572" s="369">
        <f>+IF((C4572&gt;='Resultats - informe'!$E$16)*(C4572&lt;='Resultats - informe'!$G$16),1,0)</f>
        <v>1</v>
      </c>
      <c r="M4572" s="369" cm="1">
        <f t="array" ref="M4572">+_xlfn.IFS((C4572&gt;='Resultats - informe'!$D$26)*(C4572&lt;='Resultats - informe'!$E$26),0,(C4572&gt;='Resultats - informe'!$D$27)*(C4572&lt;='Resultats - informe'!$E$27),0,(C4572&gt;='Resultats - informe'!$D$28)*(C4572&lt;='Resultats - informe'!$E$28),0,(C4572&gt;='Resultats - informe'!$D$29)*(C4572&lt;='Resultats - informe'!$E$29),0,1,1)</f>
        <v>0</v>
      </c>
      <c r="N4572" s="366">
        <f>+VLOOKUP(D4572,'Resultats - informe'!$Y$18:$AG$42,'Introducció dades consum'!K4572+1,0)</f>
        <v>0</v>
      </c>
      <c r="O4572" s="370" cm="1">
        <f t="array" ref="O4572">+_xlfn.SWITCH(MONTH(C4572),1,1,2,1,3,1,4,2,5,2,6,3,7,3,8,3,9,3,10,2,11,2,12,1,2)</f>
        <v>1</v>
      </c>
      <c r="P4572" s="43"/>
    </row>
    <row r="4573" spans="1:16" ht="18" x14ac:dyDescent="0.35">
      <c r="A4573" s="43"/>
      <c r="C4573" s="393"/>
      <c r="E4573" s="394"/>
      <c r="F4573" s="394">
        <v>1.04</v>
      </c>
      <c r="G4573" s="394"/>
      <c r="H4573" s="8" t="s">
        <v>235</v>
      </c>
      <c r="I4573" s="368">
        <f t="shared" si="214"/>
        <v>0</v>
      </c>
      <c r="J4573" s="365">
        <f t="shared" si="213"/>
        <v>0</v>
      </c>
      <c r="K4573" s="369">
        <f t="shared" si="215"/>
        <v>6</v>
      </c>
      <c r="L4573" s="369">
        <f>+IF((C4573&gt;='Resultats - informe'!$E$16)*(C4573&lt;='Resultats - informe'!$G$16),1,0)</f>
        <v>1</v>
      </c>
      <c r="M4573" s="369" cm="1">
        <f t="array" ref="M4573">+_xlfn.IFS((C4573&gt;='Resultats - informe'!$D$26)*(C4573&lt;='Resultats - informe'!$E$26),0,(C4573&gt;='Resultats - informe'!$D$27)*(C4573&lt;='Resultats - informe'!$E$27),0,(C4573&gt;='Resultats - informe'!$D$28)*(C4573&lt;='Resultats - informe'!$E$28),0,(C4573&gt;='Resultats - informe'!$D$29)*(C4573&lt;='Resultats - informe'!$E$29),0,1,1)</f>
        <v>0</v>
      </c>
      <c r="N4573" s="366">
        <f>+VLOOKUP(D4573,'Resultats - informe'!$Y$18:$AG$42,'Introducció dades consum'!K4573+1,0)</f>
        <v>0</v>
      </c>
      <c r="O4573" s="370" cm="1">
        <f t="array" ref="O4573">+_xlfn.SWITCH(MONTH(C4573),1,1,2,1,3,1,4,2,5,2,6,3,7,3,8,3,9,3,10,2,11,2,12,1,2)</f>
        <v>1</v>
      </c>
      <c r="P4573" s="43"/>
    </row>
    <row r="4574" spans="1:16" ht="18" x14ac:dyDescent="0.35">
      <c r="A4574" s="43"/>
      <c r="C4574" s="393"/>
      <c r="E4574" s="394"/>
      <c r="F4574" s="394">
        <v>3.2189999999999999</v>
      </c>
      <c r="G4574" s="394"/>
      <c r="H4574" s="8" t="s">
        <v>235</v>
      </c>
      <c r="I4574" s="368">
        <f t="shared" si="214"/>
        <v>0</v>
      </c>
      <c r="J4574" s="365">
        <f t="shared" si="213"/>
        <v>0</v>
      </c>
      <c r="K4574" s="369">
        <f t="shared" si="215"/>
        <v>6</v>
      </c>
      <c r="L4574" s="369">
        <f>+IF((C4574&gt;='Resultats - informe'!$E$16)*(C4574&lt;='Resultats - informe'!$G$16),1,0)</f>
        <v>1</v>
      </c>
      <c r="M4574" s="369" cm="1">
        <f t="array" ref="M4574">+_xlfn.IFS((C4574&gt;='Resultats - informe'!$D$26)*(C4574&lt;='Resultats - informe'!$E$26),0,(C4574&gt;='Resultats - informe'!$D$27)*(C4574&lt;='Resultats - informe'!$E$27),0,(C4574&gt;='Resultats - informe'!$D$28)*(C4574&lt;='Resultats - informe'!$E$28),0,(C4574&gt;='Resultats - informe'!$D$29)*(C4574&lt;='Resultats - informe'!$E$29),0,1,1)</f>
        <v>0</v>
      </c>
      <c r="N4574" s="366">
        <f>+VLOOKUP(D4574,'Resultats - informe'!$Y$18:$AG$42,'Introducció dades consum'!K4574+1,0)</f>
        <v>0</v>
      </c>
      <c r="O4574" s="370" cm="1">
        <f t="array" ref="O4574">+_xlfn.SWITCH(MONTH(C4574),1,1,2,1,3,1,4,2,5,2,6,3,7,3,8,3,9,3,10,2,11,2,12,1,2)</f>
        <v>1</v>
      </c>
      <c r="P4574" s="43"/>
    </row>
    <row r="4575" spans="1:16" ht="18" x14ac:dyDescent="0.35">
      <c r="A4575" s="43"/>
      <c r="C4575" s="393"/>
      <c r="E4575" s="394"/>
      <c r="F4575" s="394">
        <v>3.2330000000000001</v>
      </c>
      <c r="G4575" s="394"/>
      <c r="H4575" s="8" t="s">
        <v>235</v>
      </c>
      <c r="I4575" s="368">
        <f t="shared" si="214"/>
        <v>0</v>
      </c>
      <c r="J4575" s="365">
        <f t="shared" si="213"/>
        <v>0</v>
      </c>
      <c r="K4575" s="369">
        <f t="shared" si="215"/>
        <v>6</v>
      </c>
      <c r="L4575" s="369">
        <f>+IF((C4575&gt;='Resultats - informe'!$E$16)*(C4575&lt;='Resultats - informe'!$G$16),1,0)</f>
        <v>1</v>
      </c>
      <c r="M4575" s="369" cm="1">
        <f t="array" ref="M4575">+_xlfn.IFS((C4575&gt;='Resultats - informe'!$D$26)*(C4575&lt;='Resultats - informe'!$E$26),0,(C4575&gt;='Resultats - informe'!$D$27)*(C4575&lt;='Resultats - informe'!$E$27),0,(C4575&gt;='Resultats - informe'!$D$28)*(C4575&lt;='Resultats - informe'!$E$28),0,(C4575&gt;='Resultats - informe'!$D$29)*(C4575&lt;='Resultats - informe'!$E$29),0,1,1)</f>
        <v>0</v>
      </c>
      <c r="N4575" s="366">
        <f>+VLOOKUP(D4575,'Resultats - informe'!$Y$18:$AG$42,'Introducció dades consum'!K4575+1,0)</f>
        <v>0</v>
      </c>
      <c r="O4575" s="370" cm="1">
        <f t="array" ref="O4575">+_xlfn.SWITCH(MONTH(C4575),1,1,2,1,3,1,4,2,5,2,6,3,7,3,8,3,9,3,10,2,11,2,12,1,2)</f>
        <v>1</v>
      </c>
      <c r="P4575" s="43"/>
    </row>
    <row r="4576" spans="1:16" ht="18" x14ac:dyDescent="0.35">
      <c r="A4576" s="43"/>
      <c r="C4576" s="393"/>
      <c r="E4576" s="394"/>
      <c r="F4576" s="394">
        <v>2.86</v>
      </c>
      <c r="G4576" s="394"/>
      <c r="H4576" s="8" t="s">
        <v>235</v>
      </c>
      <c r="I4576" s="368">
        <f t="shared" si="214"/>
        <v>0</v>
      </c>
      <c r="J4576" s="365">
        <f t="shared" si="213"/>
        <v>0</v>
      </c>
      <c r="K4576" s="369">
        <f t="shared" si="215"/>
        <v>6</v>
      </c>
      <c r="L4576" s="369">
        <f>+IF((C4576&gt;='Resultats - informe'!$E$16)*(C4576&lt;='Resultats - informe'!$G$16),1,0)</f>
        <v>1</v>
      </c>
      <c r="M4576" s="369" cm="1">
        <f t="array" ref="M4576">+_xlfn.IFS((C4576&gt;='Resultats - informe'!$D$26)*(C4576&lt;='Resultats - informe'!$E$26),0,(C4576&gt;='Resultats - informe'!$D$27)*(C4576&lt;='Resultats - informe'!$E$27),0,(C4576&gt;='Resultats - informe'!$D$28)*(C4576&lt;='Resultats - informe'!$E$28),0,(C4576&gt;='Resultats - informe'!$D$29)*(C4576&lt;='Resultats - informe'!$E$29),0,1,1)</f>
        <v>0</v>
      </c>
      <c r="N4576" s="366">
        <f>+VLOOKUP(D4576,'Resultats - informe'!$Y$18:$AG$42,'Introducció dades consum'!K4576+1,0)</f>
        <v>0</v>
      </c>
      <c r="O4576" s="370" cm="1">
        <f t="array" ref="O4576">+_xlfn.SWITCH(MONTH(C4576),1,1,2,1,3,1,4,2,5,2,6,3,7,3,8,3,9,3,10,2,11,2,12,1,2)</f>
        <v>1</v>
      </c>
      <c r="P4576" s="43"/>
    </row>
    <row r="4577" spans="1:16" ht="18" x14ac:dyDescent="0.35">
      <c r="A4577" s="43"/>
      <c r="C4577" s="393"/>
      <c r="E4577" s="394"/>
      <c r="F4577" s="394">
        <v>3.1829999999999998</v>
      </c>
      <c r="G4577" s="394"/>
      <c r="H4577" s="8" t="s">
        <v>235</v>
      </c>
      <c r="I4577" s="368">
        <f t="shared" si="214"/>
        <v>0</v>
      </c>
      <c r="J4577" s="365">
        <f t="shared" si="213"/>
        <v>0</v>
      </c>
      <c r="K4577" s="369">
        <f t="shared" si="215"/>
        <v>6</v>
      </c>
      <c r="L4577" s="369">
        <f>+IF((C4577&gt;='Resultats - informe'!$E$16)*(C4577&lt;='Resultats - informe'!$G$16),1,0)</f>
        <v>1</v>
      </c>
      <c r="M4577" s="369" cm="1">
        <f t="array" ref="M4577">+_xlfn.IFS((C4577&gt;='Resultats - informe'!$D$26)*(C4577&lt;='Resultats - informe'!$E$26),0,(C4577&gt;='Resultats - informe'!$D$27)*(C4577&lt;='Resultats - informe'!$E$27),0,(C4577&gt;='Resultats - informe'!$D$28)*(C4577&lt;='Resultats - informe'!$E$28),0,(C4577&gt;='Resultats - informe'!$D$29)*(C4577&lt;='Resultats - informe'!$E$29),0,1,1)</f>
        <v>0</v>
      </c>
      <c r="N4577" s="366">
        <f>+VLOOKUP(D4577,'Resultats - informe'!$Y$18:$AG$42,'Introducció dades consum'!K4577+1,0)</f>
        <v>0</v>
      </c>
      <c r="O4577" s="370" cm="1">
        <f t="array" ref="O4577">+_xlfn.SWITCH(MONTH(C4577),1,1,2,1,3,1,4,2,5,2,6,3,7,3,8,3,9,3,10,2,11,2,12,1,2)</f>
        <v>1</v>
      </c>
      <c r="P4577" s="43"/>
    </row>
    <row r="4578" spans="1:16" ht="18" x14ac:dyDescent="0.35">
      <c r="A4578" s="43"/>
      <c r="C4578" s="393"/>
      <c r="E4578" s="394"/>
      <c r="F4578" s="394">
        <v>2.3759999999999999</v>
      </c>
      <c r="G4578" s="394"/>
      <c r="H4578" s="8" t="s">
        <v>235</v>
      </c>
      <c r="I4578" s="368">
        <f t="shared" si="214"/>
        <v>0</v>
      </c>
      <c r="J4578" s="365">
        <f t="shared" si="213"/>
        <v>0</v>
      </c>
      <c r="K4578" s="369">
        <f t="shared" si="215"/>
        <v>6</v>
      </c>
      <c r="L4578" s="369">
        <f>+IF((C4578&gt;='Resultats - informe'!$E$16)*(C4578&lt;='Resultats - informe'!$G$16),1,0)</f>
        <v>1</v>
      </c>
      <c r="M4578" s="369" cm="1">
        <f t="array" ref="M4578">+_xlfn.IFS((C4578&gt;='Resultats - informe'!$D$26)*(C4578&lt;='Resultats - informe'!$E$26),0,(C4578&gt;='Resultats - informe'!$D$27)*(C4578&lt;='Resultats - informe'!$E$27),0,(C4578&gt;='Resultats - informe'!$D$28)*(C4578&lt;='Resultats - informe'!$E$28),0,(C4578&gt;='Resultats - informe'!$D$29)*(C4578&lt;='Resultats - informe'!$E$29),0,1,1)</f>
        <v>0</v>
      </c>
      <c r="N4578" s="366">
        <f>+VLOOKUP(D4578,'Resultats - informe'!$Y$18:$AG$42,'Introducció dades consum'!K4578+1,0)</f>
        <v>0</v>
      </c>
      <c r="O4578" s="370" cm="1">
        <f t="array" ref="O4578">+_xlfn.SWITCH(MONTH(C4578),1,1,2,1,3,1,4,2,5,2,6,3,7,3,8,3,9,3,10,2,11,2,12,1,2)</f>
        <v>1</v>
      </c>
      <c r="P4578" s="43"/>
    </row>
    <row r="4579" spans="1:16" ht="18" x14ac:dyDescent="0.35">
      <c r="A4579" s="43"/>
      <c r="C4579" s="393"/>
      <c r="E4579" s="394"/>
      <c r="F4579" s="394">
        <v>2.9580000000000002</v>
      </c>
      <c r="G4579" s="394"/>
      <c r="H4579" s="8" t="s">
        <v>235</v>
      </c>
      <c r="I4579" s="368">
        <f t="shared" si="214"/>
        <v>0</v>
      </c>
      <c r="J4579" s="365">
        <f t="shared" si="213"/>
        <v>0</v>
      </c>
      <c r="K4579" s="369">
        <f t="shared" si="215"/>
        <v>6</v>
      </c>
      <c r="L4579" s="369">
        <f>+IF((C4579&gt;='Resultats - informe'!$E$16)*(C4579&lt;='Resultats - informe'!$G$16),1,0)</f>
        <v>1</v>
      </c>
      <c r="M4579" s="369" cm="1">
        <f t="array" ref="M4579">+_xlfn.IFS((C4579&gt;='Resultats - informe'!$D$26)*(C4579&lt;='Resultats - informe'!$E$26),0,(C4579&gt;='Resultats - informe'!$D$27)*(C4579&lt;='Resultats - informe'!$E$27),0,(C4579&gt;='Resultats - informe'!$D$28)*(C4579&lt;='Resultats - informe'!$E$28),0,(C4579&gt;='Resultats - informe'!$D$29)*(C4579&lt;='Resultats - informe'!$E$29),0,1,1)</f>
        <v>0</v>
      </c>
      <c r="N4579" s="366">
        <f>+VLOOKUP(D4579,'Resultats - informe'!$Y$18:$AG$42,'Introducció dades consum'!K4579+1,0)</f>
        <v>0</v>
      </c>
      <c r="O4579" s="370" cm="1">
        <f t="array" ref="O4579">+_xlfn.SWITCH(MONTH(C4579),1,1,2,1,3,1,4,2,5,2,6,3,7,3,8,3,9,3,10,2,11,2,12,1,2)</f>
        <v>1</v>
      </c>
      <c r="P4579" s="43"/>
    </row>
    <row r="4580" spans="1:16" ht="18" x14ac:dyDescent="0.35">
      <c r="A4580" s="43"/>
      <c r="C4580" s="393"/>
      <c r="E4580" s="394"/>
      <c r="F4580" s="394">
        <v>0.113</v>
      </c>
      <c r="G4580" s="394"/>
      <c r="H4580" s="8" t="s">
        <v>235</v>
      </c>
      <c r="I4580" s="368">
        <f t="shared" si="214"/>
        <v>0</v>
      </c>
      <c r="J4580" s="365">
        <f t="shared" si="213"/>
        <v>0</v>
      </c>
      <c r="K4580" s="369">
        <f t="shared" si="215"/>
        <v>6</v>
      </c>
      <c r="L4580" s="369">
        <f>+IF((C4580&gt;='Resultats - informe'!$E$16)*(C4580&lt;='Resultats - informe'!$G$16),1,0)</f>
        <v>1</v>
      </c>
      <c r="M4580" s="369" cm="1">
        <f t="array" ref="M4580">+_xlfn.IFS((C4580&gt;='Resultats - informe'!$D$26)*(C4580&lt;='Resultats - informe'!$E$26),0,(C4580&gt;='Resultats - informe'!$D$27)*(C4580&lt;='Resultats - informe'!$E$27),0,(C4580&gt;='Resultats - informe'!$D$28)*(C4580&lt;='Resultats - informe'!$E$28),0,(C4580&gt;='Resultats - informe'!$D$29)*(C4580&lt;='Resultats - informe'!$E$29),0,1,1)</f>
        <v>0</v>
      </c>
      <c r="N4580" s="366">
        <f>+VLOOKUP(D4580,'Resultats - informe'!$Y$18:$AG$42,'Introducció dades consum'!K4580+1,0)</f>
        <v>0</v>
      </c>
      <c r="O4580" s="370" cm="1">
        <f t="array" ref="O4580">+_xlfn.SWITCH(MONTH(C4580),1,1,2,1,3,1,4,2,5,2,6,3,7,3,8,3,9,3,10,2,11,2,12,1,2)</f>
        <v>1</v>
      </c>
      <c r="P4580" s="43"/>
    </row>
    <row r="4581" spans="1:16" ht="18" x14ac:dyDescent="0.35">
      <c r="A4581" s="43"/>
      <c r="C4581" s="393"/>
      <c r="E4581" s="394"/>
      <c r="F4581" s="394">
        <v>7.8E-2</v>
      </c>
      <c r="G4581" s="394"/>
      <c r="H4581" s="8" t="s">
        <v>235</v>
      </c>
      <c r="I4581" s="368">
        <f t="shared" si="214"/>
        <v>0</v>
      </c>
      <c r="J4581" s="365">
        <f t="shared" si="213"/>
        <v>0</v>
      </c>
      <c r="K4581" s="369">
        <f t="shared" si="215"/>
        <v>6</v>
      </c>
      <c r="L4581" s="369">
        <f>+IF((C4581&gt;='Resultats - informe'!$E$16)*(C4581&lt;='Resultats - informe'!$G$16),1,0)</f>
        <v>1</v>
      </c>
      <c r="M4581" s="369" cm="1">
        <f t="array" ref="M4581">+_xlfn.IFS((C4581&gt;='Resultats - informe'!$D$26)*(C4581&lt;='Resultats - informe'!$E$26),0,(C4581&gt;='Resultats - informe'!$D$27)*(C4581&lt;='Resultats - informe'!$E$27),0,(C4581&gt;='Resultats - informe'!$D$28)*(C4581&lt;='Resultats - informe'!$E$28),0,(C4581&gt;='Resultats - informe'!$D$29)*(C4581&lt;='Resultats - informe'!$E$29),0,1,1)</f>
        <v>0</v>
      </c>
      <c r="N4581" s="366">
        <f>+VLOOKUP(D4581,'Resultats - informe'!$Y$18:$AG$42,'Introducció dades consum'!K4581+1,0)</f>
        <v>0</v>
      </c>
      <c r="O4581" s="370" cm="1">
        <f t="array" ref="O4581">+_xlfn.SWITCH(MONTH(C4581),1,1,2,1,3,1,4,2,5,2,6,3,7,3,8,3,9,3,10,2,11,2,12,1,2)</f>
        <v>1</v>
      </c>
      <c r="P4581" s="43"/>
    </row>
    <row r="4582" spans="1:16" ht="18" x14ac:dyDescent="0.35">
      <c r="A4582" s="43"/>
      <c r="C4582" s="393"/>
      <c r="E4582" s="394"/>
      <c r="F4582" s="394">
        <v>0</v>
      </c>
      <c r="G4582" s="394"/>
      <c r="H4582" s="8" t="s">
        <v>235</v>
      </c>
      <c r="I4582" s="368">
        <f t="shared" si="214"/>
        <v>0</v>
      </c>
      <c r="J4582" s="365">
        <f t="shared" si="213"/>
        <v>0</v>
      </c>
      <c r="K4582" s="369">
        <f t="shared" si="215"/>
        <v>6</v>
      </c>
      <c r="L4582" s="369">
        <f>+IF((C4582&gt;='Resultats - informe'!$E$16)*(C4582&lt;='Resultats - informe'!$G$16),1,0)</f>
        <v>1</v>
      </c>
      <c r="M4582" s="369" cm="1">
        <f t="array" ref="M4582">+_xlfn.IFS((C4582&gt;='Resultats - informe'!$D$26)*(C4582&lt;='Resultats - informe'!$E$26),0,(C4582&gt;='Resultats - informe'!$D$27)*(C4582&lt;='Resultats - informe'!$E$27),0,(C4582&gt;='Resultats - informe'!$D$28)*(C4582&lt;='Resultats - informe'!$E$28),0,(C4582&gt;='Resultats - informe'!$D$29)*(C4582&lt;='Resultats - informe'!$E$29),0,1,1)</f>
        <v>0</v>
      </c>
      <c r="N4582" s="366">
        <f>+VLOOKUP(D4582,'Resultats - informe'!$Y$18:$AG$42,'Introducció dades consum'!K4582+1,0)</f>
        <v>0</v>
      </c>
      <c r="O4582" s="370" cm="1">
        <f t="array" ref="O4582">+_xlfn.SWITCH(MONTH(C4582),1,1,2,1,3,1,4,2,5,2,6,3,7,3,8,3,9,3,10,2,11,2,12,1,2)</f>
        <v>1</v>
      </c>
      <c r="P4582" s="43"/>
    </row>
    <row r="4583" spans="1:16" ht="18" x14ac:dyDescent="0.35">
      <c r="A4583" s="43"/>
      <c r="C4583" s="393"/>
      <c r="E4583" s="394"/>
      <c r="F4583" s="394">
        <v>0</v>
      </c>
      <c r="G4583" s="394"/>
      <c r="H4583" s="8" t="s">
        <v>235</v>
      </c>
      <c r="I4583" s="368">
        <f t="shared" si="214"/>
        <v>0</v>
      </c>
      <c r="J4583" s="365">
        <f t="shared" si="213"/>
        <v>0</v>
      </c>
      <c r="K4583" s="369">
        <f t="shared" si="215"/>
        <v>6</v>
      </c>
      <c r="L4583" s="369">
        <f>+IF((C4583&gt;='Resultats - informe'!$E$16)*(C4583&lt;='Resultats - informe'!$G$16),1,0)</f>
        <v>1</v>
      </c>
      <c r="M4583" s="369" cm="1">
        <f t="array" ref="M4583">+_xlfn.IFS((C4583&gt;='Resultats - informe'!$D$26)*(C4583&lt;='Resultats - informe'!$E$26),0,(C4583&gt;='Resultats - informe'!$D$27)*(C4583&lt;='Resultats - informe'!$E$27),0,(C4583&gt;='Resultats - informe'!$D$28)*(C4583&lt;='Resultats - informe'!$E$28),0,(C4583&gt;='Resultats - informe'!$D$29)*(C4583&lt;='Resultats - informe'!$E$29),0,1,1)</f>
        <v>0</v>
      </c>
      <c r="N4583" s="366">
        <f>+VLOOKUP(D4583,'Resultats - informe'!$Y$18:$AG$42,'Introducció dades consum'!K4583+1,0)</f>
        <v>0</v>
      </c>
      <c r="O4583" s="370" cm="1">
        <f t="array" ref="O4583">+_xlfn.SWITCH(MONTH(C4583),1,1,2,1,3,1,4,2,5,2,6,3,7,3,8,3,9,3,10,2,11,2,12,1,2)</f>
        <v>1</v>
      </c>
      <c r="P4583" s="43"/>
    </row>
    <row r="4584" spans="1:16" ht="18" x14ac:dyDescent="0.35">
      <c r="A4584" s="43"/>
      <c r="C4584" s="393"/>
      <c r="E4584" s="394"/>
      <c r="F4584" s="394">
        <v>0</v>
      </c>
      <c r="G4584" s="394"/>
      <c r="H4584" s="8" t="s">
        <v>235</v>
      </c>
      <c r="I4584" s="368">
        <f t="shared" si="214"/>
        <v>0</v>
      </c>
      <c r="J4584" s="365">
        <f t="shared" si="213"/>
        <v>0</v>
      </c>
      <c r="K4584" s="369">
        <f t="shared" si="215"/>
        <v>6</v>
      </c>
      <c r="L4584" s="369">
        <f>+IF((C4584&gt;='Resultats - informe'!$E$16)*(C4584&lt;='Resultats - informe'!$G$16),1,0)</f>
        <v>1</v>
      </c>
      <c r="M4584" s="369" cm="1">
        <f t="array" ref="M4584">+_xlfn.IFS((C4584&gt;='Resultats - informe'!$D$26)*(C4584&lt;='Resultats - informe'!$E$26),0,(C4584&gt;='Resultats - informe'!$D$27)*(C4584&lt;='Resultats - informe'!$E$27),0,(C4584&gt;='Resultats - informe'!$D$28)*(C4584&lt;='Resultats - informe'!$E$28),0,(C4584&gt;='Resultats - informe'!$D$29)*(C4584&lt;='Resultats - informe'!$E$29),0,1,1)</f>
        <v>0</v>
      </c>
      <c r="N4584" s="366">
        <f>+VLOOKUP(D4584,'Resultats - informe'!$Y$18:$AG$42,'Introducció dades consum'!K4584+1,0)</f>
        <v>0</v>
      </c>
      <c r="O4584" s="370" cm="1">
        <f t="array" ref="O4584">+_xlfn.SWITCH(MONTH(C4584),1,1,2,1,3,1,4,2,5,2,6,3,7,3,8,3,9,3,10,2,11,2,12,1,2)</f>
        <v>1</v>
      </c>
      <c r="P4584" s="43"/>
    </row>
    <row r="4585" spans="1:16" ht="18" x14ac:dyDescent="0.35">
      <c r="A4585" s="43"/>
      <c r="C4585" s="393"/>
      <c r="E4585" s="394"/>
      <c r="F4585" s="394">
        <v>0</v>
      </c>
      <c r="G4585" s="394"/>
      <c r="H4585" s="8" t="s">
        <v>235</v>
      </c>
      <c r="I4585" s="368">
        <f t="shared" si="214"/>
        <v>0</v>
      </c>
      <c r="J4585" s="365">
        <f t="shared" si="213"/>
        <v>0</v>
      </c>
      <c r="K4585" s="369">
        <f t="shared" si="215"/>
        <v>6</v>
      </c>
      <c r="L4585" s="369">
        <f>+IF((C4585&gt;='Resultats - informe'!$E$16)*(C4585&lt;='Resultats - informe'!$G$16),1,0)</f>
        <v>1</v>
      </c>
      <c r="M4585" s="369" cm="1">
        <f t="array" ref="M4585">+_xlfn.IFS((C4585&gt;='Resultats - informe'!$D$26)*(C4585&lt;='Resultats - informe'!$E$26),0,(C4585&gt;='Resultats - informe'!$D$27)*(C4585&lt;='Resultats - informe'!$E$27),0,(C4585&gt;='Resultats - informe'!$D$28)*(C4585&lt;='Resultats - informe'!$E$28),0,(C4585&gt;='Resultats - informe'!$D$29)*(C4585&lt;='Resultats - informe'!$E$29),0,1,1)</f>
        <v>0</v>
      </c>
      <c r="N4585" s="366">
        <f>+VLOOKUP(D4585,'Resultats - informe'!$Y$18:$AG$42,'Introducció dades consum'!K4585+1,0)</f>
        <v>0</v>
      </c>
      <c r="O4585" s="370" cm="1">
        <f t="array" ref="O4585">+_xlfn.SWITCH(MONTH(C4585),1,1,2,1,3,1,4,2,5,2,6,3,7,3,8,3,9,3,10,2,11,2,12,1,2)</f>
        <v>1</v>
      </c>
      <c r="P4585" s="43"/>
    </row>
    <row r="4586" spans="1:16" ht="18" x14ac:dyDescent="0.35">
      <c r="A4586" s="43"/>
      <c r="C4586" s="393"/>
      <c r="E4586" s="394"/>
      <c r="F4586" s="394">
        <v>0</v>
      </c>
      <c r="G4586" s="394"/>
      <c r="H4586" s="8" t="s">
        <v>235</v>
      </c>
      <c r="I4586" s="368">
        <f t="shared" si="214"/>
        <v>0</v>
      </c>
      <c r="J4586" s="365">
        <f t="shared" si="213"/>
        <v>0</v>
      </c>
      <c r="K4586" s="369">
        <f t="shared" si="215"/>
        <v>6</v>
      </c>
      <c r="L4586" s="369">
        <f>+IF((C4586&gt;='Resultats - informe'!$E$16)*(C4586&lt;='Resultats - informe'!$G$16),1,0)</f>
        <v>1</v>
      </c>
      <c r="M4586" s="369" cm="1">
        <f t="array" ref="M4586">+_xlfn.IFS((C4586&gt;='Resultats - informe'!$D$26)*(C4586&lt;='Resultats - informe'!$E$26),0,(C4586&gt;='Resultats - informe'!$D$27)*(C4586&lt;='Resultats - informe'!$E$27),0,(C4586&gt;='Resultats - informe'!$D$28)*(C4586&lt;='Resultats - informe'!$E$28),0,(C4586&gt;='Resultats - informe'!$D$29)*(C4586&lt;='Resultats - informe'!$E$29),0,1,1)</f>
        <v>0</v>
      </c>
      <c r="N4586" s="366">
        <f>+VLOOKUP(D4586,'Resultats - informe'!$Y$18:$AG$42,'Introducció dades consum'!K4586+1,0)</f>
        <v>0</v>
      </c>
      <c r="O4586" s="370" cm="1">
        <f t="array" ref="O4586">+_xlfn.SWITCH(MONTH(C4586),1,1,2,1,3,1,4,2,5,2,6,3,7,3,8,3,9,3,10,2,11,2,12,1,2)</f>
        <v>1</v>
      </c>
      <c r="P4586" s="43"/>
    </row>
    <row r="4587" spans="1:16" ht="18" x14ac:dyDescent="0.35">
      <c r="A4587" s="43"/>
      <c r="C4587" s="393"/>
      <c r="E4587" s="394"/>
      <c r="F4587" s="394">
        <v>0</v>
      </c>
      <c r="G4587" s="394"/>
      <c r="H4587" s="8" t="s">
        <v>235</v>
      </c>
      <c r="I4587" s="368">
        <f t="shared" si="214"/>
        <v>0</v>
      </c>
      <c r="J4587" s="365">
        <f t="shared" si="213"/>
        <v>0</v>
      </c>
      <c r="K4587" s="369">
        <f t="shared" si="215"/>
        <v>6</v>
      </c>
      <c r="L4587" s="369">
        <f>+IF((C4587&gt;='Resultats - informe'!$E$16)*(C4587&lt;='Resultats - informe'!$G$16),1,0)</f>
        <v>1</v>
      </c>
      <c r="M4587" s="369" cm="1">
        <f t="array" ref="M4587">+_xlfn.IFS((C4587&gt;='Resultats - informe'!$D$26)*(C4587&lt;='Resultats - informe'!$E$26),0,(C4587&gt;='Resultats - informe'!$D$27)*(C4587&lt;='Resultats - informe'!$E$27),0,(C4587&gt;='Resultats - informe'!$D$28)*(C4587&lt;='Resultats - informe'!$E$28),0,(C4587&gt;='Resultats - informe'!$D$29)*(C4587&lt;='Resultats - informe'!$E$29),0,1,1)</f>
        <v>0</v>
      </c>
      <c r="N4587" s="366">
        <f>+VLOOKUP(D4587,'Resultats - informe'!$Y$18:$AG$42,'Introducció dades consum'!K4587+1,0)</f>
        <v>0</v>
      </c>
      <c r="O4587" s="370" cm="1">
        <f t="array" ref="O4587">+_xlfn.SWITCH(MONTH(C4587),1,1,2,1,3,1,4,2,5,2,6,3,7,3,8,3,9,3,10,2,11,2,12,1,2)</f>
        <v>1</v>
      </c>
      <c r="P4587" s="43"/>
    </row>
    <row r="4588" spans="1:16" ht="18" x14ac:dyDescent="0.35">
      <c r="A4588" s="43"/>
      <c r="C4588" s="393"/>
      <c r="E4588" s="394"/>
      <c r="F4588" s="394">
        <v>0</v>
      </c>
      <c r="G4588" s="394"/>
      <c r="H4588" s="8" t="s">
        <v>235</v>
      </c>
      <c r="I4588" s="368">
        <f t="shared" si="214"/>
        <v>0</v>
      </c>
      <c r="J4588" s="365">
        <f t="shared" si="213"/>
        <v>0</v>
      </c>
      <c r="K4588" s="369">
        <f t="shared" si="215"/>
        <v>6</v>
      </c>
      <c r="L4588" s="369">
        <f>+IF((C4588&gt;='Resultats - informe'!$E$16)*(C4588&lt;='Resultats - informe'!$G$16),1,0)</f>
        <v>1</v>
      </c>
      <c r="M4588" s="369" cm="1">
        <f t="array" ref="M4588">+_xlfn.IFS((C4588&gt;='Resultats - informe'!$D$26)*(C4588&lt;='Resultats - informe'!$E$26),0,(C4588&gt;='Resultats - informe'!$D$27)*(C4588&lt;='Resultats - informe'!$E$27),0,(C4588&gt;='Resultats - informe'!$D$28)*(C4588&lt;='Resultats - informe'!$E$28),0,(C4588&gt;='Resultats - informe'!$D$29)*(C4588&lt;='Resultats - informe'!$E$29),0,1,1)</f>
        <v>0</v>
      </c>
      <c r="N4588" s="366">
        <f>+VLOOKUP(D4588,'Resultats - informe'!$Y$18:$AG$42,'Introducció dades consum'!K4588+1,0)</f>
        <v>0</v>
      </c>
      <c r="O4588" s="370" cm="1">
        <f t="array" ref="O4588">+_xlfn.SWITCH(MONTH(C4588),1,1,2,1,3,1,4,2,5,2,6,3,7,3,8,3,9,3,10,2,11,2,12,1,2)</f>
        <v>1</v>
      </c>
      <c r="P4588" s="43"/>
    </row>
    <row r="4589" spans="1:16" ht="18" x14ac:dyDescent="0.35">
      <c r="A4589" s="43"/>
      <c r="C4589" s="393"/>
      <c r="E4589" s="394"/>
      <c r="F4589" s="394">
        <v>0</v>
      </c>
      <c r="G4589" s="394"/>
      <c r="H4589" s="8" t="s">
        <v>235</v>
      </c>
      <c r="I4589" s="368">
        <f t="shared" si="214"/>
        <v>0</v>
      </c>
      <c r="J4589" s="365">
        <f t="shared" si="213"/>
        <v>0</v>
      </c>
      <c r="K4589" s="369">
        <f t="shared" si="215"/>
        <v>6</v>
      </c>
      <c r="L4589" s="369">
        <f>+IF((C4589&gt;='Resultats - informe'!$E$16)*(C4589&lt;='Resultats - informe'!$G$16),1,0)</f>
        <v>1</v>
      </c>
      <c r="M4589" s="369" cm="1">
        <f t="array" ref="M4589">+_xlfn.IFS((C4589&gt;='Resultats - informe'!$D$26)*(C4589&lt;='Resultats - informe'!$E$26),0,(C4589&gt;='Resultats - informe'!$D$27)*(C4589&lt;='Resultats - informe'!$E$27),0,(C4589&gt;='Resultats - informe'!$D$28)*(C4589&lt;='Resultats - informe'!$E$28),0,(C4589&gt;='Resultats - informe'!$D$29)*(C4589&lt;='Resultats - informe'!$E$29),0,1,1)</f>
        <v>0</v>
      </c>
      <c r="N4589" s="366">
        <f>+VLOOKUP(D4589,'Resultats - informe'!$Y$18:$AG$42,'Introducció dades consum'!K4589+1,0)</f>
        <v>0</v>
      </c>
      <c r="O4589" s="370" cm="1">
        <f t="array" ref="O4589">+_xlfn.SWITCH(MONTH(C4589),1,1,2,1,3,1,4,2,5,2,6,3,7,3,8,3,9,3,10,2,11,2,12,1,2)</f>
        <v>1</v>
      </c>
      <c r="P4589" s="43"/>
    </row>
    <row r="4590" spans="1:16" ht="18" x14ac:dyDescent="0.35">
      <c r="A4590" s="43"/>
      <c r="C4590" s="393"/>
      <c r="E4590" s="394"/>
      <c r="F4590" s="394">
        <v>0</v>
      </c>
      <c r="G4590" s="394"/>
      <c r="H4590" s="8" t="s">
        <v>235</v>
      </c>
      <c r="I4590" s="368">
        <f t="shared" si="214"/>
        <v>0</v>
      </c>
      <c r="J4590" s="365">
        <f t="shared" si="213"/>
        <v>0</v>
      </c>
      <c r="K4590" s="369">
        <f t="shared" si="215"/>
        <v>6</v>
      </c>
      <c r="L4590" s="369">
        <f>+IF((C4590&gt;='Resultats - informe'!$E$16)*(C4590&lt;='Resultats - informe'!$G$16),1,0)</f>
        <v>1</v>
      </c>
      <c r="M4590" s="369" cm="1">
        <f t="array" ref="M4590">+_xlfn.IFS((C4590&gt;='Resultats - informe'!$D$26)*(C4590&lt;='Resultats - informe'!$E$26),0,(C4590&gt;='Resultats - informe'!$D$27)*(C4590&lt;='Resultats - informe'!$E$27),0,(C4590&gt;='Resultats - informe'!$D$28)*(C4590&lt;='Resultats - informe'!$E$28),0,(C4590&gt;='Resultats - informe'!$D$29)*(C4590&lt;='Resultats - informe'!$E$29),0,1,1)</f>
        <v>0</v>
      </c>
      <c r="N4590" s="366">
        <f>+VLOOKUP(D4590,'Resultats - informe'!$Y$18:$AG$42,'Introducció dades consum'!K4590+1,0)</f>
        <v>0</v>
      </c>
      <c r="O4590" s="370" cm="1">
        <f t="array" ref="O4590">+_xlfn.SWITCH(MONTH(C4590),1,1,2,1,3,1,4,2,5,2,6,3,7,3,8,3,9,3,10,2,11,2,12,1,2)</f>
        <v>1</v>
      </c>
      <c r="P4590" s="43"/>
    </row>
    <row r="4591" spans="1:16" ht="18" x14ac:dyDescent="0.35">
      <c r="A4591" s="43"/>
      <c r="C4591" s="393"/>
      <c r="E4591" s="394"/>
      <c r="F4591" s="394">
        <v>0</v>
      </c>
      <c r="G4591" s="394"/>
      <c r="H4591" s="8" t="s">
        <v>235</v>
      </c>
      <c r="I4591" s="368">
        <f t="shared" si="214"/>
        <v>0</v>
      </c>
      <c r="J4591" s="365">
        <f t="shared" si="213"/>
        <v>0</v>
      </c>
      <c r="K4591" s="369">
        <f t="shared" si="215"/>
        <v>6</v>
      </c>
      <c r="L4591" s="369">
        <f>+IF((C4591&gt;='Resultats - informe'!$E$16)*(C4591&lt;='Resultats - informe'!$G$16),1,0)</f>
        <v>1</v>
      </c>
      <c r="M4591" s="369" cm="1">
        <f t="array" ref="M4591">+_xlfn.IFS((C4591&gt;='Resultats - informe'!$D$26)*(C4591&lt;='Resultats - informe'!$E$26),0,(C4591&gt;='Resultats - informe'!$D$27)*(C4591&lt;='Resultats - informe'!$E$27),0,(C4591&gt;='Resultats - informe'!$D$28)*(C4591&lt;='Resultats - informe'!$E$28),0,(C4591&gt;='Resultats - informe'!$D$29)*(C4591&lt;='Resultats - informe'!$E$29),0,1,1)</f>
        <v>0</v>
      </c>
      <c r="N4591" s="366">
        <f>+VLOOKUP(D4591,'Resultats - informe'!$Y$18:$AG$42,'Introducció dades consum'!K4591+1,0)</f>
        <v>0</v>
      </c>
      <c r="O4591" s="370" cm="1">
        <f t="array" ref="O4591">+_xlfn.SWITCH(MONTH(C4591),1,1,2,1,3,1,4,2,5,2,6,3,7,3,8,3,9,3,10,2,11,2,12,1,2)</f>
        <v>1</v>
      </c>
      <c r="P4591" s="43"/>
    </row>
    <row r="4592" spans="1:16" ht="18" x14ac:dyDescent="0.35">
      <c r="A4592" s="43"/>
      <c r="C4592" s="393"/>
      <c r="E4592" s="394"/>
      <c r="F4592" s="394">
        <v>0</v>
      </c>
      <c r="G4592" s="394"/>
      <c r="H4592" s="8" t="s">
        <v>235</v>
      </c>
      <c r="I4592" s="368">
        <f t="shared" si="214"/>
        <v>0</v>
      </c>
      <c r="J4592" s="365">
        <f t="shared" si="213"/>
        <v>0</v>
      </c>
      <c r="K4592" s="369">
        <f t="shared" si="215"/>
        <v>6</v>
      </c>
      <c r="L4592" s="369">
        <f>+IF((C4592&gt;='Resultats - informe'!$E$16)*(C4592&lt;='Resultats - informe'!$G$16),1,0)</f>
        <v>1</v>
      </c>
      <c r="M4592" s="369" cm="1">
        <f t="array" ref="M4592">+_xlfn.IFS((C4592&gt;='Resultats - informe'!$D$26)*(C4592&lt;='Resultats - informe'!$E$26),0,(C4592&gt;='Resultats - informe'!$D$27)*(C4592&lt;='Resultats - informe'!$E$27),0,(C4592&gt;='Resultats - informe'!$D$28)*(C4592&lt;='Resultats - informe'!$E$28),0,(C4592&gt;='Resultats - informe'!$D$29)*(C4592&lt;='Resultats - informe'!$E$29),0,1,1)</f>
        <v>0</v>
      </c>
      <c r="N4592" s="366">
        <f>+VLOOKUP(D4592,'Resultats - informe'!$Y$18:$AG$42,'Introducció dades consum'!K4592+1,0)</f>
        <v>0</v>
      </c>
      <c r="O4592" s="370" cm="1">
        <f t="array" ref="O4592">+_xlfn.SWITCH(MONTH(C4592),1,1,2,1,3,1,4,2,5,2,6,3,7,3,8,3,9,3,10,2,11,2,12,1,2)</f>
        <v>1</v>
      </c>
      <c r="P4592" s="43"/>
    </row>
    <row r="4593" spans="1:16" ht="18" x14ac:dyDescent="0.35">
      <c r="A4593" s="43"/>
      <c r="C4593" s="393"/>
      <c r="E4593" s="394"/>
      <c r="F4593" s="394">
        <v>0</v>
      </c>
      <c r="G4593" s="394"/>
      <c r="H4593" s="8" t="s">
        <v>235</v>
      </c>
      <c r="I4593" s="368">
        <f t="shared" si="214"/>
        <v>0</v>
      </c>
      <c r="J4593" s="365">
        <f t="shared" si="213"/>
        <v>0</v>
      </c>
      <c r="K4593" s="369">
        <f t="shared" si="215"/>
        <v>6</v>
      </c>
      <c r="L4593" s="369">
        <f>+IF((C4593&gt;='Resultats - informe'!$E$16)*(C4593&lt;='Resultats - informe'!$G$16),1,0)</f>
        <v>1</v>
      </c>
      <c r="M4593" s="369" cm="1">
        <f t="array" ref="M4593">+_xlfn.IFS((C4593&gt;='Resultats - informe'!$D$26)*(C4593&lt;='Resultats - informe'!$E$26),0,(C4593&gt;='Resultats - informe'!$D$27)*(C4593&lt;='Resultats - informe'!$E$27),0,(C4593&gt;='Resultats - informe'!$D$28)*(C4593&lt;='Resultats - informe'!$E$28),0,(C4593&gt;='Resultats - informe'!$D$29)*(C4593&lt;='Resultats - informe'!$E$29),0,1,1)</f>
        <v>0</v>
      </c>
      <c r="N4593" s="366">
        <f>+VLOOKUP(D4593,'Resultats - informe'!$Y$18:$AG$42,'Introducció dades consum'!K4593+1,0)</f>
        <v>0</v>
      </c>
      <c r="O4593" s="370" cm="1">
        <f t="array" ref="O4593">+_xlfn.SWITCH(MONTH(C4593),1,1,2,1,3,1,4,2,5,2,6,3,7,3,8,3,9,3,10,2,11,2,12,1,2)</f>
        <v>1</v>
      </c>
      <c r="P4593" s="43"/>
    </row>
    <row r="4594" spans="1:16" ht="18" x14ac:dyDescent="0.35">
      <c r="A4594" s="43"/>
      <c r="C4594" s="393"/>
      <c r="E4594" s="394"/>
      <c r="F4594" s="394">
        <v>0</v>
      </c>
      <c r="G4594" s="394"/>
      <c r="H4594" s="8" t="s">
        <v>235</v>
      </c>
      <c r="I4594" s="368">
        <f t="shared" si="214"/>
        <v>0</v>
      </c>
      <c r="J4594" s="365">
        <f t="shared" si="213"/>
        <v>0</v>
      </c>
      <c r="K4594" s="369">
        <f t="shared" si="215"/>
        <v>6</v>
      </c>
      <c r="L4594" s="369">
        <f>+IF((C4594&gt;='Resultats - informe'!$E$16)*(C4594&lt;='Resultats - informe'!$G$16),1,0)</f>
        <v>1</v>
      </c>
      <c r="M4594" s="369" cm="1">
        <f t="array" ref="M4594">+_xlfn.IFS((C4594&gt;='Resultats - informe'!$D$26)*(C4594&lt;='Resultats - informe'!$E$26),0,(C4594&gt;='Resultats - informe'!$D$27)*(C4594&lt;='Resultats - informe'!$E$27),0,(C4594&gt;='Resultats - informe'!$D$28)*(C4594&lt;='Resultats - informe'!$E$28),0,(C4594&gt;='Resultats - informe'!$D$29)*(C4594&lt;='Resultats - informe'!$E$29),0,1,1)</f>
        <v>0</v>
      </c>
      <c r="N4594" s="366">
        <f>+VLOOKUP(D4594,'Resultats - informe'!$Y$18:$AG$42,'Introducció dades consum'!K4594+1,0)</f>
        <v>0</v>
      </c>
      <c r="O4594" s="370" cm="1">
        <f t="array" ref="O4594">+_xlfn.SWITCH(MONTH(C4594),1,1,2,1,3,1,4,2,5,2,6,3,7,3,8,3,9,3,10,2,11,2,12,1,2)</f>
        <v>1</v>
      </c>
      <c r="P4594" s="43"/>
    </row>
    <row r="4595" spans="1:16" ht="18" x14ac:dyDescent="0.35">
      <c r="A4595" s="43"/>
      <c r="C4595" s="393"/>
      <c r="E4595" s="394"/>
      <c r="F4595" s="394">
        <v>0</v>
      </c>
      <c r="G4595" s="394"/>
      <c r="H4595" s="8" t="s">
        <v>235</v>
      </c>
      <c r="I4595" s="368">
        <f t="shared" si="214"/>
        <v>0</v>
      </c>
      <c r="J4595" s="365">
        <f t="shared" si="213"/>
        <v>0</v>
      </c>
      <c r="K4595" s="369">
        <f t="shared" si="215"/>
        <v>6</v>
      </c>
      <c r="L4595" s="369">
        <f>+IF((C4595&gt;='Resultats - informe'!$E$16)*(C4595&lt;='Resultats - informe'!$G$16),1,0)</f>
        <v>1</v>
      </c>
      <c r="M4595" s="369" cm="1">
        <f t="array" ref="M4595">+_xlfn.IFS((C4595&gt;='Resultats - informe'!$D$26)*(C4595&lt;='Resultats - informe'!$E$26),0,(C4595&gt;='Resultats - informe'!$D$27)*(C4595&lt;='Resultats - informe'!$E$27),0,(C4595&gt;='Resultats - informe'!$D$28)*(C4595&lt;='Resultats - informe'!$E$28),0,(C4595&gt;='Resultats - informe'!$D$29)*(C4595&lt;='Resultats - informe'!$E$29),0,1,1)</f>
        <v>0</v>
      </c>
      <c r="N4595" s="366">
        <f>+VLOOKUP(D4595,'Resultats - informe'!$Y$18:$AG$42,'Introducció dades consum'!K4595+1,0)</f>
        <v>0</v>
      </c>
      <c r="O4595" s="370" cm="1">
        <f t="array" ref="O4595">+_xlfn.SWITCH(MONTH(C4595),1,1,2,1,3,1,4,2,5,2,6,3,7,3,8,3,9,3,10,2,11,2,12,1,2)</f>
        <v>1</v>
      </c>
      <c r="P4595" s="43"/>
    </row>
    <row r="4596" spans="1:16" ht="18" x14ac:dyDescent="0.35">
      <c r="A4596" s="43"/>
      <c r="C4596" s="393"/>
      <c r="E4596" s="394"/>
      <c r="F4596" s="394">
        <v>0</v>
      </c>
      <c r="G4596" s="394"/>
      <c r="H4596" s="8" t="s">
        <v>235</v>
      </c>
      <c r="I4596" s="368">
        <f t="shared" si="214"/>
        <v>0</v>
      </c>
      <c r="J4596" s="365">
        <f t="shared" si="213"/>
        <v>0</v>
      </c>
      <c r="K4596" s="369">
        <f t="shared" si="215"/>
        <v>6</v>
      </c>
      <c r="L4596" s="369">
        <f>+IF((C4596&gt;='Resultats - informe'!$E$16)*(C4596&lt;='Resultats - informe'!$G$16),1,0)</f>
        <v>1</v>
      </c>
      <c r="M4596" s="369" cm="1">
        <f t="array" ref="M4596">+_xlfn.IFS((C4596&gt;='Resultats - informe'!$D$26)*(C4596&lt;='Resultats - informe'!$E$26),0,(C4596&gt;='Resultats - informe'!$D$27)*(C4596&lt;='Resultats - informe'!$E$27),0,(C4596&gt;='Resultats - informe'!$D$28)*(C4596&lt;='Resultats - informe'!$E$28),0,(C4596&gt;='Resultats - informe'!$D$29)*(C4596&lt;='Resultats - informe'!$E$29),0,1,1)</f>
        <v>0</v>
      </c>
      <c r="N4596" s="366">
        <f>+VLOOKUP(D4596,'Resultats - informe'!$Y$18:$AG$42,'Introducció dades consum'!K4596+1,0)</f>
        <v>0</v>
      </c>
      <c r="O4596" s="370" cm="1">
        <f t="array" ref="O4596">+_xlfn.SWITCH(MONTH(C4596),1,1,2,1,3,1,4,2,5,2,6,3,7,3,8,3,9,3,10,2,11,2,12,1,2)</f>
        <v>1</v>
      </c>
      <c r="P4596" s="43"/>
    </row>
    <row r="4597" spans="1:16" ht="18" x14ac:dyDescent="0.35">
      <c r="A4597" s="43"/>
      <c r="C4597" s="393"/>
      <c r="E4597" s="394"/>
      <c r="F4597" s="394">
        <v>1.4179999999999999</v>
      </c>
      <c r="G4597" s="394"/>
      <c r="H4597" s="8" t="s">
        <v>235</v>
      </c>
      <c r="I4597" s="368">
        <f t="shared" si="214"/>
        <v>0</v>
      </c>
      <c r="J4597" s="365">
        <f t="shared" si="213"/>
        <v>0</v>
      </c>
      <c r="K4597" s="369">
        <f t="shared" si="215"/>
        <v>6</v>
      </c>
      <c r="L4597" s="369">
        <f>+IF((C4597&gt;='Resultats - informe'!$E$16)*(C4597&lt;='Resultats - informe'!$G$16),1,0)</f>
        <v>1</v>
      </c>
      <c r="M4597" s="369" cm="1">
        <f t="array" ref="M4597">+_xlfn.IFS((C4597&gt;='Resultats - informe'!$D$26)*(C4597&lt;='Resultats - informe'!$E$26),0,(C4597&gt;='Resultats - informe'!$D$27)*(C4597&lt;='Resultats - informe'!$E$27),0,(C4597&gt;='Resultats - informe'!$D$28)*(C4597&lt;='Resultats - informe'!$E$28),0,(C4597&gt;='Resultats - informe'!$D$29)*(C4597&lt;='Resultats - informe'!$E$29),0,1,1)</f>
        <v>0</v>
      </c>
      <c r="N4597" s="366">
        <f>+VLOOKUP(D4597,'Resultats - informe'!$Y$18:$AG$42,'Introducció dades consum'!K4597+1,0)</f>
        <v>0</v>
      </c>
      <c r="O4597" s="370" cm="1">
        <f t="array" ref="O4597">+_xlfn.SWITCH(MONTH(C4597),1,1,2,1,3,1,4,2,5,2,6,3,7,3,8,3,9,3,10,2,11,2,12,1,2)</f>
        <v>1</v>
      </c>
      <c r="P4597" s="43"/>
    </row>
    <row r="4598" spans="1:16" ht="18" x14ac:dyDescent="0.35">
      <c r="A4598" s="43"/>
      <c r="C4598" s="393"/>
      <c r="E4598" s="394"/>
      <c r="F4598" s="394">
        <v>3.181</v>
      </c>
      <c r="G4598" s="394"/>
      <c r="H4598" s="8" t="s">
        <v>235</v>
      </c>
      <c r="I4598" s="368">
        <f t="shared" si="214"/>
        <v>0</v>
      </c>
      <c r="J4598" s="365">
        <f t="shared" si="213"/>
        <v>0</v>
      </c>
      <c r="K4598" s="369">
        <f t="shared" si="215"/>
        <v>6</v>
      </c>
      <c r="L4598" s="369">
        <f>+IF((C4598&gt;='Resultats - informe'!$E$16)*(C4598&lt;='Resultats - informe'!$G$16),1,0)</f>
        <v>1</v>
      </c>
      <c r="M4598" s="369" cm="1">
        <f t="array" ref="M4598">+_xlfn.IFS((C4598&gt;='Resultats - informe'!$D$26)*(C4598&lt;='Resultats - informe'!$E$26),0,(C4598&gt;='Resultats - informe'!$D$27)*(C4598&lt;='Resultats - informe'!$E$27),0,(C4598&gt;='Resultats - informe'!$D$28)*(C4598&lt;='Resultats - informe'!$E$28),0,(C4598&gt;='Resultats - informe'!$D$29)*(C4598&lt;='Resultats - informe'!$E$29),0,1,1)</f>
        <v>0</v>
      </c>
      <c r="N4598" s="366">
        <f>+VLOOKUP(D4598,'Resultats - informe'!$Y$18:$AG$42,'Introducció dades consum'!K4598+1,0)</f>
        <v>0</v>
      </c>
      <c r="O4598" s="370" cm="1">
        <f t="array" ref="O4598">+_xlfn.SWITCH(MONTH(C4598),1,1,2,1,3,1,4,2,5,2,6,3,7,3,8,3,9,3,10,2,11,2,12,1,2)</f>
        <v>1</v>
      </c>
      <c r="P4598" s="43"/>
    </row>
    <row r="4599" spans="1:16" ht="18" x14ac:dyDescent="0.35">
      <c r="A4599" s="43"/>
      <c r="C4599" s="393"/>
      <c r="E4599" s="394"/>
      <c r="F4599" s="394">
        <v>4.0369999999999999</v>
      </c>
      <c r="G4599" s="394"/>
      <c r="H4599" s="8" t="s">
        <v>235</v>
      </c>
      <c r="I4599" s="368">
        <f t="shared" si="214"/>
        <v>0</v>
      </c>
      <c r="J4599" s="365">
        <f t="shared" si="213"/>
        <v>0</v>
      </c>
      <c r="K4599" s="369">
        <f t="shared" si="215"/>
        <v>6</v>
      </c>
      <c r="L4599" s="369">
        <f>+IF((C4599&gt;='Resultats - informe'!$E$16)*(C4599&lt;='Resultats - informe'!$G$16),1,0)</f>
        <v>1</v>
      </c>
      <c r="M4599" s="369" cm="1">
        <f t="array" ref="M4599">+_xlfn.IFS((C4599&gt;='Resultats - informe'!$D$26)*(C4599&lt;='Resultats - informe'!$E$26),0,(C4599&gt;='Resultats - informe'!$D$27)*(C4599&lt;='Resultats - informe'!$E$27),0,(C4599&gt;='Resultats - informe'!$D$28)*(C4599&lt;='Resultats - informe'!$E$28),0,(C4599&gt;='Resultats - informe'!$D$29)*(C4599&lt;='Resultats - informe'!$E$29),0,1,1)</f>
        <v>0</v>
      </c>
      <c r="N4599" s="366">
        <f>+VLOOKUP(D4599,'Resultats - informe'!$Y$18:$AG$42,'Introducció dades consum'!K4599+1,0)</f>
        <v>0</v>
      </c>
      <c r="O4599" s="370" cm="1">
        <f t="array" ref="O4599">+_xlfn.SWITCH(MONTH(C4599),1,1,2,1,3,1,4,2,5,2,6,3,7,3,8,3,9,3,10,2,11,2,12,1,2)</f>
        <v>1</v>
      </c>
      <c r="P4599" s="43"/>
    </row>
    <row r="4600" spans="1:16" ht="18" x14ac:dyDescent="0.35">
      <c r="A4600" s="43"/>
      <c r="C4600" s="393"/>
      <c r="E4600" s="394"/>
      <c r="F4600" s="394">
        <v>2.5819999999999999</v>
      </c>
      <c r="G4600" s="394"/>
      <c r="H4600" s="8" t="s">
        <v>235</v>
      </c>
      <c r="I4600" s="368">
        <f t="shared" si="214"/>
        <v>0</v>
      </c>
      <c r="J4600" s="365">
        <f t="shared" si="213"/>
        <v>0</v>
      </c>
      <c r="K4600" s="369">
        <f t="shared" si="215"/>
        <v>6</v>
      </c>
      <c r="L4600" s="369">
        <f>+IF((C4600&gt;='Resultats - informe'!$E$16)*(C4600&lt;='Resultats - informe'!$G$16),1,0)</f>
        <v>1</v>
      </c>
      <c r="M4600" s="369" cm="1">
        <f t="array" ref="M4600">+_xlfn.IFS((C4600&gt;='Resultats - informe'!$D$26)*(C4600&lt;='Resultats - informe'!$E$26),0,(C4600&gt;='Resultats - informe'!$D$27)*(C4600&lt;='Resultats - informe'!$E$27),0,(C4600&gt;='Resultats - informe'!$D$28)*(C4600&lt;='Resultats - informe'!$E$28),0,(C4600&gt;='Resultats - informe'!$D$29)*(C4600&lt;='Resultats - informe'!$E$29),0,1,1)</f>
        <v>0</v>
      </c>
      <c r="N4600" s="366">
        <f>+VLOOKUP(D4600,'Resultats - informe'!$Y$18:$AG$42,'Introducció dades consum'!K4600+1,0)</f>
        <v>0</v>
      </c>
      <c r="O4600" s="370" cm="1">
        <f t="array" ref="O4600">+_xlfn.SWITCH(MONTH(C4600),1,1,2,1,3,1,4,2,5,2,6,3,7,3,8,3,9,3,10,2,11,2,12,1,2)</f>
        <v>1</v>
      </c>
      <c r="P4600" s="43"/>
    </row>
    <row r="4601" spans="1:16" ht="18" x14ac:dyDescent="0.35">
      <c r="A4601" s="43"/>
      <c r="C4601" s="393"/>
      <c r="E4601" s="394"/>
      <c r="F4601" s="394">
        <v>3.214</v>
      </c>
      <c r="G4601" s="394"/>
      <c r="H4601" s="8" t="s">
        <v>235</v>
      </c>
      <c r="I4601" s="368">
        <f t="shared" si="214"/>
        <v>0</v>
      </c>
      <c r="J4601" s="365">
        <f t="shared" si="213"/>
        <v>0</v>
      </c>
      <c r="K4601" s="369">
        <f t="shared" si="215"/>
        <v>6</v>
      </c>
      <c r="L4601" s="369">
        <f>+IF((C4601&gt;='Resultats - informe'!$E$16)*(C4601&lt;='Resultats - informe'!$G$16),1,0)</f>
        <v>1</v>
      </c>
      <c r="M4601" s="369" cm="1">
        <f t="array" ref="M4601">+_xlfn.IFS((C4601&gt;='Resultats - informe'!$D$26)*(C4601&lt;='Resultats - informe'!$E$26),0,(C4601&gt;='Resultats - informe'!$D$27)*(C4601&lt;='Resultats - informe'!$E$27),0,(C4601&gt;='Resultats - informe'!$D$28)*(C4601&lt;='Resultats - informe'!$E$28),0,(C4601&gt;='Resultats - informe'!$D$29)*(C4601&lt;='Resultats - informe'!$E$29),0,1,1)</f>
        <v>0</v>
      </c>
      <c r="N4601" s="366">
        <f>+VLOOKUP(D4601,'Resultats - informe'!$Y$18:$AG$42,'Introducció dades consum'!K4601+1,0)</f>
        <v>0</v>
      </c>
      <c r="O4601" s="370" cm="1">
        <f t="array" ref="O4601">+_xlfn.SWITCH(MONTH(C4601),1,1,2,1,3,1,4,2,5,2,6,3,7,3,8,3,9,3,10,2,11,2,12,1,2)</f>
        <v>1</v>
      </c>
      <c r="P4601" s="43"/>
    </row>
    <row r="4602" spans="1:16" ht="18" x14ac:dyDescent="0.35">
      <c r="A4602" s="43"/>
      <c r="C4602" s="393"/>
      <c r="E4602" s="394"/>
      <c r="F4602" s="394">
        <v>0.64300000000000002</v>
      </c>
      <c r="G4602" s="394"/>
      <c r="H4602" s="8" t="s">
        <v>235</v>
      </c>
      <c r="I4602" s="368">
        <f t="shared" si="214"/>
        <v>0</v>
      </c>
      <c r="J4602" s="365">
        <f t="shared" si="213"/>
        <v>0</v>
      </c>
      <c r="K4602" s="369">
        <f t="shared" si="215"/>
        <v>6</v>
      </c>
      <c r="L4602" s="369">
        <f>+IF((C4602&gt;='Resultats - informe'!$E$16)*(C4602&lt;='Resultats - informe'!$G$16),1,0)</f>
        <v>1</v>
      </c>
      <c r="M4602" s="369" cm="1">
        <f t="array" ref="M4602">+_xlfn.IFS((C4602&gt;='Resultats - informe'!$D$26)*(C4602&lt;='Resultats - informe'!$E$26),0,(C4602&gt;='Resultats - informe'!$D$27)*(C4602&lt;='Resultats - informe'!$E$27),0,(C4602&gt;='Resultats - informe'!$D$28)*(C4602&lt;='Resultats - informe'!$E$28),0,(C4602&gt;='Resultats - informe'!$D$29)*(C4602&lt;='Resultats - informe'!$E$29),0,1,1)</f>
        <v>0</v>
      </c>
      <c r="N4602" s="366">
        <f>+VLOOKUP(D4602,'Resultats - informe'!$Y$18:$AG$42,'Introducció dades consum'!K4602+1,0)</f>
        <v>0</v>
      </c>
      <c r="O4602" s="370" cm="1">
        <f t="array" ref="O4602">+_xlfn.SWITCH(MONTH(C4602),1,1,2,1,3,1,4,2,5,2,6,3,7,3,8,3,9,3,10,2,11,2,12,1,2)</f>
        <v>1</v>
      </c>
      <c r="P4602" s="43"/>
    </row>
    <row r="4603" spans="1:16" ht="18" x14ac:dyDescent="0.35">
      <c r="A4603" s="43"/>
      <c r="C4603" s="393"/>
      <c r="E4603" s="394"/>
      <c r="F4603" s="394">
        <v>1.0009999999999999</v>
      </c>
      <c r="G4603" s="394"/>
      <c r="H4603" s="8" t="s">
        <v>235</v>
      </c>
      <c r="I4603" s="368">
        <f t="shared" si="214"/>
        <v>0</v>
      </c>
      <c r="J4603" s="365">
        <f t="shared" ref="J4603:J4666" si="216">+C4603</f>
        <v>0</v>
      </c>
      <c r="K4603" s="369">
        <f t="shared" si="215"/>
        <v>6</v>
      </c>
      <c r="L4603" s="369">
        <f>+IF((C4603&gt;='Resultats - informe'!$E$16)*(C4603&lt;='Resultats - informe'!$G$16),1,0)</f>
        <v>1</v>
      </c>
      <c r="M4603" s="369" cm="1">
        <f t="array" ref="M4603">+_xlfn.IFS((C4603&gt;='Resultats - informe'!$D$26)*(C4603&lt;='Resultats - informe'!$E$26),0,(C4603&gt;='Resultats - informe'!$D$27)*(C4603&lt;='Resultats - informe'!$E$27),0,(C4603&gt;='Resultats - informe'!$D$28)*(C4603&lt;='Resultats - informe'!$E$28),0,(C4603&gt;='Resultats - informe'!$D$29)*(C4603&lt;='Resultats - informe'!$E$29),0,1,1)</f>
        <v>0</v>
      </c>
      <c r="N4603" s="366">
        <f>+VLOOKUP(D4603,'Resultats - informe'!$Y$18:$AG$42,'Introducció dades consum'!K4603+1,0)</f>
        <v>0</v>
      </c>
      <c r="O4603" s="370" cm="1">
        <f t="array" ref="O4603">+_xlfn.SWITCH(MONTH(C4603),1,1,2,1,3,1,4,2,5,2,6,3,7,3,8,3,9,3,10,2,11,2,12,1,2)</f>
        <v>1</v>
      </c>
      <c r="P4603" s="43"/>
    </row>
    <row r="4604" spans="1:16" ht="18" x14ac:dyDescent="0.35">
      <c r="A4604" s="43"/>
      <c r="C4604" s="393"/>
      <c r="E4604" s="394"/>
      <c r="F4604" s="394">
        <v>0</v>
      </c>
      <c r="G4604" s="394"/>
      <c r="H4604" s="8" t="s">
        <v>235</v>
      </c>
      <c r="I4604" s="368">
        <f t="shared" si="214"/>
        <v>0</v>
      </c>
      <c r="J4604" s="365">
        <f t="shared" si="216"/>
        <v>0</v>
      </c>
      <c r="K4604" s="369">
        <f t="shared" si="215"/>
        <v>6</v>
      </c>
      <c r="L4604" s="369">
        <f>+IF((C4604&gt;='Resultats - informe'!$E$16)*(C4604&lt;='Resultats - informe'!$G$16),1,0)</f>
        <v>1</v>
      </c>
      <c r="M4604" s="369" cm="1">
        <f t="array" ref="M4604">+_xlfn.IFS((C4604&gt;='Resultats - informe'!$D$26)*(C4604&lt;='Resultats - informe'!$E$26),0,(C4604&gt;='Resultats - informe'!$D$27)*(C4604&lt;='Resultats - informe'!$E$27),0,(C4604&gt;='Resultats - informe'!$D$28)*(C4604&lt;='Resultats - informe'!$E$28),0,(C4604&gt;='Resultats - informe'!$D$29)*(C4604&lt;='Resultats - informe'!$E$29),0,1,1)</f>
        <v>0</v>
      </c>
      <c r="N4604" s="366">
        <f>+VLOOKUP(D4604,'Resultats - informe'!$Y$18:$AG$42,'Introducció dades consum'!K4604+1,0)</f>
        <v>0</v>
      </c>
      <c r="O4604" s="370" cm="1">
        <f t="array" ref="O4604">+_xlfn.SWITCH(MONTH(C4604),1,1,2,1,3,1,4,2,5,2,6,3,7,3,8,3,9,3,10,2,11,2,12,1,2)</f>
        <v>1</v>
      </c>
      <c r="P4604" s="43"/>
    </row>
    <row r="4605" spans="1:16" ht="18" x14ac:dyDescent="0.35">
      <c r="A4605" s="43"/>
      <c r="C4605" s="393"/>
      <c r="E4605" s="394"/>
      <c r="F4605" s="394">
        <v>0</v>
      </c>
      <c r="G4605" s="394"/>
      <c r="H4605" s="8" t="s">
        <v>235</v>
      </c>
      <c r="I4605" s="368">
        <f t="shared" si="214"/>
        <v>0</v>
      </c>
      <c r="J4605" s="365">
        <f t="shared" si="216"/>
        <v>0</v>
      </c>
      <c r="K4605" s="369">
        <f t="shared" si="215"/>
        <v>6</v>
      </c>
      <c r="L4605" s="369">
        <f>+IF((C4605&gt;='Resultats - informe'!$E$16)*(C4605&lt;='Resultats - informe'!$G$16),1,0)</f>
        <v>1</v>
      </c>
      <c r="M4605" s="369" cm="1">
        <f t="array" ref="M4605">+_xlfn.IFS((C4605&gt;='Resultats - informe'!$D$26)*(C4605&lt;='Resultats - informe'!$E$26),0,(C4605&gt;='Resultats - informe'!$D$27)*(C4605&lt;='Resultats - informe'!$E$27),0,(C4605&gt;='Resultats - informe'!$D$28)*(C4605&lt;='Resultats - informe'!$E$28),0,(C4605&gt;='Resultats - informe'!$D$29)*(C4605&lt;='Resultats - informe'!$E$29),0,1,1)</f>
        <v>0</v>
      </c>
      <c r="N4605" s="366">
        <f>+VLOOKUP(D4605,'Resultats - informe'!$Y$18:$AG$42,'Introducció dades consum'!K4605+1,0)</f>
        <v>0</v>
      </c>
      <c r="O4605" s="370" cm="1">
        <f t="array" ref="O4605">+_xlfn.SWITCH(MONTH(C4605),1,1,2,1,3,1,4,2,5,2,6,3,7,3,8,3,9,3,10,2,11,2,12,1,2)</f>
        <v>1</v>
      </c>
      <c r="P4605" s="43"/>
    </row>
    <row r="4606" spans="1:16" ht="18" x14ac:dyDescent="0.35">
      <c r="A4606" s="43"/>
      <c r="C4606" s="393"/>
      <c r="E4606" s="394"/>
      <c r="F4606" s="394">
        <v>0</v>
      </c>
      <c r="G4606" s="394"/>
      <c r="H4606" s="8" t="s">
        <v>235</v>
      </c>
      <c r="I4606" s="368">
        <f t="shared" si="214"/>
        <v>0</v>
      </c>
      <c r="J4606" s="365">
        <f t="shared" si="216"/>
        <v>0</v>
      </c>
      <c r="K4606" s="369">
        <f t="shared" si="215"/>
        <v>6</v>
      </c>
      <c r="L4606" s="369">
        <f>+IF((C4606&gt;='Resultats - informe'!$E$16)*(C4606&lt;='Resultats - informe'!$G$16),1,0)</f>
        <v>1</v>
      </c>
      <c r="M4606" s="369" cm="1">
        <f t="array" ref="M4606">+_xlfn.IFS((C4606&gt;='Resultats - informe'!$D$26)*(C4606&lt;='Resultats - informe'!$E$26),0,(C4606&gt;='Resultats - informe'!$D$27)*(C4606&lt;='Resultats - informe'!$E$27),0,(C4606&gt;='Resultats - informe'!$D$28)*(C4606&lt;='Resultats - informe'!$E$28),0,(C4606&gt;='Resultats - informe'!$D$29)*(C4606&lt;='Resultats - informe'!$E$29),0,1,1)</f>
        <v>0</v>
      </c>
      <c r="N4606" s="366">
        <f>+VLOOKUP(D4606,'Resultats - informe'!$Y$18:$AG$42,'Introducció dades consum'!K4606+1,0)</f>
        <v>0</v>
      </c>
      <c r="O4606" s="370" cm="1">
        <f t="array" ref="O4606">+_xlfn.SWITCH(MONTH(C4606),1,1,2,1,3,1,4,2,5,2,6,3,7,3,8,3,9,3,10,2,11,2,12,1,2)</f>
        <v>1</v>
      </c>
      <c r="P4606" s="43"/>
    </row>
    <row r="4607" spans="1:16" ht="18" x14ac:dyDescent="0.35">
      <c r="A4607" s="43"/>
      <c r="C4607" s="393"/>
      <c r="E4607" s="394"/>
      <c r="F4607" s="394">
        <v>0</v>
      </c>
      <c r="G4607" s="394"/>
      <c r="H4607" s="8" t="s">
        <v>235</v>
      </c>
      <c r="I4607" s="368">
        <f t="shared" si="214"/>
        <v>0</v>
      </c>
      <c r="J4607" s="365">
        <f t="shared" si="216"/>
        <v>0</v>
      </c>
      <c r="K4607" s="369">
        <f t="shared" si="215"/>
        <v>6</v>
      </c>
      <c r="L4607" s="369">
        <f>+IF((C4607&gt;='Resultats - informe'!$E$16)*(C4607&lt;='Resultats - informe'!$G$16),1,0)</f>
        <v>1</v>
      </c>
      <c r="M4607" s="369" cm="1">
        <f t="array" ref="M4607">+_xlfn.IFS((C4607&gt;='Resultats - informe'!$D$26)*(C4607&lt;='Resultats - informe'!$E$26),0,(C4607&gt;='Resultats - informe'!$D$27)*(C4607&lt;='Resultats - informe'!$E$27),0,(C4607&gt;='Resultats - informe'!$D$28)*(C4607&lt;='Resultats - informe'!$E$28),0,(C4607&gt;='Resultats - informe'!$D$29)*(C4607&lt;='Resultats - informe'!$E$29),0,1,1)</f>
        <v>0</v>
      </c>
      <c r="N4607" s="366">
        <f>+VLOOKUP(D4607,'Resultats - informe'!$Y$18:$AG$42,'Introducció dades consum'!K4607+1,0)</f>
        <v>0</v>
      </c>
      <c r="O4607" s="370" cm="1">
        <f t="array" ref="O4607">+_xlfn.SWITCH(MONTH(C4607),1,1,2,1,3,1,4,2,5,2,6,3,7,3,8,3,9,3,10,2,11,2,12,1,2)</f>
        <v>1</v>
      </c>
      <c r="P4607" s="43"/>
    </row>
    <row r="4608" spans="1:16" ht="18" x14ac:dyDescent="0.35">
      <c r="A4608" s="43"/>
      <c r="C4608" s="393"/>
      <c r="E4608" s="394"/>
      <c r="F4608" s="394">
        <v>0</v>
      </c>
      <c r="G4608" s="394"/>
      <c r="H4608" s="8" t="s">
        <v>235</v>
      </c>
      <c r="I4608" s="368">
        <f t="shared" si="214"/>
        <v>0</v>
      </c>
      <c r="J4608" s="365">
        <f t="shared" si="216"/>
        <v>0</v>
      </c>
      <c r="K4608" s="369">
        <f t="shared" si="215"/>
        <v>6</v>
      </c>
      <c r="L4608" s="369">
        <f>+IF((C4608&gt;='Resultats - informe'!$E$16)*(C4608&lt;='Resultats - informe'!$G$16),1,0)</f>
        <v>1</v>
      </c>
      <c r="M4608" s="369" cm="1">
        <f t="array" ref="M4608">+_xlfn.IFS((C4608&gt;='Resultats - informe'!$D$26)*(C4608&lt;='Resultats - informe'!$E$26),0,(C4608&gt;='Resultats - informe'!$D$27)*(C4608&lt;='Resultats - informe'!$E$27),0,(C4608&gt;='Resultats - informe'!$D$28)*(C4608&lt;='Resultats - informe'!$E$28),0,(C4608&gt;='Resultats - informe'!$D$29)*(C4608&lt;='Resultats - informe'!$E$29),0,1,1)</f>
        <v>0</v>
      </c>
      <c r="N4608" s="366">
        <f>+VLOOKUP(D4608,'Resultats - informe'!$Y$18:$AG$42,'Introducció dades consum'!K4608+1,0)</f>
        <v>0</v>
      </c>
      <c r="O4608" s="370" cm="1">
        <f t="array" ref="O4608">+_xlfn.SWITCH(MONTH(C4608),1,1,2,1,3,1,4,2,5,2,6,3,7,3,8,3,9,3,10,2,11,2,12,1,2)</f>
        <v>1</v>
      </c>
      <c r="P4608" s="43"/>
    </row>
    <row r="4609" spans="1:16" ht="18" x14ac:dyDescent="0.35">
      <c r="A4609" s="43"/>
      <c r="C4609" s="393"/>
      <c r="E4609" s="394"/>
      <c r="F4609" s="394">
        <v>0</v>
      </c>
      <c r="G4609" s="394"/>
      <c r="H4609" s="8" t="s">
        <v>235</v>
      </c>
      <c r="I4609" s="368">
        <f t="shared" si="214"/>
        <v>0</v>
      </c>
      <c r="J4609" s="365">
        <f t="shared" si="216"/>
        <v>0</v>
      </c>
      <c r="K4609" s="369">
        <f t="shared" si="215"/>
        <v>6</v>
      </c>
      <c r="L4609" s="369">
        <f>+IF((C4609&gt;='Resultats - informe'!$E$16)*(C4609&lt;='Resultats - informe'!$G$16),1,0)</f>
        <v>1</v>
      </c>
      <c r="M4609" s="369" cm="1">
        <f t="array" ref="M4609">+_xlfn.IFS((C4609&gt;='Resultats - informe'!$D$26)*(C4609&lt;='Resultats - informe'!$E$26),0,(C4609&gt;='Resultats - informe'!$D$27)*(C4609&lt;='Resultats - informe'!$E$27),0,(C4609&gt;='Resultats - informe'!$D$28)*(C4609&lt;='Resultats - informe'!$E$28),0,(C4609&gt;='Resultats - informe'!$D$29)*(C4609&lt;='Resultats - informe'!$E$29),0,1,1)</f>
        <v>0</v>
      </c>
      <c r="N4609" s="366">
        <f>+VLOOKUP(D4609,'Resultats - informe'!$Y$18:$AG$42,'Introducció dades consum'!K4609+1,0)</f>
        <v>0</v>
      </c>
      <c r="O4609" s="370" cm="1">
        <f t="array" ref="O4609">+_xlfn.SWITCH(MONTH(C4609),1,1,2,1,3,1,4,2,5,2,6,3,7,3,8,3,9,3,10,2,11,2,12,1,2)</f>
        <v>1</v>
      </c>
      <c r="P4609" s="43"/>
    </row>
    <row r="4610" spans="1:16" ht="18" x14ac:dyDescent="0.35">
      <c r="A4610" s="43"/>
      <c r="C4610" s="393"/>
      <c r="E4610" s="394"/>
      <c r="F4610" s="394">
        <v>0</v>
      </c>
      <c r="G4610" s="394"/>
      <c r="H4610" s="8" t="s">
        <v>235</v>
      </c>
      <c r="I4610" s="368">
        <f t="shared" si="214"/>
        <v>0</v>
      </c>
      <c r="J4610" s="365">
        <f t="shared" si="216"/>
        <v>0</v>
      </c>
      <c r="K4610" s="369">
        <f t="shared" si="215"/>
        <v>6</v>
      </c>
      <c r="L4610" s="369">
        <f>+IF((C4610&gt;='Resultats - informe'!$E$16)*(C4610&lt;='Resultats - informe'!$G$16),1,0)</f>
        <v>1</v>
      </c>
      <c r="M4610" s="369" cm="1">
        <f t="array" ref="M4610">+_xlfn.IFS((C4610&gt;='Resultats - informe'!$D$26)*(C4610&lt;='Resultats - informe'!$E$26),0,(C4610&gt;='Resultats - informe'!$D$27)*(C4610&lt;='Resultats - informe'!$E$27),0,(C4610&gt;='Resultats - informe'!$D$28)*(C4610&lt;='Resultats - informe'!$E$28),0,(C4610&gt;='Resultats - informe'!$D$29)*(C4610&lt;='Resultats - informe'!$E$29),0,1,1)</f>
        <v>0</v>
      </c>
      <c r="N4610" s="366">
        <f>+VLOOKUP(D4610,'Resultats - informe'!$Y$18:$AG$42,'Introducció dades consum'!K4610+1,0)</f>
        <v>0</v>
      </c>
      <c r="O4610" s="370" cm="1">
        <f t="array" ref="O4610">+_xlfn.SWITCH(MONTH(C4610),1,1,2,1,3,1,4,2,5,2,6,3,7,3,8,3,9,3,10,2,11,2,12,1,2)</f>
        <v>1</v>
      </c>
      <c r="P4610" s="43"/>
    </row>
    <row r="4611" spans="1:16" ht="18" x14ac:dyDescent="0.35">
      <c r="A4611" s="43"/>
      <c r="C4611" s="393"/>
      <c r="E4611" s="394"/>
      <c r="F4611" s="394">
        <v>0</v>
      </c>
      <c r="G4611" s="394"/>
      <c r="H4611" s="8" t="s">
        <v>235</v>
      </c>
      <c r="I4611" s="368">
        <f t="shared" si="214"/>
        <v>0</v>
      </c>
      <c r="J4611" s="365">
        <f t="shared" si="216"/>
        <v>0</v>
      </c>
      <c r="K4611" s="369">
        <f t="shared" si="215"/>
        <v>6</v>
      </c>
      <c r="L4611" s="369">
        <f>+IF((C4611&gt;='Resultats - informe'!$E$16)*(C4611&lt;='Resultats - informe'!$G$16),1,0)</f>
        <v>1</v>
      </c>
      <c r="M4611" s="369" cm="1">
        <f t="array" ref="M4611">+_xlfn.IFS((C4611&gt;='Resultats - informe'!$D$26)*(C4611&lt;='Resultats - informe'!$E$26),0,(C4611&gt;='Resultats - informe'!$D$27)*(C4611&lt;='Resultats - informe'!$E$27),0,(C4611&gt;='Resultats - informe'!$D$28)*(C4611&lt;='Resultats - informe'!$E$28),0,(C4611&gt;='Resultats - informe'!$D$29)*(C4611&lt;='Resultats - informe'!$E$29),0,1,1)</f>
        <v>0</v>
      </c>
      <c r="N4611" s="366">
        <f>+VLOOKUP(D4611,'Resultats - informe'!$Y$18:$AG$42,'Introducció dades consum'!K4611+1,0)</f>
        <v>0</v>
      </c>
      <c r="O4611" s="370" cm="1">
        <f t="array" ref="O4611">+_xlfn.SWITCH(MONTH(C4611),1,1,2,1,3,1,4,2,5,2,6,3,7,3,8,3,9,3,10,2,11,2,12,1,2)</f>
        <v>1</v>
      </c>
      <c r="P4611" s="43"/>
    </row>
    <row r="4612" spans="1:16" ht="18" x14ac:dyDescent="0.35">
      <c r="A4612" s="43"/>
      <c r="C4612" s="393"/>
      <c r="E4612" s="394"/>
      <c r="F4612" s="394">
        <v>0</v>
      </c>
      <c r="G4612" s="394"/>
      <c r="H4612" s="8" t="s">
        <v>235</v>
      </c>
      <c r="I4612" s="368">
        <f t="shared" si="214"/>
        <v>0</v>
      </c>
      <c r="J4612" s="365">
        <f t="shared" si="216"/>
        <v>0</v>
      </c>
      <c r="K4612" s="369">
        <f t="shared" si="215"/>
        <v>6</v>
      </c>
      <c r="L4612" s="369">
        <f>+IF((C4612&gt;='Resultats - informe'!$E$16)*(C4612&lt;='Resultats - informe'!$G$16),1,0)</f>
        <v>1</v>
      </c>
      <c r="M4612" s="369" cm="1">
        <f t="array" ref="M4612">+_xlfn.IFS((C4612&gt;='Resultats - informe'!$D$26)*(C4612&lt;='Resultats - informe'!$E$26),0,(C4612&gt;='Resultats - informe'!$D$27)*(C4612&lt;='Resultats - informe'!$E$27),0,(C4612&gt;='Resultats - informe'!$D$28)*(C4612&lt;='Resultats - informe'!$E$28),0,(C4612&gt;='Resultats - informe'!$D$29)*(C4612&lt;='Resultats - informe'!$E$29),0,1,1)</f>
        <v>0</v>
      </c>
      <c r="N4612" s="366">
        <f>+VLOOKUP(D4612,'Resultats - informe'!$Y$18:$AG$42,'Introducció dades consum'!K4612+1,0)</f>
        <v>0</v>
      </c>
      <c r="O4612" s="370" cm="1">
        <f t="array" ref="O4612">+_xlfn.SWITCH(MONTH(C4612),1,1,2,1,3,1,4,2,5,2,6,3,7,3,8,3,9,3,10,2,11,2,12,1,2)</f>
        <v>1</v>
      </c>
      <c r="P4612" s="43"/>
    </row>
    <row r="4613" spans="1:16" ht="18" x14ac:dyDescent="0.35">
      <c r="A4613" s="43"/>
      <c r="C4613" s="393"/>
      <c r="E4613" s="394"/>
      <c r="F4613" s="394">
        <v>0</v>
      </c>
      <c r="G4613" s="394"/>
      <c r="H4613" s="8" t="s">
        <v>235</v>
      </c>
      <c r="I4613" s="368">
        <f t="shared" si="214"/>
        <v>0</v>
      </c>
      <c r="J4613" s="365">
        <f t="shared" si="216"/>
        <v>0</v>
      </c>
      <c r="K4613" s="369">
        <f t="shared" si="215"/>
        <v>6</v>
      </c>
      <c r="L4613" s="369">
        <f>+IF((C4613&gt;='Resultats - informe'!$E$16)*(C4613&lt;='Resultats - informe'!$G$16),1,0)</f>
        <v>1</v>
      </c>
      <c r="M4613" s="369" cm="1">
        <f t="array" ref="M4613">+_xlfn.IFS((C4613&gt;='Resultats - informe'!$D$26)*(C4613&lt;='Resultats - informe'!$E$26),0,(C4613&gt;='Resultats - informe'!$D$27)*(C4613&lt;='Resultats - informe'!$E$27),0,(C4613&gt;='Resultats - informe'!$D$28)*(C4613&lt;='Resultats - informe'!$E$28),0,(C4613&gt;='Resultats - informe'!$D$29)*(C4613&lt;='Resultats - informe'!$E$29),0,1,1)</f>
        <v>0</v>
      </c>
      <c r="N4613" s="366">
        <f>+VLOOKUP(D4613,'Resultats - informe'!$Y$18:$AG$42,'Introducció dades consum'!K4613+1,0)</f>
        <v>0</v>
      </c>
      <c r="O4613" s="370" cm="1">
        <f t="array" ref="O4613">+_xlfn.SWITCH(MONTH(C4613),1,1,2,1,3,1,4,2,5,2,6,3,7,3,8,3,9,3,10,2,11,2,12,1,2)</f>
        <v>1</v>
      </c>
      <c r="P4613" s="43"/>
    </row>
    <row r="4614" spans="1:16" ht="18" x14ac:dyDescent="0.35">
      <c r="A4614" s="43"/>
      <c r="C4614" s="393"/>
      <c r="E4614" s="394"/>
      <c r="F4614" s="394">
        <v>0</v>
      </c>
      <c r="G4614" s="394"/>
      <c r="H4614" s="8" t="s">
        <v>235</v>
      </c>
      <c r="I4614" s="368">
        <f t="shared" ref="I4614:I4677" si="217">+E4614+G4614</f>
        <v>0</v>
      </c>
      <c r="J4614" s="365">
        <f t="shared" si="216"/>
        <v>0</v>
      </c>
      <c r="K4614" s="369">
        <f t="shared" ref="K4614:K4677" si="218">+WEEKDAY(C4614,2)</f>
        <v>6</v>
      </c>
      <c r="L4614" s="369">
        <f>+IF((C4614&gt;='Resultats - informe'!$E$16)*(C4614&lt;='Resultats - informe'!$G$16),1,0)</f>
        <v>1</v>
      </c>
      <c r="M4614" s="369" cm="1">
        <f t="array" ref="M4614">+_xlfn.IFS((C4614&gt;='Resultats - informe'!$D$26)*(C4614&lt;='Resultats - informe'!$E$26),0,(C4614&gt;='Resultats - informe'!$D$27)*(C4614&lt;='Resultats - informe'!$E$27),0,(C4614&gt;='Resultats - informe'!$D$28)*(C4614&lt;='Resultats - informe'!$E$28),0,(C4614&gt;='Resultats - informe'!$D$29)*(C4614&lt;='Resultats - informe'!$E$29),0,1,1)</f>
        <v>0</v>
      </c>
      <c r="N4614" s="366">
        <f>+VLOOKUP(D4614,'Resultats - informe'!$Y$18:$AG$42,'Introducció dades consum'!K4614+1,0)</f>
        <v>0</v>
      </c>
      <c r="O4614" s="370" cm="1">
        <f t="array" ref="O4614">+_xlfn.SWITCH(MONTH(C4614),1,1,2,1,3,1,4,2,5,2,6,3,7,3,8,3,9,3,10,2,11,2,12,1,2)</f>
        <v>1</v>
      </c>
      <c r="P4614" s="43"/>
    </row>
    <row r="4615" spans="1:16" ht="18" x14ac:dyDescent="0.35">
      <c r="A4615" s="43"/>
      <c r="C4615" s="393"/>
      <c r="E4615" s="394"/>
      <c r="F4615" s="394">
        <v>0</v>
      </c>
      <c r="G4615" s="394"/>
      <c r="H4615" s="8" t="s">
        <v>235</v>
      </c>
      <c r="I4615" s="368">
        <f t="shared" si="217"/>
        <v>0</v>
      </c>
      <c r="J4615" s="365">
        <f t="shared" si="216"/>
        <v>0</v>
      </c>
      <c r="K4615" s="369">
        <f t="shared" si="218"/>
        <v>6</v>
      </c>
      <c r="L4615" s="369">
        <f>+IF((C4615&gt;='Resultats - informe'!$E$16)*(C4615&lt;='Resultats - informe'!$G$16),1,0)</f>
        <v>1</v>
      </c>
      <c r="M4615" s="369" cm="1">
        <f t="array" ref="M4615">+_xlfn.IFS((C4615&gt;='Resultats - informe'!$D$26)*(C4615&lt;='Resultats - informe'!$E$26),0,(C4615&gt;='Resultats - informe'!$D$27)*(C4615&lt;='Resultats - informe'!$E$27),0,(C4615&gt;='Resultats - informe'!$D$28)*(C4615&lt;='Resultats - informe'!$E$28),0,(C4615&gt;='Resultats - informe'!$D$29)*(C4615&lt;='Resultats - informe'!$E$29),0,1,1)</f>
        <v>0</v>
      </c>
      <c r="N4615" s="366">
        <f>+VLOOKUP(D4615,'Resultats - informe'!$Y$18:$AG$42,'Introducció dades consum'!K4615+1,0)</f>
        <v>0</v>
      </c>
      <c r="O4615" s="370" cm="1">
        <f t="array" ref="O4615">+_xlfn.SWITCH(MONTH(C4615),1,1,2,1,3,1,4,2,5,2,6,3,7,3,8,3,9,3,10,2,11,2,12,1,2)</f>
        <v>1</v>
      </c>
      <c r="P4615" s="43"/>
    </row>
    <row r="4616" spans="1:16" ht="18" x14ac:dyDescent="0.35">
      <c r="A4616" s="43"/>
      <c r="C4616" s="393"/>
      <c r="E4616" s="394"/>
      <c r="F4616" s="394">
        <v>0</v>
      </c>
      <c r="G4616" s="394"/>
      <c r="H4616" s="8" t="s">
        <v>235</v>
      </c>
      <c r="I4616" s="368">
        <f t="shared" si="217"/>
        <v>0</v>
      </c>
      <c r="J4616" s="365">
        <f t="shared" si="216"/>
        <v>0</v>
      </c>
      <c r="K4616" s="369">
        <f t="shared" si="218"/>
        <v>6</v>
      </c>
      <c r="L4616" s="369">
        <f>+IF((C4616&gt;='Resultats - informe'!$E$16)*(C4616&lt;='Resultats - informe'!$G$16),1,0)</f>
        <v>1</v>
      </c>
      <c r="M4616" s="369" cm="1">
        <f t="array" ref="M4616">+_xlfn.IFS((C4616&gt;='Resultats - informe'!$D$26)*(C4616&lt;='Resultats - informe'!$E$26),0,(C4616&gt;='Resultats - informe'!$D$27)*(C4616&lt;='Resultats - informe'!$E$27),0,(C4616&gt;='Resultats - informe'!$D$28)*(C4616&lt;='Resultats - informe'!$E$28),0,(C4616&gt;='Resultats - informe'!$D$29)*(C4616&lt;='Resultats - informe'!$E$29),0,1,1)</f>
        <v>0</v>
      </c>
      <c r="N4616" s="366">
        <f>+VLOOKUP(D4616,'Resultats - informe'!$Y$18:$AG$42,'Introducció dades consum'!K4616+1,0)</f>
        <v>0</v>
      </c>
      <c r="O4616" s="370" cm="1">
        <f t="array" ref="O4616">+_xlfn.SWITCH(MONTH(C4616),1,1,2,1,3,1,4,2,5,2,6,3,7,3,8,3,9,3,10,2,11,2,12,1,2)</f>
        <v>1</v>
      </c>
      <c r="P4616" s="43"/>
    </row>
    <row r="4617" spans="1:16" ht="18" x14ac:dyDescent="0.35">
      <c r="A4617" s="43"/>
      <c r="C4617" s="393"/>
      <c r="E4617" s="394"/>
      <c r="F4617" s="394">
        <v>0</v>
      </c>
      <c r="G4617" s="394"/>
      <c r="H4617" s="8" t="s">
        <v>235</v>
      </c>
      <c r="I4617" s="368">
        <f t="shared" si="217"/>
        <v>0</v>
      </c>
      <c r="J4617" s="365">
        <f t="shared" si="216"/>
        <v>0</v>
      </c>
      <c r="K4617" s="369">
        <f t="shared" si="218"/>
        <v>6</v>
      </c>
      <c r="L4617" s="369">
        <f>+IF((C4617&gt;='Resultats - informe'!$E$16)*(C4617&lt;='Resultats - informe'!$G$16),1,0)</f>
        <v>1</v>
      </c>
      <c r="M4617" s="369" cm="1">
        <f t="array" ref="M4617">+_xlfn.IFS((C4617&gt;='Resultats - informe'!$D$26)*(C4617&lt;='Resultats - informe'!$E$26),0,(C4617&gt;='Resultats - informe'!$D$27)*(C4617&lt;='Resultats - informe'!$E$27),0,(C4617&gt;='Resultats - informe'!$D$28)*(C4617&lt;='Resultats - informe'!$E$28),0,(C4617&gt;='Resultats - informe'!$D$29)*(C4617&lt;='Resultats - informe'!$E$29),0,1,1)</f>
        <v>0</v>
      </c>
      <c r="N4617" s="366">
        <f>+VLOOKUP(D4617,'Resultats - informe'!$Y$18:$AG$42,'Introducció dades consum'!K4617+1,0)</f>
        <v>0</v>
      </c>
      <c r="O4617" s="370" cm="1">
        <f t="array" ref="O4617">+_xlfn.SWITCH(MONTH(C4617),1,1,2,1,3,1,4,2,5,2,6,3,7,3,8,3,9,3,10,2,11,2,12,1,2)</f>
        <v>1</v>
      </c>
      <c r="P4617" s="43"/>
    </row>
    <row r="4618" spans="1:16" ht="18" x14ac:dyDescent="0.35">
      <c r="A4618" s="43"/>
      <c r="C4618" s="393"/>
      <c r="E4618" s="394"/>
      <c r="F4618" s="394">
        <v>0</v>
      </c>
      <c r="G4618" s="394"/>
      <c r="H4618" s="8" t="s">
        <v>235</v>
      </c>
      <c r="I4618" s="368">
        <f t="shared" si="217"/>
        <v>0</v>
      </c>
      <c r="J4618" s="365">
        <f t="shared" si="216"/>
        <v>0</v>
      </c>
      <c r="K4618" s="369">
        <f t="shared" si="218"/>
        <v>6</v>
      </c>
      <c r="L4618" s="369">
        <f>+IF((C4618&gt;='Resultats - informe'!$E$16)*(C4618&lt;='Resultats - informe'!$G$16),1,0)</f>
        <v>1</v>
      </c>
      <c r="M4618" s="369" cm="1">
        <f t="array" ref="M4618">+_xlfn.IFS((C4618&gt;='Resultats - informe'!$D$26)*(C4618&lt;='Resultats - informe'!$E$26),0,(C4618&gt;='Resultats - informe'!$D$27)*(C4618&lt;='Resultats - informe'!$E$27),0,(C4618&gt;='Resultats - informe'!$D$28)*(C4618&lt;='Resultats - informe'!$E$28),0,(C4618&gt;='Resultats - informe'!$D$29)*(C4618&lt;='Resultats - informe'!$E$29),0,1,1)</f>
        <v>0</v>
      </c>
      <c r="N4618" s="366">
        <f>+VLOOKUP(D4618,'Resultats - informe'!$Y$18:$AG$42,'Introducció dades consum'!K4618+1,0)</f>
        <v>0</v>
      </c>
      <c r="O4618" s="370" cm="1">
        <f t="array" ref="O4618">+_xlfn.SWITCH(MONTH(C4618),1,1,2,1,3,1,4,2,5,2,6,3,7,3,8,3,9,3,10,2,11,2,12,1,2)</f>
        <v>1</v>
      </c>
      <c r="P4618" s="43"/>
    </row>
    <row r="4619" spans="1:16" ht="18" x14ac:dyDescent="0.35">
      <c r="A4619" s="43"/>
      <c r="C4619" s="393"/>
      <c r="E4619" s="394"/>
      <c r="F4619" s="394">
        <v>0</v>
      </c>
      <c r="G4619" s="394"/>
      <c r="H4619" s="8" t="s">
        <v>235</v>
      </c>
      <c r="I4619" s="368">
        <f t="shared" si="217"/>
        <v>0</v>
      </c>
      <c r="J4619" s="365">
        <f t="shared" si="216"/>
        <v>0</v>
      </c>
      <c r="K4619" s="369">
        <f t="shared" si="218"/>
        <v>6</v>
      </c>
      <c r="L4619" s="369">
        <f>+IF((C4619&gt;='Resultats - informe'!$E$16)*(C4619&lt;='Resultats - informe'!$G$16),1,0)</f>
        <v>1</v>
      </c>
      <c r="M4619" s="369" cm="1">
        <f t="array" ref="M4619">+_xlfn.IFS((C4619&gt;='Resultats - informe'!$D$26)*(C4619&lt;='Resultats - informe'!$E$26),0,(C4619&gt;='Resultats - informe'!$D$27)*(C4619&lt;='Resultats - informe'!$E$27),0,(C4619&gt;='Resultats - informe'!$D$28)*(C4619&lt;='Resultats - informe'!$E$28),0,(C4619&gt;='Resultats - informe'!$D$29)*(C4619&lt;='Resultats - informe'!$E$29),0,1,1)</f>
        <v>0</v>
      </c>
      <c r="N4619" s="366">
        <f>+VLOOKUP(D4619,'Resultats - informe'!$Y$18:$AG$42,'Introducció dades consum'!K4619+1,0)</f>
        <v>0</v>
      </c>
      <c r="O4619" s="370" cm="1">
        <f t="array" ref="O4619">+_xlfn.SWITCH(MONTH(C4619),1,1,2,1,3,1,4,2,5,2,6,3,7,3,8,3,9,3,10,2,11,2,12,1,2)</f>
        <v>1</v>
      </c>
      <c r="P4619" s="43"/>
    </row>
    <row r="4620" spans="1:16" ht="18" x14ac:dyDescent="0.35">
      <c r="A4620" s="43"/>
      <c r="C4620" s="393"/>
      <c r="E4620" s="394"/>
      <c r="F4620" s="394">
        <v>0.504</v>
      </c>
      <c r="G4620" s="394"/>
      <c r="H4620" s="8" t="s">
        <v>235</v>
      </c>
      <c r="I4620" s="368">
        <f t="shared" si="217"/>
        <v>0</v>
      </c>
      <c r="J4620" s="365">
        <f t="shared" si="216"/>
        <v>0</v>
      </c>
      <c r="K4620" s="369">
        <f t="shared" si="218"/>
        <v>6</v>
      </c>
      <c r="L4620" s="369">
        <f>+IF((C4620&gt;='Resultats - informe'!$E$16)*(C4620&lt;='Resultats - informe'!$G$16),1,0)</f>
        <v>1</v>
      </c>
      <c r="M4620" s="369" cm="1">
        <f t="array" ref="M4620">+_xlfn.IFS((C4620&gt;='Resultats - informe'!$D$26)*(C4620&lt;='Resultats - informe'!$E$26),0,(C4620&gt;='Resultats - informe'!$D$27)*(C4620&lt;='Resultats - informe'!$E$27),0,(C4620&gt;='Resultats - informe'!$D$28)*(C4620&lt;='Resultats - informe'!$E$28),0,(C4620&gt;='Resultats - informe'!$D$29)*(C4620&lt;='Resultats - informe'!$E$29),0,1,1)</f>
        <v>0</v>
      </c>
      <c r="N4620" s="366">
        <f>+VLOOKUP(D4620,'Resultats - informe'!$Y$18:$AG$42,'Introducció dades consum'!K4620+1,0)</f>
        <v>0</v>
      </c>
      <c r="O4620" s="370" cm="1">
        <f t="array" ref="O4620">+_xlfn.SWITCH(MONTH(C4620),1,1,2,1,3,1,4,2,5,2,6,3,7,3,8,3,9,3,10,2,11,2,12,1,2)</f>
        <v>1</v>
      </c>
      <c r="P4620" s="43"/>
    </row>
    <row r="4621" spans="1:16" ht="18" x14ac:dyDescent="0.35">
      <c r="A4621" s="43"/>
      <c r="C4621" s="393"/>
      <c r="E4621" s="394"/>
      <c r="F4621" s="394">
        <v>0.94299999999999995</v>
      </c>
      <c r="G4621" s="394"/>
      <c r="H4621" s="8" t="s">
        <v>235</v>
      </c>
      <c r="I4621" s="368">
        <f t="shared" si="217"/>
        <v>0</v>
      </c>
      <c r="J4621" s="365">
        <f t="shared" si="216"/>
        <v>0</v>
      </c>
      <c r="K4621" s="369">
        <f t="shared" si="218"/>
        <v>6</v>
      </c>
      <c r="L4621" s="369">
        <f>+IF((C4621&gt;='Resultats - informe'!$E$16)*(C4621&lt;='Resultats - informe'!$G$16),1,0)</f>
        <v>1</v>
      </c>
      <c r="M4621" s="369" cm="1">
        <f t="array" ref="M4621">+_xlfn.IFS((C4621&gt;='Resultats - informe'!$D$26)*(C4621&lt;='Resultats - informe'!$E$26),0,(C4621&gt;='Resultats - informe'!$D$27)*(C4621&lt;='Resultats - informe'!$E$27),0,(C4621&gt;='Resultats - informe'!$D$28)*(C4621&lt;='Resultats - informe'!$E$28),0,(C4621&gt;='Resultats - informe'!$D$29)*(C4621&lt;='Resultats - informe'!$E$29),0,1,1)</f>
        <v>0</v>
      </c>
      <c r="N4621" s="366">
        <f>+VLOOKUP(D4621,'Resultats - informe'!$Y$18:$AG$42,'Introducció dades consum'!K4621+1,0)</f>
        <v>0</v>
      </c>
      <c r="O4621" s="370" cm="1">
        <f t="array" ref="O4621">+_xlfn.SWITCH(MONTH(C4621),1,1,2,1,3,1,4,2,5,2,6,3,7,3,8,3,9,3,10,2,11,2,12,1,2)</f>
        <v>1</v>
      </c>
      <c r="P4621" s="43"/>
    </row>
    <row r="4622" spans="1:16" ht="18" x14ac:dyDescent="0.35">
      <c r="A4622" s="43"/>
      <c r="C4622" s="393"/>
      <c r="E4622" s="394"/>
      <c r="F4622" s="394">
        <v>0.96899999999999997</v>
      </c>
      <c r="G4622" s="394"/>
      <c r="H4622" s="8" t="s">
        <v>235</v>
      </c>
      <c r="I4622" s="368">
        <f t="shared" si="217"/>
        <v>0</v>
      </c>
      <c r="J4622" s="365">
        <f t="shared" si="216"/>
        <v>0</v>
      </c>
      <c r="K4622" s="369">
        <f t="shared" si="218"/>
        <v>6</v>
      </c>
      <c r="L4622" s="369">
        <f>+IF((C4622&gt;='Resultats - informe'!$E$16)*(C4622&lt;='Resultats - informe'!$G$16),1,0)</f>
        <v>1</v>
      </c>
      <c r="M4622" s="369" cm="1">
        <f t="array" ref="M4622">+_xlfn.IFS((C4622&gt;='Resultats - informe'!$D$26)*(C4622&lt;='Resultats - informe'!$E$26),0,(C4622&gt;='Resultats - informe'!$D$27)*(C4622&lt;='Resultats - informe'!$E$27),0,(C4622&gt;='Resultats - informe'!$D$28)*(C4622&lt;='Resultats - informe'!$E$28),0,(C4622&gt;='Resultats - informe'!$D$29)*(C4622&lt;='Resultats - informe'!$E$29),0,1,1)</f>
        <v>0</v>
      </c>
      <c r="N4622" s="366">
        <f>+VLOOKUP(D4622,'Resultats - informe'!$Y$18:$AG$42,'Introducció dades consum'!K4622+1,0)</f>
        <v>0</v>
      </c>
      <c r="O4622" s="370" cm="1">
        <f t="array" ref="O4622">+_xlfn.SWITCH(MONTH(C4622),1,1,2,1,3,1,4,2,5,2,6,3,7,3,8,3,9,3,10,2,11,2,12,1,2)</f>
        <v>1</v>
      </c>
      <c r="P4622" s="43"/>
    </row>
    <row r="4623" spans="1:16" ht="18" x14ac:dyDescent="0.35">
      <c r="A4623" s="43"/>
      <c r="C4623" s="393"/>
      <c r="E4623" s="394"/>
      <c r="F4623" s="394">
        <v>3.476</v>
      </c>
      <c r="G4623" s="394"/>
      <c r="H4623" s="8" t="s">
        <v>235</v>
      </c>
      <c r="I4623" s="368">
        <f t="shared" si="217"/>
        <v>0</v>
      </c>
      <c r="J4623" s="365">
        <f t="shared" si="216"/>
        <v>0</v>
      </c>
      <c r="K4623" s="369">
        <f t="shared" si="218"/>
        <v>6</v>
      </c>
      <c r="L4623" s="369">
        <f>+IF((C4623&gt;='Resultats - informe'!$E$16)*(C4623&lt;='Resultats - informe'!$G$16),1,0)</f>
        <v>1</v>
      </c>
      <c r="M4623" s="369" cm="1">
        <f t="array" ref="M4623">+_xlfn.IFS((C4623&gt;='Resultats - informe'!$D$26)*(C4623&lt;='Resultats - informe'!$E$26),0,(C4623&gt;='Resultats - informe'!$D$27)*(C4623&lt;='Resultats - informe'!$E$27),0,(C4623&gt;='Resultats - informe'!$D$28)*(C4623&lt;='Resultats - informe'!$E$28),0,(C4623&gt;='Resultats - informe'!$D$29)*(C4623&lt;='Resultats - informe'!$E$29),0,1,1)</f>
        <v>0</v>
      </c>
      <c r="N4623" s="366">
        <f>+VLOOKUP(D4623,'Resultats - informe'!$Y$18:$AG$42,'Introducció dades consum'!K4623+1,0)</f>
        <v>0</v>
      </c>
      <c r="O4623" s="370" cm="1">
        <f t="array" ref="O4623">+_xlfn.SWITCH(MONTH(C4623),1,1,2,1,3,1,4,2,5,2,6,3,7,3,8,3,9,3,10,2,11,2,12,1,2)</f>
        <v>1</v>
      </c>
      <c r="P4623" s="43"/>
    </row>
    <row r="4624" spans="1:16" ht="18" x14ac:dyDescent="0.35">
      <c r="A4624" s="43"/>
      <c r="C4624" s="393"/>
      <c r="E4624" s="394"/>
      <c r="F4624" s="394">
        <v>1.4510000000000001</v>
      </c>
      <c r="G4624" s="394"/>
      <c r="H4624" s="8" t="s">
        <v>235</v>
      </c>
      <c r="I4624" s="368">
        <f t="shared" si="217"/>
        <v>0</v>
      </c>
      <c r="J4624" s="365">
        <f t="shared" si="216"/>
        <v>0</v>
      </c>
      <c r="K4624" s="369">
        <f t="shared" si="218"/>
        <v>6</v>
      </c>
      <c r="L4624" s="369">
        <f>+IF((C4624&gt;='Resultats - informe'!$E$16)*(C4624&lt;='Resultats - informe'!$G$16),1,0)</f>
        <v>1</v>
      </c>
      <c r="M4624" s="369" cm="1">
        <f t="array" ref="M4624">+_xlfn.IFS((C4624&gt;='Resultats - informe'!$D$26)*(C4624&lt;='Resultats - informe'!$E$26),0,(C4624&gt;='Resultats - informe'!$D$27)*(C4624&lt;='Resultats - informe'!$E$27),0,(C4624&gt;='Resultats - informe'!$D$28)*(C4624&lt;='Resultats - informe'!$E$28),0,(C4624&gt;='Resultats - informe'!$D$29)*(C4624&lt;='Resultats - informe'!$E$29),0,1,1)</f>
        <v>0</v>
      </c>
      <c r="N4624" s="366">
        <f>+VLOOKUP(D4624,'Resultats - informe'!$Y$18:$AG$42,'Introducció dades consum'!K4624+1,0)</f>
        <v>0</v>
      </c>
      <c r="O4624" s="370" cm="1">
        <f t="array" ref="O4624">+_xlfn.SWITCH(MONTH(C4624),1,1,2,1,3,1,4,2,5,2,6,3,7,3,8,3,9,3,10,2,11,2,12,1,2)</f>
        <v>1</v>
      </c>
      <c r="P4624" s="43"/>
    </row>
    <row r="4625" spans="1:16" ht="18" x14ac:dyDescent="0.35">
      <c r="A4625" s="43"/>
      <c r="C4625" s="393"/>
      <c r="E4625" s="394"/>
      <c r="F4625" s="394">
        <v>0</v>
      </c>
      <c r="G4625" s="394"/>
      <c r="H4625" s="8" t="s">
        <v>235</v>
      </c>
      <c r="I4625" s="368">
        <f t="shared" si="217"/>
        <v>0</v>
      </c>
      <c r="J4625" s="365">
        <f t="shared" si="216"/>
        <v>0</v>
      </c>
      <c r="K4625" s="369">
        <f t="shared" si="218"/>
        <v>6</v>
      </c>
      <c r="L4625" s="369">
        <f>+IF((C4625&gt;='Resultats - informe'!$E$16)*(C4625&lt;='Resultats - informe'!$G$16),1,0)</f>
        <v>1</v>
      </c>
      <c r="M4625" s="369" cm="1">
        <f t="array" ref="M4625">+_xlfn.IFS((C4625&gt;='Resultats - informe'!$D$26)*(C4625&lt;='Resultats - informe'!$E$26),0,(C4625&gt;='Resultats - informe'!$D$27)*(C4625&lt;='Resultats - informe'!$E$27),0,(C4625&gt;='Resultats - informe'!$D$28)*(C4625&lt;='Resultats - informe'!$E$28),0,(C4625&gt;='Resultats - informe'!$D$29)*(C4625&lt;='Resultats - informe'!$E$29),0,1,1)</f>
        <v>0</v>
      </c>
      <c r="N4625" s="366">
        <f>+VLOOKUP(D4625,'Resultats - informe'!$Y$18:$AG$42,'Introducció dades consum'!K4625+1,0)</f>
        <v>0</v>
      </c>
      <c r="O4625" s="370" cm="1">
        <f t="array" ref="O4625">+_xlfn.SWITCH(MONTH(C4625),1,1,2,1,3,1,4,2,5,2,6,3,7,3,8,3,9,3,10,2,11,2,12,1,2)</f>
        <v>1</v>
      </c>
      <c r="P4625" s="43"/>
    </row>
    <row r="4626" spans="1:16" ht="18" x14ac:dyDescent="0.35">
      <c r="A4626" s="43"/>
      <c r="C4626" s="393"/>
      <c r="E4626" s="394"/>
      <c r="F4626" s="394">
        <v>0</v>
      </c>
      <c r="G4626" s="394"/>
      <c r="H4626" s="8" t="s">
        <v>235</v>
      </c>
      <c r="I4626" s="368">
        <f t="shared" si="217"/>
        <v>0</v>
      </c>
      <c r="J4626" s="365">
        <f t="shared" si="216"/>
        <v>0</v>
      </c>
      <c r="K4626" s="369">
        <f t="shared" si="218"/>
        <v>6</v>
      </c>
      <c r="L4626" s="369">
        <f>+IF((C4626&gt;='Resultats - informe'!$E$16)*(C4626&lt;='Resultats - informe'!$G$16),1,0)</f>
        <v>1</v>
      </c>
      <c r="M4626" s="369" cm="1">
        <f t="array" ref="M4626">+_xlfn.IFS((C4626&gt;='Resultats - informe'!$D$26)*(C4626&lt;='Resultats - informe'!$E$26),0,(C4626&gt;='Resultats - informe'!$D$27)*(C4626&lt;='Resultats - informe'!$E$27),0,(C4626&gt;='Resultats - informe'!$D$28)*(C4626&lt;='Resultats - informe'!$E$28),0,(C4626&gt;='Resultats - informe'!$D$29)*(C4626&lt;='Resultats - informe'!$E$29),0,1,1)</f>
        <v>0</v>
      </c>
      <c r="N4626" s="366">
        <f>+VLOOKUP(D4626,'Resultats - informe'!$Y$18:$AG$42,'Introducció dades consum'!K4626+1,0)</f>
        <v>0</v>
      </c>
      <c r="O4626" s="370" cm="1">
        <f t="array" ref="O4626">+_xlfn.SWITCH(MONTH(C4626),1,1,2,1,3,1,4,2,5,2,6,3,7,3,8,3,9,3,10,2,11,2,12,1,2)</f>
        <v>1</v>
      </c>
      <c r="P4626" s="43"/>
    </row>
    <row r="4627" spans="1:16" ht="18" x14ac:dyDescent="0.35">
      <c r="A4627" s="43"/>
      <c r="C4627" s="393"/>
      <c r="E4627" s="394"/>
      <c r="F4627" s="394">
        <v>0</v>
      </c>
      <c r="G4627" s="394"/>
      <c r="H4627" s="8" t="s">
        <v>235</v>
      </c>
      <c r="I4627" s="368">
        <f t="shared" si="217"/>
        <v>0</v>
      </c>
      <c r="J4627" s="365">
        <f t="shared" si="216"/>
        <v>0</v>
      </c>
      <c r="K4627" s="369">
        <f t="shared" si="218"/>
        <v>6</v>
      </c>
      <c r="L4627" s="369">
        <f>+IF((C4627&gt;='Resultats - informe'!$E$16)*(C4627&lt;='Resultats - informe'!$G$16),1,0)</f>
        <v>1</v>
      </c>
      <c r="M4627" s="369" cm="1">
        <f t="array" ref="M4627">+_xlfn.IFS((C4627&gt;='Resultats - informe'!$D$26)*(C4627&lt;='Resultats - informe'!$E$26),0,(C4627&gt;='Resultats - informe'!$D$27)*(C4627&lt;='Resultats - informe'!$E$27),0,(C4627&gt;='Resultats - informe'!$D$28)*(C4627&lt;='Resultats - informe'!$E$28),0,(C4627&gt;='Resultats - informe'!$D$29)*(C4627&lt;='Resultats - informe'!$E$29),0,1,1)</f>
        <v>0</v>
      </c>
      <c r="N4627" s="366">
        <f>+VLOOKUP(D4627,'Resultats - informe'!$Y$18:$AG$42,'Introducció dades consum'!K4627+1,0)</f>
        <v>0</v>
      </c>
      <c r="O4627" s="370" cm="1">
        <f t="array" ref="O4627">+_xlfn.SWITCH(MONTH(C4627),1,1,2,1,3,1,4,2,5,2,6,3,7,3,8,3,9,3,10,2,11,2,12,1,2)</f>
        <v>1</v>
      </c>
      <c r="P4627" s="43"/>
    </row>
    <row r="4628" spans="1:16" ht="18" x14ac:dyDescent="0.35">
      <c r="A4628" s="43"/>
      <c r="C4628" s="393"/>
      <c r="E4628" s="394"/>
      <c r="F4628" s="394">
        <v>0</v>
      </c>
      <c r="G4628" s="394"/>
      <c r="H4628" s="8" t="s">
        <v>235</v>
      </c>
      <c r="I4628" s="368">
        <f t="shared" si="217"/>
        <v>0</v>
      </c>
      <c r="J4628" s="365">
        <f t="shared" si="216"/>
        <v>0</v>
      </c>
      <c r="K4628" s="369">
        <f t="shared" si="218"/>
        <v>6</v>
      </c>
      <c r="L4628" s="369">
        <f>+IF((C4628&gt;='Resultats - informe'!$E$16)*(C4628&lt;='Resultats - informe'!$G$16),1,0)</f>
        <v>1</v>
      </c>
      <c r="M4628" s="369" cm="1">
        <f t="array" ref="M4628">+_xlfn.IFS((C4628&gt;='Resultats - informe'!$D$26)*(C4628&lt;='Resultats - informe'!$E$26),0,(C4628&gt;='Resultats - informe'!$D$27)*(C4628&lt;='Resultats - informe'!$E$27),0,(C4628&gt;='Resultats - informe'!$D$28)*(C4628&lt;='Resultats - informe'!$E$28),0,(C4628&gt;='Resultats - informe'!$D$29)*(C4628&lt;='Resultats - informe'!$E$29),0,1,1)</f>
        <v>0</v>
      </c>
      <c r="N4628" s="366">
        <f>+VLOOKUP(D4628,'Resultats - informe'!$Y$18:$AG$42,'Introducció dades consum'!K4628+1,0)</f>
        <v>0</v>
      </c>
      <c r="O4628" s="370" cm="1">
        <f t="array" ref="O4628">+_xlfn.SWITCH(MONTH(C4628),1,1,2,1,3,1,4,2,5,2,6,3,7,3,8,3,9,3,10,2,11,2,12,1,2)</f>
        <v>1</v>
      </c>
      <c r="P4628" s="43"/>
    </row>
    <row r="4629" spans="1:16" ht="18" x14ac:dyDescent="0.35">
      <c r="A4629" s="43"/>
      <c r="C4629" s="393"/>
      <c r="E4629" s="394"/>
      <c r="F4629" s="394">
        <v>0.23300000000000001</v>
      </c>
      <c r="G4629" s="394"/>
      <c r="H4629" s="8" t="s">
        <v>235</v>
      </c>
      <c r="I4629" s="368">
        <f t="shared" si="217"/>
        <v>0</v>
      </c>
      <c r="J4629" s="365">
        <f t="shared" si="216"/>
        <v>0</v>
      </c>
      <c r="K4629" s="369">
        <f t="shared" si="218"/>
        <v>6</v>
      </c>
      <c r="L4629" s="369">
        <f>+IF((C4629&gt;='Resultats - informe'!$E$16)*(C4629&lt;='Resultats - informe'!$G$16),1,0)</f>
        <v>1</v>
      </c>
      <c r="M4629" s="369" cm="1">
        <f t="array" ref="M4629">+_xlfn.IFS((C4629&gt;='Resultats - informe'!$D$26)*(C4629&lt;='Resultats - informe'!$E$26),0,(C4629&gt;='Resultats - informe'!$D$27)*(C4629&lt;='Resultats - informe'!$E$27),0,(C4629&gt;='Resultats - informe'!$D$28)*(C4629&lt;='Resultats - informe'!$E$28),0,(C4629&gt;='Resultats - informe'!$D$29)*(C4629&lt;='Resultats - informe'!$E$29),0,1,1)</f>
        <v>0</v>
      </c>
      <c r="N4629" s="366">
        <f>+VLOOKUP(D4629,'Resultats - informe'!$Y$18:$AG$42,'Introducció dades consum'!K4629+1,0)</f>
        <v>0</v>
      </c>
      <c r="O4629" s="370" cm="1">
        <f t="array" ref="O4629">+_xlfn.SWITCH(MONTH(C4629),1,1,2,1,3,1,4,2,5,2,6,3,7,3,8,3,9,3,10,2,11,2,12,1,2)</f>
        <v>1</v>
      </c>
      <c r="P4629" s="43"/>
    </row>
    <row r="4630" spans="1:16" ht="18" x14ac:dyDescent="0.35">
      <c r="A4630" s="43"/>
      <c r="C4630" s="393"/>
      <c r="E4630" s="394"/>
      <c r="F4630" s="394">
        <v>1.0469999999999999</v>
      </c>
      <c r="G4630" s="394"/>
      <c r="H4630" s="8" t="s">
        <v>235</v>
      </c>
      <c r="I4630" s="368">
        <f t="shared" si="217"/>
        <v>0</v>
      </c>
      <c r="J4630" s="365">
        <f t="shared" si="216"/>
        <v>0</v>
      </c>
      <c r="K4630" s="369">
        <f t="shared" si="218"/>
        <v>6</v>
      </c>
      <c r="L4630" s="369">
        <f>+IF((C4630&gt;='Resultats - informe'!$E$16)*(C4630&lt;='Resultats - informe'!$G$16),1,0)</f>
        <v>1</v>
      </c>
      <c r="M4630" s="369" cm="1">
        <f t="array" ref="M4630">+_xlfn.IFS((C4630&gt;='Resultats - informe'!$D$26)*(C4630&lt;='Resultats - informe'!$E$26),0,(C4630&gt;='Resultats - informe'!$D$27)*(C4630&lt;='Resultats - informe'!$E$27),0,(C4630&gt;='Resultats - informe'!$D$28)*(C4630&lt;='Resultats - informe'!$E$28),0,(C4630&gt;='Resultats - informe'!$D$29)*(C4630&lt;='Resultats - informe'!$E$29),0,1,1)</f>
        <v>0</v>
      </c>
      <c r="N4630" s="366">
        <f>+VLOOKUP(D4630,'Resultats - informe'!$Y$18:$AG$42,'Introducció dades consum'!K4630+1,0)</f>
        <v>0</v>
      </c>
      <c r="O4630" s="370" cm="1">
        <f t="array" ref="O4630">+_xlfn.SWITCH(MONTH(C4630),1,1,2,1,3,1,4,2,5,2,6,3,7,3,8,3,9,3,10,2,11,2,12,1,2)</f>
        <v>1</v>
      </c>
      <c r="P4630" s="43"/>
    </row>
    <row r="4631" spans="1:16" ht="18" x14ac:dyDescent="0.35">
      <c r="A4631" s="43"/>
      <c r="C4631" s="393"/>
      <c r="E4631" s="394"/>
      <c r="F4631" s="394">
        <v>0.43</v>
      </c>
      <c r="G4631" s="394"/>
      <c r="H4631" s="8" t="s">
        <v>235</v>
      </c>
      <c r="I4631" s="368">
        <f t="shared" si="217"/>
        <v>0</v>
      </c>
      <c r="J4631" s="365">
        <f t="shared" si="216"/>
        <v>0</v>
      </c>
      <c r="K4631" s="369">
        <f t="shared" si="218"/>
        <v>6</v>
      </c>
      <c r="L4631" s="369">
        <f>+IF((C4631&gt;='Resultats - informe'!$E$16)*(C4631&lt;='Resultats - informe'!$G$16),1,0)</f>
        <v>1</v>
      </c>
      <c r="M4631" s="369" cm="1">
        <f t="array" ref="M4631">+_xlfn.IFS((C4631&gt;='Resultats - informe'!$D$26)*(C4631&lt;='Resultats - informe'!$E$26),0,(C4631&gt;='Resultats - informe'!$D$27)*(C4631&lt;='Resultats - informe'!$E$27),0,(C4631&gt;='Resultats - informe'!$D$28)*(C4631&lt;='Resultats - informe'!$E$28),0,(C4631&gt;='Resultats - informe'!$D$29)*(C4631&lt;='Resultats - informe'!$E$29),0,1,1)</f>
        <v>0</v>
      </c>
      <c r="N4631" s="366">
        <f>+VLOOKUP(D4631,'Resultats - informe'!$Y$18:$AG$42,'Introducció dades consum'!K4631+1,0)</f>
        <v>0</v>
      </c>
      <c r="O4631" s="370" cm="1">
        <f t="array" ref="O4631">+_xlfn.SWITCH(MONTH(C4631),1,1,2,1,3,1,4,2,5,2,6,3,7,3,8,3,9,3,10,2,11,2,12,1,2)</f>
        <v>1</v>
      </c>
      <c r="P4631" s="43"/>
    </row>
    <row r="4632" spans="1:16" ht="18" x14ac:dyDescent="0.35">
      <c r="A4632" s="43"/>
      <c r="C4632" s="393"/>
      <c r="E4632" s="394"/>
      <c r="F4632" s="394">
        <v>0.106</v>
      </c>
      <c r="G4632" s="394"/>
      <c r="H4632" s="8" t="s">
        <v>235</v>
      </c>
      <c r="I4632" s="368">
        <f t="shared" si="217"/>
        <v>0</v>
      </c>
      <c r="J4632" s="365">
        <f t="shared" si="216"/>
        <v>0</v>
      </c>
      <c r="K4632" s="369">
        <f t="shared" si="218"/>
        <v>6</v>
      </c>
      <c r="L4632" s="369">
        <f>+IF((C4632&gt;='Resultats - informe'!$E$16)*(C4632&lt;='Resultats - informe'!$G$16),1,0)</f>
        <v>1</v>
      </c>
      <c r="M4632" s="369" cm="1">
        <f t="array" ref="M4632">+_xlfn.IFS((C4632&gt;='Resultats - informe'!$D$26)*(C4632&lt;='Resultats - informe'!$E$26),0,(C4632&gt;='Resultats - informe'!$D$27)*(C4632&lt;='Resultats - informe'!$E$27),0,(C4632&gt;='Resultats - informe'!$D$28)*(C4632&lt;='Resultats - informe'!$E$28),0,(C4632&gt;='Resultats - informe'!$D$29)*(C4632&lt;='Resultats - informe'!$E$29),0,1,1)</f>
        <v>0</v>
      </c>
      <c r="N4632" s="366">
        <f>+VLOOKUP(D4632,'Resultats - informe'!$Y$18:$AG$42,'Introducció dades consum'!K4632+1,0)</f>
        <v>0</v>
      </c>
      <c r="O4632" s="370" cm="1">
        <f t="array" ref="O4632">+_xlfn.SWITCH(MONTH(C4632),1,1,2,1,3,1,4,2,5,2,6,3,7,3,8,3,9,3,10,2,11,2,12,1,2)</f>
        <v>1</v>
      </c>
      <c r="P4632" s="43"/>
    </row>
    <row r="4633" spans="1:16" ht="18" x14ac:dyDescent="0.35">
      <c r="A4633" s="43"/>
      <c r="C4633" s="393"/>
      <c r="E4633" s="394"/>
      <c r="F4633" s="394">
        <v>0</v>
      </c>
      <c r="G4633" s="394"/>
      <c r="H4633" s="8" t="s">
        <v>235</v>
      </c>
      <c r="I4633" s="368">
        <f t="shared" si="217"/>
        <v>0</v>
      </c>
      <c r="J4633" s="365">
        <f t="shared" si="216"/>
        <v>0</v>
      </c>
      <c r="K4633" s="369">
        <f t="shared" si="218"/>
        <v>6</v>
      </c>
      <c r="L4633" s="369">
        <f>+IF((C4633&gt;='Resultats - informe'!$E$16)*(C4633&lt;='Resultats - informe'!$G$16),1,0)</f>
        <v>1</v>
      </c>
      <c r="M4633" s="369" cm="1">
        <f t="array" ref="M4633">+_xlfn.IFS((C4633&gt;='Resultats - informe'!$D$26)*(C4633&lt;='Resultats - informe'!$E$26),0,(C4633&gt;='Resultats - informe'!$D$27)*(C4633&lt;='Resultats - informe'!$E$27),0,(C4633&gt;='Resultats - informe'!$D$28)*(C4633&lt;='Resultats - informe'!$E$28),0,(C4633&gt;='Resultats - informe'!$D$29)*(C4633&lt;='Resultats - informe'!$E$29),0,1,1)</f>
        <v>0</v>
      </c>
      <c r="N4633" s="366">
        <f>+VLOOKUP(D4633,'Resultats - informe'!$Y$18:$AG$42,'Introducció dades consum'!K4633+1,0)</f>
        <v>0</v>
      </c>
      <c r="O4633" s="370" cm="1">
        <f t="array" ref="O4633">+_xlfn.SWITCH(MONTH(C4633),1,1,2,1,3,1,4,2,5,2,6,3,7,3,8,3,9,3,10,2,11,2,12,1,2)</f>
        <v>1</v>
      </c>
      <c r="P4633" s="43"/>
    </row>
    <row r="4634" spans="1:16" ht="18" x14ac:dyDescent="0.35">
      <c r="A4634" s="43"/>
      <c r="C4634" s="393"/>
      <c r="E4634" s="394"/>
      <c r="F4634" s="394">
        <v>0</v>
      </c>
      <c r="G4634" s="394"/>
      <c r="H4634" s="8" t="s">
        <v>235</v>
      </c>
      <c r="I4634" s="368">
        <f t="shared" si="217"/>
        <v>0</v>
      </c>
      <c r="J4634" s="365">
        <f t="shared" si="216"/>
        <v>0</v>
      </c>
      <c r="K4634" s="369">
        <f t="shared" si="218"/>
        <v>6</v>
      </c>
      <c r="L4634" s="369">
        <f>+IF((C4634&gt;='Resultats - informe'!$E$16)*(C4634&lt;='Resultats - informe'!$G$16),1,0)</f>
        <v>1</v>
      </c>
      <c r="M4634" s="369" cm="1">
        <f t="array" ref="M4634">+_xlfn.IFS((C4634&gt;='Resultats - informe'!$D$26)*(C4634&lt;='Resultats - informe'!$E$26),0,(C4634&gt;='Resultats - informe'!$D$27)*(C4634&lt;='Resultats - informe'!$E$27),0,(C4634&gt;='Resultats - informe'!$D$28)*(C4634&lt;='Resultats - informe'!$E$28),0,(C4634&gt;='Resultats - informe'!$D$29)*(C4634&lt;='Resultats - informe'!$E$29),0,1,1)</f>
        <v>0</v>
      </c>
      <c r="N4634" s="366">
        <f>+VLOOKUP(D4634,'Resultats - informe'!$Y$18:$AG$42,'Introducció dades consum'!K4634+1,0)</f>
        <v>0</v>
      </c>
      <c r="O4634" s="370" cm="1">
        <f t="array" ref="O4634">+_xlfn.SWITCH(MONTH(C4634),1,1,2,1,3,1,4,2,5,2,6,3,7,3,8,3,9,3,10,2,11,2,12,1,2)</f>
        <v>1</v>
      </c>
      <c r="P4634" s="43"/>
    </row>
    <row r="4635" spans="1:16" ht="18" x14ac:dyDescent="0.35">
      <c r="A4635" s="43"/>
      <c r="C4635" s="393"/>
      <c r="E4635" s="394"/>
      <c r="F4635" s="394">
        <v>0</v>
      </c>
      <c r="G4635" s="394"/>
      <c r="H4635" s="8" t="s">
        <v>235</v>
      </c>
      <c r="I4635" s="368">
        <f t="shared" si="217"/>
        <v>0</v>
      </c>
      <c r="J4635" s="365">
        <f t="shared" si="216"/>
        <v>0</v>
      </c>
      <c r="K4635" s="369">
        <f t="shared" si="218"/>
        <v>6</v>
      </c>
      <c r="L4635" s="369">
        <f>+IF((C4635&gt;='Resultats - informe'!$E$16)*(C4635&lt;='Resultats - informe'!$G$16),1,0)</f>
        <v>1</v>
      </c>
      <c r="M4635" s="369" cm="1">
        <f t="array" ref="M4635">+_xlfn.IFS((C4635&gt;='Resultats - informe'!$D$26)*(C4635&lt;='Resultats - informe'!$E$26),0,(C4635&gt;='Resultats - informe'!$D$27)*(C4635&lt;='Resultats - informe'!$E$27),0,(C4635&gt;='Resultats - informe'!$D$28)*(C4635&lt;='Resultats - informe'!$E$28),0,(C4635&gt;='Resultats - informe'!$D$29)*(C4635&lt;='Resultats - informe'!$E$29),0,1,1)</f>
        <v>0</v>
      </c>
      <c r="N4635" s="366">
        <f>+VLOOKUP(D4635,'Resultats - informe'!$Y$18:$AG$42,'Introducció dades consum'!K4635+1,0)</f>
        <v>0</v>
      </c>
      <c r="O4635" s="370" cm="1">
        <f t="array" ref="O4635">+_xlfn.SWITCH(MONTH(C4635),1,1,2,1,3,1,4,2,5,2,6,3,7,3,8,3,9,3,10,2,11,2,12,1,2)</f>
        <v>1</v>
      </c>
      <c r="P4635" s="43"/>
    </row>
    <row r="4636" spans="1:16" ht="18" x14ac:dyDescent="0.35">
      <c r="A4636" s="43"/>
      <c r="C4636" s="393"/>
      <c r="E4636" s="394"/>
      <c r="F4636" s="394">
        <v>0</v>
      </c>
      <c r="G4636" s="394"/>
      <c r="H4636" s="8" t="s">
        <v>235</v>
      </c>
      <c r="I4636" s="368">
        <f t="shared" si="217"/>
        <v>0</v>
      </c>
      <c r="J4636" s="365">
        <f t="shared" si="216"/>
        <v>0</v>
      </c>
      <c r="K4636" s="369">
        <f t="shared" si="218"/>
        <v>6</v>
      </c>
      <c r="L4636" s="369">
        <f>+IF((C4636&gt;='Resultats - informe'!$E$16)*(C4636&lt;='Resultats - informe'!$G$16),1,0)</f>
        <v>1</v>
      </c>
      <c r="M4636" s="369" cm="1">
        <f t="array" ref="M4636">+_xlfn.IFS((C4636&gt;='Resultats - informe'!$D$26)*(C4636&lt;='Resultats - informe'!$E$26),0,(C4636&gt;='Resultats - informe'!$D$27)*(C4636&lt;='Resultats - informe'!$E$27),0,(C4636&gt;='Resultats - informe'!$D$28)*(C4636&lt;='Resultats - informe'!$E$28),0,(C4636&gt;='Resultats - informe'!$D$29)*(C4636&lt;='Resultats - informe'!$E$29),0,1,1)</f>
        <v>0</v>
      </c>
      <c r="N4636" s="366">
        <f>+VLOOKUP(D4636,'Resultats - informe'!$Y$18:$AG$42,'Introducció dades consum'!K4636+1,0)</f>
        <v>0</v>
      </c>
      <c r="O4636" s="370" cm="1">
        <f t="array" ref="O4636">+_xlfn.SWITCH(MONTH(C4636),1,1,2,1,3,1,4,2,5,2,6,3,7,3,8,3,9,3,10,2,11,2,12,1,2)</f>
        <v>1</v>
      </c>
      <c r="P4636" s="43"/>
    </row>
    <row r="4637" spans="1:16" ht="18" x14ac:dyDescent="0.35">
      <c r="A4637" s="43"/>
      <c r="C4637" s="393"/>
      <c r="E4637" s="394"/>
      <c r="F4637" s="394">
        <v>0</v>
      </c>
      <c r="G4637" s="394"/>
      <c r="H4637" s="8" t="s">
        <v>235</v>
      </c>
      <c r="I4637" s="368">
        <f t="shared" si="217"/>
        <v>0</v>
      </c>
      <c r="J4637" s="365">
        <f t="shared" si="216"/>
        <v>0</v>
      </c>
      <c r="K4637" s="369">
        <f t="shared" si="218"/>
        <v>6</v>
      </c>
      <c r="L4637" s="369">
        <f>+IF((C4637&gt;='Resultats - informe'!$E$16)*(C4637&lt;='Resultats - informe'!$G$16),1,0)</f>
        <v>1</v>
      </c>
      <c r="M4637" s="369" cm="1">
        <f t="array" ref="M4637">+_xlfn.IFS((C4637&gt;='Resultats - informe'!$D$26)*(C4637&lt;='Resultats - informe'!$E$26),0,(C4637&gt;='Resultats - informe'!$D$27)*(C4637&lt;='Resultats - informe'!$E$27),0,(C4637&gt;='Resultats - informe'!$D$28)*(C4637&lt;='Resultats - informe'!$E$28),0,(C4637&gt;='Resultats - informe'!$D$29)*(C4637&lt;='Resultats - informe'!$E$29),0,1,1)</f>
        <v>0</v>
      </c>
      <c r="N4637" s="366">
        <f>+VLOOKUP(D4637,'Resultats - informe'!$Y$18:$AG$42,'Introducció dades consum'!K4637+1,0)</f>
        <v>0</v>
      </c>
      <c r="O4637" s="370" cm="1">
        <f t="array" ref="O4637">+_xlfn.SWITCH(MONTH(C4637),1,1,2,1,3,1,4,2,5,2,6,3,7,3,8,3,9,3,10,2,11,2,12,1,2)</f>
        <v>1</v>
      </c>
      <c r="P4637" s="43"/>
    </row>
    <row r="4638" spans="1:16" ht="18" x14ac:dyDescent="0.35">
      <c r="A4638" s="43"/>
      <c r="C4638" s="393"/>
      <c r="E4638" s="394"/>
      <c r="F4638" s="394">
        <v>0</v>
      </c>
      <c r="G4638" s="394"/>
      <c r="H4638" s="8" t="s">
        <v>235</v>
      </c>
      <c r="I4638" s="368">
        <f t="shared" si="217"/>
        <v>0</v>
      </c>
      <c r="J4638" s="365">
        <f t="shared" si="216"/>
        <v>0</v>
      </c>
      <c r="K4638" s="369">
        <f t="shared" si="218"/>
        <v>6</v>
      </c>
      <c r="L4638" s="369">
        <f>+IF((C4638&gt;='Resultats - informe'!$E$16)*(C4638&lt;='Resultats - informe'!$G$16),1,0)</f>
        <v>1</v>
      </c>
      <c r="M4638" s="369" cm="1">
        <f t="array" ref="M4638">+_xlfn.IFS((C4638&gt;='Resultats - informe'!$D$26)*(C4638&lt;='Resultats - informe'!$E$26),0,(C4638&gt;='Resultats - informe'!$D$27)*(C4638&lt;='Resultats - informe'!$E$27),0,(C4638&gt;='Resultats - informe'!$D$28)*(C4638&lt;='Resultats - informe'!$E$28),0,(C4638&gt;='Resultats - informe'!$D$29)*(C4638&lt;='Resultats - informe'!$E$29),0,1,1)</f>
        <v>0</v>
      </c>
      <c r="N4638" s="366">
        <f>+VLOOKUP(D4638,'Resultats - informe'!$Y$18:$AG$42,'Introducció dades consum'!K4638+1,0)</f>
        <v>0</v>
      </c>
      <c r="O4638" s="370" cm="1">
        <f t="array" ref="O4638">+_xlfn.SWITCH(MONTH(C4638),1,1,2,1,3,1,4,2,5,2,6,3,7,3,8,3,9,3,10,2,11,2,12,1,2)</f>
        <v>1</v>
      </c>
      <c r="P4638" s="43"/>
    </row>
    <row r="4639" spans="1:16" ht="18" x14ac:dyDescent="0.35">
      <c r="A4639" s="43"/>
      <c r="C4639" s="393"/>
      <c r="E4639" s="394"/>
      <c r="F4639" s="394">
        <v>0</v>
      </c>
      <c r="G4639" s="394"/>
      <c r="H4639" s="8" t="s">
        <v>235</v>
      </c>
      <c r="I4639" s="368">
        <f t="shared" si="217"/>
        <v>0</v>
      </c>
      <c r="J4639" s="365">
        <f t="shared" si="216"/>
        <v>0</v>
      </c>
      <c r="K4639" s="369">
        <f t="shared" si="218"/>
        <v>6</v>
      </c>
      <c r="L4639" s="369">
        <f>+IF((C4639&gt;='Resultats - informe'!$E$16)*(C4639&lt;='Resultats - informe'!$G$16),1,0)</f>
        <v>1</v>
      </c>
      <c r="M4639" s="369" cm="1">
        <f t="array" ref="M4639">+_xlfn.IFS((C4639&gt;='Resultats - informe'!$D$26)*(C4639&lt;='Resultats - informe'!$E$26),0,(C4639&gt;='Resultats - informe'!$D$27)*(C4639&lt;='Resultats - informe'!$E$27),0,(C4639&gt;='Resultats - informe'!$D$28)*(C4639&lt;='Resultats - informe'!$E$28),0,(C4639&gt;='Resultats - informe'!$D$29)*(C4639&lt;='Resultats - informe'!$E$29),0,1,1)</f>
        <v>0</v>
      </c>
      <c r="N4639" s="366">
        <f>+VLOOKUP(D4639,'Resultats - informe'!$Y$18:$AG$42,'Introducció dades consum'!K4639+1,0)</f>
        <v>0</v>
      </c>
      <c r="O4639" s="370" cm="1">
        <f t="array" ref="O4639">+_xlfn.SWITCH(MONTH(C4639),1,1,2,1,3,1,4,2,5,2,6,3,7,3,8,3,9,3,10,2,11,2,12,1,2)</f>
        <v>1</v>
      </c>
      <c r="P4639" s="43"/>
    </row>
    <row r="4640" spans="1:16" ht="18" x14ac:dyDescent="0.35">
      <c r="A4640" s="43"/>
      <c r="C4640" s="393"/>
      <c r="E4640" s="394"/>
      <c r="F4640" s="394">
        <v>0</v>
      </c>
      <c r="G4640" s="394"/>
      <c r="H4640" s="8" t="s">
        <v>235</v>
      </c>
      <c r="I4640" s="368">
        <f t="shared" si="217"/>
        <v>0</v>
      </c>
      <c r="J4640" s="365">
        <f t="shared" si="216"/>
        <v>0</v>
      </c>
      <c r="K4640" s="369">
        <f t="shared" si="218"/>
        <v>6</v>
      </c>
      <c r="L4640" s="369">
        <f>+IF((C4640&gt;='Resultats - informe'!$E$16)*(C4640&lt;='Resultats - informe'!$G$16),1,0)</f>
        <v>1</v>
      </c>
      <c r="M4640" s="369" cm="1">
        <f t="array" ref="M4640">+_xlfn.IFS((C4640&gt;='Resultats - informe'!$D$26)*(C4640&lt;='Resultats - informe'!$E$26),0,(C4640&gt;='Resultats - informe'!$D$27)*(C4640&lt;='Resultats - informe'!$E$27),0,(C4640&gt;='Resultats - informe'!$D$28)*(C4640&lt;='Resultats - informe'!$E$28),0,(C4640&gt;='Resultats - informe'!$D$29)*(C4640&lt;='Resultats - informe'!$E$29),0,1,1)</f>
        <v>0</v>
      </c>
      <c r="N4640" s="366">
        <f>+VLOOKUP(D4640,'Resultats - informe'!$Y$18:$AG$42,'Introducció dades consum'!K4640+1,0)</f>
        <v>0</v>
      </c>
      <c r="O4640" s="370" cm="1">
        <f t="array" ref="O4640">+_xlfn.SWITCH(MONTH(C4640),1,1,2,1,3,1,4,2,5,2,6,3,7,3,8,3,9,3,10,2,11,2,12,1,2)</f>
        <v>1</v>
      </c>
      <c r="P4640" s="43"/>
    </row>
    <row r="4641" spans="1:16" ht="18" x14ac:dyDescent="0.35">
      <c r="A4641" s="43"/>
      <c r="C4641" s="393"/>
      <c r="E4641" s="394"/>
      <c r="F4641" s="394">
        <v>0</v>
      </c>
      <c r="G4641" s="394"/>
      <c r="H4641" s="8" t="s">
        <v>235</v>
      </c>
      <c r="I4641" s="368">
        <f t="shared" si="217"/>
        <v>0</v>
      </c>
      <c r="J4641" s="365">
        <f t="shared" si="216"/>
        <v>0</v>
      </c>
      <c r="K4641" s="369">
        <f t="shared" si="218"/>
        <v>6</v>
      </c>
      <c r="L4641" s="369">
        <f>+IF((C4641&gt;='Resultats - informe'!$E$16)*(C4641&lt;='Resultats - informe'!$G$16),1,0)</f>
        <v>1</v>
      </c>
      <c r="M4641" s="369" cm="1">
        <f t="array" ref="M4641">+_xlfn.IFS((C4641&gt;='Resultats - informe'!$D$26)*(C4641&lt;='Resultats - informe'!$E$26),0,(C4641&gt;='Resultats - informe'!$D$27)*(C4641&lt;='Resultats - informe'!$E$27),0,(C4641&gt;='Resultats - informe'!$D$28)*(C4641&lt;='Resultats - informe'!$E$28),0,(C4641&gt;='Resultats - informe'!$D$29)*(C4641&lt;='Resultats - informe'!$E$29),0,1,1)</f>
        <v>0</v>
      </c>
      <c r="N4641" s="366">
        <f>+VLOOKUP(D4641,'Resultats - informe'!$Y$18:$AG$42,'Introducció dades consum'!K4641+1,0)</f>
        <v>0</v>
      </c>
      <c r="O4641" s="370" cm="1">
        <f t="array" ref="O4641">+_xlfn.SWITCH(MONTH(C4641),1,1,2,1,3,1,4,2,5,2,6,3,7,3,8,3,9,3,10,2,11,2,12,1,2)</f>
        <v>1</v>
      </c>
      <c r="P4641" s="43"/>
    </row>
    <row r="4642" spans="1:16" ht="18" x14ac:dyDescent="0.35">
      <c r="A4642" s="43"/>
      <c r="C4642" s="393"/>
      <c r="E4642" s="394"/>
      <c r="F4642" s="394">
        <v>0</v>
      </c>
      <c r="G4642" s="394"/>
      <c r="H4642" s="8" t="s">
        <v>235</v>
      </c>
      <c r="I4642" s="368">
        <f t="shared" si="217"/>
        <v>0</v>
      </c>
      <c r="J4642" s="365">
        <f t="shared" si="216"/>
        <v>0</v>
      </c>
      <c r="K4642" s="369">
        <f t="shared" si="218"/>
        <v>6</v>
      </c>
      <c r="L4642" s="369">
        <f>+IF((C4642&gt;='Resultats - informe'!$E$16)*(C4642&lt;='Resultats - informe'!$G$16),1,0)</f>
        <v>1</v>
      </c>
      <c r="M4642" s="369" cm="1">
        <f t="array" ref="M4642">+_xlfn.IFS((C4642&gt;='Resultats - informe'!$D$26)*(C4642&lt;='Resultats - informe'!$E$26),0,(C4642&gt;='Resultats - informe'!$D$27)*(C4642&lt;='Resultats - informe'!$E$27),0,(C4642&gt;='Resultats - informe'!$D$28)*(C4642&lt;='Resultats - informe'!$E$28),0,(C4642&gt;='Resultats - informe'!$D$29)*(C4642&lt;='Resultats - informe'!$E$29),0,1,1)</f>
        <v>0</v>
      </c>
      <c r="N4642" s="366">
        <f>+VLOOKUP(D4642,'Resultats - informe'!$Y$18:$AG$42,'Introducció dades consum'!K4642+1,0)</f>
        <v>0</v>
      </c>
      <c r="O4642" s="370" cm="1">
        <f t="array" ref="O4642">+_xlfn.SWITCH(MONTH(C4642),1,1,2,1,3,1,4,2,5,2,6,3,7,3,8,3,9,3,10,2,11,2,12,1,2)</f>
        <v>1</v>
      </c>
      <c r="P4642" s="43"/>
    </row>
    <row r="4643" spans="1:16" ht="18" x14ac:dyDescent="0.35">
      <c r="A4643" s="43"/>
      <c r="C4643" s="393"/>
      <c r="E4643" s="394"/>
      <c r="F4643" s="394">
        <v>7.4999999999999997E-2</v>
      </c>
      <c r="G4643" s="394"/>
      <c r="H4643" s="8" t="s">
        <v>235</v>
      </c>
      <c r="I4643" s="368">
        <f t="shared" si="217"/>
        <v>0</v>
      </c>
      <c r="J4643" s="365">
        <f t="shared" si="216"/>
        <v>0</v>
      </c>
      <c r="K4643" s="369">
        <f t="shared" si="218"/>
        <v>6</v>
      </c>
      <c r="L4643" s="369">
        <f>+IF((C4643&gt;='Resultats - informe'!$E$16)*(C4643&lt;='Resultats - informe'!$G$16),1,0)</f>
        <v>1</v>
      </c>
      <c r="M4643" s="369" cm="1">
        <f t="array" ref="M4643">+_xlfn.IFS((C4643&gt;='Resultats - informe'!$D$26)*(C4643&lt;='Resultats - informe'!$E$26),0,(C4643&gt;='Resultats - informe'!$D$27)*(C4643&lt;='Resultats - informe'!$E$27),0,(C4643&gt;='Resultats - informe'!$D$28)*(C4643&lt;='Resultats - informe'!$E$28),0,(C4643&gt;='Resultats - informe'!$D$29)*(C4643&lt;='Resultats - informe'!$E$29),0,1,1)</f>
        <v>0</v>
      </c>
      <c r="N4643" s="366">
        <f>+VLOOKUP(D4643,'Resultats - informe'!$Y$18:$AG$42,'Introducció dades consum'!K4643+1,0)</f>
        <v>0</v>
      </c>
      <c r="O4643" s="370" cm="1">
        <f t="array" ref="O4643">+_xlfn.SWITCH(MONTH(C4643),1,1,2,1,3,1,4,2,5,2,6,3,7,3,8,3,9,3,10,2,11,2,12,1,2)</f>
        <v>1</v>
      </c>
      <c r="P4643" s="43"/>
    </row>
    <row r="4644" spans="1:16" ht="18" x14ac:dyDescent="0.35">
      <c r="A4644" s="43"/>
      <c r="C4644" s="393"/>
      <c r="E4644" s="394"/>
      <c r="F4644" s="394">
        <v>0.73299999999999998</v>
      </c>
      <c r="G4644" s="394"/>
      <c r="H4644" s="8" t="s">
        <v>235</v>
      </c>
      <c r="I4644" s="368">
        <f t="shared" si="217"/>
        <v>0</v>
      </c>
      <c r="J4644" s="365">
        <f t="shared" si="216"/>
        <v>0</v>
      </c>
      <c r="K4644" s="369">
        <f t="shared" si="218"/>
        <v>6</v>
      </c>
      <c r="L4644" s="369">
        <f>+IF((C4644&gt;='Resultats - informe'!$E$16)*(C4644&lt;='Resultats - informe'!$G$16),1,0)</f>
        <v>1</v>
      </c>
      <c r="M4644" s="369" cm="1">
        <f t="array" ref="M4644">+_xlfn.IFS((C4644&gt;='Resultats - informe'!$D$26)*(C4644&lt;='Resultats - informe'!$E$26),0,(C4644&gt;='Resultats - informe'!$D$27)*(C4644&lt;='Resultats - informe'!$E$27),0,(C4644&gt;='Resultats - informe'!$D$28)*(C4644&lt;='Resultats - informe'!$E$28),0,(C4644&gt;='Resultats - informe'!$D$29)*(C4644&lt;='Resultats - informe'!$E$29),0,1,1)</f>
        <v>0</v>
      </c>
      <c r="N4644" s="366">
        <f>+VLOOKUP(D4644,'Resultats - informe'!$Y$18:$AG$42,'Introducció dades consum'!K4644+1,0)</f>
        <v>0</v>
      </c>
      <c r="O4644" s="370" cm="1">
        <f t="array" ref="O4644">+_xlfn.SWITCH(MONTH(C4644),1,1,2,1,3,1,4,2,5,2,6,3,7,3,8,3,9,3,10,2,11,2,12,1,2)</f>
        <v>1</v>
      </c>
      <c r="P4644" s="43"/>
    </row>
    <row r="4645" spans="1:16" ht="18" x14ac:dyDescent="0.35">
      <c r="A4645" s="43"/>
      <c r="C4645" s="393"/>
      <c r="E4645" s="394"/>
      <c r="F4645" s="394">
        <v>2.4020000000000001</v>
      </c>
      <c r="G4645" s="394"/>
      <c r="H4645" s="8" t="s">
        <v>235</v>
      </c>
      <c r="I4645" s="368">
        <f t="shared" si="217"/>
        <v>0</v>
      </c>
      <c r="J4645" s="365">
        <f t="shared" si="216"/>
        <v>0</v>
      </c>
      <c r="K4645" s="369">
        <f t="shared" si="218"/>
        <v>6</v>
      </c>
      <c r="L4645" s="369">
        <f>+IF((C4645&gt;='Resultats - informe'!$E$16)*(C4645&lt;='Resultats - informe'!$G$16),1,0)</f>
        <v>1</v>
      </c>
      <c r="M4645" s="369" cm="1">
        <f t="array" ref="M4645">+_xlfn.IFS((C4645&gt;='Resultats - informe'!$D$26)*(C4645&lt;='Resultats - informe'!$E$26),0,(C4645&gt;='Resultats - informe'!$D$27)*(C4645&lt;='Resultats - informe'!$E$27),0,(C4645&gt;='Resultats - informe'!$D$28)*(C4645&lt;='Resultats - informe'!$E$28),0,(C4645&gt;='Resultats - informe'!$D$29)*(C4645&lt;='Resultats - informe'!$E$29),0,1,1)</f>
        <v>0</v>
      </c>
      <c r="N4645" s="366">
        <f>+VLOOKUP(D4645,'Resultats - informe'!$Y$18:$AG$42,'Introducció dades consum'!K4645+1,0)</f>
        <v>0</v>
      </c>
      <c r="O4645" s="370" cm="1">
        <f t="array" ref="O4645">+_xlfn.SWITCH(MONTH(C4645),1,1,2,1,3,1,4,2,5,2,6,3,7,3,8,3,9,3,10,2,11,2,12,1,2)</f>
        <v>1</v>
      </c>
      <c r="P4645" s="43"/>
    </row>
    <row r="4646" spans="1:16" ht="18" x14ac:dyDescent="0.35">
      <c r="A4646" s="43"/>
      <c r="C4646" s="393"/>
      <c r="E4646" s="394"/>
      <c r="F4646" s="394">
        <v>4.7069999999999999</v>
      </c>
      <c r="G4646" s="394"/>
      <c r="H4646" s="8" t="s">
        <v>235</v>
      </c>
      <c r="I4646" s="368">
        <f t="shared" si="217"/>
        <v>0</v>
      </c>
      <c r="J4646" s="365">
        <f t="shared" si="216"/>
        <v>0</v>
      </c>
      <c r="K4646" s="369">
        <f t="shared" si="218"/>
        <v>6</v>
      </c>
      <c r="L4646" s="369">
        <f>+IF((C4646&gt;='Resultats - informe'!$E$16)*(C4646&lt;='Resultats - informe'!$G$16),1,0)</f>
        <v>1</v>
      </c>
      <c r="M4646" s="369" cm="1">
        <f t="array" ref="M4646">+_xlfn.IFS((C4646&gt;='Resultats - informe'!$D$26)*(C4646&lt;='Resultats - informe'!$E$26),0,(C4646&gt;='Resultats - informe'!$D$27)*(C4646&lt;='Resultats - informe'!$E$27),0,(C4646&gt;='Resultats - informe'!$D$28)*(C4646&lt;='Resultats - informe'!$E$28),0,(C4646&gt;='Resultats - informe'!$D$29)*(C4646&lt;='Resultats - informe'!$E$29),0,1,1)</f>
        <v>0</v>
      </c>
      <c r="N4646" s="366">
        <f>+VLOOKUP(D4646,'Resultats - informe'!$Y$18:$AG$42,'Introducció dades consum'!K4646+1,0)</f>
        <v>0</v>
      </c>
      <c r="O4646" s="370" cm="1">
        <f t="array" ref="O4646">+_xlfn.SWITCH(MONTH(C4646),1,1,2,1,3,1,4,2,5,2,6,3,7,3,8,3,9,3,10,2,11,2,12,1,2)</f>
        <v>1</v>
      </c>
      <c r="P4646" s="43"/>
    </row>
    <row r="4647" spans="1:16" ht="18" x14ac:dyDescent="0.35">
      <c r="A4647" s="43"/>
      <c r="C4647" s="393"/>
      <c r="E4647" s="394"/>
      <c r="F4647" s="394">
        <v>6.0990000000000002</v>
      </c>
      <c r="G4647" s="394"/>
      <c r="H4647" s="8" t="s">
        <v>235</v>
      </c>
      <c r="I4647" s="368">
        <f t="shared" si="217"/>
        <v>0</v>
      </c>
      <c r="J4647" s="365">
        <f t="shared" si="216"/>
        <v>0</v>
      </c>
      <c r="K4647" s="369">
        <f t="shared" si="218"/>
        <v>6</v>
      </c>
      <c r="L4647" s="369">
        <f>+IF((C4647&gt;='Resultats - informe'!$E$16)*(C4647&lt;='Resultats - informe'!$G$16),1,0)</f>
        <v>1</v>
      </c>
      <c r="M4647" s="369" cm="1">
        <f t="array" ref="M4647">+_xlfn.IFS((C4647&gt;='Resultats - informe'!$D$26)*(C4647&lt;='Resultats - informe'!$E$26),0,(C4647&gt;='Resultats - informe'!$D$27)*(C4647&lt;='Resultats - informe'!$E$27),0,(C4647&gt;='Resultats - informe'!$D$28)*(C4647&lt;='Resultats - informe'!$E$28),0,(C4647&gt;='Resultats - informe'!$D$29)*(C4647&lt;='Resultats - informe'!$E$29),0,1,1)</f>
        <v>0</v>
      </c>
      <c r="N4647" s="366">
        <f>+VLOOKUP(D4647,'Resultats - informe'!$Y$18:$AG$42,'Introducció dades consum'!K4647+1,0)</f>
        <v>0</v>
      </c>
      <c r="O4647" s="370" cm="1">
        <f t="array" ref="O4647">+_xlfn.SWITCH(MONTH(C4647),1,1,2,1,3,1,4,2,5,2,6,3,7,3,8,3,9,3,10,2,11,2,12,1,2)</f>
        <v>1</v>
      </c>
      <c r="P4647" s="43"/>
    </row>
    <row r="4648" spans="1:16" ht="18" x14ac:dyDescent="0.35">
      <c r="A4648" s="43"/>
      <c r="C4648" s="393"/>
      <c r="E4648" s="394"/>
      <c r="F4648" s="394">
        <v>7.0570000000000004</v>
      </c>
      <c r="G4648" s="394"/>
      <c r="H4648" s="8" t="s">
        <v>235</v>
      </c>
      <c r="I4648" s="368">
        <f t="shared" si="217"/>
        <v>0</v>
      </c>
      <c r="J4648" s="365">
        <f t="shared" si="216"/>
        <v>0</v>
      </c>
      <c r="K4648" s="369">
        <f t="shared" si="218"/>
        <v>6</v>
      </c>
      <c r="L4648" s="369">
        <f>+IF((C4648&gt;='Resultats - informe'!$E$16)*(C4648&lt;='Resultats - informe'!$G$16),1,0)</f>
        <v>1</v>
      </c>
      <c r="M4648" s="369" cm="1">
        <f t="array" ref="M4648">+_xlfn.IFS((C4648&gt;='Resultats - informe'!$D$26)*(C4648&lt;='Resultats - informe'!$E$26),0,(C4648&gt;='Resultats - informe'!$D$27)*(C4648&lt;='Resultats - informe'!$E$27),0,(C4648&gt;='Resultats - informe'!$D$28)*(C4648&lt;='Resultats - informe'!$E$28),0,(C4648&gt;='Resultats - informe'!$D$29)*(C4648&lt;='Resultats - informe'!$E$29),0,1,1)</f>
        <v>0</v>
      </c>
      <c r="N4648" s="366">
        <f>+VLOOKUP(D4648,'Resultats - informe'!$Y$18:$AG$42,'Introducció dades consum'!K4648+1,0)</f>
        <v>0</v>
      </c>
      <c r="O4648" s="370" cm="1">
        <f t="array" ref="O4648">+_xlfn.SWITCH(MONTH(C4648),1,1,2,1,3,1,4,2,5,2,6,3,7,3,8,3,9,3,10,2,11,2,12,1,2)</f>
        <v>1</v>
      </c>
      <c r="P4648" s="43"/>
    </row>
    <row r="4649" spans="1:16" ht="18" x14ac:dyDescent="0.35">
      <c r="A4649" s="43"/>
      <c r="C4649" s="393"/>
      <c r="E4649" s="394"/>
      <c r="F4649" s="394">
        <v>6.6550000000000002</v>
      </c>
      <c r="G4649" s="394"/>
      <c r="H4649" s="8" t="s">
        <v>235</v>
      </c>
      <c r="I4649" s="368">
        <f t="shared" si="217"/>
        <v>0</v>
      </c>
      <c r="J4649" s="365">
        <f t="shared" si="216"/>
        <v>0</v>
      </c>
      <c r="K4649" s="369">
        <f t="shared" si="218"/>
        <v>6</v>
      </c>
      <c r="L4649" s="369">
        <f>+IF((C4649&gt;='Resultats - informe'!$E$16)*(C4649&lt;='Resultats - informe'!$G$16),1,0)</f>
        <v>1</v>
      </c>
      <c r="M4649" s="369" cm="1">
        <f t="array" ref="M4649">+_xlfn.IFS((C4649&gt;='Resultats - informe'!$D$26)*(C4649&lt;='Resultats - informe'!$E$26),0,(C4649&gt;='Resultats - informe'!$D$27)*(C4649&lt;='Resultats - informe'!$E$27),0,(C4649&gt;='Resultats - informe'!$D$28)*(C4649&lt;='Resultats - informe'!$E$28),0,(C4649&gt;='Resultats - informe'!$D$29)*(C4649&lt;='Resultats - informe'!$E$29),0,1,1)</f>
        <v>0</v>
      </c>
      <c r="N4649" s="366">
        <f>+VLOOKUP(D4649,'Resultats - informe'!$Y$18:$AG$42,'Introducció dades consum'!K4649+1,0)</f>
        <v>0</v>
      </c>
      <c r="O4649" s="370" cm="1">
        <f t="array" ref="O4649">+_xlfn.SWITCH(MONTH(C4649),1,1,2,1,3,1,4,2,5,2,6,3,7,3,8,3,9,3,10,2,11,2,12,1,2)</f>
        <v>1</v>
      </c>
      <c r="P4649" s="43"/>
    </row>
    <row r="4650" spans="1:16" ht="18" x14ac:dyDescent="0.35">
      <c r="A4650" s="43"/>
      <c r="C4650" s="393"/>
      <c r="E4650" s="394"/>
      <c r="F4650" s="394">
        <v>7.6980000000000004</v>
      </c>
      <c r="G4650" s="394"/>
      <c r="H4650" s="8" t="s">
        <v>235</v>
      </c>
      <c r="I4650" s="368">
        <f t="shared" si="217"/>
        <v>0</v>
      </c>
      <c r="J4650" s="365">
        <f t="shared" si="216"/>
        <v>0</v>
      </c>
      <c r="K4650" s="369">
        <f t="shared" si="218"/>
        <v>6</v>
      </c>
      <c r="L4650" s="369">
        <f>+IF((C4650&gt;='Resultats - informe'!$E$16)*(C4650&lt;='Resultats - informe'!$G$16),1,0)</f>
        <v>1</v>
      </c>
      <c r="M4650" s="369" cm="1">
        <f t="array" ref="M4650">+_xlfn.IFS((C4650&gt;='Resultats - informe'!$D$26)*(C4650&lt;='Resultats - informe'!$E$26),0,(C4650&gt;='Resultats - informe'!$D$27)*(C4650&lt;='Resultats - informe'!$E$27),0,(C4650&gt;='Resultats - informe'!$D$28)*(C4650&lt;='Resultats - informe'!$E$28),0,(C4650&gt;='Resultats - informe'!$D$29)*(C4650&lt;='Resultats - informe'!$E$29),0,1,1)</f>
        <v>0</v>
      </c>
      <c r="N4650" s="366">
        <f>+VLOOKUP(D4650,'Resultats - informe'!$Y$18:$AG$42,'Introducció dades consum'!K4650+1,0)</f>
        <v>0</v>
      </c>
      <c r="O4650" s="370" cm="1">
        <f t="array" ref="O4650">+_xlfn.SWITCH(MONTH(C4650),1,1,2,1,3,1,4,2,5,2,6,3,7,3,8,3,9,3,10,2,11,2,12,1,2)</f>
        <v>1</v>
      </c>
      <c r="P4650" s="43"/>
    </row>
    <row r="4651" spans="1:16" ht="18" x14ac:dyDescent="0.35">
      <c r="A4651" s="43"/>
      <c r="C4651" s="393"/>
      <c r="E4651" s="394"/>
      <c r="F4651" s="394">
        <v>5.3529999999999998</v>
      </c>
      <c r="G4651" s="394"/>
      <c r="H4651" s="8" t="s">
        <v>235</v>
      </c>
      <c r="I4651" s="368">
        <f t="shared" si="217"/>
        <v>0</v>
      </c>
      <c r="J4651" s="365">
        <f t="shared" si="216"/>
        <v>0</v>
      </c>
      <c r="K4651" s="369">
        <f t="shared" si="218"/>
        <v>6</v>
      </c>
      <c r="L4651" s="369">
        <f>+IF((C4651&gt;='Resultats - informe'!$E$16)*(C4651&lt;='Resultats - informe'!$G$16),1,0)</f>
        <v>1</v>
      </c>
      <c r="M4651" s="369" cm="1">
        <f t="array" ref="M4651">+_xlfn.IFS((C4651&gt;='Resultats - informe'!$D$26)*(C4651&lt;='Resultats - informe'!$E$26),0,(C4651&gt;='Resultats - informe'!$D$27)*(C4651&lt;='Resultats - informe'!$E$27),0,(C4651&gt;='Resultats - informe'!$D$28)*(C4651&lt;='Resultats - informe'!$E$28),0,(C4651&gt;='Resultats - informe'!$D$29)*(C4651&lt;='Resultats - informe'!$E$29),0,1,1)</f>
        <v>0</v>
      </c>
      <c r="N4651" s="366">
        <f>+VLOOKUP(D4651,'Resultats - informe'!$Y$18:$AG$42,'Introducció dades consum'!K4651+1,0)</f>
        <v>0</v>
      </c>
      <c r="O4651" s="370" cm="1">
        <f t="array" ref="O4651">+_xlfn.SWITCH(MONTH(C4651),1,1,2,1,3,1,4,2,5,2,6,3,7,3,8,3,9,3,10,2,11,2,12,1,2)</f>
        <v>1</v>
      </c>
      <c r="P4651" s="43"/>
    </row>
    <row r="4652" spans="1:16" ht="18" x14ac:dyDescent="0.35">
      <c r="A4652" s="43"/>
      <c r="C4652" s="393"/>
      <c r="E4652" s="394"/>
      <c r="F4652" s="394">
        <v>3.9569999999999999</v>
      </c>
      <c r="G4652" s="394"/>
      <c r="H4652" s="8" t="s">
        <v>235</v>
      </c>
      <c r="I4652" s="368">
        <f t="shared" si="217"/>
        <v>0</v>
      </c>
      <c r="J4652" s="365">
        <f t="shared" si="216"/>
        <v>0</v>
      </c>
      <c r="K4652" s="369">
        <f t="shared" si="218"/>
        <v>6</v>
      </c>
      <c r="L4652" s="369">
        <f>+IF((C4652&gt;='Resultats - informe'!$E$16)*(C4652&lt;='Resultats - informe'!$G$16),1,0)</f>
        <v>1</v>
      </c>
      <c r="M4652" s="369" cm="1">
        <f t="array" ref="M4652">+_xlfn.IFS((C4652&gt;='Resultats - informe'!$D$26)*(C4652&lt;='Resultats - informe'!$E$26),0,(C4652&gt;='Resultats - informe'!$D$27)*(C4652&lt;='Resultats - informe'!$E$27),0,(C4652&gt;='Resultats - informe'!$D$28)*(C4652&lt;='Resultats - informe'!$E$28),0,(C4652&gt;='Resultats - informe'!$D$29)*(C4652&lt;='Resultats - informe'!$E$29),0,1,1)</f>
        <v>0</v>
      </c>
      <c r="N4652" s="366">
        <f>+VLOOKUP(D4652,'Resultats - informe'!$Y$18:$AG$42,'Introducció dades consum'!K4652+1,0)</f>
        <v>0</v>
      </c>
      <c r="O4652" s="370" cm="1">
        <f t="array" ref="O4652">+_xlfn.SWITCH(MONTH(C4652),1,1,2,1,3,1,4,2,5,2,6,3,7,3,8,3,9,3,10,2,11,2,12,1,2)</f>
        <v>1</v>
      </c>
      <c r="P4652" s="43"/>
    </row>
    <row r="4653" spans="1:16" ht="18" x14ac:dyDescent="0.35">
      <c r="A4653" s="43"/>
      <c r="C4653" s="393"/>
      <c r="E4653" s="394"/>
      <c r="F4653" s="394">
        <v>2.6970000000000001</v>
      </c>
      <c r="G4653" s="394"/>
      <c r="H4653" s="8" t="s">
        <v>235</v>
      </c>
      <c r="I4653" s="368">
        <f t="shared" si="217"/>
        <v>0</v>
      </c>
      <c r="J4653" s="365">
        <f t="shared" si="216"/>
        <v>0</v>
      </c>
      <c r="K4653" s="369">
        <f t="shared" si="218"/>
        <v>6</v>
      </c>
      <c r="L4653" s="369">
        <f>+IF((C4653&gt;='Resultats - informe'!$E$16)*(C4653&lt;='Resultats - informe'!$G$16),1,0)</f>
        <v>1</v>
      </c>
      <c r="M4653" s="369" cm="1">
        <f t="array" ref="M4653">+_xlfn.IFS((C4653&gt;='Resultats - informe'!$D$26)*(C4653&lt;='Resultats - informe'!$E$26),0,(C4653&gt;='Resultats - informe'!$D$27)*(C4653&lt;='Resultats - informe'!$E$27),0,(C4653&gt;='Resultats - informe'!$D$28)*(C4653&lt;='Resultats - informe'!$E$28),0,(C4653&gt;='Resultats - informe'!$D$29)*(C4653&lt;='Resultats - informe'!$E$29),0,1,1)</f>
        <v>0</v>
      </c>
      <c r="N4653" s="366">
        <f>+VLOOKUP(D4653,'Resultats - informe'!$Y$18:$AG$42,'Introducció dades consum'!K4653+1,0)</f>
        <v>0</v>
      </c>
      <c r="O4653" s="370" cm="1">
        <f t="array" ref="O4653">+_xlfn.SWITCH(MONTH(C4653),1,1,2,1,3,1,4,2,5,2,6,3,7,3,8,3,9,3,10,2,11,2,12,1,2)</f>
        <v>1</v>
      </c>
      <c r="P4653" s="43"/>
    </row>
    <row r="4654" spans="1:16" ht="18" x14ac:dyDescent="0.35">
      <c r="A4654" s="43"/>
      <c r="C4654" s="393"/>
      <c r="E4654" s="394"/>
      <c r="F4654" s="394">
        <v>2.1160000000000001</v>
      </c>
      <c r="G4654" s="394"/>
      <c r="H4654" s="8" t="s">
        <v>235</v>
      </c>
      <c r="I4654" s="368">
        <f t="shared" si="217"/>
        <v>0</v>
      </c>
      <c r="J4654" s="365">
        <f t="shared" si="216"/>
        <v>0</v>
      </c>
      <c r="K4654" s="369">
        <f t="shared" si="218"/>
        <v>6</v>
      </c>
      <c r="L4654" s="369">
        <f>+IF((C4654&gt;='Resultats - informe'!$E$16)*(C4654&lt;='Resultats - informe'!$G$16),1,0)</f>
        <v>1</v>
      </c>
      <c r="M4654" s="369" cm="1">
        <f t="array" ref="M4654">+_xlfn.IFS((C4654&gt;='Resultats - informe'!$D$26)*(C4654&lt;='Resultats - informe'!$E$26),0,(C4654&gt;='Resultats - informe'!$D$27)*(C4654&lt;='Resultats - informe'!$E$27),0,(C4654&gt;='Resultats - informe'!$D$28)*(C4654&lt;='Resultats - informe'!$E$28),0,(C4654&gt;='Resultats - informe'!$D$29)*(C4654&lt;='Resultats - informe'!$E$29),0,1,1)</f>
        <v>0</v>
      </c>
      <c r="N4654" s="366">
        <f>+VLOOKUP(D4654,'Resultats - informe'!$Y$18:$AG$42,'Introducció dades consum'!K4654+1,0)</f>
        <v>0</v>
      </c>
      <c r="O4654" s="370" cm="1">
        <f t="array" ref="O4654">+_xlfn.SWITCH(MONTH(C4654),1,1,2,1,3,1,4,2,5,2,6,3,7,3,8,3,9,3,10,2,11,2,12,1,2)</f>
        <v>1</v>
      </c>
      <c r="P4654" s="43"/>
    </row>
    <row r="4655" spans="1:16" ht="18" x14ac:dyDescent="0.35">
      <c r="A4655" s="43"/>
      <c r="C4655" s="393"/>
      <c r="E4655" s="394"/>
      <c r="F4655" s="394">
        <v>0.27</v>
      </c>
      <c r="G4655" s="394"/>
      <c r="H4655" s="8" t="s">
        <v>235</v>
      </c>
      <c r="I4655" s="368">
        <f t="shared" si="217"/>
        <v>0</v>
      </c>
      <c r="J4655" s="365">
        <f t="shared" si="216"/>
        <v>0</v>
      </c>
      <c r="K4655" s="369">
        <f t="shared" si="218"/>
        <v>6</v>
      </c>
      <c r="L4655" s="369">
        <f>+IF((C4655&gt;='Resultats - informe'!$E$16)*(C4655&lt;='Resultats - informe'!$G$16),1,0)</f>
        <v>1</v>
      </c>
      <c r="M4655" s="369" cm="1">
        <f t="array" ref="M4655">+_xlfn.IFS((C4655&gt;='Resultats - informe'!$D$26)*(C4655&lt;='Resultats - informe'!$E$26),0,(C4655&gt;='Resultats - informe'!$D$27)*(C4655&lt;='Resultats - informe'!$E$27),0,(C4655&gt;='Resultats - informe'!$D$28)*(C4655&lt;='Resultats - informe'!$E$28),0,(C4655&gt;='Resultats - informe'!$D$29)*(C4655&lt;='Resultats - informe'!$E$29),0,1,1)</f>
        <v>0</v>
      </c>
      <c r="N4655" s="366">
        <f>+VLOOKUP(D4655,'Resultats - informe'!$Y$18:$AG$42,'Introducció dades consum'!K4655+1,0)</f>
        <v>0</v>
      </c>
      <c r="O4655" s="370" cm="1">
        <f t="array" ref="O4655">+_xlfn.SWITCH(MONTH(C4655),1,1,2,1,3,1,4,2,5,2,6,3,7,3,8,3,9,3,10,2,11,2,12,1,2)</f>
        <v>1</v>
      </c>
      <c r="P4655" s="43"/>
    </row>
    <row r="4656" spans="1:16" ht="18" x14ac:dyDescent="0.35">
      <c r="A4656" s="43"/>
      <c r="C4656" s="393"/>
      <c r="E4656" s="394"/>
      <c r="F4656" s="394">
        <v>0</v>
      </c>
      <c r="G4656" s="394"/>
      <c r="H4656" s="8" t="s">
        <v>235</v>
      </c>
      <c r="I4656" s="368">
        <f t="shared" si="217"/>
        <v>0</v>
      </c>
      <c r="J4656" s="365">
        <f t="shared" si="216"/>
        <v>0</v>
      </c>
      <c r="K4656" s="369">
        <f t="shared" si="218"/>
        <v>6</v>
      </c>
      <c r="L4656" s="369">
        <f>+IF((C4656&gt;='Resultats - informe'!$E$16)*(C4656&lt;='Resultats - informe'!$G$16),1,0)</f>
        <v>1</v>
      </c>
      <c r="M4656" s="369" cm="1">
        <f t="array" ref="M4656">+_xlfn.IFS((C4656&gt;='Resultats - informe'!$D$26)*(C4656&lt;='Resultats - informe'!$E$26),0,(C4656&gt;='Resultats - informe'!$D$27)*(C4656&lt;='Resultats - informe'!$E$27),0,(C4656&gt;='Resultats - informe'!$D$28)*(C4656&lt;='Resultats - informe'!$E$28),0,(C4656&gt;='Resultats - informe'!$D$29)*(C4656&lt;='Resultats - informe'!$E$29),0,1,1)</f>
        <v>0</v>
      </c>
      <c r="N4656" s="366">
        <f>+VLOOKUP(D4656,'Resultats - informe'!$Y$18:$AG$42,'Introducció dades consum'!K4656+1,0)</f>
        <v>0</v>
      </c>
      <c r="O4656" s="370" cm="1">
        <f t="array" ref="O4656">+_xlfn.SWITCH(MONTH(C4656),1,1,2,1,3,1,4,2,5,2,6,3,7,3,8,3,9,3,10,2,11,2,12,1,2)</f>
        <v>1</v>
      </c>
      <c r="P4656" s="43"/>
    </row>
    <row r="4657" spans="1:16" ht="18" x14ac:dyDescent="0.35">
      <c r="A4657" s="43"/>
      <c r="C4657" s="393"/>
      <c r="E4657" s="394"/>
      <c r="F4657" s="394">
        <v>0</v>
      </c>
      <c r="G4657" s="394"/>
      <c r="H4657" s="8" t="s">
        <v>235</v>
      </c>
      <c r="I4657" s="368">
        <f t="shared" si="217"/>
        <v>0</v>
      </c>
      <c r="J4657" s="365">
        <f t="shared" si="216"/>
        <v>0</v>
      </c>
      <c r="K4657" s="369">
        <f t="shared" si="218"/>
        <v>6</v>
      </c>
      <c r="L4657" s="369">
        <f>+IF((C4657&gt;='Resultats - informe'!$E$16)*(C4657&lt;='Resultats - informe'!$G$16),1,0)</f>
        <v>1</v>
      </c>
      <c r="M4657" s="369" cm="1">
        <f t="array" ref="M4657">+_xlfn.IFS((C4657&gt;='Resultats - informe'!$D$26)*(C4657&lt;='Resultats - informe'!$E$26),0,(C4657&gt;='Resultats - informe'!$D$27)*(C4657&lt;='Resultats - informe'!$E$27),0,(C4657&gt;='Resultats - informe'!$D$28)*(C4657&lt;='Resultats - informe'!$E$28),0,(C4657&gt;='Resultats - informe'!$D$29)*(C4657&lt;='Resultats - informe'!$E$29),0,1,1)</f>
        <v>0</v>
      </c>
      <c r="N4657" s="366">
        <f>+VLOOKUP(D4657,'Resultats - informe'!$Y$18:$AG$42,'Introducció dades consum'!K4657+1,0)</f>
        <v>0</v>
      </c>
      <c r="O4657" s="370" cm="1">
        <f t="array" ref="O4657">+_xlfn.SWITCH(MONTH(C4657),1,1,2,1,3,1,4,2,5,2,6,3,7,3,8,3,9,3,10,2,11,2,12,1,2)</f>
        <v>1</v>
      </c>
      <c r="P4657" s="43"/>
    </row>
    <row r="4658" spans="1:16" ht="18" x14ac:dyDescent="0.35">
      <c r="A4658" s="43"/>
      <c r="C4658" s="393"/>
      <c r="E4658" s="394"/>
      <c r="F4658" s="394">
        <v>0</v>
      </c>
      <c r="G4658" s="394"/>
      <c r="H4658" s="8" t="s">
        <v>235</v>
      </c>
      <c r="I4658" s="368">
        <f t="shared" si="217"/>
        <v>0</v>
      </c>
      <c r="J4658" s="365">
        <f t="shared" si="216"/>
        <v>0</v>
      </c>
      <c r="K4658" s="369">
        <f t="shared" si="218"/>
        <v>6</v>
      </c>
      <c r="L4658" s="369">
        <f>+IF((C4658&gt;='Resultats - informe'!$E$16)*(C4658&lt;='Resultats - informe'!$G$16),1,0)</f>
        <v>1</v>
      </c>
      <c r="M4658" s="369" cm="1">
        <f t="array" ref="M4658">+_xlfn.IFS((C4658&gt;='Resultats - informe'!$D$26)*(C4658&lt;='Resultats - informe'!$E$26),0,(C4658&gt;='Resultats - informe'!$D$27)*(C4658&lt;='Resultats - informe'!$E$27),0,(C4658&gt;='Resultats - informe'!$D$28)*(C4658&lt;='Resultats - informe'!$E$28),0,(C4658&gt;='Resultats - informe'!$D$29)*(C4658&lt;='Resultats - informe'!$E$29),0,1,1)</f>
        <v>0</v>
      </c>
      <c r="N4658" s="366">
        <f>+VLOOKUP(D4658,'Resultats - informe'!$Y$18:$AG$42,'Introducció dades consum'!K4658+1,0)</f>
        <v>0</v>
      </c>
      <c r="O4658" s="370" cm="1">
        <f t="array" ref="O4658">+_xlfn.SWITCH(MONTH(C4658),1,1,2,1,3,1,4,2,5,2,6,3,7,3,8,3,9,3,10,2,11,2,12,1,2)</f>
        <v>1</v>
      </c>
      <c r="P4658" s="43"/>
    </row>
    <row r="4659" spans="1:16" ht="18" x14ac:dyDescent="0.35">
      <c r="A4659" s="43"/>
      <c r="C4659" s="393"/>
      <c r="E4659" s="394"/>
      <c r="F4659" s="394">
        <v>0</v>
      </c>
      <c r="G4659" s="394"/>
      <c r="H4659" s="8" t="s">
        <v>235</v>
      </c>
      <c r="I4659" s="368">
        <f t="shared" si="217"/>
        <v>0</v>
      </c>
      <c r="J4659" s="365">
        <f t="shared" si="216"/>
        <v>0</v>
      </c>
      <c r="K4659" s="369">
        <f t="shared" si="218"/>
        <v>6</v>
      </c>
      <c r="L4659" s="369">
        <f>+IF((C4659&gt;='Resultats - informe'!$E$16)*(C4659&lt;='Resultats - informe'!$G$16),1,0)</f>
        <v>1</v>
      </c>
      <c r="M4659" s="369" cm="1">
        <f t="array" ref="M4659">+_xlfn.IFS((C4659&gt;='Resultats - informe'!$D$26)*(C4659&lt;='Resultats - informe'!$E$26),0,(C4659&gt;='Resultats - informe'!$D$27)*(C4659&lt;='Resultats - informe'!$E$27),0,(C4659&gt;='Resultats - informe'!$D$28)*(C4659&lt;='Resultats - informe'!$E$28),0,(C4659&gt;='Resultats - informe'!$D$29)*(C4659&lt;='Resultats - informe'!$E$29),0,1,1)</f>
        <v>0</v>
      </c>
      <c r="N4659" s="366">
        <f>+VLOOKUP(D4659,'Resultats - informe'!$Y$18:$AG$42,'Introducció dades consum'!K4659+1,0)</f>
        <v>0</v>
      </c>
      <c r="O4659" s="370" cm="1">
        <f t="array" ref="O4659">+_xlfn.SWITCH(MONTH(C4659),1,1,2,1,3,1,4,2,5,2,6,3,7,3,8,3,9,3,10,2,11,2,12,1,2)</f>
        <v>1</v>
      </c>
      <c r="P4659" s="43"/>
    </row>
    <row r="4660" spans="1:16" ht="18" x14ac:dyDescent="0.35">
      <c r="A4660" s="43"/>
      <c r="C4660" s="393"/>
      <c r="E4660" s="394"/>
      <c r="F4660" s="394">
        <v>0</v>
      </c>
      <c r="G4660" s="394"/>
      <c r="H4660" s="8" t="s">
        <v>235</v>
      </c>
      <c r="I4660" s="368">
        <f t="shared" si="217"/>
        <v>0</v>
      </c>
      <c r="J4660" s="365">
        <f t="shared" si="216"/>
        <v>0</v>
      </c>
      <c r="K4660" s="369">
        <f t="shared" si="218"/>
        <v>6</v>
      </c>
      <c r="L4660" s="369">
        <f>+IF((C4660&gt;='Resultats - informe'!$E$16)*(C4660&lt;='Resultats - informe'!$G$16),1,0)</f>
        <v>1</v>
      </c>
      <c r="M4660" s="369" cm="1">
        <f t="array" ref="M4660">+_xlfn.IFS((C4660&gt;='Resultats - informe'!$D$26)*(C4660&lt;='Resultats - informe'!$E$26),0,(C4660&gt;='Resultats - informe'!$D$27)*(C4660&lt;='Resultats - informe'!$E$27),0,(C4660&gt;='Resultats - informe'!$D$28)*(C4660&lt;='Resultats - informe'!$E$28),0,(C4660&gt;='Resultats - informe'!$D$29)*(C4660&lt;='Resultats - informe'!$E$29),0,1,1)</f>
        <v>0</v>
      </c>
      <c r="N4660" s="366">
        <f>+VLOOKUP(D4660,'Resultats - informe'!$Y$18:$AG$42,'Introducció dades consum'!K4660+1,0)</f>
        <v>0</v>
      </c>
      <c r="O4660" s="370" cm="1">
        <f t="array" ref="O4660">+_xlfn.SWITCH(MONTH(C4660),1,1,2,1,3,1,4,2,5,2,6,3,7,3,8,3,9,3,10,2,11,2,12,1,2)</f>
        <v>1</v>
      </c>
      <c r="P4660" s="43"/>
    </row>
    <row r="4661" spans="1:16" ht="18" x14ac:dyDescent="0.35">
      <c r="A4661" s="43"/>
      <c r="C4661" s="393"/>
      <c r="E4661" s="394"/>
      <c r="F4661" s="394">
        <v>0</v>
      </c>
      <c r="G4661" s="394"/>
      <c r="H4661" s="8" t="s">
        <v>235</v>
      </c>
      <c r="I4661" s="368">
        <f t="shared" si="217"/>
        <v>0</v>
      </c>
      <c r="J4661" s="365">
        <f t="shared" si="216"/>
        <v>0</v>
      </c>
      <c r="K4661" s="369">
        <f t="shared" si="218"/>
        <v>6</v>
      </c>
      <c r="L4661" s="369">
        <f>+IF((C4661&gt;='Resultats - informe'!$E$16)*(C4661&lt;='Resultats - informe'!$G$16),1,0)</f>
        <v>1</v>
      </c>
      <c r="M4661" s="369" cm="1">
        <f t="array" ref="M4661">+_xlfn.IFS((C4661&gt;='Resultats - informe'!$D$26)*(C4661&lt;='Resultats - informe'!$E$26),0,(C4661&gt;='Resultats - informe'!$D$27)*(C4661&lt;='Resultats - informe'!$E$27),0,(C4661&gt;='Resultats - informe'!$D$28)*(C4661&lt;='Resultats - informe'!$E$28),0,(C4661&gt;='Resultats - informe'!$D$29)*(C4661&lt;='Resultats - informe'!$E$29),0,1,1)</f>
        <v>0</v>
      </c>
      <c r="N4661" s="366">
        <f>+VLOOKUP(D4661,'Resultats - informe'!$Y$18:$AG$42,'Introducció dades consum'!K4661+1,0)</f>
        <v>0</v>
      </c>
      <c r="O4661" s="370" cm="1">
        <f t="array" ref="O4661">+_xlfn.SWITCH(MONTH(C4661),1,1,2,1,3,1,4,2,5,2,6,3,7,3,8,3,9,3,10,2,11,2,12,1,2)</f>
        <v>1</v>
      </c>
      <c r="P4661" s="43"/>
    </row>
    <row r="4662" spans="1:16" ht="18" x14ac:dyDescent="0.35">
      <c r="A4662" s="43"/>
      <c r="C4662" s="393"/>
      <c r="E4662" s="394"/>
      <c r="F4662" s="394">
        <v>0</v>
      </c>
      <c r="G4662" s="394"/>
      <c r="H4662" s="8" t="s">
        <v>235</v>
      </c>
      <c r="I4662" s="368">
        <f t="shared" si="217"/>
        <v>0</v>
      </c>
      <c r="J4662" s="365">
        <f t="shared" si="216"/>
        <v>0</v>
      </c>
      <c r="K4662" s="369">
        <f t="shared" si="218"/>
        <v>6</v>
      </c>
      <c r="L4662" s="369">
        <f>+IF((C4662&gt;='Resultats - informe'!$E$16)*(C4662&lt;='Resultats - informe'!$G$16),1,0)</f>
        <v>1</v>
      </c>
      <c r="M4662" s="369" cm="1">
        <f t="array" ref="M4662">+_xlfn.IFS((C4662&gt;='Resultats - informe'!$D$26)*(C4662&lt;='Resultats - informe'!$E$26),0,(C4662&gt;='Resultats - informe'!$D$27)*(C4662&lt;='Resultats - informe'!$E$27),0,(C4662&gt;='Resultats - informe'!$D$28)*(C4662&lt;='Resultats - informe'!$E$28),0,(C4662&gt;='Resultats - informe'!$D$29)*(C4662&lt;='Resultats - informe'!$E$29),0,1,1)</f>
        <v>0</v>
      </c>
      <c r="N4662" s="366">
        <f>+VLOOKUP(D4662,'Resultats - informe'!$Y$18:$AG$42,'Introducció dades consum'!K4662+1,0)</f>
        <v>0</v>
      </c>
      <c r="O4662" s="370" cm="1">
        <f t="array" ref="O4662">+_xlfn.SWITCH(MONTH(C4662),1,1,2,1,3,1,4,2,5,2,6,3,7,3,8,3,9,3,10,2,11,2,12,1,2)</f>
        <v>1</v>
      </c>
      <c r="P4662" s="43"/>
    </row>
    <row r="4663" spans="1:16" ht="18" x14ac:dyDescent="0.35">
      <c r="A4663" s="43"/>
      <c r="C4663" s="393"/>
      <c r="E4663" s="394"/>
      <c r="F4663" s="394">
        <v>0</v>
      </c>
      <c r="G4663" s="394"/>
      <c r="H4663" s="8" t="s">
        <v>235</v>
      </c>
      <c r="I4663" s="368">
        <f t="shared" si="217"/>
        <v>0</v>
      </c>
      <c r="J4663" s="365">
        <f t="shared" si="216"/>
        <v>0</v>
      </c>
      <c r="K4663" s="369">
        <f t="shared" si="218"/>
        <v>6</v>
      </c>
      <c r="L4663" s="369">
        <f>+IF((C4663&gt;='Resultats - informe'!$E$16)*(C4663&lt;='Resultats - informe'!$G$16),1,0)</f>
        <v>1</v>
      </c>
      <c r="M4663" s="369" cm="1">
        <f t="array" ref="M4663">+_xlfn.IFS((C4663&gt;='Resultats - informe'!$D$26)*(C4663&lt;='Resultats - informe'!$E$26),0,(C4663&gt;='Resultats - informe'!$D$27)*(C4663&lt;='Resultats - informe'!$E$27),0,(C4663&gt;='Resultats - informe'!$D$28)*(C4663&lt;='Resultats - informe'!$E$28),0,(C4663&gt;='Resultats - informe'!$D$29)*(C4663&lt;='Resultats - informe'!$E$29),0,1,1)</f>
        <v>0</v>
      </c>
      <c r="N4663" s="366">
        <f>+VLOOKUP(D4663,'Resultats - informe'!$Y$18:$AG$42,'Introducció dades consum'!K4663+1,0)</f>
        <v>0</v>
      </c>
      <c r="O4663" s="370" cm="1">
        <f t="array" ref="O4663">+_xlfn.SWITCH(MONTH(C4663),1,1,2,1,3,1,4,2,5,2,6,3,7,3,8,3,9,3,10,2,11,2,12,1,2)</f>
        <v>1</v>
      </c>
      <c r="P4663" s="43"/>
    </row>
    <row r="4664" spans="1:16" ht="18" x14ac:dyDescent="0.35">
      <c r="A4664" s="43"/>
      <c r="C4664" s="393"/>
      <c r="E4664" s="394"/>
      <c r="F4664" s="394">
        <v>0</v>
      </c>
      <c r="G4664" s="394"/>
      <c r="H4664" s="8" t="s">
        <v>235</v>
      </c>
      <c r="I4664" s="368">
        <f t="shared" si="217"/>
        <v>0</v>
      </c>
      <c r="J4664" s="365">
        <f t="shared" si="216"/>
        <v>0</v>
      </c>
      <c r="K4664" s="369">
        <f t="shared" si="218"/>
        <v>6</v>
      </c>
      <c r="L4664" s="369">
        <f>+IF((C4664&gt;='Resultats - informe'!$E$16)*(C4664&lt;='Resultats - informe'!$G$16),1,0)</f>
        <v>1</v>
      </c>
      <c r="M4664" s="369" cm="1">
        <f t="array" ref="M4664">+_xlfn.IFS((C4664&gt;='Resultats - informe'!$D$26)*(C4664&lt;='Resultats - informe'!$E$26),0,(C4664&gt;='Resultats - informe'!$D$27)*(C4664&lt;='Resultats - informe'!$E$27),0,(C4664&gt;='Resultats - informe'!$D$28)*(C4664&lt;='Resultats - informe'!$E$28),0,(C4664&gt;='Resultats - informe'!$D$29)*(C4664&lt;='Resultats - informe'!$E$29),0,1,1)</f>
        <v>0</v>
      </c>
      <c r="N4664" s="366">
        <f>+VLOOKUP(D4664,'Resultats - informe'!$Y$18:$AG$42,'Introducció dades consum'!K4664+1,0)</f>
        <v>0</v>
      </c>
      <c r="O4664" s="370" cm="1">
        <f t="array" ref="O4664">+_xlfn.SWITCH(MONTH(C4664),1,1,2,1,3,1,4,2,5,2,6,3,7,3,8,3,9,3,10,2,11,2,12,1,2)</f>
        <v>1</v>
      </c>
      <c r="P4664" s="43"/>
    </row>
    <row r="4665" spans="1:16" ht="18" x14ac:dyDescent="0.35">
      <c r="A4665" s="43"/>
      <c r="C4665" s="393"/>
      <c r="E4665" s="394"/>
      <c r="F4665" s="394">
        <v>0</v>
      </c>
      <c r="G4665" s="394"/>
      <c r="H4665" s="8" t="s">
        <v>235</v>
      </c>
      <c r="I4665" s="368">
        <f t="shared" si="217"/>
        <v>0</v>
      </c>
      <c r="J4665" s="365">
        <f t="shared" si="216"/>
        <v>0</v>
      </c>
      <c r="K4665" s="369">
        <f t="shared" si="218"/>
        <v>6</v>
      </c>
      <c r="L4665" s="369">
        <f>+IF((C4665&gt;='Resultats - informe'!$E$16)*(C4665&lt;='Resultats - informe'!$G$16),1,0)</f>
        <v>1</v>
      </c>
      <c r="M4665" s="369" cm="1">
        <f t="array" ref="M4665">+_xlfn.IFS((C4665&gt;='Resultats - informe'!$D$26)*(C4665&lt;='Resultats - informe'!$E$26),0,(C4665&gt;='Resultats - informe'!$D$27)*(C4665&lt;='Resultats - informe'!$E$27),0,(C4665&gt;='Resultats - informe'!$D$28)*(C4665&lt;='Resultats - informe'!$E$28),0,(C4665&gt;='Resultats - informe'!$D$29)*(C4665&lt;='Resultats - informe'!$E$29),0,1,1)</f>
        <v>0</v>
      </c>
      <c r="N4665" s="366">
        <f>+VLOOKUP(D4665,'Resultats - informe'!$Y$18:$AG$42,'Introducció dades consum'!K4665+1,0)</f>
        <v>0</v>
      </c>
      <c r="O4665" s="370" cm="1">
        <f t="array" ref="O4665">+_xlfn.SWITCH(MONTH(C4665),1,1,2,1,3,1,4,2,5,2,6,3,7,3,8,3,9,3,10,2,11,2,12,1,2)</f>
        <v>1</v>
      </c>
      <c r="P4665" s="43"/>
    </row>
    <row r="4666" spans="1:16" ht="18" x14ac:dyDescent="0.35">
      <c r="A4666" s="43"/>
      <c r="C4666" s="393"/>
      <c r="E4666" s="394"/>
      <c r="F4666" s="394">
        <v>0</v>
      </c>
      <c r="G4666" s="394"/>
      <c r="H4666" s="8" t="s">
        <v>235</v>
      </c>
      <c r="I4666" s="368">
        <f t="shared" si="217"/>
        <v>0</v>
      </c>
      <c r="J4666" s="365">
        <f t="shared" si="216"/>
        <v>0</v>
      </c>
      <c r="K4666" s="369">
        <f t="shared" si="218"/>
        <v>6</v>
      </c>
      <c r="L4666" s="369">
        <f>+IF((C4666&gt;='Resultats - informe'!$E$16)*(C4666&lt;='Resultats - informe'!$G$16),1,0)</f>
        <v>1</v>
      </c>
      <c r="M4666" s="369" cm="1">
        <f t="array" ref="M4666">+_xlfn.IFS((C4666&gt;='Resultats - informe'!$D$26)*(C4666&lt;='Resultats - informe'!$E$26),0,(C4666&gt;='Resultats - informe'!$D$27)*(C4666&lt;='Resultats - informe'!$E$27),0,(C4666&gt;='Resultats - informe'!$D$28)*(C4666&lt;='Resultats - informe'!$E$28),0,(C4666&gt;='Resultats - informe'!$D$29)*(C4666&lt;='Resultats - informe'!$E$29),0,1,1)</f>
        <v>0</v>
      </c>
      <c r="N4666" s="366">
        <f>+VLOOKUP(D4666,'Resultats - informe'!$Y$18:$AG$42,'Introducció dades consum'!K4666+1,0)</f>
        <v>0</v>
      </c>
      <c r="O4666" s="370" cm="1">
        <f t="array" ref="O4666">+_xlfn.SWITCH(MONTH(C4666),1,1,2,1,3,1,4,2,5,2,6,3,7,3,8,3,9,3,10,2,11,2,12,1,2)</f>
        <v>1</v>
      </c>
      <c r="P4666" s="43"/>
    </row>
    <row r="4667" spans="1:16" ht="18" x14ac:dyDescent="0.35">
      <c r="A4667" s="43"/>
      <c r="C4667" s="393"/>
      <c r="E4667" s="394"/>
      <c r="F4667" s="394">
        <v>0</v>
      </c>
      <c r="G4667" s="394"/>
      <c r="H4667" s="8" t="s">
        <v>235</v>
      </c>
      <c r="I4667" s="368">
        <f t="shared" si="217"/>
        <v>0</v>
      </c>
      <c r="J4667" s="365">
        <f t="shared" ref="J4667:J4730" si="219">+C4667</f>
        <v>0</v>
      </c>
      <c r="K4667" s="369">
        <f t="shared" si="218"/>
        <v>6</v>
      </c>
      <c r="L4667" s="369">
        <f>+IF((C4667&gt;='Resultats - informe'!$E$16)*(C4667&lt;='Resultats - informe'!$G$16),1,0)</f>
        <v>1</v>
      </c>
      <c r="M4667" s="369" cm="1">
        <f t="array" ref="M4667">+_xlfn.IFS((C4667&gt;='Resultats - informe'!$D$26)*(C4667&lt;='Resultats - informe'!$E$26),0,(C4667&gt;='Resultats - informe'!$D$27)*(C4667&lt;='Resultats - informe'!$E$27),0,(C4667&gt;='Resultats - informe'!$D$28)*(C4667&lt;='Resultats - informe'!$E$28),0,(C4667&gt;='Resultats - informe'!$D$29)*(C4667&lt;='Resultats - informe'!$E$29),0,1,1)</f>
        <v>0</v>
      </c>
      <c r="N4667" s="366">
        <f>+VLOOKUP(D4667,'Resultats - informe'!$Y$18:$AG$42,'Introducció dades consum'!K4667+1,0)</f>
        <v>0</v>
      </c>
      <c r="O4667" s="370" cm="1">
        <f t="array" ref="O4667">+_xlfn.SWITCH(MONTH(C4667),1,1,2,1,3,1,4,2,5,2,6,3,7,3,8,3,9,3,10,2,11,2,12,1,2)</f>
        <v>1</v>
      </c>
      <c r="P4667" s="43"/>
    </row>
    <row r="4668" spans="1:16" ht="18" x14ac:dyDescent="0.35">
      <c r="A4668" s="43"/>
      <c r="C4668" s="393"/>
      <c r="E4668" s="394"/>
      <c r="F4668" s="394">
        <v>0</v>
      </c>
      <c r="G4668" s="394"/>
      <c r="H4668" s="8" t="s">
        <v>235</v>
      </c>
      <c r="I4668" s="368">
        <f t="shared" si="217"/>
        <v>0</v>
      </c>
      <c r="J4668" s="365">
        <f t="shared" si="219"/>
        <v>0</v>
      </c>
      <c r="K4668" s="369">
        <f t="shared" si="218"/>
        <v>6</v>
      </c>
      <c r="L4668" s="369">
        <f>+IF((C4668&gt;='Resultats - informe'!$E$16)*(C4668&lt;='Resultats - informe'!$G$16),1,0)</f>
        <v>1</v>
      </c>
      <c r="M4668" s="369" cm="1">
        <f t="array" ref="M4668">+_xlfn.IFS((C4668&gt;='Resultats - informe'!$D$26)*(C4668&lt;='Resultats - informe'!$E$26),0,(C4668&gt;='Resultats - informe'!$D$27)*(C4668&lt;='Resultats - informe'!$E$27),0,(C4668&gt;='Resultats - informe'!$D$28)*(C4668&lt;='Resultats - informe'!$E$28),0,(C4668&gt;='Resultats - informe'!$D$29)*(C4668&lt;='Resultats - informe'!$E$29),0,1,1)</f>
        <v>0</v>
      </c>
      <c r="N4668" s="366">
        <f>+VLOOKUP(D4668,'Resultats - informe'!$Y$18:$AG$42,'Introducció dades consum'!K4668+1,0)</f>
        <v>0</v>
      </c>
      <c r="O4668" s="370" cm="1">
        <f t="array" ref="O4668">+_xlfn.SWITCH(MONTH(C4668),1,1,2,1,3,1,4,2,5,2,6,3,7,3,8,3,9,3,10,2,11,2,12,1,2)</f>
        <v>1</v>
      </c>
      <c r="P4668" s="43"/>
    </row>
    <row r="4669" spans="1:16" ht="18" x14ac:dyDescent="0.35">
      <c r="A4669" s="43"/>
      <c r="C4669" s="393"/>
      <c r="E4669" s="394"/>
      <c r="F4669" s="394">
        <v>1.61</v>
      </c>
      <c r="G4669" s="394"/>
      <c r="H4669" s="8" t="s">
        <v>235</v>
      </c>
      <c r="I4669" s="368">
        <f t="shared" si="217"/>
        <v>0</v>
      </c>
      <c r="J4669" s="365">
        <f t="shared" si="219"/>
        <v>0</v>
      </c>
      <c r="K4669" s="369">
        <f t="shared" si="218"/>
        <v>6</v>
      </c>
      <c r="L4669" s="369">
        <f>+IF((C4669&gt;='Resultats - informe'!$E$16)*(C4669&lt;='Resultats - informe'!$G$16),1,0)</f>
        <v>1</v>
      </c>
      <c r="M4669" s="369" cm="1">
        <f t="array" ref="M4669">+_xlfn.IFS((C4669&gt;='Resultats - informe'!$D$26)*(C4669&lt;='Resultats - informe'!$E$26),0,(C4669&gt;='Resultats - informe'!$D$27)*(C4669&lt;='Resultats - informe'!$E$27),0,(C4669&gt;='Resultats - informe'!$D$28)*(C4669&lt;='Resultats - informe'!$E$28),0,(C4669&gt;='Resultats - informe'!$D$29)*(C4669&lt;='Resultats - informe'!$E$29),0,1,1)</f>
        <v>0</v>
      </c>
      <c r="N4669" s="366">
        <f>+VLOOKUP(D4669,'Resultats - informe'!$Y$18:$AG$42,'Introducció dades consum'!K4669+1,0)</f>
        <v>0</v>
      </c>
      <c r="O4669" s="370" cm="1">
        <f t="array" ref="O4669">+_xlfn.SWITCH(MONTH(C4669),1,1,2,1,3,1,4,2,5,2,6,3,7,3,8,3,9,3,10,2,11,2,12,1,2)</f>
        <v>1</v>
      </c>
      <c r="P4669" s="43"/>
    </row>
    <row r="4670" spans="1:16" ht="18" x14ac:dyDescent="0.35">
      <c r="A4670" s="43"/>
      <c r="C4670" s="393"/>
      <c r="E4670" s="394"/>
      <c r="F4670" s="394">
        <v>3.46</v>
      </c>
      <c r="G4670" s="394"/>
      <c r="H4670" s="8" t="s">
        <v>235</v>
      </c>
      <c r="I4670" s="368">
        <f t="shared" si="217"/>
        <v>0</v>
      </c>
      <c r="J4670" s="365">
        <f t="shared" si="219"/>
        <v>0</v>
      </c>
      <c r="K4670" s="369">
        <f t="shared" si="218"/>
        <v>6</v>
      </c>
      <c r="L4670" s="369">
        <f>+IF((C4670&gt;='Resultats - informe'!$E$16)*(C4670&lt;='Resultats - informe'!$G$16),1,0)</f>
        <v>1</v>
      </c>
      <c r="M4670" s="369" cm="1">
        <f t="array" ref="M4670">+_xlfn.IFS((C4670&gt;='Resultats - informe'!$D$26)*(C4670&lt;='Resultats - informe'!$E$26),0,(C4670&gt;='Resultats - informe'!$D$27)*(C4670&lt;='Resultats - informe'!$E$27),0,(C4670&gt;='Resultats - informe'!$D$28)*(C4670&lt;='Resultats - informe'!$E$28),0,(C4670&gt;='Resultats - informe'!$D$29)*(C4670&lt;='Resultats - informe'!$E$29),0,1,1)</f>
        <v>0</v>
      </c>
      <c r="N4670" s="366">
        <f>+VLOOKUP(D4670,'Resultats - informe'!$Y$18:$AG$42,'Introducció dades consum'!K4670+1,0)</f>
        <v>0</v>
      </c>
      <c r="O4670" s="370" cm="1">
        <f t="array" ref="O4670">+_xlfn.SWITCH(MONTH(C4670),1,1,2,1,3,1,4,2,5,2,6,3,7,3,8,3,9,3,10,2,11,2,12,1,2)</f>
        <v>1</v>
      </c>
      <c r="P4670" s="43"/>
    </row>
    <row r="4671" spans="1:16" ht="18" x14ac:dyDescent="0.35">
      <c r="A4671" s="43"/>
      <c r="C4671" s="393"/>
      <c r="E4671" s="394"/>
      <c r="F4671" s="394">
        <v>4.5640000000000001</v>
      </c>
      <c r="G4671" s="394"/>
      <c r="H4671" s="8" t="s">
        <v>235</v>
      </c>
      <c r="I4671" s="368">
        <f t="shared" si="217"/>
        <v>0</v>
      </c>
      <c r="J4671" s="365">
        <f t="shared" si="219"/>
        <v>0</v>
      </c>
      <c r="K4671" s="369">
        <f t="shared" si="218"/>
        <v>6</v>
      </c>
      <c r="L4671" s="369">
        <f>+IF((C4671&gt;='Resultats - informe'!$E$16)*(C4671&lt;='Resultats - informe'!$G$16),1,0)</f>
        <v>1</v>
      </c>
      <c r="M4671" s="369" cm="1">
        <f t="array" ref="M4671">+_xlfn.IFS((C4671&gt;='Resultats - informe'!$D$26)*(C4671&lt;='Resultats - informe'!$E$26),0,(C4671&gt;='Resultats - informe'!$D$27)*(C4671&lt;='Resultats - informe'!$E$27),0,(C4671&gt;='Resultats - informe'!$D$28)*(C4671&lt;='Resultats - informe'!$E$28),0,(C4671&gt;='Resultats - informe'!$D$29)*(C4671&lt;='Resultats - informe'!$E$29),0,1,1)</f>
        <v>0</v>
      </c>
      <c r="N4671" s="366">
        <f>+VLOOKUP(D4671,'Resultats - informe'!$Y$18:$AG$42,'Introducció dades consum'!K4671+1,0)</f>
        <v>0</v>
      </c>
      <c r="O4671" s="370" cm="1">
        <f t="array" ref="O4671">+_xlfn.SWITCH(MONTH(C4671),1,1,2,1,3,1,4,2,5,2,6,3,7,3,8,3,9,3,10,2,11,2,12,1,2)</f>
        <v>1</v>
      </c>
      <c r="P4671" s="43"/>
    </row>
    <row r="4672" spans="1:16" ht="18" x14ac:dyDescent="0.35">
      <c r="A4672" s="43"/>
      <c r="C4672" s="393"/>
      <c r="E4672" s="394"/>
      <c r="F4672" s="394">
        <v>5.3380000000000001</v>
      </c>
      <c r="G4672" s="394"/>
      <c r="H4672" s="8" t="s">
        <v>235</v>
      </c>
      <c r="I4672" s="368">
        <f t="shared" si="217"/>
        <v>0</v>
      </c>
      <c r="J4672" s="365">
        <f t="shared" si="219"/>
        <v>0</v>
      </c>
      <c r="K4672" s="369">
        <f t="shared" si="218"/>
        <v>6</v>
      </c>
      <c r="L4672" s="369">
        <f>+IF((C4672&gt;='Resultats - informe'!$E$16)*(C4672&lt;='Resultats - informe'!$G$16),1,0)</f>
        <v>1</v>
      </c>
      <c r="M4672" s="369" cm="1">
        <f t="array" ref="M4672">+_xlfn.IFS((C4672&gt;='Resultats - informe'!$D$26)*(C4672&lt;='Resultats - informe'!$E$26),0,(C4672&gt;='Resultats - informe'!$D$27)*(C4672&lt;='Resultats - informe'!$E$27),0,(C4672&gt;='Resultats - informe'!$D$28)*(C4672&lt;='Resultats - informe'!$E$28),0,(C4672&gt;='Resultats - informe'!$D$29)*(C4672&lt;='Resultats - informe'!$E$29),0,1,1)</f>
        <v>0</v>
      </c>
      <c r="N4672" s="366">
        <f>+VLOOKUP(D4672,'Resultats - informe'!$Y$18:$AG$42,'Introducció dades consum'!K4672+1,0)</f>
        <v>0</v>
      </c>
      <c r="O4672" s="370" cm="1">
        <f t="array" ref="O4672">+_xlfn.SWITCH(MONTH(C4672),1,1,2,1,3,1,4,2,5,2,6,3,7,3,8,3,9,3,10,2,11,2,12,1,2)</f>
        <v>1</v>
      </c>
      <c r="P4672" s="43"/>
    </row>
    <row r="4673" spans="1:16" ht="18" x14ac:dyDescent="0.35">
      <c r="A4673" s="43"/>
      <c r="C4673" s="393"/>
      <c r="E4673" s="394"/>
      <c r="F4673" s="394">
        <v>5.7709999999999999</v>
      </c>
      <c r="G4673" s="394"/>
      <c r="H4673" s="8" t="s">
        <v>235</v>
      </c>
      <c r="I4673" s="368">
        <f t="shared" si="217"/>
        <v>0</v>
      </c>
      <c r="J4673" s="365">
        <f t="shared" si="219"/>
        <v>0</v>
      </c>
      <c r="K4673" s="369">
        <f t="shared" si="218"/>
        <v>6</v>
      </c>
      <c r="L4673" s="369">
        <f>+IF((C4673&gt;='Resultats - informe'!$E$16)*(C4673&lt;='Resultats - informe'!$G$16),1,0)</f>
        <v>1</v>
      </c>
      <c r="M4673" s="369" cm="1">
        <f t="array" ref="M4673">+_xlfn.IFS((C4673&gt;='Resultats - informe'!$D$26)*(C4673&lt;='Resultats - informe'!$E$26),0,(C4673&gt;='Resultats - informe'!$D$27)*(C4673&lt;='Resultats - informe'!$E$27),0,(C4673&gt;='Resultats - informe'!$D$28)*(C4673&lt;='Resultats - informe'!$E$28),0,(C4673&gt;='Resultats - informe'!$D$29)*(C4673&lt;='Resultats - informe'!$E$29),0,1,1)</f>
        <v>0</v>
      </c>
      <c r="N4673" s="366">
        <f>+VLOOKUP(D4673,'Resultats - informe'!$Y$18:$AG$42,'Introducció dades consum'!K4673+1,0)</f>
        <v>0</v>
      </c>
      <c r="O4673" s="370" cm="1">
        <f t="array" ref="O4673">+_xlfn.SWITCH(MONTH(C4673),1,1,2,1,3,1,4,2,5,2,6,3,7,3,8,3,9,3,10,2,11,2,12,1,2)</f>
        <v>1</v>
      </c>
      <c r="P4673" s="43"/>
    </row>
    <row r="4674" spans="1:16" ht="18" x14ac:dyDescent="0.35">
      <c r="A4674" s="43"/>
      <c r="C4674" s="393"/>
      <c r="E4674" s="394"/>
      <c r="F4674" s="394">
        <v>6.149</v>
      </c>
      <c r="G4674" s="394"/>
      <c r="H4674" s="8" t="s">
        <v>235</v>
      </c>
      <c r="I4674" s="368">
        <f t="shared" si="217"/>
        <v>0</v>
      </c>
      <c r="J4674" s="365">
        <f t="shared" si="219"/>
        <v>0</v>
      </c>
      <c r="K4674" s="369">
        <f t="shared" si="218"/>
        <v>6</v>
      </c>
      <c r="L4674" s="369">
        <f>+IF((C4674&gt;='Resultats - informe'!$E$16)*(C4674&lt;='Resultats - informe'!$G$16),1,0)</f>
        <v>1</v>
      </c>
      <c r="M4674" s="369" cm="1">
        <f t="array" ref="M4674">+_xlfn.IFS((C4674&gt;='Resultats - informe'!$D$26)*(C4674&lt;='Resultats - informe'!$E$26),0,(C4674&gt;='Resultats - informe'!$D$27)*(C4674&lt;='Resultats - informe'!$E$27),0,(C4674&gt;='Resultats - informe'!$D$28)*(C4674&lt;='Resultats - informe'!$E$28),0,(C4674&gt;='Resultats - informe'!$D$29)*(C4674&lt;='Resultats - informe'!$E$29),0,1,1)</f>
        <v>0</v>
      </c>
      <c r="N4674" s="366">
        <f>+VLOOKUP(D4674,'Resultats - informe'!$Y$18:$AG$42,'Introducció dades consum'!K4674+1,0)</f>
        <v>0</v>
      </c>
      <c r="O4674" s="370" cm="1">
        <f t="array" ref="O4674">+_xlfn.SWITCH(MONTH(C4674),1,1,2,1,3,1,4,2,5,2,6,3,7,3,8,3,9,3,10,2,11,2,12,1,2)</f>
        <v>1</v>
      </c>
      <c r="P4674" s="43"/>
    </row>
    <row r="4675" spans="1:16" ht="18" x14ac:dyDescent="0.35">
      <c r="A4675" s="43"/>
      <c r="C4675" s="393"/>
      <c r="E4675" s="394"/>
      <c r="F4675" s="394">
        <v>6.0380000000000003</v>
      </c>
      <c r="G4675" s="394"/>
      <c r="H4675" s="8" t="s">
        <v>235</v>
      </c>
      <c r="I4675" s="368">
        <f t="shared" si="217"/>
        <v>0</v>
      </c>
      <c r="J4675" s="365">
        <f t="shared" si="219"/>
        <v>0</v>
      </c>
      <c r="K4675" s="369">
        <f t="shared" si="218"/>
        <v>6</v>
      </c>
      <c r="L4675" s="369">
        <f>+IF((C4675&gt;='Resultats - informe'!$E$16)*(C4675&lt;='Resultats - informe'!$G$16),1,0)</f>
        <v>1</v>
      </c>
      <c r="M4675" s="369" cm="1">
        <f t="array" ref="M4675">+_xlfn.IFS((C4675&gt;='Resultats - informe'!$D$26)*(C4675&lt;='Resultats - informe'!$E$26),0,(C4675&gt;='Resultats - informe'!$D$27)*(C4675&lt;='Resultats - informe'!$E$27),0,(C4675&gt;='Resultats - informe'!$D$28)*(C4675&lt;='Resultats - informe'!$E$28),0,(C4675&gt;='Resultats - informe'!$D$29)*(C4675&lt;='Resultats - informe'!$E$29),0,1,1)</f>
        <v>0</v>
      </c>
      <c r="N4675" s="366">
        <f>+VLOOKUP(D4675,'Resultats - informe'!$Y$18:$AG$42,'Introducció dades consum'!K4675+1,0)</f>
        <v>0</v>
      </c>
      <c r="O4675" s="370" cm="1">
        <f t="array" ref="O4675">+_xlfn.SWITCH(MONTH(C4675),1,1,2,1,3,1,4,2,5,2,6,3,7,3,8,3,9,3,10,2,11,2,12,1,2)</f>
        <v>1</v>
      </c>
      <c r="P4675" s="43"/>
    </row>
    <row r="4676" spans="1:16" ht="18" x14ac:dyDescent="0.35">
      <c r="A4676" s="43"/>
      <c r="C4676" s="393"/>
      <c r="E4676" s="394"/>
      <c r="F4676" s="394">
        <v>5.085</v>
      </c>
      <c r="G4676" s="394"/>
      <c r="H4676" s="8" t="s">
        <v>235</v>
      </c>
      <c r="I4676" s="368">
        <f t="shared" si="217"/>
        <v>0</v>
      </c>
      <c r="J4676" s="365">
        <f t="shared" si="219"/>
        <v>0</v>
      </c>
      <c r="K4676" s="369">
        <f t="shared" si="218"/>
        <v>6</v>
      </c>
      <c r="L4676" s="369">
        <f>+IF((C4676&gt;='Resultats - informe'!$E$16)*(C4676&lt;='Resultats - informe'!$G$16),1,0)</f>
        <v>1</v>
      </c>
      <c r="M4676" s="369" cm="1">
        <f t="array" ref="M4676">+_xlfn.IFS((C4676&gt;='Resultats - informe'!$D$26)*(C4676&lt;='Resultats - informe'!$E$26),0,(C4676&gt;='Resultats - informe'!$D$27)*(C4676&lt;='Resultats - informe'!$E$27),0,(C4676&gt;='Resultats - informe'!$D$28)*(C4676&lt;='Resultats - informe'!$E$28),0,(C4676&gt;='Resultats - informe'!$D$29)*(C4676&lt;='Resultats - informe'!$E$29),0,1,1)</f>
        <v>0</v>
      </c>
      <c r="N4676" s="366">
        <f>+VLOOKUP(D4676,'Resultats - informe'!$Y$18:$AG$42,'Introducció dades consum'!K4676+1,0)</f>
        <v>0</v>
      </c>
      <c r="O4676" s="370" cm="1">
        <f t="array" ref="O4676">+_xlfn.SWITCH(MONTH(C4676),1,1,2,1,3,1,4,2,5,2,6,3,7,3,8,3,9,3,10,2,11,2,12,1,2)</f>
        <v>1</v>
      </c>
      <c r="P4676" s="43"/>
    </row>
    <row r="4677" spans="1:16" ht="18" x14ac:dyDescent="0.35">
      <c r="A4677" s="43"/>
      <c r="C4677" s="393"/>
      <c r="E4677" s="394"/>
      <c r="F4677" s="394">
        <v>2.6360000000000001</v>
      </c>
      <c r="G4677" s="394"/>
      <c r="H4677" s="8" t="s">
        <v>235</v>
      </c>
      <c r="I4677" s="368">
        <f t="shared" si="217"/>
        <v>0</v>
      </c>
      <c r="J4677" s="365">
        <f t="shared" si="219"/>
        <v>0</v>
      </c>
      <c r="K4677" s="369">
        <f t="shared" si="218"/>
        <v>6</v>
      </c>
      <c r="L4677" s="369">
        <f>+IF((C4677&gt;='Resultats - informe'!$E$16)*(C4677&lt;='Resultats - informe'!$G$16),1,0)</f>
        <v>1</v>
      </c>
      <c r="M4677" s="369" cm="1">
        <f t="array" ref="M4677">+_xlfn.IFS((C4677&gt;='Resultats - informe'!$D$26)*(C4677&lt;='Resultats - informe'!$E$26),0,(C4677&gt;='Resultats - informe'!$D$27)*(C4677&lt;='Resultats - informe'!$E$27),0,(C4677&gt;='Resultats - informe'!$D$28)*(C4677&lt;='Resultats - informe'!$E$28),0,(C4677&gt;='Resultats - informe'!$D$29)*(C4677&lt;='Resultats - informe'!$E$29),0,1,1)</f>
        <v>0</v>
      </c>
      <c r="N4677" s="366">
        <f>+VLOOKUP(D4677,'Resultats - informe'!$Y$18:$AG$42,'Introducció dades consum'!K4677+1,0)</f>
        <v>0</v>
      </c>
      <c r="O4677" s="370" cm="1">
        <f t="array" ref="O4677">+_xlfn.SWITCH(MONTH(C4677),1,1,2,1,3,1,4,2,5,2,6,3,7,3,8,3,9,3,10,2,11,2,12,1,2)</f>
        <v>1</v>
      </c>
      <c r="P4677" s="43"/>
    </row>
    <row r="4678" spans="1:16" ht="18" x14ac:dyDescent="0.35">
      <c r="A4678" s="43"/>
      <c r="C4678" s="393"/>
      <c r="E4678" s="394"/>
      <c r="F4678" s="394">
        <v>1.88</v>
      </c>
      <c r="G4678" s="394"/>
      <c r="H4678" s="8" t="s">
        <v>235</v>
      </c>
      <c r="I4678" s="368">
        <f t="shared" ref="I4678:I4741" si="220">+E4678+G4678</f>
        <v>0</v>
      </c>
      <c r="J4678" s="365">
        <f t="shared" si="219"/>
        <v>0</v>
      </c>
      <c r="K4678" s="369">
        <f t="shared" ref="K4678:K4741" si="221">+WEEKDAY(C4678,2)</f>
        <v>6</v>
      </c>
      <c r="L4678" s="369">
        <f>+IF((C4678&gt;='Resultats - informe'!$E$16)*(C4678&lt;='Resultats - informe'!$G$16),1,0)</f>
        <v>1</v>
      </c>
      <c r="M4678" s="369" cm="1">
        <f t="array" ref="M4678">+_xlfn.IFS((C4678&gt;='Resultats - informe'!$D$26)*(C4678&lt;='Resultats - informe'!$E$26),0,(C4678&gt;='Resultats - informe'!$D$27)*(C4678&lt;='Resultats - informe'!$E$27),0,(C4678&gt;='Resultats - informe'!$D$28)*(C4678&lt;='Resultats - informe'!$E$28),0,(C4678&gt;='Resultats - informe'!$D$29)*(C4678&lt;='Resultats - informe'!$E$29),0,1,1)</f>
        <v>0</v>
      </c>
      <c r="N4678" s="366">
        <f>+VLOOKUP(D4678,'Resultats - informe'!$Y$18:$AG$42,'Introducció dades consum'!K4678+1,0)</f>
        <v>0</v>
      </c>
      <c r="O4678" s="370" cm="1">
        <f t="array" ref="O4678">+_xlfn.SWITCH(MONTH(C4678),1,1,2,1,3,1,4,2,5,2,6,3,7,3,8,3,9,3,10,2,11,2,12,1,2)</f>
        <v>1</v>
      </c>
      <c r="P4678" s="43"/>
    </row>
    <row r="4679" spans="1:16" ht="18" x14ac:dyDescent="0.35">
      <c r="A4679" s="43"/>
      <c r="C4679" s="393"/>
      <c r="E4679" s="394"/>
      <c r="F4679" s="394">
        <v>0.79400000000000004</v>
      </c>
      <c r="G4679" s="394"/>
      <c r="H4679" s="8" t="s">
        <v>235</v>
      </c>
      <c r="I4679" s="368">
        <f t="shared" si="220"/>
        <v>0</v>
      </c>
      <c r="J4679" s="365">
        <f t="shared" si="219"/>
        <v>0</v>
      </c>
      <c r="K4679" s="369">
        <f t="shared" si="221"/>
        <v>6</v>
      </c>
      <c r="L4679" s="369">
        <f>+IF((C4679&gt;='Resultats - informe'!$E$16)*(C4679&lt;='Resultats - informe'!$G$16),1,0)</f>
        <v>1</v>
      </c>
      <c r="M4679" s="369" cm="1">
        <f t="array" ref="M4679">+_xlfn.IFS((C4679&gt;='Resultats - informe'!$D$26)*(C4679&lt;='Resultats - informe'!$E$26),0,(C4679&gt;='Resultats - informe'!$D$27)*(C4679&lt;='Resultats - informe'!$E$27),0,(C4679&gt;='Resultats - informe'!$D$28)*(C4679&lt;='Resultats - informe'!$E$28),0,(C4679&gt;='Resultats - informe'!$D$29)*(C4679&lt;='Resultats - informe'!$E$29),0,1,1)</f>
        <v>0</v>
      </c>
      <c r="N4679" s="366">
        <f>+VLOOKUP(D4679,'Resultats - informe'!$Y$18:$AG$42,'Introducció dades consum'!K4679+1,0)</f>
        <v>0</v>
      </c>
      <c r="O4679" s="370" cm="1">
        <f t="array" ref="O4679">+_xlfn.SWITCH(MONTH(C4679),1,1,2,1,3,1,4,2,5,2,6,3,7,3,8,3,9,3,10,2,11,2,12,1,2)</f>
        <v>1</v>
      </c>
      <c r="P4679" s="43"/>
    </row>
    <row r="4680" spans="1:16" ht="18" x14ac:dyDescent="0.35">
      <c r="A4680" s="43"/>
      <c r="C4680" s="393"/>
      <c r="E4680" s="394"/>
      <c r="F4680" s="394">
        <v>0</v>
      </c>
      <c r="G4680" s="394"/>
      <c r="H4680" s="8" t="s">
        <v>235</v>
      </c>
      <c r="I4680" s="368">
        <f t="shared" si="220"/>
        <v>0</v>
      </c>
      <c r="J4680" s="365">
        <f t="shared" si="219"/>
        <v>0</v>
      </c>
      <c r="K4680" s="369">
        <f t="shared" si="221"/>
        <v>6</v>
      </c>
      <c r="L4680" s="369">
        <f>+IF((C4680&gt;='Resultats - informe'!$E$16)*(C4680&lt;='Resultats - informe'!$G$16),1,0)</f>
        <v>1</v>
      </c>
      <c r="M4680" s="369" cm="1">
        <f t="array" ref="M4680">+_xlfn.IFS((C4680&gt;='Resultats - informe'!$D$26)*(C4680&lt;='Resultats - informe'!$E$26),0,(C4680&gt;='Resultats - informe'!$D$27)*(C4680&lt;='Resultats - informe'!$E$27),0,(C4680&gt;='Resultats - informe'!$D$28)*(C4680&lt;='Resultats - informe'!$E$28),0,(C4680&gt;='Resultats - informe'!$D$29)*(C4680&lt;='Resultats - informe'!$E$29),0,1,1)</f>
        <v>0</v>
      </c>
      <c r="N4680" s="366">
        <f>+VLOOKUP(D4680,'Resultats - informe'!$Y$18:$AG$42,'Introducció dades consum'!K4680+1,0)</f>
        <v>0</v>
      </c>
      <c r="O4680" s="370" cm="1">
        <f t="array" ref="O4680">+_xlfn.SWITCH(MONTH(C4680),1,1,2,1,3,1,4,2,5,2,6,3,7,3,8,3,9,3,10,2,11,2,12,1,2)</f>
        <v>1</v>
      </c>
      <c r="P4680" s="43"/>
    </row>
    <row r="4681" spans="1:16" ht="18" x14ac:dyDescent="0.35">
      <c r="A4681" s="43"/>
      <c r="C4681" s="393"/>
      <c r="E4681" s="394"/>
      <c r="F4681" s="394">
        <v>0</v>
      </c>
      <c r="G4681" s="394"/>
      <c r="H4681" s="8" t="s">
        <v>235</v>
      </c>
      <c r="I4681" s="368">
        <f t="shared" si="220"/>
        <v>0</v>
      </c>
      <c r="J4681" s="365">
        <f t="shared" si="219"/>
        <v>0</v>
      </c>
      <c r="K4681" s="369">
        <f t="shared" si="221"/>
        <v>6</v>
      </c>
      <c r="L4681" s="369">
        <f>+IF((C4681&gt;='Resultats - informe'!$E$16)*(C4681&lt;='Resultats - informe'!$G$16),1,0)</f>
        <v>1</v>
      </c>
      <c r="M4681" s="369" cm="1">
        <f t="array" ref="M4681">+_xlfn.IFS((C4681&gt;='Resultats - informe'!$D$26)*(C4681&lt;='Resultats - informe'!$E$26),0,(C4681&gt;='Resultats - informe'!$D$27)*(C4681&lt;='Resultats - informe'!$E$27),0,(C4681&gt;='Resultats - informe'!$D$28)*(C4681&lt;='Resultats - informe'!$E$28),0,(C4681&gt;='Resultats - informe'!$D$29)*(C4681&lt;='Resultats - informe'!$E$29),0,1,1)</f>
        <v>0</v>
      </c>
      <c r="N4681" s="366">
        <f>+VLOOKUP(D4681,'Resultats - informe'!$Y$18:$AG$42,'Introducció dades consum'!K4681+1,0)</f>
        <v>0</v>
      </c>
      <c r="O4681" s="370" cm="1">
        <f t="array" ref="O4681">+_xlfn.SWITCH(MONTH(C4681),1,1,2,1,3,1,4,2,5,2,6,3,7,3,8,3,9,3,10,2,11,2,12,1,2)</f>
        <v>1</v>
      </c>
      <c r="P4681" s="43"/>
    </row>
    <row r="4682" spans="1:16" ht="18" x14ac:dyDescent="0.35">
      <c r="A4682" s="43"/>
      <c r="C4682" s="393"/>
      <c r="E4682" s="394"/>
      <c r="F4682" s="394">
        <v>0</v>
      </c>
      <c r="G4682" s="394"/>
      <c r="H4682" s="8" t="s">
        <v>235</v>
      </c>
      <c r="I4682" s="368">
        <f t="shared" si="220"/>
        <v>0</v>
      </c>
      <c r="J4682" s="365">
        <f t="shared" si="219"/>
        <v>0</v>
      </c>
      <c r="K4682" s="369">
        <f t="shared" si="221"/>
        <v>6</v>
      </c>
      <c r="L4682" s="369">
        <f>+IF((C4682&gt;='Resultats - informe'!$E$16)*(C4682&lt;='Resultats - informe'!$G$16),1,0)</f>
        <v>1</v>
      </c>
      <c r="M4682" s="369" cm="1">
        <f t="array" ref="M4682">+_xlfn.IFS((C4682&gt;='Resultats - informe'!$D$26)*(C4682&lt;='Resultats - informe'!$E$26),0,(C4682&gt;='Resultats - informe'!$D$27)*(C4682&lt;='Resultats - informe'!$E$27),0,(C4682&gt;='Resultats - informe'!$D$28)*(C4682&lt;='Resultats - informe'!$E$28),0,(C4682&gt;='Resultats - informe'!$D$29)*(C4682&lt;='Resultats - informe'!$E$29),0,1,1)</f>
        <v>0</v>
      </c>
      <c r="N4682" s="366">
        <f>+VLOOKUP(D4682,'Resultats - informe'!$Y$18:$AG$42,'Introducció dades consum'!K4682+1,0)</f>
        <v>0</v>
      </c>
      <c r="O4682" s="370" cm="1">
        <f t="array" ref="O4682">+_xlfn.SWITCH(MONTH(C4682),1,1,2,1,3,1,4,2,5,2,6,3,7,3,8,3,9,3,10,2,11,2,12,1,2)</f>
        <v>1</v>
      </c>
      <c r="P4682" s="43"/>
    </row>
    <row r="4683" spans="1:16" ht="18" x14ac:dyDescent="0.35">
      <c r="A4683" s="43"/>
      <c r="C4683" s="393"/>
      <c r="E4683" s="394"/>
      <c r="F4683" s="394">
        <v>0</v>
      </c>
      <c r="G4683" s="394"/>
      <c r="H4683" s="8" t="s">
        <v>235</v>
      </c>
      <c r="I4683" s="368">
        <f t="shared" si="220"/>
        <v>0</v>
      </c>
      <c r="J4683" s="365">
        <f t="shared" si="219"/>
        <v>0</v>
      </c>
      <c r="K4683" s="369">
        <f t="shared" si="221"/>
        <v>6</v>
      </c>
      <c r="L4683" s="369">
        <f>+IF((C4683&gt;='Resultats - informe'!$E$16)*(C4683&lt;='Resultats - informe'!$G$16),1,0)</f>
        <v>1</v>
      </c>
      <c r="M4683" s="369" cm="1">
        <f t="array" ref="M4683">+_xlfn.IFS((C4683&gt;='Resultats - informe'!$D$26)*(C4683&lt;='Resultats - informe'!$E$26),0,(C4683&gt;='Resultats - informe'!$D$27)*(C4683&lt;='Resultats - informe'!$E$27),0,(C4683&gt;='Resultats - informe'!$D$28)*(C4683&lt;='Resultats - informe'!$E$28),0,(C4683&gt;='Resultats - informe'!$D$29)*(C4683&lt;='Resultats - informe'!$E$29),0,1,1)</f>
        <v>0</v>
      </c>
      <c r="N4683" s="366">
        <f>+VLOOKUP(D4683,'Resultats - informe'!$Y$18:$AG$42,'Introducció dades consum'!K4683+1,0)</f>
        <v>0</v>
      </c>
      <c r="O4683" s="370" cm="1">
        <f t="array" ref="O4683">+_xlfn.SWITCH(MONTH(C4683),1,1,2,1,3,1,4,2,5,2,6,3,7,3,8,3,9,3,10,2,11,2,12,1,2)</f>
        <v>1</v>
      </c>
      <c r="P4683" s="43"/>
    </row>
    <row r="4684" spans="1:16" ht="18" x14ac:dyDescent="0.35">
      <c r="A4684" s="43"/>
      <c r="C4684" s="393"/>
      <c r="E4684" s="394"/>
      <c r="F4684" s="394">
        <v>0</v>
      </c>
      <c r="G4684" s="394"/>
      <c r="H4684" s="8" t="s">
        <v>235</v>
      </c>
      <c r="I4684" s="368">
        <f t="shared" si="220"/>
        <v>0</v>
      </c>
      <c r="J4684" s="365">
        <f t="shared" si="219"/>
        <v>0</v>
      </c>
      <c r="K4684" s="369">
        <f t="shared" si="221"/>
        <v>6</v>
      </c>
      <c r="L4684" s="369">
        <f>+IF((C4684&gt;='Resultats - informe'!$E$16)*(C4684&lt;='Resultats - informe'!$G$16),1,0)</f>
        <v>1</v>
      </c>
      <c r="M4684" s="369" cm="1">
        <f t="array" ref="M4684">+_xlfn.IFS((C4684&gt;='Resultats - informe'!$D$26)*(C4684&lt;='Resultats - informe'!$E$26),0,(C4684&gt;='Resultats - informe'!$D$27)*(C4684&lt;='Resultats - informe'!$E$27),0,(C4684&gt;='Resultats - informe'!$D$28)*(C4684&lt;='Resultats - informe'!$E$28),0,(C4684&gt;='Resultats - informe'!$D$29)*(C4684&lt;='Resultats - informe'!$E$29),0,1,1)</f>
        <v>0</v>
      </c>
      <c r="N4684" s="366">
        <f>+VLOOKUP(D4684,'Resultats - informe'!$Y$18:$AG$42,'Introducció dades consum'!K4684+1,0)</f>
        <v>0</v>
      </c>
      <c r="O4684" s="370" cm="1">
        <f t="array" ref="O4684">+_xlfn.SWITCH(MONTH(C4684),1,1,2,1,3,1,4,2,5,2,6,3,7,3,8,3,9,3,10,2,11,2,12,1,2)</f>
        <v>1</v>
      </c>
      <c r="P4684" s="43"/>
    </row>
    <row r="4685" spans="1:16" ht="18" x14ac:dyDescent="0.35">
      <c r="A4685" s="43"/>
      <c r="C4685" s="393"/>
      <c r="E4685" s="394"/>
      <c r="F4685" s="394">
        <v>0</v>
      </c>
      <c r="G4685" s="394"/>
      <c r="H4685" s="8" t="s">
        <v>235</v>
      </c>
      <c r="I4685" s="368">
        <f t="shared" si="220"/>
        <v>0</v>
      </c>
      <c r="J4685" s="365">
        <f t="shared" si="219"/>
        <v>0</v>
      </c>
      <c r="K4685" s="369">
        <f t="shared" si="221"/>
        <v>6</v>
      </c>
      <c r="L4685" s="369">
        <f>+IF((C4685&gt;='Resultats - informe'!$E$16)*(C4685&lt;='Resultats - informe'!$G$16),1,0)</f>
        <v>1</v>
      </c>
      <c r="M4685" s="369" cm="1">
        <f t="array" ref="M4685">+_xlfn.IFS((C4685&gt;='Resultats - informe'!$D$26)*(C4685&lt;='Resultats - informe'!$E$26),0,(C4685&gt;='Resultats - informe'!$D$27)*(C4685&lt;='Resultats - informe'!$E$27),0,(C4685&gt;='Resultats - informe'!$D$28)*(C4685&lt;='Resultats - informe'!$E$28),0,(C4685&gt;='Resultats - informe'!$D$29)*(C4685&lt;='Resultats - informe'!$E$29),0,1,1)</f>
        <v>0</v>
      </c>
      <c r="N4685" s="366">
        <f>+VLOOKUP(D4685,'Resultats - informe'!$Y$18:$AG$42,'Introducció dades consum'!K4685+1,0)</f>
        <v>0</v>
      </c>
      <c r="O4685" s="370" cm="1">
        <f t="array" ref="O4685">+_xlfn.SWITCH(MONTH(C4685),1,1,2,1,3,1,4,2,5,2,6,3,7,3,8,3,9,3,10,2,11,2,12,1,2)</f>
        <v>1</v>
      </c>
      <c r="P4685" s="43"/>
    </row>
    <row r="4686" spans="1:16" ht="18" x14ac:dyDescent="0.35">
      <c r="A4686" s="43"/>
      <c r="C4686" s="393"/>
      <c r="E4686" s="394"/>
      <c r="F4686" s="394">
        <v>0</v>
      </c>
      <c r="G4686" s="394"/>
      <c r="H4686" s="8" t="s">
        <v>235</v>
      </c>
      <c r="I4686" s="368">
        <f t="shared" si="220"/>
        <v>0</v>
      </c>
      <c r="J4686" s="365">
        <f t="shared" si="219"/>
        <v>0</v>
      </c>
      <c r="K4686" s="369">
        <f t="shared" si="221"/>
        <v>6</v>
      </c>
      <c r="L4686" s="369">
        <f>+IF((C4686&gt;='Resultats - informe'!$E$16)*(C4686&lt;='Resultats - informe'!$G$16),1,0)</f>
        <v>1</v>
      </c>
      <c r="M4686" s="369" cm="1">
        <f t="array" ref="M4686">+_xlfn.IFS((C4686&gt;='Resultats - informe'!$D$26)*(C4686&lt;='Resultats - informe'!$E$26),0,(C4686&gt;='Resultats - informe'!$D$27)*(C4686&lt;='Resultats - informe'!$E$27),0,(C4686&gt;='Resultats - informe'!$D$28)*(C4686&lt;='Resultats - informe'!$E$28),0,(C4686&gt;='Resultats - informe'!$D$29)*(C4686&lt;='Resultats - informe'!$E$29),0,1,1)</f>
        <v>0</v>
      </c>
      <c r="N4686" s="366">
        <f>+VLOOKUP(D4686,'Resultats - informe'!$Y$18:$AG$42,'Introducció dades consum'!K4686+1,0)</f>
        <v>0</v>
      </c>
      <c r="O4686" s="370" cm="1">
        <f t="array" ref="O4686">+_xlfn.SWITCH(MONTH(C4686),1,1,2,1,3,1,4,2,5,2,6,3,7,3,8,3,9,3,10,2,11,2,12,1,2)</f>
        <v>1</v>
      </c>
      <c r="P4686" s="43"/>
    </row>
    <row r="4687" spans="1:16" ht="18" x14ac:dyDescent="0.35">
      <c r="A4687" s="43"/>
      <c r="C4687" s="393"/>
      <c r="E4687" s="394"/>
      <c r="F4687" s="394">
        <v>0</v>
      </c>
      <c r="G4687" s="394"/>
      <c r="H4687" s="8" t="s">
        <v>235</v>
      </c>
      <c r="I4687" s="368">
        <f t="shared" si="220"/>
        <v>0</v>
      </c>
      <c r="J4687" s="365">
        <f t="shared" si="219"/>
        <v>0</v>
      </c>
      <c r="K4687" s="369">
        <f t="shared" si="221"/>
        <v>6</v>
      </c>
      <c r="L4687" s="369">
        <f>+IF((C4687&gt;='Resultats - informe'!$E$16)*(C4687&lt;='Resultats - informe'!$G$16),1,0)</f>
        <v>1</v>
      </c>
      <c r="M4687" s="369" cm="1">
        <f t="array" ref="M4687">+_xlfn.IFS((C4687&gt;='Resultats - informe'!$D$26)*(C4687&lt;='Resultats - informe'!$E$26),0,(C4687&gt;='Resultats - informe'!$D$27)*(C4687&lt;='Resultats - informe'!$E$27),0,(C4687&gt;='Resultats - informe'!$D$28)*(C4687&lt;='Resultats - informe'!$E$28),0,(C4687&gt;='Resultats - informe'!$D$29)*(C4687&lt;='Resultats - informe'!$E$29),0,1,1)</f>
        <v>0</v>
      </c>
      <c r="N4687" s="366">
        <f>+VLOOKUP(D4687,'Resultats - informe'!$Y$18:$AG$42,'Introducció dades consum'!K4687+1,0)</f>
        <v>0</v>
      </c>
      <c r="O4687" s="370" cm="1">
        <f t="array" ref="O4687">+_xlfn.SWITCH(MONTH(C4687),1,1,2,1,3,1,4,2,5,2,6,3,7,3,8,3,9,3,10,2,11,2,12,1,2)</f>
        <v>1</v>
      </c>
      <c r="P4687" s="43"/>
    </row>
    <row r="4688" spans="1:16" ht="18" x14ac:dyDescent="0.35">
      <c r="A4688" s="43"/>
      <c r="C4688" s="393"/>
      <c r="E4688" s="394"/>
      <c r="F4688" s="394">
        <v>0</v>
      </c>
      <c r="G4688" s="394"/>
      <c r="H4688" s="8" t="s">
        <v>235</v>
      </c>
      <c r="I4688" s="368">
        <f t="shared" si="220"/>
        <v>0</v>
      </c>
      <c r="J4688" s="365">
        <f t="shared" si="219"/>
        <v>0</v>
      </c>
      <c r="K4688" s="369">
        <f t="shared" si="221"/>
        <v>6</v>
      </c>
      <c r="L4688" s="369">
        <f>+IF((C4688&gt;='Resultats - informe'!$E$16)*(C4688&lt;='Resultats - informe'!$G$16),1,0)</f>
        <v>1</v>
      </c>
      <c r="M4688" s="369" cm="1">
        <f t="array" ref="M4688">+_xlfn.IFS((C4688&gt;='Resultats - informe'!$D$26)*(C4688&lt;='Resultats - informe'!$E$26),0,(C4688&gt;='Resultats - informe'!$D$27)*(C4688&lt;='Resultats - informe'!$E$27),0,(C4688&gt;='Resultats - informe'!$D$28)*(C4688&lt;='Resultats - informe'!$E$28),0,(C4688&gt;='Resultats - informe'!$D$29)*(C4688&lt;='Resultats - informe'!$E$29),0,1,1)</f>
        <v>0</v>
      </c>
      <c r="N4688" s="366">
        <f>+VLOOKUP(D4688,'Resultats - informe'!$Y$18:$AG$42,'Introducció dades consum'!K4688+1,0)</f>
        <v>0</v>
      </c>
      <c r="O4688" s="370" cm="1">
        <f t="array" ref="O4688">+_xlfn.SWITCH(MONTH(C4688),1,1,2,1,3,1,4,2,5,2,6,3,7,3,8,3,9,3,10,2,11,2,12,1,2)</f>
        <v>1</v>
      </c>
      <c r="P4688" s="43"/>
    </row>
    <row r="4689" spans="1:16" ht="18" x14ac:dyDescent="0.35">
      <c r="A4689" s="43"/>
      <c r="C4689" s="393"/>
      <c r="E4689" s="394"/>
      <c r="F4689" s="394">
        <v>0</v>
      </c>
      <c r="G4689" s="394"/>
      <c r="H4689" s="8" t="s">
        <v>235</v>
      </c>
      <c r="I4689" s="368">
        <f t="shared" si="220"/>
        <v>0</v>
      </c>
      <c r="J4689" s="365">
        <f t="shared" si="219"/>
        <v>0</v>
      </c>
      <c r="K4689" s="369">
        <f t="shared" si="221"/>
        <v>6</v>
      </c>
      <c r="L4689" s="369">
        <f>+IF((C4689&gt;='Resultats - informe'!$E$16)*(C4689&lt;='Resultats - informe'!$G$16),1,0)</f>
        <v>1</v>
      </c>
      <c r="M4689" s="369" cm="1">
        <f t="array" ref="M4689">+_xlfn.IFS((C4689&gt;='Resultats - informe'!$D$26)*(C4689&lt;='Resultats - informe'!$E$26),0,(C4689&gt;='Resultats - informe'!$D$27)*(C4689&lt;='Resultats - informe'!$E$27),0,(C4689&gt;='Resultats - informe'!$D$28)*(C4689&lt;='Resultats - informe'!$E$28),0,(C4689&gt;='Resultats - informe'!$D$29)*(C4689&lt;='Resultats - informe'!$E$29),0,1,1)</f>
        <v>0</v>
      </c>
      <c r="N4689" s="366">
        <f>+VLOOKUP(D4689,'Resultats - informe'!$Y$18:$AG$42,'Introducció dades consum'!K4689+1,0)</f>
        <v>0</v>
      </c>
      <c r="O4689" s="370" cm="1">
        <f t="array" ref="O4689">+_xlfn.SWITCH(MONTH(C4689),1,1,2,1,3,1,4,2,5,2,6,3,7,3,8,3,9,3,10,2,11,2,12,1,2)</f>
        <v>1</v>
      </c>
      <c r="P4689" s="43"/>
    </row>
    <row r="4690" spans="1:16" ht="18" x14ac:dyDescent="0.35">
      <c r="A4690" s="43"/>
      <c r="C4690" s="393"/>
      <c r="E4690" s="394"/>
      <c r="F4690" s="394">
        <v>0</v>
      </c>
      <c r="G4690" s="394"/>
      <c r="H4690" s="8" t="s">
        <v>235</v>
      </c>
      <c r="I4690" s="368">
        <f t="shared" si="220"/>
        <v>0</v>
      </c>
      <c r="J4690" s="365">
        <f t="shared" si="219"/>
        <v>0</v>
      </c>
      <c r="K4690" s="369">
        <f t="shared" si="221"/>
        <v>6</v>
      </c>
      <c r="L4690" s="369">
        <f>+IF((C4690&gt;='Resultats - informe'!$E$16)*(C4690&lt;='Resultats - informe'!$G$16),1,0)</f>
        <v>1</v>
      </c>
      <c r="M4690" s="369" cm="1">
        <f t="array" ref="M4690">+_xlfn.IFS((C4690&gt;='Resultats - informe'!$D$26)*(C4690&lt;='Resultats - informe'!$E$26),0,(C4690&gt;='Resultats - informe'!$D$27)*(C4690&lt;='Resultats - informe'!$E$27),0,(C4690&gt;='Resultats - informe'!$D$28)*(C4690&lt;='Resultats - informe'!$E$28),0,(C4690&gt;='Resultats - informe'!$D$29)*(C4690&lt;='Resultats - informe'!$E$29),0,1,1)</f>
        <v>0</v>
      </c>
      <c r="N4690" s="366">
        <f>+VLOOKUP(D4690,'Resultats - informe'!$Y$18:$AG$42,'Introducció dades consum'!K4690+1,0)</f>
        <v>0</v>
      </c>
      <c r="O4690" s="370" cm="1">
        <f t="array" ref="O4690">+_xlfn.SWITCH(MONTH(C4690),1,1,2,1,3,1,4,2,5,2,6,3,7,3,8,3,9,3,10,2,11,2,12,1,2)</f>
        <v>1</v>
      </c>
      <c r="P4690" s="43"/>
    </row>
    <row r="4691" spans="1:16" ht="18" x14ac:dyDescent="0.35">
      <c r="A4691" s="43"/>
      <c r="C4691" s="393"/>
      <c r="E4691" s="394"/>
      <c r="F4691" s="394">
        <v>0</v>
      </c>
      <c r="G4691" s="394"/>
      <c r="H4691" s="8" t="s">
        <v>235</v>
      </c>
      <c r="I4691" s="368">
        <f t="shared" si="220"/>
        <v>0</v>
      </c>
      <c r="J4691" s="365">
        <f t="shared" si="219"/>
        <v>0</v>
      </c>
      <c r="K4691" s="369">
        <f t="shared" si="221"/>
        <v>6</v>
      </c>
      <c r="L4691" s="369">
        <f>+IF((C4691&gt;='Resultats - informe'!$E$16)*(C4691&lt;='Resultats - informe'!$G$16),1,0)</f>
        <v>1</v>
      </c>
      <c r="M4691" s="369" cm="1">
        <f t="array" ref="M4691">+_xlfn.IFS((C4691&gt;='Resultats - informe'!$D$26)*(C4691&lt;='Resultats - informe'!$E$26),0,(C4691&gt;='Resultats - informe'!$D$27)*(C4691&lt;='Resultats - informe'!$E$27),0,(C4691&gt;='Resultats - informe'!$D$28)*(C4691&lt;='Resultats - informe'!$E$28),0,(C4691&gt;='Resultats - informe'!$D$29)*(C4691&lt;='Resultats - informe'!$E$29),0,1,1)</f>
        <v>0</v>
      </c>
      <c r="N4691" s="366">
        <f>+VLOOKUP(D4691,'Resultats - informe'!$Y$18:$AG$42,'Introducció dades consum'!K4691+1,0)</f>
        <v>0</v>
      </c>
      <c r="O4691" s="370" cm="1">
        <f t="array" ref="O4691">+_xlfn.SWITCH(MONTH(C4691),1,1,2,1,3,1,4,2,5,2,6,3,7,3,8,3,9,3,10,2,11,2,12,1,2)</f>
        <v>1</v>
      </c>
      <c r="P4691" s="43"/>
    </row>
    <row r="4692" spans="1:16" ht="18" x14ac:dyDescent="0.35">
      <c r="A4692" s="43"/>
      <c r="C4692" s="393"/>
      <c r="E4692" s="394"/>
      <c r="F4692" s="394">
        <v>0.187</v>
      </c>
      <c r="G4692" s="394"/>
      <c r="H4692" s="8" t="s">
        <v>235</v>
      </c>
      <c r="I4692" s="368">
        <f t="shared" si="220"/>
        <v>0</v>
      </c>
      <c r="J4692" s="365">
        <f t="shared" si="219"/>
        <v>0</v>
      </c>
      <c r="K4692" s="369">
        <f t="shared" si="221"/>
        <v>6</v>
      </c>
      <c r="L4692" s="369">
        <f>+IF((C4692&gt;='Resultats - informe'!$E$16)*(C4692&lt;='Resultats - informe'!$G$16),1,0)</f>
        <v>1</v>
      </c>
      <c r="M4692" s="369" cm="1">
        <f t="array" ref="M4692">+_xlfn.IFS((C4692&gt;='Resultats - informe'!$D$26)*(C4692&lt;='Resultats - informe'!$E$26),0,(C4692&gt;='Resultats - informe'!$D$27)*(C4692&lt;='Resultats - informe'!$E$27),0,(C4692&gt;='Resultats - informe'!$D$28)*(C4692&lt;='Resultats - informe'!$E$28),0,(C4692&gt;='Resultats - informe'!$D$29)*(C4692&lt;='Resultats - informe'!$E$29),0,1,1)</f>
        <v>0</v>
      </c>
      <c r="N4692" s="366">
        <f>+VLOOKUP(D4692,'Resultats - informe'!$Y$18:$AG$42,'Introducció dades consum'!K4692+1,0)</f>
        <v>0</v>
      </c>
      <c r="O4692" s="370" cm="1">
        <f t="array" ref="O4692">+_xlfn.SWITCH(MONTH(C4692),1,1,2,1,3,1,4,2,5,2,6,3,7,3,8,3,9,3,10,2,11,2,12,1,2)</f>
        <v>1</v>
      </c>
      <c r="P4692" s="43"/>
    </row>
    <row r="4693" spans="1:16" ht="18" x14ac:dyDescent="0.35">
      <c r="A4693" s="43"/>
      <c r="C4693" s="393"/>
      <c r="E4693" s="394"/>
      <c r="F4693" s="394">
        <v>1.5129999999999999</v>
      </c>
      <c r="G4693" s="394"/>
      <c r="H4693" s="8" t="s">
        <v>235</v>
      </c>
      <c r="I4693" s="368">
        <f t="shared" si="220"/>
        <v>0</v>
      </c>
      <c r="J4693" s="365">
        <f t="shared" si="219"/>
        <v>0</v>
      </c>
      <c r="K4693" s="369">
        <f t="shared" si="221"/>
        <v>6</v>
      </c>
      <c r="L4693" s="369">
        <f>+IF((C4693&gt;='Resultats - informe'!$E$16)*(C4693&lt;='Resultats - informe'!$G$16),1,0)</f>
        <v>1</v>
      </c>
      <c r="M4693" s="369" cm="1">
        <f t="array" ref="M4693">+_xlfn.IFS((C4693&gt;='Resultats - informe'!$D$26)*(C4693&lt;='Resultats - informe'!$E$26),0,(C4693&gt;='Resultats - informe'!$D$27)*(C4693&lt;='Resultats - informe'!$E$27),0,(C4693&gt;='Resultats - informe'!$D$28)*(C4693&lt;='Resultats - informe'!$E$28),0,(C4693&gt;='Resultats - informe'!$D$29)*(C4693&lt;='Resultats - informe'!$E$29),0,1,1)</f>
        <v>0</v>
      </c>
      <c r="N4693" s="366">
        <f>+VLOOKUP(D4693,'Resultats - informe'!$Y$18:$AG$42,'Introducció dades consum'!K4693+1,0)</f>
        <v>0</v>
      </c>
      <c r="O4693" s="370" cm="1">
        <f t="array" ref="O4693">+_xlfn.SWITCH(MONTH(C4693),1,1,2,1,3,1,4,2,5,2,6,3,7,3,8,3,9,3,10,2,11,2,12,1,2)</f>
        <v>1</v>
      </c>
      <c r="P4693" s="43"/>
    </row>
    <row r="4694" spans="1:16" ht="18" x14ac:dyDescent="0.35">
      <c r="A4694" s="43"/>
      <c r="C4694" s="393"/>
      <c r="E4694" s="394"/>
      <c r="F4694" s="394">
        <v>3.3929999999999998</v>
      </c>
      <c r="G4694" s="394"/>
      <c r="H4694" s="8" t="s">
        <v>235</v>
      </c>
      <c r="I4694" s="368">
        <f t="shared" si="220"/>
        <v>0</v>
      </c>
      <c r="J4694" s="365">
        <f t="shared" si="219"/>
        <v>0</v>
      </c>
      <c r="K4694" s="369">
        <f t="shared" si="221"/>
        <v>6</v>
      </c>
      <c r="L4694" s="369">
        <f>+IF((C4694&gt;='Resultats - informe'!$E$16)*(C4694&lt;='Resultats - informe'!$G$16),1,0)</f>
        <v>1</v>
      </c>
      <c r="M4694" s="369" cm="1">
        <f t="array" ref="M4694">+_xlfn.IFS((C4694&gt;='Resultats - informe'!$D$26)*(C4694&lt;='Resultats - informe'!$E$26),0,(C4694&gt;='Resultats - informe'!$D$27)*(C4694&lt;='Resultats - informe'!$E$27),0,(C4694&gt;='Resultats - informe'!$D$28)*(C4694&lt;='Resultats - informe'!$E$28),0,(C4694&gt;='Resultats - informe'!$D$29)*(C4694&lt;='Resultats - informe'!$E$29),0,1,1)</f>
        <v>0</v>
      </c>
      <c r="N4694" s="366">
        <f>+VLOOKUP(D4694,'Resultats - informe'!$Y$18:$AG$42,'Introducció dades consum'!K4694+1,0)</f>
        <v>0</v>
      </c>
      <c r="O4694" s="370" cm="1">
        <f t="array" ref="O4694">+_xlfn.SWITCH(MONTH(C4694),1,1,2,1,3,1,4,2,5,2,6,3,7,3,8,3,9,3,10,2,11,2,12,1,2)</f>
        <v>1</v>
      </c>
      <c r="P4694" s="43"/>
    </row>
    <row r="4695" spans="1:16" ht="18" x14ac:dyDescent="0.35">
      <c r="A4695" s="43"/>
      <c r="C4695" s="393"/>
      <c r="E4695" s="394"/>
      <c r="F4695" s="394">
        <v>4.6760000000000002</v>
      </c>
      <c r="G4695" s="394"/>
      <c r="H4695" s="8" t="s">
        <v>235</v>
      </c>
      <c r="I4695" s="368">
        <f t="shared" si="220"/>
        <v>0</v>
      </c>
      <c r="J4695" s="365">
        <f t="shared" si="219"/>
        <v>0</v>
      </c>
      <c r="K4695" s="369">
        <f t="shared" si="221"/>
        <v>6</v>
      </c>
      <c r="L4695" s="369">
        <f>+IF((C4695&gt;='Resultats - informe'!$E$16)*(C4695&lt;='Resultats - informe'!$G$16),1,0)</f>
        <v>1</v>
      </c>
      <c r="M4695" s="369" cm="1">
        <f t="array" ref="M4695">+_xlfn.IFS((C4695&gt;='Resultats - informe'!$D$26)*(C4695&lt;='Resultats - informe'!$E$26),0,(C4695&gt;='Resultats - informe'!$D$27)*(C4695&lt;='Resultats - informe'!$E$27),0,(C4695&gt;='Resultats - informe'!$D$28)*(C4695&lt;='Resultats - informe'!$E$28),0,(C4695&gt;='Resultats - informe'!$D$29)*(C4695&lt;='Resultats - informe'!$E$29),0,1,1)</f>
        <v>0</v>
      </c>
      <c r="N4695" s="366">
        <f>+VLOOKUP(D4695,'Resultats - informe'!$Y$18:$AG$42,'Introducció dades consum'!K4695+1,0)</f>
        <v>0</v>
      </c>
      <c r="O4695" s="370" cm="1">
        <f t="array" ref="O4695">+_xlfn.SWITCH(MONTH(C4695),1,1,2,1,3,1,4,2,5,2,6,3,7,3,8,3,9,3,10,2,11,2,12,1,2)</f>
        <v>1</v>
      </c>
      <c r="P4695" s="43"/>
    </row>
    <row r="4696" spans="1:16" ht="18" x14ac:dyDescent="0.35">
      <c r="A4696" s="43"/>
      <c r="C4696" s="393"/>
      <c r="E4696" s="394"/>
      <c r="F4696" s="394">
        <v>5.2149999999999999</v>
      </c>
      <c r="G4696" s="394"/>
      <c r="H4696" s="8" t="s">
        <v>235</v>
      </c>
      <c r="I4696" s="368">
        <f t="shared" si="220"/>
        <v>0</v>
      </c>
      <c r="J4696" s="365">
        <f t="shared" si="219"/>
        <v>0</v>
      </c>
      <c r="K4696" s="369">
        <f t="shared" si="221"/>
        <v>6</v>
      </c>
      <c r="L4696" s="369">
        <f>+IF((C4696&gt;='Resultats - informe'!$E$16)*(C4696&lt;='Resultats - informe'!$G$16),1,0)</f>
        <v>1</v>
      </c>
      <c r="M4696" s="369" cm="1">
        <f t="array" ref="M4696">+_xlfn.IFS((C4696&gt;='Resultats - informe'!$D$26)*(C4696&lt;='Resultats - informe'!$E$26),0,(C4696&gt;='Resultats - informe'!$D$27)*(C4696&lt;='Resultats - informe'!$E$27),0,(C4696&gt;='Resultats - informe'!$D$28)*(C4696&lt;='Resultats - informe'!$E$28),0,(C4696&gt;='Resultats - informe'!$D$29)*(C4696&lt;='Resultats - informe'!$E$29),0,1,1)</f>
        <v>0</v>
      </c>
      <c r="N4696" s="366">
        <f>+VLOOKUP(D4696,'Resultats - informe'!$Y$18:$AG$42,'Introducció dades consum'!K4696+1,0)</f>
        <v>0</v>
      </c>
      <c r="O4696" s="370" cm="1">
        <f t="array" ref="O4696">+_xlfn.SWITCH(MONTH(C4696),1,1,2,1,3,1,4,2,5,2,6,3,7,3,8,3,9,3,10,2,11,2,12,1,2)</f>
        <v>1</v>
      </c>
      <c r="P4696" s="43"/>
    </row>
    <row r="4697" spans="1:16" ht="18" x14ac:dyDescent="0.35">
      <c r="A4697" s="43"/>
      <c r="C4697" s="393"/>
      <c r="E4697" s="394"/>
      <c r="F4697" s="394">
        <v>5.6429999999999998</v>
      </c>
      <c r="G4697" s="394"/>
      <c r="H4697" s="8" t="s">
        <v>235</v>
      </c>
      <c r="I4697" s="368">
        <f t="shared" si="220"/>
        <v>0</v>
      </c>
      <c r="J4697" s="365">
        <f t="shared" si="219"/>
        <v>0</v>
      </c>
      <c r="K4697" s="369">
        <f t="shared" si="221"/>
        <v>6</v>
      </c>
      <c r="L4697" s="369">
        <f>+IF((C4697&gt;='Resultats - informe'!$E$16)*(C4697&lt;='Resultats - informe'!$G$16),1,0)</f>
        <v>1</v>
      </c>
      <c r="M4697" s="369" cm="1">
        <f t="array" ref="M4697">+_xlfn.IFS((C4697&gt;='Resultats - informe'!$D$26)*(C4697&lt;='Resultats - informe'!$E$26),0,(C4697&gt;='Resultats - informe'!$D$27)*(C4697&lt;='Resultats - informe'!$E$27),0,(C4697&gt;='Resultats - informe'!$D$28)*(C4697&lt;='Resultats - informe'!$E$28),0,(C4697&gt;='Resultats - informe'!$D$29)*(C4697&lt;='Resultats - informe'!$E$29),0,1,1)</f>
        <v>0</v>
      </c>
      <c r="N4697" s="366">
        <f>+VLOOKUP(D4697,'Resultats - informe'!$Y$18:$AG$42,'Introducció dades consum'!K4697+1,0)</f>
        <v>0</v>
      </c>
      <c r="O4697" s="370" cm="1">
        <f t="array" ref="O4697">+_xlfn.SWITCH(MONTH(C4697),1,1,2,1,3,1,4,2,5,2,6,3,7,3,8,3,9,3,10,2,11,2,12,1,2)</f>
        <v>1</v>
      </c>
      <c r="P4697" s="43"/>
    </row>
    <row r="4698" spans="1:16" ht="18" x14ac:dyDescent="0.35">
      <c r="A4698" s="43"/>
      <c r="C4698" s="393"/>
      <c r="E4698" s="394"/>
      <c r="F4698" s="394">
        <v>5.258</v>
      </c>
      <c r="G4698" s="394"/>
      <c r="H4698" s="8" t="s">
        <v>235</v>
      </c>
      <c r="I4698" s="368">
        <f t="shared" si="220"/>
        <v>0</v>
      </c>
      <c r="J4698" s="365">
        <f t="shared" si="219"/>
        <v>0</v>
      </c>
      <c r="K4698" s="369">
        <f t="shared" si="221"/>
        <v>6</v>
      </c>
      <c r="L4698" s="369">
        <f>+IF((C4698&gt;='Resultats - informe'!$E$16)*(C4698&lt;='Resultats - informe'!$G$16),1,0)</f>
        <v>1</v>
      </c>
      <c r="M4698" s="369" cm="1">
        <f t="array" ref="M4698">+_xlfn.IFS((C4698&gt;='Resultats - informe'!$D$26)*(C4698&lt;='Resultats - informe'!$E$26),0,(C4698&gt;='Resultats - informe'!$D$27)*(C4698&lt;='Resultats - informe'!$E$27),0,(C4698&gt;='Resultats - informe'!$D$28)*(C4698&lt;='Resultats - informe'!$E$28),0,(C4698&gt;='Resultats - informe'!$D$29)*(C4698&lt;='Resultats - informe'!$E$29),0,1,1)</f>
        <v>0</v>
      </c>
      <c r="N4698" s="366">
        <f>+VLOOKUP(D4698,'Resultats - informe'!$Y$18:$AG$42,'Introducció dades consum'!K4698+1,0)</f>
        <v>0</v>
      </c>
      <c r="O4698" s="370" cm="1">
        <f t="array" ref="O4698">+_xlfn.SWITCH(MONTH(C4698),1,1,2,1,3,1,4,2,5,2,6,3,7,3,8,3,9,3,10,2,11,2,12,1,2)</f>
        <v>1</v>
      </c>
      <c r="P4698" s="43"/>
    </row>
    <row r="4699" spans="1:16" ht="18" x14ac:dyDescent="0.35">
      <c r="A4699" s="43"/>
      <c r="C4699" s="393"/>
      <c r="E4699" s="394"/>
      <c r="F4699" s="394">
        <v>2.7080000000000002</v>
      </c>
      <c r="G4699" s="394"/>
      <c r="H4699" s="8" t="s">
        <v>235</v>
      </c>
      <c r="I4699" s="368">
        <f t="shared" si="220"/>
        <v>0</v>
      </c>
      <c r="J4699" s="365">
        <f t="shared" si="219"/>
        <v>0</v>
      </c>
      <c r="K4699" s="369">
        <f t="shared" si="221"/>
        <v>6</v>
      </c>
      <c r="L4699" s="369">
        <f>+IF((C4699&gt;='Resultats - informe'!$E$16)*(C4699&lt;='Resultats - informe'!$G$16),1,0)</f>
        <v>1</v>
      </c>
      <c r="M4699" s="369" cm="1">
        <f t="array" ref="M4699">+_xlfn.IFS((C4699&gt;='Resultats - informe'!$D$26)*(C4699&lt;='Resultats - informe'!$E$26),0,(C4699&gt;='Resultats - informe'!$D$27)*(C4699&lt;='Resultats - informe'!$E$27),0,(C4699&gt;='Resultats - informe'!$D$28)*(C4699&lt;='Resultats - informe'!$E$28),0,(C4699&gt;='Resultats - informe'!$D$29)*(C4699&lt;='Resultats - informe'!$E$29),0,1,1)</f>
        <v>0</v>
      </c>
      <c r="N4699" s="366">
        <f>+VLOOKUP(D4699,'Resultats - informe'!$Y$18:$AG$42,'Introducció dades consum'!K4699+1,0)</f>
        <v>0</v>
      </c>
      <c r="O4699" s="370" cm="1">
        <f t="array" ref="O4699">+_xlfn.SWITCH(MONTH(C4699),1,1,2,1,3,1,4,2,5,2,6,3,7,3,8,3,9,3,10,2,11,2,12,1,2)</f>
        <v>1</v>
      </c>
      <c r="P4699" s="43"/>
    </row>
    <row r="4700" spans="1:16" ht="18" x14ac:dyDescent="0.35">
      <c r="A4700" s="9"/>
      <c r="C4700" s="393"/>
      <c r="E4700" s="394"/>
      <c r="F4700" s="394">
        <v>1.288</v>
      </c>
      <c r="G4700" s="394"/>
      <c r="H4700" s="8" t="s">
        <v>235</v>
      </c>
      <c r="I4700" s="368">
        <f t="shared" si="220"/>
        <v>0</v>
      </c>
      <c r="J4700" s="365">
        <f t="shared" si="219"/>
        <v>0</v>
      </c>
      <c r="K4700" s="369">
        <f t="shared" si="221"/>
        <v>6</v>
      </c>
      <c r="L4700" s="369">
        <f>+IF((C4700&gt;='Resultats - informe'!$E$16)*(C4700&lt;='Resultats - informe'!$G$16),1,0)</f>
        <v>1</v>
      </c>
      <c r="M4700" s="369" cm="1">
        <f t="array" ref="M4700">+_xlfn.IFS((C4700&gt;='Resultats - informe'!$D$26)*(C4700&lt;='Resultats - informe'!$E$26),0,(C4700&gt;='Resultats - informe'!$D$27)*(C4700&lt;='Resultats - informe'!$E$27),0,(C4700&gt;='Resultats - informe'!$D$28)*(C4700&lt;='Resultats - informe'!$E$28),0,(C4700&gt;='Resultats - informe'!$D$29)*(C4700&lt;='Resultats - informe'!$E$29),0,1,1)</f>
        <v>0</v>
      </c>
      <c r="N4700" s="366">
        <f>+VLOOKUP(D4700,'Resultats - informe'!$Y$18:$AG$42,'Introducció dades consum'!K4700+1,0)</f>
        <v>0</v>
      </c>
      <c r="O4700" s="370" cm="1">
        <f t="array" ref="O4700">+_xlfn.SWITCH(MONTH(C4700),1,1,2,1,3,1,4,2,5,2,6,3,7,3,8,3,9,3,10,2,11,2,12,1,2)</f>
        <v>1</v>
      </c>
      <c r="P4700" s="43"/>
    </row>
    <row r="4701" spans="1:16" ht="18" x14ac:dyDescent="0.35">
      <c r="A4701" s="9"/>
      <c r="C4701" s="393"/>
      <c r="E4701" s="394"/>
      <c r="F4701" s="394">
        <v>0.99099999999999999</v>
      </c>
      <c r="G4701" s="394"/>
      <c r="H4701" s="8" t="s">
        <v>235</v>
      </c>
      <c r="I4701" s="368">
        <f t="shared" si="220"/>
        <v>0</v>
      </c>
      <c r="J4701" s="365">
        <f t="shared" si="219"/>
        <v>0</v>
      </c>
      <c r="K4701" s="369">
        <f t="shared" si="221"/>
        <v>6</v>
      </c>
      <c r="L4701" s="369">
        <f>+IF((C4701&gt;='Resultats - informe'!$E$16)*(C4701&lt;='Resultats - informe'!$G$16),1,0)</f>
        <v>1</v>
      </c>
      <c r="M4701" s="369" cm="1">
        <f t="array" ref="M4701">+_xlfn.IFS((C4701&gt;='Resultats - informe'!$D$26)*(C4701&lt;='Resultats - informe'!$E$26),0,(C4701&gt;='Resultats - informe'!$D$27)*(C4701&lt;='Resultats - informe'!$E$27),0,(C4701&gt;='Resultats - informe'!$D$28)*(C4701&lt;='Resultats - informe'!$E$28),0,(C4701&gt;='Resultats - informe'!$D$29)*(C4701&lt;='Resultats - informe'!$E$29),0,1,1)</f>
        <v>0</v>
      </c>
      <c r="N4701" s="366">
        <f>+VLOOKUP(D4701,'Resultats - informe'!$Y$18:$AG$42,'Introducció dades consum'!K4701+1,0)</f>
        <v>0</v>
      </c>
      <c r="O4701" s="370" cm="1">
        <f t="array" ref="O4701">+_xlfn.SWITCH(MONTH(C4701),1,1,2,1,3,1,4,2,5,2,6,3,7,3,8,3,9,3,10,2,11,2,12,1,2)</f>
        <v>1</v>
      </c>
      <c r="P4701" s="43"/>
    </row>
    <row r="4702" spans="1:16" ht="18" x14ac:dyDescent="0.35">
      <c r="A4702" s="9"/>
      <c r="C4702" s="393"/>
      <c r="E4702" s="394"/>
      <c r="F4702" s="394">
        <v>0.155</v>
      </c>
      <c r="G4702" s="394"/>
      <c r="H4702" s="8" t="s">
        <v>235</v>
      </c>
      <c r="I4702" s="368">
        <f t="shared" si="220"/>
        <v>0</v>
      </c>
      <c r="J4702" s="365">
        <f t="shared" si="219"/>
        <v>0</v>
      </c>
      <c r="K4702" s="369">
        <f t="shared" si="221"/>
        <v>6</v>
      </c>
      <c r="L4702" s="369">
        <f>+IF((C4702&gt;='Resultats - informe'!$E$16)*(C4702&lt;='Resultats - informe'!$G$16),1,0)</f>
        <v>1</v>
      </c>
      <c r="M4702" s="369" cm="1">
        <f t="array" ref="M4702">+_xlfn.IFS((C4702&gt;='Resultats - informe'!$D$26)*(C4702&lt;='Resultats - informe'!$E$26),0,(C4702&gt;='Resultats - informe'!$D$27)*(C4702&lt;='Resultats - informe'!$E$27),0,(C4702&gt;='Resultats - informe'!$D$28)*(C4702&lt;='Resultats - informe'!$E$28),0,(C4702&gt;='Resultats - informe'!$D$29)*(C4702&lt;='Resultats - informe'!$E$29),0,1,1)</f>
        <v>0</v>
      </c>
      <c r="N4702" s="366">
        <f>+VLOOKUP(D4702,'Resultats - informe'!$Y$18:$AG$42,'Introducció dades consum'!K4702+1,0)</f>
        <v>0</v>
      </c>
      <c r="O4702" s="370" cm="1">
        <f t="array" ref="O4702">+_xlfn.SWITCH(MONTH(C4702),1,1,2,1,3,1,4,2,5,2,6,3,7,3,8,3,9,3,10,2,11,2,12,1,2)</f>
        <v>1</v>
      </c>
      <c r="P4702" s="43"/>
    </row>
    <row r="4703" spans="1:16" ht="18" x14ac:dyDescent="0.35">
      <c r="A4703" s="9"/>
      <c r="C4703" s="393"/>
      <c r="E4703" s="394"/>
      <c r="F4703" s="394">
        <v>6.9000000000000006E-2</v>
      </c>
      <c r="G4703" s="394"/>
      <c r="H4703" s="8" t="s">
        <v>235</v>
      </c>
      <c r="I4703" s="368">
        <f t="shared" si="220"/>
        <v>0</v>
      </c>
      <c r="J4703" s="365">
        <f t="shared" si="219"/>
        <v>0</v>
      </c>
      <c r="K4703" s="369">
        <f t="shared" si="221"/>
        <v>6</v>
      </c>
      <c r="L4703" s="369">
        <f>+IF((C4703&gt;='Resultats - informe'!$E$16)*(C4703&lt;='Resultats - informe'!$G$16),1,0)</f>
        <v>1</v>
      </c>
      <c r="M4703" s="369" cm="1">
        <f t="array" ref="M4703">+_xlfn.IFS((C4703&gt;='Resultats - informe'!$D$26)*(C4703&lt;='Resultats - informe'!$E$26),0,(C4703&gt;='Resultats - informe'!$D$27)*(C4703&lt;='Resultats - informe'!$E$27),0,(C4703&gt;='Resultats - informe'!$D$28)*(C4703&lt;='Resultats - informe'!$E$28),0,(C4703&gt;='Resultats - informe'!$D$29)*(C4703&lt;='Resultats - informe'!$E$29),0,1,1)</f>
        <v>0</v>
      </c>
      <c r="N4703" s="366">
        <f>+VLOOKUP(D4703,'Resultats - informe'!$Y$18:$AG$42,'Introducció dades consum'!K4703+1,0)</f>
        <v>0</v>
      </c>
      <c r="O4703" s="370" cm="1">
        <f t="array" ref="O4703">+_xlfn.SWITCH(MONTH(C4703),1,1,2,1,3,1,4,2,5,2,6,3,7,3,8,3,9,3,10,2,11,2,12,1,2)</f>
        <v>1</v>
      </c>
      <c r="P4703" s="43"/>
    </row>
    <row r="4704" spans="1:16" ht="18" x14ac:dyDescent="0.35">
      <c r="A4704" s="9"/>
      <c r="C4704" s="393"/>
      <c r="E4704" s="394"/>
      <c r="F4704" s="394">
        <v>0</v>
      </c>
      <c r="G4704" s="394"/>
      <c r="H4704" s="8" t="s">
        <v>235</v>
      </c>
      <c r="I4704" s="368">
        <f t="shared" si="220"/>
        <v>0</v>
      </c>
      <c r="J4704" s="365">
        <f t="shared" si="219"/>
        <v>0</v>
      </c>
      <c r="K4704" s="369">
        <f t="shared" si="221"/>
        <v>6</v>
      </c>
      <c r="L4704" s="369">
        <f>+IF((C4704&gt;='Resultats - informe'!$E$16)*(C4704&lt;='Resultats - informe'!$G$16),1,0)</f>
        <v>1</v>
      </c>
      <c r="M4704" s="369" cm="1">
        <f t="array" ref="M4704">+_xlfn.IFS((C4704&gt;='Resultats - informe'!$D$26)*(C4704&lt;='Resultats - informe'!$E$26),0,(C4704&gt;='Resultats - informe'!$D$27)*(C4704&lt;='Resultats - informe'!$E$27),0,(C4704&gt;='Resultats - informe'!$D$28)*(C4704&lt;='Resultats - informe'!$E$28),0,(C4704&gt;='Resultats - informe'!$D$29)*(C4704&lt;='Resultats - informe'!$E$29),0,1,1)</f>
        <v>0</v>
      </c>
      <c r="N4704" s="366">
        <f>+VLOOKUP(D4704,'Resultats - informe'!$Y$18:$AG$42,'Introducció dades consum'!K4704+1,0)</f>
        <v>0</v>
      </c>
      <c r="O4704" s="370" cm="1">
        <f t="array" ref="O4704">+_xlfn.SWITCH(MONTH(C4704),1,1,2,1,3,1,4,2,5,2,6,3,7,3,8,3,9,3,10,2,11,2,12,1,2)</f>
        <v>1</v>
      </c>
      <c r="P4704" s="43"/>
    </row>
    <row r="4705" spans="1:16" ht="18" x14ac:dyDescent="0.35">
      <c r="A4705" s="9"/>
      <c r="C4705" s="393"/>
      <c r="E4705" s="394"/>
      <c r="F4705" s="394">
        <v>0</v>
      </c>
      <c r="G4705" s="394"/>
      <c r="H4705" s="8" t="s">
        <v>235</v>
      </c>
      <c r="I4705" s="368">
        <f t="shared" si="220"/>
        <v>0</v>
      </c>
      <c r="J4705" s="365">
        <f t="shared" si="219"/>
        <v>0</v>
      </c>
      <c r="K4705" s="369">
        <f t="shared" si="221"/>
        <v>6</v>
      </c>
      <c r="L4705" s="369">
        <f>+IF((C4705&gt;='Resultats - informe'!$E$16)*(C4705&lt;='Resultats - informe'!$G$16),1,0)</f>
        <v>1</v>
      </c>
      <c r="M4705" s="369" cm="1">
        <f t="array" ref="M4705">+_xlfn.IFS((C4705&gt;='Resultats - informe'!$D$26)*(C4705&lt;='Resultats - informe'!$E$26),0,(C4705&gt;='Resultats - informe'!$D$27)*(C4705&lt;='Resultats - informe'!$E$27),0,(C4705&gt;='Resultats - informe'!$D$28)*(C4705&lt;='Resultats - informe'!$E$28),0,(C4705&gt;='Resultats - informe'!$D$29)*(C4705&lt;='Resultats - informe'!$E$29),0,1,1)</f>
        <v>0</v>
      </c>
      <c r="N4705" s="366">
        <f>+VLOOKUP(D4705,'Resultats - informe'!$Y$18:$AG$42,'Introducció dades consum'!K4705+1,0)</f>
        <v>0</v>
      </c>
      <c r="O4705" s="370" cm="1">
        <f t="array" ref="O4705">+_xlfn.SWITCH(MONTH(C4705),1,1,2,1,3,1,4,2,5,2,6,3,7,3,8,3,9,3,10,2,11,2,12,1,2)</f>
        <v>1</v>
      </c>
      <c r="P4705" s="43"/>
    </row>
    <row r="4706" spans="1:16" ht="18" x14ac:dyDescent="0.35">
      <c r="A4706" s="9"/>
      <c r="C4706" s="393"/>
      <c r="E4706" s="394"/>
      <c r="F4706" s="394">
        <v>0</v>
      </c>
      <c r="G4706" s="394"/>
      <c r="H4706" s="8" t="s">
        <v>235</v>
      </c>
      <c r="I4706" s="368">
        <f t="shared" si="220"/>
        <v>0</v>
      </c>
      <c r="J4706" s="365">
        <f t="shared" si="219"/>
        <v>0</v>
      </c>
      <c r="K4706" s="369">
        <f t="shared" si="221"/>
        <v>6</v>
      </c>
      <c r="L4706" s="369">
        <f>+IF((C4706&gt;='Resultats - informe'!$E$16)*(C4706&lt;='Resultats - informe'!$G$16),1,0)</f>
        <v>1</v>
      </c>
      <c r="M4706" s="369" cm="1">
        <f t="array" ref="M4706">+_xlfn.IFS((C4706&gt;='Resultats - informe'!$D$26)*(C4706&lt;='Resultats - informe'!$E$26),0,(C4706&gt;='Resultats - informe'!$D$27)*(C4706&lt;='Resultats - informe'!$E$27),0,(C4706&gt;='Resultats - informe'!$D$28)*(C4706&lt;='Resultats - informe'!$E$28),0,(C4706&gt;='Resultats - informe'!$D$29)*(C4706&lt;='Resultats - informe'!$E$29),0,1,1)</f>
        <v>0</v>
      </c>
      <c r="N4706" s="366">
        <f>+VLOOKUP(D4706,'Resultats - informe'!$Y$18:$AG$42,'Introducció dades consum'!K4706+1,0)</f>
        <v>0</v>
      </c>
      <c r="O4706" s="370" cm="1">
        <f t="array" ref="O4706">+_xlfn.SWITCH(MONTH(C4706),1,1,2,1,3,1,4,2,5,2,6,3,7,3,8,3,9,3,10,2,11,2,12,1,2)</f>
        <v>1</v>
      </c>
      <c r="P4706" s="43"/>
    </row>
    <row r="4707" spans="1:16" ht="18" x14ac:dyDescent="0.35">
      <c r="A4707" s="9"/>
      <c r="C4707" s="393"/>
      <c r="E4707" s="394"/>
      <c r="F4707" s="394">
        <v>0</v>
      </c>
      <c r="G4707" s="394"/>
      <c r="H4707" s="8" t="s">
        <v>235</v>
      </c>
      <c r="I4707" s="368">
        <f t="shared" si="220"/>
        <v>0</v>
      </c>
      <c r="J4707" s="365">
        <f t="shared" si="219"/>
        <v>0</v>
      </c>
      <c r="K4707" s="369">
        <f t="shared" si="221"/>
        <v>6</v>
      </c>
      <c r="L4707" s="369">
        <f>+IF((C4707&gt;='Resultats - informe'!$E$16)*(C4707&lt;='Resultats - informe'!$G$16),1,0)</f>
        <v>1</v>
      </c>
      <c r="M4707" s="369" cm="1">
        <f t="array" ref="M4707">+_xlfn.IFS((C4707&gt;='Resultats - informe'!$D$26)*(C4707&lt;='Resultats - informe'!$E$26),0,(C4707&gt;='Resultats - informe'!$D$27)*(C4707&lt;='Resultats - informe'!$E$27),0,(C4707&gt;='Resultats - informe'!$D$28)*(C4707&lt;='Resultats - informe'!$E$28),0,(C4707&gt;='Resultats - informe'!$D$29)*(C4707&lt;='Resultats - informe'!$E$29),0,1,1)</f>
        <v>0</v>
      </c>
      <c r="N4707" s="366">
        <f>+VLOOKUP(D4707,'Resultats - informe'!$Y$18:$AG$42,'Introducció dades consum'!K4707+1,0)</f>
        <v>0</v>
      </c>
      <c r="O4707" s="370" cm="1">
        <f t="array" ref="O4707">+_xlfn.SWITCH(MONTH(C4707),1,1,2,1,3,1,4,2,5,2,6,3,7,3,8,3,9,3,10,2,11,2,12,1,2)</f>
        <v>1</v>
      </c>
      <c r="P4707" s="43"/>
    </row>
    <row r="4708" spans="1:16" ht="18" x14ac:dyDescent="0.35">
      <c r="A4708" s="9"/>
      <c r="C4708" s="393"/>
      <c r="E4708" s="394"/>
      <c r="F4708" s="394">
        <v>0</v>
      </c>
      <c r="G4708" s="394"/>
      <c r="H4708" s="8" t="s">
        <v>235</v>
      </c>
      <c r="I4708" s="368">
        <f t="shared" si="220"/>
        <v>0</v>
      </c>
      <c r="J4708" s="365">
        <f t="shared" si="219"/>
        <v>0</v>
      </c>
      <c r="K4708" s="369">
        <f t="shared" si="221"/>
        <v>6</v>
      </c>
      <c r="L4708" s="369">
        <f>+IF((C4708&gt;='Resultats - informe'!$E$16)*(C4708&lt;='Resultats - informe'!$G$16),1,0)</f>
        <v>1</v>
      </c>
      <c r="M4708" s="369" cm="1">
        <f t="array" ref="M4708">+_xlfn.IFS((C4708&gt;='Resultats - informe'!$D$26)*(C4708&lt;='Resultats - informe'!$E$26),0,(C4708&gt;='Resultats - informe'!$D$27)*(C4708&lt;='Resultats - informe'!$E$27),0,(C4708&gt;='Resultats - informe'!$D$28)*(C4708&lt;='Resultats - informe'!$E$28),0,(C4708&gt;='Resultats - informe'!$D$29)*(C4708&lt;='Resultats - informe'!$E$29),0,1,1)</f>
        <v>0</v>
      </c>
      <c r="N4708" s="366">
        <f>+VLOOKUP(D4708,'Resultats - informe'!$Y$18:$AG$42,'Introducció dades consum'!K4708+1,0)</f>
        <v>0</v>
      </c>
      <c r="O4708" s="370" cm="1">
        <f t="array" ref="O4708">+_xlfn.SWITCH(MONTH(C4708),1,1,2,1,3,1,4,2,5,2,6,3,7,3,8,3,9,3,10,2,11,2,12,1,2)</f>
        <v>1</v>
      </c>
      <c r="P4708" s="43"/>
    </row>
    <row r="4709" spans="1:16" ht="18" x14ac:dyDescent="0.35">
      <c r="A4709" s="9"/>
      <c r="C4709" s="393"/>
      <c r="E4709" s="394"/>
      <c r="F4709" s="394">
        <v>0</v>
      </c>
      <c r="G4709" s="394"/>
      <c r="H4709" s="8" t="s">
        <v>235</v>
      </c>
      <c r="I4709" s="368">
        <f t="shared" si="220"/>
        <v>0</v>
      </c>
      <c r="J4709" s="365">
        <f t="shared" si="219"/>
        <v>0</v>
      </c>
      <c r="K4709" s="369">
        <f t="shared" si="221"/>
        <v>6</v>
      </c>
      <c r="L4709" s="369">
        <f>+IF((C4709&gt;='Resultats - informe'!$E$16)*(C4709&lt;='Resultats - informe'!$G$16),1,0)</f>
        <v>1</v>
      </c>
      <c r="M4709" s="369" cm="1">
        <f t="array" ref="M4709">+_xlfn.IFS((C4709&gt;='Resultats - informe'!$D$26)*(C4709&lt;='Resultats - informe'!$E$26),0,(C4709&gt;='Resultats - informe'!$D$27)*(C4709&lt;='Resultats - informe'!$E$27),0,(C4709&gt;='Resultats - informe'!$D$28)*(C4709&lt;='Resultats - informe'!$E$28),0,(C4709&gt;='Resultats - informe'!$D$29)*(C4709&lt;='Resultats - informe'!$E$29),0,1,1)</f>
        <v>0</v>
      </c>
      <c r="N4709" s="366">
        <f>+VLOOKUP(D4709,'Resultats - informe'!$Y$18:$AG$42,'Introducció dades consum'!K4709+1,0)</f>
        <v>0</v>
      </c>
      <c r="O4709" s="370" cm="1">
        <f t="array" ref="O4709">+_xlfn.SWITCH(MONTH(C4709),1,1,2,1,3,1,4,2,5,2,6,3,7,3,8,3,9,3,10,2,11,2,12,1,2)</f>
        <v>1</v>
      </c>
      <c r="P4709" s="43"/>
    </row>
    <row r="4710" spans="1:16" ht="18" x14ac:dyDescent="0.35">
      <c r="A4710" s="9"/>
      <c r="C4710" s="393"/>
      <c r="E4710" s="394"/>
      <c r="F4710" s="394">
        <v>0</v>
      </c>
      <c r="G4710" s="394"/>
      <c r="H4710" s="8" t="s">
        <v>235</v>
      </c>
      <c r="I4710" s="368">
        <f t="shared" si="220"/>
        <v>0</v>
      </c>
      <c r="J4710" s="365">
        <f t="shared" si="219"/>
        <v>0</v>
      </c>
      <c r="K4710" s="369">
        <f t="shared" si="221"/>
        <v>6</v>
      </c>
      <c r="L4710" s="369">
        <f>+IF((C4710&gt;='Resultats - informe'!$E$16)*(C4710&lt;='Resultats - informe'!$G$16),1,0)</f>
        <v>1</v>
      </c>
      <c r="M4710" s="369" cm="1">
        <f t="array" ref="M4710">+_xlfn.IFS((C4710&gt;='Resultats - informe'!$D$26)*(C4710&lt;='Resultats - informe'!$E$26),0,(C4710&gt;='Resultats - informe'!$D$27)*(C4710&lt;='Resultats - informe'!$E$27),0,(C4710&gt;='Resultats - informe'!$D$28)*(C4710&lt;='Resultats - informe'!$E$28),0,(C4710&gt;='Resultats - informe'!$D$29)*(C4710&lt;='Resultats - informe'!$E$29),0,1,1)</f>
        <v>0</v>
      </c>
      <c r="N4710" s="366">
        <f>+VLOOKUP(D4710,'Resultats - informe'!$Y$18:$AG$42,'Introducció dades consum'!K4710+1,0)</f>
        <v>0</v>
      </c>
      <c r="O4710" s="370" cm="1">
        <f t="array" ref="O4710">+_xlfn.SWITCH(MONTH(C4710),1,1,2,1,3,1,4,2,5,2,6,3,7,3,8,3,9,3,10,2,11,2,12,1,2)</f>
        <v>1</v>
      </c>
      <c r="P4710" s="43"/>
    </row>
    <row r="4711" spans="1:16" ht="18" x14ac:dyDescent="0.35">
      <c r="A4711" s="9"/>
      <c r="C4711" s="393"/>
      <c r="E4711" s="394"/>
      <c r="F4711" s="394">
        <v>0</v>
      </c>
      <c r="G4711" s="394"/>
      <c r="H4711" s="8" t="s">
        <v>235</v>
      </c>
      <c r="I4711" s="368">
        <f t="shared" si="220"/>
        <v>0</v>
      </c>
      <c r="J4711" s="365">
        <f t="shared" si="219"/>
        <v>0</v>
      </c>
      <c r="K4711" s="369">
        <f t="shared" si="221"/>
        <v>6</v>
      </c>
      <c r="L4711" s="369">
        <f>+IF((C4711&gt;='Resultats - informe'!$E$16)*(C4711&lt;='Resultats - informe'!$G$16),1,0)</f>
        <v>1</v>
      </c>
      <c r="M4711" s="369" cm="1">
        <f t="array" ref="M4711">+_xlfn.IFS((C4711&gt;='Resultats - informe'!$D$26)*(C4711&lt;='Resultats - informe'!$E$26),0,(C4711&gt;='Resultats - informe'!$D$27)*(C4711&lt;='Resultats - informe'!$E$27),0,(C4711&gt;='Resultats - informe'!$D$28)*(C4711&lt;='Resultats - informe'!$E$28),0,(C4711&gt;='Resultats - informe'!$D$29)*(C4711&lt;='Resultats - informe'!$E$29),0,1,1)</f>
        <v>0</v>
      </c>
      <c r="N4711" s="366">
        <f>+VLOOKUP(D4711,'Resultats - informe'!$Y$18:$AG$42,'Introducció dades consum'!K4711+1,0)</f>
        <v>0</v>
      </c>
      <c r="O4711" s="370" cm="1">
        <f t="array" ref="O4711">+_xlfn.SWITCH(MONTH(C4711),1,1,2,1,3,1,4,2,5,2,6,3,7,3,8,3,9,3,10,2,11,2,12,1,2)</f>
        <v>1</v>
      </c>
      <c r="P4711" s="43"/>
    </row>
    <row r="4712" spans="1:16" ht="18" x14ac:dyDescent="0.35">
      <c r="A4712" s="9"/>
      <c r="C4712" s="393"/>
      <c r="E4712" s="394"/>
      <c r="F4712" s="394">
        <v>0</v>
      </c>
      <c r="G4712" s="394"/>
      <c r="H4712" s="8" t="s">
        <v>235</v>
      </c>
      <c r="I4712" s="368">
        <f t="shared" si="220"/>
        <v>0</v>
      </c>
      <c r="J4712" s="365">
        <f t="shared" si="219"/>
        <v>0</v>
      </c>
      <c r="K4712" s="369">
        <f t="shared" si="221"/>
        <v>6</v>
      </c>
      <c r="L4712" s="369">
        <f>+IF((C4712&gt;='Resultats - informe'!$E$16)*(C4712&lt;='Resultats - informe'!$G$16),1,0)</f>
        <v>1</v>
      </c>
      <c r="M4712" s="369" cm="1">
        <f t="array" ref="M4712">+_xlfn.IFS((C4712&gt;='Resultats - informe'!$D$26)*(C4712&lt;='Resultats - informe'!$E$26),0,(C4712&gt;='Resultats - informe'!$D$27)*(C4712&lt;='Resultats - informe'!$E$27),0,(C4712&gt;='Resultats - informe'!$D$28)*(C4712&lt;='Resultats - informe'!$E$28),0,(C4712&gt;='Resultats - informe'!$D$29)*(C4712&lt;='Resultats - informe'!$E$29),0,1,1)</f>
        <v>0</v>
      </c>
      <c r="N4712" s="366">
        <f>+VLOOKUP(D4712,'Resultats - informe'!$Y$18:$AG$42,'Introducció dades consum'!K4712+1,0)</f>
        <v>0</v>
      </c>
      <c r="O4712" s="370" cm="1">
        <f t="array" ref="O4712">+_xlfn.SWITCH(MONTH(C4712),1,1,2,1,3,1,4,2,5,2,6,3,7,3,8,3,9,3,10,2,11,2,12,1,2)</f>
        <v>1</v>
      </c>
      <c r="P4712" s="43"/>
    </row>
    <row r="4713" spans="1:16" ht="18" x14ac:dyDescent="0.35">
      <c r="A4713" s="9"/>
      <c r="C4713" s="393"/>
      <c r="E4713" s="394"/>
      <c r="F4713" s="394">
        <v>0</v>
      </c>
      <c r="G4713" s="394"/>
      <c r="H4713" s="8" t="s">
        <v>235</v>
      </c>
      <c r="I4713" s="368">
        <f t="shared" si="220"/>
        <v>0</v>
      </c>
      <c r="J4713" s="365">
        <f t="shared" si="219"/>
        <v>0</v>
      </c>
      <c r="K4713" s="369">
        <f t="shared" si="221"/>
        <v>6</v>
      </c>
      <c r="L4713" s="369">
        <f>+IF((C4713&gt;='Resultats - informe'!$E$16)*(C4713&lt;='Resultats - informe'!$G$16),1,0)</f>
        <v>1</v>
      </c>
      <c r="M4713" s="369" cm="1">
        <f t="array" ref="M4713">+_xlfn.IFS((C4713&gt;='Resultats - informe'!$D$26)*(C4713&lt;='Resultats - informe'!$E$26),0,(C4713&gt;='Resultats - informe'!$D$27)*(C4713&lt;='Resultats - informe'!$E$27),0,(C4713&gt;='Resultats - informe'!$D$28)*(C4713&lt;='Resultats - informe'!$E$28),0,(C4713&gt;='Resultats - informe'!$D$29)*(C4713&lt;='Resultats - informe'!$E$29),0,1,1)</f>
        <v>0</v>
      </c>
      <c r="N4713" s="366">
        <f>+VLOOKUP(D4713,'Resultats - informe'!$Y$18:$AG$42,'Introducció dades consum'!K4713+1,0)</f>
        <v>0</v>
      </c>
      <c r="O4713" s="370" cm="1">
        <f t="array" ref="O4713">+_xlfn.SWITCH(MONTH(C4713),1,1,2,1,3,1,4,2,5,2,6,3,7,3,8,3,9,3,10,2,11,2,12,1,2)</f>
        <v>1</v>
      </c>
      <c r="P4713" s="43"/>
    </row>
    <row r="4714" spans="1:16" ht="18" x14ac:dyDescent="0.35">
      <c r="A4714" s="9"/>
      <c r="C4714" s="393"/>
      <c r="E4714" s="394"/>
      <c r="F4714" s="394">
        <v>0</v>
      </c>
      <c r="G4714" s="394"/>
      <c r="H4714" s="8" t="s">
        <v>235</v>
      </c>
      <c r="I4714" s="368">
        <f t="shared" si="220"/>
        <v>0</v>
      </c>
      <c r="J4714" s="365">
        <f t="shared" si="219"/>
        <v>0</v>
      </c>
      <c r="K4714" s="369">
        <f t="shared" si="221"/>
        <v>6</v>
      </c>
      <c r="L4714" s="369">
        <f>+IF((C4714&gt;='Resultats - informe'!$E$16)*(C4714&lt;='Resultats - informe'!$G$16),1,0)</f>
        <v>1</v>
      </c>
      <c r="M4714" s="369" cm="1">
        <f t="array" ref="M4714">+_xlfn.IFS((C4714&gt;='Resultats - informe'!$D$26)*(C4714&lt;='Resultats - informe'!$E$26),0,(C4714&gt;='Resultats - informe'!$D$27)*(C4714&lt;='Resultats - informe'!$E$27),0,(C4714&gt;='Resultats - informe'!$D$28)*(C4714&lt;='Resultats - informe'!$E$28),0,(C4714&gt;='Resultats - informe'!$D$29)*(C4714&lt;='Resultats - informe'!$E$29),0,1,1)</f>
        <v>0</v>
      </c>
      <c r="N4714" s="366">
        <f>+VLOOKUP(D4714,'Resultats - informe'!$Y$18:$AG$42,'Introducció dades consum'!K4714+1,0)</f>
        <v>0</v>
      </c>
      <c r="O4714" s="370" cm="1">
        <f t="array" ref="O4714">+_xlfn.SWITCH(MONTH(C4714),1,1,2,1,3,1,4,2,5,2,6,3,7,3,8,3,9,3,10,2,11,2,12,1,2)</f>
        <v>1</v>
      </c>
      <c r="P4714" s="43"/>
    </row>
    <row r="4715" spans="1:16" ht="18" x14ac:dyDescent="0.35">
      <c r="A4715" s="9"/>
      <c r="C4715" s="393"/>
      <c r="E4715" s="394"/>
      <c r="F4715" s="394">
        <v>0</v>
      </c>
      <c r="G4715" s="394"/>
      <c r="H4715" s="8" t="s">
        <v>235</v>
      </c>
      <c r="I4715" s="368">
        <f t="shared" si="220"/>
        <v>0</v>
      </c>
      <c r="J4715" s="365">
        <f t="shared" si="219"/>
        <v>0</v>
      </c>
      <c r="K4715" s="369">
        <f t="shared" si="221"/>
        <v>6</v>
      </c>
      <c r="L4715" s="369">
        <f>+IF((C4715&gt;='Resultats - informe'!$E$16)*(C4715&lt;='Resultats - informe'!$G$16),1,0)</f>
        <v>1</v>
      </c>
      <c r="M4715" s="369" cm="1">
        <f t="array" ref="M4715">+_xlfn.IFS((C4715&gt;='Resultats - informe'!$D$26)*(C4715&lt;='Resultats - informe'!$E$26),0,(C4715&gt;='Resultats - informe'!$D$27)*(C4715&lt;='Resultats - informe'!$E$27),0,(C4715&gt;='Resultats - informe'!$D$28)*(C4715&lt;='Resultats - informe'!$E$28),0,(C4715&gt;='Resultats - informe'!$D$29)*(C4715&lt;='Resultats - informe'!$E$29),0,1,1)</f>
        <v>0</v>
      </c>
      <c r="N4715" s="366">
        <f>+VLOOKUP(D4715,'Resultats - informe'!$Y$18:$AG$42,'Introducció dades consum'!K4715+1,0)</f>
        <v>0</v>
      </c>
      <c r="O4715" s="370" cm="1">
        <f t="array" ref="O4715">+_xlfn.SWITCH(MONTH(C4715),1,1,2,1,3,1,4,2,5,2,6,3,7,3,8,3,9,3,10,2,11,2,12,1,2)</f>
        <v>1</v>
      </c>
      <c r="P4715" s="43"/>
    </row>
    <row r="4716" spans="1:16" ht="18" x14ac:dyDescent="0.35">
      <c r="A4716" s="9"/>
      <c r="C4716" s="393"/>
      <c r="E4716" s="394"/>
      <c r="F4716" s="394">
        <v>0.24199999999999999</v>
      </c>
      <c r="G4716" s="394"/>
      <c r="H4716" s="8" t="s">
        <v>235</v>
      </c>
      <c r="I4716" s="368">
        <f t="shared" si="220"/>
        <v>0</v>
      </c>
      <c r="J4716" s="365">
        <f t="shared" si="219"/>
        <v>0</v>
      </c>
      <c r="K4716" s="369">
        <f t="shared" si="221"/>
        <v>6</v>
      </c>
      <c r="L4716" s="369">
        <f>+IF((C4716&gt;='Resultats - informe'!$E$16)*(C4716&lt;='Resultats - informe'!$G$16),1,0)</f>
        <v>1</v>
      </c>
      <c r="M4716" s="369" cm="1">
        <f t="array" ref="M4716">+_xlfn.IFS((C4716&gt;='Resultats - informe'!$D$26)*(C4716&lt;='Resultats - informe'!$E$26),0,(C4716&gt;='Resultats - informe'!$D$27)*(C4716&lt;='Resultats - informe'!$E$27),0,(C4716&gt;='Resultats - informe'!$D$28)*(C4716&lt;='Resultats - informe'!$E$28),0,(C4716&gt;='Resultats - informe'!$D$29)*(C4716&lt;='Resultats - informe'!$E$29),0,1,1)</f>
        <v>0</v>
      </c>
      <c r="N4716" s="366">
        <f>+VLOOKUP(D4716,'Resultats - informe'!$Y$18:$AG$42,'Introducció dades consum'!K4716+1,0)</f>
        <v>0</v>
      </c>
      <c r="O4716" s="370" cm="1">
        <f t="array" ref="O4716">+_xlfn.SWITCH(MONTH(C4716),1,1,2,1,3,1,4,2,5,2,6,3,7,3,8,3,9,3,10,2,11,2,12,1,2)</f>
        <v>1</v>
      </c>
      <c r="P4716" s="43"/>
    </row>
    <row r="4717" spans="1:16" ht="18" x14ac:dyDescent="0.35">
      <c r="A4717" s="9"/>
      <c r="C4717" s="393"/>
      <c r="E4717" s="394"/>
      <c r="F4717" s="394">
        <v>1.6930000000000001</v>
      </c>
      <c r="G4717" s="394"/>
      <c r="H4717" s="8" t="s">
        <v>235</v>
      </c>
      <c r="I4717" s="368">
        <f t="shared" si="220"/>
        <v>0</v>
      </c>
      <c r="J4717" s="365">
        <f t="shared" si="219"/>
        <v>0</v>
      </c>
      <c r="K4717" s="369">
        <f t="shared" si="221"/>
        <v>6</v>
      </c>
      <c r="L4717" s="369">
        <f>+IF((C4717&gt;='Resultats - informe'!$E$16)*(C4717&lt;='Resultats - informe'!$G$16),1,0)</f>
        <v>1</v>
      </c>
      <c r="M4717" s="369" cm="1">
        <f t="array" ref="M4717">+_xlfn.IFS((C4717&gt;='Resultats - informe'!$D$26)*(C4717&lt;='Resultats - informe'!$E$26),0,(C4717&gt;='Resultats - informe'!$D$27)*(C4717&lt;='Resultats - informe'!$E$27),0,(C4717&gt;='Resultats - informe'!$D$28)*(C4717&lt;='Resultats - informe'!$E$28),0,(C4717&gt;='Resultats - informe'!$D$29)*(C4717&lt;='Resultats - informe'!$E$29),0,1,1)</f>
        <v>0</v>
      </c>
      <c r="N4717" s="366">
        <f>+VLOOKUP(D4717,'Resultats - informe'!$Y$18:$AG$42,'Introducció dades consum'!K4717+1,0)</f>
        <v>0</v>
      </c>
      <c r="O4717" s="370" cm="1">
        <f t="array" ref="O4717">+_xlfn.SWITCH(MONTH(C4717),1,1,2,1,3,1,4,2,5,2,6,3,7,3,8,3,9,3,10,2,11,2,12,1,2)</f>
        <v>1</v>
      </c>
      <c r="P4717" s="43"/>
    </row>
    <row r="4718" spans="1:16" ht="18" x14ac:dyDescent="0.35">
      <c r="A4718" s="9"/>
      <c r="C4718" s="393"/>
      <c r="E4718" s="394"/>
      <c r="F4718" s="394">
        <v>3.62</v>
      </c>
      <c r="G4718" s="394"/>
      <c r="H4718" s="8" t="s">
        <v>235</v>
      </c>
      <c r="I4718" s="368">
        <f t="shared" si="220"/>
        <v>0</v>
      </c>
      <c r="J4718" s="365">
        <f t="shared" si="219"/>
        <v>0</v>
      </c>
      <c r="K4718" s="369">
        <f t="shared" si="221"/>
        <v>6</v>
      </c>
      <c r="L4718" s="369">
        <f>+IF((C4718&gt;='Resultats - informe'!$E$16)*(C4718&lt;='Resultats - informe'!$G$16),1,0)</f>
        <v>1</v>
      </c>
      <c r="M4718" s="369" cm="1">
        <f t="array" ref="M4718">+_xlfn.IFS((C4718&gt;='Resultats - informe'!$D$26)*(C4718&lt;='Resultats - informe'!$E$26),0,(C4718&gt;='Resultats - informe'!$D$27)*(C4718&lt;='Resultats - informe'!$E$27),0,(C4718&gt;='Resultats - informe'!$D$28)*(C4718&lt;='Resultats - informe'!$E$28),0,(C4718&gt;='Resultats - informe'!$D$29)*(C4718&lt;='Resultats - informe'!$E$29),0,1,1)</f>
        <v>0</v>
      </c>
      <c r="N4718" s="366">
        <f>+VLOOKUP(D4718,'Resultats - informe'!$Y$18:$AG$42,'Introducció dades consum'!K4718+1,0)</f>
        <v>0</v>
      </c>
      <c r="O4718" s="370" cm="1">
        <f t="array" ref="O4718">+_xlfn.SWITCH(MONTH(C4718),1,1,2,1,3,1,4,2,5,2,6,3,7,3,8,3,9,3,10,2,11,2,12,1,2)</f>
        <v>1</v>
      </c>
      <c r="P4718" s="43"/>
    </row>
    <row r="4719" spans="1:16" ht="18" x14ac:dyDescent="0.35">
      <c r="A4719" s="9"/>
      <c r="C4719" s="393"/>
      <c r="E4719" s="394"/>
      <c r="F4719" s="394">
        <v>3.9580000000000002</v>
      </c>
      <c r="G4719" s="394"/>
      <c r="H4719" s="8" t="s">
        <v>235</v>
      </c>
      <c r="I4719" s="368">
        <f t="shared" si="220"/>
        <v>0</v>
      </c>
      <c r="J4719" s="365">
        <f t="shared" si="219"/>
        <v>0</v>
      </c>
      <c r="K4719" s="369">
        <f t="shared" si="221"/>
        <v>6</v>
      </c>
      <c r="L4719" s="369">
        <f>+IF((C4719&gt;='Resultats - informe'!$E$16)*(C4719&lt;='Resultats - informe'!$G$16),1,0)</f>
        <v>1</v>
      </c>
      <c r="M4719" s="369" cm="1">
        <f t="array" ref="M4719">+_xlfn.IFS((C4719&gt;='Resultats - informe'!$D$26)*(C4719&lt;='Resultats - informe'!$E$26),0,(C4719&gt;='Resultats - informe'!$D$27)*(C4719&lt;='Resultats - informe'!$E$27),0,(C4719&gt;='Resultats - informe'!$D$28)*(C4719&lt;='Resultats - informe'!$E$28),0,(C4719&gt;='Resultats - informe'!$D$29)*(C4719&lt;='Resultats - informe'!$E$29),0,1,1)</f>
        <v>0</v>
      </c>
      <c r="N4719" s="366">
        <f>+VLOOKUP(D4719,'Resultats - informe'!$Y$18:$AG$42,'Introducció dades consum'!K4719+1,0)</f>
        <v>0</v>
      </c>
      <c r="O4719" s="370" cm="1">
        <f t="array" ref="O4719">+_xlfn.SWITCH(MONTH(C4719),1,1,2,1,3,1,4,2,5,2,6,3,7,3,8,3,9,3,10,2,11,2,12,1,2)</f>
        <v>1</v>
      </c>
      <c r="P4719" s="43"/>
    </row>
    <row r="4720" spans="1:16" ht="18" x14ac:dyDescent="0.35">
      <c r="A4720" s="9"/>
      <c r="C4720" s="393"/>
      <c r="E4720" s="394"/>
      <c r="F4720" s="394">
        <v>4.6070000000000002</v>
      </c>
      <c r="G4720" s="394"/>
      <c r="H4720" s="8" t="s">
        <v>235</v>
      </c>
      <c r="I4720" s="368">
        <f t="shared" si="220"/>
        <v>0</v>
      </c>
      <c r="J4720" s="365">
        <f t="shared" si="219"/>
        <v>0</v>
      </c>
      <c r="K4720" s="369">
        <f t="shared" si="221"/>
        <v>6</v>
      </c>
      <c r="L4720" s="369">
        <f>+IF((C4720&gt;='Resultats - informe'!$E$16)*(C4720&lt;='Resultats - informe'!$G$16),1,0)</f>
        <v>1</v>
      </c>
      <c r="M4720" s="369" cm="1">
        <f t="array" ref="M4720">+_xlfn.IFS((C4720&gt;='Resultats - informe'!$D$26)*(C4720&lt;='Resultats - informe'!$E$26),0,(C4720&gt;='Resultats - informe'!$D$27)*(C4720&lt;='Resultats - informe'!$E$27),0,(C4720&gt;='Resultats - informe'!$D$28)*(C4720&lt;='Resultats - informe'!$E$28),0,(C4720&gt;='Resultats - informe'!$D$29)*(C4720&lt;='Resultats - informe'!$E$29),0,1,1)</f>
        <v>0</v>
      </c>
      <c r="N4720" s="366">
        <f>+VLOOKUP(D4720,'Resultats - informe'!$Y$18:$AG$42,'Introducció dades consum'!K4720+1,0)</f>
        <v>0</v>
      </c>
      <c r="O4720" s="370" cm="1">
        <f t="array" ref="O4720">+_xlfn.SWITCH(MONTH(C4720),1,1,2,1,3,1,4,2,5,2,6,3,7,3,8,3,9,3,10,2,11,2,12,1,2)</f>
        <v>1</v>
      </c>
      <c r="P4720" s="43"/>
    </row>
    <row r="4721" spans="1:16" ht="18" x14ac:dyDescent="0.35">
      <c r="A4721" s="9"/>
      <c r="C4721" s="393"/>
      <c r="E4721" s="394"/>
      <c r="F4721" s="394">
        <v>4.3840000000000003</v>
      </c>
      <c r="G4721" s="394"/>
      <c r="H4721" s="8" t="s">
        <v>235</v>
      </c>
      <c r="I4721" s="368">
        <f t="shared" si="220"/>
        <v>0</v>
      </c>
      <c r="J4721" s="365">
        <f t="shared" si="219"/>
        <v>0</v>
      </c>
      <c r="K4721" s="369">
        <f t="shared" si="221"/>
        <v>6</v>
      </c>
      <c r="L4721" s="369">
        <f>+IF((C4721&gt;='Resultats - informe'!$E$16)*(C4721&lt;='Resultats - informe'!$G$16),1,0)</f>
        <v>1</v>
      </c>
      <c r="M4721" s="369" cm="1">
        <f t="array" ref="M4721">+_xlfn.IFS((C4721&gt;='Resultats - informe'!$D$26)*(C4721&lt;='Resultats - informe'!$E$26),0,(C4721&gt;='Resultats - informe'!$D$27)*(C4721&lt;='Resultats - informe'!$E$27),0,(C4721&gt;='Resultats - informe'!$D$28)*(C4721&lt;='Resultats - informe'!$E$28),0,(C4721&gt;='Resultats - informe'!$D$29)*(C4721&lt;='Resultats - informe'!$E$29),0,1,1)</f>
        <v>0</v>
      </c>
      <c r="N4721" s="366">
        <f>+VLOOKUP(D4721,'Resultats - informe'!$Y$18:$AG$42,'Introducció dades consum'!K4721+1,0)</f>
        <v>0</v>
      </c>
      <c r="O4721" s="370" cm="1">
        <f t="array" ref="O4721">+_xlfn.SWITCH(MONTH(C4721),1,1,2,1,3,1,4,2,5,2,6,3,7,3,8,3,9,3,10,2,11,2,12,1,2)</f>
        <v>1</v>
      </c>
      <c r="P4721" s="43"/>
    </row>
    <row r="4722" spans="1:16" ht="18" x14ac:dyDescent="0.35">
      <c r="A4722" s="9"/>
      <c r="C4722" s="393"/>
      <c r="E4722" s="394"/>
      <c r="F4722" s="394">
        <v>4.3140000000000001</v>
      </c>
      <c r="G4722" s="394"/>
      <c r="H4722" s="8" t="s">
        <v>235</v>
      </c>
      <c r="I4722" s="368">
        <f t="shared" si="220"/>
        <v>0</v>
      </c>
      <c r="J4722" s="365">
        <f t="shared" si="219"/>
        <v>0</v>
      </c>
      <c r="K4722" s="369">
        <f t="shared" si="221"/>
        <v>6</v>
      </c>
      <c r="L4722" s="369">
        <f>+IF((C4722&gt;='Resultats - informe'!$E$16)*(C4722&lt;='Resultats - informe'!$G$16),1,0)</f>
        <v>1</v>
      </c>
      <c r="M4722" s="369" cm="1">
        <f t="array" ref="M4722">+_xlfn.IFS((C4722&gt;='Resultats - informe'!$D$26)*(C4722&lt;='Resultats - informe'!$E$26),0,(C4722&gt;='Resultats - informe'!$D$27)*(C4722&lt;='Resultats - informe'!$E$27),0,(C4722&gt;='Resultats - informe'!$D$28)*(C4722&lt;='Resultats - informe'!$E$28),0,(C4722&gt;='Resultats - informe'!$D$29)*(C4722&lt;='Resultats - informe'!$E$29),0,1,1)</f>
        <v>0</v>
      </c>
      <c r="N4722" s="366">
        <f>+VLOOKUP(D4722,'Resultats - informe'!$Y$18:$AG$42,'Introducció dades consum'!K4722+1,0)</f>
        <v>0</v>
      </c>
      <c r="O4722" s="370" cm="1">
        <f t="array" ref="O4722">+_xlfn.SWITCH(MONTH(C4722),1,1,2,1,3,1,4,2,5,2,6,3,7,3,8,3,9,3,10,2,11,2,12,1,2)</f>
        <v>1</v>
      </c>
      <c r="P4722" s="43"/>
    </row>
    <row r="4723" spans="1:16" ht="18" x14ac:dyDescent="0.35">
      <c r="A4723" s="9"/>
      <c r="C4723" s="393"/>
      <c r="E4723" s="394"/>
      <c r="F4723" s="394">
        <v>5.4980000000000002</v>
      </c>
      <c r="G4723" s="394"/>
      <c r="H4723" s="8" t="s">
        <v>235</v>
      </c>
      <c r="I4723" s="368">
        <f t="shared" si="220"/>
        <v>0</v>
      </c>
      <c r="J4723" s="365">
        <f t="shared" si="219"/>
        <v>0</v>
      </c>
      <c r="K4723" s="369">
        <f t="shared" si="221"/>
        <v>6</v>
      </c>
      <c r="L4723" s="369">
        <f>+IF((C4723&gt;='Resultats - informe'!$E$16)*(C4723&lt;='Resultats - informe'!$G$16),1,0)</f>
        <v>1</v>
      </c>
      <c r="M4723" s="369" cm="1">
        <f t="array" ref="M4723">+_xlfn.IFS((C4723&gt;='Resultats - informe'!$D$26)*(C4723&lt;='Resultats - informe'!$E$26),0,(C4723&gt;='Resultats - informe'!$D$27)*(C4723&lt;='Resultats - informe'!$E$27),0,(C4723&gt;='Resultats - informe'!$D$28)*(C4723&lt;='Resultats - informe'!$E$28),0,(C4723&gt;='Resultats - informe'!$D$29)*(C4723&lt;='Resultats - informe'!$E$29),0,1,1)</f>
        <v>0</v>
      </c>
      <c r="N4723" s="366">
        <f>+VLOOKUP(D4723,'Resultats - informe'!$Y$18:$AG$42,'Introducció dades consum'!K4723+1,0)</f>
        <v>0</v>
      </c>
      <c r="O4723" s="370" cm="1">
        <f t="array" ref="O4723">+_xlfn.SWITCH(MONTH(C4723),1,1,2,1,3,1,4,2,5,2,6,3,7,3,8,3,9,3,10,2,11,2,12,1,2)</f>
        <v>1</v>
      </c>
      <c r="P4723" s="43"/>
    </row>
    <row r="4724" spans="1:16" ht="18" x14ac:dyDescent="0.35">
      <c r="A4724" s="9"/>
      <c r="C4724" s="393"/>
      <c r="E4724" s="394"/>
      <c r="F4724" s="394">
        <v>4.0830000000000002</v>
      </c>
      <c r="G4724" s="394"/>
      <c r="H4724" s="8" t="s">
        <v>235</v>
      </c>
      <c r="I4724" s="368">
        <f t="shared" si="220"/>
        <v>0</v>
      </c>
      <c r="J4724" s="365">
        <f t="shared" si="219"/>
        <v>0</v>
      </c>
      <c r="K4724" s="369">
        <f t="shared" si="221"/>
        <v>6</v>
      </c>
      <c r="L4724" s="369">
        <f>+IF((C4724&gt;='Resultats - informe'!$E$16)*(C4724&lt;='Resultats - informe'!$G$16),1,0)</f>
        <v>1</v>
      </c>
      <c r="M4724" s="369" cm="1">
        <f t="array" ref="M4724">+_xlfn.IFS((C4724&gt;='Resultats - informe'!$D$26)*(C4724&lt;='Resultats - informe'!$E$26),0,(C4724&gt;='Resultats - informe'!$D$27)*(C4724&lt;='Resultats - informe'!$E$27),0,(C4724&gt;='Resultats - informe'!$D$28)*(C4724&lt;='Resultats - informe'!$E$28),0,(C4724&gt;='Resultats - informe'!$D$29)*(C4724&lt;='Resultats - informe'!$E$29),0,1,1)</f>
        <v>0</v>
      </c>
      <c r="N4724" s="366">
        <f>+VLOOKUP(D4724,'Resultats - informe'!$Y$18:$AG$42,'Introducció dades consum'!K4724+1,0)</f>
        <v>0</v>
      </c>
      <c r="O4724" s="370" cm="1">
        <f t="array" ref="O4724">+_xlfn.SWITCH(MONTH(C4724),1,1,2,1,3,1,4,2,5,2,6,3,7,3,8,3,9,3,10,2,11,2,12,1,2)</f>
        <v>1</v>
      </c>
      <c r="P4724" s="43"/>
    </row>
    <row r="4725" spans="1:16" ht="18" x14ac:dyDescent="0.35">
      <c r="A4725" s="9"/>
      <c r="C4725" s="393"/>
      <c r="E4725" s="394"/>
      <c r="F4725" s="394">
        <v>1.008</v>
      </c>
      <c r="G4725" s="394"/>
      <c r="H4725" s="8" t="s">
        <v>235</v>
      </c>
      <c r="I4725" s="368">
        <f t="shared" si="220"/>
        <v>0</v>
      </c>
      <c r="J4725" s="365">
        <f t="shared" si="219"/>
        <v>0</v>
      </c>
      <c r="K4725" s="369">
        <f t="shared" si="221"/>
        <v>6</v>
      </c>
      <c r="L4725" s="369">
        <f>+IF((C4725&gt;='Resultats - informe'!$E$16)*(C4725&lt;='Resultats - informe'!$G$16),1,0)</f>
        <v>1</v>
      </c>
      <c r="M4725" s="369" cm="1">
        <f t="array" ref="M4725">+_xlfn.IFS((C4725&gt;='Resultats - informe'!$D$26)*(C4725&lt;='Resultats - informe'!$E$26),0,(C4725&gt;='Resultats - informe'!$D$27)*(C4725&lt;='Resultats - informe'!$E$27),0,(C4725&gt;='Resultats - informe'!$D$28)*(C4725&lt;='Resultats - informe'!$E$28),0,(C4725&gt;='Resultats - informe'!$D$29)*(C4725&lt;='Resultats - informe'!$E$29),0,1,1)</f>
        <v>0</v>
      </c>
      <c r="N4725" s="366">
        <f>+VLOOKUP(D4725,'Resultats - informe'!$Y$18:$AG$42,'Introducció dades consum'!K4725+1,0)</f>
        <v>0</v>
      </c>
      <c r="O4725" s="370" cm="1">
        <f t="array" ref="O4725">+_xlfn.SWITCH(MONTH(C4725),1,1,2,1,3,1,4,2,5,2,6,3,7,3,8,3,9,3,10,2,11,2,12,1,2)</f>
        <v>1</v>
      </c>
      <c r="P4725" s="43"/>
    </row>
    <row r="4726" spans="1:16" ht="18" x14ac:dyDescent="0.35">
      <c r="A4726" s="9"/>
      <c r="C4726" s="393"/>
      <c r="E4726" s="394"/>
      <c r="F4726" s="394">
        <v>0.80400000000000005</v>
      </c>
      <c r="G4726" s="394"/>
      <c r="H4726" s="8" t="s">
        <v>235</v>
      </c>
      <c r="I4726" s="368">
        <f t="shared" si="220"/>
        <v>0</v>
      </c>
      <c r="J4726" s="365">
        <f t="shared" si="219"/>
        <v>0</v>
      </c>
      <c r="K4726" s="369">
        <f t="shared" si="221"/>
        <v>6</v>
      </c>
      <c r="L4726" s="369">
        <f>+IF((C4726&gt;='Resultats - informe'!$E$16)*(C4726&lt;='Resultats - informe'!$G$16),1,0)</f>
        <v>1</v>
      </c>
      <c r="M4726" s="369" cm="1">
        <f t="array" ref="M4726">+_xlfn.IFS((C4726&gt;='Resultats - informe'!$D$26)*(C4726&lt;='Resultats - informe'!$E$26),0,(C4726&gt;='Resultats - informe'!$D$27)*(C4726&lt;='Resultats - informe'!$E$27),0,(C4726&gt;='Resultats - informe'!$D$28)*(C4726&lt;='Resultats - informe'!$E$28),0,(C4726&gt;='Resultats - informe'!$D$29)*(C4726&lt;='Resultats - informe'!$E$29),0,1,1)</f>
        <v>0</v>
      </c>
      <c r="N4726" s="366">
        <f>+VLOOKUP(D4726,'Resultats - informe'!$Y$18:$AG$42,'Introducció dades consum'!K4726+1,0)</f>
        <v>0</v>
      </c>
      <c r="O4726" s="370" cm="1">
        <f t="array" ref="O4726">+_xlfn.SWITCH(MONTH(C4726),1,1,2,1,3,1,4,2,5,2,6,3,7,3,8,3,9,3,10,2,11,2,12,1,2)</f>
        <v>1</v>
      </c>
      <c r="P4726" s="43"/>
    </row>
    <row r="4727" spans="1:16" ht="18" x14ac:dyDescent="0.35">
      <c r="A4727" s="9"/>
      <c r="C4727" s="393"/>
      <c r="E4727" s="394"/>
      <c r="F4727" s="394">
        <v>0.67900000000000005</v>
      </c>
      <c r="G4727" s="394"/>
      <c r="H4727" s="8" t="s">
        <v>235</v>
      </c>
      <c r="I4727" s="368">
        <f t="shared" si="220"/>
        <v>0</v>
      </c>
      <c r="J4727" s="365">
        <f t="shared" si="219"/>
        <v>0</v>
      </c>
      <c r="K4727" s="369">
        <f t="shared" si="221"/>
        <v>6</v>
      </c>
      <c r="L4727" s="369">
        <f>+IF((C4727&gt;='Resultats - informe'!$E$16)*(C4727&lt;='Resultats - informe'!$G$16),1,0)</f>
        <v>1</v>
      </c>
      <c r="M4727" s="369" cm="1">
        <f t="array" ref="M4727">+_xlfn.IFS((C4727&gt;='Resultats - informe'!$D$26)*(C4727&lt;='Resultats - informe'!$E$26),0,(C4727&gt;='Resultats - informe'!$D$27)*(C4727&lt;='Resultats - informe'!$E$27),0,(C4727&gt;='Resultats - informe'!$D$28)*(C4727&lt;='Resultats - informe'!$E$28),0,(C4727&gt;='Resultats - informe'!$D$29)*(C4727&lt;='Resultats - informe'!$E$29),0,1,1)</f>
        <v>0</v>
      </c>
      <c r="N4727" s="366">
        <f>+VLOOKUP(D4727,'Resultats - informe'!$Y$18:$AG$42,'Introducció dades consum'!K4727+1,0)</f>
        <v>0</v>
      </c>
      <c r="O4727" s="370" cm="1">
        <f t="array" ref="O4727">+_xlfn.SWITCH(MONTH(C4727),1,1,2,1,3,1,4,2,5,2,6,3,7,3,8,3,9,3,10,2,11,2,12,1,2)</f>
        <v>1</v>
      </c>
      <c r="P4727" s="43"/>
    </row>
    <row r="4728" spans="1:16" ht="18" x14ac:dyDescent="0.35">
      <c r="A4728" s="9"/>
      <c r="C4728" s="393"/>
      <c r="E4728" s="394"/>
      <c r="F4728" s="394">
        <v>0</v>
      </c>
      <c r="G4728" s="394"/>
      <c r="H4728" s="8" t="s">
        <v>235</v>
      </c>
      <c r="I4728" s="368">
        <f t="shared" si="220"/>
        <v>0</v>
      </c>
      <c r="J4728" s="365">
        <f t="shared" si="219"/>
        <v>0</v>
      </c>
      <c r="K4728" s="369">
        <f t="shared" si="221"/>
        <v>6</v>
      </c>
      <c r="L4728" s="369">
        <f>+IF((C4728&gt;='Resultats - informe'!$E$16)*(C4728&lt;='Resultats - informe'!$G$16),1,0)</f>
        <v>1</v>
      </c>
      <c r="M4728" s="369" cm="1">
        <f t="array" ref="M4728">+_xlfn.IFS((C4728&gt;='Resultats - informe'!$D$26)*(C4728&lt;='Resultats - informe'!$E$26),0,(C4728&gt;='Resultats - informe'!$D$27)*(C4728&lt;='Resultats - informe'!$E$27),0,(C4728&gt;='Resultats - informe'!$D$28)*(C4728&lt;='Resultats - informe'!$E$28),0,(C4728&gt;='Resultats - informe'!$D$29)*(C4728&lt;='Resultats - informe'!$E$29),0,1,1)</f>
        <v>0</v>
      </c>
      <c r="N4728" s="366">
        <f>+VLOOKUP(D4728,'Resultats - informe'!$Y$18:$AG$42,'Introducció dades consum'!K4728+1,0)</f>
        <v>0</v>
      </c>
      <c r="O4728" s="370" cm="1">
        <f t="array" ref="O4728">+_xlfn.SWITCH(MONTH(C4728),1,1,2,1,3,1,4,2,5,2,6,3,7,3,8,3,9,3,10,2,11,2,12,1,2)</f>
        <v>1</v>
      </c>
      <c r="P4728" s="43"/>
    </row>
    <row r="4729" spans="1:16" ht="18" x14ac:dyDescent="0.35">
      <c r="A4729" s="9"/>
      <c r="C4729" s="393"/>
      <c r="E4729" s="394"/>
      <c r="F4729" s="394">
        <v>0</v>
      </c>
      <c r="G4729" s="394"/>
      <c r="H4729" s="8" t="s">
        <v>235</v>
      </c>
      <c r="I4729" s="368">
        <f t="shared" si="220"/>
        <v>0</v>
      </c>
      <c r="J4729" s="365">
        <f t="shared" si="219"/>
        <v>0</v>
      </c>
      <c r="K4729" s="369">
        <f t="shared" si="221"/>
        <v>6</v>
      </c>
      <c r="L4729" s="369">
        <f>+IF((C4729&gt;='Resultats - informe'!$E$16)*(C4729&lt;='Resultats - informe'!$G$16),1,0)</f>
        <v>1</v>
      </c>
      <c r="M4729" s="369" cm="1">
        <f t="array" ref="M4729">+_xlfn.IFS((C4729&gt;='Resultats - informe'!$D$26)*(C4729&lt;='Resultats - informe'!$E$26),0,(C4729&gt;='Resultats - informe'!$D$27)*(C4729&lt;='Resultats - informe'!$E$27),0,(C4729&gt;='Resultats - informe'!$D$28)*(C4729&lt;='Resultats - informe'!$E$28),0,(C4729&gt;='Resultats - informe'!$D$29)*(C4729&lt;='Resultats - informe'!$E$29),0,1,1)</f>
        <v>0</v>
      </c>
      <c r="N4729" s="366">
        <f>+VLOOKUP(D4729,'Resultats - informe'!$Y$18:$AG$42,'Introducció dades consum'!K4729+1,0)</f>
        <v>0</v>
      </c>
      <c r="O4729" s="370" cm="1">
        <f t="array" ref="O4729">+_xlfn.SWITCH(MONTH(C4729),1,1,2,1,3,1,4,2,5,2,6,3,7,3,8,3,9,3,10,2,11,2,12,1,2)</f>
        <v>1</v>
      </c>
      <c r="P4729" s="43"/>
    </row>
    <row r="4730" spans="1:16" ht="18" x14ac:dyDescent="0.35">
      <c r="A4730" s="9"/>
      <c r="C4730" s="393"/>
      <c r="E4730" s="394"/>
      <c r="F4730" s="394">
        <v>0</v>
      </c>
      <c r="G4730" s="394"/>
      <c r="H4730" s="8" t="s">
        <v>235</v>
      </c>
      <c r="I4730" s="368">
        <f t="shared" si="220"/>
        <v>0</v>
      </c>
      <c r="J4730" s="365">
        <f t="shared" si="219"/>
        <v>0</v>
      </c>
      <c r="K4730" s="369">
        <f t="shared" si="221"/>
        <v>6</v>
      </c>
      <c r="L4730" s="369">
        <f>+IF((C4730&gt;='Resultats - informe'!$E$16)*(C4730&lt;='Resultats - informe'!$G$16),1,0)</f>
        <v>1</v>
      </c>
      <c r="M4730" s="369" cm="1">
        <f t="array" ref="M4730">+_xlfn.IFS((C4730&gt;='Resultats - informe'!$D$26)*(C4730&lt;='Resultats - informe'!$E$26),0,(C4730&gt;='Resultats - informe'!$D$27)*(C4730&lt;='Resultats - informe'!$E$27),0,(C4730&gt;='Resultats - informe'!$D$28)*(C4730&lt;='Resultats - informe'!$E$28),0,(C4730&gt;='Resultats - informe'!$D$29)*(C4730&lt;='Resultats - informe'!$E$29),0,1,1)</f>
        <v>0</v>
      </c>
      <c r="N4730" s="366">
        <f>+VLOOKUP(D4730,'Resultats - informe'!$Y$18:$AG$42,'Introducció dades consum'!K4730+1,0)</f>
        <v>0</v>
      </c>
      <c r="O4730" s="370" cm="1">
        <f t="array" ref="O4730">+_xlfn.SWITCH(MONTH(C4730),1,1,2,1,3,1,4,2,5,2,6,3,7,3,8,3,9,3,10,2,11,2,12,1,2)</f>
        <v>1</v>
      </c>
      <c r="P4730" s="43"/>
    </row>
    <row r="4731" spans="1:16" ht="18" x14ac:dyDescent="0.35">
      <c r="A4731" s="9"/>
      <c r="C4731" s="393"/>
      <c r="E4731" s="394"/>
      <c r="F4731" s="394">
        <v>0</v>
      </c>
      <c r="G4731" s="394"/>
      <c r="H4731" s="8" t="s">
        <v>235</v>
      </c>
      <c r="I4731" s="368">
        <f t="shared" si="220"/>
        <v>0</v>
      </c>
      <c r="J4731" s="365">
        <f t="shared" ref="J4731:J4794" si="222">+C4731</f>
        <v>0</v>
      </c>
      <c r="K4731" s="369">
        <f t="shared" si="221"/>
        <v>6</v>
      </c>
      <c r="L4731" s="369">
        <f>+IF((C4731&gt;='Resultats - informe'!$E$16)*(C4731&lt;='Resultats - informe'!$G$16),1,0)</f>
        <v>1</v>
      </c>
      <c r="M4731" s="369" cm="1">
        <f t="array" ref="M4731">+_xlfn.IFS((C4731&gt;='Resultats - informe'!$D$26)*(C4731&lt;='Resultats - informe'!$E$26),0,(C4731&gt;='Resultats - informe'!$D$27)*(C4731&lt;='Resultats - informe'!$E$27),0,(C4731&gt;='Resultats - informe'!$D$28)*(C4731&lt;='Resultats - informe'!$E$28),0,(C4731&gt;='Resultats - informe'!$D$29)*(C4731&lt;='Resultats - informe'!$E$29),0,1,1)</f>
        <v>0</v>
      </c>
      <c r="N4731" s="366">
        <f>+VLOOKUP(D4731,'Resultats - informe'!$Y$18:$AG$42,'Introducció dades consum'!K4731+1,0)</f>
        <v>0</v>
      </c>
      <c r="O4731" s="370" cm="1">
        <f t="array" ref="O4731">+_xlfn.SWITCH(MONTH(C4731),1,1,2,1,3,1,4,2,5,2,6,3,7,3,8,3,9,3,10,2,11,2,12,1,2)</f>
        <v>1</v>
      </c>
      <c r="P4731" s="43"/>
    </row>
    <row r="4732" spans="1:16" ht="18" x14ac:dyDescent="0.35">
      <c r="A4732" s="9"/>
      <c r="C4732" s="393"/>
      <c r="E4732" s="394"/>
      <c r="F4732" s="394">
        <v>0</v>
      </c>
      <c r="G4732" s="394"/>
      <c r="H4732" s="8" t="s">
        <v>235</v>
      </c>
      <c r="I4732" s="368">
        <f t="shared" si="220"/>
        <v>0</v>
      </c>
      <c r="J4732" s="365">
        <f t="shared" si="222"/>
        <v>0</v>
      </c>
      <c r="K4732" s="369">
        <f t="shared" si="221"/>
        <v>6</v>
      </c>
      <c r="L4732" s="369">
        <f>+IF((C4732&gt;='Resultats - informe'!$E$16)*(C4732&lt;='Resultats - informe'!$G$16),1,0)</f>
        <v>1</v>
      </c>
      <c r="M4732" s="369" cm="1">
        <f t="array" ref="M4732">+_xlfn.IFS((C4732&gt;='Resultats - informe'!$D$26)*(C4732&lt;='Resultats - informe'!$E$26),0,(C4732&gt;='Resultats - informe'!$D$27)*(C4732&lt;='Resultats - informe'!$E$27),0,(C4732&gt;='Resultats - informe'!$D$28)*(C4732&lt;='Resultats - informe'!$E$28),0,(C4732&gt;='Resultats - informe'!$D$29)*(C4732&lt;='Resultats - informe'!$E$29),0,1,1)</f>
        <v>0</v>
      </c>
      <c r="N4732" s="366">
        <f>+VLOOKUP(D4732,'Resultats - informe'!$Y$18:$AG$42,'Introducció dades consum'!K4732+1,0)</f>
        <v>0</v>
      </c>
      <c r="O4732" s="370" cm="1">
        <f t="array" ref="O4732">+_xlfn.SWITCH(MONTH(C4732),1,1,2,1,3,1,4,2,5,2,6,3,7,3,8,3,9,3,10,2,11,2,12,1,2)</f>
        <v>1</v>
      </c>
      <c r="P4732" s="43"/>
    </row>
    <row r="4733" spans="1:16" ht="18" x14ac:dyDescent="0.35">
      <c r="A4733" s="9"/>
      <c r="C4733" s="393"/>
      <c r="E4733" s="394"/>
      <c r="F4733" s="394">
        <v>0</v>
      </c>
      <c r="G4733" s="394"/>
      <c r="H4733" s="8" t="s">
        <v>235</v>
      </c>
      <c r="I4733" s="368">
        <f t="shared" si="220"/>
        <v>0</v>
      </c>
      <c r="J4733" s="365">
        <f t="shared" si="222"/>
        <v>0</v>
      </c>
      <c r="K4733" s="369">
        <f t="shared" si="221"/>
        <v>6</v>
      </c>
      <c r="L4733" s="369">
        <f>+IF((C4733&gt;='Resultats - informe'!$E$16)*(C4733&lt;='Resultats - informe'!$G$16),1,0)</f>
        <v>1</v>
      </c>
      <c r="M4733" s="369" cm="1">
        <f t="array" ref="M4733">+_xlfn.IFS((C4733&gt;='Resultats - informe'!$D$26)*(C4733&lt;='Resultats - informe'!$E$26),0,(C4733&gt;='Resultats - informe'!$D$27)*(C4733&lt;='Resultats - informe'!$E$27),0,(C4733&gt;='Resultats - informe'!$D$28)*(C4733&lt;='Resultats - informe'!$E$28),0,(C4733&gt;='Resultats - informe'!$D$29)*(C4733&lt;='Resultats - informe'!$E$29),0,1,1)</f>
        <v>0</v>
      </c>
      <c r="N4733" s="366">
        <f>+VLOOKUP(D4733,'Resultats - informe'!$Y$18:$AG$42,'Introducció dades consum'!K4733+1,0)</f>
        <v>0</v>
      </c>
      <c r="O4733" s="370" cm="1">
        <f t="array" ref="O4733">+_xlfn.SWITCH(MONTH(C4733),1,1,2,1,3,1,4,2,5,2,6,3,7,3,8,3,9,3,10,2,11,2,12,1,2)</f>
        <v>1</v>
      </c>
      <c r="P4733" s="43"/>
    </row>
    <row r="4734" spans="1:16" ht="18" x14ac:dyDescent="0.35">
      <c r="A4734" s="9"/>
      <c r="C4734" s="393"/>
      <c r="E4734" s="394"/>
      <c r="F4734" s="394">
        <v>0</v>
      </c>
      <c r="G4734" s="394"/>
      <c r="H4734" s="8" t="s">
        <v>235</v>
      </c>
      <c r="I4734" s="368">
        <f t="shared" si="220"/>
        <v>0</v>
      </c>
      <c r="J4734" s="365">
        <f t="shared" si="222"/>
        <v>0</v>
      </c>
      <c r="K4734" s="369">
        <f t="shared" si="221"/>
        <v>6</v>
      </c>
      <c r="L4734" s="369">
        <f>+IF((C4734&gt;='Resultats - informe'!$E$16)*(C4734&lt;='Resultats - informe'!$G$16),1,0)</f>
        <v>1</v>
      </c>
      <c r="M4734" s="369" cm="1">
        <f t="array" ref="M4734">+_xlfn.IFS((C4734&gt;='Resultats - informe'!$D$26)*(C4734&lt;='Resultats - informe'!$E$26),0,(C4734&gt;='Resultats - informe'!$D$27)*(C4734&lt;='Resultats - informe'!$E$27),0,(C4734&gt;='Resultats - informe'!$D$28)*(C4734&lt;='Resultats - informe'!$E$28),0,(C4734&gt;='Resultats - informe'!$D$29)*(C4734&lt;='Resultats - informe'!$E$29),0,1,1)</f>
        <v>0</v>
      </c>
      <c r="N4734" s="366">
        <f>+VLOOKUP(D4734,'Resultats - informe'!$Y$18:$AG$42,'Introducció dades consum'!K4734+1,0)</f>
        <v>0</v>
      </c>
      <c r="O4734" s="370" cm="1">
        <f t="array" ref="O4734">+_xlfn.SWITCH(MONTH(C4734),1,1,2,1,3,1,4,2,5,2,6,3,7,3,8,3,9,3,10,2,11,2,12,1,2)</f>
        <v>1</v>
      </c>
      <c r="P4734" s="43"/>
    </row>
    <row r="4735" spans="1:16" ht="18" x14ac:dyDescent="0.35">
      <c r="A4735" s="9"/>
      <c r="C4735" s="393"/>
      <c r="E4735" s="394"/>
      <c r="F4735" s="394">
        <v>0</v>
      </c>
      <c r="G4735" s="394"/>
      <c r="H4735" s="8" t="s">
        <v>235</v>
      </c>
      <c r="I4735" s="368">
        <f t="shared" si="220"/>
        <v>0</v>
      </c>
      <c r="J4735" s="365">
        <f t="shared" si="222"/>
        <v>0</v>
      </c>
      <c r="K4735" s="369">
        <f t="shared" si="221"/>
        <v>6</v>
      </c>
      <c r="L4735" s="369">
        <f>+IF((C4735&gt;='Resultats - informe'!$E$16)*(C4735&lt;='Resultats - informe'!$G$16),1,0)</f>
        <v>1</v>
      </c>
      <c r="M4735" s="369" cm="1">
        <f t="array" ref="M4735">+_xlfn.IFS((C4735&gt;='Resultats - informe'!$D$26)*(C4735&lt;='Resultats - informe'!$E$26),0,(C4735&gt;='Resultats - informe'!$D$27)*(C4735&lt;='Resultats - informe'!$E$27),0,(C4735&gt;='Resultats - informe'!$D$28)*(C4735&lt;='Resultats - informe'!$E$28),0,(C4735&gt;='Resultats - informe'!$D$29)*(C4735&lt;='Resultats - informe'!$E$29),0,1,1)</f>
        <v>0</v>
      </c>
      <c r="N4735" s="366">
        <f>+VLOOKUP(D4735,'Resultats - informe'!$Y$18:$AG$42,'Introducció dades consum'!K4735+1,0)</f>
        <v>0</v>
      </c>
      <c r="O4735" s="370" cm="1">
        <f t="array" ref="O4735">+_xlfn.SWITCH(MONTH(C4735),1,1,2,1,3,1,4,2,5,2,6,3,7,3,8,3,9,3,10,2,11,2,12,1,2)</f>
        <v>1</v>
      </c>
      <c r="P4735" s="43"/>
    </row>
    <row r="4736" spans="1:16" ht="18" x14ac:dyDescent="0.35">
      <c r="A4736" s="9"/>
      <c r="C4736" s="393"/>
      <c r="E4736" s="394"/>
      <c r="F4736" s="394">
        <v>0</v>
      </c>
      <c r="G4736" s="394"/>
      <c r="H4736" s="8" t="s">
        <v>235</v>
      </c>
      <c r="I4736" s="368">
        <f t="shared" si="220"/>
        <v>0</v>
      </c>
      <c r="J4736" s="365">
        <f t="shared" si="222"/>
        <v>0</v>
      </c>
      <c r="K4736" s="369">
        <f t="shared" si="221"/>
        <v>6</v>
      </c>
      <c r="L4736" s="369">
        <f>+IF((C4736&gt;='Resultats - informe'!$E$16)*(C4736&lt;='Resultats - informe'!$G$16),1,0)</f>
        <v>1</v>
      </c>
      <c r="M4736" s="369" cm="1">
        <f t="array" ref="M4736">+_xlfn.IFS((C4736&gt;='Resultats - informe'!$D$26)*(C4736&lt;='Resultats - informe'!$E$26),0,(C4736&gt;='Resultats - informe'!$D$27)*(C4736&lt;='Resultats - informe'!$E$27),0,(C4736&gt;='Resultats - informe'!$D$28)*(C4736&lt;='Resultats - informe'!$E$28),0,(C4736&gt;='Resultats - informe'!$D$29)*(C4736&lt;='Resultats - informe'!$E$29),0,1,1)</f>
        <v>0</v>
      </c>
      <c r="N4736" s="366">
        <f>+VLOOKUP(D4736,'Resultats - informe'!$Y$18:$AG$42,'Introducció dades consum'!K4736+1,0)</f>
        <v>0</v>
      </c>
      <c r="O4736" s="370" cm="1">
        <f t="array" ref="O4736">+_xlfn.SWITCH(MONTH(C4736),1,1,2,1,3,1,4,2,5,2,6,3,7,3,8,3,9,3,10,2,11,2,12,1,2)</f>
        <v>1</v>
      </c>
      <c r="P4736" s="43"/>
    </row>
    <row r="4737" spans="1:16" ht="18" x14ac:dyDescent="0.35">
      <c r="A4737" s="9"/>
      <c r="C4737" s="393"/>
      <c r="E4737" s="394"/>
      <c r="F4737" s="394">
        <v>0</v>
      </c>
      <c r="G4737" s="394"/>
      <c r="H4737" s="8" t="s">
        <v>235</v>
      </c>
      <c r="I4737" s="368">
        <f t="shared" si="220"/>
        <v>0</v>
      </c>
      <c r="J4737" s="365">
        <f t="shared" si="222"/>
        <v>0</v>
      </c>
      <c r="K4737" s="369">
        <f t="shared" si="221"/>
        <v>6</v>
      </c>
      <c r="L4737" s="369">
        <f>+IF((C4737&gt;='Resultats - informe'!$E$16)*(C4737&lt;='Resultats - informe'!$G$16),1,0)</f>
        <v>1</v>
      </c>
      <c r="M4737" s="369" cm="1">
        <f t="array" ref="M4737">+_xlfn.IFS((C4737&gt;='Resultats - informe'!$D$26)*(C4737&lt;='Resultats - informe'!$E$26),0,(C4737&gt;='Resultats - informe'!$D$27)*(C4737&lt;='Resultats - informe'!$E$27),0,(C4737&gt;='Resultats - informe'!$D$28)*(C4737&lt;='Resultats - informe'!$E$28),0,(C4737&gt;='Resultats - informe'!$D$29)*(C4737&lt;='Resultats - informe'!$E$29),0,1,1)</f>
        <v>0</v>
      </c>
      <c r="N4737" s="366">
        <f>+VLOOKUP(D4737,'Resultats - informe'!$Y$18:$AG$42,'Introducció dades consum'!K4737+1,0)</f>
        <v>0</v>
      </c>
      <c r="O4737" s="370" cm="1">
        <f t="array" ref="O4737">+_xlfn.SWITCH(MONTH(C4737),1,1,2,1,3,1,4,2,5,2,6,3,7,3,8,3,9,3,10,2,11,2,12,1,2)</f>
        <v>1</v>
      </c>
      <c r="P4737" s="43"/>
    </row>
    <row r="4738" spans="1:16" ht="18" x14ac:dyDescent="0.35">
      <c r="A4738" s="9"/>
      <c r="C4738" s="393"/>
      <c r="E4738" s="394"/>
      <c r="F4738" s="394">
        <v>0</v>
      </c>
      <c r="G4738" s="394"/>
      <c r="H4738" s="8" t="s">
        <v>235</v>
      </c>
      <c r="I4738" s="368">
        <f t="shared" si="220"/>
        <v>0</v>
      </c>
      <c r="J4738" s="365">
        <f t="shared" si="222"/>
        <v>0</v>
      </c>
      <c r="K4738" s="369">
        <f t="shared" si="221"/>
        <v>6</v>
      </c>
      <c r="L4738" s="369">
        <f>+IF((C4738&gt;='Resultats - informe'!$E$16)*(C4738&lt;='Resultats - informe'!$G$16),1,0)</f>
        <v>1</v>
      </c>
      <c r="M4738" s="369" cm="1">
        <f t="array" ref="M4738">+_xlfn.IFS((C4738&gt;='Resultats - informe'!$D$26)*(C4738&lt;='Resultats - informe'!$E$26),0,(C4738&gt;='Resultats - informe'!$D$27)*(C4738&lt;='Resultats - informe'!$E$27),0,(C4738&gt;='Resultats - informe'!$D$28)*(C4738&lt;='Resultats - informe'!$E$28),0,(C4738&gt;='Resultats - informe'!$D$29)*(C4738&lt;='Resultats - informe'!$E$29),0,1,1)</f>
        <v>0</v>
      </c>
      <c r="N4738" s="366">
        <f>+VLOOKUP(D4738,'Resultats - informe'!$Y$18:$AG$42,'Introducció dades consum'!K4738+1,0)</f>
        <v>0</v>
      </c>
      <c r="O4738" s="370" cm="1">
        <f t="array" ref="O4738">+_xlfn.SWITCH(MONTH(C4738),1,1,2,1,3,1,4,2,5,2,6,3,7,3,8,3,9,3,10,2,11,2,12,1,2)</f>
        <v>1</v>
      </c>
      <c r="P4738" s="43"/>
    </row>
    <row r="4739" spans="1:16" ht="18" x14ac:dyDescent="0.35">
      <c r="A4739" s="9"/>
      <c r="C4739" s="393"/>
      <c r="E4739" s="394"/>
      <c r="F4739" s="394">
        <v>0</v>
      </c>
      <c r="G4739" s="394"/>
      <c r="H4739" s="8" t="s">
        <v>235</v>
      </c>
      <c r="I4739" s="368">
        <f t="shared" si="220"/>
        <v>0</v>
      </c>
      <c r="J4739" s="365">
        <f t="shared" si="222"/>
        <v>0</v>
      </c>
      <c r="K4739" s="369">
        <f t="shared" si="221"/>
        <v>6</v>
      </c>
      <c r="L4739" s="369">
        <f>+IF((C4739&gt;='Resultats - informe'!$E$16)*(C4739&lt;='Resultats - informe'!$G$16),1,0)</f>
        <v>1</v>
      </c>
      <c r="M4739" s="369" cm="1">
        <f t="array" ref="M4739">+_xlfn.IFS((C4739&gt;='Resultats - informe'!$D$26)*(C4739&lt;='Resultats - informe'!$E$26),0,(C4739&gt;='Resultats - informe'!$D$27)*(C4739&lt;='Resultats - informe'!$E$27),0,(C4739&gt;='Resultats - informe'!$D$28)*(C4739&lt;='Resultats - informe'!$E$28),0,(C4739&gt;='Resultats - informe'!$D$29)*(C4739&lt;='Resultats - informe'!$E$29),0,1,1)</f>
        <v>0</v>
      </c>
      <c r="N4739" s="366">
        <f>+VLOOKUP(D4739,'Resultats - informe'!$Y$18:$AG$42,'Introducció dades consum'!K4739+1,0)</f>
        <v>0</v>
      </c>
      <c r="O4739" s="370" cm="1">
        <f t="array" ref="O4739">+_xlfn.SWITCH(MONTH(C4739),1,1,2,1,3,1,4,2,5,2,6,3,7,3,8,3,9,3,10,2,11,2,12,1,2)</f>
        <v>1</v>
      </c>
      <c r="P4739" s="43"/>
    </row>
    <row r="4740" spans="1:16" ht="18" x14ac:dyDescent="0.35">
      <c r="A4740" s="9"/>
      <c r="C4740" s="393"/>
      <c r="E4740" s="394"/>
      <c r="F4740" s="394">
        <v>0.105</v>
      </c>
      <c r="G4740" s="394"/>
      <c r="H4740" s="8" t="s">
        <v>235</v>
      </c>
      <c r="I4740" s="368">
        <f t="shared" si="220"/>
        <v>0</v>
      </c>
      <c r="J4740" s="365">
        <f t="shared" si="222"/>
        <v>0</v>
      </c>
      <c r="K4740" s="369">
        <f t="shared" si="221"/>
        <v>6</v>
      </c>
      <c r="L4740" s="369">
        <f>+IF((C4740&gt;='Resultats - informe'!$E$16)*(C4740&lt;='Resultats - informe'!$G$16),1,0)</f>
        <v>1</v>
      </c>
      <c r="M4740" s="369" cm="1">
        <f t="array" ref="M4740">+_xlfn.IFS((C4740&gt;='Resultats - informe'!$D$26)*(C4740&lt;='Resultats - informe'!$E$26),0,(C4740&gt;='Resultats - informe'!$D$27)*(C4740&lt;='Resultats - informe'!$E$27),0,(C4740&gt;='Resultats - informe'!$D$28)*(C4740&lt;='Resultats - informe'!$E$28),0,(C4740&gt;='Resultats - informe'!$D$29)*(C4740&lt;='Resultats - informe'!$E$29),0,1,1)</f>
        <v>0</v>
      </c>
      <c r="N4740" s="366">
        <f>+VLOOKUP(D4740,'Resultats - informe'!$Y$18:$AG$42,'Introducció dades consum'!K4740+1,0)</f>
        <v>0</v>
      </c>
      <c r="O4740" s="370" cm="1">
        <f t="array" ref="O4740">+_xlfn.SWITCH(MONTH(C4740),1,1,2,1,3,1,4,2,5,2,6,3,7,3,8,3,9,3,10,2,11,2,12,1,2)</f>
        <v>1</v>
      </c>
      <c r="P4740" s="43"/>
    </row>
    <row r="4741" spans="1:16" ht="18" x14ac:dyDescent="0.35">
      <c r="A4741" s="9"/>
      <c r="C4741" s="393"/>
      <c r="E4741" s="394"/>
      <c r="F4741" s="394">
        <v>1.57</v>
      </c>
      <c r="G4741" s="394"/>
      <c r="H4741" s="8" t="s">
        <v>235</v>
      </c>
      <c r="I4741" s="368">
        <f t="shared" si="220"/>
        <v>0</v>
      </c>
      <c r="J4741" s="365">
        <f t="shared" si="222"/>
        <v>0</v>
      </c>
      <c r="K4741" s="369">
        <f t="shared" si="221"/>
        <v>6</v>
      </c>
      <c r="L4741" s="369">
        <f>+IF((C4741&gt;='Resultats - informe'!$E$16)*(C4741&lt;='Resultats - informe'!$G$16),1,0)</f>
        <v>1</v>
      </c>
      <c r="M4741" s="369" cm="1">
        <f t="array" ref="M4741">+_xlfn.IFS((C4741&gt;='Resultats - informe'!$D$26)*(C4741&lt;='Resultats - informe'!$E$26),0,(C4741&gt;='Resultats - informe'!$D$27)*(C4741&lt;='Resultats - informe'!$E$27),0,(C4741&gt;='Resultats - informe'!$D$28)*(C4741&lt;='Resultats - informe'!$E$28),0,(C4741&gt;='Resultats - informe'!$D$29)*(C4741&lt;='Resultats - informe'!$E$29),0,1,1)</f>
        <v>0</v>
      </c>
      <c r="N4741" s="366">
        <f>+VLOOKUP(D4741,'Resultats - informe'!$Y$18:$AG$42,'Introducció dades consum'!K4741+1,0)</f>
        <v>0</v>
      </c>
      <c r="O4741" s="370" cm="1">
        <f t="array" ref="O4741">+_xlfn.SWITCH(MONTH(C4741),1,1,2,1,3,1,4,2,5,2,6,3,7,3,8,3,9,3,10,2,11,2,12,1,2)</f>
        <v>1</v>
      </c>
      <c r="P4741" s="43"/>
    </row>
    <row r="4742" spans="1:16" ht="18" x14ac:dyDescent="0.35">
      <c r="A4742" s="9"/>
      <c r="C4742" s="393"/>
      <c r="E4742" s="394"/>
      <c r="F4742" s="394">
        <v>3.4020000000000001</v>
      </c>
      <c r="G4742" s="394"/>
      <c r="H4742" s="8" t="s">
        <v>235</v>
      </c>
      <c r="I4742" s="368">
        <f t="shared" ref="I4742:I4805" si="223">+E4742+G4742</f>
        <v>0</v>
      </c>
      <c r="J4742" s="365">
        <f t="shared" si="222"/>
        <v>0</v>
      </c>
      <c r="K4742" s="369">
        <f t="shared" ref="K4742:K4805" si="224">+WEEKDAY(C4742,2)</f>
        <v>6</v>
      </c>
      <c r="L4742" s="369">
        <f>+IF((C4742&gt;='Resultats - informe'!$E$16)*(C4742&lt;='Resultats - informe'!$G$16),1,0)</f>
        <v>1</v>
      </c>
      <c r="M4742" s="369" cm="1">
        <f t="array" ref="M4742">+_xlfn.IFS((C4742&gt;='Resultats - informe'!$D$26)*(C4742&lt;='Resultats - informe'!$E$26),0,(C4742&gt;='Resultats - informe'!$D$27)*(C4742&lt;='Resultats - informe'!$E$27),0,(C4742&gt;='Resultats - informe'!$D$28)*(C4742&lt;='Resultats - informe'!$E$28),0,(C4742&gt;='Resultats - informe'!$D$29)*(C4742&lt;='Resultats - informe'!$E$29),0,1,1)</f>
        <v>0</v>
      </c>
      <c r="N4742" s="366">
        <f>+VLOOKUP(D4742,'Resultats - informe'!$Y$18:$AG$42,'Introducció dades consum'!K4742+1,0)</f>
        <v>0</v>
      </c>
      <c r="O4742" s="370" cm="1">
        <f t="array" ref="O4742">+_xlfn.SWITCH(MONTH(C4742),1,1,2,1,3,1,4,2,5,2,6,3,7,3,8,3,9,3,10,2,11,2,12,1,2)</f>
        <v>1</v>
      </c>
      <c r="P4742" s="43"/>
    </row>
    <row r="4743" spans="1:16" ht="18" x14ac:dyDescent="0.35">
      <c r="A4743" s="9"/>
      <c r="C4743" s="393"/>
      <c r="E4743" s="394"/>
      <c r="F4743" s="394">
        <v>4.6180000000000003</v>
      </c>
      <c r="G4743" s="394"/>
      <c r="H4743" s="8" t="s">
        <v>235</v>
      </c>
      <c r="I4743" s="368">
        <f t="shared" si="223"/>
        <v>0</v>
      </c>
      <c r="J4743" s="365">
        <f t="shared" si="222"/>
        <v>0</v>
      </c>
      <c r="K4743" s="369">
        <f t="shared" si="224"/>
        <v>6</v>
      </c>
      <c r="L4743" s="369">
        <f>+IF((C4743&gt;='Resultats - informe'!$E$16)*(C4743&lt;='Resultats - informe'!$G$16),1,0)</f>
        <v>1</v>
      </c>
      <c r="M4743" s="369" cm="1">
        <f t="array" ref="M4743">+_xlfn.IFS((C4743&gt;='Resultats - informe'!$D$26)*(C4743&lt;='Resultats - informe'!$E$26),0,(C4743&gt;='Resultats - informe'!$D$27)*(C4743&lt;='Resultats - informe'!$E$27),0,(C4743&gt;='Resultats - informe'!$D$28)*(C4743&lt;='Resultats - informe'!$E$28),0,(C4743&gt;='Resultats - informe'!$D$29)*(C4743&lt;='Resultats - informe'!$E$29),0,1,1)</f>
        <v>0</v>
      </c>
      <c r="N4743" s="366">
        <f>+VLOOKUP(D4743,'Resultats - informe'!$Y$18:$AG$42,'Introducció dades consum'!K4743+1,0)</f>
        <v>0</v>
      </c>
      <c r="O4743" s="370" cm="1">
        <f t="array" ref="O4743">+_xlfn.SWITCH(MONTH(C4743),1,1,2,1,3,1,4,2,5,2,6,3,7,3,8,3,9,3,10,2,11,2,12,1,2)</f>
        <v>1</v>
      </c>
      <c r="P4743" s="43"/>
    </row>
    <row r="4744" spans="1:16" ht="18" x14ac:dyDescent="0.35">
      <c r="A4744" s="9"/>
      <c r="C4744" s="393"/>
      <c r="E4744" s="394"/>
      <c r="F4744" s="394">
        <v>5.3739999999999997</v>
      </c>
      <c r="G4744" s="394"/>
      <c r="H4744" s="8" t="s">
        <v>235</v>
      </c>
      <c r="I4744" s="368">
        <f t="shared" si="223"/>
        <v>0</v>
      </c>
      <c r="J4744" s="365">
        <f t="shared" si="222"/>
        <v>0</v>
      </c>
      <c r="K4744" s="369">
        <f t="shared" si="224"/>
        <v>6</v>
      </c>
      <c r="L4744" s="369">
        <f>+IF((C4744&gt;='Resultats - informe'!$E$16)*(C4744&lt;='Resultats - informe'!$G$16),1,0)</f>
        <v>1</v>
      </c>
      <c r="M4744" s="369" cm="1">
        <f t="array" ref="M4744">+_xlfn.IFS((C4744&gt;='Resultats - informe'!$D$26)*(C4744&lt;='Resultats - informe'!$E$26),0,(C4744&gt;='Resultats - informe'!$D$27)*(C4744&lt;='Resultats - informe'!$E$27),0,(C4744&gt;='Resultats - informe'!$D$28)*(C4744&lt;='Resultats - informe'!$E$28),0,(C4744&gt;='Resultats - informe'!$D$29)*(C4744&lt;='Resultats - informe'!$E$29),0,1,1)</f>
        <v>0</v>
      </c>
      <c r="N4744" s="366">
        <f>+VLOOKUP(D4744,'Resultats - informe'!$Y$18:$AG$42,'Introducció dades consum'!K4744+1,0)</f>
        <v>0</v>
      </c>
      <c r="O4744" s="370" cm="1">
        <f t="array" ref="O4744">+_xlfn.SWITCH(MONTH(C4744),1,1,2,1,3,1,4,2,5,2,6,3,7,3,8,3,9,3,10,2,11,2,12,1,2)</f>
        <v>1</v>
      </c>
      <c r="P4744" s="43"/>
    </row>
    <row r="4745" spans="1:16" ht="18" x14ac:dyDescent="0.35">
      <c r="A4745" s="9"/>
      <c r="C4745" s="393"/>
      <c r="E4745" s="394"/>
      <c r="F4745" s="394">
        <v>5.048</v>
      </c>
      <c r="G4745" s="394"/>
      <c r="H4745" s="8" t="s">
        <v>235</v>
      </c>
      <c r="I4745" s="368">
        <f t="shared" si="223"/>
        <v>0</v>
      </c>
      <c r="J4745" s="365">
        <f t="shared" si="222"/>
        <v>0</v>
      </c>
      <c r="K4745" s="369">
        <f t="shared" si="224"/>
        <v>6</v>
      </c>
      <c r="L4745" s="369">
        <f>+IF((C4745&gt;='Resultats - informe'!$E$16)*(C4745&lt;='Resultats - informe'!$G$16),1,0)</f>
        <v>1</v>
      </c>
      <c r="M4745" s="369" cm="1">
        <f t="array" ref="M4745">+_xlfn.IFS((C4745&gt;='Resultats - informe'!$D$26)*(C4745&lt;='Resultats - informe'!$E$26),0,(C4745&gt;='Resultats - informe'!$D$27)*(C4745&lt;='Resultats - informe'!$E$27),0,(C4745&gt;='Resultats - informe'!$D$28)*(C4745&lt;='Resultats - informe'!$E$28),0,(C4745&gt;='Resultats - informe'!$D$29)*(C4745&lt;='Resultats - informe'!$E$29),0,1,1)</f>
        <v>0</v>
      </c>
      <c r="N4745" s="366">
        <f>+VLOOKUP(D4745,'Resultats - informe'!$Y$18:$AG$42,'Introducció dades consum'!K4745+1,0)</f>
        <v>0</v>
      </c>
      <c r="O4745" s="370" cm="1">
        <f t="array" ref="O4745">+_xlfn.SWITCH(MONTH(C4745),1,1,2,1,3,1,4,2,5,2,6,3,7,3,8,3,9,3,10,2,11,2,12,1,2)</f>
        <v>1</v>
      </c>
      <c r="P4745" s="43"/>
    </row>
    <row r="4746" spans="1:16" ht="18" x14ac:dyDescent="0.35">
      <c r="A4746" s="9"/>
      <c r="C4746" s="393"/>
      <c r="E4746" s="394"/>
      <c r="F4746" s="394">
        <v>4.1760000000000002</v>
      </c>
      <c r="G4746" s="394"/>
      <c r="H4746" s="8" t="s">
        <v>235</v>
      </c>
      <c r="I4746" s="368">
        <f t="shared" si="223"/>
        <v>0</v>
      </c>
      <c r="J4746" s="365">
        <f t="shared" si="222"/>
        <v>0</v>
      </c>
      <c r="K4746" s="369">
        <f t="shared" si="224"/>
        <v>6</v>
      </c>
      <c r="L4746" s="369">
        <f>+IF((C4746&gt;='Resultats - informe'!$E$16)*(C4746&lt;='Resultats - informe'!$G$16),1,0)</f>
        <v>1</v>
      </c>
      <c r="M4746" s="369" cm="1">
        <f t="array" ref="M4746">+_xlfn.IFS((C4746&gt;='Resultats - informe'!$D$26)*(C4746&lt;='Resultats - informe'!$E$26),0,(C4746&gt;='Resultats - informe'!$D$27)*(C4746&lt;='Resultats - informe'!$E$27),0,(C4746&gt;='Resultats - informe'!$D$28)*(C4746&lt;='Resultats - informe'!$E$28),0,(C4746&gt;='Resultats - informe'!$D$29)*(C4746&lt;='Resultats - informe'!$E$29),0,1,1)</f>
        <v>0</v>
      </c>
      <c r="N4746" s="366">
        <f>+VLOOKUP(D4746,'Resultats - informe'!$Y$18:$AG$42,'Introducció dades consum'!K4746+1,0)</f>
        <v>0</v>
      </c>
      <c r="O4746" s="370" cm="1">
        <f t="array" ref="O4746">+_xlfn.SWITCH(MONTH(C4746),1,1,2,1,3,1,4,2,5,2,6,3,7,3,8,3,9,3,10,2,11,2,12,1,2)</f>
        <v>1</v>
      </c>
      <c r="P4746" s="43"/>
    </row>
    <row r="4747" spans="1:16" ht="18" x14ac:dyDescent="0.35">
      <c r="A4747" s="9"/>
      <c r="C4747" s="393"/>
      <c r="E4747" s="394"/>
      <c r="F4747" s="394">
        <v>2.9039999999999999</v>
      </c>
      <c r="G4747" s="394"/>
      <c r="H4747" s="8" t="s">
        <v>235</v>
      </c>
      <c r="I4747" s="368">
        <f t="shared" si="223"/>
        <v>0</v>
      </c>
      <c r="J4747" s="365">
        <f t="shared" si="222"/>
        <v>0</v>
      </c>
      <c r="K4747" s="369">
        <f t="shared" si="224"/>
        <v>6</v>
      </c>
      <c r="L4747" s="369">
        <f>+IF((C4747&gt;='Resultats - informe'!$E$16)*(C4747&lt;='Resultats - informe'!$G$16),1,0)</f>
        <v>1</v>
      </c>
      <c r="M4747" s="369" cm="1">
        <f t="array" ref="M4747">+_xlfn.IFS((C4747&gt;='Resultats - informe'!$D$26)*(C4747&lt;='Resultats - informe'!$E$26),0,(C4747&gt;='Resultats - informe'!$D$27)*(C4747&lt;='Resultats - informe'!$E$27),0,(C4747&gt;='Resultats - informe'!$D$28)*(C4747&lt;='Resultats - informe'!$E$28),0,(C4747&gt;='Resultats - informe'!$D$29)*(C4747&lt;='Resultats - informe'!$E$29),0,1,1)</f>
        <v>0</v>
      </c>
      <c r="N4747" s="366">
        <f>+VLOOKUP(D4747,'Resultats - informe'!$Y$18:$AG$42,'Introducció dades consum'!K4747+1,0)</f>
        <v>0</v>
      </c>
      <c r="O4747" s="370" cm="1">
        <f t="array" ref="O4747">+_xlfn.SWITCH(MONTH(C4747),1,1,2,1,3,1,4,2,5,2,6,3,7,3,8,3,9,3,10,2,11,2,12,1,2)</f>
        <v>1</v>
      </c>
      <c r="P4747" s="43"/>
    </row>
    <row r="4748" spans="1:16" ht="18" x14ac:dyDescent="0.35">
      <c r="A4748" s="9"/>
      <c r="C4748" s="393"/>
      <c r="E4748" s="394"/>
      <c r="F4748" s="394">
        <v>3.536</v>
      </c>
      <c r="G4748" s="394"/>
      <c r="H4748" s="8" t="s">
        <v>235</v>
      </c>
      <c r="I4748" s="368">
        <f t="shared" si="223"/>
        <v>0</v>
      </c>
      <c r="J4748" s="365">
        <f t="shared" si="222"/>
        <v>0</v>
      </c>
      <c r="K4748" s="369">
        <f t="shared" si="224"/>
        <v>6</v>
      </c>
      <c r="L4748" s="369">
        <f>+IF((C4748&gt;='Resultats - informe'!$E$16)*(C4748&lt;='Resultats - informe'!$G$16),1,0)</f>
        <v>1</v>
      </c>
      <c r="M4748" s="369" cm="1">
        <f t="array" ref="M4748">+_xlfn.IFS((C4748&gt;='Resultats - informe'!$D$26)*(C4748&lt;='Resultats - informe'!$E$26),0,(C4748&gt;='Resultats - informe'!$D$27)*(C4748&lt;='Resultats - informe'!$E$27),0,(C4748&gt;='Resultats - informe'!$D$28)*(C4748&lt;='Resultats - informe'!$E$28),0,(C4748&gt;='Resultats - informe'!$D$29)*(C4748&lt;='Resultats - informe'!$E$29),0,1,1)</f>
        <v>0</v>
      </c>
      <c r="N4748" s="366">
        <f>+VLOOKUP(D4748,'Resultats - informe'!$Y$18:$AG$42,'Introducció dades consum'!K4748+1,0)</f>
        <v>0</v>
      </c>
      <c r="O4748" s="370" cm="1">
        <f t="array" ref="O4748">+_xlfn.SWITCH(MONTH(C4748),1,1,2,1,3,1,4,2,5,2,6,3,7,3,8,3,9,3,10,2,11,2,12,1,2)</f>
        <v>1</v>
      </c>
      <c r="P4748" s="43"/>
    </row>
    <row r="4749" spans="1:16" ht="18" x14ac:dyDescent="0.35">
      <c r="A4749" s="9"/>
      <c r="C4749" s="393"/>
      <c r="E4749" s="394"/>
      <c r="F4749" s="394">
        <v>1.22</v>
      </c>
      <c r="G4749" s="394"/>
      <c r="H4749" s="8" t="s">
        <v>235</v>
      </c>
      <c r="I4749" s="368">
        <f t="shared" si="223"/>
        <v>0</v>
      </c>
      <c r="J4749" s="365">
        <f t="shared" si="222"/>
        <v>0</v>
      </c>
      <c r="K4749" s="369">
        <f t="shared" si="224"/>
        <v>6</v>
      </c>
      <c r="L4749" s="369">
        <f>+IF((C4749&gt;='Resultats - informe'!$E$16)*(C4749&lt;='Resultats - informe'!$G$16),1,0)</f>
        <v>1</v>
      </c>
      <c r="M4749" s="369" cm="1">
        <f t="array" ref="M4749">+_xlfn.IFS((C4749&gt;='Resultats - informe'!$D$26)*(C4749&lt;='Resultats - informe'!$E$26),0,(C4749&gt;='Resultats - informe'!$D$27)*(C4749&lt;='Resultats - informe'!$E$27),0,(C4749&gt;='Resultats - informe'!$D$28)*(C4749&lt;='Resultats - informe'!$E$28),0,(C4749&gt;='Resultats - informe'!$D$29)*(C4749&lt;='Resultats - informe'!$E$29),0,1,1)</f>
        <v>0</v>
      </c>
      <c r="N4749" s="366">
        <f>+VLOOKUP(D4749,'Resultats - informe'!$Y$18:$AG$42,'Introducció dades consum'!K4749+1,0)</f>
        <v>0</v>
      </c>
      <c r="O4749" s="370" cm="1">
        <f t="array" ref="O4749">+_xlfn.SWITCH(MONTH(C4749),1,1,2,1,3,1,4,2,5,2,6,3,7,3,8,3,9,3,10,2,11,2,12,1,2)</f>
        <v>1</v>
      </c>
      <c r="P4749" s="43"/>
    </row>
    <row r="4750" spans="1:16" ht="18" x14ac:dyDescent="0.35">
      <c r="A4750" s="9"/>
      <c r="C4750" s="393"/>
      <c r="E4750" s="394"/>
      <c r="F4750" s="394">
        <v>0.59599999999999997</v>
      </c>
      <c r="G4750" s="394"/>
      <c r="H4750" s="8" t="s">
        <v>235</v>
      </c>
      <c r="I4750" s="368">
        <f t="shared" si="223"/>
        <v>0</v>
      </c>
      <c r="J4750" s="365">
        <f t="shared" si="222"/>
        <v>0</v>
      </c>
      <c r="K4750" s="369">
        <f t="shared" si="224"/>
        <v>6</v>
      </c>
      <c r="L4750" s="369">
        <f>+IF((C4750&gt;='Resultats - informe'!$E$16)*(C4750&lt;='Resultats - informe'!$G$16),1,0)</f>
        <v>1</v>
      </c>
      <c r="M4750" s="369" cm="1">
        <f t="array" ref="M4750">+_xlfn.IFS((C4750&gt;='Resultats - informe'!$D$26)*(C4750&lt;='Resultats - informe'!$E$26),0,(C4750&gt;='Resultats - informe'!$D$27)*(C4750&lt;='Resultats - informe'!$E$27),0,(C4750&gt;='Resultats - informe'!$D$28)*(C4750&lt;='Resultats - informe'!$E$28),0,(C4750&gt;='Resultats - informe'!$D$29)*(C4750&lt;='Resultats - informe'!$E$29),0,1,1)</f>
        <v>0</v>
      </c>
      <c r="N4750" s="366">
        <f>+VLOOKUP(D4750,'Resultats - informe'!$Y$18:$AG$42,'Introducció dades consum'!K4750+1,0)</f>
        <v>0</v>
      </c>
      <c r="O4750" s="370" cm="1">
        <f t="array" ref="O4750">+_xlfn.SWITCH(MONTH(C4750),1,1,2,1,3,1,4,2,5,2,6,3,7,3,8,3,9,3,10,2,11,2,12,1,2)</f>
        <v>1</v>
      </c>
      <c r="P4750" s="43"/>
    </row>
    <row r="4751" spans="1:16" ht="18" x14ac:dyDescent="0.35">
      <c r="A4751" s="9"/>
      <c r="C4751" s="393"/>
      <c r="E4751" s="394"/>
      <c r="F4751" s="394">
        <v>0</v>
      </c>
      <c r="G4751" s="394"/>
      <c r="H4751" s="8" t="s">
        <v>235</v>
      </c>
      <c r="I4751" s="368">
        <f t="shared" si="223"/>
        <v>0</v>
      </c>
      <c r="J4751" s="365">
        <f t="shared" si="222"/>
        <v>0</v>
      </c>
      <c r="K4751" s="369">
        <f t="shared" si="224"/>
        <v>6</v>
      </c>
      <c r="L4751" s="369">
        <f>+IF((C4751&gt;='Resultats - informe'!$E$16)*(C4751&lt;='Resultats - informe'!$G$16),1,0)</f>
        <v>1</v>
      </c>
      <c r="M4751" s="369" cm="1">
        <f t="array" ref="M4751">+_xlfn.IFS((C4751&gt;='Resultats - informe'!$D$26)*(C4751&lt;='Resultats - informe'!$E$26),0,(C4751&gt;='Resultats - informe'!$D$27)*(C4751&lt;='Resultats - informe'!$E$27),0,(C4751&gt;='Resultats - informe'!$D$28)*(C4751&lt;='Resultats - informe'!$E$28),0,(C4751&gt;='Resultats - informe'!$D$29)*(C4751&lt;='Resultats - informe'!$E$29),0,1,1)</f>
        <v>0</v>
      </c>
      <c r="N4751" s="366">
        <f>+VLOOKUP(D4751,'Resultats - informe'!$Y$18:$AG$42,'Introducció dades consum'!K4751+1,0)</f>
        <v>0</v>
      </c>
      <c r="O4751" s="370" cm="1">
        <f t="array" ref="O4751">+_xlfn.SWITCH(MONTH(C4751),1,1,2,1,3,1,4,2,5,2,6,3,7,3,8,3,9,3,10,2,11,2,12,1,2)</f>
        <v>1</v>
      </c>
      <c r="P4751" s="43"/>
    </row>
    <row r="4752" spans="1:16" ht="18" x14ac:dyDescent="0.35">
      <c r="A4752" s="9"/>
      <c r="C4752" s="393"/>
      <c r="E4752" s="394"/>
      <c r="F4752" s="394">
        <v>0</v>
      </c>
      <c r="G4752" s="394"/>
      <c r="H4752" s="8" t="s">
        <v>235</v>
      </c>
      <c r="I4752" s="368">
        <f t="shared" si="223"/>
        <v>0</v>
      </c>
      <c r="J4752" s="365">
        <f t="shared" si="222"/>
        <v>0</v>
      </c>
      <c r="K4752" s="369">
        <f t="shared" si="224"/>
        <v>6</v>
      </c>
      <c r="L4752" s="369">
        <f>+IF((C4752&gt;='Resultats - informe'!$E$16)*(C4752&lt;='Resultats - informe'!$G$16),1,0)</f>
        <v>1</v>
      </c>
      <c r="M4752" s="369" cm="1">
        <f t="array" ref="M4752">+_xlfn.IFS((C4752&gt;='Resultats - informe'!$D$26)*(C4752&lt;='Resultats - informe'!$E$26),0,(C4752&gt;='Resultats - informe'!$D$27)*(C4752&lt;='Resultats - informe'!$E$27),0,(C4752&gt;='Resultats - informe'!$D$28)*(C4752&lt;='Resultats - informe'!$E$28),0,(C4752&gt;='Resultats - informe'!$D$29)*(C4752&lt;='Resultats - informe'!$E$29),0,1,1)</f>
        <v>0</v>
      </c>
      <c r="N4752" s="366">
        <f>+VLOOKUP(D4752,'Resultats - informe'!$Y$18:$AG$42,'Introducció dades consum'!K4752+1,0)</f>
        <v>0</v>
      </c>
      <c r="O4752" s="370" cm="1">
        <f t="array" ref="O4752">+_xlfn.SWITCH(MONTH(C4752),1,1,2,1,3,1,4,2,5,2,6,3,7,3,8,3,9,3,10,2,11,2,12,1,2)</f>
        <v>1</v>
      </c>
      <c r="P4752" s="43"/>
    </row>
    <row r="4753" spans="1:16" ht="18" x14ac:dyDescent="0.35">
      <c r="A4753" s="9"/>
      <c r="C4753" s="393"/>
      <c r="E4753" s="394"/>
      <c r="F4753" s="394">
        <v>0</v>
      </c>
      <c r="G4753" s="394"/>
      <c r="H4753" s="8" t="s">
        <v>235</v>
      </c>
      <c r="I4753" s="368">
        <f t="shared" si="223"/>
        <v>0</v>
      </c>
      <c r="J4753" s="365">
        <f t="shared" si="222"/>
        <v>0</v>
      </c>
      <c r="K4753" s="369">
        <f t="shared" si="224"/>
        <v>6</v>
      </c>
      <c r="L4753" s="369">
        <f>+IF((C4753&gt;='Resultats - informe'!$E$16)*(C4753&lt;='Resultats - informe'!$G$16),1,0)</f>
        <v>1</v>
      </c>
      <c r="M4753" s="369" cm="1">
        <f t="array" ref="M4753">+_xlfn.IFS((C4753&gt;='Resultats - informe'!$D$26)*(C4753&lt;='Resultats - informe'!$E$26),0,(C4753&gt;='Resultats - informe'!$D$27)*(C4753&lt;='Resultats - informe'!$E$27),0,(C4753&gt;='Resultats - informe'!$D$28)*(C4753&lt;='Resultats - informe'!$E$28),0,(C4753&gt;='Resultats - informe'!$D$29)*(C4753&lt;='Resultats - informe'!$E$29),0,1,1)</f>
        <v>0</v>
      </c>
      <c r="N4753" s="366">
        <f>+VLOOKUP(D4753,'Resultats - informe'!$Y$18:$AG$42,'Introducció dades consum'!K4753+1,0)</f>
        <v>0</v>
      </c>
      <c r="O4753" s="370" cm="1">
        <f t="array" ref="O4753">+_xlfn.SWITCH(MONTH(C4753),1,1,2,1,3,1,4,2,5,2,6,3,7,3,8,3,9,3,10,2,11,2,12,1,2)</f>
        <v>1</v>
      </c>
      <c r="P4753" s="43"/>
    </row>
    <row r="4754" spans="1:16" ht="18" x14ac:dyDescent="0.35">
      <c r="A4754" s="9"/>
      <c r="C4754" s="393"/>
      <c r="E4754" s="394"/>
      <c r="F4754" s="394">
        <v>0</v>
      </c>
      <c r="G4754" s="394"/>
      <c r="H4754" s="8" t="s">
        <v>235</v>
      </c>
      <c r="I4754" s="368">
        <f t="shared" si="223"/>
        <v>0</v>
      </c>
      <c r="J4754" s="365">
        <f t="shared" si="222"/>
        <v>0</v>
      </c>
      <c r="K4754" s="369">
        <f t="shared" si="224"/>
        <v>6</v>
      </c>
      <c r="L4754" s="369">
        <f>+IF((C4754&gt;='Resultats - informe'!$E$16)*(C4754&lt;='Resultats - informe'!$G$16),1,0)</f>
        <v>1</v>
      </c>
      <c r="M4754" s="369" cm="1">
        <f t="array" ref="M4754">+_xlfn.IFS((C4754&gt;='Resultats - informe'!$D$26)*(C4754&lt;='Resultats - informe'!$E$26),0,(C4754&gt;='Resultats - informe'!$D$27)*(C4754&lt;='Resultats - informe'!$E$27),0,(C4754&gt;='Resultats - informe'!$D$28)*(C4754&lt;='Resultats - informe'!$E$28),0,(C4754&gt;='Resultats - informe'!$D$29)*(C4754&lt;='Resultats - informe'!$E$29),0,1,1)</f>
        <v>0</v>
      </c>
      <c r="N4754" s="366">
        <f>+VLOOKUP(D4754,'Resultats - informe'!$Y$18:$AG$42,'Introducció dades consum'!K4754+1,0)</f>
        <v>0</v>
      </c>
      <c r="O4754" s="370" cm="1">
        <f t="array" ref="O4754">+_xlfn.SWITCH(MONTH(C4754),1,1,2,1,3,1,4,2,5,2,6,3,7,3,8,3,9,3,10,2,11,2,12,1,2)</f>
        <v>1</v>
      </c>
      <c r="P4754" s="43"/>
    </row>
    <row r="4755" spans="1:16" ht="18" x14ac:dyDescent="0.35">
      <c r="A4755" s="9"/>
      <c r="C4755" s="393"/>
      <c r="E4755" s="394"/>
      <c r="F4755" s="394">
        <v>0</v>
      </c>
      <c r="G4755" s="394"/>
      <c r="H4755" s="8" t="s">
        <v>235</v>
      </c>
      <c r="I4755" s="368">
        <f t="shared" si="223"/>
        <v>0</v>
      </c>
      <c r="J4755" s="365">
        <f t="shared" si="222"/>
        <v>0</v>
      </c>
      <c r="K4755" s="369">
        <f t="shared" si="224"/>
        <v>6</v>
      </c>
      <c r="L4755" s="369">
        <f>+IF((C4755&gt;='Resultats - informe'!$E$16)*(C4755&lt;='Resultats - informe'!$G$16),1,0)</f>
        <v>1</v>
      </c>
      <c r="M4755" s="369" cm="1">
        <f t="array" ref="M4755">+_xlfn.IFS((C4755&gt;='Resultats - informe'!$D$26)*(C4755&lt;='Resultats - informe'!$E$26),0,(C4755&gt;='Resultats - informe'!$D$27)*(C4755&lt;='Resultats - informe'!$E$27),0,(C4755&gt;='Resultats - informe'!$D$28)*(C4755&lt;='Resultats - informe'!$E$28),0,(C4755&gt;='Resultats - informe'!$D$29)*(C4755&lt;='Resultats - informe'!$E$29),0,1,1)</f>
        <v>0</v>
      </c>
      <c r="N4755" s="366">
        <f>+VLOOKUP(D4755,'Resultats - informe'!$Y$18:$AG$42,'Introducció dades consum'!K4755+1,0)</f>
        <v>0</v>
      </c>
      <c r="O4755" s="370" cm="1">
        <f t="array" ref="O4755">+_xlfn.SWITCH(MONTH(C4755),1,1,2,1,3,1,4,2,5,2,6,3,7,3,8,3,9,3,10,2,11,2,12,1,2)</f>
        <v>1</v>
      </c>
      <c r="P4755" s="43"/>
    </row>
    <row r="4756" spans="1:16" ht="18" x14ac:dyDescent="0.35">
      <c r="A4756" s="9"/>
      <c r="C4756" s="393"/>
      <c r="E4756" s="394"/>
      <c r="F4756" s="394">
        <v>0</v>
      </c>
      <c r="G4756" s="394"/>
      <c r="H4756" s="8" t="s">
        <v>235</v>
      </c>
      <c r="I4756" s="368">
        <f t="shared" si="223"/>
        <v>0</v>
      </c>
      <c r="J4756" s="365">
        <f t="shared" si="222"/>
        <v>0</v>
      </c>
      <c r="K4756" s="369">
        <f t="shared" si="224"/>
        <v>6</v>
      </c>
      <c r="L4756" s="369">
        <f>+IF((C4756&gt;='Resultats - informe'!$E$16)*(C4756&lt;='Resultats - informe'!$G$16),1,0)</f>
        <v>1</v>
      </c>
      <c r="M4756" s="369" cm="1">
        <f t="array" ref="M4756">+_xlfn.IFS((C4756&gt;='Resultats - informe'!$D$26)*(C4756&lt;='Resultats - informe'!$E$26),0,(C4756&gt;='Resultats - informe'!$D$27)*(C4756&lt;='Resultats - informe'!$E$27),0,(C4756&gt;='Resultats - informe'!$D$28)*(C4756&lt;='Resultats - informe'!$E$28),0,(C4756&gt;='Resultats - informe'!$D$29)*(C4756&lt;='Resultats - informe'!$E$29),0,1,1)</f>
        <v>0</v>
      </c>
      <c r="N4756" s="366">
        <f>+VLOOKUP(D4756,'Resultats - informe'!$Y$18:$AG$42,'Introducció dades consum'!K4756+1,0)</f>
        <v>0</v>
      </c>
      <c r="O4756" s="370" cm="1">
        <f t="array" ref="O4756">+_xlfn.SWITCH(MONTH(C4756),1,1,2,1,3,1,4,2,5,2,6,3,7,3,8,3,9,3,10,2,11,2,12,1,2)</f>
        <v>1</v>
      </c>
      <c r="P4756" s="43"/>
    </row>
    <row r="4757" spans="1:16" ht="18" x14ac:dyDescent="0.35">
      <c r="A4757" s="9"/>
      <c r="C4757" s="393"/>
      <c r="E4757" s="394"/>
      <c r="F4757" s="394">
        <v>0</v>
      </c>
      <c r="G4757" s="394"/>
      <c r="H4757" s="8" t="s">
        <v>235</v>
      </c>
      <c r="I4757" s="368">
        <f t="shared" si="223"/>
        <v>0</v>
      </c>
      <c r="J4757" s="365">
        <f t="shared" si="222"/>
        <v>0</v>
      </c>
      <c r="K4757" s="369">
        <f t="shared" si="224"/>
        <v>6</v>
      </c>
      <c r="L4757" s="369">
        <f>+IF((C4757&gt;='Resultats - informe'!$E$16)*(C4757&lt;='Resultats - informe'!$G$16),1,0)</f>
        <v>1</v>
      </c>
      <c r="M4757" s="369" cm="1">
        <f t="array" ref="M4757">+_xlfn.IFS((C4757&gt;='Resultats - informe'!$D$26)*(C4757&lt;='Resultats - informe'!$E$26),0,(C4757&gt;='Resultats - informe'!$D$27)*(C4757&lt;='Resultats - informe'!$E$27),0,(C4757&gt;='Resultats - informe'!$D$28)*(C4757&lt;='Resultats - informe'!$E$28),0,(C4757&gt;='Resultats - informe'!$D$29)*(C4757&lt;='Resultats - informe'!$E$29),0,1,1)</f>
        <v>0</v>
      </c>
      <c r="N4757" s="366">
        <f>+VLOOKUP(D4757,'Resultats - informe'!$Y$18:$AG$42,'Introducció dades consum'!K4757+1,0)</f>
        <v>0</v>
      </c>
      <c r="O4757" s="370" cm="1">
        <f t="array" ref="O4757">+_xlfn.SWITCH(MONTH(C4757),1,1,2,1,3,1,4,2,5,2,6,3,7,3,8,3,9,3,10,2,11,2,12,1,2)</f>
        <v>1</v>
      </c>
      <c r="P4757" s="43"/>
    </row>
    <row r="4758" spans="1:16" ht="18" x14ac:dyDescent="0.35">
      <c r="A4758" s="9"/>
      <c r="C4758" s="393"/>
      <c r="E4758" s="394"/>
      <c r="F4758" s="394">
        <v>0</v>
      </c>
      <c r="G4758" s="394"/>
      <c r="H4758" s="8" t="s">
        <v>235</v>
      </c>
      <c r="I4758" s="368">
        <f t="shared" si="223"/>
        <v>0</v>
      </c>
      <c r="J4758" s="365">
        <f t="shared" si="222"/>
        <v>0</v>
      </c>
      <c r="K4758" s="369">
        <f t="shared" si="224"/>
        <v>6</v>
      </c>
      <c r="L4758" s="369">
        <f>+IF((C4758&gt;='Resultats - informe'!$E$16)*(C4758&lt;='Resultats - informe'!$G$16),1,0)</f>
        <v>1</v>
      </c>
      <c r="M4758" s="369" cm="1">
        <f t="array" ref="M4758">+_xlfn.IFS((C4758&gt;='Resultats - informe'!$D$26)*(C4758&lt;='Resultats - informe'!$E$26),0,(C4758&gt;='Resultats - informe'!$D$27)*(C4758&lt;='Resultats - informe'!$E$27),0,(C4758&gt;='Resultats - informe'!$D$28)*(C4758&lt;='Resultats - informe'!$E$28),0,(C4758&gt;='Resultats - informe'!$D$29)*(C4758&lt;='Resultats - informe'!$E$29),0,1,1)</f>
        <v>0</v>
      </c>
      <c r="N4758" s="366">
        <f>+VLOOKUP(D4758,'Resultats - informe'!$Y$18:$AG$42,'Introducció dades consum'!K4758+1,0)</f>
        <v>0</v>
      </c>
      <c r="O4758" s="370" cm="1">
        <f t="array" ref="O4758">+_xlfn.SWITCH(MONTH(C4758),1,1,2,1,3,1,4,2,5,2,6,3,7,3,8,3,9,3,10,2,11,2,12,1,2)</f>
        <v>1</v>
      </c>
      <c r="P4758" s="43"/>
    </row>
    <row r="4759" spans="1:16" ht="18" x14ac:dyDescent="0.35">
      <c r="A4759" s="9"/>
      <c r="C4759" s="393"/>
      <c r="E4759" s="394"/>
      <c r="F4759" s="394">
        <v>0</v>
      </c>
      <c r="G4759" s="394"/>
      <c r="H4759" s="8" t="s">
        <v>235</v>
      </c>
      <c r="I4759" s="368">
        <f t="shared" si="223"/>
        <v>0</v>
      </c>
      <c r="J4759" s="365">
        <f t="shared" si="222"/>
        <v>0</v>
      </c>
      <c r="K4759" s="369">
        <f t="shared" si="224"/>
        <v>6</v>
      </c>
      <c r="L4759" s="369">
        <f>+IF((C4759&gt;='Resultats - informe'!$E$16)*(C4759&lt;='Resultats - informe'!$G$16),1,0)</f>
        <v>1</v>
      </c>
      <c r="M4759" s="369" cm="1">
        <f t="array" ref="M4759">+_xlfn.IFS((C4759&gt;='Resultats - informe'!$D$26)*(C4759&lt;='Resultats - informe'!$E$26),0,(C4759&gt;='Resultats - informe'!$D$27)*(C4759&lt;='Resultats - informe'!$E$27),0,(C4759&gt;='Resultats - informe'!$D$28)*(C4759&lt;='Resultats - informe'!$E$28),0,(C4759&gt;='Resultats - informe'!$D$29)*(C4759&lt;='Resultats - informe'!$E$29),0,1,1)</f>
        <v>0</v>
      </c>
      <c r="N4759" s="366">
        <f>+VLOOKUP(D4759,'Resultats - informe'!$Y$18:$AG$42,'Introducció dades consum'!K4759+1,0)</f>
        <v>0</v>
      </c>
      <c r="O4759" s="370" cm="1">
        <f t="array" ref="O4759">+_xlfn.SWITCH(MONTH(C4759),1,1,2,1,3,1,4,2,5,2,6,3,7,3,8,3,9,3,10,2,11,2,12,1,2)</f>
        <v>1</v>
      </c>
      <c r="P4759" s="43"/>
    </row>
    <row r="4760" spans="1:16" ht="18" x14ac:dyDescent="0.35">
      <c r="A4760" s="9"/>
      <c r="C4760" s="393"/>
      <c r="E4760" s="394"/>
      <c r="F4760" s="394">
        <v>0</v>
      </c>
      <c r="G4760" s="394"/>
      <c r="H4760" s="8" t="s">
        <v>235</v>
      </c>
      <c r="I4760" s="368">
        <f t="shared" si="223"/>
        <v>0</v>
      </c>
      <c r="J4760" s="365">
        <f t="shared" si="222"/>
        <v>0</v>
      </c>
      <c r="K4760" s="369">
        <f t="shared" si="224"/>
        <v>6</v>
      </c>
      <c r="L4760" s="369">
        <f>+IF((C4760&gt;='Resultats - informe'!$E$16)*(C4760&lt;='Resultats - informe'!$G$16),1,0)</f>
        <v>1</v>
      </c>
      <c r="M4760" s="369" cm="1">
        <f t="array" ref="M4760">+_xlfn.IFS((C4760&gt;='Resultats - informe'!$D$26)*(C4760&lt;='Resultats - informe'!$E$26),0,(C4760&gt;='Resultats - informe'!$D$27)*(C4760&lt;='Resultats - informe'!$E$27),0,(C4760&gt;='Resultats - informe'!$D$28)*(C4760&lt;='Resultats - informe'!$E$28),0,(C4760&gt;='Resultats - informe'!$D$29)*(C4760&lt;='Resultats - informe'!$E$29),0,1,1)</f>
        <v>0</v>
      </c>
      <c r="N4760" s="366">
        <f>+VLOOKUP(D4760,'Resultats - informe'!$Y$18:$AG$42,'Introducció dades consum'!K4760+1,0)</f>
        <v>0</v>
      </c>
      <c r="O4760" s="370" cm="1">
        <f t="array" ref="O4760">+_xlfn.SWITCH(MONTH(C4760),1,1,2,1,3,1,4,2,5,2,6,3,7,3,8,3,9,3,10,2,11,2,12,1,2)</f>
        <v>1</v>
      </c>
      <c r="P4760" s="43"/>
    </row>
    <row r="4761" spans="1:16" ht="18" x14ac:dyDescent="0.35">
      <c r="A4761" s="9"/>
      <c r="C4761" s="393"/>
      <c r="E4761" s="394"/>
      <c r="F4761" s="394">
        <v>0</v>
      </c>
      <c r="G4761" s="394"/>
      <c r="H4761" s="8" t="s">
        <v>235</v>
      </c>
      <c r="I4761" s="368">
        <f t="shared" si="223"/>
        <v>0</v>
      </c>
      <c r="J4761" s="365">
        <f t="shared" si="222"/>
        <v>0</v>
      </c>
      <c r="K4761" s="369">
        <f t="shared" si="224"/>
        <v>6</v>
      </c>
      <c r="L4761" s="369">
        <f>+IF((C4761&gt;='Resultats - informe'!$E$16)*(C4761&lt;='Resultats - informe'!$G$16),1,0)</f>
        <v>1</v>
      </c>
      <c r="M4761" s="369" cm="1">
        <f t="array" ref="M4761">+_xlfn.IFS((C4761&gt;='Resultats - informe'!$D$26)*(C4761&lt;='Resultats - informe'!$E$26),0,(C4761&gt;='Resultats - informe'!$D$27)*(C4761&lt;='Resultats - informe'!$E$27),0,(C4761&gt;='Resultats - informe'!$D$28)*(C4761&lt;='Resultats - informe'!$E$28),0,(C4761&gt;='Resultats - informe'!$D$29)*(C4761&lt;='Resultats - informe'!$E$29),0,1,1)</f>
        <v>0</v>
      </c>
      <c r="N4761" s="366">
        <f>+VLOOKUP(D4761,'Resultats - informe'!$Y$18:$AG$42,'Introducció dades consum'!K4761+1,0)</f>
        <v>0</v>
      </c>
      <c r="O4761" s="370" cm="1">
        <f t="array" ref="O4761">+_xlfn.SWITCH(MONTH(C4761),1,1,2,1,3,1,4,2,5,2,6,3,7,3,8,3,9,3,10,2,11,2,12,1,2)</f>
        <v>1</v>
      </c>
      <c r="P4761" s="43"/>
    </row>
    <row r="4762" spans="1:16" ht="18" x14ac:dyDescent="0.35">
      <c r="A4762" s="9"/>
      <c r="C4762" s="393"/>
      <c r="E4762" s="394"/>
      <c r="F4762" s="394">
        <v>0</v>
      </c>
      <c r="G4762" s="394"/>
      <c r="H4762" s="8" t="s">
        <v>235</v>
      </c>
      <c r="I4762" s="368">
        <f t="shared" si="223"/>
        <v>0</v>
      </c>
      <c r="J4762" s="365">
        <f t="shared" si="222"/>
        <v>0</v>
      </c>
      <c r="K4762" s="369">
        <f t="shared" si="224"/>
        <v>6</v>
      </c>
      <c r="L4762" s="369">
        <f>+IF((C4762&gt;='Resultats - informe'!$E$16)*(C4762&lt;='Resultats - informe'!$G$16),1,0)</f>
        <v>1</v>
      </c>
      <c r="M4762" s="369" cm="1">
        <f t="array" ref="M4762">+_xlfn.IFS((C4762&gt;='Resultats - informe'!$D$26)*(C4762&lt;='Resultats - informe'!$E$26),0,(C4762&gt;='Resultats - informe'!$D$27)*(C4762&lt;='Resultats - informe'!$E$27),0,(C4762&gt;='Resultats - informe'!$D$28)*(C4762&lt;='Resultats - informe'!$E$28),0,(C4762&gt;='Resultats - informe'!$D$29)*(C4762&lt;='Resultats - informe'!$E$29),0,1,1)</f>
        <v>0</v>
      </c>
      <c r="N4762" s="366">
        <f>+VLOOKUP(D4762,'Resultats - informe'!$Y$18:$AG$42,'Introducció dades consum'!K4762+1,0)</f>
        <v>0</v>
      </c>
      <c r="O4762" s="370" cm="1">
        <f t="array" ref="O4762">+_xlfn.SWITCH(MONTH(C4762),1,1,2,1,3,1,4,2,5,2,6,3,7,3,8,3,9,3,10,2,11,2,12,1,2)</f>
        <v>1</v>
      </c>
      <c r="P4762" s="43"/>
    </row>
    <row r="4763" spans="1:16" ht="18" x14ac:dyDescent="0.35">
      <c r="A4763" s="9"/>
      <c r="C4763" s="393"/>
      <c r="E4763" s="394"/>
      <c r="F4763" s="394">
        <v>0</v>
      </c>
      <c r="G4763" s="394"/>
      <c r="H4763" s="8" t="s">
        <v>235</v>
      </c>
      <c r="I4763" s="368">
        <f t="shared" si="223"/>
        <v>0</v>
      </c>
      <c r="J4763" s="365">
        <f t="shared" si="222"/>
        <v>0</v>
      </c>
      <c r="K4763" s="369">
        <f t="shared" si="224"/>
        <v>6</v>
      </c>
      <c r="L4763" s="369">
        <f>+IF((C4763&gt;='Resultats - informe'!$E$16)*(C4763&lt;='Resultats - informe'!$G$16),1,0)</f>
        <v>1</v>
      </c>
      <c r="M4763" s="369" cm="1">
        <f t="array" ref="M4763">+_xlfn.IFS((C4763&gt;='Resultats - informe'!$D$26)*(C4763&lt;='Resultats - informe'!$E$26),0,(C4763&gt;='Resultats - informe'!$D$27)*(C4763&lt;='Resultats - informe'!$E$27),0,(C4763&gt;='Resultats - informe'!$D$28)*(C4763&lt;='Resultats - informe'!$E$28),0,(C4763&gt;='Resultats - informe'!$D$29)*(C4763&lt;='Resultats - informe'!$E$29),0,1,1)</f>
        <v>0</v>
      </c>
      <c r="N4763" s="366">
        <f>+VLOOKUP(D4763,'Resultats - informe'!$Y$18:$AG$42,'Introducció dades consum'!K4763+1,0)</f>
        <v>0</v>
      </c>
      <c r="O4763" s="370" cm="1">
        <f t="array" ref="O4763">+_xlfn.SWITCH(MONTH(C4763),1,1,2,1,3,1,4,2,5,2,6,3,7,3,8,3,9,3,10,2,11,2,12,1,2)</f>
        <v>1</v>
      </c>
      <c r="P4763" s="43"/>
    </row>
    <row r="4764" spans="1:16" ht="18" x14ac:dyDescent="0.35">
      <c r="A4764" s="9"/>
      <c r="C4764" s="393"/>
      <c r="E4764" s="394"/>
      <c r="F4764" s="394">
        <v>0</v>
      </c>
      <c r="G4764" s="394"/>
      <c r="H4764" s="8" t="s">
        <v>235</v>
      </c>
      <c r="I4764" s="368">
        <f t="shared" si="223"/>
        <v>0</v>
      </c>
      <c r="J4764" s="365">
        <f t="shared" si="222"/>
        <v>0</v>
      </c>
      <c r="K4764" s="369">
        <f t="shared" si="224"/>
        <v>6</v>
      </c>
      <c r="L4764" s="369">
        <f>+IF((C4764&gt;='Resultats - informe'!$E$16)*(C4764&lt;='Resultats - informe'!$G$16),1,0)</f>
        <v>1</v>
      </c>
      <c r="M4764" s="369" cm="1">
        <f t="array" ref="M4764">+_xlfn.IFS((C4764&gt;='Resultats - informe'!$D$26)*(C4764&lt;='Resultats - informe'!$E$26),0,(C4764&gt;='Resultats - informe'!$D$27)*(C4764&lt;='Resultats - informe'!$E$27),0,(C4764&gt;='Resultats - informe'!$D$28)*(C4764&lt;='Resultats - informe'!$E$28),0,(C4764&gt;='Resultats - informe'!$D$29)*(C4764&lt;='Resultats - informe'!$E$29),0,1,1)</f>
        <v>0</v>
      </c>
      <c r="N4764" s="366">
        <f>+VLOOKUP(D4764,'Resultats - informe'!$Y$18:$AG$42,'Introducció dades consum'!K4764+1,0)</f>
        <v>0</v>
      </c>
      <c r="O4764" s="370" cm="1">
        <f t="array" ref="O4764">+_xlfn.SWITCH(MONTH(C4764),1,1,2,1,3,1,4,2,5,2,6,3,7,3,8,3,9,3,10,2,11,2,12,1,2)</f>
        <v>1</v>
      </c>
      <c r="P4764" s="43"/>
    </row>
    <row r="4765" spans="1:16" ht="18" x14ac:dyDescent="0.35">
      <c r="A4765" s="9"/>
      <c r="C4765" s="393"/>
      <c r="E4765" s="394"/>
      <c r="F4765" s="394">
        <v>1.284</v>
      </c>
      <c r="G4765" s="394"/>
      <c r="H4765" s="8" t="s">
        <v>235</v>
      </c>
      <c r="I4765" s="368">
        <f t="shared" si="223"/>
        <v>0</v>
      </c>
      <c r="J4765" s="365">
        <f t="shared" si="222"/>
        <v>0</v>
      </c>
      <c r="K4765" s="369">
        <f t="shared" si="224"/>
        <v>6</v>
      </c>
      <c r="L4765" s="369">
        <f>+IF((C4765&gt;='Resultats - informe'!$E$16)*(C4765&lt;='Resultats - informe'!$G$16),1,0)</f>
        <v>1</v>
      </c>
      <c r="M4765" s="369" cm="1">
        <f t="array" ref="M4765">+_xlfn.IFS((C4765&gt;='Resultats - informe'!$D$26)*(C4765&lt;='Resultats - informe'!$E$26),0,(C4765&gt;='Resultats - informe'!$D$27)*(C4765&lt;='Resultats - informe'!$E$27),0,(C4765&gt;='Resultats - informe'!$D$28)*(C4765&lt;='Resultats - informe'!$E$28),0,(C4765&gt;='Resultats - informe'!$D$29)*(C4765&lt;='Resultats - informe'!$E$29),0,1,1)</f>
        <v>0</v>
      </c>
      <c r="N4765" s="366">
        <f>+VLOOKUP(D4765,'Resultats - informe'!$Y$18:$AG$42,'Introducció dades consum'!K4765+1,0)</f>
        <v>0</v>
      </c>
      <c r="O4765" s="370" cm="1">
        <f t="array" ref="O4765">+_xlfn.SWITCH(MONTH(C4765),1,1,2,1,3,1,4,2,5,2,6,3,7,3,8,3,9,3,10,2,11,2,12,1,2)</f>
        <v>1</v>
      </c>
      <c r="P4765" s="43"/>
    </row>
    <row r="4766" spans="1:16" ht="18" x14ac:dyDescent="0.35">
      <c r="A4766" s="9"/>
      <c r="C4766" s="393"/>
      <c r="E4766" s="394"/>
      <c r="F4766" s="394">
        <v>3.0739999999999998</v>
      </c>
      <c r="G4766" s="394"/>
      <c r="H4766" s="8" t="s">
        <v>235</v>
      </c>
      <c r="I4766" s="368">
        <f t="shared" si="223"/>
        <v>0</v>
      </c>
      <c r="J4766" s="365">
        <f t="shared" si="222"/>
        <v>0</v>
      </c>
      <c r="K4766" s="369">
        <f t="shared" si="224"/>
        <v>6</v>
      </c>
      <c r="L4766" s="369">
        <f>+IF((C4766&gt;='Resultats - informe'!$E$16)*(C4766&lt;='Resultats - informe'!$G$16),1,0)</f>
        <v>1</v>
      </c>
      <c r="M4766" s="369" cm="1">
        <f t="array" ref="M4766">+_xlfn.IFS((C4766&gt;='Resultats - informe'!$D$26)*(C4766&lt;='Resultats - informe'!$E$26),0,(C4766&gt;='Resultats - informe'!$D$27)*(C4766&lt;='Resultats - informe'!$E$27),0,(C4766&gt;='Resultats - informe'!$D$28)*(C4766&lt;='Resultats - informe'!$E$28),0,(C4766&gt;='Resultats - informe'!$D$29)*(C4766&lt;='Resultats - informe'!$E$29),0,1,1)</f>
        <v>0</v>
      </c>
      <c r="N4766" s="366">
        <f>+VLOOKUP(D4766,'Resultats - informe'!$Y$18:$AG$42,'Introducció dades consum'!K4766+1,0)</f>
        <v>0</v>
      </c>
      <c r="O4766" s="370" cm="1">
        <f t="array" ref="O4766">+_xlfn.SWITCH(MONTH(C4766),1,1,2,1,3,1,4,2,5,2,6,3,7,3,8,3,9,3,10,2,11,2,12,1,2)</f>
        <v>1</v>
      </c>
      <c r="P4766" s="43"/>
    </row>
    <row r="4767" spans="1:16" ht="18" x14ac:dyDescent="0.35">
      <c r="A4767" s="9"/>
      <c r="C4767" s="393"/>
      <c r="E4767" s="394"/>
      <c r="F4767" s="394">
        <v>4.2229999999999999</v>
      </c>
      <c r="G4767" s="394"/>
      <c r="H4767" s="8" t="s">
        <v>235</v>
      </c>
      <c r="I4767" s="368">
        <f t="shared" si="223"/>
        <v>0</v>
      </c>
      <c r="J4767" s="365">
        <f t="shared" si="222"/>
        <v>0</v>
      </c>
      <c r="K4767" s="369">
        <f t="shared" si="224"/>
        <v>6</v>
      </c>
      <c r="L4767" s="369">
        <f>+IF((C4767&gt;='Resultats - informe'!$E$16)*(C4767&lt;='Resultats - informe'!$G$16),1,0)</f>
        <v>1</v>
      </c>
      <c r="M4767" s="369" cm="1">
        <f t="array" ref="M4767">+_xlfn.IFS((C4767&gt;='Resultats - informe'!$D$26)*(C4767&lt;='Resultats - informe'!$E$26),0,(C4767&gt;='Resultats - informe'!$D$27)*(C4767&lt;='Resultats - informe'!$E$27),0,(C4767&gt;='Resultats - informe'!$D$28)*(C4767&lt;='Resultats - informe'!$E$28),0,(C4767&gt;='Resultats - informe'!$D$29)*(C4767&lt;='Resultats - informe'!$E$29),0,1,1)</f>
        <v>0</v>
      </c>
      <c r="N4767" s="366">
        <f>+VLOOKUP(D4767,'Resultats - informe'!$Y$18:$AG$42,'Introducció dades consum'!K4767+1,0)</f>
        <v>0</v>
      </c>
      <c r="O4767" s="370" cm="1">
        <f t="array" ref="O4767">+_xlfn.SWITCH(MONTH(C4767),1,1,2,1,3,1,4,2,5,2,6,3,7,3,8,3,9,3,10,2,11,2,12,1,2)</f>
        <v>1</v>
      </c>
      <c r="P4767" s="43"/>
    </row>
    <row r="4768" spans="1:16" ht="18" x14ac:dyDescent="0.35">
      <c r="A4768" s="9"/>
      <c r="C4768" s="393"/>
      <c r="E4768" s="394"/>
      <c r="F4768" s="394">
        <v>5.101</v>
      </c>
      <c r="G4768" s="394"/>
      <c r="H4768" s="8" t="s">
        <v>235</v>
      </c>
      <c r="I4768" s="368">
        <f t="shared" si="223"/>
        <v>0</v>
      </c>
      <c r="J4768" s="365">
        <f t="shared" si="222"/>
        <v>0</v>
      </c>
      <c r="K4768" s="369">
        <f t="shared" si="224"/>
        <v>6</v>
      </c>
      <c r="L4768" s="369">
        <f>+IF((C4768&gt;='Resultats - informe'!$E$16)*(C4768&lt;='Resultats - informe'!$G$16),1,0)</f>
        <v>1</v>
      </c>
      <c r="M4768" s="369" cm="1">
        <f t="array" ref="M4768">+_xlfn.IFS((C4768&gt;='Resultats - informe'!$D$26)*(C4768&lt;='Resultats - informe'!$E$26),0,(C4768&gt;='Resultats - informe'!$D$27)*(C4768&lt;='Resultats - informe'!$E$27),0,(C4768&gt;='Resultats - informe'!$D$28)*(C4768&lt;='Resultats - informe'!$E$28),0,(C4768&gt;='Resultats - informe'!$D$29)*(C4768&lt;='Resultats - informe'!$E$29),0,1,1)</f>
        <v>0</v>
      </c>
      <c r="N4768" s="366">
        <f>+VLOOKUP(D4768,'Resultats - informe'!$Y$18:$AG$42,'Introducció dades consum'!K4768+1,0)</f>
        <v>0</v>
      </c>
      <c r="O4768" s="370" cm="1">
        <f t="array" ref="O4768">+_xlfn.SWITCH(MONTH(C4768),1,1,2,1,3,1,4,2,5,2,6,3,7,3,8,3,9,3,10,2,11,2,12,1,2)</f>
        <v>1</v>
      </c>
      <c r="P4768" s="43"/>
    </row>
    <row r="4769" spans="1:16" ht="18" x14ac:dyDescent="0.35">
      <c r="A4769" s="9"/>
      <c r="C4769" s="393"/>
      <c r="E4769" s="394"/>
      <c r="F4769" s="394">
        <v>5.476</v>
      </c>
      <c r="G4769" s="394"/>
      <c r="H4769" s="8" t="s">
        <v>235</v>
      </c>
      <c r="I4769" s="368">
        <f t="shared" si="223"/>
        <v>0</v>
      </c>
      <c r="J4769" s="365">
        <f t="shared" si="222"/>
        <v>0</v>
      </c>
      <c r="K4769" s="369">
        <f t="shared" si="224"/>
        <v>6</v>
      </c>
      <c r="L4769" s="369">
        <f>+IF((C4769&gt;='Resultats - informe'!$E$16)*(C4769&lt;='Resultats - informe'!$G$16),1,0)</f>
        <v>1</v>
      </c>
      <c r="M4769" s="369" cm="1">
        <f t="array" ref="M4769">+_xlfn.IFS((C4769&gt;='Resultats - informe'!$D$26)*(C4769&lt;='Resultats - informe'!$E$26),0,(C4769&gt;='Resultats - informe'!$D$27)*(C4769&lt;='Resultats - informe'!$E$27),0,(C4769&gt;='Resultats - informe'!$D$28)*(C4769&lt;='Resultats - informe'!$E$28),0,(C4769&gt;='Resultats - informe'!$D$29)*(C4769&lt;='Resultats - informe'!$E$29),0,1,1)</f>
        <v>0</v>
      </c>
      <c r="N4769" s="366">
        <f>+VLOOKUP(D4769,'Resultats - informe'!$Y$18:$AG$42,'Introducció dades consum'!K4769+1,0)</f>
        <v>0</v>
      </c>
      <c r="O4769" s="370" cm="1">
        <f t="array" ref="O4769">+_xlfn.SWITCH(MONTH(C4769),1,1,2,1,3,1,4,2,5,2,6,3,7,3,8,3,9,3,10,2,11,2,12,1,2)</f>
        <v>1</v>
      </c>
      <c r="P4769" s="43"/>
    </row>
    <row r="4770" spans="1:16" ht="18" x14ac:dyDescent="0.35">
      <c r="A4770" s="9"/>
      <c r="C4770" s="393"/>
      <c r="E4770" s="394"/>
      <c r="F4770" s="394">
        <v>6.2779999999999996</v>
      </c>
      <c r="G4770" s="394"/>
      <c r="H4770" s="8" t="s">
        <v>235</v>
      </c>
      <c r="I4770" s="368">
        <f t="shared" si="223"/>
        <v>0</v>
      </c>
      <c r="J4770" s="365">
        <f t="shared" si="222"/>
        <v>0</v>
      </c>
      <c r="K4770" s="369">
        <f t="shared" si="224"/>
        <v>6</v>
      </c>
      <c r="L4770" s="369">
        <f>+IF((C4770&gt;='Resultats - informe'!$E$16)*(C4770&lt;='Resultats - informe'!$G$16),1,0)</f>
        <v>1</v>
      </c>
      <c r="M4770" s="369" cm="1">
        <f t="array" ref="M4770">+_xlfn.IFS((C4770&gt;='Resultats - informe'!$D$26)*(C4770&lt;='Resultats - informe'!$E$26),0,(C4770&gt;='Resultats - informe'!$D$27)*(C4770&lt;='Resultats - informe'!$E$27),0,(C4770&gt;='Resultats - informe'!$D$28)*(C4770&lt;='Resultats - informe'!$E$28),0,(C4770&gt;='Resultats - informe'!$D$29)*(C4770&lt;='Resultats - informe'!$E$29),0,1,1)</f>
        <v>0</v>
      </c>
      <c r="N4770" s="366">
        <f>+VLOOKUP(D4770,'Resultats - informe'!$Y$18:$AG$42,'Introducció dades consum'!K4770+1,0)</f>
        <v>0</v>
      </c>
      <c r="O4770" s="370" cm="1">
        <f t="array" ref="O4770">+_xlfn.SWITCH(MONTH(C4770),1,1,2,1,3,1,4,2,5,2,6,3,7,3,8,3,9,3,10,2,11,2,12,1,2)</f>
        <v>1</v>
      </c>
      <c r="P4770" s="43"/>
    </row>
    <row r="4771" spans="1:16" ht="18" x14ac:dyDescent="0.35">
      <c r="A4771" s="9"/>
      <c r="C4771" s="393"/>
      <c r="E4771" s="394"/>
      <c r="F4771" s="394">
        <v>6.1340000000000003</v>
      </c>
      <c r="G4771" s="394"/>
      <c r="H4771" s="8" t="s">
        <v>235</v>
      </c>
      <c r="I4771" s="368">
        <f t="shared" si="223"/>
        <v>0</v>
      </c>
      <c r="J4771" s="365">
        <f t="shared" si="222"/>
        <v>0</v>
      </c>
      <c r="K4771" s="369">
        <f t="shared" si="224"/>
        <v>6</v>
      </c>
      <c r="L4771" s="369">
        <f>+IF((C4771&gt;='Resultats - informe'!$E$16)*(C4771&lt;='Resultats - informe'!$G$16),1,0)</f>
        <v>1</v>
      </c>
      <c r="M4771" s="369" cm="1">
        <f t="array" ref="M4771">+_xlfn.IFS((C4771&gt;='Resultats - informe'!$D$26)*(C4771&lt;='Resultats - informe'!$E$26),0,(C4771&gt;='Resultats - informe'!$D$27)*(C4771&lt;='Resultats - informe'!$E$27),0,(C4771&gt;='Resultats - informe'!$D$28)*(C4771&lt;='Resultats - informe'!$E$28),0,(C4771&gt;='Resultats - informe'!$D$29)*(C4771&lt;='Resultats - informe'!$E$29),0,1,1)</f>
        <v>0</v>
      </c>
      <c r="N4771" s="366">
        <f>+VLOOKUP(D4771,'Resultats - informe'!$Y$18:$AG$42,'Introducció dades consum'!K4771+1,0)</f>
        <v>0</v>
      </c>
      <c r="O4771" s="370" cm="1">
        <f t="array" ref="O4771">+_xlfn.SWITCH(MONTH(C4771),1,1,2,1,3,1,4,2,5,2,6,3,7,3,8,3,9,3,10,2,11,2,12,1,2)</f>
        <v>1</v>
      </c>
      <c r="P4771" s="43"/>
    </row>
    <row r="4772" spans="1:16" ht="18" x14ac:dyDescent="0.35">
      <c r="A4772" s="9"/>
      <c r="C4772" s="393"/>
      <c r="E4772" s="394"/>
      <c r="F4772" s="394">
        <v>0</v>
      </c>
      <c r="G4772" s="394"/>
      <c r="H4772" s="8" t="s">
        <v>235</v>
      </c>
      <c r="I4772" s="368">
        <f t="shared" si="223"/>
        <v>0</v>
      </c>
      <c r="J4772" s="365">
        <f t="shared" si="222"/>
        <v>0</v>
      </c>
      <c r="K4772" s="369">
        <f t="shared" si="224"/>
        <v>6</v>
      </c>
      <c r="L4772" s="369">
        <f>+IF((C4772&gt;='Resultats - informe'!$E$16)*(C4772&lt;='Resultats - informe'!$G$16),1,0)</f>
        <v>1</v>
      </c>
      <c r="M4772" s="369" cm="1">
        <f t="array" ref="M4772">+_xlfn.IFS((C4772&gt;='Resultats - informe'!$D$26)*(C4772&lt;='Resultats - informe'!$E$26),0,(C4772&gt;='Resultats - informe'!$D$27)*(C4772&lt;='Resultats - informe'!$E$27),0,(C4772&gt;='Resultats - informe'!$D$28)*(C4772&lt;='Resultats - informe'!$E$28),0,(C4772&gt;='Resultats - informe'!$D$29)*(C4772&lt;='Resultats - informe'!$E$29),0,1,1)</f>
        <v>0</v>
      </c>
      <c r="N4772" s="366">
        <f>+VLOOKUP(D4772,'Resultats - informe'!$Y$18:$AG$42,'Introducció dades consum'!K4772+1,0)</f>
        <v>0</v>
      </c>
      <c r="O4772" s="370" cm="1">
        <f t="array" ref="O4772">+_xlfn.SWITCH(MONTH(C4772),1,1,2,1,3,1,4,2,5,2,6,3,7,3,8,3,9,3,10,2,11,2,12,1,2)</f>
        <v>1</v>
      </c>
      <c r="P4772" s="43"/>
    </row>
    <row r="4773" spans="1:16" ht="18" x14ac:dyDescent="0.35">
      <c r="A4773" s="9"/>
      <c r="C4773" s="393"/>
      <c r="E4773" s="394"/>
      <c r="F4773" s="394">
        <v>0</v>
      </c>
      <c r="G4773" s="394"/>
      <c r="H4773" s="8" t="s">
        <v>235</v>
      </c>
      <c r="I4773" s="368">
        <f t="shared" si="223"/>
        <v>0</v>
      </c>
      <c r="J4773" s="365">
        <f t="shared" si="222"/>
        <v>0</v>
      </c>
      <c r="K4773" s="369">
        <f t="shared" si="224"/>
        <v>6</v>
      </c>
      <c r="L4773" s="369">
        <f>+IF((C4773&gt;='Resultats - informe'!$E$16)*(C4773&lt;='Resultats - informe'!$G$16),1,0)</f>
        <v>1</v>
      </c>
      <c r="M4773" s="369" cm="1">
        <f t="array" ref="M4773">+_xlfn.IFS((C4773&gt;='Resultats - informe'!$D$26)*(C4773&lt;='Resultats - informe'!$E$26),0,(C4773&gt;='Resultats - informe'!$D$27)*(C4773&lt;='Resultats - informe'!$E$27),0,(C4773&gt;='Resultats - informe'!$D$28)*(C4773&lt;='Resultats - informe'!$E$28),0,(C4773&gt;='Resultats - informe'!$D$29)*(C4773&lt;='Resultats - informe'!$E$29),0,1,1)</f>
        <v>0</v>
      </c>
      <c r="N4773" s="366">
        <f>+VLOOKUP(D4773,'Resultats - informe'!$Y$18:$AG$42,'Introducció dades consum'!K4773+1,0)</f>
        <v>0</v>
      </c>
      <c r="O4773" s="370" cm="1">
        <f t="array" ref="O4773">+_xlfn.SWITCH(MONTH(C4773),1,1,2,1,3,1,4,2,5,2,6,3,7,3,8,3,9,3,10,2,11,2,12,1,2)</f>
        <v>1</v>
      </c>
      <c r="P4773" s="43"/>
    </row>
    <row r="4774" spans="1:16" ht="18" x14ac:dyDescent="0.35">
      <c r="A4774" s="9"/>
      <c r="C4774" s="393"/>
      <c r="E4774" s="394"/>
      <c r="F4774" s="394">
        <v>2.36</v>
      </c>
      <c r="G4774" s="394"/>
      <c r="H4774" s="8" t="s">
        <v>235</v>
      </c>
      <c r="I4774" s="368">
        <f t="shared" si="223"/>
        <v>0</v>
      </c>
      <c r="J4774" s="365">
        <f t="shared" si="222"/>
        <v>0</v>
      </c>
      <c r="K4774" s="369">
        <f t="shared" si="224"/>
        <v>6</v>
      </c>
      <c r="L4774" s="369">
        <f>+IF((C4774&gt;='Resultats - informe'!$E$16)*(C4774&lt;='Resultats - informe'!$G$16),1,0)</f>
        <v>1</v>
      </c>
      <c r="M4774" s="369" cm="1">
        <f t="array" ref="M4774">+_xlfn.IFS((C4774&gt;='Resultats - informe'!$D$26)*(C4774&lt;='Resultats - informe'!$E$26),0,(C4774&gt;='Resultats - informe'!$D$27)*(C4774&lt;='Resultats - informe'!$E$27),0,(C4774&gt;='Resultats - informe'!$D$28)*(C4774&lt;='Resultats - informe'!$E$28),0,(C4774&gt;='Resultats - informe'!$D$29)*(C4774&lt;='Resultats - informe'!$E$29),0,1,1)</f>
        <v>0</v>
      </c>
      <c r="N4774" s="366">
        <f>+VLOOKUP(D4774,'Resultats - informe'!$Y$18:$AG$42,'Introducció dades consum'!K4774+1,0)</f>
        <v>0</v>
      </c>
      <c r="O4774" s="370" cm="1">
        <f t="array" ref="O4774">+_xlfn.SWITCH(MONTH(C4774),1,1,2,1,3,1,4,2,5,2,6,3,7,3,8,3,9,3,10,2,11,2,12,1,2)</f>
        <v>1</v>
      </c>
      <c r="P4774" s="43"/>
    </row>
    <row r="4775" spans="1:16" ht="18" x14ac:dyDescent="0.35">
      <c r="A4775" s="9"/>
      <c r="C4775" s="393"/>
      <c r="E4775" s="394"/>
      <c r="F4775" s="394">
        <v>0.74099999999999999</v>
      </c>
      <c r="G4775" s="394"/>
      <c r="H4775" s="8" t="s">
        <v>235</v>
      </c>
      <c r="I4775" s="368">
        <f t="shared" si="223"/>
        <v>0</v>
      </c>
      <c r="J4775" s="365">
        <f t="shared" si="222"/>
        <v>0</v>
      </c>
      <c r="K4775" s="369">
        <f t="shared" si="224"/>
        <v>6</v>
      </c>
      <c r="L4775" s="369">
        <f>+IF((C4775&gt;='Resultats - informe'!$E$16)*(C4775&lt;='Resultats - informe'!$G$16),1,0)</f>
        <v>1</v>
      </c>
      <c r="M4775" s="369" cm="1">
        <f t="array" ref="M4775">+_xlfn.IFS((C4775&gt;='Resultats - informe'!$D$26)*(C4775&lt;='Resultats - informe'!$E$26),0,(C4775&gt;='Resultats - informe'!$D$27)*(C4775&lt;='Resultats - informe'!$E$27),0,(C4775&gt;='Resultats - informe'!$D$28)*(C4775&lt;='Resultats - informe'!$E$28),0,(C4775&gt;='Resultats - informe'!$D$29)*(C4775&lt;='Resultats - informe'!$E$29),0,1,1)</f>
        <v>0</v>
      </c>
      <c r="N4775" s="366">
        <f>+VLOOKUP(D4775,'Resultats - informe'!$Y$18:$AG$42,'Introducció dades consum'!K4775+1,0)</f>
        <v>0</v>
      </c>
      <c r="O4775" s="370" cm="1">
        <f t="array" ref="O4775">+_xlfn.SWITCH(MONTH(C4775),1,1,2,1,3,1,4,2,5,2,6,3,7,3,8,3,9,3,10,2,11,2,12,1,2)</f>
        <v>1</v>
      </c>
      <c r="P4775" s="43"/>
    </row>
    <row r="4776" spans="1:16" ht="18" x14ac:dyDescent="0.35">
      <c r="A4776" s="9"/>
      <c r="C4776" s="393"/>
      <c r="E4776" s="394"/>
      <c r="F4776" s="394">
        <v>0</v>
      </c>
      <c r="G4776" s="394"/>
      <c r="H4776" s="8" t="s">
        <v>235</v>
      </c>
      <c r="I4776" s="368">
        <f t="shared" si="223"/>
        <v>0</v>
      </c>
      <c r="J4776" s="365">
        <f t="shared" si="222"/>
        <v>0</v>
      </c>
      <c r="K4776" s="369">
        <f t="shared" si="224"/>
        <v>6</v>
      </c>
      <c r="L4776" s="369">
        <f>+IF((C4776&gt;='Resultats - informe'!$E$16)*(C4776&lt;='Resultats - informe'!$G$16),1,0)</f>
        <v>1</v>
      </c>
      <c r="M4776" s="369" cm="1">
        <f t="array" ref="M4776">+_xlfn.IFS((C4776&gt;='Resultats - informe'!$D$26)*(C4776&lt;='Resultats - informe'!$E$26),0,(C4776&gt;='Resultats - informe'!$D$27)*(C4776&lt;='Resultats - informe'!$E$27),0,(C4776&gt;='Resultats - informe'!$D$28)*(C4776&lt;='Resultats - informe'!$E$28),0,(C4776&gt;='Resultats - informe'!$D$29)*(C4776&lt;='Resultats - informe'!$E$29),0,1,1)</f>
        <v>0</v>
      </c>
      <c r="N4776" s="366">
        <f>+VLOOKUP(D4776,'Resultats - informe'!$Y$18:$AG$42,'Introducció dades consum'!K4776+1,0)</f>
        <v>0</v>
      </c>
      <c r="O4776" s="370" cm="1">
        <f t="array" ref="O4776">+_xlfn.SWITCH(MONTH(C4776),1,1,2,1,3,1,4,2,5,2,6,3,7,3,8,3,9,3,10,2,11,2,12,1,2)</f>
        <v>1</v>
      </c>
      <c r="P4776" s="43"/>
    </row>
    <row r="4777" spans="1:16" ht="18" x14ac:dyDescent="0.35">
      <c r="A4777" s="9"/>
      <c r="C4777" s="393"/>
      <c r="E4777" s="394"/>
      <c r="F4777" s="394">
        <v>0</v>
      </c>
      <c r="G4777" s="394"/>
      <c r="H4777" s="8" t="s">
        <v>235</v>
      </c>
      <c r="I4777" s="368">
        <f t="shared" si="223"/>
        <v>0</v>
      </c>
      <c r="J4777" s="365">
        <f t="shared" si="222"/>
        <v>0</v>
      </c>
      <c r="K4777" s="369">
        <f t="shared" si="224"/>
        <v>6</v>
      </c>
      <c r="L4777" s="369">
        <f>+IF((C4777&gt;='Resultats - informe'!$E$16)*(C4777&lt;='Resultats - informe'!$G$16),1,0)</f>
        <v>1</v>
      </c>
      <c r="M4777" s="369" cm="1">
        <f t="array" ref="M4777">+_xlfn.IFS((C4777&gt;='Resultats - informe'!$D$26)*(C4777&lt;='Resultats - informe'!$E$26),0,(C4777&gt;='Resultats - informe'!$D$27)*(C4777&lt;='Resultats - informe'!$E$27),0,(C4777&gt;='Resultats - informe'!$D$28)*(C4777&lt;='Resultats - informe'!$E$28),0,(C4777&gt;='Resultats - informe'!$D$29)*(C4777&lt;='Resultats - informe'!$E$29),0,1,1)</f>
        <v>0</v>
      </c>
      <c r="N4777" s="366">
        <f>+VLOOKUP(D4777,'Resultats - informe'!$Y$18:$AG$42,'Introducció dades consum'!K4777+1,0)</f>
        <v>0</v>
      </c>
      <c r="O4777" s="370" cm="1">
        <f t="array" ref="O4777">+_xlfn.SWITCH(MONTH(C4777),1,1,2,1,3,1,4,2,5,2,6,3,7,3,8,3,9,3,10,2,11,2,12,1,2)</f>
        <v>1</v>
      </c>
      <c r="P4777" s="43"/>
    </row>
    <row r="4778" spans="1:16" ht="18" x14ac:dyDescent="0.35">
      <c r="A4778" s="9"/>
      <c r="C4778" s="393"/>
      <c r="E4778" s="394"/>
      <c r="F4778" s="394">
        <v>0</v>
      </c>
      <c r="G4778" s="394"/>
      <c r="H4778" s="8" t="s">
        <v>235</v>
      </c>
      <c r="I4778" s="368">
        <f t="shared" si="223"/>
        <v>0</v>
      </c>
      <c r="J4778" s="365">
        <f t="shared" si="222"/>
        <v>0</v>
      </c>
      <c r="K4778" s="369">
        <f t="shared" si="224"/>
        <v>6</v>
      </c>
      <c r="L4778" s="369">
        <f>+IF((C4778&gt;='Resultats - informe'!$E$16)*(C4778&lt;='Resultats - informe'!$G$16),1,0)</f>
        <v>1</v>
      </c>
      <c r="M4778" s="369" cm="1">
        <f t="array" ref="M4778">+_xlfn.IFS((C4778&gt;='Resultats - informe'!$D$26)*(C4778&lt;='Resultats - informe'!$E$26),0,(C4778&gt;='Resultats - informe'!$D$27)*(C4778&lt;='Resultats - informe'!$E$27),0,(C4778&gt;='Resultats - informe'!$D$28)*(C4778&lt;='Resultats - informe'!$E$28),0,(C4778&gt;='Resultats - informe'!$D$29)*(C4778&lt;='Resultats - informe'!$E$29),0,1,1)</f>
        <v>0</v>
      </c>
      <c r="N4778" s="366">
        <f>+VLOOKUP(D4778,'Resultats - informe'!$Y$18:$AG$42,'Introducció dades consum'!K4778+1,0)</f>
        <v>0</v>
      </c>
      <c r="O4778" s="370" cm="1">
        <f t="array" ref="O4778">+_xlfn.SWITCH(MONTH(C4778),1,1,2,1,3,1,4,2,5,2,6,3,7,3,8,3,9,3,10,2,11,2,12,1,2)</f>
        <v>1</v>
      </c>
      <c r="P4778" s="43"/>
    </row>
    <row r="4779" spans="1:16" ht="18" x14ac:dyDescent="0.35">
      <c r="A4779" s="9"/>
      <c r="C4779" s="393"/>
      <c r="E4779" s="394"/>
      <c r="F4779" s="394">
        <v>0</v>
      </c>
      <c r="G4779" s="394"/>
      <c r="H4779" s="8" t="s">
        <v>235</v>
      </c>
      <c r="I4779" s="368">
        <f t="shared" si="223"/>
        <v>0</v>
      </c>
      <c r="J4779" s="365">
        <f t="shared" si="222"/>
        <v>0</v>
      </c>
      <c r="K4779" s="369">
        <f t="shared" si="224"/>
        <v>6</v>
      </c>
      <c r="L4779" s="369">
        <f>+IF((C4779&gt;='Resultats - informe'!$E$16)*(C4779&lt;='Resultats - informe'!$G$16),1,0)</f>
        <v>1</v>
      </c>
      <c r="M4779" s="369" cm="1">
        <f t="array" ref="M4779">+_xlfn.IFS((C4779&gt;='Resultats - informe'!$D$26)*(C4779&lt;='Resultats - informe'!$E$26),0,(C4779&gt;='Resultats - informe'!$D$27)*(C4779&lt;='Resultats - informe'!$E$27),0,(C4779&gt;='Resultats - informe'!$D$28)*(C4779&lt;='Resultats - informe'!$E$28),0,(C4779&gt;='Resultats - informe'!$D$29)*(C4779&lt;='Resultats - informe'!$E$29),0,1,1)</f>
        <v>0</v>
      </c>
      <c r="N4779" s="366">
        <f>+VLOOKUP(D4779,'Resultats - informe'!$Y$18:$AG$42,'Introducció dades consum'!K4779+1,0)</f>
        <v>0</v>
      </c>
      <c r="O4779" s="370" cm="1">
        <f t="array" ref="O4779">+_xlfn.SWITCH(MONTH(C4779),1,1,2,1,3,1,4,2,5,2,6,3,7,3,8,3,9,3,10,2,11,2,12,1,2)</f>
        <v>1</v>
      </c>
      <c r="P4779" s="43"/>
    </row>
    <row r="4780" spans="1:16" ht="18" x14ac:dyDescent="0.35">
      <c r="A4780" s="9"/>
      <c r="C4780" s="393"/>
      <c r="E4780" s="394"/>
      <c r="F4780" s="394">
        <v>0</v>
      </c>
      <c r="G4780" s="394"/>
      <c r="H4780" s="8" t="s">
        <v>235</v>
      </c>
      <c r="I4780" s="368">
        <f t="shared" si="223"/>
        <v>0</v>
      </c>
      <c r="J4780" s="365">
        <f t="shared" si="222"/>
        <v>0</v>
      </c>
      <c r="K4780" s="369">
        <f t="shared" si="224"/>
        <v>6</v>
      </c>
      <c r="L4780" s="369">
        <f>+IF((C4780&gt;='Resultats - informe'!$E$16)*(C4780&lt;='Resultats - informe'!$G$16),1,0)</f>
        <v>1</v>
      </c>
      <c r="M4780" s="369" cm="1">
        <f t="array" ref="M4780">+_xlfn.IFS((C4780&gt;='Resultats - informe'!$D$26)*(C4780&lt;='Resultats - informe'!$E$26),0,(C4780&gt;='Resultats - informe'!$D$27)*(C4780&lt;='Resultats - informe'!$E$27),0,(C4780&gt;='Resultats - informe'!$D$28)*(C4780&lt;='Resultats - informe'!$E$28),0,(C4780&gt;='Resultats - informe'!$D$29)*(C4780&lt;='Resultats - informe'!$E$29),0,1,1)</f>
        <v>0</v>
      </c>
      <c r="N4780" s="366">
        <f>+VLOOKUP(D4780,'Resultats - informe'!$Y$18:$AG$42,'Introducció dades consum'!K4780+1,0)</f>
        <v>0</v>
      </c>
      <c r="O4780" s="370" cm="1">
        <f t="array" ref="O4780">+_xlfn.SWITCH(MONTH(C4780),1,1,2,1,3,1,4,2,5,2,6,3,7,3,8,3,9,3,10,2,11,2,12,1,2)</f>
        <v>1</v>
      </c>
      <c r="P4780" s="43"/>
    </row>
    <row r="4781" spans="1:16" ht="18" x14ac:dyDescent="0.35">
      <c r="A4781" s="9"/>
      <c r="C4781" s="393"/>
      <c r="E4781" s="394"/>
      <c r="F4781" s="394">
        <v>0</v>
      </c>
      <c r="G4781" s="394"/>
      <c r="H4781" s="8" t="s">
        <v>235</v>
      </c>
      <c r="I4781" s="368">
        <f t="shared" si="223"/>
        <v>0</v>
      </c>
      <c r="J4781" s="365">
        <f t="shared" si="222"/>
        <v>0</v>
      </c>
      <c r="K4781" s="369">
        <f t="shared" si="224"/>
        <v>6</v>
      </c>
      <c r="L4781" s="369">
        <f>+IF((C4781&gt;='Resultats - informe'!$E$16)*(C4781&lt;='Resultats - informe'!$G$16),1,0)</f>
        <v>1</v>
      </c>
      <c r="M4781" s="369" cm="1">
        <f t="array" ref="M4781">+_xlfn.IFS((C4781&gt;='Resultats - informe'!$D$26)*(C4781&lt;='Resultats - informe'!$E$26),0,(C4781&gt;='Resultats - informe'!$D$27)*(C4781&lt;='Resultats - informe'!$E$27),0,(C4781&gt;='Resultats - informe'!$D$28)*(C4781&lt;='Resultats - informe'!$E$28),0,(C4781&gt;='Resultats - informe'!$D$29)*(C4781&lt;='Resultats - informe'!$E$29),0,1,1)</f>
        <v>0</v>
      </c>
      <c r="N4781" s="366">
        <f>+VLOOKUP(D4781,'Resultats - informe'!$Y$18:$AG$42,'Introducció dades consum'!K4781+1,0)</f>
        <v>0</v>
      </c>
      <c r="O4781" s="370" cm="1">
        <f t="array" ref="O4781">+_xlfn.SWITCH(MONTH(C4781),1,1,2,1,3,1,4,2,5,2,6,3,7,3,8,3,9,3,10,2,11,2,12,1,2)</f>
        <v>1</v>
      </c>
      <c r="P4781" s="43"/>
    </row>
    <row r="4782" spans="1:16" ht="18" x14ac:dyDescent="0.35">
      <c r="A4782" s="9"/>
      <c r="C4782" s="393"/>
      <c r="E4782" s="394"/>
      <c r="F4782" s="394">
        <v>0</v>
      </c>
      <c r="G4782" s="394"/>
      <c r="H4782" s="8" t="s">
        <v>235</v>
      </c>
      <c r="I4782" s="368">
        <f t="shared" si="223"/>
        <v>0</v>
      </c>
      <c r="J4782" s="365">
        <f t="shared" si="222"/>
        <v>0</v>
      </c>
      <c r="K4782" s="369">
        <f t="shared" si="224"/>
        <v>6</v>
      </c>
      <c r="L4782" s="369">
        <f>+IF((C4782&gt;='Resultats - informe'!$E$16)*(C4782&lt;='Resultats - informe'!$G$16),1,0)</f>
        <v>1</v>
      </c>
      <c r="M4782" s="369" cm="1">
        <f t="array" ref="M4782">+_xlfn.IFS((C4782&gt;='Resultats - informe'!$D$26)*(C4782&lt;='Resultats - informe'!$E$26),0,(C4782&gt;='Resultats - informe'!$D$27)*(C4782&lt;='Resultats - informe'!$E$27),0,(C4782&gt;='Resultats - informe'!$D$28)*(C4782&lt;='Resultats - informe'!$E$28),0,(C4782&gt;='Resultats - informe'!$D$29)*(C4782&lt;='Resultats - informe'!$E$29),0,1,1)</f>
        <v>0</v>
      </c>
      <c r="N4782" s="366">
        <f>+VLOOKUP(D4782,'Resultats - informe'!$Y$18:$AG$42,'Introducció dades consum'!K4782+1,0)</f>
        <v>0</v>
      </c>
      <c r="O4782" s="370" cm="1">
        <f t="array" ref="O4782">+_xlfn.SWITCH(MONTH(C4782),1,1,2,1,3,1,4,2,5,2,6,3,7,3,8,3,9,3,10,2,11,2,12,1,2)</f>
        <v>1</v>
      </c>
      <c r="P4782" s="43"/>
    </row>
    <row r="4783" spans="1:16" ht="18" x14ac:dyDescent="0.35">
      <c r="A4783" s="9"/>
      <c r="C4783" s="393"/>
      <c r="E4783" s="394"/>
      <c r="F4783" s="394">
        <v>0</v>
      </c>
      <c r="G4783" s="394"/>
      <c r="H4783" s="8" t="s">
        <v>235</v>
      </c>
      <c r="I4783" s="368">
        <f t="shared" si="223"/>
        <v>0</v>
      </c>
      <c r="J4783" s="365">
        <f t="shared" si="222"/>
        <v>0</v>
      </c>
      <c r="K4783" s="369">
        <f t="shared" si="224"/>
        <v>6</v>
      </c>
      <c r="L4783" s="369">
        <f>+IF((C4783&gt;='Resultats - informe'!$E$16)*(C4783&lt;='Resultats - informe'!$G$16),1,0)</f>
        <v>1</v>
      </c>
      <c r="M4783" s="369" cm="1">
        <f t="array" ref="M4783">+_xlfn.IFS((C4783&gt;='Resultats - informe'!$D$26)*(C4783&lt;='Resultats - informe'!$E$26),0,(C4783&gt;='Resultats - informe'!$D$27)*(C4783&lt;='Resultats - informe'!$E$27),0,(C4783&gt;='Resultats - informe'!$D$28)*(C4783&lt;='Resultats - informe'!$E$28),0,(C4783&gt;='Resultats - informe'!$D$29)*(C4783&lt;='Resultats - informe'!$E$29),0,1,1)</f>
        <v>0</v>
      </c>
      <c r="N4783" s="366">
        <f>+VLOOKUP(D4783,'Resultats - informe'!$Y$18:$AG$42,'Introducció dades consum'!K4783+1,0)</f>
        <v>0</v>
      </c>
      <c r="O4783" s="370" cm="1">
        <f t="array" ref="O4783">+_xlfn.SWITCH(MONTH(C4783),1,1,2,1,3,1,4,2,5,2,6,3,7,3,8,3,9,3,10,2,11,2,12,1,2)</f>
        <v>1</v>
      </c>
      <c r="P4783" s="43"/>
    </row>
    <row r="4784" spans="1:16" ht="18" x14ac:dyDescent="0.35">
      <c r="A4784" s="9"/>
      <c r="C4784" s="393"/>
      <c r="E4784" s="394"/>
      <c r="F4784" s="394">
        <v>0</v>
      </c>
      <c r="G4784" s="394"/>
      <c r="H4784" s="8" t="s">
        <v>235</v>
      </c>
      <c r="I4784" s="368">
        <f t="shared" si="223"/>
        <v>0</v>
      </c>
      <c r="J4784" s="365">
        <f t="shared" si="222"/>
        <v>0</v>
      </c>
      <c r="K4784" s="369">
        <f t="shared" si="224"/>
        <v>6</v>
      </c>
      <c r="L4784" s="369">
        <f>+IF((C4784&gt;='Resultats - informe'!$E$16)*(C4784&lt;='Resultats - informe'!$G$16),1,0)</f>
        <v>1</v>
      </c>
      <c r="M4784" s="369" cm="1">
        <f t="array" ref="M4784">+_xlfn.IFS((C4784&gt;='Resultats - informe'!$D$26)*(C4784&lt;='Resultats - informe'!$E$26),0,(C4784&gt;='Resultats - informe'!$D$27)*(C4784&lt;='Resultats - informe'!$E$27),0,(C4784&gt;='Resultats - informe'!$D$28)*(C4784&lt;='Resultats - informe'!$E$28),0,(C4784&gt;='Resultats - informe'!$D$29)*(C4784&lt;='Resultats - informe'!$E$29),0,1,1)</f>
        <v>0</v>
      </c>
      <c r="N4784" s="366">
        <f>+VLOOKUP(D4784,'Resultats - informe'!$Y$18:$AG$42,'Introducció dades consum'!K4784+1,0)</f>
        <v>0</v>
      </c>
      <c r="O4784" s="370" cm="1">
        <f t="array" ref="O4784">+_xlfn.SWITCH(MONTH(C4784),1,1,2,1,3,1,4,2,5,2,6,3,7,3,8,3,9,3,10,2,11,2,12,1,2)</f>
        <v>1</v>
      </c>
      <c r="P4784" s="43"/>
    </row>
    <row r="4785" spans="1:16" ht="18" x14ac:dyDescent="0.35">
      <c r="A4785" s="9"/>
      <c r="C4785" s="393"/>
      <c r="E4785" s="394"/>
      <c r="F4785" s="394">
        <v>0</v>
      </c>
      <c r="G4785" s="394"/>
      <c r="H4785" s="8" t="s">
        <v>235</v>
      </c>
      <c r="I4785" s="368">
        <f t="shared" si="223"/>
        <v>0</v>
      </c>
      <c r="J4785" s="365">
        <f t="shared" si="222"/>
        <v>0</v>
      </c>
      <c r="K4785" s="369">
        <f t="shared" si="224"/>
        <v>6</v>
      </c>
      <c r="L4785" s="369">
        <f>+IF((C4785&gt;='Resultats - informe'!$E$16)*(C4785&lt;='Resultats - informe'!$G$16),1,0)</f>
        <v>1</v>
      </c>
      <c r="M4785" s="369" cm="1">
        <f t="array" ref="M4785">+_xlfn.IFS((C4785&gt;='Resultats - informe'!$D$26)*(C4785&lt;='Resultats - informe'!$E$26),0,(C4785&gt;='Resultats - informe'!$D$27)*(C4785&lt;='Resultats - informe'!$E$27),0,(C4785&gt;='Resultats - informe'!$D$28)*(C4785&lt;='Resultats - informe'!$E$28),0,(C4785&gt;='Resultats - informe'!$D$29)*(C4785&lt;='Resultats - informe'!$E$29),0,1,1)</f>
        <v>0</v>
      </c>
      <c r="N4785" s="366">
        <f>+VLOOKUP(D4785,'Resultats - informe'!$Y$18:$AG$42,'Introducció dades consum'!K4785+1,0)</f>
        <v>0</v>
      </c>
      <c r="O4785" s="370" cm="1">
        <f t="array" ref="O4785">+_xlfn.SWITCH(MONTH(C4785),1,1,2,1,3,1,4,2,5,2,6,3,7,3,8,3,9,3,10,2,11,2,12,1,2)</f>
        <v>1</v>
      </c>
      <c r="P4785" s="43"/>
    </row>
    <row r="4786" spans="1:16" ht="18" x14ac:dyDescent="0.35">
      <c r="A4786" s="9"/>
      <c r="C4786" s="393"/>
      <c r="E4786" s="394"/>
      <c r="F4786" s="394">
        <v>0</v>
      </c>
      <c r="G4786" s="394"/>
      <c r="H4786" s="8" t="s">
        <v>235</v>
      </c>
      <c r="I4786" s="368">
        <f t="shared" si="223"/>
        <v>0</v>
      </c>
      <c r="J4786" s="365">
        <f t="shared" si="222"/>
        <v>0</v>
      </c>
      <c r="K4786" s="369">
        <f t="shared" si="224"/>
        <v>6</v>
      </c>
      <c r="L4786" s="369">
        <f>+IF((C4786&gt;='Resultats - informe'!$E$16)*(C4786&lt;='Resultats - informe'!$G$16),1,0)</f>
        <v>1</v>
      </c>
      <c r="M4786" s="369" cm="1">
        <f t="array" ref="M4786">+_xlfn.IFS((C4786&gt;='Resultats - informe'!$D$26)*(C4786&lt;='Resultats - informe'!$E$26),0,(C4786&gt;='Resultats - informe'!$D$27)*(C4786&lt;='Resultats - informe'!$E$27),0,(C4786&gt;='Resultats - informe'!$D$28)*(C4786&lt;='Resultats - informe'!$E$28),0,(C4786&gt;='Resultats - informe'!$D$29)*(C4786&lt;='Resultats - informe'!$E$29),0,1,1)</f>
        <v>0</v>
      </c>
      <c r="N4786" s="366">
        <f>+VLOOKUP(D4786,'Resultats - informe'!$Y$18:$AG$42,'Introducció dades consum'!K4786+1,0)</f>
        <v>0</v>
      </c>
      <c r="O4786" s="370" cm="1">
        <f t="array" ref="O4786">+_xlfn.SWITCH(MONTH(C4786),1,1,2,1,3,1,4,2,5,2,6,3,7,3,8,3,9,3,10,2,11,2,12,1,2)</f>
        <v>1</v>
      </c>
      <c r="P4786" s="43"/>
    </row>
    <row r="4787" spans="1:16" ht="18" x14ac:dyDescent="0.35">
      <c r="A4787" s="9"/>
      <c r="C4787" s="393"/>
      <c r="E4787" s="394"/>
      <c r="F4787" s="394">
        <v>0</v>
      </c>
      <c r="G4787" s="394"/>
      <c r="H4787" s="8" t="s">
        <v>235</v>
      </c>
      <c r="I4787" s="368">
        <f t="shared" si="223"/>
        <v>0</v>
      </c>
      <c r="J4787" s="365">
        <f t="shared" si="222"/>
        <v>0</v>
      </c>
      <c r="K4787" s="369">
        <f t="shared" si="224"/>
        <v>6</v>
      </c>
      <c r="L4787" s="369">
        <f>+IF((C4787&gt;='Resultats - informe'!$E$16)*(C4787&lt;='Resultats - informe'!$G$16),1,0)</f>
        <v>1</v>
      </c>
      <c r="M4787" s="369" cm="1">
        <f t="array" ref="M4787">+_xlfn.IFS((C4787&gt;='Resultats - informe'!$D$26)*(C4787&lt;='Resultats - informe'!$E$26),0,(C4787&gt;='Resultats - informe'!$D$27)*(C4787&lt;='Resultats - informe'!$E$27),0,(C4787&gt;='Resultats - informe'!$D$28)*(C4787&lt;='Resultats - informe'!$E$28),0,(C4787&gt;='Resultats - informe'!$D$29)*(C4787&lt;='Resultats - informe'!$E$29),0,1,1)</f>
        <v>0</v>
      </c>
      <c r="N4787" s="366">
        <f>+VLOOKUP(D4787,'Resultats - informe'!$Y$18:$AG$42,'Introducció dades consum'!K4787+1,0)</f>
        <v>0</v>
      </c>
      <c r="O4787" s="370" cm="1">
        <f t="array" ref="O4787">+_xlfn.SWITCH(MONTH(C4787),1,1,2,1,3,1,4,2,5,2,6,3,7,3,8,3,9,3,10,2,11,2,12,1,2)</f>
        <v>1</v>
      </c>
      <c r="P4787" s="43"/>
    </row>
    <row r="4788" spans="1:16" ht="18" x14ac:dyDescent="0.35">
      <c r="A4788" s="9"/>
      <c r="C4788" s="393"/>
      <c r="E4788" s="394"/>
      <c r="F4788" s="394">
        <v>0</v>
      </c>
      <c r="G4788" s="394"/>
      <c r="H4788" s="8" t="s">
        <v>235</v>
      </c>
      <c r="I4788" s="368">
        <f t="shared" si="223"/>
        <v>0</v>
      </c>
      <c r="J4788" s="365">
        <f t="shared" si="222"/>
        <v>0</v>
      </c>
      <c r="K4788" s="369">
        <f t="shared" si="224"/>
        <v>6</v>
      </c>
      <c r="L4788" s="369">
        <f>+IF((C4788&gt;='Resultats - informe'!$E$16)*(C4788&lt;='Resultats - informe'!$G$16),1,0)</f>
        <v>1</v>
      </c>
      <c r="M4788" s="369" cm="1">
        <f t="array" ref="M4788">+_xlfn.IFS((C4788&gt;='Resultats - informe'!$D$26)*(C4788&lt;='Resultats - informe'!$E$26),0,(C4788&gt;='Resultats - informe'!$D$27)*(C4788&lt;='Resultats - informe'!$E$27),0,(C4788&gt;='Resultats - informe'!$D$28)*(C4788&lt;='Resultats - informe'!$E$28),0,(C4788&gt;='Resultats - informe'!$D$29)*(C4788&lt;='Resultats - informe'!$E$29),0,1,1)</f>
        <v>0</v>
      </c>
      <c r="N4788" s="366">
        <f>+VLOOKUP(D4788,'Resultats - informe'!$Y$18:$AG$42,'Introducció dades consum'!K4788+1,0)</f>
        <v>0</v>
      </c>
      <c r="O4788" s="370" cm="1">
        <f t="array" ref="O4788">+_xlfn.SWITCH(MONTH(C4788),1,1,2,1,3,1,4,2,5,2,6,3,7,3,8,3,9,3,10,2,11,2,12,1,2)</f>
        <v>1</v>
      </c>
      <c r="P4788" s="43"/>
    </row>
    <row r="4789" spans="1:16" ht="18" x14ac:dyDescent="0.35">
      <c r="A4789" s="9"/>
      <c r="C4789" s="393"/>
      <c r="E4789" s="394"/>
      <c r="F4789" s="394">
        <v>0</v>
      </c>
      <c r="G4789" s="394"/>
      <c r="H4789" s="8" t="s">
        <v>235</v>
      </c>
      <c r="I4789" s="368">
        <f t="shared" si="223"/>
        <v>0</v>
      </c>
      <c r="J4789" s="365">
        <f t="shared" si="222"/>
        <v>0</v>
      </c>
      <c r="K4789" s="369">
        <f t="shared" si="224"/>
        <v>6</v>
      </c>
      <c r="L4789" s="369">
        <f>+IF((C4789&gt;='Resultats - informe'!$E$16)*(C4789&lt;='Resultats - informe'!$G$16),1,0)</f>
        <v>1</v>
      </c>
      <c r="M4789" s="369" cm="1">
        <f t="array" ref="M4789">+_xlfn.IFS((C4789&gt;='Resultats - informe'!$D$26)*(C4789&lt;='Resultats - informe'!$E$26),0,(C4789&gt;='Resultats - informe'!$D$27)*(C4789&lt;='Resultats - informe'!$E$27),0,(C4789&gt;='Resultats - informe'!$D$28)*(C4789&lt;='Resultats - informe'!$E$28),0,(C4789&gt;='Resultats - informe'!$D$29)*(C4789&lt;='Resultats - informe'!$E$29),0,1,1)</f>
        <v>0</v>
      </c>
      <c r="N4789" s="366">
        <f>+VLOOKUP(D4789,'Resultats - informe'!$Y$18:$AG$42,'Introducció dades consum'!K4789+1,0)</f>
        <v>0</v>
      </c>
      <c r="O4789" s="370" cm="1">
        <f t="array" ref="O4789">+_xlfn.SWITCH(MONTH(C4789),1,1,2,1,3,1,4,2,5,2,6,3,7,3,8,3,9,3,10,2,11,2,12,1,2)</f>
        <v>1</v>
      </c>
      <c r="P4789" s="43"/>
    </row>
    <row r="4790" spans="1:16" ht="18" x14ac:dyDescent="0.35">
      <c r="A4790" s="9"/>
      <c r="C4790" s="393"/>
      <c r="E4790" s="394"/>
      <c r="F4790" s="394">
        <v>1.5429999999999999</v>
      </c>
      <c r="G4790" s="394"/>
      <c r="H4790" s="8" t="s">
        <v>235</v>
      </c>
      <c r="I4790" s="368">
        <f t="shared" si="223"/>
        <v>0</v>
      </c>
      <c r="J4790" s="365">
        <f t="shared" si="222"/>
        <v>0</v>
      </c>
      <c r="K4790" s="369">
        <f t="shared" si="224"/>
        <v>6</v>
      </c>
      <c r="L4790" s="369">
        <f>+IF((C4790&gt;='Resultats - informe'!$E$16)*(C4790&lt;='Resultats - informe'!$G$16),1,0)</f>
        <v>1</v>
      </c>
      <c r="M4790" s="369" cm="1">
        <f t="array" ref="M4790">+_xlfn.IFS((C4790&gt;='Resultats - informe'!$D$26)*(C4790&lt;='Resultats - informe'!$E$26),0,(C4790&gt;='Resultats - informe'!$D$27)*(C4790&lt;='Resultats - informe'!$E$27),0,(C4790&gt;='Resultats - informe'!$D$28)*(C4790&lt;='Resultats - informe'!$E$28),0,(C4790&gt;='Resultats - informe'!$D$29)*(C4790&lt;='Resultats - informe'!$E$29),0,1,1)</f>
        <v>0</v>
      </c>
      <c r="N4790" s="366">
        <f>+VLOOKUP(D4790,'Resultats - informe'!$Y$18:$AG$42,'Introducció dades consum'!K4790+1,0)</f>
        <v>0</v>
      </c>
      <c r="O4790" s="370" cm="1">
        <f t="array" ref="O4790">+_xlfn.SWITCH(MONTH(C4790),1,1,2,1,3,1,4,2,5,2,6,3,7,3,8,3,9,3,10,2,11,2,12,1,2)</f>
        <v>1</v>
      </c>
      <c r="P4790" s="43"/>
    </row>
    <row r="4791" spans="1:16" ht="18" x14ac:dyDescent="0.35">
      <c r="A4791" s="9"/>
      <c r="C4791" s="393"/>
      <c r="E4791" s="394"/>
      <c r="F4791" s="394">
        <v>3.3929999999999998</v>
      </c>
      <c r="G4791" s="394"/>
      <c r="H4791" s="8" t="s">
        <v>235</v>
      </c>
      <c r="I4791" s="368">
        <f t="shared" si="223"/>
        <v>0</v>
      </c>
      <c r="J4791" s="365">
        <f t="shared" si="222"/>
        <v>0</v>
      </c>
      <c r="K4791" s="369">
        <f t="shared" si="224"/>
        <v>6</v>
      </c>
      <c r="L4791" s="369">
        <f>+IF((C4791&gt;='Resultats - informe'!$E$16)*(C4791&lt;='Resultats - informe'!$G$16),1,0)</f>
        <v>1</v>
      </c>
      <c r="M4791" s="369" cm="1">
        <f t="array" ref="M4791">+_xlfn.IFS((C4791&gt;='Resultats - informe'!$D$26)*(C4791&lt;='Resultats - informe'!$E$26),0,(C4791&gt;='Resultats - informe'!$D$27)*(C4791&lt;='Resultats - informe'!$E$27),0,(C4791&gt;='Resultats - informe'!$D$28)*(C4791&lt;='Resultats - informe'!$E$28),0,(C4791&gt;='Resultats - informe'!$D$29)*(C4791&lt;='Resultats - informe'!$E$29),0,1,1)</f>
        <v>0</v>
      </c>
      <c r="N4791" s="366">
        <f>+VLOOKUP(D4791,'Resultats - informe'!$Y$18:$AG$42,'Introducció dades consum'!K4791+1,0)</f>
        <v>0</v>
      </c>
      <c r="O4791" s="370" cm="1">
        <f t="array" ref="O4791">+_xlfn.SWITCH(MONTH(C4791),1,1,2,1,3,1,4,2,5,2,6,3,7,3,8,3,9,3,10,2,11,2,12,1,2)</f>
        <v>1</v>
      </c>
      <c r="P4791" s="43"/>
    </row>
    <row r="4792" spans="1:16" ht="18" x14ac:dyDescent="0.35">
      <c r="A4792" s="9"/>
      <c r="C4792" s="393"/>
      <c r="E4792" s="394"/>
      <c r="F4792" s="394">
        <v>4.2839999999999998</v>
      </c>
      <c r="G4792" s="394"/>
      <c r="H4792" s="8" t="s">
        <v>235</v>
      </c>
      <c r="I4792" s="368">
        <f t="shared" si="223"/>
        <v>0</v>
      </c>
      <c r="J4792" s="365">
        <f t="shared" si="222"/>
        <v>0</v>
      </c>
      <c r="K4792" s="369">
        <f t="shared" si="224"/>
        <v>6</v>
      </c>
      <c r="L4792" s="369">
        <f>+IF((C4792&gt;='Resultats - informe'!$E$16)*(C4792&lt;='Resultats - informe'!$G$16),1,0)</f>
        <v>1</v>
      </c>
      <c r="M4792" s="369" cm="1">
        <f t="array" ref="M4792">+_xlfn.IFS((C4792&gt;='Resultats - informe'!$D$26)*(C4792&lt;='Resultats - informe'!$E$26),0,(C4792&gt;='Resultats - informe'!$D$27)*(C4792&lt;='Resultats - informe'!$E$27),0,(C4792&gt;='Resultats - informe'!$D$28)*(C4792&lt;='Resultats - informe'!$E$28),0,(C4792&gt;='Resultats - informe'!$D$29)*(C4792&lt;='Resultats - informe'!$E$29),0,1,1)</f>
        <v>0</v>
      </c>
      <c r="N4792" s="366">
        <f>+VLOOKUP(D4792,'Resultats - informe'!$Y$18:$AG$42,'Introducció dades consum'!K4792+1,0)</f>
        <v>0</v>
      </c>
      <c r="O4792" s="370" cm="1">
        <f t="array" ref="O4792">+_xlfn.SWITCH(MONTH(C4792),1,1,2,1,3,1,4,2,5,2,6,3,7,3,8,3,9,3,10,2,11,2,12,1,2)</f>
        <v>1</v>
      </c>
      <c r="P4792" s="43"/>
    </row>
    <row r="4793" spans="1:16" ht="18" x14ac:dyDescent="0.35">
      <c r="A4793" s="9"/>
      <c r="C4793" s="393"/>
      <c r="E4793" s="394"/>
      <c r="F4793" s="394">
        <v>4.4320000000000004</v>
      </c>
      <c r="G4793" s="394"/>
      <c r="H4793" s="8" t="s">
        <v>235</v>
      </c>
      <c r="I4793" s="368">
        <f t="shared" si="223"/>
        <v>0</v>
      </c>
      <c r="J4793" s="365">
        <f t="shared" si="222"/>
        <v>0</v>
      </c>
      <c r="K4793" s="369">
        <f t="shared" si="224"/>
        <v>6</v>
      </c>
      <c r="L4793" s="369">
        <f>+IF((C4793&gt;='Resultats - informe'!$E$16)*(C4793&lt;='Resultats - informe'!$G$16),1,0)</f>
        <v>1</v>
      </c>
      <c r="M4793" s="369" cm="1">
        <f t="array" ref="M4793">+_xlfn.IFS((C4793&gt;='Resultats - informe'!$D$26)*(C4793&lt;='Resultats - informe'!$E$26),0,(C4793&gt;='Resultats - informe'!$D$27)*(C4793&lt;='Resultats - informe'!$E$27),0,(C4793&gt;='Resultats - informe'!$D$28)*(C4793&lt;='Resultats - informe'!$E$28),0,(C4793&gt;='Resultats - informe'!$D$29)*(C4793&lt;='Resultats - informe'!$E$29),0,1,1)</f>
        <v>0</v>
      </c>
      <c r="N4793" s="366">
        <f>+VLOOKUP(D4793,'Resultats - informe'!$Y$18:$AG$42,'Introducció dades consum'!K4793+1,0)</f>
        <v>0</v>
      </c>
      <c r="O4793" s="370" cm="1">
        <f t="array" ref="O4793">+_xlfn.SWITCH(MONTH(C4793),1,1,2,1,3,1,4,2,5,2,6,3,7,3,8,3,9,3,10,2,11,2,12,1,2)</f>
        <v>1</v>
      </c>
      <c r="P4793" s="43"/>
    </row>
    <row r="4794" spans="1:16" ht="18" x14ac:dyDescent="0.35">
      <c r="A4794" s="9"/>
      <c r="C4794" s="393"/>
      <c r="E4794" s="394"/>
      <c r="F4794" s="394">
        <v>2.3250000000000002</v>
      </c>
      <c r="G4794" s="394"/>
      <c r="H4794" s="8" t="s">
        <v>235</v>
      </c>
      <c r="I4794" s="368">
        <f t="shared" si="223"/>
        <v>0</v>
      </c>
      <c r="J4794" s="365">
        <f t="shared" si="222"/>
        <v>0</v>
      </c>
      <c r="K4794" s="369">
        <f t="shared" si="224"/>
        <v>6</v>
      </c>
      <c r="L4794" s="369">
        <f>+IF((C4794&gt;='Resultats - informe'!$E$16)*(C4794&lt;='Resultats - informe'!$G$16),1,0)</f>
        <v>1</v>
      </c>
      <c r="M4794" s="369" cm="1">
        <f t="array" ref="M4794">+_xlfn.IFS((C4794&gt;='Resultats - informe'!$D$26)*(C4794&lt;='Resultats - informe'!$E$26),0,(C4794&gt;='Resultats - informe'!$D$27)*(C4794&lt;='Resultats - informe'!$E$27),0,(C4794&gt;='Resultats - informe'!$D$28)*(C4794&lt;='Resultats - informe'!$E$28),0,(C4794&gt;='Resultats - informe'!$D$29)*(C4794&lt;='Resultats - informe'!$E$29),0,1,1)</f>
        <v>0</v>
      </c>
      <c r="N4794" s="366">
        <f>+VLOOKUP(D4794,'Resultats - informe'!$Y$18:$AG$42,'Introducció dades consum'!K4794+1,0)</f>
        <v>0</v>
      </c>
      <c r="O4794" s="370" cm="1">
        <f t="array" ref="O4794">+_xlfn.SWITCH(MONTH(C4794),1,1,2,1,3,1,4,2,5,2,6,3,7,3,8,3,9,3,10,2,11,2,12,1,2)</f>
        <v>1</v>
      </c>
      <c r="P4794" s="43"/>
    </row>
    <row r="4795" spans="1:16" ht="18" x14ac:dyDescent="0.35">
      <c r="A4795" s="9"/>
      <c r="C4795" s="393"/>
      <c r="E4795" s="394"/>
      <c r="F4795" s="394">
        <v>1.756</v>
      </c>
      <c r="G4795" s="394"/>
      <c r="H4795" s="8" t="s">
        <v>235</v>
      </c>
      <c r="I4795" s="368">
        <f t="shared" si="223"/>
        <v>0</v>
      </c>
      <c r="J4795" s="365">
        <f t="shared" ref="J4795:J4858" si="225">+C4795</f>
        <v>0</v>
      </c>
      <c r="K4795" s="369">
        <f t="shared" si="224"/>
        <v>6</v>
      </c>
      <c r="L4795" s="369">
        <f>+IF((C4795&gt;='Resultats - informe'!$E$16)*(C4795&lt;='Resultats - informe'!$G$16),1,0)</f>
        <v>1</v>
      </c>
      <c r="M4795" s="369" cm="1">
        <f t="array" ref="M4795">+_xlfn.IFS((C4795&gt;='Resultats - informe'!$D$26)*(C4795&lt;='Resultats - informe'!$E$26),0,(C4795&gt;='Resultats - informe'!$D$27)*(C4795&lt;='Resultats - informe'!$E$27),0,(C4795&gt;='Resultats - informe'!$D$28)*(C4795&lt;='Resultats - informe'!$E$28),0,(C4795&gt;='Resultats - informe'!$D$29)*(C4795&lt;='Resultats - informe'!$E$29),0,1,1)</f>
        <v>0</v>
      </c>
      <c r="N4795" s="366">
        <f>+VLOOKUP(D4795,'Resultats - informe'!$Y$18:$AG$42,'Introducció dades consum'!K4795+1,0)</f>
        <v>0</v>
      </c>
      <c r="O4795" s="370" cm="1">
        <f t="array" ref="O4795">+_xlfn.SWITCH(MONTH(C4795),1,1,2,1,3,1,4,2,5,2,6,3,7,3,8,3,9,3,10,2,11,2,12,1,2)</f>
        <v>1</v>
      </c>
      <c r="P4795" s="43"/>
    </row>
    <row r="4796" spans="1:16" ht="18" x14ac:dyDescent="0.35">
      <c r="A4796" s="9"/>
      <c r="C4796" s="393"/>
      <c r="E4796" s="394"/>
      <c r="F4796" s="394">
        <v>0.46200000000000002</v>
      </c>
      <c r="G4796" s="394"/>
      <c r="H4796" s="8" t="s">
        <v>235</v>
      </c>
      <c r="I4796" s="368">
        <f t="shared" si="223"/>
        <v>0</v>
      </c>
      <c r="J4796" s="365">
        <f t="shared" si="225"/>
        <v>0</v>
      </c>
      <c r="K4796" s="369">
        <f t="shared" si="224"/>
        <v>6</v>
      </c>
      <c r="L4796" s="369">
        <f>+IF((C4796&gt;='Resultats - informe'!$E$16)*(C4796&lt;='Resultats - informe'!$G$16),1,0)</f>
        <v>1</v>
      </c>
      <c r="M4796" s="369" cm="1">
        <f t="array" ref="M4796">+_xlfn.IFS((C4796&gt;='Resultats - informe'!$D$26)*(C4796&lt;='Resultats - informe'!$E$26),0,(C4796&gt;='Resultats - informe'!$D$27)*(C4796&lt;='Resultats - informe'!$E$27),0,(C4796&gt;='Resultats - informe'!$D$28)*(C4796&lt;='Resultats - informe'!$E$28),0,(C4796&gt;='Resultats - informe'!$D$29)*(C4796&lt;='Resultats - informe'!$E$29),0,1,1)</f>
        <v>0</v>
      </c>
      <c r="N4796" s="366">
        <f>+VLOOKUP(D4796,'Resultats - informe'!$Y$18:$AG$42,'Introducció dades consum'!K4796+1,0)</f>
        <v>0</v>
      </c>
      <c r="O4796" s="370" cm="1">
        <f t="array" ref="O4796">+_xlfn.SWITCH(MONTH(C4796),1,1,2,1,3,1,4,2,5,2,6,3,7,3,8,3,9,3,10,2,11,2,12,1,2)</f>
        <v>1</v>
      </c>
      <c r="P4796" s="43"/>
    </row>
    <row r="4797" spans="1:16" ht="18" x14ac:dyDescent="0.35">
      <c r="A4797" s="9"/>
      <c r="C4797" s="393"/>
      <c r="E4797" s="394"/>
      <c r="F4797" s="394">
        <v>0</v>
      </c>
      <c r="G4797" s="394"/>
      <c r="H4797" s="8" t="s">
        <v>235</v>
      </c>
      <c r="I4797" s="368">
        <f t="shared" si="223"/>
        <v>0</v>
      </c>
      <c r="J4797" s="365">
        <f t="shared" si="225"/>
        <v>0</v>
      </c>
      <c r="K4797" s="369">
        <f t="shared" si="224"/>
        <v>6</v>
      </c>
      <c r="L4797" s="369">
        <f>+IF((C4797&gt;='Resultats - informe'!$E$16)*(C4797&lt;='Resultats - informe'!$G$16),1,0)</f>
        <v>1</v>
      </c>
      <c r="M4797" s="369" cm="1">
        <f t="array" ref="M4797">+_xlfn.IFS((C4797&gt;='Resultats - informe'!$D$26)*(C4797&lt;='Resultats - informe'!$E$26),0,(C4797&gt;='Resultats - informe'!$D$27)*(C4797&lt;='Resultats - informe'!$E$27),0,(C4797&gt;='Resultats - informe'!$D$28)*(C4797&lt;='Resultats - informe'!$E$28),0,(C4797&gt;='Resultats - informe'!$D$29)*(C4797&lt;='Resultats - informe'!$E$29),0,1,1)</f>
        <v>0</v>
      </c>
      <c r="N4797" s="366">
        <f>+VLOOKUP(D4797,'Resultats - informe'!$Y$18:$AG$42,'Introducció dades consum'!K4797+1,0)</f>
        <v>0</v>
      </c>
      <c r="O4797" s="370" cm="1">
        <f t="array" ref="O4797">+_xlfn.SWITCH(MONTH(C4797),1,1,2,1,3,1,4,2,5,2,6,3,7,3,8,3,9,3,10,2,11,2,12,1,2)</f>
        <v>1</v>
      </c>
      <c r="P4797" s="43"/>
    </row>
    <row r="4798" spans="1:16" ht="18" x14ac:dyDescent="0.35">
      <c r="A4798" s="9"/>
      <c r="C4798" s="393"/>
      <c r="E4798" s="394"/>
      <c r="F4798" s="394">
        <v>0</v>
      </c>
      <c r="G4798" s="394"/>
      <c r="H4798" s="8" t="s">
        <v>235</v>
      </c>
      <c r="I4798" s="368">
        <f t="shared" si="223"/>
        <v>0</v>
      </c>
      <c r="J4798" s="365">
        <f t="shared" si="225"/>
        <v>0</v>
      </c>
      <c r="K4798" s="369">
        <f t="shared" si="224"/>
        <v>6</v>
      </c>
      <c r="L4798" s="369">
        <f>+IF((C4798&gt;='Resultats - informe'!$E$16)*(C4798&lt;='Resultats - informe'!$G$16),1,0)</f>
        <v>1</v>
      </c>
      <c r="M4798" s="369" cm="1">
        <f t="array" ref="M4798">+_xlfn.IFS((C4798&gt;='Resultats - informe'!$D$26)*(C4798&lt;='Resultats - informe'!$E$26),0,(C4798&gt;='Resultats - informe'!$D$27)*(C4798&lt;='Resultats - informe'!$E$27),0,(C4798&gt;='Resultats - informe'!$D$28)*(C4798&lt;='Resultats - informe'!$E$28),0,(C4798&gt;='Resultats - informe'!$D$29)*(C4798&lt;='Resultats - informe'!$E$29),0,1,1)</f>
        <v>0</v>
      </c>
      <c r="N4798" s="366">
        <f>+VLOOKUP(D4798,'Resultats - informe'!$Y$18:$AG$42,'Introducció dades consum'!K4798+1,0)</f>
        <v>0</v>
      </c>
      <c r="O4798" s="370" cm="1">
        <f t="array" ref="O4798">+_xlfn.SWITCH(MONTH(C4798),1,1,2,1,3,1,4,2,5,2,6,3,7,3,8,3,9,3,10,2,11,2,12,1,2)</f>
        <v>1</v>
      </c>
      <c r="P4798" s="43"/>
    </row>
    <row r="4799" spans="1:16" ht="18" x14ac:dyDescent="0.35">
      <c r="A4799" s="9"/>
      <c r="C4799" s="393"/>
      <c r="E4799" s="394"/>
      <c r="F4799" s="394">
        <v>0</v>
      </c>
      <c r="G4799" s="394"/>
      <c r="H4799" s="8" t="s">
        <v>235</v>
      </c>
      <c r="I4799" s="368">
        <f t="shared" si="223"/>
        <v>0</v>
      </c>
      <c r="J4799" s="365">
        <f t="shared" si="225"/>
        <v>0</v>
      </c>
      <c r="K4799" s="369">
        <f t="shared" si="224"/>
        <v>6</v>
      </c>
      <c r="L4799" s="369">
        <f>+IF((C4799&gt;='Resultats - informe'!$E$16)*(C4799&lt;='Resultats - informe'!$G$16),1,0)</f>
        <v>1</v>
      </c>
      <c r="M4799" s="369" cm="1">
        <f t="array" ref="M4799">+_xlfn.IFS((C4799&gt;='Resultats - informe'!$D$26)*(C4799&lt;='Resultats - informe'!$E$26),0,(C4799&gt;='Resultats - informe'!$D$27)*(C4799&lt;='Resultats - informe'!$E$27),0,(C4799&gt;='Resultats - informe'!$D$28)*(C4799&lt;='Resultats - informe'!$E$28),0,(C4799&gt;='Resultats - informe'!$D$29)*(C4799&lt;='Resultats - informe'!$E$29),0,1,1)</f>
        <v>0</v>
      </c>
      <c r="N4799" s="366">
        <f>+VLOOKUP(D4799,'Resultats - informe'!$Y$18:$AG$42,'Introducció dades consum'!K4799+1,0)</f>
        <v>0</v>
      </c>
      <c r="O4799" s="370" cm="1">
        <f t="array" ref="O4799">+_xlfn.SWITCH(MONTH(C4799),1,1,2,1,3,1,4,2,5,2,6,3,7,3,8,3,9,3,10,2,11,2,12,1,2)</f>
        <v>1</v>
      </c>
      <c r="P4799" s="43"/>
    </row>
    <row r="4800" spans="1:16" ht="18" x14ac:dyDescent="0.35">
      <c r="A4800" s="9"/>
      <c r="C4800" s="393"/>
      <c r="E4800" s="394"/>
      <c r="F4800" s="394">
        <v>0</v>
      </c>
      <c r="G4800" s="394"/>
      <c r="H4800" s="8" t="s">
        <v>235</v>
      </c>
      <c r="I4800" s="368">
        <f t="shared" si="223"/>
        <v>0</v>
      </c>
      <c r="J4800" s="365">
        <f t="shared" si="225"/>
        <v>0</v>
      </c>
      <c r="K4800" s="369">
        <f t="shared" si="224"/>
        <v>6</v>
      </c>
      <c r="L4800" s="369">
        <f>+IF((C4800&gt;='Resultats - informe'!$E$16)*(C4800&lt;='Resultats - informe'!$G$16),1,0)</f>
        <v>1</v>
      </c>
      <c r="M4800" s="369" cm="1">
        <f t="array" ref="M4800">+_xlfn.IFS((C4800&gt;='Resultats - informe'!$D$26)*(C4800&lt;='Resultats - informe'!$E$26),0,(C4800&gt;='Resultats - informe'!$D$27)*(C4800&lt;='Resultats - informe'!$E$27),0,(C4800&gt;='Resultats - informe'!$D$28)*(C4800&lt;='Resultats - informe'!$E$28),0,(C4800&gt;='Resultats - informe'!$D$29)*(C4800&lt;='Resultats - informe'!$E$29),0,1,1)</f>
        <v>0</v>
      </c>
      <c r="N4800" s="366">
        <f>+VLOOKUP(D4800,'Resultats - informe'!$Y$18:$AG$42,'Introducció dades consum'!K4800+1,0)</f>
        <v>0</v>
      </c>
      <c r="O4800" s="370" cm="1">
        <f t="array" ref="O4800">+_xlfn.SWITCH(MONTH(C4800),1,1,2,1,3,1,4,2,5,2,6,3,7,3,8,3,9,3,10,2,11,2,12,1,2)</f>
        <v>1</v>
      </c>
      <c r="P4800" s="43"/>
    </row>
    <row r="4801" spans="1:16" ht="18" x14ac:dyDescent="0.35">
      <c r="A4801" s="9"/>
      <c r="C4801" s="393"/>
      <c r="E4801" s="394"/>
      <c r="F4801" s="394">
        <v>0</v>
      </c>
      <c r="G4801" s="394"/>
      <c r="H4801" s="8" t="s">
        <v>235</v>
      </c>
      <c r="I4801" s="368">
        <f t="shared" si="223"/>
        <v>0</v>
      </c>
      <c r="J4801" s="365">
        <f t="shared" si="225"/>
        <v>0</v>
      </c>
      <c r="K4801" s="369">
        <f t="shared" si="224"/>
        <v>6</v>
      </c>
      <c r="L4801" s="369">
        <f>+IF((C4801&gt;='Resultats - informe'!$E$16)*(C4801&lt;='Resultats - informe'!$G$16),1,0)</f>
        <v>1</v>
      </c>
      <c r="M4801" s="369" cm="1">
        <f t="array" ref="M4801">+_xlfn.IFS((C4801&gt;='Resultats - informe'!$D$26)*(C4801&lt;='Resultats - informe'!$E$26),0,(C4801&gt;='Resultats - informe'!$D$27)*(C4801&lt;='Resultats - informe'!$E$27),0,(C4801&gt;='Resultats - informe'!$D$28)*(C4801&lt;='Resultats - informe'!$E$28),0,(C4801&gt;='Resultats - informe'!$D$29)*(C4801&lt;='Resultats - informe'!$E$29),0,1,1)</f>
        <v>0</v>
      </c>
      <c r="N4801" s="366">
        <f>+VLOOKUP(D4801,'Resultats - informe'!$Y$18:$AG$42,'Introducció dades consum'!K4801+1,0)</f>
        <v>0</v>
      </c>
      <c r="O4801" s="370" cm="1">
        <f t="array" ref="O4801">+_xlfn.SWITCH(MONTH(C4801),1,1,2,1,3,1,4,2,5,2,6,3,7,3,8,3,9,3,10,2,11,2,12,1,2)</f>
        <v>1</v>
      </c>
      <c r="P4801" s="43"/>
    </row>
    <row r="4802" spans="1:16" ht="18" x14ac:dyDescent="0.35">
      <c r="A4802" s="9"/>
      <c r="C4802" s="393"/>
      <c r="E4802" s="394"/>
      <c r="F4802" s="394">
        <v>0</v>
      </c>
      <c r="G4802" s="394"/>
      <c r="H4802" s="8" t="s">
        <v>235</v>
      </c>
      <c r="I4802" s="368">
        <f t="shared" si="223"/>
        <v>0</v>
      </c>
      <c r="J4802" s="365">
        <f t="shared" si="225"/>
        <v>0</v>
      </c>
      <c r="K4802" s="369">
        <f t="shared" si="224"/>
        <v>6</v>
      </c>
      <c r="L4802" s="369">
        <f>+IF((C4802&gt;='Resultats - informe'!$E$16)*(C4802&lt;='Resultats - informe'!$G$16),1,0)</f>
        <v>1</v>
      </c>
      <c r="M4802" s="369" cm="1">
        <f t="array" ref="M4802">+_xlfn.IFS((C4802&gt;='Resultats - informe'!$D$26)*(C4802&lt;='Resultats - informe'!$E$26),0,(C4802&gt;='Resultats - informe'!$D$27)*(C4802&lt;='Resultats - informe'!$E$27),0,(C4802&gt;='Resultats - informe'!$D$28)*(C4802&lt;='Resultats - informe'!$E$28),0,(C4802&gt;='Resultats - informe'!$D$29)*(C4802&lt;='Resultats - informe'!$E$29),0,1,1)</f>
        <v>0</v>
      </c>
      <c r="N4802" s="366">
        <f>+VLOOKUP(D4802,'Resultats - informe'!$Y$18:$AG$42,'Introducció dades consum'!K4802+1,0)</f>
        <v>0</v>
      </c>
      <c r="O4802" s="370" cm="1">
        <f t="array" ref="O4802">+_xlfn.SWITCH(MONTH(C4802),1,1,2,1,3,1,4,2,5,2,6,3,7,3,8,3,9,3,10,2,11,2,12,1,2)</f>
        <v>1</v>
      </c>
      <c r="P4802" s="43"/>
    </row>
    <row r="4803" spans="1:16" ht="18" x14ac:dyDescent="0.35">
      <c r="A4803" s="9"/>
      <c r="C4803" s="393"/>
      <c r="E4803" s="394"/>
      <c r="F4803" s="394">
        <v>0</v>
      </c>
      <c r="G4803" s="394"/>
      <c r="H4803" s="8" t="s">
        <v>235</v>
      </c>
      <c r="I4803" s="368">
        <f t="shared" si="223"/>
        <v>0</v>
      </c>
      <c r="J4803" s="365">
        <f t="shared" si="225"/>
        <v>0</v>
      </c>
      <c r="K4803" s="369">
        <f t="shared" si="224"/>
        <v>6</v>
      </c>
      <c r="L4803" s="369">
        <f>+IF((C4803&gt;='Resultats - informe'!$E$16)*(C4803&lt;='Resultats - informe'!$G$16),1,0)</f>
        <v>1</v>
      </c>
      <c r="M4803" s="369" cm="1">
        <f t="array" ref="M4803">+_xlfn.IFS((C4803&gt;='Resultats - informe'!$D$26)*(C4803&lt;='Resultats - informe'!$E$26),0,(C4803&gt;='Resultats - informe'!$D$27)*(C4803&lt;='Resultats - informe'!$E$27),0,(C4803&gt;='Resultats - informe'!$D$28)*(C4803&lt;='Resultats - informe'!$E$28),0,(C4803&gt;='Resultats - informe'!$D$29)*(C4803&lt;='Resultats - informe'!$E$29),0,1,1)</f>
        <v>0</v>
      </c>
      <c r="N4803" s="366">
        <f>+VLOOKUP(D4803,'Resultats - informe'!$Y$18:$AG$42,'Introducció dades consum'!K4803+1,0)</f>
        <v>0</v>
      </c>
      <c r="O4803" s="370" cm="1">
        <f t="array" ref="O4803">+_xlfn.SWITCH(MONTH(C4803),1,1,2,1,3,1,4,2,5,2,6,3,7,3,8,3,9,3,10,2,11,2,12,1,2)</f>
        <v>1</v>
      </c>
      <c r="P4803" s="43"/>
    </row>
    <row r="4804" spans="1:16" ht="18" x14ac:dyDescent="0.35">
      <c r="A4804" s="9"/>
      <c r="C4804" s="393"/>
      <c r="E4804" s="394"/>
      <c r="F4804" s="394">
        <v>0</v>
      </c>
      <c r="G4804" s="394"/>
      <c r="H4804" s="8" t="s">
        <v>235</v>
      </c>
      <c r="I4804" s="368">
        <f t="shared" si="223"/>
        <v>0</v>
      </c>
      <c r="J4804" s="365">
        <f t="shared" si="225"/>
        <v>0</v>
      </c>
      <c r="K4804" s="369">
        <f t="shared" si="224"/>
        <v>6</v>
      </c>
      <c r="L4804" s="369">
        <f>+IF((C4804&gt;='Resultats - informe'!$E$16)*(C4804&lt;='Resultats - informe'!$G$16),1,0)</f>
        <v>1</v>
      </c>
      <c r="M4804" s="369" cm="1">
        <f t="array" ref="M4804">+_xlfn.IFS((C4804&gt;='Resultats - informe'!$D$26)*(C4804&lt;='Resultats - informe'!$E$26),0,(C4804&gt;='Resultats - informe'!$D$27)*(C4804&lt;='Resultats - informe'!$E$27),0,(C4804&gt;='Resultats - informe'!$D$28)*(C4804&lt;='Resultats - informe'!$E$28),0,(C4804&gt;='Resultats - informe'!$D$29)*(C4804&lt;='Resultats - informe'!$E$29),0,1,1)</f>
        <v>0</v>
      </c>
      <c r="N4804" s="366">
        <f>+VLOOKUP(D4804,'Resultats - informe'!$Y$18:$AG$42,'Introducció dades consum'!K4804+1,0)</f>
        <v>0</v>
      </c>
      <c r="O4804" s="370" cm="1">
        <f t="array" ref="O4804">+_xlfn.SWITCH(MONTH(C4804),1,1,2,1,3,1,4,2,5,2,6,3,7,3,8,3,9,3,10,2,11,2,12,1,2)</f>
        <v>1</v>
      </c>
      <c r="P4804" s="43"/>
    </row>
    <row r="4805" spans="1:16" ht="18" x14ac:dyDescent="0.35">
      <c r="A4805" s="9"/>
      <c r="C4805" s="393"/>
      <c r="E4805" s="394"/>
      <c r="F4805" s="394">
        <v>0</v>
      </c>
      <c r="G4805" s="394"/>
      <c r="H4805" s="8" t="s">
        <v>235</v>
      </c>
      <c r="I4805" s="368">
        <f t="shared" si="223"/>
        <v>0</v>
      </c>
      <c r="J4805" s="365">
        <f t="shared" si="225"/>
        <v>0</v>
      </c>
      <c r="K4805" s="369">
        <f t="shared" si="224"/>
        <v>6</v>
      </c>
      <c r="L4805" s="369">
        <f>+IF((C4805&gt;='Resultats - informe'!$E$16)*(C4805&lt;='Resultats - informe'!$G$16),1,0)</f>
        <v>1</v>
      </c>
      <c r="M4805" s="369" cm="1">
        <f t="array" ref="M4805">+_xlfn.IFS((C4805&gt;='Resultats - informe'!$D$26)*(C4805&lt;='Resultats - informe'!$E$26),0,(C4805&gt;='Resultats - informe'!$D$27)*(C4805&lt;='Resultats - informe'!$E$27),0,(C4805&gt;='Resultats - informe'!$D$28)*(C4805&lt;='Resultats - informe'!$E$28),0,(C4805&gt;='Resultats - informe'!$D$29)*(C4805&lt;='Resultats - informe'!$E$29),0,1,1)</f>
        <v>0</v>
      </c>
      <c r="N4805" s="366">
        <f>+VLOOKUP(D4805,'Resultats - informe'!$Y$18:$AG$42,'Introducció dades consum'!K4805+1,0)</f>
        <v>0</v>
      </c>
      <c r="O4805" s="370" cm="1">
        <f t="array" ref="O4805">+_xlfn.SWITCH(MONTH(C4805),1,1,2,1,3,1,4,2,5,2,6,3,7,3,8,3,9,3,10,2,11,2,12,1,2)</f>
        <v>1</v>
      </c>
      <c r="P4805" s="43"/>
    </row>
    <row r="4806" spans="1:16" ht="18" x14ac:dyDescent="0.35">
      <c r="A4806" s="9"/>
      <c r="C4806" s="393"/>
      <c r="E4806" s="394"/>
      <c r="F4806" s="394">
        <v>0</v>
      </c>
      <c r="G4806" s="394"/>
      <c r="H4806" s="8" t="s">
        <v>235</v>
      </c>
      <c r="I4806" s="368">
        <f t="shared" ref="I4806:I4869" si="226">+E4806+G4806</f>
        <v>0</v>
      </c>
      <c r="J4806" s="365">
        <f t="shared" si="225"/>
        <v>0</v>
      </c>
      <c r="K4806" s="369">
        <f t="shared" ref="K4806:K4869" si="227">+WEEKDAY(C4806,2)</f>
        <v>6</v>
      </c>
      <c r="L4806" s="369">
        <f>+IF((C4806&gt;='Resultats - informe'!$E$16)*(C4806&lt;='Resultats - informe'!$G$16),1,0)</f>
        <v>1</v>
      </c>
      <c r="M4806" s="369" cm="1">
        <f t="array" ref="M4806">+_xlfn.IFS((C4806&gt;='Resultats - informe'!$D$26)*(C4806&lt;='Resultats - informe'!$E$26),0,(C4806&gt;='Resultats - informe'!$D$27)*(C4806&lt;='Resultats - informe'!$E$27),0,(C4806&gt;='Resultats - informe'!$D$28)*(C4806&lt;='Resultats - informe'!$E$28),0,(C4806&gt;='Resultats - informe'!$D$29)*(C4806&lt;='Resultats - informe'!$E$29),0,1,1)</f>
        <v>0</v>
      </c>
      <c r="N4806" s="366">
        <f>+VLOOKUP(D4806,'Resultats - informe'!$Y$18:$AG$42,'Introducció dades consum'!K4806+1,0)</f>
        <v>0</v>
      </c>
      <c r="O4806" s="370" cm="1">
        <f t="array" ref="O4806">+_xlfn.SWITCH(MONTH(C4806),1,1,2,1,3,1,4,2,5,2,6,3,7,3,8,3,9,3,10,2,11,2,12,1,2)</f>
        <v>1</v>
      </c>
      <c r="P4806" s="43"/>
    </row>
    <row r="4807" spans="1:16" ht="18" x14ac:dyDescent="0.35">
      <c r="A4807" s="9"/>
      <c r="C4807" s="393"/>
      <c r="E4807" s="394"/>
      <c r="F4807" s="394">
        <v>0</v>
      </c>
      <c r="G4807" s="394"/>
      <c r="H4807" s="8" t="s">
        <v>235</v>
      </c>
      <c r="I4807" s="368">
        <f t="shared" si="226"/>
        <v>0</v>
      </c>
      <c r="J4807" s="365">
        <f t="shared" si="225"/>
        <v>0</v>
      </c>
      <c r="K4807" s="369">
        <f t="shared" si="227"/>
        <v>6</v>
      </c>
      <c r="L4807" s="369">
        <f>+IF((C4807&gt;='Resultats - informe'!$E$16)*(C4807&lt;='Resultats - informe'!$G$16),1,0)</f>
        <v>1</v>
      </c>
      <c r="M4807" s="369" cm="1">
        <f t="array" ref="M4807">+_xlfn.IFS((C4807&gt;='Resultats - informe'!$D$26)*(C4807&lt;='Resultats - informe'!$E$26),0,(C4807&gt;='Resultats - informe'!$D$27)*(C4807&lt;='Resultats - informe'!$E$27),0,(C4807&gt;='Resultats - informe'!$D$28)*(C4807&lt;='Resultats - informe'!$E$28),0,(C4807&gt;='Resultats - informe'!$D$29)*(C4807&lt;='Resultats - informe'!$E$29),0,1,1)</f>
        <v>0</v>
      </c>
      <c r="N4807" s="366">
        <f>+VLOOKUP(D4807,'Resultats - informe'!$Y$18:$AG$42,'Introducció dades consum'!K4807+1,0)</f>
        <v>0</v>
      </c>
      <c r="O4807" s="370" cm="1">
        <f t="array" ref="O4807">+_xlfn.SWITCH(MONTH(C4807),1,1,2,1,3,1,4,2,5,2,6,3,7,3,8,3,9,3,10,2,11,2,12,1,2)</f>
        <v>1</v>
      </c>
      <c r="P4807" s="43"/>
    </row>
    <row r="4808" spans="1:16" ht="18" x14ac:dyDescent="0.35">
      <c r="A4808" s="9"/>
      <c r="C4808" s="393"/>
      <c r="E4808" s="394"/>
      <c r="F4808" s="394">
        <v>0</v>
      </c>
      <c r="G4808" s="394"/>
      <c r="H4808" s="8" t="s">
        <v>235</v>
      </c>
      <c r="I4808" s="368">
        <f t="shared" si="226"/>
        <v>0</v>
      </c>
      <c r="J4808" s="365">
        <f t="shared" si="225"/>
        <v>0</v>
      </c>
      <c r="K4808" s="369">
        <f t="shared" si="227"/>
        <v>6</v>
      </c>
      <c r="L4808" s="369">
        <f>+IF((C4808&gt;='Resultats - informe'!$E$16)*(C4808&lt;='Resultats - informe'!$G$16),1,0)</f>
        <v>1</v>
      </c>
      <c r="M4808" s="369" cm="1">
        <f t="array" ref="M4808">+_xlfn.IFS((C4808&gt;='Resultats - informe'!$D$26)*(C4808&lt;='Resultats - informe'!$E$26),0,(C4808&gt;='Resultats - informe'!$D$27)*(C4808&lt;='Resultats - informe'!$E$27),0,(C4808&gt;='Resultats - informe'!$D$28)*(C4808&lt;='Resultats - informe'!$E$28),0,(C4808&gt;='Resultats - informe'!$D$29)*(C4808&lt;='Resultats - informe'!$E$29),0,1,1)</f>
        <v>0</v>
      </c>
      <c r="N4808" s="366">
        <f>+VLOOKUP(D4808,'Resultats - informe'!$Y$18:$AG$42,'Introducció dades consum'!K4808+1,0)</f>
        <v>0</v>
      </c>
      <c r="O4808" s="370" cm="1">
        <f t="array" ref="O4808">+_xlfn.SWITCH(MONTH(C4808),1,1,2,1,3,1,4,2,5,2,6,3,7,3,8,3,9,3,10,2,11,2,12,1,2)</f>
        <v>1</v>
      </c>
      <c r="P4808" s="43"/>
    </row>
    <row r="4809" spans="1:16" ht="18" x14ac:dyDescent="0.35">
      <c r="A4809" s="9"/>
      <c r="C4809" s="393"/>
      <c r="E4809" s="394"/>
      <c r="F4809" s="394">
        <v>0</v>
      </c>
      <c r="G4809" s="394"/>
      <c r="H4809" s="8" t="s">
        <v>235</v>
      </c>
      <c r="I4809" s="368">
        <f t="shared" si="226"/>
        <v>0</v>
      </c>
      <c r="J4809" s="365">
        <f t="shared" si="225"/>
        <v>0</v>
      </c>
      <c r="K4809" s="369">
        <f t="shared" si="227"/>
        <v>6</v>
      </c>
      <c r="L4809" s="369">
        <f>+IF((C4809&gt;='Resultats - informe'!$E$16)*(C4809&lt;='Resultats - informe'!$G$16),1,0)</f>
        <v>1</v>
      </c>
      <c r="M4809" s="369" cm="1">
        <f t="array" ref="M4809">+_xlfn.IFS((C4809&gt;='Resultats - informe'!$D$26)*(C4809&lt;='Resultats - informe'!$E$26),0,(C4809&gt;='Resultats - informe'!$D$27)*(C4809&lt;='Resultats - informe'!$E$27),0,(C4809&gt;='Resultats - informe'!$D$28)*(C4809&lt;='Resultats - informe'!$E$28),0,(C4809&gt;='Resultats - informe'!$D$29)*(C4809&lt;='Resultats - informe'!$E$29),0,1,1)</f>
        <v>0</v>
      </c>
      <c r="N4809" s="366">
        <f>+VLOOKUP(D4809,'Resultats - informe'!$Y$18:$AG$42,'Introducció dades consum'!K4809+1,0)</f>
        <v>0</v>
      </c>
      <c r="O4809" s="370" cm="1">
        <f t="array" ref="O4809">+_xlfn.SWITCH(MONTH(C4809),1,1,2,1,3,1,4,2,5,2,6,3,7,3,8,3,9,3,10,2,11,2,12,1,2)</f>
        <v>1</v>
      </c>
      <c r="P4809" s="43"/>
    </row>
    <row r="4810" spans="1:16" ht="18" x14ac:dyDescent="0.35">
      <c r="A4810" s="9"/>
      <c r="C4810" s="393"/>
      <c r="E4810" s="394"/>
      <c r="F4810" s="394">
        <v>0</v>
      </c>
      <c r="G4810" s="394"/>
      <c r="H4810" s="8" t="s">
        <v>235</v>
      </c>
      <c r="I4810" s="368">
        <f t="shared" si="226"/>
        <v>0</v>
      </c>
      <c r="J4810" s="365">
        <f t="shared" si="225"/>
        <v>0</v>
      </c>
      <c r="K4810" s="369">
        <f t="shared" si="227"/>
        <v>6</v>
      </c>
      <c r="L4810" s="369">
        <f>+IF((C4810&gt;='Resultats - informe'!$E$16)*(C4810&lt;='Resultats - informe'!$G$16),1,0)</f>
        <v>1</v>
      </c>
      <c r="M4810" s="369" cm="1">
        <f t="array" ref="M4810">+_xlfn.IFS((C4810&gt;='Resultats - informe'!$D$26)*(C4810&lt;='Resultats - informe'!$E$26),0,(C4810&gt;='Resultats - informe'!$D$27)*(C4810&lt;='Resultats - informe'!$E$27),0,(C4810&gt;='Resultats - informe'!$D$28)*(C4810&lt;='Resultats - informe'!$E$28),0,(C4810&gt;='Resultats - informe'!$D$29)*(C4810&lt;='Resultats - informe'!$E$29),0,1,1)</f>
        <v>0</v>
      </c>
      <c r="N4810" s="366">
        <f>+VLOOKUP(D4810,'Resultats - informe'!$Y$18:$AG$42,'Introducció dades consum'!K4810+1,0)</f>
        <v>0</v>
      </c>
      <c r="O4810" s="370" cm="1">
        <f t="array" ref="O4810">+_xlfn.SWITCH(MONTH(C4810),1,1,2,1,3,1,4,2,5,2,6,3,7,3,8,3,9,3,10,2,11,2,12,1,2)</f>
        <v>1</v>
      </c>
      <c r="P4810" s="43"/>
    </row>
    <row r="4811" spans="1:16" ht="18" x14ac:dyDescent="0.35">
      <c r="A4811" s="9"/>
      <c r="C4811" s="393"/>
      <c r="E4811" s="394"/>
      <c r="F4811" s="394">
        <v>0</v>
      </c>
      <c r="G4811" s="394"/>
      <c r="H4811" s="8" t="s">
        <v>235</v>
      </c>
      <c r="I4811" s="368">
        <f t="shared" si="226"/>
        <v>0</v>
      </c>
      <c r="J4811" s="365">
        <f t="shared" si="225"/>
        <v>0</v>
      </c>
      <c r="K4811" s="369">
        <f t="shared" si="227"/>
        <v>6</v>
      </c>
      <c r="L4811" s="369">
        <f>+IF((C4811&gt;='Resultats - informe'!$E$16)*(C4811&lt;='Resultats - informe'!$G$16),1,0)</f>
        <v>1</v>
      </c>
      <c r="M4811" s="369" cm="1">
        <f t="array" ref="M4811">+_xlfn.IFS((C4811&gt;='Resultats - informe'!$D$26)*(C4811&lt;='Resultats - informe'!$E$26),0,(C4811&gt;='Resultats - informe'!$D$27)*(C4811&lt;='Resultats - informe'!$E$27),0,(C4811&gt;='Resultats - informe'!$D$28)*(C4811&lt;='Resultats - informe'!$E$28),0,(C4811&gt;='Resultats - informe'!$D$29)*(C4811&lt;='Resultats - informe'!$E$29),0,1,1)</f>
        <v>0</v>
      </c>
      <c r="N4811" s="366">
        <f>+VLOOKUP(D4811,'Resultats - informe'!$Y$18:$AG$42,'Introducció dades consum'!K4811+1,0)</f>
        <v>0</v>
      </c>
      <c r="O4811" s="370" cm="1">
        <f t="array" ref="O4811">+_xlfn.SWITCH(MONTH(C4811),1,1,2,1,3,1,4,2,5,2,6,3,7,3,8,3,9,3,10,2,11,2,12,1,2)</f>
        <v>1</v>
      </c>
      <c r="P4811" s="43"/>
    </row>
    <row r="4812" spans="1:16" ht="18" x14ac:dyDescent="0.35">
      <c r="A4812" s="9"/>
      <c r="C4812" s="393"/>
      <c r="E4812" s="394"/>
      <c r="F4812" s="394">
        <v>0.40600000000000003</v>
      </c>
      <c r="G4812" s="394"/>
      <c r="H4812" s="8" t="s">
        <v>235</v>
      </c>
      <c r="I4812" s="368">
        <f t="shared" si="226"/>
        <v>0</v>
      </c>
      <c r="J4812" s="365">
        <f t="shared" si="225"/>
        <v>0</v>
      </c>
      <c r="K4812" s="369">
        <f t="shared" si="227"/>
        <v>6</v>
      </c>
      <c r="L4812" s="369">
        <f>+IF((C4812&gt;='Resultats - informe'!$E$16)*(C4812&lt;='Resultats - informe'!$G$16),1,0)</f>
        <v>1</v>
      </c>
      <c r="M4812" s="369" cm="1">
        <f t="array" ref="M4812">+_xlfn.IFS((C4812&gt;='Resultats - informe'!$D$26)*(C4812&lt;='Resultats - informe'!$E$26),0,(C4812&gt;='Resultats - informe'!$D$27)*(C4812&lt;='Resultats - informe'!$E$27),0,(C4812&gt;='Resultats - informe'!$D$28)*(C4812&lt;='Resultats - informe'!$E$28),0,(C4812&gt;='Resultats - informe'!$D$29)*(C4812&lt;='Resultats - informe'!$E$29),0,1,1)</f>
        <v>0</v>
      </c>
      <c r="N4812" s="366">
        <f>+VLOOKUP(D4812,'Resultats - informe'!$Y$18:$AG$42,'Introducció dades consum'!K4812+1,0)</f>
        <v>0</v>
      </c>
      <c r="O4812" s="370" cm="1">
        <f t="array" ref="O4812">+_xlfn.SWITCH(MONTH(C4812),1,1,2,1,3,1,4,2,5,2,6,3,7,3,8,3,9,3,10,2,11,2,12,1,2)</f>
        <v>1</v>
      </c>
      <c r="P4812" s="43"/>
    </row>
    <row r="4813" spans="1:16" ht="18" x14ac:dyDescent="0.35">
      <c r="A4813" s="9"/>
      <c r="C4813" s="393"/>
      <c r="E4813" s="394"/>
      <c r="F4813" s="394">
        <v>2.0510000000000002</v>
      </c>
      <c r="G4813" s="394"/>
      <c r="H4813" s="8" t="s">
        <v>235</v>
      </c>
      <c r="I4813" s="368">
        <f t="shared" si="226"/>
        <v>0</v>
      </c>
      <c r="J4813" s="365">
        <f t="shared" si="225"/>
        <v>0</v>
      </c>
      <c r="K4813" s="369">
        <f t="shared" si="227"/>
        <v>6</v>
      </c>
      <c r="L4813" s="369">
        <f>+IF((C4813&gt;='Resultats - informe'!$E$16)*(C4813&lt;='Resultats - informe'!$G$16),1,0)</f>
        <v>1</v>
      </c>
      <c r="M4813" s="369" cm="1">
        <f t="array" ref="M4813">+_xlfn.IFS((C4813&gt;='Resultats - informe'!$D$26)*(C4813&lt;='Resultats - informe'!$E$26),0,(C4813&gt;='Resultats - informe'!$D$27)*(C4813&lt;='Resultats - informe'!$E$27),0,(C4813&gt;='Resultats - informe'!$D$28)*(C4813&lt;='Resultats - informe'!$E$28),0,(C4813&gt;='Resultats - informe'!$D$29)*(C4813&lt;='Resultats - informe'!$E$29),0,1,1)</f>
        <v>0</v>
      </c>
      <c r="N4813" s="366">
        <f>+VLOOKUP(D4813,'Resultats - informe'!$Y$18:$AG$42,'Introducció dades consum'!K4813+1,0)</f>
        <v>0</v>
      </c>
      <c r="O4813" s="370" cm="1">
        <f t="array" ref="O4813">+_xlfn.SWITCH(MONTH(C4813),1,1,2,1,3,1,4,2,5,2,6,3,7,3,8,3,9,3,10,2,11,2,12,1,2)</f>
        <v>1</v>
      </c>
      <c r="P4813" s="43"/>
    </row>
    <row r="4814" spans="1:16" ht="18" x14ac:dyDescent="0.35">
      <c r="A4814" s="9"/>
      <c r="C4814" s="393"/>
      <c r="E4814" s="394"/>
      <c r="F4814" s="394">
        <v>4.1360000000000001</v>
      </c>
      <c r="G4814" s="394"/>
      <c r="H4814" s="8" t="s">
        <v>235</v>
      </c>
      <c r="I4814" s="368">
        <f t="shared" si="226"/>
        <v>0</v>
      </c>
      <c r="J4814" s="365">
        <f t="shared" si="225"/>
        <v>0</v>
      </c>
      <c r="K4814" s="369">
        <f t="shared" si="227"/>
        <v>6</v>
      </c>
      <c r="L4814" s="369">
        <f>+IF((C4814&gt;='Resultats - informe'!$E$16)*(C4814&lt;='Resultats - informe'!$G$16),1,0)</f>
        <v>1</v>
      </c>
      <c r="M4814" s="369" cm="1">
        <f t="array" ref="M4814">+_xlfn.IFS((C4814&gt;='Resultats - informe'!$D$26)*(C4814&lt;='Resultats - informe'!$E$26),0,(C4814&gt;='Resultats - informe'!$D$27)*(C4814&lt;='Resultats - informe'!$E$27),0,(C4814&gt;='Resultats - informe'!$D$28)*(C4814&lt;='Resultats - informe'!$E$28),0,(C4814&gt;='Resultats - informe'!$D$29)*(C4814&lt;='Resultats - informe'!$E$29),0,1,1)</f>
        <v>0</v>
      </c>
      <c r="N4814" s="366">
        <f>+VLOOKUP(D4814,'Resultats - informe'!$Y$18:$AG$42,'Introducció dades consum'!K4814+1,0)</f>
        <v>0</v>
      </c>
      <c r="O4814" s="370" cm="1">
        <f t="array" ref="O4814">+_xlfn.SWITCH(MONTH(C4814),1,1,2,1,3,1,4,2,5,2,6,3,7,3,8,3,9,3,10,2,11,2,12,1,2)</f>
        <v>1</v>
      </c>
      <c r="P4814" s="43"/>
    </row>
    <row r="4815" spans="1:16" ht="18" x14ac:dyDescent="0.35">
      <c r="A4815" s="9"/>
      <c r="C4815" s="393"/>
      <c r="E4815" s="394"/>
      <c r="F4815" s="394">
        <v>5.4930000000000003</v>
      </c>
      <c r="G4815" s="394"/>
      <c r="H4815" s="8" t="s">
        <v>235</v>
      </c>
      <c r="I4815" s="368">
        <f t="shared" si="226"/>
        <v>0</v>
      </c>
      <c r="J4815" s="365">
        <f t="shared" si="225"/>
        <v>0</v>
      </c>
      <c r="K4815" s="369">
        <f t="shared" si="227"/>
        <v>6</v>
      </c>
      <c r="L4815" s="369">
        <f>+IF((C4815&gt;='Resultats - informe'!$E$16)*(C4815&lt;='Resultats - informe'!$G$16),1,0)</f>
        <v>1</v>
      </c>
      <c r="M4815" s="369" cm="1">
        <f t="array" ref="M4815">+_xlfn.IFS((C4815&gt;='Resultats - informe'!$D$26)*(C4815&lt;='Resultats - informe'!$E$26),0,(C4815&gt;='Resultats - informe'!$D$27)*(C4815&lt;='Resultats - informe'!$E$27),0,(C4815&gt;='Resultats - informe'!$D$28)*(C4815&lt;='Resultats - informe'!$E$28),0,(C4815&gt;='Resultats - informe'!$D$29)*(C4815&lt;='Resultats - informe'!$E$29),0,1,1)</f>
        <v>0</v>
      </c>
      <c r="N4815" s="366">
        <f>+VLOOKUP(D4815,'Resultats - informe'!$Y$18:$AG$42,'Introducció dades consum'!K4815+1,0)</f>
        <v>0</v>
      </c>
      <c r="O4815" s="370" cm="1">
        <f t="array" ref="O4815">+_xlfn.SWITCH(MONTH(C4815),1,1,2,1,3,1,4,2,5,2,6,3,7,3,8,3,9,3,10,2,11,2,12,1,2)</f>
        <v>1</v>
      </c>
      <c r="P4815" s="43"/>
    </row>
    <row r="4816" spans="1:16" ht="18" x14ac:dyDescent="0.35">
      <c r="A4816" s="9"/>
      <c r="C4816" s="393"/>
      <c r="E4816" s="394"/>
      <c r="F4816" s="394">
        <v>4.3289999999999997</v>
      </c>
      <c r="G4816" s="394"/>
      <c r="H4816" s="8" t="s">
        <v>235</v>
      </c>
      <c r="I4816" s="368">
        <f t="shared" si="226"/>
        <v>0</v>
      </c>
      <c r="J4816" s="365">
        <f t="shared" si="225"/>
        <v>0</v>
      </c>
      <c r="K4816" s="369">
        <f t="shared" si="227"/>
        <v>6</v>
      </c>
      <c r="L4816" s="369">
        <f>+IF((C4816&gt;='Resultats - informe'!$E$16)*(C4816&lt;='Resultats - informe'!$G$16),1,0)</f>
        <v>1</v>
      </c>
      <c r="M4816" s="369" cm="1">
        <f t="array" ref="M4816">+_xlfn.IFS((C4816&gt;='Resultats - informe'!$D$26)*(C4816&lt;='Resultats - informe'!$E$26),0,(C4816&gt;='Resultats - informe'!$D$27)*(C4816&lt;='Resultats - informe'!$E$27),0,(C4816&gt;='Resultats - informe'!$D$28)*(C4816&lt;='Resultats - informe'!$E$28),0,(C4816&gt;='Resultats - informe'!$D$29)*(C4816&lt;='Resultats - informe'!$E$29),0,1,1)</f>
        <v>0</v>
      </c>
      <c r="N4816" s="366">
        <f>+VLOOKUP(D4816,'Resultats - informe'!$Y$18:$AG$42,'Introducció dades consum'!K4816+1,0)</f>
        <v>0</v>
      </c>
      <c r="O4816" s="370" cm="1">
        <f t="array" ref="O4816">+_xlfn.SWITCH(MONTH(C4816),1,1,2,1,3,1,4,2,5,2,6,3,7,3,8,3,9,3,10,2,11,2,12,1,2)</f>
        <v>1</v>
      </c>
      <c r="P4816" s="43"/>
    </row>
    <row r="4817" spans="1:16" ht="18" x14ac:dyDescent="0.35">
      <c r="A4817" s="9"/>
      <c r="C4817" s="393"/>
      <c r="E4817" s="394"/>
      <c r="F4817" s="394">
        <v>5.609</v>
      </c>
      <c r="G4817" s="394"/>
      <c r="H4817" s="8" t="s">
        <v>235</v>
      </c>
      <c r="I4817" s="368">
        <f t="shared" si="226"/>
        <v>0</v>
      </c>
      <c r="J4817" s="365">
        <f t="shared" si="225"/>
        <v>0</v>
      </c>
      <c r="K4817" s="369">
        <f t="shared" si="227"/>
        <v>6</v>
      </c>
      <c r="L4817" s="369">
        <f>+IF((C4817&gt;='Resultats - informe'!$E$16)*(C4817&lt;='Resultats - informe'!$G$16),1,0)</f>
        <v>1</v>
      </c>
      <c r="M4817" s="369" cm="1">
        <f t="array" ref="M4817">+_xlfn.IFS((C4817&gt;='Resultats - informe'!$D$26)*(C4817&lt;='Resultats - informe'!$E$26),0,(C4817&gt;='Resultats - informe'!$D$27)*(C4817&lt;='Resultats - informe'!$E$27),0,(C4817&gt;='Resultats - informe'!$D$28)*(C4817&lt;='Resultats - informe'!$E$28),0,(C4817&gt;='Resultats - informe'!$D$29)*(C4817&lt;='Resultats - informe'!$E$29),0,1,1)</f>
        <v>0</v>
      </c>
      <c r="N4817" s="366">
        <f>+VLOOKUP(D4817,'Resultats - informe'!$Y$18:$AG$42,'Introducció dades consum'!K4817+1,0)</f>
        <v>0</v>
      </c>
      <c r="O4817" s="370" cm="1">
        <f t="array" ref="O4817">+_xlfn.SWITCH(MONTH(C4817),1,1,2,1,3,1,4,2,5,2,6,3,7,3,8,3,9,3,10,2,11,2,12,1,2)</f>
        <v>1</v>
      </c>
      <c r="P4817" s="43"/>
    </row>
    <row r="4818" spans="1:16" ht="18" x14ac:dyDescent="0.35">
      <c r="A4818" s="9"/>
      <c r="C4818" s="393"/>
      <c r="E4818" s="394"/>
      <c r="F4818" s="394">
        <v>3.9460000000000002</v>
      </c>
      <c r="G4818" s="394"/>
      <c r="H4818" s="8" t="s">
        <v>235</v>
      </c>
      <c r="I4818" s="368">
        <f t="shared" si="226"/>
        <v>0</v>
      </c>
      <c r="J4818" s="365">
        <f t="shared" si="225"/>
        <v>0</v>
      </c>
      <c r="K4818" s="369">
        <f t="shared" si="227"/>
        <v>6</v>
      </c>
      <c r="L4818" s="369">
        <f>+IF((C4818&gt;='Resultats - informe'!$E$16)*(C4818&lt;='Resultats - informe'!$G$16),1,0)</f>
        <v>1</v>
      </c>
      <c r="M4818" s="369" cm="1">
        <f t="array" ref="M4818">+_xlfn.IFS((C4818&gt;='Resultats - informe'!$D$26)*(C4818&lt;='Resultats - informe'!$E$26),0,(C4818&gt;='Resultats - informe'!$D$27)*(C4818&lt;='Resultats - informe'!$E$27),0,(C4818&gt;='Resultats - informe'!$D$28)*(C4818&lt;='Resultats - informe'!$E$28),0,(C4818&gt;='Resultats - informe'!$D$29)*(C4818&lt;='Resultats - informe'!$E$29),0,1,1)</f>
        <v>0</v>
      </c>
      <c r="N4818" s="366">
        <f>+VLOOKUP(D4818,'Resultats - informe'!$Y$18:$AG$42,'Introducció dades consum'!K4818+1,0)</f>
        <v>0</v>
      </c>
      <c r="O4818" s="370" cm="1">
        <f t="array" ref="O4818">+_xlfn.SWITCH(MONTH(C4818),1,1,2,1,3,1,4,2,5,2,6,3,7,3,8,3,9,3,10,2,11,2,12,1,2)</f>
        <v>1</v>
      </c>
      <c r="P4818" s="43"/>
    </row>
    <row r="4819" spans="1:16" ht="18" x14ac:dyDescent="0.35">
      <c r="A4819" s="9"/>
      <c r="C4819" s="393"/>
      <c r="E4819" s="394"/>
      <c r="F4819" s="394">
        <v>6.3559999999999999</v>
      </c>
      <c r="G4819" s="394"/>
      <c r="H4819" s="8" t="s">
        <v>235</v>
      </c>
      <c r="I4819" s="368">
        <f t="shared" si="226"/>
        <v>0</v>
      </c>
      <c r="J4819" s="365">
        <f t="shared" si="225"/>
        <v>0</v>
      </c>
      <c r="K4819" s="369">
        <f t="shared" si="227"/>
        <v>6</v>
      </c>
      <c r="L4819" s="369">
        <f>+IF((C4819&gt;='Resultats - informe'!$E$16)*(C4819&lt;='Resultats - informe'!$G$16),1,0)</f>
        <v>1</v>
      </c>
      <c r="M4819" s="369" cm="1">
        <f t="array" ref="M4819">+_xlfn.IFS((C4819&gt;='Resultats - informe'!$D$26)*(C4819&lt;='Resultats - informe'!$E$26),0,(C4819&gt;='Resultats - informe'!$D$27)*(C4819&lt;='Resultats - informe'!$E$27),0,(C4819&gt;='Resultats - informe'!$D$28)*(C4819&lt;='Resultats - informe'!$E$28),0,(C4819&gt;='Resultats - informe'!$D$29)*(C4819&lt;='Resultats - informe'!$E$29),0,1,1)</f>
        <v>0</v>
      </c>
      <c r="N4819" s="366">
        <f>+VLOOKUP(D4819,'Resultats - informe'!$Y$18:$AG$42,'Introducció dades consum'!K4819+1,0)</f>
        <v>0</v>
      </c>
      <c r="O4819" s="370" cm="1">
        <f t="array" ref="O4819">+_xlfn.SWITCH(MONTH(C4819),1,1,2,1,3,1,4,2,5,2,6,3,7,3,8,3,9,3,10,2,11,2,12,1,2)</f>
        <v>1</v>
      </c>
      <c r="P4819" s="43"/>
    </row>
    <row r="4820" spans="1:16" ht="18" x14ac:dyDescent="0.35">
      <c r="A4820" s="9"/>
      <c r="C4820" s="393"/>
      <c r="E4820" s="394"/>
      <c r="F4820" s="394">
        <v>5.4429999999999996</v>
      </c>
      <c r="G4820" s="394"/>
      <c r="H4820" s="8" t="s">
        <v>235</v>
      </c>
      <c r="I4820" s="368">
        <f t="shared" si="226"/>
        <v>0</v>
      </c>
      <c r="J4820" s="365">
        <f t="shared" si="225"/>
        <v>0</v>
      </c>
      <c r="K4820" s="369">
        <f t="shared" si="227"/>
        <v>6</v>
      </c>
      <c r="L4820" s="369">
        <f>+IF((C4820&gt;='Resultats - informe'!$E$16)*(C4820&lt;='Resultats - informe'!$G$16),1,0)</f>
        <v>1</v>
      </c>
      <c r="M4820" s="369" cm="1">
        <f t="array" ref="M4820">+_xlfn.IFS((C4820&gt;='Resultats - informe'!$D$26)*(C4820&lt;='Resultats - informe'!$E$26),0,(C4820&gt;='Resultats - informe'!$D$27)*(C4820&lt;='Resultats - informe'!$E$27),0,(C4820&gt;='Resultats - informe'!$D$28)*(C4820&lt;='Resultats - informe'!$E$28),0,(C4820&gt;='Resultats - informe'!$D$29)*(C4820&lt;='Resultats - informe'!$E$29),0,1,1)</f>
        <v>0</v>
      </c>
      <c r="N4820" s="366">
        <f>+VLOOKUP(D4820,'Resultats - informe'!$Y$18:$AG$42,'Introducció dades consum'!K4820+1,0)</f>
        <v>0</v>
      </c>
      <c r="O4820" s="370" cm="1">
        <f t="array" ref="O4820">+_xlfn.SWITCH(MONTH(C4820),1,1,2,1,3,1,4,2,5,2,6,3,7,3,8,3,9,3,10,2,11,2,12,1,2)</f>
        <v>1</v>
      </c>
      <c r="P4820" s="43"/>
    </row>
    <row r="4821" spans="1:16" ht="18" x14ac:dyDescent="0.35">
      <c r="A4821" s="9"/>
      <c r="C4821" s="393"/>
      <c r="E4821" s="394"/>
      <c r="F4821" s="394">
        <v>0.55200000000000005</v>
      </c>
      <c r="G4821" s="394"/>
      <c r="H4821" s="8" t="s">
        <v>235</v>
      </c>
      <c r="I4821" s="368">
        <f t="shared" si="226"/>
        <v>0</v>
      </c>
      <c r="J4821" s="365">
        <f t="shared" si="225"/>
        <v>0</v>
      </c>
      <c r="K4821" s="369">
        <f t="shared" si="227"/>
        <v>6</v>
      </c>
      <c r="L4821" s="369">
        <f>+IF((C4821&gt;='Resultats - informe'!$E$16)*(C4821&lt;='Resultats - informe'!$G$16),1,0)</f>
        <v>1</v>
      </c>
      <c r="M4821" s="369" cm="1">
        <f t="array" ref="M4821">+_xlfn.IFS((C4821&gt;='Resultats - informe'!$D$26)*(C4821&lt;='Resultats - informe'!$E$26),0,(C4821&gt;='Resultats - informe'!$D$27)*(C4821&lt;='Resultats - informe'!$E$27),0,(C4821&gt;='Resultats - informe'!$D$28)*(C4821&lt;='Resultats - informe'!$E$28),0,(C4821&gt;='Resultats - informe'!$D$29)*(C4821&lt;='Resultats - informe'!$E$29),0,1,1)</f>
        <v>0</v>
      </c>
      <c r="N4821" s="366">
        <f>+VLOOKUP(D4821,'Resultats - informe'!$Y$18:$AG$42,'Introducció dades consum'!K4821+1,0)</f>
        <v>0</v>
      </c>
      <c r="O4821" s="370" cm="1">
        <f t="array" ref="O4821">+_xlfn.SWITCH(MONTH(C4821),1,1,2,1,3,1,4,2,5,2,6,3,7,3,8,3,9,3,10,2,11,2,12,1,2)</f>
        <v>1</v>
      </c>
      <c r="P4821" s="43"/>
    </row>
    <row r="4822" spans="1:16" ht="18" x14ac:dyDescent="0.35">
      <c r="A4822" s="9"/>
      <c r="C4822" s="393"/>
      <c r="E4822" s="394"/>
      <c r="F4822" s="394">
        <v>0</v>
      </c>
      <c r="G4822" s="394"/>
      <c r="H4822" s="8" t="s">
        <v>235</v>
      </c>
      <c r="I4822" s="368">
        <f t="shared" si="226"/>
        <v>0</v>
      </c>
      <c r="J4822" s="365">
        <f t="shared" si="225"/>
        <v>0</v>
      </c>
      <c r="K4822" s="369">
        <f t="shared" si="227"/>
        <v>6</v>
      </c>
      <c r="L4822" s="369">
        <f>+IF((C4822&gt;='Resultats - informe'!$E$16)*(C4822&lt;='Resultats - informe'!$G$16),1,0)</f>
        <v>1</v>
      </c>
      <c r="M4822" s="369" cm="1">
        <f t="array" ref="M4822">+_xlfn.IFS((C4822&gt;='Resultats - informe'!$D$26)*(C4822&lt;='Resultats - informe'!$E$26),0,(C4822&gt;='Resultats - informe'!$D$27)*(C4822&lt;='Resultats - informe'!$E$27),0,(C4822&gt;='Resultats - informe'!$D$28)*(C4822&lt;='Resultats - informe'!$E$28),0,(C4822&gt;='Resultats - informe'!$D$29)*(C4822&lt;='Resultats - informe'!$E$29),0,1,1)</f>
        <v>0</v>
      </c>
      <c r="N4822" s="366">
        <f>+VLOOKUP(D4822,'Resultats - informe'!$Y$18:$AG$42,'Introducció dades consum'!K4822+1,0)</f>
        <v>0</v>
      </c>
      <c r="O4822" s="370" cm="1">
        <f t="array" ref="O4822">+_xlfn.SWITCH(MONTH(C4822),1,1,2,1,3,1,4,2,5,2,6,3,7,3,8,3,9,3,10,2,11,2,12,1,2)</f>
        <v>1</v>
      </c>
      <c r="P4822" s="43"/>
    </row>
    <row r="4823" spans="1:16" ht="18" x14ac:dyDescent="0.35">
      <c r="A4823" s="9"/>
      <c r="C4823" s="393"/>
      <c r="E4823" s="394"/>
      <c r="F4823" s="394">
        <v>0.621</v>
      </c>
      <c r="G4823" s="394"/>
      <c r="H4823" s="8" t="s">
        <v>235</v>
      </c>
      <c r="I4823" s="368">
        <f t="shared" si="226"/>
        <v>0</v>
      </c>
      <c r="J4823" s="365">
        <f t="shared" si="225"/>
        <v>0</v>
      </c>
      <c r="K4823" s="369">
        <f t="shared" si="227"/>
        <v>6</v>
      </c>
      <c r="L4823" s="369">
        <f>+IF((C4823&gt;='Resultats - informe'!$E$16)*(C4823&lt;='Resultats - informe'!$G$16),1,0)</f>
        <v>1</v>
      </c>
      <c r="M4823" s="369" cm="1">
        <f t="array" ref="M4823">+_xlfn.IFS((C4823&gt;='Resultats - informe'!$D$26)*(C4823&lt;='Resultats - informe'!$E$26),0,(C4823&gt;='Resultats - informe'!$D$27)*(C4823&lt;='Resultats - informe'!$E$27),0,(C4823&gt;='Resultats - informe'!$D$28)*(C4823&lt;='Resultats - informe'!$E$28),0,(C4823&gt;='Resultats - informe'!$D$29)*(C4823&lt;='Resultats - informe'!$E$29),0,1,1)</f>
        <v>0</v>
      </c>
      <c r="N4823" s="366">
        <f>+VLOOKUP(D4823,'Resultats - informe'!$Y$18:$AG$42,'Introducció dades consum'!K4823+1,0)</f>
        <v>0</v>
      </c>
      <c r="O4823" s="370" cm="1">
        <f t="array" ref="O4823">+_xlfn.SWITCH(MONTH(C4823),1,1,2,1,3,1,4,2,5,2,6,3,7,3,8,3,9,3,10,2,11,2,12,1,2)</f>
        <v>1</v>
      </c>
      <c r="P4823" s="43"/>
    </row>
    <row r="4824" spans="1:16" ht="18" x14ac:dyDescent="0.35">
      <c r="A4824" s="9"/>
      <c r="C4824" s="393"/>
      <c r="E4824" s="394"/>
      <c r="F4824" s="394">
        <v>0</v>
      </c>
      <c r="G4824" s="394"/>
      <c r="H4824" s="8" t="s">
        <v>235</v>
      </c>
      <c r="I4824" s="368">
        <f t="shared" si="226"/>
        <v>0</v>
      </c>
      <c r="J4824" s="365">
        <f t="shared" si="225"/>
        <v>0</v>
      </c>
      <c r="K4824" s="369">
        <f t="shared" si="227"/>
        <v>6</v>
      </c>
      <c r="L4824" s="369">
        <f>+IF((C4824&gt;='Resultats - informe'!$E$16)*(C4824&lt;='Resultats - informe'!$G$16),1,0)</f>
        <v>1</v>
      </c>
      <c r="M4824" s="369" cm="1">
        <f t="array" ref="M4824">+_xlfn.IFS((C4824&gt;='Resultats - informe'!$D$26)*(C4824&lt;='Resultats - informe'!$E$26),0,(C4824&gt;='Resultats - informe'!$D$27)*(C4824&lt;='Resultats - informe'!$E$27),0,(C4824&gt;='Resultats - informe'!$D$28)*(C4824&lt;='Resultats - informe'!$E$28),0,(C4824&gt;='Resultats - informe'!$D$29)*(C4824&lt;='Resultats - informe'!$E$29),0,1,1)</f>
        <v>0</v>
      </c>
      <c r="N4824" s="366">
        <f>+VLOOKUP(D4824,'Resultats - informe'!$Y$18:$AG$42,'Introducció dades consum'!K4824+1,0)</f>
        <v>0</v>
      </c>
      <c r="O4824" s="370" cm="1">
        <f t="array" ref="O4824">+_xlfn.SWITCH(MONTH(C4824),1,1,2,1,3,1,4,2,5,2,6,3,7,3,8,3,9,3,10,2,11,2,12,1,2)</f>
        <v>1</v>
      </c>
      <c r="P4824" s="43"/>
    </row>
    <row r="4825" spans="1:16" ht="18" x14ac:dyDescent="0.35">
      <c r="A4825" s="9"/>
      <c r="C4825" s="393"/>
      <c r="E4825" s="394"/>
      <c r="F4825" s="394">
        <v>0</v>
      </c>
      <c r="G4825" s="394"/>
      <c r="H4825" s="8" t="s">
        <v>235</v>
      </c>
      <c r="I4825" s="368">
        <f t="shared" si="226"/>
        <v>0</v>
      </c>
      <c r="J4825" s="365">
        <f t="shared" si="225"/>
        <v>0</v>
      </c>
      <c r="K4825" s="369">
        <f t="shared" si="227"/>
        <v>6</v>
      </c>
      <c r="L4825" s="369">
        <f>+IF((C4825&gt;='Resultats - informe'!$E$16)*(C4825&lt;='Resultats - informe'!$G$16),1,0)</f>
        <v>1</v>
      </c>
      <c r="M4825" s="369" cm="1">
        <f t="array" ref="M4825">+_xlfn.IFS((C4825&gt;='Resultats - informe'!$D$26)*(C4825&lt;='Resultats - informe'!$E$26),0,(C4825&gt;='Resultats - informe'!$D$27)*(C4825&lt;='Resultats - informe'!$E$27),0,(C4825&gt;='Resultats - informe'!$D$28)*(C4825&lt;='Resultats - informe'!$E$28),0,(C4825&gt;='Resultats - informe'!$D$29)*(C4825&lt;='Resultats - informe'!$E$29),0,1,1)</f>
        <v>0</v>
      </c>
      <c r="N4825" s="366">
        <f>+VLOOKUP(D4825,'Resultats - informe'!$Y$18:$AG$42,'Introducció dades consum'!K4825+1,0)</f>
        <v>0</v>
      </c>
      <c r="O4825" s="370" cm="1">
        <f t="array" ref="O4825">+_xlfn.SWITCH(MONTH(C4825),1,1,2,1,3,1,4,2,5,2,6,3,7,3,8,3,9,3,10,2,11,2,12,1,2)</f>
        <v>1</v>
      </c>
      <c r="P4825" s="43"/>
    </row>
    <row r="4826" spans="1:16" ht="18" x14ac:dyDescent="0.35">
      <c r="A4826" s="9"/>
      <c r="C4826" s="393"/>
      <c r="E4826" s="394"/>
      <c r="F4826" s="394">
        <v>0</v>
      </c>
      <c r="G4826" s="394"/>
      <c r="H4826" s="8" t="s">
        <v>235</v>
      </c>
      <c r="I4826" s="368">
        <f t="shared" si="226"/>
        <v>0</v>
      </c>
      <c r="J4826" s="365">
        <f t="shared" si="225"/>
        <v>0</v>
      </c>
      <c r="K4826" s="369">
        <f t="shared" si="227"/>
        <v>6</v>
      </c>
      <c r="L4826" s="369">
        <f>+IF((C4826&gt;='Resultats - informe'!$E$16)*(C4826&lt;='Resultats - informe'!$G$16),1,0)</f>
        <v>1</v>
      </c>
      <c r="M4826" s="369" cm="1">
        <f t="array" ref="M4826">+_xlfn.IFS((C4826&gt;='Resultats - informe'!$D$26)*(C4826&lt;='Resultats - informe'!$E$26),0,(C4826&gt;='Resultats - informe'!$D$27)*(C4826&lt;='Resultats - informe'!$E$27),0,(C4826&gt;='Resultats - informe'!$D$28)*(C4826&lt;='Resultats - informe'!$E$28),0,(C4826&gt;='Resultats - informe'!$D$29)*(C4826&lt;='Resultats - informe'!$E$29),0,1,1)</f>
        <v>0</v>
      </c>
      <c r="N4826" s="366">
        <f>+VLOOKUP(D4826,'Resultats - informe'!$Y$18:$AG$42,'Introducció dades consum'!K4826+1,0)</f>
        <v>0</v>
      </c>
      <c r="O4826" s="370" cm="1">
        <f t="array" ref="O4826">+_xlfn.SWITCH(MONTH(C4826),1,1,2,1,3,1,4,2,5,2,6,3,7,3,8,3,9,3,10,2,11,2,12,1,2)</f>
        <v>1</v>
      </c>
      <c r="P4826" s="43"/>
    </row>
    <row r="4827" spans="1:16" ht="18" x14ac:dyDescent="0.35">
      <c r="A4827" s="9"/>
      <c r="C4827" s="393"/>
      <c r="E4827" s="394"/>
      <c r="F4827" s="394">
        <v>0</v>
      </c>
      <c r="G4827" s="394"/>
      <c r="H4827" s="8" t="s">
        <v>235</v>
      </c>
      <c r="I4827" s="368">
        <f t="shared" si="226"/>
        <v>0</v>
      </c>
      <c r="J4827" s="365">
        <f t="shared" si="225"/>
        <v>0</v>
      </c>
      <c r="K4827" s="369">
        <f t="shared" si="227"/>
        <v>6</v>
      </c>
      <c r="L4827" s="369">
        <f>+IF((C4827&gt;='Resultats - informe'!$E$16)*(C4827&lt;='Resultats - informe'!$G$16),1,0)</f>
        <v>1</v>
      </c>
      <c r="M4827" s="369" cm="1">
        <f t="array" ref="M4827">+_xlfn.IFS((C4827&gt;='Resultats - informe'!$D$26)*(C4827&lt;='Resultats - informe'!$E$26),0,(C4827&gt;='Resultats - informe'!$D$27)*(C4827&lt;='Resultats - informe'!$E$27),0,(C4827&gt;='Resultats - informe'!$D$28)*(C4827&lt;='Resultats - informe'!$E$28),0,(C4827&gt;='Resultats - informe'!$D$29)*(C4827&lt;='Resultats - informe'!$E$29),0,1,1)</f>
        <v>0</v>
      </c>
      <c r="N4827" s="366">
        <f>+VLOOKUP(D4827,'Resultats - informe'!$Y$18:$AG$42,'Introducció dades consum'!K4827+1,0)</f>
        <v>0</v>
      </c>
      <c r="O4827" s="370" cm="1">
        <f t="array" ref="O4827">+_xlfn.SWITCH(MONTH(C4827),1,1,2,1,3,1,4,2,5,2,6,3,7,3,8,3,9,3,10,2,11,2,12,1,2)</f>
        <v>1</v>
      </c>
      <c r="P4827" s="43"/>
    </row>
    <row r="4828" spans="1:16" ht="18" x14ac:dyDescent="0.35">
      <c r="A4828" s="9"/>
      <c r="C4828" s="393"/>
      <c r="E4828" s="394"/>
      <c r="F4828" s="394">
        <v>0</v>
      </c>
      <c r="G4828" s="394"/>
      <c r="H4828" s="8" t="s">
        <v>235</v>
      </c>
      <c r="I4828" s="368">
        <f t="shared" si="226"/>
        <v>0</v>
      </c>
      <c r="J4828" s="365">
        <f t="shared" si="225"/>
        <v>0</v>
      </c>
      <c r="K4828" s="369">
        <f t="shared" si="227"/>
        <v>6</v>
      </c>
      <c r="L4828" s="369">
        <f>+IF((C4828&gt;='Resultats - informe'!$E$16)*(C4828&lt;='Resultats - informe'!$G$16),1,0)</f>
        <v>1</v>
      </c>
      <c r="M4828" s="369" cm="1">
        <f t="array" ref="M4828">+_xlfn.IFS((C4828&gt;='Resultats - informe'!$D$26)*(C4828&lt;='Resultats - informe'!$E$26),0,(C4828&gt;='Resultats - informe'!$D$27)*(C4828&lt;='Resultats - informe'!$E$27),0,(C4828&gt;='Resultats - informe'!$D$28)*(C4828&lt;='Resultats - informe'!$E$28),0,(C4828&gt;='Resultats - informe'!$D$29)*(C4828&lt;='Resultats - informe'!$E$29),0,1,1)</f>
        <v>0</v>
      </c>
      <c r="N4828" s="366">
        <f>+VLOOKUP(D4828,'Resultats - informe'!$Y$18:$AG$42,'Introducció dades consum'!K4828+1,0)</f>
        <v>0</v>
      </c>
      <c r="O4828" s="370" cm="1">
        <f t="array" ref="O4828">+_xlfn.SWITCH(MONTH(C4828),1,1,2,1,3,1,4,2,5,2,6,3,7,3,8,3,9,3,10,2,11,2,12,1,2)</f>
        <v>1</v>
      </c>
      <c r="P4828" s="43"/>
    </row>
    <row r="4829" spans="1:16" ht="18" x14ac:dyDescent="0.35">
      <c r="A4829" s="9"/>
      <c r="C4829" s="393"/>
      <c r="E4829" s="394"/>
      <c r="F4829" s="394">
        <v>0</v>
      </c>
      <c r="G4829" s="394"/>
      <c r="H4829" s="8" t="s">
        <v>235</v>
      </c>
      <c r="I4829" s="368">
        <f t="shared" si="226"/>
        <v>0</v>
      </c>
      <c r="J4829" s="365">
        <f t="shared" si="225"/>
        <v>0</v>
      </c>
      <c r="K4829" s="369">
        <f t="shared" si="227"/>
        <v>6</v>
      </c>
      <c r="L4829" s="369">
        <f>+IF((C4829&gt;='Resultats - informe'!$E$16)*(C4829&lt;='Resultats - informe'!$G$16),1,0)</f>
        <v>1</v>
      </c>
      <c r="M4829" s="369" cm="1">
        <f t="array" ref="M4829">+_xlfn.IFS((C4829&gt;='Resultats - informe'!$D$26)*(C4829&lt;='Resultats - informe'!$E$26),0,(C4829&gt;='Resultats - informe'!$D$27)*(C4829&lt;='Resultats - informe'!$E$27),0,(C4829&gt;='Resultats - informe'!$D$28)*(C4829&lt;='Resultats - informe'!$E$28),0,(C4829&gt;='Resultats - informe'!$D$29)*(C4829&lt;='Resultats - informe'!$E$29),0,1,1)</f>
        <v>0</v>
      </c>
      <c r="N4829" s="366">
        <f>+VLOOKUP(D4829,'Resultats - informe'!$Y$18:$AG$42,'Introducció dades consum'!K4829+1,0)</f>
        <v>0</v>
      </c>
      <c r="O4829" s="370" cm="1">
        <f t="array" ref="O4829">+_xlfn.SWITCH(MONTH(C4829),1,1,2,1,3,1,4,2,5,2,6,3,7,3,8,3,9,3,10,2,11,2,12,1,2)</f>
        <v>1</v>
      </c>
      <c r="P4829" s="43"/>
    </row>
    <row r="4830" spans="1:16" ht="18" x14ac:dyDescent="0.35">
      <c r="A4830" s="9"/>
      <c r="C4830" s="393"/>
      <c r="E4830" s="394"/>
      <c r="F4830" s="394">
        <v>0</v>
      </c>
      <c r="G4830" s="394"/>
      <c r="H4830" s="8" t="s">
        <v>235</v>
      </c>
      <c r="I4830" s="368">
        <f t="shared" si="226"/>
        <v>0</v>
      </c>
      <c r="J4830" s="365">
        <f t="shared" si="225"/>
        <v>0</v>
      </c>
      <c r="K4830" s="369">
        <f t="shared" si="227"/>
        <v>6</v>
      </c>
      <c r="L4830" s="369">
        <f>+IF((C4830&gt;='Resultats - informe'!$E$16)*(C4830&lt;='Resultats - informe'!$G$16),1,0)</f>
        <v>1</v>
      </c>
      <c r="M4830" s="369" cm="1">
        <f t="array" ref="M4830">+_xlfn.IFS((C4830&gt;='Resultats - informe'!$D$26)*(C4830&lt;='Resultats - informe'!$E$26),0,(C4830&gt;='Resultats - informe'!$D$27)*(C4830&lt;='Resultats - informe'!$E$27),0,(C4830&gt;='Resultats - informe'!$D$28)*(C4830&lt;='Resultats - informe'!$E$28),0,(C4830&gt;='Resultats - informe'!$D$29)*(C4830&lt;='Resultats - informe'!$E$29),0,1,1)</f>
        <v>0</v>
      </c>
      <c r="N4830" s="366">
        <f>+VLOOKUP(D4830,'Resultats - informe'!$Y$18:$AG$42,'Introducció dades consum'!K4830+1,0)</f>
        <v>0</v>
      </c>
      <c r="O4830" s="370" cm="1">
        <f t="array" ref="O4830">+_xlfn.SWITCH(MONTH(C4830),1,1,2,1,3,1,4,2,5,2,6,3,7,3,8,3,9,3,10,2,11,2,12,1,2)</f>
        <v>1</v>
      </c>
      <c r="P4830" s="43"/>
    </row>
    <row r="4831" spans="1:16" ht="18" x14ac:dyDescent="0.35">
      <c r="A4831" s="9"/>
      <c r="C4831" s="393"/>
      <c r="E4831" s="394"/>
      <c r="F4831" s="394">
        <v>0</v>
      </c>
      <c r="G4831" s="394"/>
      <c r="H4831" s="8" t="s">
        <v>235</v>
      </c>
      <c r="I4831" s="368">
        <f t="shared" si="226"/>
        <v>0</v>
      </c>
      <c r="J4831" s="365">
        <f t="shared" si="225"/>
        <v>0</v>
      </c>
      <c r="K4831" s="369">
        <f t="shared" si="227"/>
        <v>6</v>
      </c>
      <c r="L4831" s="369">
        <f>+IF((C4831&gt;='Resultats - informe'!$E$16)*(C4831&lt;='Resultats - informe'!$G$16),1,0)</f>
        <v>1</v>
      </c>
      <c r="M4831" s="369" cm="1">
        <f t="array" ref="M4831">+_xlfn.IFS((C4831&gt;='Resultats - informe'!$D$26)*(C4831&lt;='Resultats - informe'!$E$26),0,(C4831&gt;='Resultats - informe'!$D$27)*(C4831&lt;='Resultats - informe'!$E$27),0,(C4831&gt;='Resultats - informe'!$D$28)*(C4831&lt;='Resultats - informe'!$E$28),0,(C4831&gt;='Resultats - informe'!$D$29)*(C4831&lt;='Resultats - informe'!$E$29),0,1,1)</f>
        <v>0</v>
      </c>
      <c r="N4831" s="366">
        <f>+VLOOKUP(D4831,'Resultats - informe'!$Y$18:$AG$42,'Introducció dades consum'!K4831+1,0)</f>
        <v>0</v>
      </c>
      <c r="O4831" s="370" cm="1">
        <f t="array" ref="O4831">+_xlfn.SWITCH(MONTH(C4831),1,1,2,1,3,1,4,2,5,2,6,3,7,3,8,3,9,3,10,2,11,2,12,1,2)</f>
        <v>1</v>
      </c>
      <c r="P4831" s="43"/>
    </row>
    <row r="4832" spans="1:16" ht="18" x14ac:dyDescent="0.35">
      <c r="A4832" s="9"/>
      <c r="C4832" s="393"/>
      <c r="E4832" s="394"/>
      <c r="F4832" s="394">
        <v>0</v>
      </c>
      <c r="G4832" s="394"/>
      <c r="H4832" s="8" t="s">
        <v>235</v>
      </c>
      <c r="I4832" s="368">
        <f t="shared" si="226"/>
        <v>0</v>
      </c>
      <c r="J4832" s="365">
        <f t="shared" si="225"/>
        <v>0</v>
      </c>
      <c r="K4832" s="369">
        <f t="shared" si="227"/>
        <v>6</v>
      </c>
      <c r="L4832" s="369">
        <f>+IF((C4832&gt;='Resultats - informe'!$E$16)*(C4832&lt;='Resultats - informe'!$G$16),1,0)</f>
        <v>1</v>
      </c>
      <c r="M4832" s="369" cm="1">
        <f t="array" ref="M4832">+_xlfn.IFS((C4832&gt;='Resultats - informe'!$D$26)*(C4832&lt;='Resultats - informe'!$E$26),0,(C4832&gt;='Resultats - informe'!$D$27)*(C4832&lt;='Resultats - informe'!$E$27),0,(C4832&gt;='Resultats - informe'!$D$28)*(C4832&lt;='Resultats - informe'!$E$28),0,(C4832&gt;='Resultats - informe'!$D$29)*(C4832&lt;='Resultats - informe'!$E$29),0,1,1)</f>
        <v>0</v>
      </c>
      <c r="N4832" s="366">
        <f>+VLOOKUP(D4832,'Resultats - informe'!$Y$18:$AG$42,'Introducció dades consum'!K4832+1,0)</f>
        <v>0</v>
      </c>
      <c r="O4832" s="370" cm="1">
        <f t="array" ref="O4832">+_xlfn.SWITCH(MONTH(C4832),1,1,2,1,3,1,4,2,5,2,6,3,7,3,8,3,9,3,10,2,11,2,12,1,2)</f>
        <v>1</v>
      </c>
      <c r="P4832" s="43"/>
    </row>
    <row r="4833" spans="1:16" ht="18" x14ac:dyDescent="0.35">
      <c r="A4833" s="9"/>
      <c r="C4833" s="393"/>
      <c r="E4833" s="394"/>
      <c r="F4833" s="394">
        <v>0</v>
      </c>
      <c r="G4833" s="394"/>
      <c r="H4833" s="8" t="s">
        <v>235</v>
      </c>
      <c r="I4833" s="368">
        <f t="shared" si="226"/>
        <v>0</v>
      </c>
      <c r="J4833" s="365">
        <f t="shared" si="225"/>
        <v>0</v>
      </c>
      <c r="K4833" s="369">
        <f t="shared" si="227"/>
        <v>6</v>
      </c>
      <c r="L4833" s="369">
        <f>+IF((C4833&gt;='Resultats - informe'!$E$16)*(C4833&lt;='Resultats - informe'!$G$16),1,0)</f>
        <v>1</v>
      </c>
      <c r="M4833" s="369" cm="1">
        <f t="array" ref="M4833">+_xlfn.IFS((C4833&gt;='Resultats - informe'!$D$26)*(C4833&lt;='Resultats - informe'!$E$26),0,(C4833&gt;='Resultats - informe'!$D$27)*(C4833&lt;='Resultats - informe'!$E$27),0,(C4833&gt;='Resultats - informe'!$D$28)*(C4833&lt;='Resultats - informe'!$E$28),0,(C4833&gt;='Resultats - informe'!$D$29)*(C4833&lt;='Resultats - informe'!$E$29),0,1,1)</f>
        <v>0</v>
      </c>
      <c r="N4833" s="366">
        <f>+VLOOKUP(D4833,'Resultats - informe'!$Y$18:$AG$42,'Introducció dades consum'!K4833+1,0)</f>
        <v>0</v>
      </c>
      <c r="O4833" s="370" cm="1">
        <f t="array" ref="O4833">+_xlfn.SWITCH(MONTH(C4833),1,1,2,1,3,1,4,2,5,2,6,3,7,3,8,3,9,3,10,2,11,2,12,1,2)</f>
        <v>1</v>
      </c>
      <c r="P4833" s="43"/>
    </row>
    <row r="4834" spans="1:16" ht="18" x14ac:dyDescent="0.35">
      <c r="A4834" s="9"/>
      <c r="C4834" s="393"/>
      <c r="E4834" s="394"/>
      <c r="F4834" s="394">
        <v>0</v>
      </c>
      <c r="G4834" s="394"/>
      <c r="H4834" s="8" t="s">
        <v>235</v>
      </c>
      <c r="I4834" s="368">
        <f t="shared" si="226"/>
        <v>0</v>
      </c>
      <c r="J4834" s="365">
        <f t="shared" si="225"/>
        <v>0</v>
      </c>
      <c r="K4834" s="369">
        <f t="shared" si="227"/>
        <v>6</v>
      </c>
      <c r="L4834" s="369">
        <f>+IF((C4834&gt;='Resultats - informe'!$E$16)*(C4834&lt;='Resultats - informe'!$G$16),1,0)</f>
        <v>1</v>
      </c>
      <c r="M4834" s="369" cm="1">
        <f t="array" ref="M4834">+_xlfn.IFS((C4834&gt;='Resultats - informe'!$D$26)*(C4834&lt;='Resultats - informe'!$E$26),0,(C4834&gt;='Resultats - informe'!$D$27)*(C4834&lt;='Resultats - informe'!$E$27),0,(C4834&gt;='Resultats - informe'!$D$28)*(C4834&lt;='Resultats - informe'!$E$28),0,(C4834&gt;='Resultats - informe'!$D$29)*(C4834&lt;='Resultats - informe'!$E$29),0,1,1)</f>
        <v>0</v>
      </c>
      <c r="N4834" s="366">
        <f>+VLOOKUP(D4834,'Resultats - informe'!$Y$18:$AG$42,'Introducció dades consum'!K4834+1,0)</f>
        <v>0</v>
      </c>
      <c r="O4834" s="370" cm="1">
        <f t="array" ref="O4834">+_xlfn.SWITCH(MONTH(C4834),1,1,2,1,3,1,4,2,5,2,6,3,7,3,8,3,9,3,10,2,11,2,12,1,2)</f>
        <v>1</v>
      </c>
      <c r="P4834" s="43"/>
    </row>
    <row r="4835" spans="1:16" ht="18" x14ac:dyDescent="0.35">
      <c r="A4835" s="9"/>
      <c r="C4835" s="393"/>
      <c r="E4835" s="394"/>
      <c r="F4835" s="394">
        <v>0</v>
      </c>
      <c r="G4835" s="394"/>
      <c r="H4835" s="8" t="s">
        <v>235</v>
      </c>
      <c r="I4835" s="368">
        <f t="shared" si="226"/>
        <v>0</v>
      </c>
      <c r="J4835" s="365">
        <f t="shared" si="225"/>
        <v>0</v>
      </c>
      <c r="K4835" s="369">
        <f t="shared" si="227"/>
        <v>6</v>
      </c>
      <c r="L4835" s="369">
        <f>+IF((C4835&gt;='Resultats - informe'!$E$16)*(C4835&lt;='Resultats - informe'!$G$16),1,0)</f>
        <v>1</v>
      </c>
      <c r="M4835" s="369" cm="1">
        <f t="array" ref="M4835">+_xlfn.IFS((C4835&gt;='Resultats - informe'!$D$26)*(C4835&lt;='Resultats - informe'!$E$26),0,(C4835&gt;='Resultats - informe'!$D$27)*(C4835&lt;='Resultats - informe'!$E$27),0,(C4835&gt;='Resultats - informe'!$D$28)*(C4835&lt;='Resultats - informe'!$E$28),0,(C4835&gt;='Resultats - informe'!$D$29)*(C4835&lt;='Resultats - informe'!$E$29),0,1,1)</f>
        <v>0</v>
      </c>
      <c r="N4835" s="366">
        <f>+VLOOKUP(D4835,'Resultats - informe'!$Y$18:$AG$42,'Introducció dades consum'!K4835+1,0)</f>
        <v>0</v>
      </c>
      <c r="O4835" s="370" cm="1">
        <f t="array" ref="O4835">+_xlfn.SWITCH(MONTH(C4835),1,1,2,1,3,1,4,2,5,2,6,3,7,3,8,3,9,3,10,2,11,2,12,1,2)</f>
        <v>1</v>
      </c>
      <c r="P4835" s="43"/>
    </row>
    <row r="4836" spans="1:16" ht="18" x14ac:dyDescent="0.35">
      <c r="A4836" s="9"/>
      <c r="C4836" s="393"/>
      <c r="E4836" s="394"/>
      <c r="F4836" s="394">
        <v>0.13400000000000001</v>
      </c>
      <c r="G4836" s="394"/>
      <c r="H4836" s="8" t="s">
        <v>235</v>
      </c>
      <c r="I4836" s="368">
        <f t="shared" si="226"/>
        <v>0</v>
      </c>
      <c r="J4836" s="365">
        <f t="shared" si="225"/>
        <v>0</v>
      </c>
      <c r="K4836" s="369">
        <f t="shared" si="227"/>
        <v>6</v>
      </c>
      <c r="L4836" s="369">
        <f>+IF((C4836&gt;='Resultats - informe'!$E$16)*(C4836&lt;='Resultats - informe'!$G$16),1,0)</f>
        <v>1</v>
      </c>
      <c r="M4836" s="369" cm="1">
        <f t="array" ref="M4836">+_xlfn.IFS((C4836&gt;='Resultats - informe'!$D$26)*(C4836&lt;='Resultats - informe'!$E$26),0,(C4836&gt;='Resultats - informe'!$D$27)*(C4836&lt;='Resultats - informe'!$E$27),0,(C4836&gt;='Resultats - informe'!$D$28)*(C4836&lt;='Resultats - informe'!$E$28),0,(C4836&gt;='Resultats - informe'!$D$29)*(C4836&lt;='Resultats - informe'!$E$29),0,1,1)</f>
        <v>0</v>
      </c>
      <c r="N4836" s="366">
        <f>+VLOOKUP(D4836,'Resultats - informe'!$Y$18:$AG$42,'Introducció dades consum'!K4836+1,0)</f>
        <v>0</v>
      </c>
      <c r="O4836" s="370" cm="1">
        <f t="array" ref="O4836">+_xlfn.SWITCH(MONTH(C4836),1,1,2,1,3,1,4,2,5,2,6,3,7,3,8,3,9,3,10,2,11,2,12,1,2)</f>
        <v>1</v>
      </c>
      <c r="P4836" s="43"/>
    </row>
    <row r="4837" spans="1:16" ht="18" x14ac:dyDescent="0.35">
      <c r="A4837" s="9"/>
      <c r="C4837" s="393"/>
      <c r="E4837" s="394"/>
      <c r="F4837" s="394">
        <v>1.2490000000000001</v>
      </c>
      <c r="G4837" s="394"/>
      <c r="H4837" s="8" t="s">
        <v>235</v>
      </c>
      <c r="I4837" s="368">
        <f t="shared" si="226"/>
        <v>0</v>
      </c>
      <c r="J4837" s="365">
        <f t="shared" si="225"/>
        <v>0</v>
      </c>
      <c r="K4837" s="369">
        <f t="shared" si="227"/>
        <v>6</v>
      </c>
      <c r="L4837" s="369">
        <f>+IF((C4837&gt;='Resultats - informe'!$E$16)*(C4837&lt;='Resultats - informe'!$G$16),1,0)</f>
        <v>1</v>
      </c>
      <c r="M4837" s="369" cm="1">
        <f t="array" ref="M4837">+_xlfn.IFS((C4837&gt;='Resultats - informe'!$D$26)*(C4837&lt;='Resultats - informe'!$E$26),0,(C4837&gt;='Resultats - informe'!$D$27)*(C4837&lt;='Resultats - informe'!$E$27),0,(C4837&gt;='Resultats - informe'!$D$28)*(C4837&lt;='Resultats - informe'!$E$28),0,(C4837&gt;='Resultats - informe'!$D$29)*(C4837&lt;='Resultats - informe'!$E$29),0,1,1)</f>
        <v>0</v>
      </c>
      <c r="N4837" s="366">
        <f>+VLOOKUP(D4837,'Resultats - informe'!$Y$18:$AG$42,'Introducció dades consum'!K4837+1,0)</f>
        <v>0</v>
      </c>
      <c r="O4837" s="370" cm="1">
        <f t="array" ref="O4837">+_xlfn.SWITCH(MONTH(C4837),1,1,2,1,3,1,4,2,5,2,6,3,7,3,8,3,9,3,10,2,11,2,12,1,2)</f>
        <v>1</v>
      </c>
      <c r="P4837" s="43"/>
    </row>
    <row r="4838" spans="1:16" ht="18" x14ac:dyDescent="0.35">
      <c r="A4838" s="9"/>
      <c r="C4838" s="393"/>
      <c r="E4838" s="394"/>
      <c r="F4838" s="394">
        <v>2.2789999999999999</v>
      </c>
      <c r="G4838" s="394"/>
      <c r="H4838" s="8" t="s">
        <v>235</v>
      </c>
      <c r="I4838" s="368">
        <f t="shared" si="226"/>
        <v>0</v>
      </c>
      <c r="J4838" s="365">
        <f t="shared" si="225"/>
        <v>0</v>
      </c>
      <c r="K4838" s="369">
        <f t="shared" si="227"/>
        <v>6</v>
      </c>
      <c r="L4838" s="369">
        <f>+IF((C4838&gt;='Resultats - informe'!$E$16)*(C4838&lt;='Resultats - informe'!$G$16),1,0)</f>
        <v>1</v>
      </c>
      <c r="M4838" s="369" cm="1">
        <f t="array" ref="M4838">+_xlfn.IFS((C4838&gt;='Resultats - informe'!$D$26)*(C4838&lt;='Resultats - informe'!$E$26),0,(C4838&gt;='Resultats - informe'!$D$27)*(C4838&lt;='Resultats - informe'!$E$27),0,(C4838&gt;='Resultats - informe'!$D$28)*(C4838&lt;='Resultats - informe'!$E$28),0,(C4838&gt;='Resultats - informe'!$D$29)*(C4838&lt;='Resultats - informe'!$E$29),0,1,1)</f>
        <v>0</v>
      </c>
      <c r="N4838" s="366">
        <f>+VLOOKUP(D4838,'Resultats - informe'!$Y$18:$AG$42,'Introducció dades consum'!K4838+1,0)</f>
        <v>0</v>
      </c>
      <c r="O4838" s="370" cm="1">
        <f t="array" ref="O4838">+_xlfn.SWITCH(MONTH(C4838),1,1,2,1,3,1,4,2,5,2,6,3,7,3,8,3,9,3,10,2,11,2,12,1,2)</f>
        <v>1</v>
      </c>
      <c r="P4838" s="43"/>
    </row>
    <row r="4839" spans="1:16" ht="18" x14ac:dyDescent="0.35">
      <c r="A4839" s="9"/>
      <c r="C4839" s="393"/>
      <c r="E4839" s="394"/>
      <c r="F4839" s="394">
        <v>2.1339999999999999</v>
      </c>
      <c r="G4839" s="394"/>
      <c r="H4839" s="8" t="s">
        <v>235</v>
      </c>
      <c r="I4839" s="368">
        <f t="shared" si="226"/>
        <v>0</v>
      </c>
      <c r="J4839" s="365">
        <f t="shared" si="225"/>
        <v>0</v>
      </c>
      <c r="K4839" s="369">
        <f t="shared" si="227"/>
        <v>6</v>
      </c>
      <c r="L4839" s="369">
        <f>+IF((C4839&gt;='Resultats - informe'!$E$16)*(C4839&lt;='Resultats - informe'!$G$16),1,0)</f>
        <v>1</v>
      </c>
      <c r="M4839" s="369" cm="1">
        <f t="array" ref="M4839">+_xlfn.IFS((C4839&gt;='Resultats - informe'!$D$26)*(C4839&lt;='Resultats - informe'!$E$26),0,(C4839&gt;='Resultats - informe'!$D$27)*(C4839&lt;='Resultats - informe'!$E$27),0,(C4839&gt;='Resultats - informe'!$D$28)*(C4839&lt;='Resultats - informe'!$E$28),0,(C4839&gt;='Resultats - informe'!$D$29)*(C4839&lt;='Resultats - informe'!$E$29),0,1,1)</f>
        <v>0</v>
      </c>
      <c r="N4839" s="366">
        <f>+VLOOKUP(D4839,'Resultats - informe'!$Y$18:$AG$42,'Introducció dades consum'!K4839+1,0)</f>
        <v>0</v>
      </c>
      <c r="O4839" s="370" cm="1">
        <f t="array" ref="O4839">+_xlfn.SWITCH(MONTH(C4839),1,1,2,1,3,1,4,2,5,2,6,3,7,3,8,3,9,3,10,2,11,2,12,1,2)</f>
        <v>1</v>
      </c>
      <c r="P4839" s="43"/>
    </row>
    <row r="4840" spans="1:16" ht="18" x14ac:dyDescent="0.35">
      <c r="A4840" s="9"/>
      <c r="C4840" s="393"/>
      <c r="E4840" s="394"/>
      <c r="F4840" s="394">
        <v>0.751</v>
      </c>
      <c r="G4840" s="394"/>
      <c r="H4840" s="8" t="s">
        <v>235</v>
      </c>
      <c r="I4840" s="368">
        <f t="shared" si="226"/>
        <v>0</v>
      </c>
      <c r="J4840" s="365">
        <f t="shared" si="225"/>
        <v>0</v>
      </c>
      <c r="K4840" s="369">
        <f t="shared" si="227"/>
        <v>6</v>
      </c>
      <c r="L4840" s="369">
        <f>+IF((C4840&gt;='Resultats - informe'!$E$16)*(C4840&lt;='Resultats - informe'!$G$16),1,0)</f>
        <v>1</v>
      </c>
      <c r="M4840" s="369" cm="1">
        <f t="array" ref="M4840">+_xlfn.IFS((C4840&gt;='Resultats - informe'!$D$26)*(C4840&lt;='Resultats - informe'!$E$26),0,(C4840&gt;='Resultats - informe'!$D$27)*(C4840&lt;='Resultats - informe'!$E$27),0,(C4840&gt;='Resultats - informe'!$D$28)*(C4840&lt;='Resultats - informe'!$E$28),0,(C4840&gt;='Resultats - informe'!$D$29)*(C4840&lt;='Resultats - informe'!$E$29),0,1,1)</f>
        <v>0</v>
      </c>
      <c r="N4840" s="366">
        <f>+VLOOKUP(D4840,'Resultats - informe'!$Y$18:$AG$42,'Introducció dades consum'!K4840+1,0)</f>
        <v>0</v>
      </c>
      <c r="O4840" s="370" cm="1">
        <f t="array" ref="O4840">+_xlfn.SWITCH(MONTH(C4840),1,1,2,1,3,1,4,2,5,2,6,3,7,3,8,3,9,3,10,2,11,2,12,1,2)</f>
        <v>1</v>
      </c>
      <c r="P4840" s="43"/>
    </row>
    <row r="4841" spans="1:16" ht="18" x14ac:dyDescent="0.35">
      <c r="A4841" s="9"/>
      <c r="C4841" s="393"/>
      <c r="E4841" s="394"/>
      <c r="F4841" s="394">
        <v>4.7750000000000004</v>
      </c>
      <c r="G4841" s="394"/>
      <c r="H4841" s="8" t="s">
        <v>235</v>
      </c>
      <c r="I4841" s="368">
        <f t="shared" si="226"/>
        <v>0</v>
      </c>
      <c r="J4841" s="365">
        <f t="shared" si="225"/>
        <v>0</v>
      </c>
      <c r="K4841" s="369">
        <f t="shared" si="227"/>
        <v>6</v>
      </c>
      <c r="L4841" s="369">
        <f>+IF((C4841&gt;='Resultats - informe'!$E$16)*(C4841&lt;='Resultats - informe'!$G$16),1,0)</f>
        <v>1</v>
      </c>
      <c r="M4841" s="369" cm="1">
        <f t="array" ref="M4841">+_xlfn.IFS((C4841&gt;='Resultats - informe'!$D$26)*(C4841&lt;='Resultats - informe'!$E$26),0,(C4841&gt;='Resultats - informe'!$D$27)*(C4841&lt;='Resultats - informe'!$E$27),0,(C4841&gt;='Resultats - informe'!$D$28)*(C4841&lt;='Resultats - informe'!$E$28),0,(C4841&gt;='Resultats - informe'!$D$29)*(C4841&lt;='Resultats - informe'!$E$29),0,1,1)</f>
        <v>0</v>
      </c>
      <c r="N4841" s="366">
        <f>+VLOOKUP(D4841,'Resultats - informe'!$Y$18:$AG$42,'Introducció dades consum'!K4841+1,0)</f>
        <v>0</v>
      </c>
      <c r="O4841" s="370" cm="1">
        <f t="array" ref="O4841">+_xlfn.SWITCH(MONTH(C4841),1,1,2,1,3,1,4,2,5,2,6,3,7,3,8,3,9,3,10,2,11,2,12,1,2)</f>
        <v>1</v>
      </c>
      <c r="P4841" s="43"/>
    </row>
    <row r="4842" spans="1:16" ht="18" x14ac:dyDescent="0.35">
      <c r="A4842" s="9"/>
      <c r="C4842" s="393"/>
      <c r="E4842" s="394"/>
      <c r="F4842" s="394">
        <v>6.2249999999999996</v>
      </c>
      <c r="G4842" s="394"/>
      <c r="H4842" s="8" t="s">
        <v>235</v>
      </c>
      <c r="I4842" s="368">
        <f t="shared" si="226"/>
        <v>0</v>
      </c>
      <c r="J4842" s="365">
        <f t="shared" si="225"/>
        <v>0</v>
      </c>
      <c r="K4842" s="369">
        <f t="shared" si="227"/>
        <v>6</v>
      </c>
      <c r="L4842" s="369">
        <f>+IF((C4842&gt;='Resultats - informe'!$E$16)*(C4842&lt;='Resultats - informe'!$G$16),1,0)</f>
        <v>1</v>
      </c>
      <c r="M4842" s="369" cm="1">
        <f t="array" ref="M4842">+_xlfn.IFS((C4842&gt;='Resultats - informe'!$D$26)*(C4842&lt;='Resultats - informe'!$E$26),0,(C4842&gt;='Resultats - informe'!$D$27)*(C4842&lt;='Resultats - informe'!$E$27),0,(C4842&gt;='Resultats - informe'!$D$28)*(C4842&lt;='Resultats - informe'!$E$28),0,(C4842&gt;='Resultats - informe'!$D$29)*(C4842&lt;='Resultats - informe'!$E$29),0,1,1)</f>
        <v>0</v>
      </c>
      <c r="N4842" s="366">
        <f>+VLOOKUP(D4842,'Resultats - informe'!$Y$18:$AG$42,'Introducció dades consum'!K4842+1,0)</f>
        <v>0</v>
      </c>
      <c r="O4842" s="370" cm="1">
        <f t="array" ref="O4842">+_xlfn.SWITCH(MONTH(C4842),1,1,2,1,3,1,4,2,5,2,6,3,7,3,8,3,9,3,10,2,11,2,12,1,2)</f>
        <v>1</v>
      </c>
      <c r="P4842" s="43"/>
    </row>
    <row r="4843" spans="1:16" ht="18" x14ac:dyDescent="0.35">
      <c r="A4843" s="9"/>
      <c r="C4843" s="393"/>
      <c r="E4843" s="394"/>
      <c r="F4843" s="394">
        <v>3.7170000000000001</v>
      </c>
      <c r="G4843" s="394"/>
      <c r="H4843" s="8" t="s">
        <v>235</v>
      </c>
      <c r="I4843" s="368">
        <f t="shared" si="226"/>
        <v>0</v>
      </c>
      <c r="J4843" s="365">
        <f t="shared" si="225"/>
        <v>0</v>
      </c>
      <c r="K4843" s="369">
        <f t="shared" si="227"/>
        <v>6</v>
      </c>
      <c r="L4843" s="369">
        <f>+IF((C4843&gt;='Resultats - informe'!$E$16)*(C4843&lt;='Resultats - informe'!$G$16),1,0)</f>
        <v>1</v>
      </c>
      <c r="M4843" s="369" cm="1">
        <f t="array" ref="M4843">+_xlfn.IFS((C4843&gt;='Resultats - informe'!$D$26)*(C4843&lt;='Resultats - informe'!$E$26),0,(C4843&gt;='Resultats - informe'!$D$27)*(C4843&lt;='Resultats - informe'!$E$27),0,(C4843&gt;='Resultats - informe'!$D$28)*(C4843&lt;='Resultats - informe'!$E$28),0,(C4843&gt;='Resultats - informe'!$D$29)*(C4843&lt;='Resultats - informe'!$E$29),0,1,1)</f>
        <v>0</v>
      </c>
      <c r="N4843" s="366">
        <f>+VLOOKUP(D4843,'Resultats - informe'!$Y$18:$AG$42,'Introducció dades consum'!K4843+1,0)</f>
        <v>0</v>
      </c>
      <c r="O4843" s="370" cm="1">
        <f t="array" ref="O4843">+_xlfn.SWITCH(MONTH(C4843),1,1,2,1,3,1,4,2,5,2,6,3,7,3,8,3,9,3,10,2,11,2,12,1,2)</f>
        <v>1</v>
      </c>
      <c r="P4843" s="43"/>
    </row>
    <row r="4844" spans="1:16" ht="18" x14ac:dyDescent="0.35">
      <c r="A4844" s="9"/>
      <c r="C4844" s="393"/>
      <c r="E4844" s="394"/>
      <c r="F4844" s="394">
        <v>0.85199999999999998</v>
      </c>
      <c r="G4844" s="394"/>
      <c r="H4844" s="8" t="s">
        <v>235</v>
      </c>
      <c r="I4844" s="368">
        <f t="shared" si="226"/>
        <v>0</v>
      </c>
      <c r="J4844" s="365">
        <f t="shared" si="225"/>
        <v>0</v>
      </c>
      <c r="K4844" s="369">
        <f t="shared" si="227"/>
        <v>6</v>
      </c>
      <c r="L4844" s="369">
        <f>+IF((C4844&gt;='Resultats - informe'!$E$16)*(C4844&lt;='Resultats - informe'!$G$16),1,0)</f>
        <v>1</v>
      </c>
      <c r="M4844" s="369" cm="1">
        <f t="array" ref="M4844">+_xlfn.IFS((C4844&gt;='Resultats - informe'!$D$26)*(C4844&lt;='Resultats - informe'!$E$26),0,(C4844&gt;='Resultats - informe'!$D$27)*(C4844&lt;='Resultats - informe'!$E$27),0,(C4844&gt;='Resultats - informe'!$D$28)*(C4844&lt;='Resultats - informe'!$E$28),0,(C4844&gt;='Resultats - informe'!$D$29)*(C4844&lt;='Resultats - informe'!$E$29),0,1,1)</f>
        <v>0</v>
      </c>
      <c r="N4844" s="366">
        <f>+VLOOKUP(D4844,'Resultats - informe'!$Y$18:$AG$42,'Introducció dades consum'!K4844+1,0)</f>
        <v>0</v>
      </c>
      <c r="O4844" s="370" cm="1">
        <f t="array" ref="O4844">+_xlfn.SWITCH(MONTH(C4844),1,1,2,1,3,1,4,2,5,2,6,3,7,3,8,3,9,3,10,2,11,2,12,1,2)</f>
        <v>1</v>
      </c>
      <c r="P4844" s="43"/>
    </row>
    <row r="4845" spans="1:16" ht="18" x14ac:dyDescent="0.35">
      <c r="A4845" s="9"/>
      <c r="C4845" s="393"/>
      <c r="E4845" s="394"/>
      <c r="F4845" s="394">
        <v>0</v>
      </c>
      <c r="G4845" s="394"/>
      <c r="H4845" s="8" t="s">
        <v>235</v>
      </c>
      <c r="I4845" s="368">
        <f t="shared" si="226"/>
        <v>0</v>
      </c>
      <c r="J4845" s="365">
        <f t="shared" si="225"/>
        <v>0</v>
      </c>
      <c r="K4845" s="369">
        <f t="shared" si="227"/>
        <v>6</v>
      </c>
      <c r="L4845" s="369">
        <f>+IF((C4845&gt;='Resultats - informe'!$E$16)*(C4845&lt;='Resultats - informe'!$G$16),1,0)</f>
        <v>1</v>
      </c>
      <c r="M4845" s="369" cm="1">
        <f t="array" ref="M4845">+_xlfn.IFS((C4845&gt;='Resultats - informe'!$D$26)*(C4845&lt;='Resultats - informe'!$E$26),0,(C4845&gt;='Resultats - informe'!$D$27)*(C4845&lt;='Resultats - informe'!$E$27),0,(C4845&gt;='Resultats - informe'!$D$28)*(C4845&lt;='Resultats - informe'!$E$28),0,(C4845&gt;='Resultats - informe'!$D$29)*(C4845&lt;='Resultats - informe'!$E$29),0,1,1)</f>
        <v>0</v>
      </c>
      <c r="N4845" s="366">
        <f>+VLOOKUP(D4845,'Resultats - informe'!$Y$18:$AG$42,'Introducció dades consum'!K4845+1,0)</f>
        <v>0</v>
      </c>
      <c r="O4845" s="370" cm="1">
        <f t="array" ref="O4845">+_xlfn.SWITCH(MONTH(C4845),1,1,2,1,3,1,4,2,5,2,6,3,7,3,8,3,9,3,10,2,11,2,12,1,2)</f>
        <v>1</v>
      </c>
      <c r="P4845" s="43"/>
    </row>
    <row r="4846" spans="1:16" ht="18" x14ac:dyDescent="0.35">
      <c r="A4846" s="9"/>
      <c r="C4846" s="393"/>
      <c r="E4846" s="394"/>
      <c r="F4846" s="394">
        <v>0.376</v>
      </c>
      <c r="G4846" s="394"/>
      <c r="H4846" s="8" t="s">
        <v>235</v>
      </c>
      <c r="I4846" s="368">
        <f t="shared" si="226"/>
        <v>0</v>
      </c>
      <c r="J4846" s="365">
        <f t="shared" si="225"/>
        <v>0</v>
      </c>
      <c r="K4846" s="369">
        <f t="shared" si="227"/>
        <v>6</v>
      </c>
      <c r="L4846" s="369">
        <f>+IF((C4846&gt;='Resultats - informe'!$E$16)*(C4846&lt;='Resultats - informe'!$G$16),1,0)</f>
        <v>1</v>
      </c>
      <c r="M4846" s="369" cm="1">
        <f t="array" ref="M4846">+_xlfn.IFS((C4846&gt;='Resultats - informe'!$D$26)*(C4846&lt;='Resultats - informe'!$E$26),0,(C4846&gt;='Resultats - informe'!$D$27)*(C4846&lt;='Resultats - informe'!$E$27),0,(C4846&gt;='Resultats - informe'!$D$28)*(C4846&lt;='Resultats - informe'!$E$28),0,(C4846&gt;='Resultats - informe'!$D$29)*(C4846&lt;='Resultats - informe'!$E$29),0,1,1)</f>
        <v>0</v>
      </c>
      <c r="N4846" s="366">
        <f>+VLOOKUP(D4846,'Resultats - informe'!$Y$18:$AG$42,'Introducció dades consum'!K4846+1,0)</f>
        <v>0</v>
      </c>
      <c r="O4846" s="370" cm="1">
        <f t="array" ref="O4846">+_xlfn.SWITCH(MONTH(C4846),1,1,2,1,3,1,4,2,5,2,6,3,7,3,8,3,9,3,10,2,11,2,12,1,2)</f>
        <v>1</v>
      </c>
      <c r="P4846" s="43"/>
    </row>
    <row r="4847" spans="1:16" ht="18" x14ac:dyDescent="0.35">
      <c r="A4847" s="9"/>
      <c r="C4847" s="393"/>
      <c r="E4847" s="394"/>
      <c r="F4847" s="394">
        <v>0.96699999999999997</v>
      </c>
      <c r="G4847" s="394"/>
      <c r="H4847" s="8" t="s">
        <v>235</v>
      </c>
      <c r="I4847" s="368">
        <f t="shared" si="226"/>
        <v>0</v>
      </c>
      <c r="J4847" s="365">
        <f t="shared" si="225"/>
        <v>0</v>
      </c>
      <c r="K4847" s="369">
        <f t="shared" si="227"/>
        <v>6</v>
      </c>
      <c r="L4847" s="369">
        <f>+IF((C4847&gt;='Resultats - informe'!$E$16)*(C4847&lt;='Resultats - informe'!$G$16),1,0)</f>
        <v>1</v>
      </c>
      <c r="M4847" s="369" cm="1">
        <f t="array" ref="M4847">+_xlfn.IFS((C4847&gt;='Resultats - informe'!$D$26)*(C4847&lt;='Resultats - informe'!$E$26),0,(C4847&gt;='Resultats - informe'!$D$27)*(C4847&lt;='Resultats - informe'!$E$27),0,(C4847&gt;='Resultats - informe'!$D$28)*(C4847&lt;='Resultats - informe'!$E$28),0,(C4847&gt;='Resultats - informe'!$D$29)*(C4847&lt;='Resultats - informe'!$E$29),0,1,1)</f>
        <v>0</v>
      </c>
      <c r="N4847" s="366">
        <f>+VLOOKUP(D4847,'Resultats - informe'!$Y$18:$AG$42,'Introducció dades consum'!K4847+1,0)</f>
        <v>0</v>
      </c>
      <c r="O4847" s="370" cm="1">
        <f t="array" ref="O4847">+_xlfn.SWITCH(MONTH(C4847),1,1,2,1,3,1,4,2,5,2,6,3,7,3,8,3,9,3,10,2,11,2,12,1,2)</f>
        <v>1</v>
      </c>
      <c r="P4847" s="43"/>
    </row>
    <row r="4848" spans="1:16" ht="18" x14ac:dyDescent="0.35">
      <c r="A4848" s="9"/>
      <c r="C4848" s="393"/>
      <c r="E4848" s="394"/>
      <c r="F4848" s="394">
        <v>0</v>
      </c>
      <c r="G4848" s="394"/>
      <c r="H4848" s="8" t="s">
        <v>235</v>
      </c>
      <c r="I4848" s="368">
        <f t="shared" si="226"/>
        <v>0</v>
      </c>
      <c r="J4848" s="365">
        <f t="shared" si="225"/>
        <v>0</v>
      </c>
      <c r="K4848" s="369">
        <f t="shared" si="227"/>
        <v>6</v>
      </c>
      <c r="L4848" s="369">
        <f>+IF((C4848&gt;='Resultats - informe'!$E$16)*(C4848&lt;='Resultats - informe'!$G$16),1,0)</f>
        <v>1</v>
      </c>
      <c r="M4848" s="369" cm="1">
        <f t="array" ref="M4848">+_xlfn.IFS((C4848&gt;='Resultats - informe'!$D$26)*(C4848&lt;='Resultats - informe'!$E$26),0,(C4848&gt;='Resultats - informe'!$D$27)*(C4848&lt;='Resultats - informe'!$E$27),0,(C4848&gt;='Resultats - informe'!$D$28)*(C4848&lt;='Resultats - informe'!$E$28),0,(C4848&gt;='Resultats - informe'!$D$29)*(C4848&lt;='Resultats - informe'!$E$29),0,1,1)</f>
        <v>0</v>
      </c>
      <c r="N4848" s="366">
        <f>+VLOOKUP(D4848,'Resultats - informe'!$Y$18:$AG$42,'Introducció dades consum'!K4848+1,0)</f>
        <v>0</v>
      </c>
      <c r="O4848" s="370" cm="1">
        <f t="array" ref="O4848">+_xlfn.SWITCH(MONTH(C4848),1,1,2,1,3,1,4,2,5,2,6,3,7,3,8,3,9,3,10,2,11,2,12,1,2)</f>
        <v>1</v>
      </c>
      <c r="P4848" s="43"/>
    </row>
    <row r="4849" spans="1:16" ht="18" x14ac:dyDescent="0.35">
      <c r="A4849" s="9"/>
      <c r="C4849" s="393"/>
      <c r="E4849" s="394"/>
      <c r="F4849" s="394">
        <v>0</v>
      </c>
      <c r="G4849" s="394"/>
      <c r="H4849" s="8" t="s">
        <v>235</v>
      </c>
      <c r="I4849" s="368">
        <f t="shared" si="226"/>
        <v>0</v>
      </c>
      <c r="J4849" s="365">
        <f t="shared" si="225"/>
        <v>0</v>
      </c>
      <c r="K4849" s="369">
        <f t="shared" si="227"/>
        <v>6</v>
      </c>
      <c r="L4849" s="369">
        <f>+IF((C4849&gt;='Resultats - informe'!$E$16)*(C4849&lt;='Resultats - informe'!$G$16),1,0)</f>
        <v>1</v>
      </c>
      <c r="M4849" s="369" cm="1">
        <f t="array" ref="M4849">+_xlfn.IFS((C4849&gt;='Resultats - informe'!$D$26)*(C4849&lt;='Resultats - informe'!$E$26),0,(C4849&gt;='Resultats - informe'!$D$27)*(C4849&lt;='Resultats - informe'!$E$27),0,(C4849&gt;='Resultats - informe'!$D$28)*(C4849&lt;='Resultats - informe'!$E$28),0,(C4849&gt;='Resultats - informe'!$D$29)*(C4849&lt;='Resultats - informe'!$E$29),0,1,1)</f>
        <v>0</v>
      </c>
      <c r="N4849" s="366">
        <f>+VLOOKUP(D4849,'Resultats - informe'!$Y$18:$AG$42,'Introducció dades consum'!K4849+1,0)</f>
        <v>0</v>
      </c>
      <c r="O4849" s="370" cm="1">
        <f t="array" ref="O4849">+_xlfn.SWITCH(MONTH(C4849),1,1,2,1,3,1,4,2,5,2,6,3,7,3,8,3,9,3,10,2,11,2,12,1,2)</f>
        <v>1</v>
      </c>
      <c r="P4849" s="43"/>
    </row>
    <row r="4850" spans="1:16" ht="18" x14ac:dyDescent="0.35">
      <c r="A4850" s="9"/>
      <c r="C4850" s="393"/>
      <c r="E4850" s="394"/>
      <c r="F4850" s="394">
        <v>0</v>
      </c>
      <c r="G4850" s="394"/>
      <c r="H4850" s="8" t="s">
        <v>235</v>
      </c>
      <c r="I4850" s="368">
        <f t="shared" si="226"/>
        <v>0</v>
      </c>
      <c r="J4850" s="365">
        <f t="shared" si="225"/>
        <v>0</v>
      </c>
      <c r="K4850" s="369">
        <f t="shared" si="227"/>
        <v>6</v>
      </c>
      <c r="L4850" s="369">
        <f>+IF((C4850&gt;='Resultats - informe'!$E$16)*(C4850&lt;='Resultats - informe'!$G$16),1,0)</f>
        <v>1</v>
      </c>
      <c r="M4850" s="369" cm="1">
        <f t="array" ref="M4850">+_xlfn.IFS((C4850&gt;='Resultats - informe'!$D$26)*(C4850&lt;='Resultats - informe'!$E$26),0,(C4850&gt;='Resultats - informe'!$D$27)*(C4850&lt;='Resultats - informe'!$E$27),0,(C4850&gt;='Resultats - informe'!$D$28)*(C4850&lt;='Resultats - informe'!$E$28),0,(C4850&gt;='Resultats - informe'!$D$29)*(C4850&lt;='Resultats - informe'!$E$29),0,1,1)</f>
        <v>0</v>
      </c>
      <c r="N4850" s="366">
        <f>+VLOOKUP(D4850,'Resultats - informe'!$Y$18:$AG$42,'Introducció dades consum'!K4850+1,0)</f>
        <v>0</v>
      </c>
      <c r="O4850" s="370" cm="1">
        <f t="array" ref="O4850">+_xlfn.SWITCH(MONTH(C4850),1,1,2,1,3,1,4,2,5,2,6,3,7,3,8,3,9,3,10,2,11,2,12,1,2)</f>
        <v>1</v>
      </c>
      <c r="P4850" s="43"/>
    </row>
    <row r="4851" spans="1:16" ht="18" x14ac:dyDescent="0.35">
      <c r="A4851" s="9"/>
      <c r="C4851" s="393"/>
      <c r="E4851" s="394"/>
      <c r="F4851" s="394">
        <v>0</v>
      </c>
      <c r="G4851" s="394"/>
      <c r="H4851" s="8" t="s">
        <v>235</v>
      </c>
      <c r="I4851" s="368">
        <f t="shared" si="226"/>
        <v>0</v>
      </c>
      <c r="J4851" s="365">
        <f t="shared" si="225"/>
        <v>0</v>
      </c>
      <c r="K4851" s="369">
        <f t="shared" si="227"/>
        <v>6</v>
      </c>
      <c r="L4851" s="369">
        <f>+IF((C4851&gt;='Resultats - informe'!$E$16)*(C4851&lt;='Resultats - informe'!$G$16),1,0)</f>
        <v>1</v>
      </c>
      <c r="M4851" s="369" cm="1">
        <f t="array" ref="M4851">+_xlfn.IFS((C4851&gt;='Resultats - informe'!$D$26)*(C4851&lt;='Resultats - informe'!$E$26),0,(C4851&gt;='Resultats - informe'!$D$27)*(C4851&lt;='Resultats - informe'!$E$27),0,(C4851&gt;='Resultats - informe'!$D$28)*(C4851&lt;='Resultats - informe'!$E$28),0,(C4851&gt;='Resultats - informe'!$D$29)*(C4851&lt;='Resultats - informe'!$E$29),0,1,1)</f>
        <v>0</v>
      </c>
      <c r="N4851" s="366">
        <f>+VLOOKUP(D4851,'Resultats - informe'!$Y$18:$AG$42,'Introducció dades consum'!K4851+1,0)</f>
        <v>0</v>
      </c>
      <c r="O4851" s="370" cm="1">
        <f t="array" ref="O4851">+_xlfn.SWITCH(MONTH(C4851),1,1,2,1,3,1,4,2,5,2,6,3,7,3,8,3,9,3,10,2,11,2,12,1,2)</f>
        <v>1</v>
      </c>
      <c r="P4851" s="43"/>
    </row>
    <row r="4852" spans="1:16" ht="18" x14ac:dyDescent="0.35">
      <c r="A4852" s="9"/>
      <c r="C4852" s="393"/>
      <c r="E4852" s="394"/>
      <c r="F4852" s="394">
        <v>0</v>
      </c>
      <c r="G4852" s="394"/>
      <c r="H4852" s="8" t="s">
        <v>235</v>
      </c>
      <c r="I4852" s="368">
        <f t="shared" si="226"/>
        <v>0</v>
      </c>
      <c r="J4852" s="365">
        <f t="shared" si="225"/>
        <v>0</v>
      </c>
      <c r="K4852" s="369">
        <f t="shared" si="227"/>
        <v>6</v>
      </c>
      <c r="L4852" s="369">
        <f>+IF((C4852&gt;='Resultats - informe'!$E$16)*(C4852&lt;='Resultats - informe'!$G$16),1,0)</f>
        <v>1</v>
      </c>
      <c r="M4852" s="369" cm="1">
        <f t="array" ref="M4852">+_xlfn.IFS((C4852&gt;='Resultats - informe'!$D$26)*(C4852&lt;='Resultats - informe'!$E$26),0,(C4852&gt;='Resultats - informe'!$D$27)*(C4852&lt;='Resultats - informe'!$E$27),0,(C4852&gt;='Resultats - informe'!$D$28)*(C4852&lt;='Resultats - informe'!$E$28),0,(C4852&gt;='Resultats - informe'!$D$29)*(C4852&lt;='Resultats - informe'!$E$29),0,1,1)</f>
        <v>0</v>
      </c>
      <c r="N4852" s="366">
        <f>+VLOOKUP(D4852,'Resultats - informe'!$Y$18:$AG$42,'Introducció dades consum'!K4852+1,0)</f>
        <v>0</v>
      </c>
      <c r="O4852" s="370" cm="1">
        <f t="array" ref="O4852">+_xlfn.SWITCH(MONTH(C4852),1,1,2,1,3,1,4,2,5,2,6,3,7,3,8,3,9,3,10,2,11,2,12,1,2)</f>
        <v>1</v>
      </c>
      <c r="P4852" s="43"/>
    </row>
    <row r="4853" spans="1:16" ht="18" x14ac:dyDescent="0.35">
      <c r="A4853" s="9"/>
      <c r="C4853" s="393"/>
      <c r="E4853" s="394"/>
      <c r="F4853" s="394">
        <v>0</v>
      </c>
      <c r="G4853" s="394"/>
      <c r="H4853" s="8" t="s">
        <v>235</v>
      </c>
      <c r="I4853" s="368">
        <f t="shared" si="226"/>
        <v>0</v>
      </c>
      <c r="J4853" s="365">
        <f t="shared" si="225"/>
        <v>0</v>
      </c>
      <c r="K4853" s="369">
        <f t="shared" si="227"/>
        <v>6</v>
      </c>
      <c r="L4853" s="369">
        <f>+IF((C4853&gt;='Resultats - informe'!$E$16)*(C4853&lt;='Resultats - informe'!$G$16),1,0)</f>
        <v>1</v>
      </c>
      <c r="M4853" s="369" cm="1">
        <f t="array" ref="M4853">+_xlfn.IFS((C4853&gt;='Resultats - informe'!$D$26)*(C4853&lt;='Resultats - informe'!$E$26),0,(C4853&gt;='Resultats - informe'!$D$27)*(C4853&lt;='Resultats - informe'!$E$27),0,(C4853&gt;='Resultats - informe'!$D$28)*(C4853&lt;='Resultats - informe'!$E$28),0,(C4853&gt;='Resultats - informe'!$D$29)*(C4853&lt;='Resultats - informe'!$E$29),0,1,1)</f>
        <v>0</v>
      </c>
      <c r="N4853" s="366">
        <f>+VLOOKUP(D4853,'Resultats - informe'!$Y$18:$AG$42,'Introducció dades consum'!K4853+1,0)</f>
        <v>0</v>
      </c>
      <c r="O4853" s="370" cm="1">
        <f t="array" ref="O4853">+_xlfn.SWITCH(MONTH(C4853),1,1,2,1,3,1,4,2,5,2,6,3,7,3,8,3,9,3,10,2,11,2,12,1,2)</f>
        <v>1</v>
      </c>
      <c r="P4853" s="43"/>
    </row>
    <row r="4854" spans="1:16" ht="18" x14ac:dyDescent="0.35">
      <c r="A4854" s="9"/>
      <c r="C4854" s="393"/>
      <c r="E4854" s="394"/>
      <c r="F4854" s="394">
        <v>0</v>
      </c>
      <c r="G4854" s="394"/>
      <c r="H4854" s="8" t="s">
        <v>235</v>
      </c>
      <c r="I4854" s="368">
        <f t="shared" si="226"/>
        <v>0</v>
      </c>
      <c r="J4854" s="365">
        <f t="shared" si="225"/>
        <v>0</v>
      </c>
      <c r="K4854" s="369">
        <f t="shared" si="227"/>
        <v>6</v>
      </c>
      <c r="L4854" s="369">
        <f>+IF((C4854&gt;='Resultats - informe'!$E$16)*(C4854&lt;='Resultats - informe'!$G$16),1,0)</f>
        <v>1</v>
      </c>
      <c r="M4854" s="369" cm="1">
        <f t="array" ref="M4854">+_xlfn.IFS((C4854&gt;='Resultats - informe'!$D$26)*(C4854&lt;='Resultats - informe'!$E$26),0,(C4854&gt;='Resultats - informe'!$D$27)*(C4854&lt;='Resultats - informe'!$E$27),0,(C4854&gt;='Resultats - informe'!$D$28)*(C4854&lt;='Resultats - informe'!$E$28),0,(C4854&gt;='Resultats - informe'!$D$29)*(C4854&lt;='Resultats - informe'!$E$29),0,1,1)</f>
        <v>0</v>
      </c>
      <c r="N4854" s="366">
        <f>+VLOOKUP(D4854,'Resultats - informe'!$Y$18:$AG$42,'Introducció dades consum'!K4854+1,0)</f>
        <v>0</v>
      </c>
      <c r="O4854" s="370" cm="1">
        <f t="array" ref="O4854">+_xlfn.SWITCH(MONTH(C4854),1,1,2,1,3,1,4,2,5,2,6,3,7,3,8,3,9,3,10,2,11,2,12,1,2)</f>
        <v>1</v>
      </c>
      <c r="P4854" s="43"/>
    </row>
    <row r="4855" spans="1:16" ht="18" x14ac:dyDescent="0.35">
      <c r="A4855" s="9"/>
      <c r="C4855" s="393"/>
      <c r="E4855" s="394"/>
      <c r="F4855" s="394">
        <v>0</v>
      </c>
      <c r="G4855" s="394"/>
      <c r="H4855" s="8" t="s">
        <v>235</v>
      </c>
      <c r="I4855" s="368">
        <f t="shared" si="226"/>
        <v>0</v>
      </c>
      <c r="J4855" s="365">
        <f t="shared" si="225"/>
        <v>0</v>
      </c>
      <c r="K4855" s="369">
        <f t="shared" si="227"/>
        <v>6</v>
      </c>
      <c r="L4855" s="369">
        <f>+IF((C4855&gt;='Resultats - informe'!$E$16)*(C4855&lt;='Resultats - informe'!$G$16),1,0)</f>
        <v>1</v>
      </c>
      <c r="M4855" s="369" cm="1">
        <f t="array" ref="M4855">+_xlfn.IFS((C4855&gt;='Resultats - informe'!$D$26)*(C4855&lt;='Resultats - informe'!$E$26),0,(C4855&gt;='Resultats - informe'!$D$27)*(C4855&lt;='Resultats - informe'!$E$27),0,(C4855&gt;='Resultats - informe'!$D$28)*(C4855&lt;='Resultats - informe'!$E$28),0,(C4855&gt;='Resultats - informe'!$D$29)*(C4855&lt;='Resultats - informe'!$E$29),0,1,1)</f>
        <v>0</v>
      </c>
      <c r="N4855" s="366">
        <f>+VLOOKUP(D4855,'Resultats - informe'!$Y$18:$AG$42,'Introducció dades consum'!K4855+1,0)</f>
        <v>0</v>
      </c>
      <c r="O4855" s="370" cm="1">
        <f t="array" ref="O4855">+_xlfn.SWITCH(MONTH(C4855),1,1,2,1,3,1,4,2,5,2,6,3,7,3,8,3,9,3,10,2,11,2,12,1,2)</f>
        <v>1</v>
      </c>
      <c r="P4855" s="43"/>
    </row>
    <row r="4856" spans="1:16" ht="18" x14ac:dyDescent="0.35">
      <c r="A4856" s="9"/>
      <c r="C4856" s="393"/>
      <c r="E4856" s="394"/>
      <c r="F4856" s="394">
        <v>0</v>
      </c>
      <c r="G4856" s="394"/>
      <c r="H4856" s="8" t="s">
        <v>235</v>
      </c>
      <c r="I4856" s="368">
        <f t="shared" si="226"/>
        <v>0</v>
      </c>
      <c r="J4856" s="365">
        <f t="shared" si="225"/>
        <v>0</v>
      </c>
      <c r="K4856" s="369">
        <f t="shared" si="227"/>
        <v>6</v>
      </c>
      <c r="L4856" s="369">
        <f>+IF((C4856&gt;='Resultats - informe'!$E$16)*(C4856&lt;='Resultats - informe'!$G$16),1,0)</f>
        <v>1</v>
      </c>
      <c r="M4856" s="369" cm="1">
        <f t="array" ref="M4856">+_xlfn.IFS((C4856&gt;='Resultats - informe'!$D$26)*(C4856&lt;='Resultats - informe'!$E$26),0,(C4856&gt;='Resultats - informe'!$D$27)*(C4856&lt;='Resultats - informe'!$E$27),0,(C4856&gt;='Resultats - informe'!$D$28)*(C4856&lt;='Resultats - informe'!$E$28),0,(C4856&gt;='Resultats - informe'!$D$29)*(C4856&lt;='Resultats - informe'!$E$29),0,1,1)</f>
        <v>0</v>
      </c>
      <c r="N4856" s="366">
        <f>+VLOOKUP(D4856,'Resultats - informe'!$Y$18:$AG$42,'Introducció dades consum'!K4856+1,0)</f>
        <v>0</v>
      </c>
      <c r="O4856" s="370" cm="1">
        <f t="array" ref="O4856">+_xlfn.SWITCH(MONTH(C4856),1,1,2,1,3,1,4,2,5,2,6,3,7,3,8,3,9,3,10,2,11,2,12,1,2)</f>
        <v>1</v>
      </c>
      <c r="P4856" s="43"/>
    </row>
    <row r="4857" spans="1:16" ht="18" x14ac:dyDescent="0.35">
      <c r="A4857" s="9"/>
      <c r="C4857" s="393"/>
      <c r="E4857" s="394"/>
      <c r="F4857" s="394">
        <v>0</v>
      </c>
      <c r="G4857" s="394"/>
      <c r="H4857" s="8" t="s">
        <v>235</v>
      </c>
      <c r="I4857" s="368">
        <f t="shared" si="226"/>
        <v>0</v>
      </c>
      <c r="J4857" s="365">
        <f t="shared" si="225"/>
        <v>0</v>
      </c>
      <c r="K4857" s="369">
        <f t="shared" si="227"/>
        <v>6</v>
      </c>
      <c r="L4857" s="369">
        <f>+IF((C4857&gt;='Resultats - informe'!$E$16)*(C4857&lt;='Resultats - informe'!$G$16),1,0)</f>
        <v>1</v>
      </c>
      <c r="M4857" s="369" cm="1">
        <f t="array" ref="M4857">+_xlfn.IFS((C4857&gt;='Resultats - informe'!$D$26)*(C4857&lt;='Resultats - informe'!$E$26),0,(C4857&gt;='Resultats - informe'!$D$27)*(C4857&lt;='Resultats - informe'!$E$27),0,(C4857&gt;='Resultats - informe'!$D$28)*(C4857&lt;='Resultats - informe'!$E$28),0,(C4857&gt;='Resultats - informe'!$D$29)*(C4857&lt;='Resultats - informe'!$E$29),0,1,1)</f>
        <v>0</v>
      </c>
      <c r="N4857" s="366">
        <f>+VLOOKUP(D4857,'Resultats - informe'!$Y$18:$AG$42,'Introducció dades consum'!K4857+1,0)</f>
        <v>0</v>
      </c>
      <c r="O4857" s="370" cm="1">
        <f t="array" ref="O4857">+_xlfn.SWITCH(MONTH(C4857),1,1,2,1,3,1,4,2,5,2,6,3,7,3,8,3,9,3,10,2,11,2,12,1,2)</f>
        <v>1</v>
      </c>
      <c r="P4857" s="43"/>
    </row>
    <row r="4858" spans="1:16" ht="18" x14ac:dyDescent="0.35">
      <c r="A4858" s="9"/>
      <c r="C4858" s="393"/>
      <c r="E4858" s="394"/>
      <c r="F4858" s="394">
        <v>0</v>
      </c>
      <c r="G4858" s="394"/>
      <c r="H4858" s="8" t="s">
        <v>235</v>
      </c>
      <c r="I4858" s="368">
        <f t="shared" si="226"/>
        <v>0</v>
      </c>
      <c r="J4858" s="365">
        <f t="shared" si="225"/>
        <v>0</v>
      </c>
      <c r="K4858" s="369">
        <f t="shared" si="227"/>
        <v>6</v>
      </c>
      <c r="L4858" s="369">
        <f>+IF((C4858&gt;='Resultats - informe'!$E$16)*(C4858&lt;='Resultats - informe'!$G$16),1,0)</f>
        <v>1</v>
      </c>
      <c r="M4858" s="369" cm="1">
        <f t="array" ref="M4858">+_xlfn.IFS((C4858&gt;='Resultats - informe'!$D$26)*(C4858&lt;='Resultats - informe'!$E$26),0,(C4858&gt;='Resultats - informe'!$D$27)*(C4858&lt;='Resultats - informe'!$E$27),0,(C4858&gt;='Resultats - informe'!$D$28)*(C4858&lt;='Resultats - informe'!$E$28),0,(C4858&gt;='Resultats - informe'!$D$29)*(C4858&lt;='Resultats - informe'!$E$29),0,1,1)</f>
        <v>0</v>
      </c>
      <c r="N4858" s="366">
        <f>+VLOOKUP(D4858,'Resultats - informe'!$Y$18:$AG$42,'Introducció dades consum'!K4858+1,0)</f>
        <v>0</v>
      </c>
      <c r="O4858" s="370" cm="1">
        <f t="array" ref="O4858">+_xlfn.SWITCH(MONTH(C4858),1,1,2,1,3,1,4,2,5,2,6,3,7,3,8,3,9,3,10,2,11,2,12,1,2)</f>
        <v>1</v>
      </c>
      <c r="P4858" s="43"/>
    </row>
    <row r="4859" spans="1:16" ht="18" x14ac:dyDescent="0.35">
      <c r="A4859" s="9"/>
      <c r="C4859" s="393"/>
      <c r="E4859" s="394"/>
      <c r="F4859" s="394">
        <v>0</v>
      </c>
      <c r="G4859" s="394"/>
      <c r="H4859" s="8" t="s">
        <v>235</v>
      </c>
      <c r="I4859" s="368">
        <f t="shared" si="226"/>
        <v>0</v>
      </c>
      <c r="J4859" s="365">
        <f t="shared" ref="J4859:J4922" si="228">+C4859</f>
        <v>0</v>
      </c>
      <c r="K4859" s="369">
        <f t="shared" si="227"/>
        <v>6</v>
      </c>
      <c r="L4859" s="369">
        <f>+IF((C4859&gt;='Resultats - informe'!$E$16)*(C4859&lt;='Resultats - informe'!$G$16),1,0)</f>
        <v>1</v>
      </c>
      <c r="M4859" s="369" cm="1">
        <f t="array" ref="M4859">+_xlfn.IFS((C4859&gt;='Resultats - informe'!$D$26)*(C4859&lt;='Resultats - informe'!$E$26),0,(C4859&gt;='Resultats - informe'!$D$27)*(C4859&lt;='Resultats - informe'!$E$27),0,(C4859&gt;='Resultats - informe'!$D$28)*(C4859&lt;='Resultats - informe'!$E$28),0,(C4859&gt;='Resultats - informe'!$D$29)*(C4859&lt;='Resultats - informe'!$E$29),0,1,1)</f>
        <v>0</v>
      </c>
      <c r="N4859" s="366">
        <f>+VLOOKUP(D4859,'Resultats - informe'!$Y$18:$AG$42,'Introducció dades consum'!K4859+1,0)</f>
        <v>0</v>
      </c>
      <c r="O4859" s="370" cm="1">
        <f t="array" ref="O4859">+_xlfn.SWITCH(MONTH(C4859),1,1,2,1,3,1,4,2,5,2,6,3,7,3,8,3,9,3,10,2,11,2,12,1,2)</f>
        <v>1</v>
      </c>
      <c r="P4859" s="43"/>
    </row>
    <row r="4860" spans="1:16" ht="18" x14ac:dyDescent="0.35">
      <c r="A4860" s="9"/>
      <c r="C4860" s="393"/>
      <c r="E4860" s="394"/>
      <c r="F4860" s="394">
        <v>0</v>
      </c>
      <c r="G4860" s="394"/>
      <c r="H4860" s="8" t="s">
        <v>235</v>
      </c>
      <c r="I4860" s="368">
        <f t="shared" si="226"/>
        <v>0</v>
      </c>
      <c r="J4860" s="365">
        <f t="shared" si="228"/>
        <v>0</v>
      </c>
      <c r="K4860" s="369">
        <f t="shared" si="227"/>
        <v>6</v>
      </c>
      <c r="L4860" s="369">
        <f>+IF((C4860&gt;='Resultats - informe'!$E$16)*(C4860&lt;='Resultats - informe'!$G$16),1,0)</f>
        <v>1</v>
      </c>
      <c r="M4860" s="369" cm="1">
        <f t="array" ref="M4860">+_xlfn.IFS((C4860&gt;='Resultats - informe'!$D$26)*(C4860&lt;='Resultats - informe'!$E$26),0,(C4860&gt;='Resultats - informe'!$D$27)*(C4860&lt;='Resultats - informe'!$E$27),0,(C4860&gt;='Resultats - informe'!$D$28)*(C4860&lt;='Resultats - informe'!$E$28),0,(C4860&gt;='Resultats - informe'!$D$29)*(C4860&lt;='Resultats - informe'!$E$29),0,1,1)</f>
        <v>0</v>
      </c>
      <c r="N4860" s="366">
        <f>+VLOOKUP(D4860,'Resultats - informe'!$Y$18:$AG$42,'Introducció dades consum'!K4860+1,0)</f>
        <v>0</v>
      </c>
      <c r="O4860" s="370" cm="1">
        <f t="array" ref="O4860">+_xlfn.SWITCH(MONTH(C4860),1,1,2,1,3,1,4,2,5,2,6,3,7,3,8,3,9,3,10,2,11,2,12,1,2)</f>
        <v>1</v>
      </c>
      <c r="P4860" s="43"/>
    </row>
    <row r="4861" spans="1:16" ht="18" x14ac:dyDescent="0.35">
      <c r="A4861" s="9"/>
      <c r="C4861" s="393"/>
      <c r="E4861" s="394"/>
      <c r="F4861" s="394">
        <v>1.3440000000000001</v>
      </c>
      <c r="G4861" s="394"/>
      <c r="H4861" s="8" t="s">
        <v>235</v>
      </c>
      <c r="I4861" s="368">
        <f t="shared" si="226"/>
        <v>0</v>
      </c>
      <c r="J4861" s="365">
        <f t="shared" si="228"/>
        <v>0</v>
      </c>
      <c r="K4861" s="369">
        <f t="shared" si="227"/>
        <v>6</v>
      </c>
      <c r="L4861" s="369">
        <f>+IF((C4861&gt;='Resultats - informe'!$E$16)*(C4861&lt;='Resultats - informe'!$G$16),1,0)</f>
        <v>1</v>
      </c>
      <c r="M4861" s="369" cm="1">
        <f t="array" ref="M4861">+_xlfn.IFS((C4861&gt;='Resultats - informe'!$D$26)*(C4861&lt;='Resultats - informe'!$E$26),0,(C4861&gt;='Resultats - informe'!$D$27)*(C4861&lt;='Resultats - informe'!$E$27),0,(C4861&gt;='Resultats - informe'!$D$28)*(C4861&lt;='Resultats - informe'!$E$28),0,(C4861&gt;='Resultats - informe'!$D$29)*(C4861&lt;='Resultats - informe'!$E$29),0,1,1)</f>
        <v>0</v>
      </c>
      <c r="N4861" s="366">
        <f>+VLOOKUP(D4861,'Resultats - informe'!$Y$18:$AG$42,'Introducció dades consum'!K4861+1,0)</f>
        <v>0</v>
      </c>
      <c r="O4861" s="370" cm="1">
        <f t="array" ref="O4861">+_xlfn.SWITCH(MONTH(C4861),1,1,2,1,3,1,4,2,5,2,6,3,7,3,8,3,9,3,10,2,11,2,12,1,2)</f>
        <v>1</v>
      </c>
      <c r="P4861" s="43"/>
    </row>
    <row r="4862" spans="1:16" ht="18" x14ac:dyDescent="0.35">
      <c r="A4862" s="9"/>
      <c r="C4862" s="393"/>
      <c r="E4862" s="394"/>
      <c r="F4862" s="394">
        <v>3.2650000000000001</v>
      </c>
      <c r="G4862" s="394"/>
      <c r="H4862" s="8" t="s">
        <v>235</v>
      </c>
      <c r="I4862" s="368">
        <f t="shared" si="226"/>
        <v>0</v>
      </c>
      <c r="J4862" s="365">
        <f t="shared" si="228"/>
        <v>0</v>
      </c>
      <c r="K4862" s="369">
        <f t="shared" si="227"/>
        <v>6</v>
      </c>
      <c r="L4862" s="369">
        <f>+IF((C4862&gt;='Resultats - informe'!$E$16)*(C4862&lt;='Resultats - informe'!$G$16),1,0)</f>
        <v>1</v>
      </c>
      <c r="M4862" s="369" cm="1">
        <f t="array" ref="M4862">+_xlfn.IFS((C4862&gt;='Resultats - informe'!$D$26)*(C4862&lt;='Resultats - informe'!$E$26),0,(C4862&gt;='Resultats - informe'!$D$27)*(C4862&lt;='Resultats - informe'!$E$27),0,(C4862&gt;='Resultats - informe'!$D$28)*(C4862&lt;='Resultats - informe'!$E$28),0,(C4862&gt;='Resultats - informe'!$D$29)*(C4862&lt;='Resultats - informe'!$E$29),0,1,1)</f>
        <v>0</v>
      </c>
      <c r="N4862" s="366">
        <f>+VLOOKUP(D4862,'Resultats - informe'!$Y$18:$AG$42,'Introducció dades consum'!K4862+1,0)</f>
        <v>0</v>
      </c>
      <c r="O4862" s="370" cm="1">
        <f t="array" ref="O4862">+_xlfn.SWITCH(MONTH(C4862),1,1,2,1,3,1,4,2,5,2,6,3,7,3,8,3,9,3,10,2,11,2,12,1,2)</f>
        <v>1</v>
      </c>
      <c r="P4862" s="43"/>
    </row>
    <row r="4863" spans="1:16" ht="18" x14ac:dyDescent="0.35">
      <c r="A4863" s="9"/>
      <c r="C4863" s="393"/>
      <c r="E4863" s="394"/>
      <c r="F4863" s="394">
        <v>4.0940000000000003</v>
      </c>
      <c r="G4863" s="394"/>
      <c r="H4863" s="8" t="s">
        <v>235</v>
      </c>
      <c r="I4863" s="368">
        <f t="shared" si="226"/>
        <v>0</v>
      </c>
      <c r="J4863" s="365">
        <f t="shared" si="228"/>
        <v>0</v>
      </c>
      <c r="K4863" s="369">
        <f t="shared" si="227"/>
        <v>6</v>
      </c>
      <c r="L4863" s="369">
        <f>+IF((C4863&gt;='Resultats - informe'!$E$16)*(C4863&lt;='Resultats - informe'!$G$16),1,0)</f>
        <v>1</v>
      </c>
      <c r="M4863" s="369" cm="1">
        <f t="array" ref="M4863">+_xlfn.IFS((C4863&gt;='Resultats - informe'!$D$26)*(C4863&lt;='Resultats - informe'!$E$26),0,(C4863&gt;='Resultats - informe'!$D$27)*(C4863&lt;='Resultats - informe'!$E$27),0,(C4863&gt;='Resultats - informe'!$D$28)*(C4863&lt;='Resultats - informe'!$E$28),0,(C4863&gt;='Resultats - informe'!$D$29)*(C4863&lt;='Resultats - informe'!$E$29),0,1,1)</f>
        <v>0</v>
      </c>
      <c r="N4863" s="366">
        <f>+VLOOKUP(D4863,'Resultats - informe'!$Y$18:$AG$42,'Introducció dades consum'!K4863+1,0)</f>
        <v>0</v>
      </c>
      <c r="O4863" s="370" cm="1">
        <f t="array" ref="O4863">+_xlfn.SWITCH(MONTH(C4863),1,1,2,1,3,1,4,2,5,2,6,3,7,3,8,3,9,3,10,2,11,2,12,1,2)</f>
        <v>1</v>
      </c>
      <c r="P4863" s="43"/>
    </row>
    <row r="4864" spans="1:16" ht="18" x14ac:dyDescent="0.35">
      <c r="A4864" s="9"/>
      <c r="C4864" s="393"/>
      <c r="E4864" s="394"/>
      <c r="F4864" s="394">
        <v>4.5419999999999998</v>
      </c>
      <c r="G4864" s="394"/>
      <c r="H4864" s="8" t="s">
        <v>235</v>
      </c>
      <c r="I4864" s="368">
        <f t="shared" si="226"/>
        <v>0</v>
      </c>
      <c r="J4864" s="365">
        <f t="shared" si="228"/>
        <v>0</v>
      </c>
      <c r="K4864" s="369">
        <f t="shared" si="227"/>
        <v>6</v>
      </c>
      <c r="L4864" s="369">
        <f>+IF((C4864&gt;='Resultats - informe'!$E$16)*(C4864&lt;='Resultats - informe'!$G$16),1,0)</f>
        <v>1</v>
      </c>
      <c r="M4864" s="369" cm="1">
        <f t="array" ref="M4864">+_xlfn.IFS((C4864&gt;='Resultats - informe'!$D$26)*(C4864&lt;='Resultats - informe'!$E$26),0,(C4864&gt;='Resultats - informe'!$D$27)*(C4864&lt;='Resultats - informe'!$E$27),0,(C4864&gt;='Resultats - informe'!$D$28)*(C4864&lt;='Resultats - informe'!$E$28),0,(C4864&gt;='Resultats - informe'!$D$29)*(C4864&lt;='Resultats - informe'!$E$29),0,1,1)</f>
        <v>0</v>
      </c>
      <c r="N4864" s="366">
        <f>+VLOOKUP(D4864,'Resultats - informe'!$Y$18:$AG$42,'Introducció dades consum'!K4864+1,0)</f>
        <v>0</v>
      </c>
      <c r="O4864" s="370" cm="1">
        <f t="array" ref="O4864">+_xlfn.SWITCH(MONTH(C4864),1,1,2,1,3,1,4,2,5,2,6,3,7,3,8,3,9,3,10,2,11,2,12,1,2)</f>
        <v>1</v>
      </c>
      <c r="P4864" s="43"/>
    </row>
    <row r="4865" spans="1:16" ht="18" x14ac:dyDescent="0.35">
      <c r="A4865" s="9"/>
      <c r="C4865" s="393"/>
      <c r="E4865" s="394"/>
      <c r="F4865" s="394">
        <v>4.5419999999999998</v>
      </c>
      <c r="G4865" s="394"/>
      <c r="H4865" s="8" t="s">
        <v>235</v>
      </c>
      <c r="I4865" s="368">
        <f t="shared" si="226"/>
        <v>0</v>
      </c>
      <c r="J4865" s="365">
        <f t="shared" si="228"/>
        <v>0</v>
      </c>
      <c r="K4865" s="369">
        <f t="shared" si="227"/>
        <v>6</v>
      </c>
      <c r="L4865" s="369">
        <f>+IF((C4865&gt;='Resultats - informe'!$E$16)*(C4865&lt;='Resultats - informe'!$G$16),1,0)</f>
        <v>1</v>
      </c>
      <c r="M4865" s="369" cm="1">
        <f t="array" ref="M4865">+_xlfn.IFS((C4865&gt;='Resultats - informe'!$D$26)*(C4865&lt;='Resultats - informe'!$E$26),0,(C4865&gt;='Resultats - informe'!$D$27)*(C4865&lt;='Resultats - informe'!$E$27),0,(C4865&gt;='Resultats - informe'!$D$28)*(C4865&lt;='Resultats - informe'!$E$28),0,(C4865&gt;='Resultats - informe'!$D$29)*(C4865&lt;='Resultats - informe'!$E$29),0,1,1)</f>
        <v>0</v>
      </c>
      <c r="N4865" s="366">
        <f>+VLOOKUP(D4865,'Resultats - informe'!$Y$18:$AG$42,'Introducció dades consum'!K4865+1,0)</f>
        <v>0</v>
      </c>
      <c r="O4865" s="370" cm="1">
        <f t="array" ref="O4865">+_xlfn.SWITCH(MONTH(C4865),1,1,2,1,3,1,4,2,5,2,6,3,7,3,8,3,9,3,10,2,11,2,12,1,2)</f>
        <v>1</v>
      </c>
      <c r="P4865" s="43"/>
    </row>
    <row r="4866" spans="1:16" ht="18" x14ac:dyDescent="0.35">
      <c r="A4866" s="9"/>
      <c r="C4866" s="393"/>
      <c r="E4866" s="394"/>
      <c r="F4866" s="394">
        <v>5.9089999999999998</v>
      </c>
      <c r="G4866" s="394"/>
      <c r="H4866" s="8" t="s">
        <v>235</v>
      </c>
      <c r="I4866" s="368">
        <f t="shared" si="226"/>
        <v>0</v>
      </c>
      <c r="J4866" s="365">
        <f t="shared" si="228"/>
        <v>0</v>
      </c>
      <c r="K4866" s="369">
        <f t="shared" si="227"/>
        <v>6</v>
      </c>
      <c r="L4866" s="369">
        <f>+IF((C4866&gt;='Resultats - informe'!$E$16)*(C4866&lt;='Resultats - informe'!$G$16),1,0)</f>
        <v>1</v>
      </c>
      <c r="M4866" s="369" cm="1">
        <f t="array" ref="M4866">+_xlfn.IFS((C4866&gt;='Resultats - informe'!$D$26)*(C4866&lt;='Resultats - informe'!$E$26),0,(C4866&gt;='Resultats - informe'!$D$27)*(C4866&lt;='Resultats - informe'!$E$27),0,(C4866&gt;='Resultats - informe'!$D$28)*(C4866&lt;='Resultats - informe'!$E$28),0,(C4866&gt;='Resultats - informe'!$D$29)*(C4866&lt;='Resultats - informe'!$E$29),0,1,1)</f>
        <v>0</v>
      </c>
      <c r="N4866" s="366">
        <f>+VLOOKUP(D4866,'Resultats - informe'!$Y$18:$AG$42,'Introducció dades consum'!K4866+1,0)</f>
        <v>0</v>
      </c>
      <c r="O4866" s="370" cm="1">
        <f t="array" ref="O4866">+_xlfn.SWITCH(MONTH(C4866),1,1,2,1,3,1,4,2,5,2,6,3,7,3,8,3,9,3,10,2,11,2,12,1,2)</f>
        <v>1</v>
      </c>
      <c r="P4866" s="43"/>
    </row>
    <row r="4867" spans="1:16" ht="18" x14ac:dyDescent="0.35">
      <c r="A4867" s="9"/>
      <c r="C4867" s="393"/>
      <c r="E4867" s="394"/>
      <c r="F4867" s="394">
        <v>2.7629999999999999</v>
      </c>
      <c r="G4867" s="394"/>
      <c r="H4867" s="8" t="s">
        <v>235</v>
      </c>
      <c r="I4867" s="368">
        <f t="shared" si="226"/>
        <v>0</v>
      </c>
      <c r="J4867" s="365">
        <f t="shared" si="228"/>
        <v>0</v>
      </c>
      <c r="K4867" s="369">
        <f t="shared" si="227"/>
        <v>6</v>
      </c>
      <c r="L4867" s="369">
        <f>+IF((C4867&gt;='Resultats - informe'!$E$16)*(C4867&lt;='Resultats - informe'!$G$16),1,0)</f>
        <v>1</v>
      </c>
      <c r="M4867" s="369" cm="1">
        <f t="array" ref="M4867">+_xlfn.IFS((C4867&gt;='Resultats - informe'!$D$26)*(C4867&lt;='Resultats - informe'!$E$26),0,(C4867&gt;='Resultats - informe'!$D$27)*(C4867&lt;='Resultats - informe'!$E$27),0,(C4867&gt;='Resultats - informe'!$D$28)*(C4867&lt;='Resultats - informe'!$E$28),0,(C4867&gt;='Resultats - informe'!$D$29)*(C4867&lt;='Resultats - informe'!$E$29),0,1,1)</f>
        <v>0</v>
      </c>
      <c r="N4867" s="366">
        <f>+VLOOKUP(D4867,'Resultats - informe'!$Y$18:$AG$42,'Introducció dades consum'!K4867+1,0)</f>
        <v>0</v>
      </c>
      <c r="O4867" s="370" cm="1">
        <f t="array" ref="O4867">+_xlfn.SWITCH(MONTH(C4867),1,1,2,1,3,1,4,2,5,2,6,3,7,3,8,3,9,3,10,2,11,2,12,1,2)</f>
        <v>1</v>
      </c>
      <c r="P4867" s="43"/>
    </row>
    <row r="4868" spans="1:16" ht="18" x14ac:dyDescent="0.35">
      <c r="A4868" s="9"/>
      <c r="C4868" s="393"/>
      <c r="E4868" s="394"/>
      <c r="F4868" s="394">
        <v>2.6549999999999998</v>
      </c>
      <c r="G4868" s="394"/>
      <c r="H4868" s="8" t="s">
        <v>235</v>
      </c>
      <c r="I4868" s="368">
        <f t="shared" si="226"/>
        <v>0</v>
      </c>
      <c r="J4868" s="365">
        <f t="shared" si="228"/>
        <v>0</v>
      </c>
      <c r="K4868" s="369">
        <f t="shared" si="227"/>
        <v>6</v>
      </c>
      <c r="L4868" s="369">
        <f>+IF((C4868&gt;='Resultats - informe'!$E$16)*(C4868&lt;='Resultats - informe'!$G$16),1,0)</f>
        <v>1</v>
      </c>
      <c r="M4868" s="369" cm="1">
        <f t="array" ref="M4868">+_xlfn.IFS((C4868&gt;='Resultats - informe'!$D$26)*(C4868&lt;='Resultats - informe'!$E$26),0,(C4868&gt;='Resultats - informe'!$D$27)*(C4868&lt;='Resultats - informe'!$E$27),0,(C4868&gt;='Resultats - informe'!$D$28)*(C4868&lt;='Resultats - informe'!$E$28),0,(C4868&gt;='Resultats - informe'!$D$29)*(C4868&lt;='Resultats - informe'!$E$29),0,1,1)</f>
        <v>0</v>
      </c>
      <c r="N4868" s="366">
        <f>+VLOOKUP(D4868,'Resultats - informe'!$Y$18:$AG$42,'Introducció dades consum'!K4868+1,0)</f>
        <v>0</v>
      </c>
      <c r="O4868" s="370" cm="1">
        <f t="array" ref="O4868">+_xlfn.SWITCH(MONTH(C4868),1,1,2,1,3,1,4,2,5,2,6,3,7,3,8,3,9,3,10,2,11,2,12,1,2)</f>
        <v>1</v>
      </c>
      <c r="P4868" s="43"/>
    </row>
    <row r="4869" spans="1:16" ht="18" x14ac:dyDescent="0.35">
      <c r="A4869" s="9"/>
      <c r="C4869" s="393"/>
      <c r="E4869" s="394"/>
      <c r="F4869" s="394">
        <v>0.39800000000000002</v>
      </c>
      <c r="G4869" s="394"/>
      <c r="H4869" s="8" t="s">
        <v>235</v>
      </c>
      <c r="I4869" s="368">
        <f t="shared" si="226"/>
        <v>0</v>
      </c>
      <c r="J4869" s="365">
        <f t="shared" si="228"/>
        <v>0</v>
      </c>
      <c r="K4869" s="369">
        <f t="shared" si="227"/>
        <v>6</v>
      </c>
      <c r="L4869" s="369">
        <f>+IF((C4869&gt;='Resultats - informe'!$E$16)*(C4869&lt;='Resultats - informe'!$G$16),1,0)</f>
        <v>1</v>
      </c>
      <c r="M4869" s="369" cm="1">
        <f t="array" ref="M4869">+_xlfn.IFS((C4869&gt;='Resultats - informe'!$D$26)*(C4869&lt;='Resultats - informe'!$E$26),0,(C4869&gt;='Resultats - informe'!$D$27)*(C4869&lt;='Resultats - informe'!$E$27),0,(C4869&gt;='Resultats - informe'!$D$28)*(C4869&lt;='Resultats - informe'!$E$28),0,(C4869&gt;='Resultats - informe'!$D$29)*(C4869&lt;='Resultats - informe'!$E$29),0,1,1)</f>
        <v>0</v>
      </c>
      <c r="N4869" s="366">
        <f>+VLOOKUP(D4869,'Resultats - informe'!$Y$18:$AG$42,'Introducció dades consum'!K4869+1,0)</f>
        <v>0</v>
      </c>
      <c r="O4869" s="370" cm="1">
        <f t="array" ref="O4869">+_xlfn.SWITCH(MONTH(C4869),1,1,2,1,3,1,4,2,5,2,6,3,7,3,8,3,9,3,10,2,11,2,12,1,2)</f>
        <v>1</v>
      </c>
      <c r="P4869" s="43"/>
    </row>
    <row r="4870" spans="1:16" ht="18" x14ac:dyDescent="0.35">
      <c r="A4870" s="9"/>
      <c r="C4870" s="393"/>
      <c r="E4870" s="394"/>
      <c r="F4870" s="394">
        <v>0.192</v>
      </c>
      <c r="G4870" s="394"/>
      <c r="H4870" s="8" t="s">
        <v>235</v>
      </c>
      <c r="I4870" s="368">
        <f t="shared" ref="I4870:I4933" si="229">+E4870+G4870</f>
        <v>0</v>
      </c>
      <c r="J4870" s="365">
        <f t="shared" si="228"/>
        <v>0</v>
      </c>
      <c r="K4870" s="369">
        <f t="shared" ref="K4870:K4933" si="230">+WEEKDAY(C4870,2)</f>
        <v>6</v>
      </c>
      <c r="L4870" s="369">
        <f>+IF((C4870&gt;='Resultats - informe'!$E$16)*(C4870&lt;='Resultats - informe'!$G$16),1,0)</f>
        <v>1</v>
      </c>
      <c r="M4870" s="369" cm="1">
        <f t="array" ref="M4870">+_xlfn.IFS((C4870&gt;='Resultats - informe'!$D$26)*(C4870&lt;='Resultats - informe'!$E$26),0,(C4870&gt;='Resultats - informe'!$D$27)*(C4870&lt;='Resultats - informe'!$E$27),0,(C4870&gt;='Resultats - informe'!$D$28)*(C4870&lt;='Resultats - informe'!$E$28),0,(C4870&gt;='Resultats - informe'!$D$29)*(C4870&lt;='Resultats - informe'!$E$29),0,1,1)</f>
        <v>0</v>
      </c>
      <c r="N4870" s="366">
        <f>+VLOOKUP(D4870,'Resultats - informe'!$Y$18:$AG$42,'Introducció dades consum'!K4870+1,0)</f>
        <v>0</v>
      </c>
      <c r="O4870" s="370" cm="1">
        <f t="array" ref="O4870">+_xlfn.SWITCH(MONTH(C4870),1,1,2,1,3,1,4,2,5,2,6,3,7,3,8,3,9,3,10,2,11,2,12,1,2)</f>
        <v>1</v>
      </c>
      <c r="P4870" s="43"/>
    </row>
    <row r="4871" spans="1:16" ht="18" x14ac:dyDescent="0.35">
      <c r="A4871" s="9"/>
      <c r="C4871" s="393"/>
      <c r="E4871" s="394"/>
      <c r="F4871" s="394">
        <v>0.57299999999999995</v>
      </c>
      <c r="G4871" s="394"/>
      <c r="H4871" s="8" t="s">
        <v>235</v>
      </c>
      <c r="I4871" s="368">
        <f t="shared" si="229"/>
        <v>0</v>
      </c>
      <c r="J4871" s="365">
        <f t="shared" si="228"/>
        <v>0</v>
      </c>
      <c r="K4871" s="369">
        <f t="shared" si="230"/>
        <v>6</v>
      </c>
      <c r="L4871" s="369">
        <f>+IF((C4871&gt;='Resultats - informe'!$E$16)*(C4871&lt;='Resultats - informe'!$G$16),1,0)</f>
        <v>1</v>
      </c>
      <c r="M4871" s="369" cm="1">
        <f t="array" ref="M4871">+_xlfn.IFS((C4871&gt;='Resultats - informe'!$D$26)*(C4871&lt;='Resultats - informe'!$E$26),0,(C4871&gt;='Resultats - informe'!$D$27)*(C4871&lt;='Resultats - informe'!$E$27),0,(C4871&gt;='Resultats - informe'!$D$28)*(C4871&lt;='Resultats - informe'!$E$28),0,(C4871&gt;='Resultats - informe'!$D$29)*(C4871&lt;='Resultats - informe'!$E$29),0,1,1)</f>
        <v>0</v>
      </c>
      <c r="N4871" s="366">
        <f>+VLOOKUP(D4871,'Resultats - informe'!$Y$18:$AG$42,'Introducció dades consum'!K4871+1,0)</f>
        <v>0</v>
      </c>
      <c r="O4871" s="370" cm="1">
        <f t="array" ref="O4871">+_xlfn.SWITCH(MONTH(C4871),1,1,2,1,3,1,4,2,5,2,6,3,7,3,8,3,9,3,10,2,11,2,12,1,2)</f>
        <v>1</v>
      </c>
      <c r="P4871" s="43"/>
    </row>
    <row r="4872" spans="1:16" ht="18" x14ac:dyDescent="0.35">
      <c r="A4872" s="9"/>
      <c r="C4872" s="393"/>
      <c r="E4872" s="394"/>
      <c r="F4872" s="394">
        <v>0</v>
      </c>
      <c r="G4872" s="394"/>
      <c r="H4872" s="8" t="s">
        <v>235</v>
      </c>
      <c r="I4872" s="368">
        <f t="shared" si="229"/>
        <v>0</v>
      </c>
      <c r="J4872" s="365">
        <f t="shared" si="228"/>
        <v>0</v>
      </c>
      <c r="K4872" s="369">
        <f t="shared" si="230"/>
        <v>6</v>
      </c>
      <c r="L4872" s="369">
        <f>+IF((C4872&gt;='Resultats - informe'!$E$16)*(C4872&lt;='Resultats - informe'!$G$16),1,0)</f>
        <v>1</v>
      </c>
      <c r="M4872" s="369" cm="1">
        <f t="array" ref="M4872">+_xlfn.IFS((C4872&gt;='Resultats - informe'!$D$26)*(C4872&lt;='Resultats - informe'!$E$26),0,(C4872&gt;='Resultats - informe'!$D$27)*(C4872&lt;='Resultats - informe'!$E$27),0,(C4872&gt;='Resultats - informe'!$D$28)*(C4872&lt;='Resultats - informe'!$E$28),0,(C4872&gt;='Resultats - informe'!$D$29)*(C4872&lt;='Resultats - informe'!$E$29),0,1,1)</f>
        <v>0</v>
      </c>
      <c r="N4872" s="366">
        <f>+VLOOKUP(D4872,'Resultats - informe'!$Y$18:$AG$42,'Introducció dades consum'!K4872+1,0)</f>
        <v>0</v>
      </c>
      <c r="O4872" s="370" cm="1">
        <f t="array" ref="O4872">+_xlfn.SWITCH(MONTH(C4872),1,1,2,1,3,1,4,2,5,2,6,3,7,3,8,3,9,3,10,2,11,2,12,1,2)</f>
        <v>1</v>
      </c>
      <c r="P4872" s="43"/>
    </row>
    <row r="4873" spans="1:16" ht="18" x14ac:dyDescent="0.35">
      <c r="A4873" s="9"/>
      <c r="C4873" s="393"/>
      <c r="E4873" s="394"/>
      <c r="F4873" s="394">
        <v>0</v>
      </c>
      <c r="G4873" s="394"/>
      <c r="H4873" s="8" t="s">
        <v>235</v>
      </c>
      <c r="I4873" s="368">
        <f t="shared" si="229"/>
        <v>0</v>
      </c>
      <c r="J4873" s="365">
        <f t="shared" si="228"/>
        <v>0</v>
      </c>
      <c r="K4873" s="369">
        <f t="shared" si="230"/>
        <v>6</v>
      </c>
      <c r="L4873" s="369">
        <f>+IF((C4873&gt;='Resultats - informe'!$E$16)*(C4873&lt;='Resultats - informe'!$G$16),1,0)</f>
        <v>1</v>
      </c>
      <c r="M4873" s="369" cm="1">
        <f t="array" ref="M4873">+_xlfn.IFS((C4873&gt;='Resultats - informe'!$D$26)*(C4873&lt;='Resultats - informe'!$E$26),0,(C4873&gt;='Resultats - informe'!$D$27)*(C4873&lt;='Resultats - informe'!$E$27),0,(C4873&gt;='Resultats - informe'!$D$28)*(C4873&lt;='Resultats - informe'!$E$28),0,(C4873&gt;='Resultats - informe'!$D$29)*(C4873&lt;='Resultats - informe'!$E$29),0,1,1)</f>
        <v>0</v>
      </c>
      <c r="N4873" s="366">
        <f>+VLOOKUP(D4873,'Resultats - informe'!$Y$18:$AG$42,'Introducció dades consum'!K4873+1,0)</f>
        <v>0</v>
      </c>
      <c r="O4873" s="370" cm="1">
        <f t="array" ref="O4873">+_xlfn.SWITCH(MONTH(C4873),1,1,2,1,3,1,4,2,5,2,6,3,7,3,8,3,9,3,10,2,11,2,12,1,2)</f>
        <v>1</v>
      </c>
      <c r="P4873" s="43"/>
    </row>
    <row r="4874" spans="1:16" ht="18" x14ac:dyDescent="0.35">
      <c r="A4874" s="9"/>
      <c r="C4874" s="393"/>
      <c r="E4874" s="394"/>
      <c r="F4874" s="394">
        <v>0</v>
      </c>
      <c r="G4874" s="394"/>
      <c r="H4874" s="8" t="s">
        <v>235</v>
      </c>
      <c r="I4874" s="368">
        <f t="shared" si="229"/>
        <v>0</v>
      </c>
      <c r="J4874" s="365">
        <f t="shared" si="228"/>
        <v>0</v>
      </c>
      <c r="K4874" s="369">
        <f t="shared" si="230"/>
        <v>6</v>
      </c>
      <c r="L4874" s="369">
        <f>+IF((C4874&gt;='Resultats - informe'!$E$16)*(C4874&lt;='Resultats - informe'!$G$16),1,0)</f>
        <v>1</v>
      </c>
      <c r="M4874" s="369" cm="1">
        <f t="array" ref="M4874">+_xlfn.IFS((C4874&gt;='Resultats - informe'!$D$26)*(C4874&lt;='Resultats - informe'!$E$26),0,(C4874&gt;='Resultats - informe'!$D$27)*(C4874&lt;='Resultats - informe'!$E$27),0,(C4874&gt;='Resultats - informe'!$D$28)*(C4874&lt;='Resultats - informe'!$E$28),0,(C4874&gt;='Resultats - informe'!$D$29)*(C4874&lt;='Resultats - informe'!$E$29),0,1,1)</f>
        <v>0</v>
      </c>
      <c r="N4874" s="366">
        <f>+VLOOKUP(D4874,'Resultats - informe'!$Y$18:$AG$42,'Introducció dades consum'!K4874+1,0)</f>
        <v>0</v>
      </c>
      <c r="O4874" s="370" cm="1">
        <f t="array" ref="O4874">+_xlfn.SWITCH(MONTH(C4874),1,1,2,1,3,1,4,2,5,2,6,3,7,3,8,3,9,3,10,2,11,2,12,1,2)</f>
        <v>1</v>
      </c>
      <c r="P4874" s="43"/>
    </row>
    <row r="4875" spans="1:16" ht="18" x14ac:dyDescent="0.35">
      <c r="A4875" s="9"/>
      <c r="C4875" s="393"/>
      <c r="E4875" s="394"/>
      <c r="F4875" s="394">
        <v>0</v>
      </c>
      <c r="G4875" s="394"/>
      <c r="H4875" s="8" t="s">
        <v>235</v>
      </c>
      <c r="I4875" s="368">
        <f t="shared" si="229"/>
        <v>0</v>
      </c>
      <c r="J4875" s="365">
        <f t="shared" si="228"/>
        <v>0</v>
      </c>
      <c r="K4875" s="369">
        <f t="shared" si="230"/>
        <v>6</v>
      </c>
      <c r="L4875" s="369">
        <f>+IF((C4875&gt;='Resultats - informe'!$E$16)*(C4875&lt;='Resultats - informe'!$G$16),1,0)</f>
        <v>1</v>
      </c>
      <c r="M4875" s="369" cm="1">
        <f t="array" ref="M4875">+_xlfn.IFS((C4875&gt;='Resultats - informe'!$D$26)*(C4875&lt;='Resultats - informe'!$E$26),0,(C4875&gt;='Resultats - informe'!$D$27)*(C4875&lt;='Resultats - informe'!$E$27),0,(C4875&gt;='Resultats - informe'!$D$28)*(C4875&lt;='Resultats - informe'!$E$28),0,(C4875&gt;='Resultats - informe'!$D$29)*(C4875&lt;='Resultats - informe'!$E$29),0,1,1)</f>
        <v>0</v>
      </c>
      <c r="N4875" s="366">
        <f>+VLOOKUP(D4875,'Resultats - informe'!$Y$18:$AG$42,'Introducció dades consum'!K4875+1,0)</f>
        <v>0</v>
      </c>
      <c r="O4875" s="370" cm="1">
        <f t="array" ref="O4875">+_xlfn.SWITCH(MONTH(C4875),1,1,2,1,3,1,4,2,5,2,6,3,7,3,8,3,9,3,10,2,11,2,12,1,2)</f>
        <v>1</v>
      </c>
      <c r="P4875" s="43"/>
    </row>
    <row r="4876" spans="1:16" ht="18" x14ac:dyDescent="0.35">
      <c r="A4876" s="9"/>
      <c r="C4876" s="393"/>
      <c r="E4876" s="394"/>
      <c r="F4876" s="394">
        <v>0</v>
      </c>
      <c r="G4876" s="394"/>
      <c r="H4876" s="8" t="s">
        <v>235</v>
      </c>
      <c r="I4876" s="368">
        <f t="shared" si="229"/>
        <v>0</v>
      </c>
      <c r="J4876" s="365">
        <f t="shared" si="228"/>
        <v>0</v>
      </c>
      <c r="K4876" s="369">
        <f t="shared" si="230"/>
        <v>6</v>
      </c>
      <c r="L4876" s="369">
        <f>+IF((C4876&gt;='Resultats - informe'!$E$16)*(C4876&lt;='Resultats - informe'!$G$16),1,0)</f>
        <v>1</v>
      </c>
      <c r="M4876" s="369" cm="1">
        <f t="array" ref="M4876">+_xlfn.IFS((C4876&gt;='Resultats - informe'!$D$26)*(C4876&lt;='Resultats - informe'!$E$26),0,(C4876&gt;='Resultats - informe'!$D$27)*(C4876&lt;='Resultats - informe'!$E$27),0,(C4876&gt;='Resultats - informe'!$D$28)*(C4876&lt;='Resultats - informe'!$E$28),0,(C4876&gt;='Resultats - informe'!$D$29)*(C4876&lt;='Resultats - informe'!$E$29),0,1,1)</f>
        <v>0</v>
      </c>
      <c r="N4876" s="366">
        <f>+VLOOKUP(D4876,'Resultats - informe'!$Y$18:$AG$42,'Introducció dades consum'!K4876+1,0)</f>
        <v>0</v>
      </c>
      <c r="O4876" s="370" cm="1">
        <f t="array" ref="O4876">+_xlfn.SWITCH(MONTH(C4876),1,1,2,1,3,1,4,2,5,2,6,3,7,3,8,3,9,3,10,2,11,2,12,1,2)</f>
        <v>1</v>
      </c>
      <c r="P4876" s="43"/>
    </row>
    <row r="4877" spans="1:16" ht="18" x14ac:dyDescent="0.35">
      <c r="A4877" s="9"/>
      <c r="C4877" s="393"/>
      <c r="E4877" s="394"/>
      <c r="F4877" s="394">
        <v>0</v>
      </c>
      <c r="G4877" s="394"/>
      <c r="H4877" s="8" t="s">
        <v>235</v>
      </c>
      <c r="I4877" s="368">
        <f t="shared" si="229"/>
        <v>0</v>
      </c>
      <c r="J4877" s="365">
        <f t="shared" si="228"/>
        <v>0</v>
      </c>
      <c r="K4877" s="369">
        <f t="shared" si="230"/>
        <v>6</v>
      </c>
      <c r="L4877" s="369">
        <f>+IF((C4877&gt;='Resultats - informe'!$E$16)*(C4877&lt;='Resultats - informe'!$G$16),1,0)</f>
        <v>1</v>
      </c>
      <c r="M4877" s="369" cm="1">
        <f t="array" ref="M4877">+_xlfn.IFS((C4877&gt;='Resultats - informe'!$D$26)*(C4877&lt;='Resultats - informe'!$E$26),0,(C4877&gt;='Resultats - informe'!$D$27)*(C4877&lt;='Resultats - informe'!$E$27),0,(C4877&gt;='Resultats - informe'!$D$28)*(C4877&lt;='Resultats - informe'!$E$28),0,(C4877&gt;='Resultats - informe'!$D$29)*(C4877&lt;='Resultats - informe'!$E$29),0,1,1)</f>
        <v>0</v>
      </c>
      <c r="N4877" s="366">
        <f>+VLOOKUP(D4877,'Resultats - informe'!$Y$18:$AG$42,'Introducció dades consum'!K4877+1,0)</f>
        <v>0</v>
      </c>
      <c r="O4877" s="370" cm="1">
        <f t="array" ref="O4877">+_xlfn.SWITCH(MONTH(C4877),1,1,2,1,3,1,4,2,5,2,6,3,7,3,8,3,9,3,10,2,11,2,12,1,2)</f>
        <v>1</v>
      </c>
      <c r="P4877" s="43"/>
    </row>
    <row r="4878" spans="1:16" ht="18" x14ac:dyDescent="0.35">
      <c r="A4878" s="9"/>
      <c r="C4878" s="393"/>
      <c r="E4878" s="394"/>
      <c r="F4878" s="394">
        <v>0</v>
      </c>
      <c r="G4878" s="394"/>
      <c r="H4878" s="8" t="s">
        <v>235</v>
      </c>
      <c r="I4878" s="368">
        <f t="shared" si="229"/>
        <v>0</v>
      </c>
      <c r="J4878" s="365">
        <f t="shared" si="228"/>
        <v>0</v>
      </c>
      <c r="K4878" s="369">
        <f t="shared" si="230"/>
        <v>6</v>
      </c>
      <c r="L4878" s="369">
        <f>+IF((C4878&gt;='Resultats - informe'!$E$16)*(C4878&lt;='Resultats - informe'!$G$16),1,0)</f>
        <v>1</v>
      </c>
      <c r="M4878" s="369" cm="1">
        <f t="array" ref="M4878">+_xlfn.IFS((C4878&gt;='Resultats - informe'!$D$26)*(C4878&lt;='Resultats - informe'!$E$26),0,(C4878&gt;='Resultats - informe'!$D$27)*(C4878&lt;='Resultats - informe'!$E$27),0,(C4878&gt;='Resultats - informe'!$D$28)*(C4878&lt;='Resultats - informe'!$E$28),0,(C4878&gt;='Resultats - informe'!$D$29)*(C4878&lt;='Resultats - informe'!$E$29),0,1,1)</f>
        <v>0</v>
      </c>
      <c r="N4878" s="366">
        <f>+VLOOKUP(D4878,'Resultats - informe'!$Y$18:$AG$42,'Introducció dades consum'!K4878+1,0)</f>
        <v>0</v>
      </c>
      <c r="O4878" s="370" cm="1">
        <f t="array" ref="O4878">+_xlfn.SWITCH(MONTH(C4878),1,1,2,1,3,1,4,2,5,2,6,3,7,3,8,3,9,3,10,2,11,2,12,1,2)</f>
        <v>1</v>
      </c>
      <c r="P4878" s="43"/>
    </row>
    <row r="4879" spans="1:16" ht="18" x14ac:dyDescent="0.35">
      <c r="A4879" s="9"/>
      <c r="C4879" s="393"/>
      <c r="E4879" s="394"/>
      <c r="F4879" s="394">
        <v>0</v>
      </c>
      <c r="G4879" s="394"/>
      <c r="H4879" s="8" t="s">
        <v>235</v>
      </c>
      <c r="I4879" s="368">
        <f t="shared" si="229"/>
        <v>0</v>
      </c>
      <c r="J4879" s="365">
        <f t="shared" si="228"/>
        <v>0</v>
      </c>
      <c r="K4879" s="369">
        <f t="shared" si="230"/>
        <v>6</v>
      </c>
      <c r="L4879" s="369">
        <f>+IF((C4879&gt;='Resultats - informe'!$E$16)*(C4879&lt;='Resultats - informe'!$G$16),1,0)</f>
        <v>1</v>
      </c>
      <c r="M4879" s="369" cm="1">
        <f t="array" ref="M4879">+_xlfn.IFS((C4879&gt;='Resultats - informe'!$D$26)*(C4879&lt;='Resultats - informe'!$E$26),0,(C4879&gt;='Resultats - informe'!$D$27)*(C4879&lt;='Resultats - informe'!$E$27),0,(C4879&gt;='Resultats - informe'!$D$28)*(C4879&lt;='Resultats - informe'!$E$28),0,(C4879&gt;='Resultats - informe'!$D$29)*(C4879&lt;='Resultats - informe'!$E$29),0,1,1)</f>
        <v>0</v>
      </c>
      <c r="N4879" s="366">
        <f>+VLOOKUP(D4879,'Resultats - informe'!$Y$18:$AG$42,'Introducció dades consum'!K4879+1,0)</f>
        <v>0</v>
      </c>
      <c r="O4879" s="370" cm="1">
        <f t="array" ref="O4879">+_xlfn.SWITCH(MONTH(C4879),1,1,2,1,3,1,4,2,5,2,6,3,7,3,8,3,9,3,10,2,11,2,12,1,2)</f>
        <v>1</v>
      </c>
      <c r="P4879" s="43"/>
    </row>
    <row r="4880" spans="1:16" ht="18" x14ac:dyDescent="0.35">
      <c r="A4880" s="9"/>
      <c r="C4880" s="393"/>
      <c r="E4880" s="394"/>
      <c r="F4880" s="394">
        <v>0</v>
      </c>
      <c r="G4880" s="394"/>
      <c r="H4880" s="8" t="s">
        <v>235</v>
      </c>
      <c r="I4880" s="368">
        <f t="shared" si="229"/>
        <v>0</v>
      </c>
      <c r="J4880" s="365">
        <f t="shared" si="228"/>
        <v>0</v>
      </c>
      <c r="K4880" s="369">
        <f t="shared" si="230"/>
        <v>6</v>
      </c>
      <c r="L4880" s="369">
        <f>+IF((C4880&gt;='Resultats - informe'!$E$16)*(C4880&lt;='Resultats - informe'!$G$16),1,0)</f>
        <v>1</v>
      </c>
      <c r="M4880" s="369" cm="1">
        <f t="array" ref="M4880">+_xlfn.IFS((C4880&gt;='Resultats - informe'!$D$26)*(C4880&lt;='Resultats - informe'!$E$26),0,(C4880&gt;='Resultats - informe'!$D$27)*(C4880&lt;='Resultats - informe'!$E$27),0,(C4880&gt;='Resultats - informe'!$D$28)*(C4880&lt;='Resultats - informe'!$E$28),0,(C4880&gt;='Resultats - informe'!$D$29)*(C4880&lt;='Resultats - informe'!$E$29),0,1,1)</f>
        <v>0</v>
      </c>
      <c r="N4880" s="366">
        <f>+VLOOKUP(D4880,'Resultats - informe'!$Y$18:$AG$42,'Introducció dades consum'!K4880+1,0)</f>
        <v>0</v>
      </c>
      <c r="O4880" s="370" cm="1">
        <f t="array" ref="O4880">+_xlfn.SWITCH(MONTH(C4880),1,1,2,1,3,1,4,2,5,2,6,3,7,3,8,3,9,3,10,2,11,2,12,1,2)</f>
        <v>1</v>
      </c>
      <c r="P4880" s="43"/>
    </row>
    <row r="4881" spans="1:16" ht="18" x14ac:dyDescent="0.35">
      <c r="A4881" s="9"/>
      <c r="C4881" s="393"/>
      <c r="E4881" s="394"/>
      <c r="F4881" s="394">
        <v>0</v>
      </c>
      <c r="G4881" s="394"/>
      <c r="H4881" s="8" t="s">
        <v>235</v>
      </c>
      <c r="I4881" s="368">
        <f t="shared" si="229"/>
        <v>0</v>
      </c>
      <c r="J4881" s="365">
        <f t="shared" si="228"/>
        <v>0</v>
      </c>
      <c r="K4881" s="369">
        <f t="shared" si="230"/>
        <v>6</v>
      </c>
      <c r="L4881" s="369">
        <f>+IF((C4881&gt;='Resultats - informe'!$E$16)*(C4881&lt;='Resultats - informe'!$G$16),1,0)</f>
        <v>1</v>
      </c>
      <c r="M4881" s="369" cm="1">
        <f t="array" ref="M4881">+_xlfn.IFS((C4881&gt;='Resultats - informe'!$D$26)*(C4881&lt;='Resultats - informe'!$E$26),0,(C4881&gt;='Resultats - informe'!$D$27)*(C4881&lt;='Resultats - informe'!$E$27),0,(C4881&gt;='Resultats - informe'!$D$28)*(C4881&lt;='Resultats - informe'!$E$28),0,(C4881&gt;='Resultats - informe'!$D$29)*(C4881&lt;='Resultats - informe'!$E$29),0,1,1)</f>
        <v>0</v>
      </c>
      <c r="N4881" s="366">
        <f>+VLOOKUP(D4881,'Resultats - informe'!$Y$18:$AG$42,'Introducció dades consum'!K4881+1,0)</f>
        <v>0</v>
      </c>
      <c r="O4881" s="370" cm="1">
        <f t="array" ref="O4881">+_xlfn.SWITCH(MONTH(C4881),1,1,2,1,3,1,4,2,5,2,6,3,7,3,8,3,9,3,10,2,11,2,12,1,2)</f>
        <v>1</v>
      </c>
      <c r="P4881" s="43"/>
    </row>
    <row r="4882" spans="1:16" ht="18" x14ac:dyDescent="0.35">
      <c r="A4882" s="9"/>
      <c r="C4882" s="393"/>
      <c r="E4882" s="394"/>
      <c r="F4882" s="394">
        <v>0</v>
      </c>
      <c r="G4882" s="394"/>
      <c r="H4882" s="8" t="s">
        <v>235</v>
      </c>
      <c r="I4882" s="368">
        <f t="shared" si="229"/>
        <v>0</v>
      </c>
      <c r="J4882" s="365">
        <f t="shared" si="228"/>
        <v>0</v>
      </c>
      <c r="K4882" s="369">
        <f t="shared" si="230"/>
        <v>6</v>
      </c>
      <c r="L4882" s="369">
        <f>+IF((C4882&gt;='Resultats - informe'!$E$16)*(C4882&lt;='Resultats - informe'!$G$16),1,0)</f>
        <v>1</v>
      </c>
      <c r="M4882" s="369" cm="1">
        <f t="array" ref="M4882">+_xlfn.IFS((C4882&gt;='Resultats - informe'!$D$26)*(C4882&lt;='Resultats - informe'!$E$26),0,(C4882&gt;='Resultats - informe'!$D$27)*(C4882&lt;='Resultats - informe'!$E$27),0,(C4882&gt;='Resultats - informe'!$D$28)*(C4882&lt;='Resultats - informe'!$E$28),0,(C4882&gt;='Resultats - informe'!$D$29)*(C4882&lt;='Resultats - informe'!$E$29),0,1,1)</f>
        <v>0</v>
      </c>
      <c r="N4882" s="366">
        <f>+VLOOKUP(D4882,'Resultats - informe'!$Y$18:$AG$42,'Introducció dades consum'!K4882+1,0)</f>
        <v>0</v>
      </c>
      <c r="O4882" s="370" cm="1">
        <f t="array" ref="O4882">+_xlfn.SWITCH(MONTH(C4882),1,1,2,1,3,1,4,2,5,2,6,3,7,3,8,3,9,3,10,2,11,2,12,1,2)</f>
        <v>1</v>
      </c>
      <c r="P4882" s="43"/>
    </row>
    <row r="4883" spans="1:16" ht="18" x14ac:dyDescent="0.35">
      <c r="A4883" s="9"/>
      <c r="C4883" s="393"/>
      <c r="E4883" s="394"/>
      <c r="F4883" s="394">
        <v>0</v>
      </c>
      <c r="G4883" s="394"/>
      <c r="H4883" s="8" t="s">
        <v>235</v>
      </c>
      <c r="I4883" s="368">
        <f t="shared" si="229"/>
        <v>0</v>
      </c>
      <c r="J4883" s="365">
        <f t="shared" si="228"/>
        <v>0</v>
      </c>
      <c r="K4883" s="369">
        <f t="shared" si="230"/>
        <v>6</v>
      </c>
      <c r="L4883" s="369">
        <f>+IF((C4883&gt;='Resultats - informe'!$E$16)*(C4883&lt;='Resultats - informe'!$G$16),1,0)</f>
        <v>1</v>
      </c>
      <c r="M4883" s="369" cm="1">
        <f t="array" ref="M4883">+_xlfn.IFS((C4883&gt;='Resultats - informe'!$D$26)*(C4883&lt;='Resultats - informe'!$E$26),0,(C4883&gt;='Resultats - informe'!$D$27)*(C4883&lt;='Resultats - informe'!$E$27),0,(C4883&gt;='Resultats - informe'!$D$28)*(C4883&lt;='Resultats - informe'!$E$28),0,(C4883&gt;='Resultats - informe'!$D$29)*(C4883&lt;='Resultats - informe'!$E$29),0,1,1)</f>
        <v>0</v>
      </c>
      <c r="N4883" s="366">
        <f>+VLOOKUP(D4883,'Resultats - informe'!$Y$18:$AG$42,'Introducció dades consum'!K4883+1,0)</f>
        <v>0</v>
      </c>
      <c r="O4883" s="370" cm="1">
        <f t="array" ref="O4883">+_xlfn.SWITCH(MONTH(C4883),1,1,2,1,3,1,4,2,5,2,6,3,7,3,8,3,9,3,10,2,11,2,12,1,2)</f>
        <v>1</v>
      </c>
      <c r="P4883" s="43"/>
    </row>
    <row r="4884" spans="1:16" ht="18" x14ac:dyDescent="0.35">
      <c r="A4884" s="9"/>
      <c r="C4884" s="393"/>
      <c r="E4884" s="394"/>
      <c r="F4884" s="394">
        <v>0</v>
      </c>
      <c r="G4884" s="394"/>
      <c r="H4884" s="8" t="s">
        <v>235</v>
      </c>
      <c r="I4884" s="368">
        <f t="shared" si="229"/>
        <v>0</v>
      </c>
      <c r="J4884" s="365">
        <f t="shared" si="228"/>
        <v>0</v>
      </c>
      <c r="K4884" s="369">
        <f t="shared" si="230"/>
        <v>6</v>
      </c>
      <c r="L4884" s="369">
        <f>+IF((C4884&gt;='Resultats - informe'!$E$16)*(C4884&lt;='Resultats - informe'!$G$16),1,0)</f>
        <v>1</v>
      </c>
      <c r="M4884" s="369" cm="1">
        <f t="array" ref="M4884">+_xlfn.IFS((C4884&gt;='Resultats - informe'!$D$26)*(C4884&lt;='Resultats - informe'!$E$26),0,(C4884&gt;='Resultats - informe'!$D$27)*(C4884&lt;='Resultats - informe'!$E$27),0,(C4884&gt;='Resultats - informe'!$D$28)*(C4884&lt;='Resultats - informe'!$E$28),0,(C4884&gt;='Resultats - informe'!$D$29)*(C4884&lt;='Resultats - informe'!$E$29),0,1,1)</f>
        <v>0</v>
      </c>
      <c r="N4884" s="366">
        <f>+VLOOKUP(D4884,'Resultats - informe'!$Y$18:$AG$42,'Introducció dades consum'!K4884+1,0)</f>
        <v>0</v>
      </c>
      <c r="O4884" s="370" cm="1">
        <f t="array" ref="O4884">+_xlfn.SWITCH(MONTH(C4884),1,1,2,1,3,1,4,2,5,2,6,3,7,3,8,3,9,3,10,2,11,2,12,1,2)</f>
        <v>1</v>
      </c>
      <c r="P4884" s="43"/>
    </row>
    <row r="4885" spans="1:16" ht="18" x14ac:dyDescent="0.35">
      <c r="A4885" s="9"/>
      <c r="C4885" s="393"/>
      <c r="E4885" s="394"/>
      <c r="F4885" s="394">
        <v>0</v>
      </c>
      <c r="G4885" s="394"/>
      <c r="H4885" s="8" t="s">
        <v>235</v>
      </c>
      <c r="I4885" s="368">
        <f t="shared" si="229"/>
        <v>0</v>
      </c>
      <c r="J4885" s="365">
        <f t="shared" si="228"/>
        <v>0</v>
      </c>
      <c r="K4885" s="369">
        <f t="shared" si="230"/>
        <v>6</v>
      </c>
      <c r="L4885" s="369">
        <f>+IF((C4885&gt;='Resultats - informe'!$E$16)*(C4885&lt;='Resultats - informe'!$G$16),1,0)</f>
        <v>1</v>
      </c>
      <c r="M4885" s="369" cm="1">
        <f t="array" ref="M4885">+_xlfn.IFS((C4885&gt;='Resultats - informe'!$D$26)*(C4885&lt;='Resultats - informe'!$E$26),0,(C4885&gt;='Resultats - informe'!$D$27)*(C4885&lt;='Resultats - informe'!$E$27),0,(C4885&gt;='Resultats - informe'!$D$28)*(C4885&lt;='Resultats - informe'!$E$28),0,(C4885&gt;='Resultats - informe'!$D$29)*(C4885&lt;='Resultats - informe'!$E$29),0,1,1)</f>
        <v>0</v>
      </c>
      <c r="N4885" s="366">
        <f>+VLOOKUP(D4885,'Resultats - informe'!$Y$18:$AG$42,'Introducció dades consum'!K4885+1,0)</f>
        <v>0</v>
      </c>
      <c r="O4885" s="370" cm="1">
        <f t="array" ref="O4885">+_xlfn.SWITCH(MONTH(C4885),1,1,2,1,3,1,4,2,5,2,6,3,7,3,8,3,9,3,10,2,11,2,12,1,2)</f>
        <v>1</v>
      </c>
      <c r="P4885" s="43"/>
    </row>
    <row r="4886" spans="1:16" ht="18" x14ac:dyDescent="0.35">
      <c r="A4886" s="9"/>
      <c r="C4886" s="393"/>
      <c r="E4886" s="394"/>
      <c r="F4886" s="394">
        <v>0</v>
      </c>
      <c r="G4886" s="394"/>
      <c r="H4886" s="8" t="s">
        <v>235</v>
      </c>
      <c r="I4886" s="368">
        <f t="shared" si="229"/>
        <v>0</v>
      </c>
      <c r="J4886" s="365">
        <f t="shared" si="228"/>
        <v>0</v>
      </c>
      <c r="K4886" s="369">
        <f t="shared" si="230"/>
        <v>6</v>
      </c>
      <c r="L4886" s="369">
        <f>+IF((C4886&gt;='Resultats - informe'!$E$16)*(C4886&lt;='Resultats - informe'!$G$16),1,0)</f>
        <v>1</v>
      </c>
      <c r="M4886" s="369" cm="1">
        <f t="array" ref="M4886">+_xlfn.IFS((C4886&gt;='Resultats - informe'!$D$26)*(C4886&lt;='Resultats - informe'!$E$26),0,(C4886&gt;='Resultats - informe'!$D$27)*(C4886&lt;='Resultats - informe'!$E$27),0,(C4886&gt;='Resultats - informe'!$D$28)*(C4886&lt;='Resultats - informe'!$E$28),0,(C4886&gt;='Resultats - informe'!$D$29)*(C4886&lt;='Resultats - informe'!$E$29),0,1,1)</f>
        <v>0</v>
      </c>
      <c r="N4886" s="366">
        <f>+VLOOKUP(D4886,'Resultats - informe'!$Y$18:$AG$42,'Introducció dades consum'!K4886+1,0)</f>
        <v>0</v>
      </c>
      <c r="O4886" s="370" cm="1">
        <f t="array" ref="O4886">+_xlfn.SWITCH(MONTH(C4886),1,1,2,1,3,1,4,2,5,2,6,3,7,3,8,3,9,3,10,2,11,2,12,1,2)</f>
        <v>1</v>
      </c>
      <c r="P4886" s="43"/>
    </row>
    <row r="4887" spans="1:16" ht="18" x14ac:dyDescent="0.35">
      <c r="A4887" s="9"/>
      <c r="C4887" s="393"/>
      <c r="E4887" s="394"/>
      <c r="F4887" s="394">
        <v>1.246</v>
      </c>
      <c r="G4887" s="394"/>
      <c r="H4887" s="8" t="s">
        <v>235</v>
      </c>
      <c r="I4887" s="368">
        <f t="shared" si="229"/>
        <v>0</v>
      </c>
      <c r="J4887" s="365">
        <f t="shared" si="228"/>
        <v>0</v>
      </c>
      <c r="K4887" s="369">
        <f t="shared" si="230"/>
        <v>6</v>
      </c>
      <c r="L4887" s="369">
        <f>+IF((C4887&gt;='Resultats - informe'!$E$16)*(C4887&lt;='Resultats - informe'!$G$16),1,0)</f>
        <v>1</v>
      </c>
      <c r="M4887" s="369" cm="1">
        <f t="array" ref="M4887">+_xlfn.IFS((C4887&gt;='Resultats - informe'!$D$26)*(C4887&lt;='Resultats - informe'!$E$26),0,(C4887&gt;='Resultats - informe'!$D$27)*(C4887&lt;='Resultats - informe'!$E$27),0,(C4887&gt;='Resultats - informe'!$D$28)*(C4887&lt;='Resultats - informe'!$E$28),0,(C4887&gt;='Resultats - informe'!$D$29)*(C4887&lt;='Resultats - informe'!$E$29),0,1,1)</f>
        <v>0</v>
      </c>
      <c r="N4887" s="366">
        <f>+VLOOKUP(D4887,'Resultats - informe'!$Y$18:$AG$42,'Introducció dades consum'!K4887+1,0)</f>
        <v>0</v>
      </c>
      <c r="O4887" s="370" cm="1">
        <f t="array" ref="O4887">+_xlfn.SWITCH(MONTH(C4887),1,1,2,1,3,1,4,2,5,2,6,3,7,3,8,3,9,3,10,2,11,2,12,1,2)</f>
        <v>1</v>
      </c>
      <c r="P4887" s="43"/>
    </row>
    <row r="4888" spans="1:16" ht="18" x14ac:dyDescent="0.35">
      <c r="A4888" s="9"/>
      <c r="C4888" s="393"/>
      <c r="E4888" s="394"/>
      <c r="F4888" s="394">
        <v>2.105</v>
      </c>
      <c r="G4888" s="394"/>
      <c r="H4888" s="8" t="s">
        <v>235</v>
      </c>
      <c r="I4888" s="368">
        <f t="shared" si="229"/>
        <v>0</v>
      </c>
      <c r="J4888" s="365">
        <f t="shared" si="228"/>
        <v>0</v>
      </c>
      <c r="K4888" s="369">
        <f t="shared" si="230"/>
        <v>6</v>
      </c>
      <c r="L4888" s="369">
        <f>+IF((C4888&gt;='Resultats - informe'!$E$16)*(C4888&lt;='Resultats - informe'!$G$16),1,0)</f>
        <v>1</v>
      </c>
      <c r="M4888" s="369" cm="1">
        <f t="array" ref="M4888">+_xlfn.IFS((C4888&gt;='Resultats - informe'!$D$26)*(C4888&lt;='Resultats - informe'!$E$26),0,(C4888&gt;='Resultats - informe'!$D$27)*(C4888&lt;='Resultats - informe'!$E$27),0,(C4888&gt;='Resultats - informe'!$D$28)*(C4888&lt;='Resultats - informe'!$E$28),0,(C4888&gt;='Resultats - informe'!$D$29)*(C4888&lt;='Resultats - informe'!$E$29),0,1,1)</f>
        <v>0</v>
      </c>
      <c r="N4888" s="366">
        <f>+VLOOKUP(D4888,'Resultats - informe'!$Y$18:$AG$42,'Introducció dades consum'!K4888+1,0)</f>
        <v>0</v>
      </c>
      <c r="O4888" s="370" cm="1">
        <f t="array" ref="O4888">+_xlfn.SWITCH(MONTH(C4888),1,1,2,1,3,1,4,2,5,2,6,3,7,3,8,3,9,3,10,2,11,2,12,1,2)</f>
        <v>1</v>
      </c>
      <c r="P4888" s="43"/>
    </row>
    <row r="4889" spans="1:16" ht="18" x14ac:dyDescent="0.35">
      <c r="A4889" s="9"/>
      <c r="C4889" s="393"/>
      <c r="E4889" s="394"/>
      <c r="F4889" s="394">
        <v>1.3380000000000001</v>
      </c>
      <c r="G4889" s="394"/>
      <c r="H4889" s="8" t="s">
        <v>235</v>
      </c>
      <c r="I4889" s="368">
        <f t="shared" si="229"/>
        <v>0</v>
      </c>
      <c r="J4889" s="365">
        <f t="shared" si="228"/>
        <v>0</v>
      </c>
      <c r="K4889" s="369">
        <f t="shared" si="230"/>
        <v>6</v>
      </c>
      <c r="L4889" s="369">
        <f>+IF((C4889&gt;='Resultats - informe'!$E$16)*(C4889&lt;='Resultats - informe'!$G$16),1,0)</f>
        <v>1</v>
      </c>
      <c r="M4889" s="369" cm="1">
        <f t="array" ref="M4889">+_xlfn.IFS((C4889&gt;='Resultats - informe'!$D$26)*(C4889&lt;='Resultats - informe'!$E$26),0,(C4889&gt;='Resultats - informe'!$D$27)*(C4889&lt;='Resultats - informe'!$E$27),0,(C4889&gt;='Resultats - informe'!$D$28)*(C4889&lt;='Resultats - informe'!$E$28),0,(C4889&gt;='Resultats - informe'!$D$29)*(C4889&lt;='Resultats - informe'!$E$29),0,1,1)</f>
        <v>0</v>
      </c>
      <c r="N4889" s="366">
        <f>+VLOOKUP(D4889,'Resultats - informe'!$Y$18:$AG$42,'Introducció dades consum'!K4889+1,0)</f>
        <v>0</v>
      </c>
      <c r="O4889" s="370" cm="1">
        <f t="array" ref="O4889">+_xlfn.SWITCH(MONTH(C4889),1,1,2,1,3,1,4,2,5,2,6,3,7,3,8,3,9,3,10,2,11,2,12,1,2)</f>
        <v>1</v>
      </c>
      <c r="P4889" s="43"/>
    </row>
    <row r="4890" spans="1:16" ht="18" x14ac:dyDescent="0.35">
      <c r="A4890" s="9"/>
      <c r="C4890" s="393"/>
      <c r="E4890" s="394"/>
      <c r="F4890" s="394">
        <v>1.413</v>
      </c>
      <c r="G4890" s="394"/>
      <c r="H4890" s="8" t="s">
        <v>235</v>
      </c>
      <c r="I4890" s="368">
        <f t="shared" si="229"/>
        <v>0</v>
      </c>
      <c r="J4890" s="365">
        <f t="shared" si="228"/>
        <v>0</v>
      </c>
      <c r="K4890" s="369">
        <f t="shared" si="230"/>
        <v>6</v>
      </c>
      <c r="L4890" s="369">
        <f>+IF((C4890&gt;='Resultats - informe'!$E$16)*(C4890&lt;='Resultats - informe'!$G$16),1,0)</f>
        <v>1</v>
      </c>
      <c r="M4890" s="369" cm="1">
        <f t="array" ref="M4890">+_xlfn.IFS((C4890&gt;='Resultats - informe'!$D$26)*(C4890&lt;='Resultats - informe'!$E$26),0,(C4890&gt;='Resultats - informe'!$D$27)*(C4890&lt;='Resultats - informe'!$E$27),0,(C4890&gt;='Resultats - informe'!$D$28)*(C4890&lt;='Resultats - informe'!$E$28),0,(C4890&gt;='Resultats - informe'!$D$29)*(C4890&lt;='Resultats - informe'!$E$29),0,1,1)</f>
        <v>0</v>
      </c>
      <c r="N4890" s="366">
        <f>+VLOOKUP(D4890,'Resultats - informe'!$Y$18:$AG$42,'Introducció dades consum'!K4890+1,0)</f>
        <v>0</v>
      </c>
      <c r="O4890" s="370" cm="1">
        <f t="array" ref="O4890">+_xlfn.SWITCH(MONTH(C4890),1,1,2,1,3,1,4,2,5,2,6,3,7,3,8,3,9,3,10,2,11,2,12,1,2)</f>
        <v>1</v>
      </c>
      <c r="P4890" s="43"/>
    </row>
    <row r="4891" spans="1:16" ht="18" x14ac:dyDescent="0.35">
      <c r="A4891" s="9"/>
      <c r="C4891" s="393"/>
      <c r="E4891" s="394"/>
      <c r="F4891" s="394">
        <v>3.6999999999999998E-2</v>
      </c>
      <c r="G4891" s="394"/>
      <c r="H4891" s="8" t="s">
        <v>235</v>
      </c>
      <c r="I4891" s="368">
        <f t="shared" si="229"/>
        <v>0</v>
      </c>
      <c r="J4891" s="365">
        <f t="shared" si="228"/>
        <v>0</v>
      </c>
      <c r="K4891" s="369">
        <f t="shared" si="230"/>
        <v>6</v>
      </c>
      <c r="L4891" s="369">
        <f>+IF((C4891&gt;='Resultats - informe'!$E$16)*(C4891&lt;='Resultats - informe'!$G$16),1,0)</f>
        <v>1</v>
      </c>
      <c r="M4891" s="369" cm="1">
        <f t="array" ref="M4891">+_xlfn.IFS((C4891&gt;='Resultats - informe'!$D$26)*(C4891&lt;='Resultats - informe'!$E$26),0,(C4891&gt;='Resultats - informe'!$D$27)*(C4891&lt;='Resultats - informe'!$E$27),0,(C4891&gt;='Resultats - informe'!$D$28)*(C4891&lt;='Resultats - informe'!$E$28),0,(C4891&gt;='Resultats - informe'!$D$29)*(C4891&lt;='Resultats - informe'!$E$29),0,1,1)</f>
        <v>0</v>
      </c>
      <c r="N4891" s="366">
        <f>+VLOOKUP(D4891,'Resultats - informe'!$Y$18:$AG$42,'Introducció dades consum'!K4891+1,0)</f>
        <v>0</v>
      </c>
      <c r="O4891" s="370" cm="1">
        <f t="array" ref="O4891">+_xlfn.SWITCH(MONTH(C4891),1,1,2,1,3,1,4,2,5,2,6,3,7,3,8,3,9,3,10,2,11,2,12,1,2)</f>
        <v>1</v>
      </c>
      <c r="P4891" s="43"/>
    </row>
    <row r="4892" spans="1:16" ht="18" x14ac:dyDescent="0.35">
      <c r="A4892" s="9"/>
      <c r="C4892" s="393"/>
      <c r="E4892" s="394"/>
      <c r="F4892" s="394">
        <v>0</v>
      </c>
      <c r="G4892" s="394"/>
      <c r="H4892" s="8" t="s">
        <v>235</v>
      </c>
      <c r="I4892" s="368">
        <f t="shared" si="229"/>
        <v>0</v>
      </c>
      <c r="J4892" s="365">
        <f t="shared" si="228"/>
        <v>0</v>
      </c>
      <c r="K4892" s="369">
        <f t="shared" si="230"/>
        <v>6</v>
      </c>
      <c r="L4892" s="369">
        <f>+IF((C4892&gt;='Resultats - informe'!$E$16)*(C4892&lt;='Resultats - informe'!$G$16),1,0)</f>
        <v>1</v>
      </c>
      <c r="M4892" s="369" cm="1">
        <f t="array" ref="M4892">+_xlfn.IFS((C4892&gt;='Resultats - informe'!$D$26)*(C4892&lt;='Resultats - informe'!$E$26),0,(C4892&gt;='Resultats - informe'!$D$27)*(C4892&lt;='Resultats - informe'!$E$27),0,(C4892&gt;='Resultats - informe'!$D$28)*(C4892&lt;='Resultats - informe'!$E$28),0,(C4892&gt;='Resultats - informe'!$D$29)*(C4892&lt;='Resultats - informe'!$E$29),0,1,1)</f>
        <v>0</v>
      </c>
      <c r="N4892" s="366">
        <f>+VLOOKUP(D4892,'Resultats - informe'!$Y$18:$AG$42,'Introducció dades consum'!K4892+1,0)</f>
        <v>0</v>
      </c>
      <c r="O4892" s="370" cm="1">
        <f t="array" ref="O4892">+_xlfn.SWITCH(MONTH(C4892),1,1,2,1,3,1,4,2,5,2,6,3,7,3,8,3,9,3,10,2,11,2,12,1,2)</f>
        <v>1</v>
      </c>
      <c r="P4892" s="43"/>
    </row>
    <row r="4893" spans="1:16" ht="18" x14ac:dyDescent="0.35">
      <c r="A4893" s="9"/>
      <c r="C4893" s="393"/>
      <c r="E4893" s="394"/>
      <c r="F4893" s="394">
        <v>3.5139999999999998</v>
      </c>
      <c r="G4893" s="394"/>
      <c r="H4893" s="8" t="s">
        <v>235</v>
      </c>
      <c r="I4893" s="368">
        <f t="shared" si="229"/>
        <v>0</v>
      </c>
      <c r="J4893" s="365">
        <f t="shared" si="228"/>
        <v>0</v>
      </c>
      <c r="K4893" s="369">
        <f t="shared" si="230"/>
        <v>6</v>
      </c>
      <c r="L4893" s="369">
        <f>+IF((C4893&gt;='Resultats - informe'!$E$16)*(C4893&lt;='Resultats - informe'!$G$16),1,0)</f>
        <v>1</v>
      </c>
      <c r="M4893" s="369" cm="1">
        <f t="array" ref="M4893">+_xlfn.IFS((C4893&gt;='Resultats - informe'!$D$26)*(C4893&lt;='Resultats - informe'!$E$26),0,(C4893&gt;='Resultats - informe'!$D$27)*(C4893&lt;='Resultats - informe'!$E$27),0,(C4893&gt;='Resultats - informe'!$D$28)*(C4893&lt;='Resultats - informe'!$E$28),0,(C4893&gt;='Resultats - informe'!$D$29)*(C4893&lt;='Resultats - informe'!$E$29),0,1,1)</f>
        <v>0</v>
      </c>
      <c r="N4893" s="366">
        <f>+VLOOKUP(D4893,'Resultats - informe'!$Y$18:$AG$42,'Introducció dades consum'!K4893+1,0)</f>
        <v>0</v>
      </c>
      <c r="O4893" s="370" cm="1">
        <f t="array" ref="O4893">+_xlfn.SWITCH(MONTH(C4893),1,1,2,1,3,1,4,2,5,2,6,3,7,3,8,3,9,3,10,2,11,2,12,1,2)</f>
        <v>1</v>
      </c>
      <c r="P4893" s="43"/>
    </row>
    <row r="4894" spans="1:16" ht="18" x14ac:dyDescent="0.35">
      <c r="A4894" s="9"/>
      <c r="C4894" s="393"/>
      <c r="E4894" s="394"/>
      <c r="F4894" s="394">
        <v>1.2989999999999999</v>
      </c>
      <c r="G4894" s="394"/>
      <c r="H4894" s="8" t="s">
        <v>235</v>
      </c>
      <c r="I4894" s="368">
        <f t="shared" si="229"/>
        <v>0</v>
      </c>
      <c r="J4894" s="365">
        <f t="shared" si="228"/>
        <v>0</v>
      </c>
      <c r="K4894" s="369">
        <f t="shared" si="230"/>
        <v>6</v>
      </c>
      <c r="L4894" s="369">
        <f>+IF((C4894&gt;='Resultats - informe'!$E$16)*(C4894&lt;='Resultats - informe'!$G$16),1,0)</f>
        <v>1</v>
      </c>
      <c r="M4894" s="369" cm="1">
        <f t="array" ref="M4894">+_xlfn.IFS((C4894&gt;='Resultats - informe'!$D$26)*(C4894&lt;='Resultats - informe'!$E$26),0,(C4894&gt;='Resultats - informe'!$D$27)*(C4894&lt;='Resultats - informe'!$E$27),0,(C4894&gt;='Resultats - informe'!$D$28)*(C4894&lt;='Resultats - informe'!$E$28),0,(C4894&gt;='Resultats - informe'!$D$29)*(C4894&lt;='Resultats - informe'!$E$29),0,1,1)</f>
        <v>0</v>
      </c>
      <c r="N4894" s="366">
        <f>+VLOOKUP(D4894,'Resultats - informe'!$Y$18:$AG$42,'Introducció dades consum'!K4894+1,0)</f>
        <v>0</v>
      </c>
      <c r="O4894" s="370" cm="1">
        <f t="array" ref="O4894">+_xlfn.SWITCH(MONTH(C4894),1,1,2,1,3,1,4,2,5,2,6,3,7,3,8,3,9,3,10,2,11,2,12,1,2)</f>
        <v>1</v>
      </c>
      <c r="P4894" s="43"/>
    </row>
    <row r="4895" spans="1:16" ht="18" x14ac:dyDescent="0.35">
      <c r="A4895" s="9"/>
      <c r="C4895" s="393"/>
      <c r="E4895" s="394"/>
      <c r="F4895" s="394">
        <v>0.27500000000000002</v>
      </c>
      <c r="G4895" s="394"/>
      <c r="H4895" s="8" t="s">
        <v>235</v>
      </c>
      <c r="I4895" s="368">
        <f t="shared" si="229"/>
        <v>0</v>
      </c>
      <c r="J4895" s="365">
        <f t="shared" si="228"/>
        <v>0</v>
      </c>
      <c r="K4895" s="369">
        <f t="shared" si="230"/>
        <v>6</v>
      </c>
      <c r="L4895" s="369">
        <f>+IF((C4895&gt;='Resultats - informe'!$E$16)*(C4895&lt;='Resultats - informe'!$G$16),1,0)</f>
        <v>1</v>
      </c>
      <c r="M4895" s="369" cm="1">
        <f t="array" ref="M4895">+_xlfn.IFS((C4895&gt;='Resultats - informe'!$D$26)*(C4895&lt;='Resultats - informe'!$E$26),0,(C4895&gt;='Resultats - informe'!$D$27)*(C4895&lt;='Resultats - informe'!$E$27),0,(C4895&gt;='Resultats - informe'!$D$28)*(C4895&lt;='Resultats - informe'!$E$28),0,(C4895&gt;='Resultats - informe'!$D$29)*(C4895&lt;='Resultats - informe'!$E$29),0,1,1)</f>
        <v>0</v>
      </c>
      <c r="N4895" s="366">
        <f>+VLOOKUP(D4895,'Resultats - informe'!$Y$18:$AG$42,'Introducció dades consum'!K4895+1,0)</f>
        <v>0</v>
      </c>
      <c r="O4895" s="370" cm="1">
        <f t="array" ref="O4895">+_xlfn.SWITCH(MONTH(C4895),1,1,2,1,3,1,4,2,5,2,6,3,7,3,8,3,9,3,10,2,11,2,12,1,2)</f>
        <v>1</v>
      </c>
      <c r="P4895" s="43"/>
    </row>
    <row r="4896" spans="1:16" ht="18" x14ac:dyDescent="0.35">
      <c r="A4896" s="9"/>
      <c r="C4896" s="393"/>
      <c r="E4896" s="394"/>
      <c r="F4896" s="394">
        <v>0</v>
      </c>
      <c r="G4896" s="394"/>
      <c r="H4896" s="8" t="s">
        <v>235</v>
      </c>
      <c r="I4896" s="368">
        <f t="shared" si="229"/>
        <v>0</v>
      </c>
      <c r="J4896" s="365">
        <f t="shared" si="228"/>
        <v>0</v>
      </c>
      <c r="K4896" s="369">
        <f t="shared" si="230"/>
        <v>6</v>
      </c>
      <c r="L4896" s="369">
        <f>+IF((C4896&gt;='Resultats - informe'!$E$16)*(C4896&lt;='Resultats - informe'!$G$16),1,0)</f>
        <v>1</v>
      </c>
      <c r="M4896" s="369" cm="1">
        <f t="array" ref="M4896">+_xlfn.IFS((C4896&gt;='Resultats - informe'!$D$26)*(C4896&lt;='Resultats - informe'!$E$26),0,(C4896&gt;='Resultats - informe'!$D$27)*(C4896&lt;='Resultats - informe'!$E$27),0,(C4896&gt;='Resultats - informe'!$D$28)*(C4896&lt;='Resultats - informe'!$E$28),0,(C4896&gt;='Resultats - informe'!$D$29)*(C4896&lt;='Resultats - informe'!$E$29),0,1,1)</f>
        <v>0</v>
      </c>
      <c r="N4896" s="366">
        <f>+VLOOKUP(D4896,'Resultats - informe'!$Y$18:$AG$42,'Introducció dades consum'!K4896+1,0)</f>
        <v>0</v>
      </c>
      <c r="O4896" s="370" cm="1">
        <f t="array" ref="O4896">+_xlfn.SWITCH(MONTH(C4896),1,1,2,1,3,1,4,2,5,2,6,3,7,3,8,3,9,3,10,2,11,2,12,1,2)</f>
        <v>1</v>
      </c>
      <c r="P4896" s="43"/>
    </row>
    <row r="4897" spans="1:16" ht="18" x14ac:dyDescent="0.35">
      <c r="A4897" s="9"/>
      <c r="C4897" s="393"/>
      <c r="E4897" s="394"/>
      <c r="F4897" s="394">
        <v>0</v>
      </c>
      <c r="G4897" s="394"/>
      <c r="H4897" s="8" t="s">
        <v>235</v>
      </c>
      <c r="I4897" s="368">
        <f t="shared" si="229"/>
        <v>0</v>
      </c>
      <c r="J4897" s="365">
        <f t="shared" si="228"/>
        <v>0</v>
      </c>
      <c r="K4897" s="369">
        <f t="shared" si="230"/>
        <v>6</v>
      </c>
      <c r="L4897" s="369">
        <f>+IF((C4897&gt;='Resultats - informe'!$E$16)*(C4897&lt;='Resultats - informe'!$G$16),1,0)</f>
        <v>1</v>
      </c>
      <c r="M4897" s="369" cm="1">
        <f t="array" ref="M4897">+_xlfn.IFS((C4897&gt;='Resultats - informe'!$D$26)*(C4897&lt;='Resultats - informe'!$E$26),0,(C4897&gt;='Resultats - informe'!$D$27)*(C4897&lt;='Resultats - informe'!$E$27),0,(C4897&gt;='Resultats - informe'!$D$28)*(C4897&lt;='Resultats - informe'!$E$28),0,(C4897&gt;='Resultats - informe'!$D$29)*(C4897&lt;='Resultats - informe'!$E$29),0,1,1)</f>
        <v>0</v>
      </c>
      <c r="N4897" s="366">
        <f>+VLOOKUP(D4897,'Resultats - informe'!$Y$18:$AG$42,'Introducció dades consum'!K4897+1,0)</f>
        <v>0</v>
      </c>
      <c r="O4897" s="370" cm="1">
        <f t="array" ref="O4897">+_xlfn.SWITCH(MONTH(C4897),1,1,2,1,3,1,4,2,5,2,6,3,7,3,8,3,9,3,10,2,11,2,12,1,2)</f>
        <v>1</v>
      </c>
      <c r="P4897" s="43"/>
    </row>
    <row r="4898" spans="1:16" ht="18" x14ac:dyDescent="0.35">
      <c r="A4898" s="9"/>
      <c r="C4898" s="393"/>
      <c r="E4898" s="394"/>
      <c r="F4898" s="394">
        <v>0</v>
      </c>
      <c r="G4898" s="394"/>
      <c r="H4898" s="8" t="s">
        <v>235</v>
      </c>
      <c r="I4898" s="368">
        <f t="shared" si="229"/>
        <v>0</v>
      </c>
      <c r="J4898" s="365">
        <f t="shared" si="228"/>
        <v>0</v>
      </c>
      <c r="K4898" s="369">
        <f t="shared" si="230"/>
        <v>6</v>
      </c>
      <c r="L4898" s="369">
        <f>+IF((C4898&gt;='Resultats - informe'!$E$16)*(C4898&lt;='Resultats - informe'!$G$16),1,0)</f>
        <v>1</v>
      </c>
      <c r="M4898" s="369" cm="1">
        <f t="array" ref="M4898">+_xlfn.IFS((C4898&gt;='Resultats - informe'!$D$26)*(C4898&lt;='Resultats - informe'!$E$26),0,(C4898&gt;='Resultats - informe'!$D$27)*(C4898&lt;='Resultats - informe'!$E$27),0,(C4898&gt;='Resultats - informe'!$D$28)*(C4898&lt;='Resultats - informe'!$E$28),0,(C4898&gt;='Resultats - informe'!$D$29)*(C4898&lt;='Resultats - informe'!$E$29),0,1,1)</f>
        <v>0</v>
      </c>
      <c r="N4898" s="366">
        <f>+VLOOKUP(D4898,'Resultats - informe'!$Y$18:$AG$42,'Introducció dades consum'!K4898+1,0)</f>
        <v>0</v>
      </c>
      <c r="O4898" s="370" cm="1">
        <f t="array" ref="O4898">+_xlfn.SWITCH(MONTH(C4898),1,1,2,1,3,1,4,2,5,2,6,3,7,3,8,3,9,3,10,2,11,2,12,1,2)</f>
        <v>1</v>
      </c>
      <c r="P4898" s="43"/>
    </row>
    <row r="4899" spans="1:16" ht="18" x14ac:dyDescent="0.35">
      <c r="A4899" s="9"/>
      <c r="C4899" s="393"/>
      <c r="E4899" s="394"/>
      <c r="F4899" s="394">
        <v>0</v>
      </c>
      <c r="G4899" s="394"/>
      <c r="H4899" s="8" t="s">
        <v>235</v>
      </c>
      <c r="I4899" s="368">
        <f t="shared" si="229"/>
        <v>0</v>
      </c>
      <c r="J4899" s="365">
        <f t="shared" si="228"/>
        <v>0</v>
      </c>
      <c r="K4899" s="369">
        <f t="shared" si="230"/>
        <v>6</v>
      </c>
      <c r="L4899" s="369">
        <f>+IF((C4899&gt;='Resultats - informe'!$E$16)*(C4899&lt;='Resultats - informe'!$G$16),1,0)</f>
        <v>1</v>
      </c>
      <c r="M4899" s="369" cm="1">
        <f t="array" ref="M4899">+_xlfn.IFS((C4899&gt;='Resultats - informe'!$D$26)*(C4899&lt;='Resultats - informe'!$E$26),0,(C4899&gt;='Resultats - informe'!$D$27)*(C4899&lt;='Resultats - informe'!$E$27),0,(C4899&gt;='Resultats - informe'!$D$28)*(C4899&lt;='Resultats - informe'!$E$28),0,(C4899&gt;='Resultats - informe'!$D$29)*(C4899&lt;='Resultats - informe'!$E$29),0,1,1)</f>
        <v>0</v>
      </c>
      <c r="N4899" s="366">
        <f>+VLOOKUP(D4899,'Resultats - informe'!$Y$18:$AG$42,'Introducció dades consum'!K4899+1,0)</f>
        <v>0</v>
      </c>
      <c r="O4899" s="370" cm="1">
        <f t="array" ref="O4899">+_xlfn.SWITCH(MONTH(C4899),1,1,2,1,3,1,4,2,5,2,6,3,7,3,8,3,9,3,10,2,11,2,12,1,2)</f>
        <v>1</v>
      </c>
      <c r="P4899" s="43"/>
    </row>
    <row r="4900" spans="1:16" ht="18" x14ac:dyDescent="0.35">
      <c r="A4900" s="9"/>
      <c r="C4900" s="393"/>
      <c r="E4900" s="394"/>
      <c r="F4900" s="394">
        <v>0</v>
      </c>
      <c r="G4900" s="394"/>
      <c r="H4900" s="8" t="s">
        <v>235</v>
      </c>
      <c r="I4900" s="368">
        <f t="shared" si="229"/>
        <v>0</v>
      </c>
      <c r="J4900" s="365">
        <f t="shared" si="228"/>
        <v>0</v>
      </c>
      <c r="K4900" s="369">
        <f t="shared" si="230"/>
        <v>6</v>
      </c>
      <c r="L4900" s="369">
        <f>+IF((C4900&gt;='Resultats - informe'!$E$16)*(C4900&lt;='Resultats - informe'!$G$16),1,0)</f>
        <v>1</v>
      </c>
      <c r="M4900" s="369" cm="1">
        <f t="array" ref="M4900">+_xlfn.IFS((C4900&gt;='Resultats - informe'!$D$26)*(C4900&lt;='Resultats - informe'!$E$26),0,(C4900&gt;='Resultats - informe'!$D$27)*(C4900&lt;='Resultats - informe'!$E$27),0,(C4900&gt;='Resultats - informe'!$D$28)*(C4900&lt;='Resultats - informe'!$E$28),0,(C4900&gt;='Resultats - informe'!$D$29)*(C4900&lt;='Resultats - informe'!$E$29),0,1,1)</f>
        <v>0</v>
      </c>
      <c r="N4900" s="366">
        <f>+VLOOKUP(D4900,'Resultats - informe'!$Y$18:$AG$42,'Introducció dades consum'!K4900+1,0)</f>
        <v>0</v>
      </c>
      <c r="O4900" s="370" cm="1">
        <f t="array" ref="O4900">+_xlfn.SWITCH(MONTH(C4900),1,1,2,1,3,1,4,2,5,2,6,3,7,3,8,3,9,3,10,2,11,2,12,1,2)</f>
        <v>1</v>
      </c>
      <c r="P4900" s="43"/>
    </row>
    <row r="4901" spans="1:16" ht="18" x14ac:dyDescent="0.35">
      <c r="A4901" s="9"/>
      <c r="C4901" s="393"/>
      <c r="E4901" s="394"/>
      <c r="F4901" s="394">
        <v>0</v>
      </c>
      <c r="G4901" s="394"/>
      <c r="H4901" s="8" t="s">
        <v>235</v>
      </c>
      <c r="I4901" s="368">
        <f t="shared" si="229"/>
        <v>0</v>
      </c>
      <c r="J4901" s="365">
        <f t="shared" si="228"/>
        <v>0</v>
      </c>
      <c r="K4901" s="369">
        <f t="shared" si="230"/>
        <v>6</v>
      </c>
      <c r="L4901" s="369">
        <f>+IF((C4901&gt;='Resultats - informe'!$E$16)*(C4901&lt;='Resultats - informe'!$G$16),1,0)</f>
        <v>1</v>
      </c>
      <c r="M4901" s="369" cm="1">
        <f t="array" ref="M4901">+_xlfn.IFS((C4901&gt;='Resultats - informe'!$D$26)*(C4901&lt;='Resultats - informe'!$E$26),0,(C4901&gt;='Resultats - informe'!$D$27)*(C4901&lt;='Resultats - informe'!$E$27),0,(C4901&gt;='Resultats - informe'!$D$28)*(C4901&lt;='Resultats - informe'!$E$28),0,(C4901&gt;='Resultats - informe'!$D$29)*(C4901&lt;='Resultats - informe'!$E$29),0,1,1)</f>
        <v>0</v>
      </c>
      <c r="N4901" s="366">
        <f>+VLOOKUP(D4901,'Resultats - informe'!$Y$18:$AG$42,'Introducció dades consum'!K4901+1,0)</f>
        <v>0</v>
      </c>
      <c r="O4901" s="370" cm="1">
        <f t="array" ref="O4901">+_xlfn.SWITCH(MONTH(C4901),1,1,2,1,3,1,4,2,5,2,6,3,7,3,8,3,9,3,10,2,11,2,12,1,2)</f>
        <v>1</v>
      </c>
      <c r="P4901" s="43"/>
    </row>
    <row r="4902" spans="1:16" ht="18" x14ac:dyDescent="0.35">
      <c r="A4902" s="9"/>
      <c r="C4902" s="393"/>
      <c r="E4902" s="394"/>
      <c r="F4902" s="394">
        <v>0</v>
      </c>
      <c r="G4902" s="394"/>
      <c r="H4902" s="8" t="s">
        <v>235</v>
      </c>
      <c r="I4902" s="368">
        <f t="shared" si="229"/>
        <v>0</v>
      </c>
      <c r="J4902" s="365">
        <f t="shared" si="228"/>
        <v>0</v>
      </c>
      <c r="K4902" s="369">
        <f t="shared" si="230"/>
        <v>6</v>
      </c>
      <c r="L4902" s="369">
        <f>+IF((C4902&gt;='Resultats - informe'!$E$16)*(C4902&lt;='Resultats - informe'!$G$16),1,0)</f>
        <v>1</v>
      </c>
      <c r="M4902" s="369" cm="1">
        <f t="array" ref="M4902">+_xlfn.IFS((C4902&gt;='Resultats - informe'!$D$26)*(C4902&lt;='Resultats - informe'!$E$26),0,(C4902&gt;='Resultats - informe'!$D$27)*(C4902&lt;='Resultats - informe'!$E$27),0,(C4902&gt;='Resultats - informe'!$D$28)*(C4902&lt;='Resultats - informe'!$E$28),0,(C4902&gt;='Resultats - informe'!$D$29)*(C4902&lt;='Resultats - informe'!$E$29),0,1,1)</f>
        <v>0</v>
      </c>
      <c r="N4902" s="366">
        <f>+VLOOKUP(D4902,'Resultats - informe'!$Y$18:$AG$42,'Introducció dades consum'!K4902+1,0)</f>
        <v>0</v>
      </c>
      <c r="O4902" s="370" cm="1">
        <f t="array" ref="O4902">+_xlfn.SWITCH(MONTH(C4902),1,1,2,1,3,1,4,2,5,2,6,3,7,3,8,3,9,3,10,2,11,2,12,1,2)</f>
        <v>1</v>
      </c>
      <c r="P4902" s="43"/>
    </row>
    <row r="4903" spans="1:16" ht="18" x14ac:dyDescent="0.35">
      <c r="A4903" s="9"/>
      <c r="C4903" s="393"/>
      <c r="E4903" s="394"/>
      <c r="F4903" s="394">
        <v>0</v>
      </c>
      <c r="G4903" s="394"/>
      <c r="H4903" s="8" t="s">
        <v>235</v>
      </c>
      <c r="I4903" s="368">
        <f t="shared" si="229"/>
        <v>0</v>
      </c>
      <c r="J4903" s="365">
        <f t="shared" si="228"/>
        <v>0</v>
      </c>
      <c r="K4903" s="369">
        <f t="shared" si="230"/>
        <v>6</v>
      </c>
      <c r="L4903" s="369">
        <f>+IF((C4903&gt;='Resultats - informe'!$E$16)*(C4903&lt;='Resultats - informe'!$G$16),1,0)</f>
        <v>1</v>
      </c>
      <c r="M4903" s="369" cm="1">
        <f t="array" ref="M4903">+_xlfn.IFS((C4903&gt;='Resultats - informe'!$D$26)*(C4903&lt;='Resultats - informe'!$E$26),0,(C4903&gt;='Resultats - informe'!$D$27)*(C4903&lt;='Resultats - informe'!$E$27),0,(C4903&gt;='Resultats - informe'!$D$28)*(C4903&lt;='Resultats - informe'!$E$28),0,(C4903&gt;='Resultats - informe'!$D$29)*(C4903&lt;='Resultats - informe'!$E$29),0,1,1)</f>
        <v>0</v>
      </c>
      <c r="N4903" s="366">
        <f>+VLOOKUP(D4903,'Resultats - informe'!$Y$18:$AG$42,'Introducció dades consum'!K4903+1,0)</f>
        <v>0</v>
      </c>
      <c r="O4903" s="370" cm="1">
        <f t="array" ref="O4903">+_xlfn.SWITCH(MONTH(C4903),1,1,2,1,3,1,4,2,5,2,6,3,7,3,8,3,9,3,10,2,11,2,12,1,2)</f>
        <v>1</v>
      </c>
      <c r="P4903" s="43"/>
    </row>
    <row r="4904" spans="1:16" ht="18" x14ac:dyDescent="0.35">
      <c r="A4904" s="9"/>
      <c r="C4904" s="393"/>
      <c r="E4904" s="394"/>
      <c r="F4904" s="394">
        <v>0</v>
      </c>
      <c r="G4904" s="394"/>
      <c r="H4904" s="8" t="s">
        <v>235</v>
      </c>
      <c r="I4904" s="368">
        <f t="shared" si="229"/>
        <v>0</v>
      </c>
      <c r="J4904" s="365">
        <f t="shared" si="228"/>
        <v>0</v>
      </c>
      <c r="K4904" s="369">
        <f t="shared" si="230"/>
        <v>6</v>
      </c>
      <c r="L4904" s="369">
        <f>+IF((C4904&gt;='Resultats - informe'!$E$16)*(C4904&lt;='Resultats - informe'!$G$16),1,0)</f>
        <v>1</v>
      </c>
      <c r="M4904" s="369" cm="1">
        <f t="array" ref="M4904">+_xlfn.IFS((C4904&gt;='Resultats - informe'!$D$26)*(C4904&lt;='Resultats - informe'!$E$26),0,(C4904&gt;='Resultats - informe'!$D$27)*(C4904&lt;='Resultats - informe'!$E$27),0,(C4904&gt;='Resultats - informe'!$D$28)*(C4904&lt;='Resultats - informe'!$E$28),0,(C4904&gt;='Resultats - informe'!$D$29)*(C4904&lt;='Resultats - informe'!$E$29),0,1,1)</f>
        <v>0</v>
      </c>
      <c r="N4904" s="366">
        <f>+VLOOKUP(D4904,'Resultats - informe'!$Y$18:$AG$42,'Introducció dades consum'!K4904+1,0)</f>
        <v>0</v>
      </c>
      <c r="O4904" s="370" cm="1">
        <f t="array" ref="O4904">+_xlfn.SWITCH(MONTH(C4904),1,1,2,1,3,1,4,2,5,2,6,3,7,3,8,3,9,3,10,2,11,2,12,1,2)</f>
        <v>1</v>
      </c>
      <c r="P4904" s="43"/>
    </row>
    <row r="4905" spans="1:16" ht="18" x14ac:dyDescent="0.35">
      <c r="A4905" s="9"/>
      <c r="C4905" s="393"/>
      <c r="E4905" s="394"/>
      <c r="F4905" s="394">
        <v>0</v>
      </c>
      <c r="G4905" s="394"/>
      <c r="H4905" s="8" t="s">
        <v>235</v>
      </c>
      <c r="I4905" s="368">
        <f t="shared" si="229"/>
        <v>0</v>
      </c>
      <c r="J4905" s="365">
        <f t="shared" si="228"/>
        <v>0</v>
      </c>
      <c r="K4905" s="369">
        <f t="shared" si="230"/>
        <v>6</v>
      </c>
      <c r="L4905" s="369">
        <f>+IF((C4905&gt;='Resultats - informe'!$E$16)*(C4905&lt;='Resultats - informe'!$G$16),1,0)</f>
        <v>1</v>
      </c>
      <c r="M4905" s="369" cm="1">
        <f t="array" ref="M4905">+_xlfn.IFS((C4905&gt;='Resultats - informe'!$D$26)*(C4905&lt;='Resultats - informe'!$E$26),0,(C4905&gt;='Resultats - informe'!$D$27)*(C4905&lt;='Resultats - informe'!$E$27),0,(C4905&gt;='Resultats - informe'!$D$28)*(C4905&lt;='Resultats - informe'!$E$28),0,(C4905&gt;='Resultats - informe'!$D$29)*(C4905&lt;='Resultats - informe'!$E$29),0,1,1)</f>
        <v>0</v>
      </c>
      <c r="N4905" s="366">
        <f>+VLOOKUP(D4905,'Resultats - informe'!$Y$18:$AG$42,'Introducció dades consum'!K4905+1,0)</f>
        <v>0</v>
      </c>
      <c r="O4905" s="370" cm="1">
        <f t="array" ref="O4905">+_xlfn.SWITCH(MONTH(C4905),1,1,2,1,3,1,4,2,5,2,6,3,7,3,8,3,9,3,10,2,11,2,12,1,2)</f>
        <v>1</v>
      </c>
      <c r="P4905" s="43"/>
    </row>
    <row r="4906" spans="1:16" ht="18" x14ac:dyDescent="0.35">
      <c r="A4906" s="9"/>
      <c r="C4906" s="393"/>
      <c r="E4906" s="394"/>
      <c r="F4906" s="394">
        <v>0</v>
      </c>
      <c r="G4906" s="394"/>
      <c r="H4906" s="8" t="s">
        <v>235</v>
      </c>
      <c r="I4906" s="368">
        <f t="shared" si="229"/>
        <v>0</v>
      </c>
      <c r="J4906" s="365">
        <f t="shared" si="228"/>
        <v>0</v>
      </c>
      <c r="K4906" s="369">
        <f t="shared" si="230"/>
        <v>6</v>
      </c>
      <c r="L4906" s="369">
        <f>+IF((C4906&gt;='Resultats - informe'!$E$16)*(C4906&lt;='Resultats - informe'!$G$16),1,0)</f>
        <v>1</v>
      </c>
      <c r="M4906" s="369" cm="1">
        <f t="array" ref="M4906">+_xlfn.IFS((C4906&gt;='Resultats - informe'!$D$26)*(C4906&lt;='Resultats - informe'!$E$26),0,(C4906&gt;='Resultats - informe'!$D$27)*(C4906&lt;='Resultats - informe'!$E$27),0,(C4906&gt;='Resultats - informe'!$D$28)*(C4906&lt;='Resultats - informe'!$E$28),0,(C4906&gt;='Resultats - informe'!$D$29)*(C4906&lt;='Resultats - informe'!$E$29),0,1,1)</f>
        <v>0</v>
      </c>
      <c r="N4906" s="366">
        <f>+VLOOKUP(D4906,'Resultats - informe'!$Y$18:$AG$42,'Introducció dades consum'!K4906+1,0)</f>
        <v>0</v>
      </c>
      <c r="O4906" s="370" cm="1">
        <f t="array" ref="O4906">+_xlfn.SWITCH(MONTH(C4906),1,1,2,1,3,1,4,2,5,2,6,3,7,3,8,3,9,3,10,2,11,2,12,1,2)</f>
        <v>1</v>
      </c>
      <c r="P4906" s="43"/>
    </row>
    <row r="4907" spans="1:16" ht="18" x14ac:dyDescent="0.35">
      <c r="A4907" s="9"/>
      <c r="C4907" s="393"/>
      <c r="E4907" s="394"/>
      <c r="F4907" s="394">
        <v>0</v>
      </c>
      <c r="G4907" s="394"/>
      <c r="H4907" s="8" t="s">
        <v>235</v>
      </c>
      <c r="I4907" s="368">
        <f t="shared" si="229"/>
        <v>0</v>
      </c>
      <c r="J4907" s="365">
        <f t="shared" si="228"/>
        <v>0</v>
      </c>
      <c r="K4907" s="369">
        <f t="shared" si="230"/>
        <v>6</v>
      </c>
      <c r="L4907" s="369">
        <f>+IF((C4907&gt;='Resultats - informe'!$E$16)*(C4907&lt;='Resultats - informe'!$G$16),1,0)</f>
        <v>1</v>
      </c>
      <c r="M4907" s="369" cm="1">
        <f t="array" ref="M4907">+_xlfn.IFS((C4907&gt;='Resultats - informe'!$D$26)*(C4907&lt;='Resultats - informe'!$E$26),0,(C4907&gt;='Resultats - informe'!$D$27)*(C4907&lt;='Resultats - informe'!$E$27),0,(C4907&gt;='Resultats - informe'!$D$28)*(C4907&lt;='Resultats - informe'!$E$28),0,(C4907&gt;='Resultats - informe'!$D$29)*(C4907&lt;='Resultats - informe'!$E$29),0,1,1)</f>
        <v>0</v>
      </c>
      <c r="N4907" s="366">
        <f>+VLOOKUP(D4907,'Resultats - informe'!$Y$18:$AG$42,'Introducció dades consum'!K4907+1,0)</f>
        <v>0</v>
      </c>
      <c r="O4907" s="370" cm="1">
        <f t="array" ref="O4907">+_xlfn.SWITCH(MONTH(C4907),1,1,2,1,3,1,4,2,5,2,6,3,7,3,8,3,9,3,10,2,11,2,12,1,2)</f>
        <v>1</v>
      </c>
      <c r="P4907" s="43"/>
    </row>
    <row r="4908" spans="1:16" ht="18" x14ac:dyDescent="0.35">
      <c r="A4908" s="9"/>
      <c r="C4908" s="393"/>
      <c r="E4908" s="394"/>
      <c r="F4908" s="394">
        <v>0</v>
      </c>
      <c r="G4908" s="394"/>
      <c r="H4908" s="8" t="s">
        <v>235</v>
      </c>
      <c r="I4908" s="368">
        <f t="shared" si="229"/>
        <v>0</v>
      </c>
      <c r="J4908" s="365">
        <f t="shared" si="228"/>
        <v>0</v>
      </c>
      <c r="K4908" s="369">
        <f t="shared" si="230"/>
        <v>6</v>
      </c>
      <c r="L4908" s="369">
        <f>+IF((C4908&gt;='Resultats - informe'!$E$16)*(C4908&lt;='Resultats - informe'!$G$16),1,0)</f>
        <v>1</v>
      </c>
      <c r="M4908" s="369" cm="1">
        <f t="array" ref="M4908">+_xlfn.IFS((C4908&gt;='Resultats - informe'!$D$26)*(C4908&lt;='Resultats - informe'!$E$26),0,(C4908&gt;='Resultats - informe'!$D$27)*(C4908&lt;='Resultats - informe'!$E$27),0,(C4908&gt;='Resultats - informe'!$D$28)*(C4908&lt;='Resultats - informe'!$E$28),0,(C4908&gt;='Resultats - informe'!$D$29)*(C4908&lt;='Resultats - informe'!$E$29),0,1,1)</f>
        <v>0</v>
      </c>
      <c r="N4908" s="366">
        <f>+VLOOKUP(D4908,'Resultats - informe'!$Y$18:$AG$42,'Introducció dades consum'!K4908+1,0)</f>
        <v>0</v>
      </c>
      <c r="O4908" s="370" cm="1">
        <f t="array" ref="O4908">+_xlfn.SWITCH(MONTH(C4908),1,1,2,1,3,1,4,2,5,2,6,3,7,3,8,3,9,3,10,2,11,2,12,1,2)</f>
        <v>1</v>
      </c>
      <c r="P4908" s="43"/>
    </row>
    <row r="4909" spans="1:16" ht="18" x14ac:dyDescent="0.35">
      <c r="A4909" s="9"/>
      <c r="C4909" s="393"/>
      <c r="E4909" s="394"/>
      <c r="F4909" s="394">
        <v>0.96</v>
      </c>
      <c r="G4909" s="394"/>
      <c r="H4909" s="8" t="s">
        <v>235</v>
      </c>
      <c r="I4909" s="368">
        <f t="shared" si="229"/>
        <v>0</v>
      </c>
      <c r="J4909" s="365">
        <f t="shared" si="228"/>
        <v>0</v>
      </c>
      <c r="K4909" s="369">
        <f t="shared" si="230"/>
        <v>6</v>
      </c>
      <c r="L4909" s="369">
        <f>+IF((C4909&gt;='Resultats - informe'!$E$16)*(C4909&lt;='Resultats - informe'!$G$16),1,0)</f>
        <v>1</v>
      </c>
      <c r="M4909" s="369" cm="1">
        <f t="array" ref="M4909">+_xlfn.IFS((C4909&gt;='Resultats - informe'!$D$26)*(C4909&lt;='Resultats - informe'!$E$26),0,(C4909&gt;='Resultats - informe'!$D$27)*(C4909&lt;='Resultats - informe'!$E$27),0,(C4909&gt;='Resultats - informe'!$D$28)*(C4909&lt;='Resultats - informe'!$E$28),0,(C4909&gt;='Resultats - informe'!$D$29)*(C4909&lt;='Resultats - informe'!$E$29),0,1,1)</f>
        <v>0</v>
      </c>
      <c r="N4909" s="366">
        <f>+VLOOKUP(D4909,'Resultats - informe'!$Y$18:$AG$42,'Introducció dades consum'!K4909+1,0)</f>
        <v>0</v>
      </c>
      <c r="O4909" s="370" cm="1">
        <f t="array" ref="O4909">+_xlfn.SWITCH(MONTH(C4909),1,1,2,1,3,1,4,2,5,2,6,3,7,3,8,3,9,3,10,2,11,2,12,1,2)</f>
        <v>1</v>
      </c>
      <c r="P4909" s="43"/>
    </row>
    <row r="4910" spans="1:16" ht="18" x14ac:dyDescent="0.35">
      <c r="A4910" s="9"/>
      <c r="C4910" s="393"/>
      <c r="E4910" s="394"/>
      <c r="F4910" s="394">
        <v>1.5589999999999999</v>
      </c>
      <c r="G4910" s="394"/>
      <c r="H4910" s="8" t="s">
        <v>235</v>
      </c>
      <c r="I4910" s="368">
        <f t="shared" si="229"/>
        <v>0</v>
      </c>
      <c r="J4910" s="365">
        <f t="shared" si="228"/>
        <v>0</v>
      </c>
      <c r="K4910" s="369">
        <f t="shared" si="230"/>
        <v>6</v>
      </c>
      <c r="L4910" s="369">
        <f>+IF((C4910&gt;='Resultats - informe'!$E$16)*(C4910&lt;='Resultats - informe'!$G$16),1,0)</f>
        <v>1</v>
      </c>
      <c r="M4910" s="369" cm="1">
        <f t="array" ref="M4910">+_xlfn.IFS((C4910&gt;='Resultats - informe'!$D$26)*(C4910&lt;='Resultats - informe'!$E$26),0,(C4910&gt;='Resultats - informe'!$D$27)*(C4910&lt;='Resultats - informe'!$E$27),0,(C4910&gt;='Resultats - informe'!$D$28)*(C4910&lt;='Resultats - informe'!$E$28),0,(C4910&gt;='Resultats - informe'!$D$29)*(C4910&lt;='Resultats - informe'!$E$29),0,1,1)</f>
        <v>0</v>
      </c>
      <c r="N4910" s="366">
        <f>+VLOOKUP(D4910,'Resultats - informe'!$Y$18:$AG$42,'Introducció dades consum'!K4910+1,0)</f>
        <v>0</v>
      </c>
      <c r="O4910" s="370" cm="1">
        <f t="array" ref="O4910">+_xlfn.SWITCH(MONTH(C4910),1,1,2,1,3,1,4,2,5,2,6,3,7,3,8,3,9,3,10,2,11,2,12,1,2)</f>
        <v>1</v>
      </c>
      <c r="P4910" s="43"/>
    </row>
    <row r="4911" spans="1:16" ht="18" x14ac:dyDescent="0.35">
      <c r="A4911" s="9"/>
      <c r="C4911" s="393"/>
      <c r="E4911" s="394"/>
      <c r="F4911" s="394">
        <v>2.4500000000000002</v>
      </c>
      <c r="G4911" s="394"/>
      <c r="H4911" s="8" t="s">
        <v>235</v>
      </c>
      <c r="I4911" s="368">
        <f t="shared" si="229"/>
        <v>0</v>
      </c>
      <c r="J4911" s="365">
        <f t="shared" si="228"/>
        <v>0</v>
      </c>
      <c r="K4911" s="369">
        <f t="shared" si="230"/>
        <v>6</v>
      </c>
      <c r="L4911" s="369">
        <f>+IF((C4911&gt;='Resultats - informe'!$E$16)*(C4911&lt;='Resultats - informe'!$G$16),1,0)</f>
        <v>1</v>
      </c>
      <c r="M4911" s="369" cm="1">
        <f t="array" ref="M4911">+_xlfn.IFS((C4911&gt;='Resultats - informe'!$D$26)*(C4911&lt;='Resultats - informe'!$E$26),0,(C4911&gt;='Resultats - informe'!$D$27)*(C4911&lt;='Resultats - informe'!$E$27),0,(C4911&gt;='Resultats - informe'!$D$28)*(C4911&lt;='Resultats - informe'!$E$28),0,(C4911&gt;='Resultats - informe'!$D$29)*(C4911&lt;='Resultats - informe'!$E$29),0,1,1)</f>
        <v>0</v>
      </c>
      <c r="N4911" s="366">
        <f>+VLOOKUP(D4911,'Resultats - informe'!$Y$18:$AG$42,'Introducció dades consum'!K4911+1,0)</f>
        <v>0</v>
      </c>
      <c r="O4911" s="370" cm="1">
        <f t="array" ref="O4911">+_xlfn.SWITCH(MONTH(C4911),1,1,2,1,3,1,4,2,5,2,6,3,7,3,8,3,9,3,10,2,11,2,12,1,2)</f>
        <v>1</v>
      </c>
      <c r="P4911" s="43"/>
    </row>
    <row r="4912" spans="1:16" ht="18" x14ac:dyDescent="0.35">
      <c r="A4912" s="9"/>
      <c r="C4912" s="393"/>
      <c r="E4912" s="394"/>
      <c r="F4912" s="394">
        <v>3.6579999999999999</v>
      </c>
      <c r="G4912" s="394"/>
      <c r="H4912" s="8" t="s">
        <v>235</v>
      </c>
      <c r="I4912" s="368">
        <f t="shared" si="229"/>
        <v>0</v>
      </c>
      <c r="J4912" s="365">
        <f t="shared" si="228"/>
        <v>0</v>
      </c>
      <c r="K4912" s="369">
        <f t="shared" si="230"/>
        <v>6</v>
      </c>
      <c r="L4912" s="369">
        <f>+IF((C4912&gt;='Resultats - informe'!$E$16)*(C4912&lt;='Resultats - informe'!$G$16),1,0)</f>
        <v>1</v>
      </c>
      <c r="M4912" s="369" cm="1">
        <f t="array" ref="M4912">+_xlfn.IFS((C4912&gt;='Resultats - informe'!$D$26)*(C4912&lt;='Resultats - informe'!$E$26),0,(C4912&gt;='Resultats - informe'!$D$27)*(C4912&lt;='Resultats - informe'!$E$27),0,(C4912&gt;='Resultats - informe'!$D$28)*(C4912&lt;='Resultats - informe'!$E$28),0,(C4912&gt;='Resultats - informe'!$D$29)*(C4912&lt;='Resultats - informe'!$E$29),0,1,1)</f>
        <v>0</v>
      </c>
      <c r="N4912" s="366">
        <f>+VLOOKUP(D4912,'Resultats - informe'!$Y$18:$AG$42,'Introducció dades consum'!K4912+1,0)</f>
        <v>0</v>
      </c>
      <c r="O4912" s="370" cm="1">
        <f t="array" ref="O4912">+_xlfn.SWITCH(MONTH(C4912),1,1,2,1,3,1,4,2,5,2,6,3,7,3,8,3,9,3,10,2,11,2,12,1,2)</f>
        <v>1</v>
      </c>
      <c r="P4912" s="43"/>
    </row>
    <row r="4913" spans="1:16" ht="18" x14ac:dyDescent="0.35">
      <c r="A4913" s="9"/>
      <c r="C4913" s="393"/>
      <c r="E4913" s="394"/>
      <c r="F4913" s="394">
        <v>3.3130000000000002</v>
      </c>
      <c r="G4913" s="394"/>
      <c r="H4913" s="8" t="s">
        <v>235</v>
      </c>
      <c r="I4913" s="368">
        <f t="shared" si="229"/>
        <v>0</v>
      </c>
      <c r="J4913" s="365">
        <f t="shared" si="228"/>
        <v>0</v>
      </c>
      <c r="K4913" s="369">
        <f t="shared" si="230"/>
        <v>6</v>
      </c>
      <c r="L4913" s="369">
        <f>+IF((C4913&gt;='Resultats - informe'!$E$16)*(C4913&lt;='Resultats - informe'!$G$16),1,0)</f>
        <v>1</v>
      </c>
      <c r="M4913" s="369" cm="1">
        <f t="array" ref="M4913">+_xlfn.IFS((C4913&gt;='Resultats - informe'!$D$26)*(C4913&lt;='Resultats - informe'!$E$26),0,(C4913&gt;='Resultats - informe'!$D$27)*(C4913&lt;='Resultats - informe'!$E$27),0,(C4913&gt;='Resultats - informe'!$D$28)*(C4913&lt;='Resultats - informe'!$E$28),0,(C4913&gt;='Resultats - informe'!$D$29)*(C4913&lt;='Resultats - informe'!$E$29),0,1,1)</f>
        <v>0</v>
      </c>
      <c r="N4913" s="366">
        <f>+VLOOKUP(D4913,'Resultats - informe'!$Y$18:$AG$42,'Introducció dades consum'!K4913+1,0)</f>
        <v>0</v>
      </c>
      <c r="O4913" s="370" cm="1">
        <f t="array" ref="O4913">+_xlfn.SWITCH(MONTH(C4913),1,1,2,1,3,1,4,2,5,2,6,3,7,3,8,3,9,3,10,2,11,2,12,1,2)</f>
        <v>1</v>
      </c>
      <c r="P4913" s="43"/>
    </row>
    <row r="4914" spans="1:16" ht="18" x14ac:dyDescent="0.35">
      <c r="A4914" s="9"/>
      <c r="C4914" s="393"/>
      <c r="E4914" s="394"/>
      <c r="F4914" s="394">
        <v>1.61</v>
      </c>
      <c r="G4914" s="394"/>
      <c r="H4914" s="8" t="s">
        <v>235</v>
      </c>
      <c r="I4914" s="368">
        <f t="shared" si="229"/>
        <v>0</v>
      </c>
      <c r="J4914" s="365">
        <f t="shared" si="228"/>
        <v>0</v>
      </c>
      <c r="K4914" s="369">
        <f t="shared" si="230"/>
        <v>6</v>
      </c>
      <c r="L4914" s="369">
        <f>+IF((C4914&gt;='Resultats - informe'!$E$16)*(C4914&lt;='Resultats - informe'!$G$16),1,0)</f>
        <v>1</v>
      </c>
      <c r="M4914" s="369" cm="1">
        <f t="array" ref="M4914">+_xlfn.IFS((C4914&gt;='Resultats - informe'!$D$26)*(C4914&lt;='Resultats - informe'!$E$26),0,(C4914&gt;='Resultats - informe'!$D$27)*(C4914&lt;='Resultats - informe'!$E$27),0,(C4914&gt;='Resultats - informe'!$D$28)*(C4914&lt;='Resultats - informe'!$E$28),0,(C4914&gt;='Resultats - informe'!$D$29)*(C4914&lt;='Resultats - informe'!$E$29),0,1,1)</f>
        <v>0</v>
      </c>
      <c r="N4914" s="366">
        <f>+VLOOKUP(D4914,'Resultats - informe'!$Y$18:$AG$42,'Introducció dades consum'!K4914+1,0)</f>
        <v>0</v>
      </c>
      <c r="O4914" s="370" cm="1">
        <f t="array" ref="O4914">+_xlfn.SWITCH(MONTH(C4914),1,1,2,1,3,1,4,2,5,2,6,3,7,3,8,3,9,3,10,2,11,2,12,1,2)</f>
        <v>1</v>
      </c>
      <c r="P4914" s="43"/>
    </row>
    <row r="4915" spans="1:16" ht="18" x14ac:dyDescent="0.35">
      <c r="A4915" s="9"/>
      <c r="C4915" s="393"/>
      <c r="E4915" s="394"/>
      <c r="F4915" s="394">
        <v>1.5409999999999999</v>
      </c>
      <c r="G4915" s="394"/>
      <c r="H4915" s="8" t="s">
        <v>235</v>
      </c>
      <c r="I4915" s="368">
        <f t="shared" si="229"/>
        <v>0</v>
      </c>
      <c r="J4915" s="365">
        <f t="shared" si="228"/>
        <v>0</v>
      </c>
      <c r="K4915" s="369">
        <f t="shared" si="230"/>
        <v>6</v>
      </c>
      <c r="L4915" s="369">
        <f>+IF((C4915&gt;='Resultats - informe'!$E$16)*(C4915&lt;='Resultats - informe'!$G$16),1,0)</f>
        <v>1</v>
      </c>
      <c r="M4915" s="369" cm="1">
        <f t="array" ref="M4915">+_xlfn.IFS((C4915&gt;='Resultats - informe'!$D$26)*(C4915&lt;='Resultats - informe'!$E$26),0,(C4915&gt;='Resultats - informe'!$D$27)*(C4915&lt;='Resultats - informe'!$E$27),0,(C4915&gt;='Resultats - informe'!$D$28)*(C4915&lt;='Resultats - informe'!$E$28),0,(C4915&gt;='Resultats - informe'!$D$29)*(C4915&lt;='Resultats - informe'!$E$29),0,1,1)</f>
        <v>0</v>
      </c>
      <c r="N4915" s="366">
        <f>+VLOOKUP(D4915,'Resultats - informe'!$Y$18:$AG$42,'Introducció dades consum'!K4915+1,0)</f>
        <v>0</v>
      </c>
      <c r="O4915" s="370" cm="1">
        <f t="array" ref="O4915">+_xlfn.SWITCH(MONTH(C4915),1,1,2,1,3,1,4,2,5,2,6,3,7,3,8,3,9,3,10,2,11,2,12,1,2)</f>
        <v>1</v>
      </c>
      <c r="P4915" s="43"/>
    </row>
    <row r="4916" spans="1:16" ht="18" x14ac:dyDescent="0.35">
      <c r="A4916" s="9"/>
      <c r="C4916" s="393"/>
      <c r="E4916" s="394"/>
      <c r="F4916" s="394">
        <v>2.1589999999999998</v>
      </c>
      <c r="G4916" s="394"/>
      <c r="H4916" s="8" t="s">
        <v>235</v>
      </c>
      <c r="I4916" s="368">
        <f t="shared" si="229"/>
        <v>0</v>
      </c>
      <c r="J4916" s="365">
        <f t="shared" si="228"/>
        <v>0</v>
      </c>
      <c r="K4916" s="369">
        <f t="shared" si="230"/>
        <v>6</v>
      </c>
      <c r="L4916" s="369">
        <f>+IF((C4916&gt;='Resultats - informe'!$E$16)*(C4916&lt;='Resultats - informe'!$G$16),1,0)</f>
        <v>1</v>
      </c>
      <c r="M4916" s="369" cm="1">
        <f t="array" ref="M4916">+_xlfn.IFS((C4916&gt;='Resultats - informe'!$D$26)*(C4916&lt;='Resultats - informe'!$E$26),0,(C4916&gt;='Resultats - informe'!$D$27)*(C4916&lt;='Resultats - informe'!$E$27),0,(C4916&gt;='Resultats - informe'!$D$28)*(C4916&lt;='Resultats - informe'!$E$28),0,(C4916&gt;='Resultats - informe'!$D$29)*(C4916&lt;='Resultats - informe'!$E$29),0,1,1)</f>
        <v>0</v>
      </c>
      <c r="N4916" s="366">
        <f>+VLOOKUP(D4916,'Resultats - informe'!$Y$18:$AG$42,'Introducció dades consum'!K4916+1,0)</f>
        <v>0</v>
      </c>
      <c r="O4916" s="370" cm="1">
        <f t="array" ref="O4916">+_xlfn.SWITCH(MONTH(C4916),1,1,2,1,3,1,4,2,5,2,6,3,7,3,8,3,9,3,10,2,11,2,12,1,2)</f>
        <v>1</v>
      </c>
      <c r="P4916" s="43"/>
    </row>
    <row r="4917" spans="1:16" ht="18" x14ac:dyDescent="0.35">
      <c r="A4917" s="9"/>
      <c r="C4917" s="393"/>
      <c r="E4917" s="394"/>
      <c r="F4917" s="394">
        <v>1.002</v>
      </c>
      <c r="G4917" s="394"/>
      <c r="H4917" s="8" t="s">
        <v>235</v>
      </c>
      <c r="I4917" s="368">
        <f t="shared" si="229"/>
        <v>0</v>
      </c>
      <c r="J4917" s="365">
        <f t="shared" si="228"/>
        <v>0</v>
      </c>
      <c r="K4917" s="369">
        <f t="shared" si="230"/>
        <v>6</v>
      </c>
      <c r="L4917" s="369">
        <f>+IF((C4917&gt;='Resultats - informe'!$E$16)*(C4917&lt;='Resultats - informe'!$G$16),1,0)</f>
        <v>1</v>
      </c>
      <c r="M4917" s="369" cm="1">
        <f t="array" ref="M4917">+_xlfn.IFS((C4917&gt;='Resultats - informe'!$D$26)*(C4917&lt;='Resultats - informe'!$E$26),0,(C4917&gt;='Resultats - informe'!$D$27)*(C4917&lt;='Resultats - informe'!$E$27),0,(C4917&gt;='Resultats - informe'!$D$28)*(C4917&lt;='Resultats - informe'!$E$28),0,(C4917&gt;='Resultats - informe'!$D$29)*(C4917&lt;='Resultats - informe'!$E$29),0,1,1)</f>
        <v>0</v>
      </c>
      <c r="N4917" s="366">
        <f>+VLOOKUP(D4917,'Resultats - informe'!$Y$18:$AG$42,'Introducció dades consum'!K4917+1,0)</f>
        <v>0</v>
      </c>
      <c r="O4917" s="370" cm="1">
        <f t="array" ref="O4917">+_xlfn.SWITCH(MONTH(C4917),1,1,2,1,3,1,4,2,5,2,6,3,7,3,8,3,9,3,10,2,11,2,12,1,2)</f>
        <v>1</v>
      </c>
      <c r="P4917" s="43"/>
    </row>
    <row r="4918" spans="1:16" ht="18" x14ac:dyDescent="0.35">
      <c r="A4918" s="9"/>
      <c r="C4918" s="393"/>
      <c r="E4918" s="394"/>
      <c r="F4918" s="394">
        <v>0.05</v>
      </c>
      <c r="G4918" s="394"/>
      <c r="H4918" s="8" t="s">
        <v>235</v>
      </c>
      <c r="I4918" s="368">
        <f t="shared" si="229"/>
        <v>0</v>
      </c>
      <c r="J4918" s="365">
        <f t="shared" si="228"/>
        <v>0</v>
      </c>
      <c r="K4918" s="369">
        <f t="shared" si="230"/>
        <v>6</v>
      </c>
      <c r="L4918" s="369">
        <f>+IF((C4918&gt;='Resultats - informe'!$E$16)*(C4918&lt;='Resultats - informe'!$G$16),1,0)</f>
        <v>1</v>
      </c>
      <c r="M4918" s="369" cm="1">
        <f t="array" ref="M4918">+_xlfn.IFS((C4918&gt;='Resultats - informe'!$D$26)*(C4918&lt;='Resultats - informe'!$E$26),0,(C4918&gt;='Resultats - informe'!$D$27)*(C4918&lt;='Resultats - informe'!$E$27),0,(C4918&gt;='Resultats - informe'!$D$28)*(C4918&lt;='Resultats - informe'!$E$28),0,(C4918&gt;='Resultats - informe'!$D$29)*(C4918&lt;='Resultats - informe'!$E$29),0,1,1)</f>
        <v>0</v>
      </c>
      <c r="N4918" s="366">
        <f>+VLOOKUP(D4918,'Resultats - informe'!$Y$18:$AG$42,'Introducció dades consum'!K4918+1,0)</f>
        <v>0</v>
      </c>
      <c r="O4918" s="370" cm="1">
        <f t="array" ref="O4918">+_xlfn.SWITCH(MONTH(C4918),1,1,2,1,3,1,4,2,5,2,6,3,7,3,8,3,9,3,10,2,11,2,12,1,2)</f>
        <v>1</v>
      </c>
      <c r="P4918" s="43"/>
    </row>
    <row r="4919" spans="1:16" ht="18" x14ac:dyDescent="0.35">
      <c r="A4919" s="9"/>
      <c r="C4919" s="393"/>
      <c r="E4919" s="394"/>
      <c r="F4919" s="394">
        <v>0</v>
      </c>
      <c r="G4919" s="394"/>
      <c r="H4919" s="8" t="s">
        <v>235</v>
      </c>
      <c r="I4919" s="368">
        <f t="shared" si="229"/>
        <v>0</v>
      </c>
      <c r="J4919" s="365">
        <f t="shared" si="228"/>
        <v>0</v>
      </c>
      <c r="K4919" s="369">
        <f t="shared" si="230"/>
        <v>6</v>
      </c>
      <c r="L4919" s="369">
        <f>+IF((C4919&gt;='Resultats - informe'!$E$16)*(C4919&lt;='Resultats - informe'!$G$16),1,0)</f>
        <v>1</v>
      </c>
      <c r="M4919" s="369" cm="1">
        <f t="array" ref="M4919">+_xlfn.IFS((C4919&gt;='Resultats - informe'!$D$26)*(C4919&lt;='Resultats - informe'!$E$26),0,(C4919&gt;='Resultats - informe'!$D$27)*(C4919&lt;='Resultats - informe'!$E$27),0,(C4919&gt;='Resultats - informe'!$D$28)*(C4919&lt;='Resultats - informe'!$E$28),0,(C4919&gt;='Resultats - informe'!$D$29)*(C4919&lt;='Resultats - informe'!$E$29),0,1,1)</f>
        <v>0</v>
      </c>
      <c r="N4919" s="366">
        <f>+VLOOKUP(D4919,'Resultats - informe'!$Y$18:$AG$42,'Introducció dades consum'!K4919+1,0)</f>
        <v>0</v>
      </c>
      <c r="O4919" s="370" cm="1">
        <f t="array" ref="O4919">+_xlfn.SWITCH(MONTH(C4919),1,1,2,1,3,1,4,2,5,2,6,3,7,3,8,3,9,3,10,2,11,2,12,1,2)</f>
        <v>1</v>
      </c>
      <c r="P4919" s="43"/>
    </row>
    <row r="4920" spans="1:16" ht="18" x14ac:dyDescent="0.35">
      <c r="A4920" s="9"/>
      <c r="C4920" s="393"/>
      <c r="E4920" s="394"/>
      <c r="F4920" s="394">
        <v>0</v>
      </c>
      <c r="G4920" s="394"/>
      <c r="H4920" s="8" t="s">
        <v>235</v>
      </c>
      <c r="I4920" s="368">
        <f t="shared" si="229"/>
        <v>0</v>
      </c>
      <c r="J4920" s="365">
        <f t="shared" si="228"/>
        <v>0</v>
      </c>
      <c r="K4920" s="369">
        <f t="shared" si="230"/>
        <v>6</v>
      </c>
      <c r="L4920" s="369">
        <f>+IF((C4920&gt;='Resultats - informe'!$E$16)*(C4920&lt;='Resultats - informe'!$G$16),1,0)</f>
        <v>1</v>
      </c>
      <c r="M4920" s="369" cm="1">
        <f t="array" ref="M4920">+_xlfn.IFS((C4920&gt;='Resultats - informe'!$D$26)*(C4920&lt;='Resultats - informe'!$E$26),0,(C4920&gt;='Resultats - informe'!$D$27)*(C4920&lt;='Resultats - informe'!$E$27),0,(C4920&gt;='Resultats - informe'!$D$28)*(C4920&lt;='Resultats - informe'!$E$28),0,(C4920&gt;='Resultats - informe'!$D$29)*(C4920&lt;='Resultats - informe'!$E$29),0,1,1)</f>
        <v>0</v>
      </c>
      <c r="N4920" s="366">
        <f>+VLOOKUP(D4920,'Resultats - informe'!$Y$18:$AG$42,'Introducció dades consum'!K4920+1,0)</f>
        <v>0</v>
      </c>
      <c r="O4920" s="370" cm="1">
        <f t="array" ref="O4920">+_xlfn.SWITCH(MONTH(C4920),1,1,2,1,3,1,4,2,5,2,6,3,7,3,8,3,9,3,10,2,11,2,12,1,2)</f>
        <v>1</v>
      </c>
      <c r="P4920" s="43"/>
    </row>
    <row r="4921" spans="1:16" ht="18" x14ac:dyDescent="0.35">
      <c r="A4921" s="9"/>
      <c r="C4921" s="393"/>
      <c r="E4921" s="394"/>
      <c r="F4921" s="394">
        <v>0</v>
      </c>
      <c r="G4921" s="394"/>
      <c r="H4921" s="8" t="s">
        <v>235</v>
      </c>
      <c r="I4921" s="368">
        <f t="shared" si="229"/>
        <v>0</v>
      </c>
      <c r="J4921" s="365">
        <f t="shared" si="228"/>
        <v>0</v>
      </c>
      <c r="K4921" s="369">
        <f t="shared" si="230"/>
        <v>6</v>
      </c>
      <c r="L4921" s="369">
        <f>+IF((C4921&gt;='Resultats - informe'!$E$16)*(C4921&lt;='Resultats - informe'!$G$16),1,0)</f>
        <v>1</v>
      </c>
      <c r="M4921" s="369" cm="1">
        <f t="array" ref="M4921">+_xlfn.IFS((C4921&gt;='Resultats - informe'!$D$26)*(C4921&lt;='Resultats - informe'!$E$26),0,(C4921&gt;='Resultats - informe'!$D$27)*(C4921&lt;='Resultats - informe'!$E$27),0,(C4921&gt;='Resultats - informe'!$D$28)*(C4921&lt;='Resultats - informe'!$E$28),0,(C4921&gt;='Resultats - informe'!$D$29)*(C4921&lt;='Resultats - informe'!$E$29),0,1,1)</f>
        <v>0</v>
      </c>
      <c r="N4921" s="366">
        <f>+VLOOKUP(D4921,'Resultats - informe'!$Y$18:$AG$42,'Introducció dades consum'!K4921+1,0)</f>
        <v>0</v>
      </c>
      <c r="O4921" s="370" cm="1">
        <f t="array" ref="O4921">+_xlfn.SWITCH(MONTH(C4921),1,1,2,1,3,1,4,2,5,2,6,3,7,3,8,3,9,3,10,2,11,2,12,1,2)</f>
        <v>1</v>
      </c>
      <c r="P4921" s="43"/>
    </row>
    <row r="4922" spans="1:16" ht="18" x14ac:dyDescent="0.35">
      <c r="A4922" s="9"/>
      <c r="C4922" s="393"/>
      <c r="E4922" s="394"/>
      <c r="F4922" s="394">
        <v>0</v>
      </c>
      <c r="G4922" s="394"/>
      <c r="H4922" s="8" t="s">
        <v>235</v>
      </c>
      <c r="I4922" s="368">
        <f t="shared" si="229"/>
        <v>0</v>
      </c>
      <c r="J4922" s="365">
        <f t="shared" si="228"/>
        <v>0</v>
      </c>
      <c r="K4922" s="369">
        <f t="shared" si="230"/>
        <v>6</v>
      </c>
      <c r="L4922" s="369">
        <f>+IF((C4922&gt;='Resultats - informe'!$E$16)*(C4922&lt;='Resultats - informe'!$G$16),1,0)</f>
        <v>1</v>
      </c>
      <c r="M4922" s="369" cm="1">
        <f t="array" ref="M4922">+_xlfn.IFS((C4922&gt;='Resultats - informe'!$D$26)*(C4922&lt;='Resultats - informe'!$E$26),0,(C4922&gt;='Resultats - informe'!$D$27)*(C4922&lt;='Resultats - informe'!$E$27),0,(C4922&gt;='Resultats - informe'!$D$28)*(C4922&lt;='Resultats - informe'!$E$28),0,(C4922&gt;='Resultats - informe'!$D$29)*(C4922&lt;='Resultats - informe'!$E$29),0,1,1)</f>
        <v>0</v>
      </c>
      <c r="N4922" s="366">
        <f>+VLOOKUP(D4922,'Resultats - informe'!$Y$18:$AG$42,'Introducció dades consum'!K4922+1,0)</f>
        <v>0</v>
      </c>
      <c r="O4922" s="370" cm="1">
        <f t="array" ref="O4922">+_xlfn.SWITCH(MONTH(C4922),1,1,2,1,3,1,4,2,5,2,6,3,7,3,8,3,9,3,10,2,11,2,12,1,2)</f>
        <v>1</v>
      </c>
      <c r="P4922" s="43"/>
    </row>
    <row r="4923" spans="1:16" ht="18" x14ac:dyDescent="0.35">
      <c r="A4923" s="9"/>
      <c r="C4923" s="393"/>
      <c r="E4923" s="394"/>
      <c r="F4923" s="394">
        <v>0</v>
      </c>
      <c r="G4923" s="394"/>
      <c r="H4923" s="8" t="s">
        <v>235</v>
      </c>
      <c r="I4923" s="368">
        <f t="shared" si="229"/>
        <v>0</v>
      </c>
      <c r="J4923" s="365">
        <f t="shared" ref="J4923:J4986" si="231">+C4923</f>
        <v>0</v>
      </c>
      <c r="K4923" s="369">
        <f t="shared" si="230"/>
        <v>6</v>
      </c>
      <c r="L4923" s="369">
        <f>+IF((C4923&gt;='Resultats - informe'!$E$16)*(C4923&lt;='Resultats - informe'!$G$16),1,0)</f>
        <v>1</v>
      </c>
      <c r="M4923" s="369" cm="1">
        <f t="array" ref="M4923">+_xlfn.IFS((C4923&gt;='Resultats - informe'!$D$26)*(C4923&lt;='Resultats - informe'!$E$26),0,(C4923&gt;='Resultats - informe'!$D$27)*(C4923&lt;='Resultats - informe'!$E$27),0,(C4923&gt;='Resultats - informe'!$D$28)*(C4923&lt;='Resultats - informe'!$E$28),0,(C4923&gt;='Resultats - informe'!$D$29)*(C4923&lt;='Resultats - informe'!$E$29),0,1,1)</f>
        <v>0</v>
      </c>
      <c r="N4923" s="366">
        <f>+VLOOKUP(D4923,'Resultats - informe'!$Y$18:$AG$42,'Introducció dades consum'!K4923+1,0)</f>
        <v>0</v>
      </c>
      <c r="O4923" s="370" cm="1">
        <f t="array" ref="O4923">+_xlfn.SWITCH(MONTH(C4923),1,1,2,1,3,1,4,2,5,2,6,3,7,3,8,3,9,3,10,2,11,2,12,1,2)</f>
        <v>1</v>
      </c>
      <c r="P4923" s="43"/>
    </row>
    <row r="4924" spans="1:16" ht="18" x14ac:dyDescent="0.35">
      <c r="A4924" s="9"/>
      <c r="C4924" s="393"/>
      <c r="E4924" s="394"/>
      <c r="F4924" s="394">
        <v>0</v>
      </c>
      <c r="G4924" s="394"/>
      <c r="H4924" s="8" t="s">
        <v>235</v>
      </c>
      <c r="I4924" s="368">
        <f t="shared" si="229"/>
        <v>0</v>
      </c>
      <c r="J4924" s="365">
        <f t="shared" si="231"/>
        <v>0</v>
      </c>
      <c r="K4924" s="369">
        <f t="shared" si="230"/>
        <v>6</v>
      </c>
      <c r="L4924" s="369">
        <f>+IF((C4924&gt;='Resultats - informe'!$E$16)*(C4924&lt;='Resultats - informe'!$G$16),1,0)</f>
        <v>1</v>
      </c>
      <c r="M4924" s="369" cm="1">
        <f t="array" ref="M4924">+_xlfn.IFS((C4924&gt;='Resultats - informe'!$D$26)*(C4924&lt;='Resultats - informe'!$E$26),0,(C4924&gt;='Resultats - informe'!$D$27)*(C4924&lt;='Resultats - informe'!$E$27),0,(C4924&gt;='Resultats - informe'!$D$28)*(C4924&lt;='Resultats - informe'!$E$28),0,(C4924&gt;='Resultats - informe'!$D$29)*(C4924&lt;='Resultats - informe'!$E$29),0,1,1)</f>
        <v>0</v>
      </c>
      <c r="N4924" s="366">
        <f>+VLOOKUP(D4924,'Resultats - informe'!$Y$18:$AG$42,'Introducció dades consum'!K4924+1,0)</f>
        <v>0</v>
      </c>
      <c r="O4924" s="370" cm="1">
        <f t="array" ref="O4924">+_xlfn.SWITCH(MONTH(C4924),1,1,2,1,3,1,4,2,5,2,6,3,7,3,8,3,9,3,10,2,11,2,12,1,2)</f>
        <v>1</v>
      </c>
      <c r="P4924" s="43"/>
    </row>
    <row r="4925" spans="1:16" ht="18" x14ac:dyDescent="0.35">
      <c r="A4925" s="9"/>
      <c r="C4925" s="393"/>
      <c r="E4925" s="394"/>
      <c r="F4925" s="394">
        <v>0</v>
      </c>
      <c r="G4925" s="394"/>
      <c r="H4925" s="8" t="s">
        <v>235</v>
      </c>
      <c r="I4925" s="368">
        <f t="shared" si="229"/>
        <v>0</v>
      </c>
      <c r="J4925" s="365">
        <f t="shared" si="231"/>
        <v>0</v>
      </c>
      <c r="K4925" s="369">
        <f t="shared" si="230"/>
        <v>6</v>
      </c>
      <c r="L4925" s="369">
        <f>+IF((C4925&gt;='Resultats - informe'!$E$16)*(C4925&lt;='Resultats - informe'!$G$16),1,0)</f>
        <v>1</v>
      </c>
      <c r="M4925" s="369" cm="1">
        <f t="array" ref="M4925">+_xlfn.IFS((C4925&gt;='Resultats - informe'!$D$26)*(C4925&lt;='Resultats - informe'!$E$26),0,(C4925&gt;='Resultats - informe'!$D$27)*(C4925&lt;='Resultats - informe'!$E$27),0,(C4925&gt;='Resultats - informe'!$D$28)*(C4925&lt;='Resultats - informe'!$E$28),0,(C4925&gt;='Resultats - informe'!$D$29)*(C4925&lt;='Resultats - informe'!$E$29),0,1,1)</f>
        <v>0</v>
      </c>
      <c r="N4925" s="366">
        <f>+VLOOKUP(D4925,'Resultats - informe'!$Y$18:$AG$42,'Introducció dades consum'!K4925+1,0)</f>
        <v>0</v>
      </c>
      <c r="O4925" s="370" cm="1">
        <f t="array" ref="O4925">+_xlfn.SWITCH(MONTH(C4925),1,1,2,1,3,1,4,2,5,2,6,3,7,3,8,3,9,3,10,2,11,2,12,1,2)</f>
        <v>1</v>
      </c>
      <c r="P4925" s="43"/>
    </row>
    <row r="4926" spans="1:16" ht="18" x14ac:dyDescent="0.35">
      <c r="A4926" s="9"/>
      <c r="C4926" s="393"/>
      <c r="E4926" s="394"/>
      <c r="F4926" s="394">
        <v>0</v>
      </c>
      <c r="G4926" s="394"/>
      <c r="H4926" s="8" t="s">
        <v>235</v>
      </c>
      <c r="I4926" s="368">
        <f t="shared" si="229"/>
        <v>0</v>
      </c>
      <c r="J4926" s="365">
        <f t="shared" si="231"/>
        <v>0</v>
      </c>
      <c r="K4926" s="369">
        <f t="shared" si="230"/>
        <v>6</v>
      </c>
      <c r="L4926" s="369">
        <f>+IF((C4926&gt;='Resultats - informe'!$E$16)*(C4926&lt;='Resultats - informe'!$G$16),1,0)</f>
        <v>1</v>
      </c>
      <c r="M4926" s="369" cm="1">
        <f t="array" ref="M4926">+_xlfn.IFS((C4926&gt;='Resultats - informe'!$D$26)*(C4926&lt;='Resultats - informe'!$E$26),0,(C4926&gt;='Resultats - informe'!$D$27)*(C4926&lt;='Resultats - informe'!$E$27),0,(C4926&gt;='Resultats - informe'!$D$28)*(C4926&lt;='Resultats - informe'!$E$28),0,(C4926&gt;='Resultats - informe'!$D$29)*(C4926&lt;='Resultats - informe'!$E$29),0,1,1)</f>
        <v>0</v>
      </c>
      <c r="N4926" s="366">
        <f>+VLOOKUP(D4926,'Resultats - informe'!$Y$18:$AG$42,'Introducció dades consum'!K4926+1,0)</f>
        <v>0</v>
      </c>
      <c r="O4926" s="370" cm="1">
        <f t="array" ref="O4926">+_xlfn.SWITCH(MONTH(C4926),1,1,2,1,3,1,4,2,5,2,6,3,7,3,8,3,9,3,10,2,11,2,12,1,2)</f>
        <v>1</v>
      </c>
      <c r="P4926" s="43"/>
    </row>
    <row r="4927" spans="1:16" ht="18" x14ac:dyDescent="0.35">
      <c r="A4927" s="9"/>
      <c r="C4927" s="393"/>
      <c r="E4927" s="394"/>
      <c r="F4927" s="394">
        <v>0</v>
      </c>
      <c r="G4927" s="394"/>
      <c r="H4927" s="8" t="s">
        <v>235</v>
      </c>
      <c r="I4927" s="368">
        <f t="shared" si="229"/>
        <v>0</v>
      </c>
      <c r="J4927" s="365">
        <f t="shared" si="231"/>
        <v>0</v>
      </c>
      <c r="K4927" s="369">
        <f t="shared" si="230"/>
        <v>6</v>
      </c>
      <c r="L4927" s="369">
        <f>+IF((C4927&gt;='Resultats - informe'!$E$16)*(C4927&lt;='Resultats - informe'!$G$16),1,0)</f>
        <v>1</v>
      </c>
      <c r="M4927" s="369" cm="1">
        <f t="array" ref="M4927">+_xlfn.IFS((C4927&gt;='Resultats - informe'!$D$26)*(C4927&lt;='Resultats - informe'!$E$26),0,(C4927&gt;='Resultats - informe'!$D$27)*(C4927&lt;='Resultats - informe'!$E$27),0,(C4927&gt;='Resultats - informe'!$D$28)*(C4927&lt;='Resultats - informe'!$E$28),0,(C4927&gt;='Resultats - informe'!$D$29)*(C4927&lt;='Resultats - informe'!$E$29),0,1,1)</f>
        <v>0</v>
      </c>
      <c r="N4927" s="366">
        <f>+VLOOKUP(D4927,'Resultats - informe'!$Y$18:$AG$42,'Introducció dades consum'!K4927+1,0)</f>
        <v>0</v>
      </c>
      <c r="O4927" s="370" cm="1">
        <f t="array" ref="O4927">+_xlfn.SWITCH(MONTH(C4927),1,1,2,1,3,1,4,2,5,2,6,3,7,3,8,3,9,3,10,2,11,2,12,1,2)</f>
        <v>1</v>
      </c>
      <c r="P4927" s="43"/>
    </row>
    <row r="4928" spans="1:16" ht="18" x14ac:dyDescent="0.35">
      <c r="A4928" s="9"/>
      <c r="C4928" s="393"/>
      <c r="E4928" s="394"/>
      <c r="F4928" s="394">
        <v>0</v>
      </c>
      <c r="G4928" s="394"/>
      <c r="H4928" s="8" t="s">
        <v>235</v>
      </c>
      <c r="I4928" s="368">
        <f t="shared" si="229"/>
        <v>0</v>
      </c>
      <c r="J4928" s="365">
        <f t="shared" si="231"/>
        <v>0</v>
      </c>
      <c r="K4928" s="369">
        <f t="shared" si="230"/>
        <v>6</v>
      </c>
      <c r="L4928" s="369">
        <f>+IF((C4928&gt;='Resultats - informe'!$E$16)*(C4928&lt;='Resultats - informe'!$G$16),1,0)</f>
        <v>1</v>
      </c>
      <c r="M4928" s="369" cm="1">
        <f t="array" ref="M4928">+_xlfn.IFS((C4928&gt;='Resultats - informe'!$D$26)*(C4928&lt;='Resultats - informe'!$E$26),0,(C4928&gt;='Resultats - informe'!$D$27)*(C4928&lt;='Resultats - informe'!$E$27),0,(C4928&gt;='Resultats - informe'!$D$28)*(C4928&lt;='Resultats - informe'!$E$28),0,(C4928&gt;='Resultats - informe'!$D$29)*(C4928&lt;='Resultats - informe'!$E$29),0,1,1)</f>
        <v>0</v>
      </c>
      <c r="N4928" s="366">
        <f>+VLOOKUP(D4928,'Resultats - informe'!$Y$18:$AG$42,'Introducció dades consum'!K4928+1,0)</f>
        <v>0</v>
      </c>
      <c r="O4928" s="370" cm="1">
        <f t="array" ref="O4928">+_xlfn.SWITCH(MONTH(C4928),1,1,2,1,3,1,4,2,5,2,6,3,7,3,8,3,9,3,10,2,11,2,12,1,2)</f>
        <v>1</v>
      </c>
      <c r="P4928" s="43"/>
    </row>
    <row r="4929" spans="1:16" ht="18" x14ac:dyDescent="0.35">
      <c r="A4929" s="9"/>
      <c r="C4929" s="393"/>
      <c r="E4929" s="394"/>
      <c r="F4929" s="394">
        <v>0</v>
      </c>
      <c r="G4929" s="394"/>
      <c r="H4929" s="8" t="s">
        <v>235</v>
      </c>
      <c r="I4929" s="368">
        <f t="shared" si="229"/>
        <v>0</v>
      </c>
      <c r="J4929" s="365">
        <f t="shared" si="231"/>
        <v>0</v>
      </c>
      <c r="K4929" s="369">
        <f t="shared" si="230"/>
        <v>6</v>
      </c>
      <c r="L4929" s="369">
        <f>+IF((C4929&gt;='Resultats - informe'!$E$16)*(C4929&lt;='Resultats - informe'!$G$16),1,0)</f>
        <v>1</v>
      </c>
      <c r="M4929" s="369" cm="1">
        <f t="array" ref="M4929">+_xlfn.IFS((C4929&gt;='Resultats - informe'!$D$26)*(C4929&lt;='Resultats - informe'!$E$26),0,(C4929&gt;='Resultats - informe'!$D$27)*(C4929&lt;='Resultats - informe'!$E$27),0,(C4929&gt;='Resultats - informe'!$D$28)*(C4929&lt;='Resultats - informe'!$E$28),0,(C4929&gt;='Resultats - informe'!$D$29)*(C4929&lt;='Resultats - informe'!$E$29),0,1,1)</f>
        <v>0</v>
      </c>
      <c r="N4929" s="366">
        <f>+VLOOKUP(D4929,'Resultats - informe'!$Y$18:$AG$42,'Introducció dades consum'!K4929+1,0)</f>
        <v>0</v>
      </c>
      <c r="O4929" s="370" cm="1">
        <f t="array" ref="O4929">+_xlfn.SWITCH(MONTH(C4929),1,1,2,1,3,1,4,2,5,2,6,3,7,3,8,3,9,3,10,2,11,2,12,1,2)</f>
        <v>1</v>
      </c>
      <c r="P4929" s="43"/>
    </row>
    <row r="4930" spans="1:16" ht="18" x14ac:dyDescent="0.35">
      <c r="A4930" s="9"/>
      <c r="C4930" s="393"/>
      <c r="E4930" s="394"/>
      <c r="F4930" s="394">
        <v>0</v>
      </c>
      <c r="G4930" s="394"/>
      <c r="H4930" s="8" t="s">
        <v>235</v>
      </c>
      <c r="I4930" s="368">
        <f t="shared" si="229"/>
        <v>0</v>
      </c>
      <c r="J4930" s="365">
        <f t="shared" si="231"/>
        <v>0</v>
      </c>
      <c r="K4930" s="369">
        <f t="shared" si="230"/>
        <v>6</v>
      </c>
      <c r="L4930" s="369">
        <f>+IF((C4930&gt;='Resultats - informe'!$E$16)*(C4930&lt;='Resultats - informe'!$G$16),1,0)</f>
        <v>1</v>
      </c>
      <c r="M4930" s="369" cm="1">
        <f t="array" ref="M4930">+_xlfn.IFS((C4930&gt;='Resultats - informe'!$D$26)*(C4930&lt;='Resultats - informe'!$E$26),0,(C4930&gt;='Resultats - informe'!$D$27)*(C4930&lt;='Resultats - informe'!$E$27),0,(C4930&gt;='Resultats - informe'!$D$28)*(C4930&lt;='Resultats - informe'!$E$28),0,(C4930&gt;='Resultats - informe'!$D$29)*(C4930&lt;='Resultats - informe'!$E$29),0,1,1)</f>
        <v>0</v>
      </c>
      <c r="N4930" s="366">
        <f>+VLOOKUP(D4930,'Resultats - informe'!$Y$18:$AG$42,'Introducció dades consum'!K4930+1,0)</f>
        <v>0</v>
      </c>
      <c r="O4930" s="370" cm="1">
        <f t="array" ref="O4930">+_xlfn.SWITCH(MONTH(C4930),1,1,2,1,3,1,4,2,5,2,6,3,7,3,8,3,9,3,10,2,11,2,12,1,2)</f>
        <v>1</v>
      </c>
      <c r="P4930" s="43"/>
    </row>
    <row r="4931" spans="1:16" ht="18" x14ac:dyDescent="0.35">
      <c r="A4931" s="9"/>
      <c r="C4931" s="393"/>
      <c r="E4931" s="394"/>
      <c r="F4931" s="394">
        <v>0</v>
      </c>
      <c r="G4931" s="394"/>
      <c r="H4931" s="8" t="s">
        <v>235</v>
      </c>
      <c r="I4931" s="368">
        <f t="shared" si="229"/>
        <v>0</v>
      </c>
      <c r="J4931" s="365">
        <f t="shared" si="231"/>
        <v>0</v>
      </c>
      <c r="K4931" s="369">
        <f t="shared" si="230"/>
        <v>6</v>
      </c>
      <c r="L4931" s="369">
        <f>+IF((C4931&gt;='Resultats - informe'!$E$16)*(C4931&lt;='Resultats - informe'!$G$16),1,0)</f>
        <v>1</v>
      </c>
      <c r="M4931" s="369" cm="1">
        <f t="array" ref="M4931">+_xlfn.IFS((C4931&gt;='Resultats - informe'!$D$26)*(C4931&lt;='Resultats - informe'!$E$26),0,(C4931&gt;='Resultats - informe'!$D$27)*(C4931&lt;='Resultats - informe'!$E$27),0,(C4931&gt;='Resultats - informe'!$D$28)*(C4931&lt;='Resultats - informe'!$E$28),0,(C4931&gt;='Resultats - informe'!$D$29)*(C4931&lt;='Resultats - informe'!$E$29),0,1,1)</f>
        <v>0</v>
      </c>
      <c r="N4931" s="366">
        <f>+VLOOKUP(D4931,'Resultats - informe'!$Y$18:$AG$42,'Introducció dades consum'!K4931+1,0)</f>
        <v>0</v>
      </c>
      <c r="O4931" s="370" cm="1">
        <f t="array" ref="O4931">+_xlfn.SWITCH(MONTH(C4931),1,1,2,1,3,1,4,2,5,2,6,3,7,3,8,3,9,3,10,2,11,2,12,1,2)</f>
        <v>1</v>
      </c>
      <c r="P4931" s="43"/>
    </row>
    <row r="4932" spans="1:16" ht="18" x14ac:dyDescent="0.35">
      <c r="A4932" s="9"/>
      <c r="C4932" s="393"/>
      <c r="E4932" s="394"/>
      <c r="F4932" s="394">
        <v>0</v>
      </c>
      <c r="G4932" s="394"/>
      <c r="H4932" s="8" t="s">
        <v>235</v>
      </c>
      <c r="I4932" s="368">
        <f t="shared" si="229"/>
        <v>0</v>
      </c>
      <c r="J4932" s="365">
        <f t="shared" si="231"/>
        <v>0</v>
      </c>
      <c r="K4932" s="369">
        <f t="shared" si="230"/>
        <v>6</v>
      </c>
      <c r="L4932" s="369">
        <f>+IF((C4932&gt;='Resultats - informe'!$E$16)*(C4932&lt;='Resultats - informe'!$G$16),1,0)</f>
        <v>1</v>
      </c>
      <c r="M4932" s="369" cm="1">
        <f t="array" ref="M4932">+_xlfn.IFS((C4932&gt;='Resultats - informe'!$D$26)*(C4932&lt;='Resultats - informe'!$E$26),0,(C4932&gt;='Resultats - informe'!$D$27)*(C4932&lt;='Resultats - informe'!$E$27),0,(C4932&gt;='Resultats - informe'!$D$28)*(C4932&lt;='Resultats - informe'!$E$28),0,(C4932&gt;='Resultats - informe'!$D$29)*(C4932&lt;='Resultats - informe'!$E$29),0,1,1)</f>
        <v>0</v>
      </c>
      <c r="N4932" s="366">
        <f>+VLOOKUP(D4932,'Resultats - informe'!$Y$18:$AG$42,'Introducció dades consum'!K4932+1,0)</f>
        <v>0</v>
      </c>
      <c r="O4932" s="370" cm="1">
        <f t="array" ref="O4932">+_xlfn.SWITCH(MONTH(C4932),1,1,2,1,3,1,4,2,5,2,6,3,7,3,8,3,9,3,10,2,11,2,12,1,2)</f>
        <v>1</v>
      </c>
      <c r="P4932" s="43"/>
    </row>
    <row r="4933" spans="1:16" ht="18" x14ac:dyDescent="0.35">
      <c r="A4933" s="9"/>
      <c r="C4933" s="393"/>
      <c r="E4933" s="394"/>
      <c r="F4933" s="394">
        <v>1.2709999999999999</v>
      </c>
      <c r="G4933" s="394"/>
      <c r="H4933" s="8" t="s">
        <v>235</v>
      </c>
      <c r="I4933" s="368">
        <f t="shared" si="229"/>
        <v>0</v>
      </c>
      <c r="J4933" s="365">
        <f t="shared" si="231"/>
        <v>0</v>
      </c>
      <c r="K4933" s="369">
        <f t="shared" si="230"/>
        <v>6</v>
      </c>
      <c r="L4933" s="369">
        <f>+IF((C4933&gt;='Resultats - informe'!$E$16)*(C4933&lt;='Resultats - informe'!$G$16),1,0)</f>
        <v>1</v>
      </c>
      <c r="M4933" s="369" cm="1">
        <f t="array" ref="M4933">+_xlfn.IFS((C4933&gt;='Resultats - informe'!$D$26)*(C4933&lt;='Resultats - informe'!$E$26),0,(C4933&gt;='Resultats - informe'!$D$27)*(C4933&lt;='Resultats - informe'!$E$27),0,(C4933&gt;='Resultats - informe'!$D$28)*(C4933&lt;='Resultats - informe'!$E$28),0,(C4933&gt;='Resultats - informe'!$D$29)*(C4933&lt;='Resultats - informe'!$E$29),0,1,1)</f>
        <v>0</v>
      </c>
      <c r="N4933" s="366">
        <f>+VLOOKUP(D4933,'Resultats - informe'!$Y$18:$AG$42,'Introducció dades consum'!K4933+1,0)</f>
        <v>0</v>
      </c>
      <c r="O4933" s="370" cm="1">
        <f t="array" ref="O4933">+_xlfn.SWITCH(MONTH(C4933),1,1,2,1,3,1,4,2,5,2,6,3,7,3,8,3,9,3,10,2,11,2,12,1,2)</f>
        <v>1</v>
      </c>
      <c r="P4933" s="43"/>
    </row>
    <row r="4934" spans="1:16" ht="18" x14ac:dyDescent="0.35">
      <c r="A4934" s="9"/>
      <c r="C4934" s="393"/>
      <c r="E4934" s="394"/>
      <c r="F4934" s="394">
        <v>2.8170000000000002</v>
      </c>
      <c r="G4934" s="394"/>
      <c r="H4934" s="8" t="s">
        <v>235</v>
      </c>
      <c r="I4934" s="368">
        <f t="shared" ref="I4934:I4997" si="232">+E4934+G4934</f>
        <v>0</v>
      </c>
      <c r="J4934" s="365">
        <f t="shared" si="231"/>
        <v>0</v>
      </c>
      <c r="K4934" s="369">
        <f t="shared" ref="K4934:K4997" si="233">+WEEKDAY(C4934,2)</f>
        <v>6</v>
      </c>
      <c r="L4934" s="369">
        <f>+IF((C4934&gt;='Resultats - informe'!$E$16)*(C4934&lt;='Resultats - informe'!$G$16),1,0)</f>
        <v>1</v>
      </c>
      <c r="M4934" s="369" cm="1">
        <f t="array" ref="M4934">+_xlfn.IFS((C4934&gt;='Resultats - informe'!$D$26)*(C4934&lt;='Resultats - informe'!$E$26),0,(C4934&gt;='Resultats - informe'!$D$27)*(C4934&lt;='Resultats - informe'!$E$27),0,(C4934&gt;='Resultats - informe'!$D$28)*(C4934&lt;='Resultats - informe'!$E$28),0,(C4934&gt;='Resultats - informe'!$D$29)*(C4934&lt;='Resultats - informe'!$E$29),0,1,1)</f>
        <v>0</v>
      </c>
      <c r="N4934" s="366">
        <f>+VLOOKUP(D4934,'Resultats - informe'!$Y$18:$AG$42,'Introducció dades consum'!K4934+1,0)</f>
        <v>0</v>
      </c>
      <c r="O4934" s="370" cm="1">
        <f t="array" ref="O4934">+_xlfn.SWITCH(MONTH(C4934),1,1,2,1,3,1,4,2,5,2,6,3,7,3,8,3,9,3,10,2,11,2,12,1,2)</f>
        <v>1</v>
      </c>
      <c r="P4934" s="43"/>
    </row>
    <row r="4935" spans="1:16" ht="18" x14ac:dyDescent="0.35">
      <c r="A4935" s="9"/>
      <c r="C4935" s="393"/>
      <c r="E4935" s="394"/>
      <c r="F4935" s="394">
        <v>4.5789999999999997</v>
      </c>
      <c r="G4935" s="394"/>
      <c r="H4935" s="8" t="s">
        <v>235</v>
      </c>
      <c r="I4935" s="368">
        <f t="shared" si="232"/>
        <v>0</v>
      </c>
      <c r="J4935" s="365">
        <f t="shared" si="231"/>
        <v>0</v>
      </c>
      <c r="K4935" s="369">
        <f t="shared" si="233"/>
        <v>6</v>
      </c>
      <c r="L4935" s="369">
        <f>+IF((C4935&gt;='Resultats - informe'!$E$16)*(C4935&lt;='Resultats - informe'!$G$16),1,0)</f>
        <v>1</v>
      </c>
      <c r="M4935" s="369" cm="1">
        <f t="array" ref="M4935">+_xlfn.IFS((C4935&gt;='Resultats - informe'!$D$26)*(C4935&lt;='Resultats - informe'!$E$26),0,(C4935&gt;='Resultats - informe'!$D$27)*(C4935&lt;='Resultats - informe'!$E$27),0,(C4935&gt;='Resultats - informe'!$D$28)*(C4935&lt;='Resultats - informe'!$E$28),0,(C4935&gt;='Resultats - informe'!$D$29)*(C4935&lt;='Resultats - informe'!$E$29),0,1,1)</f>
        <v>0</v>
      </c>
      <c r="N4935" s="366">
        <f>+VLOOKUP(D4935,'Resultats - informe'!$Y$18:$AG$42,'Introducció dades consum'!K4935+1,0)</f>
        <v>0</v>
      </c>
      <c r="O4935" s="370" cm="1">
        <f t="array" ref="O4935">+_xlfn.SWITCH(MONTH(C4935),1,1,2,1,3,1,4,2,5,2,6,3,7,3,8,3,9,3,10,2,11,2,12,1,2)</f>
        <v>1</v>
      </c>
      <c r="P4935" s="43"/>
    </row>
    <row r="4936" spans="1:16" ht="18" x14ac:dyDescent="0.35">
      <c r="A4936" s="9"/>
      <c r="C4936" s="393"/>
      <c r="E4936" s="394"/>
      <c r="F4936" s="394">
        <v>4.1769999999999996</v>
      </c>
      <c r="G4936" s="394"/>
      <c r="H4936" s="8" t="s">
        <v>235</v>
      </c>
      <c r="I4936" s="368">
        <f t="shared" si="232"/>
        <v>0</v>
      </c>
      <c r="J4936" s="365">
        <f t="shared" si="231"/>
        <v>0</v>
      </c>
      <c r="K4936" s="369">
        <f t="shared" si="233"/>
        <v>6</v>
      </c>
      <c r="L4936" s="369">
        <f>+IF((C4936&gt;='Resultats - informe'!$E$16)*(C4936&lt;='Resultats - informe'!$G$16),1,0)</f>
        <v>1</v>
      </c>
      <c r="M4936" s="369" cm="1">
        <f t="array" ref="M4936">+_xlfn.IFS((C4936&gt;='Resultats - informe'!$D$26)*(C4936&lt;='Resultats - informe'!$E$26),0,(C4936&gt;='Resultats - informe'!$D$27)*(C4936&lt;='Resultats - informe'!$E$27),0,(C4936&gt;='Resultats - informe'!$D$28)*(C4936&lt;='Resultats - informe'!$E$28),0,(C4936&gt;='Resultats - informe'!$D$29)*(C4936&lt;='Resultats - informe'!$E$29),0,1,1)</f>
        <v>0</v>
      </c>
      <c r="N4936" s="366">
        <f>+VLOOKUP(D4936,'Resultats - informe'!$Y$18:$AG$42,'Introducció dades consum'!K4936+1,0)</f>
        <v>0</v>
      </c>
      <c r="O4936" s="370" cm="1">
        <f t="array" ref="O4936">+_xlfn.SWITCH(MONTH(C4936),1,1,2,1,3,1,4,2,5,2,6,3,7,3,8,3,9,3,10,2,11,2,12,1,2)</f>
        <v>1</v>
      </c>
      <c r="P4936" s="43"/>
    </row>
    <row r="4937" spans="1:16" ht="18" x14ac:dyDescent="0.35">
      <c r="A4937" s="9"/>
      <c r="C4937" s="393"/>
      <c r="E4937" s="394"/>
      <c r="F4937" s="394">
        <v>2.6890000000000001</v>
      </c>
      <c r="G4937" s="394"/>
      <c r="H4937" s="8" t="s">
        <v>235</v>
      </c>
      <c r="I4937" s="368">
        <f t="shared" si="232"/>
        <v>0</v>
      </c>
      <c r="J4937" s="365">
        <f t="shared" si="231"/>
        <v>0</v>
      </c>
      <c r="K4937" s="369">
        <f t="shared" si="233"/>
        <v>6</v>
      </c>
      <c r="L4937" s="369">
        <f>+IF((C4937&gt;='Resultats - informe'!$E$16)*(C4937&lt;='Resultats - informe'!$G$16),1,0)</f>
        <v>1</v>
      </c>
      <c r="M4937" s="369" cm="1">
        <f t="array" ref="M4937">+_xlfn.IFS((C4937&gt;='Resultats - informe'!$D$26)*(C4937&lt;='Resultats - informe'!$E$26),0,(C4937&gt;='Resultats - informe'!$D$27)*(C4937&lt;='Resultats - informe'!$E$27),0,(C4937&gt;='Resultats - informe'!$D$28)*(C4937&lt;='Resultats - informe'!$E$28),0,(C4937&gt;='Resultats - informe'!$D$29)*(C4937&lt;='Resultats - informe'!$E$29),0,1,1)</f>
        <v>0</v>
      </c>
      <c r="N4937" s="366">
        <f>+VLOOKUP(D4937,'Resultats - informe'!$Y$18:$AG$42,'Introducció dades consum'!K4937+1,0)</f>
        <v>0</v>
      </c>
      <c r="O4937" s="370" cm="1">
        <f t="array" ref="O4937">+_xlfn.SWITCH(MONTH(C4937),1,1,2,1,3,1,4,2,5,2,6,3,7,3,8,3,9,3,10,2,11,2,12,1,2)</f>
        <v>1</v>
      </c>
      <c r="P4937" s="43"/>
    </row>
    <row r="4938" spans="1:16" ht="18" x14ac:dyDescent="0.35">
      <c r="A4938" s="9"/>
      <c r="C4938" s="393"/>
      <c r="E4938" s="394"/>
      <c r="F4938" s="394">
        <v>2.6739999999999999</v>
      </c>
      <c r="G4938" s="394"/>
      <c r="H4938" s="8" t="s">
        <v>235</v>
      </c>
      <c r="I4938" s="368">
        <f t="shared" si="232"/>
        <v>0</v>
      </c>
      <c r="J4938" s="365">
        <f t="shared" si="231"/>
        <v>0</v>
      </c>
      <c r="K4938" s="369">
        <f t="shared" si="233"/>
        <v>6</v>
      </c>
      <c r="L4938" s="369">
        <f>+IF((C4938&gt;='Resultats - informe'!$E$16)*(C4938&lt;='Resultats - informe'!$G$16),1,0)</f>
        <v>1</v>
      </c>
      <c r="M4938" s="369" cm="1">
        <f t="array" ref="M4938">+_xlfn.IFS((C4938&gt;='Resultats - informe'!$D$26)*(C4938&lt;='Resultats - informe'!$E$26),0,(C4938&gt;='Resultats - informe'!$D$27)*(C4938&lt;='Resultats - informe'!$E$27),0,(C4938&gt;='Resultats - informe'!$D$28)*(C4938&lt;='Resultats - informe'!$E$28),0,(C4938&gt;='Resultats - informe'!$D$29)*(C4938&lt;='Resultats - informe'!$E$29),0,1,1)</f>
        <v>0</v>
      </c>
      <c r="N4938" s="366">
        <f>+VLOOKUP(D4938,'Resultats - informe'!$Y$18:$AG$42,'Introducció dades consum'!K4938+1,0)</f>
        <v>0</v>
      </c>
      <c r="O4938" s="370" cm="1">
        <f t="array" ref="O4938">+_xlfn.SWITCH(MONTH(C4938),1,1,2,1,3,1,4,2,5,2,6,3,7,3,8,3,9,3,10,2,11,2,12,1,2)</f>
        <v>1</v>
      </c>
      <c r="P4938" s="43"/>
    </row>
    <row r="4939" spans="1:16" ht="18" x14ac:dyDescent="0.35">
      <c r="A4939" s="9"/>
      <c r="C4939" s="393"/>
      <c r="E4939" s="394"/>
      <c r="F4939" s="394">
        <v>4.1449999999999996</v>
      </c>
      <c r="G4939" s="394"/>
      <c r="H4939" s="8" t="s">
        <v>235</v>
      </c>
      <c r="I4939" s="368">
        <f t="shared" si="232"/>
        <v>0</v>
      </c>
      <c r="J4939" s="365">
        <f t="shared" si="231"/>
        <v>0</v>
      </c>
      <c r="K4939" s="369">
        <f t="shared" si="233"/>
        <v>6</v>
      </c>
      <c r="L4939" s="369">
        <f>+IF((C4939&gt;='Resultats - informe'!$E$16)*(C4939&lt;='Resultats - informe'!$G$16),1,0)</f>
        <v>1</v>
      </c>
      <c r="M4939" s="369" cm="1">
        <f t="array" ref="M4939">+_xlfn.IFS((C4939&gt;='Resultats - informe'!$D$26)*(C4939&lt;='Resultats - informe'!$E$26),0,(C4939&gt;='Resultats - informe'!$D$27)*(C4939&lt;='Resultats - informe'!$E$27),0,(C4939&gt;='Resultats - informe'!$D$28)*(C4939&lt;='Resultats - informe'!$E$28),0,(C4939&gt;='Resultats - informe'!$D$29)*(C4939&lt;='Resultats - informe'!$E$29),0,1,1)</f>
        <v>0</v>
      </c>
      <c r="N4939" s="366">
        <f>+VLOOKUP(D4939,'Resultats - informe'!$Y$18:$AG$42,'Introducció dades consum'!K4939+1,0)</f>
        <v>0</v>
      </c>
      <c r="O4939" s="370" cm="1">
        <f t="array" ref="O4939">+_xlfn.SWITCH(MONTH(C4939),1,1,2,1,3,1,4,2,5,2,6,3,7,3,8,3,9,3,10,2,11,2,12,1,2)</f>
        <v>1</v>
      </c>
      <c r="P4939" s="43"/>
    </row>
    <row r="4940" spans="1:16" ht="18" x14ac:dyDescent="0.35">
      <c r="A4940" s="9"/>
      <c r="C4940" s="393"/>
      <c r="E4940" s="394"/>
      <c r="F4940" s="394">
        <v>1.845</v>
      </c>
      <c r="G4940" s="394"/>
      <c r="H4940" s="8" t="s">
        <v>235</v>
      </c>
      <c r="I4940" s="368">
        <f t="shared" si="232"/>
        <v>0</v>
      </c>
      <c r="J4940" s="365">
        <f t="shared" si="231"/>
        <v>0</v>
      </c>
      <c r="K4940" s="369">
        <f t="shared" si="233"/>
        <v>6</v>
      </c>
      <c r="L4940" s="369">
        <f>+IF((C4940&gt;='Resultats - informe'!$E$16)*(C4940&lt;='Resultats - informe'!$G$16),1,0)</f>
        <v>1</v>
      </c>
      <c r="M4940" s="369" cm="1">
        <f t="array" ref="M4940">+_xlfn.IFS((C4940&gt;='Resultats - informe'!$D$26)*(C4940&lt;='Resultats - informe'!$E$26),0,(C4940&gt;='Resultats - informe'!$D$27)*(C4940&lt;='Resultats - informe'!$E$27),0,(C4940&gt;='Resultats - informe'!$D$28)*(C4940&lt;='Resultats - informe'!$E$28),0,(C4940&gt;='Resultats - informe'!$D$29)*(C4940&lt;='Resultats - informe'!$E$29),0,1,1)</f>
        <v>0</v>
      </c>
      <c r="N4940" s="366">
        <f>+VLOOKUP(D4940,'Resultats - informe'!$Y$18:$AG$42,'Introducció dades consum'!K4940+1,0)</f>
        <v>0</v>
      </c>
      <c r="O4940" s="370" cm="1">
        <f t="array" ref="O4940">+_xlfn.SWITCH(MONTH(C4940),1,1,2,1,3,1,4,2,5,2,6,3,7,3,8,3,9,3,10,2,11,2,12,1,2)</f>
        <v>1</v>
      </c>
      <c r="P4940" s="43"/>
    </row>
    <row r="4941" spans="1:16" ht="18" x14ac:dyDescent="0.35">
      <c r="A4941" s="9"/>
      <c r="C4941" s="393"/>
      <c r="E4941" s="394"/>
      <c r="F4941" s="394">
        <v>1.1020000000000001</v>
      </c>
      <c r="G4941" s="394"/>
      <c r="H4941" s="8" t="s">
        <v>235</v>
      </c>
      <c r="I4941" s="368">
        <f t="shared" si="232"/>
        <v>0</v>
      </c>
      <c r="J4941" s="365">
        <f t="shared" si="231"/>
        <v>0</v>
      </c>
      <c r="K4941" s="369">
        <f t="shared" si="233"/>
        <v>6</v>
      </c>
      <c r="L4941" s="369">
        <f>+IF((C4941&gt;='Resultats - informe'!$E$16)*(C4941&lt;='Resultats - informe'!$G$16),1,0)</f>
        <v>1</v>
      </c>
      <c r="M4941" s="369" cm="1">
        <f t="array" ref="M4941">+_xlfn.IFS((C4941&gt;='Resultats - informe'!$D$26)*(C4941&lt;='Resultats - informe'!$E$26),0,(C4941&gt;='Resultats - informe'!$D$27)*(C4941&lt;='Resultats - informe'!$E$27),0,(C4941&gt;='Resultats - informe'!$D$28)*(C4941&lt;='Resultats - informe'!$E$28),0,(C4941&gt;='Resultats - informe'!$D$29)*(C4941&lt;='Resultats - informe'!$E$29),0,1,1)</f>
        <v>0</v>
      </c>
      <c r="N4941" s="366">
        <f>+VLOOKUP(D4941,'Resultats - informe'!$Y$18:$AG$42,'Introducció dades consum'!K4941+1,0)</f>
        <v>0</v>
      </c>
      <c r="O4941" s="370" cm="1">
        <f t="array" ref="O4941">+_xlfn.SWITCH(MONTH(C4941),1,1,2,1,3,1,4,2,5,2,6,3,7,3,8,3,9,3,10,2,11,2,12,1,2)</f>
        <v>1</v>
      </c>
      <c r="P4941" s="43"/>
    </row>
    <row r="4942" spans="1:16" ht="18" x14ac:dyDescent="0.35">
      <c r="A4942" s="9"/>
      <c r="C4942" s="393"/>
      <c r="E4942" s="394"/>
      <c r="F4942" s="394">
        <v>0.72499999999999998</v>
      </c>
      <c r="G4942" s="394"/>
      <c r="H4942" s="8" t="s">
        <v>235</v>
      </c>
      <c r="I4942" s="368">
        <f t="shared" si="232"/>
        <v>0</v>
      </c>
      <c r="J4942" s="365">
        <f t="shared" si="231"/>
        <v>0</v>
      </c>
      <c r="K4942" s="369">
        <f t="shared" si="233"/>
        <v>6</v>
      </c>
      <c r="L4942" s="369">
        <f>+IF((C4942&gt;='Resultats - informe'!$E$16)*(C4942&lt;='Resultats - informe'!$G$16),1,0)</f>
        <v>1</v>
      </c>
      <c r="M4942" s="369" cm="1">
        <f t="array" ref="M4942">+_xlfn.IFS((C4942&gt;='Resultats - informe'!$D$26)*(C4942&lt;='Resultats - informe'!$E$26),0,(C4942&gt;='Resultats - informe'!$D$27)*(C4942&lt;='Resultats - informe'!$E$27),0,(C4942&gt;='Resultats - informe'!$D$28)*(C4942&lt;='Resultats - informe'!$E$28),0,(C4942&gt;='Resultats - informe'!$D$29)*(C4942&lt;='Resultats - informe'!$E$29),0,1,1)</f>
        <v>0</v>
      </c>
      <c r="N4942" s="366">
        <f>+VLOOKUP(D4942,'Resultats - informe'!$Y$18:$AG$42,'Introducció dades consum'!K4942+1,0)</f>
        <v>0</v>
      </c>
      <c r="O4942" s="370" cm="1">
        <f t="array" ref="O4942">+_xlfn.SWITCH(MONTH(C4942),1,1,2,1,3,1,4,2,5,2,6,3,7,3,8,3,9,3,10,2,11,2,12,1,2)</f>
        <v>1</v>
      </c>
      <c r="P4942" s="43"/>
    </row>
    <row r="4943" spans="1:16" ht="18" x14ac:dyDescent="0.35">
      <c r="A4943" s="9"/>
      <c r="C4943" s="393"/>
      <c r="E4943" s="394"/>
      <c r="F4943" s="394">
        <v>0.29499999999999998</v>
      </c>
      <c r="G4943" s="394"/>
      <c r="H4943" s="8" t="s">
        <v>235</v>
      </c>
      <c r="I4943" s="368">
        <f t="shared" si="232"/>
        <v>0</v>
      </c>
      <c r="J4943" s="365">
        <f t="shared" si="231"/>
        <v>0</v>
      </c>
      <c r="K4943" s="369">
        <f t="shared" si="233"/>
        <v>6</v>
      </c>
      <c r="L4943" s="369">
        <f>+IF((C4943&gt;='Resultats - informe'!$E$16)*(C4943&lt;='Resultats - informe'!$G$16),1,0)</f>
        <v>1</v>
      </c>
      <c r="M4943" s="369" cm="1">
        <f t="array" ref="M4943">+_xlfn.IFS((C4943&gt;='Resultats - informe'!$D$26)*(C4943&lt;='Resultats - informe'!$E$26),0,(C4943&gt;='Resultats - informe'!$D$27)*(C4943&lt;='Resultats - informe'!$E$27),0,(C4943&gt;='Resultats - informe'!$D$28)*(C4943&lt;='Resultats - informe'!$E$28),0,(C4943&gt;='Resultats - informe'!$D$29)*(C4943&lt;='Resultats - informe'!$E$29),0,1,1)</f>
        <v>0</v>
      </c>
      <c r="N4943" s="366">
        <f>+VLOOKUP(D4943,'Resultats - informe'!$Y$18:$AG$42,'Introducció dades consum'!K4943+1,0)</f>
        <v>0</v>
      </c>
      <c r="O4943" s="370" cm="1">
        <f t="array" ref="O4943">+_xlfn.SWITCH(MONTH(C4943),1,1,2,1,3,1,4,2,5,2,6,3,7,3,8,3,9,3,10,2,11,2,12,1,2)</f>
        <v>1</v>
      </c>
      <c r="P4943" s="43"/>
    </row>
    <row r="4944" spans="1:16" ht="18" x14ac:dyDescent="0.35">
      <c r="A4944" s="9"/>
      <c r="C4944" s="393"/>
      <c r="E4944" s="394"/>
      <c r="F4944" s="394">
        <v>0</v>
      </c>
      <c r="G4944" s="394"/>
      <c r="H4944" s="8" t="s">
        <v>235</v>
      </c>
      <c r="I4944" s="368">
        <f t="shared" si="232"/>
        <v>0</v>
      </c>
      <c r="J4944" s="365">
        <f t="shared" si="231"/>
        <v>0</v>
      </c>
      <c r="K4944" s="369">
        <f t="shared" si="233"/>
        <v>6</v>
      </c>
      <c r="L4944" s="369">
        <f>+IF((C4944&gt;='Resultats - informe'!$E$16)*(C4944&lt;='Resultats - informe'!$G$16),1,0)</f>
        <v>1</v>
      </c>
      <c r="M4944" s="369" cm="1">
        <f t="array" ref="M4944">+_xlfn.IFS((C4944&gt;='Resultats - informe'!$D$26)*(C4944&lt;='Resultats - informe'!$E$26),0,(C4944&gt;='Resultats - informe'!$D$27)*(C4944&lt;='Resultats - informe'!$E$27),0,(C4944&gt;='Resultats - informe'!$D$28)*(C4944&lt;='Resultats - informe'!$E$28),0,(C4944&gt;='Resultats - informe'!$D$29)*(C4944&lt;='Resultats - informe'!$E$29),0,1,1)</f>
        <v>0</v>
      </c>
      <c r="N4944" s="366">
        <f>+VLOOKUP(D4944,'Resultats - informe'!$Y$18:$AG$42,'Introducció dades consum'!K4944+1,0)</f>
        <v>0</v>
      </c>
      <c r="O4944" s="370" cm="1">
        <f t="array" ref="O4944">+_xlfn.SWITCH(MONTH(C4944),1,1,2,1,3,1,4,2,5,2,6,3,7,3,8,3,9,3,10,2,11,2,12,1,2)</f>
        <v>1</v>
      </c>
      <c r="P4944" s="43"/>
    </row>
    <row r="4945" spans="1:16" ht="18" x14ac:dyDescent="0.35">
      <c r="A4945" s="9"/>
      <c r="C4945" s="393"/>
      <c r="E4945" s="394"/>
      <c r="F4945" s="394">
        <v>0</v>
      </c>
      <c r="G4945" s="394"/>
      <c r="H4945" s="8" t="s">
        <v>235</v>
      </c>
      <c r="I4945" s="368">
        <f t="shared" si="232"/>
        <v>0</v>
      </c>
      <c r="J4945" s="365">
        <f t="shared" si="231"/>
        <v>0</v>
      </c>
      <c r="K4945" s="369">
        <f t="shared" si="233"/>
        <v>6</v>
      </c>
      <c r="L4945" s="369">
        <f>+IF((C4945&gt;='Resultats - informe'!$E$16)*(C4945&lt;='Resultats - informe'!$G$16),1,0)</f>
        <v>1</v>
      </c>
      <c r="M4945" s="369" cm="1">
        <f t="array" ref="M4945">+_xlfn.IFS((C4945&gt;='Resultats - informe'!$D$26)*(C4945&lt;='Resultats - informe'!$E$26),0,(C4945&gt;='Resultats - informe'!$D$27)*(C4945&lt;='Resultats - informe'!$E$27),0,(C4945&gt;='Resultats - informe'!$D$28)*(C4945&lt;='Resultats - informe'!$E$28),0,(C4945&gt;='Resultats - informe'!$D$29)*(C4945&lt;='Resultats - informe'!$E$29),0,1,1)</f>
        <v>0</v>
      </c>
      <c r="N4945" s="366">
        <f>+VLOOKUP(D4945,'Resultats - informe'!$Y$18:$AG$42,'Introducció dades consum'!K4945+1,0)</f>
        <v>0</v>
      </c>
      <c r="O4945" s="370" cm="1">
        <f t="array" ref="O4945">+_xlfn.SWITCH(MONTH(C4945),1,1,2,1,3,1,4,2,5,2,6,3,7,3,8,3,9,3,10,2,11,2,12,1,2)</f>
        <v>1</v>
      </c>
      <c r="P4945" s="43"/>
    </row>
    <row r="4946" spans="1:16" ht="18" x14ac:dyDescent="0.35">
      <c r="A4946" s="9"/>
      <c r="C4946" s="393"/>
      <c r="E4946" s="394"/>
      <c r="F4946" s="394">
        <v>0</v>
      </c>
      <c r="G4946" s="394"/>
      <c r="H4946" s="8" t="s">
        <v>235</v>
      </c>
      <c r="I4946" s="368">
        <f t="shared" si="232"/>
        <v>0</v>
      </c>
      <c r="J4946" s="365">
        <f t="shared" si="231"/>
        <v>0</v>
      </c>
      <c r="K4946" s="369">
        <f t="shared" si="233"/>
        <v>6</v>
      </c>
      <c r="L4946" s="369">
        <f>+IF((C4946&gt;='Resultats - informe'!$E$16)*(C4946&lt;='Resultats - informe'!$G$16),1,0)</f>
        <v>1</v>
      </c>
      <c r="M4946" s="369" cm="1">
        <f t="array" ref="M4946">+_xlfn.IFS((C4946&gt;='Resultats - informe'!$D$26)*(C4946&lt;='Resultats - informe'!$E$26),0,(C4946&gt;='Resultats - informe'!$D$27)*(C4946&lt;='Resultats - informe'!$E$27),0,(C4946&gt;='Resultats - informe'!$D$28)*(C4946&lt;='Resultats - informe'!$E$28),0,(C4946&gt;='Resultats - informe'!$D$29)*(C4946&lt;='Resultats - informe'!$E$29),0,1,1)</f>
        <v>0</v>
      </c>
      <c r="N4946" s="366">
        <f>+VLOOKUP(D4946,'Resultats - informe'!$Y$18:$AG$42,'Introducció dades consum'!K4946+1,0)</f>
        <v>0</v>
      </c>
      <c r="O4946" s="370" cm="1">
        <f t="array" ref="O4946">+_xlfn.SWITCH(MONTH(C4946),1,1,2,1,3,1,4,2,5,2,6,3,7,3,8,3,9,3,10,2,11,2,12,1,2)</f>
        <v>1</v>
      </c>
      <c r="P4946" s="43"/>
    </row>
    <row r="4947" spans="1:16" ht="18" x14ac:dyDescent="0.35">
      <c r="A4947" s="9"/>
      <c r="C4947" s="393"/>
      <c r="E4947" s="394"/>
      <c r="F4947" s="394">
        <v>0</v>
      </c>
      <c r="G4947" s="394"/>
      <c r="H4947" s="8" t="s">
        <v>235</v>
      </c>
      <c r="I4947" s="368">
        <f t="shared" si="232"/>
        <v>0</v>
      </c>
      <c r="J4947" s="365">
        <f t="shared" si="231"/>
        <v>0</v>
      </c>
      <c r="K4947" s="369">
        <f t="shared" si="233"/>
        <v>6</v>
      </c>
      <c r="L4947" s="369">
        <f>+IF((C4947&gt;='Resultats - informe'!$E$16)*(C4947&lt;='Resultats - informe'!$G$16),1,0)</f>
        <v>1</v>
      </c>
      <c r="M4947" s="369" cm="1">
        <f t="array" ref="M4947">+_xlfn.IFS((C4947&gt;='Resultats - informe'!$D$26)*(C4947&lt;='Resultats - informe'!$E$26),0,(C4947&gt;='Resultats - informe'!$D$27)*(C4947&lt;='Resultats - informe'!$E$27),0,(C4947&gt;='Resultats - informe'!$D$28)*(C4947&lt;='Resultats - informe'!$E$28),0,(C4947&gt;='Resultats - informe'!$D$29)*(C4947&lt;='Resultats - informe'!$E$29),0,1,1)</f>
        <v>0</v>
      </c>
      <c r="N4947" s="366">
        <f>+VLOOKUP(D4947,'Resultats - informe'!$Y$18:$AG$42,'Introducció dades consum'!K4947+1,0)</f>
        <v>0</v>
      </c>
      <c r="O4947" s="370" cm="1">
        <f t="array" ref="O4947">+_xlfn.SWITCH(MONTH(C4947),1,1,2,1,3,1,4,2,5,2,6,3,7,3,8,3,9,3,10,2,11,2,12,1,2)</f>
        <v>1</v>
      </c>
      <c r="P4947" s="43"/>
    </row>
    <row r="4948" spans="1:16" ht="18" x14ac:dyDescent="0.35">
      <c r="A4948" s="9"/>
      <c r="C4948" s="393"/>
      <c r="E4948" s="394"/>
      <c r="F4948" s="394">
        <v>0</v>
      </c>
      <c r="G4948" s="394"/>
      <c r="H4948" s="8" t="s">
        <v>235</v>
      </c>
      <c r="I4948" s="368">
        <f t="shared" si="232"/>
        <v>0</v>
      </c>
      <c r="J4948" s="365">
        <f t="shared" si="231"/>
        <v>0</v>
      </c>
      <c r="K4948" s="369">
        <f t="shared" si="233"/>
        <v>6</v>
      </c>
      <c r="L4948" s="369">
        <f>+IF((C4948&gt;='Resultats - informe'!$E$16)*(C4948&lt;='Resultats - informe'!$G$16),1,0)</f>
        <v>1</v>
      </c>
      <c r="M4948" s="369" cm="1">
        <f t="array" ref="M4948">+_xlfn.IFS((C4948&gt;='Resultats - informe'!$D$26)*(C4948&lt;='Resultats - informe'!$E$26),0,(C4948&gt;='Resultats - informe'!$D$27)*(C4948&lt;='Resultats - informe'!$E$27),0,(C4948&gt;='Resultats - informe'!$D$28)*(C4948&lt;='Resultats - informe'!$E$28),0,(C4948&gt;='Resultats - informe'!$D$29)*(C4948&lt;='Resultats - informe'!$E$29),0,1,1)</f>
        <v>0</v>
      </c>
      <c r="N4948" s="366">
        <f>+VLOOKUP(D4948,'Resultats - informe'!$Y$18:$AG$42,'Introducció dades consum'!K4948+1,0)</f>
        <v>0</v>
      </c>
      <c r="O4948" s="370" cm="1">
        <f t="array" ref="O4948">+_xlfn.SWITCH(MONTH(C4948),1,1,2,1,3,1,4,2,5,2,6,3,7,3,8,3,9,3,10,2,11,2,12,1,2)</f>
        <v>1</v>
      </c>
      <c r="P4948" s="43"/>
    </row>
    <row r="4949" spans="1:16" ht="18" x14ac:dyDescent="0.35">
      <c r="A4949" s="9"/>
      <c r="C4949" s="393"/>
      <c r="E4949" s="394"/>
      <c r="F4949" s="394">
        <v>0</v>
      </c>
      <c r="G4949" s="394"/>
      <c r="H4949" s="8" t="s">
        <v>235</v>
      </c>
      <c r="I4949" s="368">
        <f t="shared" si="232"/>
        <v>0</v>
      </c>
      <c r="J4949" s="365">
        <f t="shared" si="231"/>
        <v>0</v>
      </c>
      <c r="K4949" s="369">
        <f t="shared" si="233"/>
        <v>6</v>
      </c>
      <c r="L4949" s="369">
        <f>+IF((C4949&gt;='Resultats - informe'!$E$16)*(C4949&lt;='Resultats - informe'!$G$16),1,0)</f>
        <v>1</v>
      </c>
      <c r="M4949" s="369" cm="1">
        <f t="array" ref="M4949">+_xlfn.IFS((C4949&gt;='Resultats - informe'!$D$26)*(C4949&lt;='Resultats - informe'!$E$26),0,(C4949&gt;='Resultats - informe'!$D$27)*(C4949&lt;='Resultats - informe'!$E$27),0,(C4949&gt;='Resultats - informe'!$D$28)*(C4949&lt;='Resultats - informe'!$E$28),0,(C4949&gt;='Resultats - informe'!$D$29)*(C4949&lt;='Resultats - informe'!$E$29),0,1,1)</f>
        <v>0</v>
      </c>
      <c r="N4949" s="366">
        <f>+VLOOKUP(D4949,'Resultats - informe'!$Y$18:$AG$42,'Introducció dades consum'!K4949+1,0)</f>
        <v>0</v>
      </c>
      <c r="O4949" s="370" cm="1">
        <f t="array" ref="O4949">+_xlfn.SWITCH(MONTH(C4949),1,1,2,1,3,1,4,2,5,2,6,3,7,3,8,3,9,3,10,2,11,2,12,1,2)</f>
        <v>1</v>
      </c>
      <c r="P4949" s="43"/>
    </row>
    <row r="4950" spans="1:16" ht="18" x14ac:dyDescent="0.35">
      <c r="A4950" s="9"/>
      <c r="C4950" s="393"/>
      <c r="E4950" s="394"/>
      <c r="F4950" s="394">
        <v>0</v>
      </c>
      <c r="G4950" s="394"/>
      <c r="H4950" s="8" t="s">
        <v>235</v>
      </c>
      <c r="I4950" s="368">
        <f t="shared" si="232"/>
        <v>0</v>
      </c>
      <c r="J4950" s="365">
        <f t="shared" si="231"/>
        <v>0</v>
      </c>
      <c r="K4950" s="369">
        <f t="shared" si="233"/>
        <v>6</v>
      </c>
      <c r="L4950" s="369">
        <f>+IF((C4950&gt;='Resultats - informe'!$E$16)*(C4950&lt;='Resultats - informe'!$G$16),1,0)</f>
        <v>1</v>
      </c>
      <c r="M4950" s="369" cm="1">
        <f t="array" ref="M4950">+_xlfn.IFS((C4950&gt;='Resultats - informe'!$D$26)*(C4950&lt;='Resultats - informe'!$E$26),0,(C4950&gt;='Resultats - informe'!$D$27)*(C4950&lt;='Resultats - informe'!$E$27),0,(C4950&gt;='Resultats - informe'!$D$28)*(C4950&lt;='Resultats - informe'!$E$28),0,(C4950&gt;='Resultats - informe'!$D$29)*(C4950&lt;='Resultats - informe'!$E$29),0,1,1)</f>
        <v>0</v>
      </c>
      <c r="N4950" s="366">
        <f>+VLOOKUP(D4950,'Resultats - informe'!$Y$18:$AG$42,'Introducció dades consum'!K4950+1,0)</f>
        <v>0</v>
      </c>
      <c r="O4950" s="370" cm="1">
        <f t="array" ref="O4950">+_xlfn.SWITCH(MONTH(C4950),1,1,2,1,3,1,4,2,5,2,6,3,7,3,8,3,9,3,10,2,11,2,12,1,2)</f>
        <v>1</v>
      </c>
      <c r="P4950" s="43"/>
    </row>
    <row r="4951" spans="1:16" ht="18" x14ac:dyDescent="0.35">
      <c r="A4951" s="9"/>
      <c r="C4951" s="393"/>
      <c r="E4951" s="394"/>
      <c r="F4951" s="394">
        <v>0</v>
      </c>
      <c r="G4951" s="394"/>
      <c r="H4951" s="8" t="s">
        <v>235</v>
      </c>
      <c r="I4951" s="368">
        <f t="shared" si="232"/>
        <v>0</v>
      </c>
      <c r="J4951" s="365">
        <f t="shared" si="231"/>
        <v>0</v>
      </c>
      <c r="K4951" s="369">
        <f t="shared" si="233"/>
        <v>6</v>
      </c>
      <c r="L4951" s="369">
        <f>+IF((C4951&gt;='Resultats - informe'!$E$16)*(C4951&lt;='Resultats - informe'!$G$16),1,0)</f>
        <v>1</v>
      </c>
      <c r="M4951" s="369" cm="1">
        <f t="array" ref="M4951">+_xlfn.IFS((C4951&gt;='Resultats - informe'!$D$26)*(C4951&lt;='Resultats - informe'!$E$26),0,(C4951&gt;='Resultats - informe'!$D$27)*(C4951&lt;='Resultats - informe'!$E$27),0,(C4951&gt;='Resultats - informe'!$D$28)*(C4951&lt;='Resultats - informe'!$E$28),0,(C4951&gt;='Resultats - informe'!$D$29)*(C4951&lt;='Resultats - informe'!$E$29),0,1,1)</f>
        <v>0</v>
      </c>
      <c r="N4951" s="366">
        <f>+VLOOKUP(D4951,'Resultats - informe'!$Y$18:$AG$42,'Introducció dades consum'!K4951+1,0)</f>
        <v>0</v>
      </c>
      <c r="O4951" s="370" cm="1">
        <f t="array" ref="O4951">+_xlfn.SWITCH(MONTH(C4951),1,1,2,1,3,1,4,2,5,2,6,3,7,3,8,3,9,3,10,2,11,2,12,1,2)</f>
        <v>1</v>
      </c>
      <c r="P4951" s="43"/>
    </row>
    <row r="4952" spans="1:16" ht="18" x14ac:dyDescent="0.35">
      <c r="A4952" s="9"/>
      <c r="C4952" s="393"/>
      <c r="E4952" s="394"/>
      <c r="F4952" s="394">
        <v>0</v>
      </c>
      <c r="G4952" s="394"/>
      <c r="H4952" s="8" t="s">
        <v>235</v>
      </c>
      <c r="I4952" s="368">
        <f t="shared" si="232"/>
        <v>0</v>
      </c>
      <c r="J4952" s="365">
        <f t="shared" si="231"/>
        <v>0</v>
      </c>
      <c r="K4952" s="369">
        <f t="shared" si="233"/>
        <v>6</v>
      </c>
      <c r="L4952" s="369">
        <f>+IF((C4952&gt;='Resultats - informe'!$E$16)*(C4952&lt;='Resultats - informe'!$G$16),1,0)</f>
        <v>1</v>
      </c>
      <c r="M4952" s="369" cm="1">
        <f t="array" ref="M4952">+_xlfn.IFS((C4952&gt;='Resultats - informe'!$D$26)*(C4952&lt;='Resultats - informe'!$E$26),0,(C4952&gt;='Resultats - informe'!$D$27)*(C4952&lt;='Resultats - informe'!$E$27),0,(C4952&gt;='Resultats - informe'!$D$28)*(C4952&lt;='Resultats - informe'!$E$28),0,(C4952&gt;='Resultats - informe'!$D$29)*(C4952&lt;='Resultats - informe'!$E$29),0,1,1)</f>
        <v>0</v>
      </c>
      <c r="N4952" s="366">
        <f>+VLOOKUP(D4952,'Resultats - informe'!$Y$18:$AG$42,'Introducció dades consum'!K4952+1,0)</f>
        <v>0</v>
      </c>
      <c r="O4952" s="370" cm="1">
        <f t="array" ref="O4952">+_xlfn.SWITCH(MONTH(C4952),1,1,2,1,3,1,4,2,5,2,6,3,7,3,8,3,9,3,10,2,11,2,12,1,2)</f>
        <v>1</v>
      </c>
      <c r="P4952" s="43"/>
    </row>
    <row r="4953" spans="1:16" ht="18" x14ac:dyDescent="0.35">
      <c r="A4953" s="9"/>
      <c r="C4953" s="393"/>
      <c r="E4953" s="394"/>
      <c r="F4953" s="394">
        <v>0</v>
      </c>
      <c r="G4953" s="394"/>
      <c r="H4953" s="8" t="s">
        <v>235</v>
      </c>
      <c r="I4953" s="368">
        <f t="shared" si="232"/>
        <v>0</v>
      </c>
      <c r="J4953" s="365">
        <f t="shared" si="231"/>
        <v>0</v>
      </c>
      <c r="K4953" s="369">
        <f t="shared" si="233"/>
        <v>6</v>
      </c>
      <c r="L4953" s="369">
        <f>+IF((C4953&gt;='Resultats - informe'!$E$16)*(C4953&lt;='Resultats - informe'!$G$16),1,0)</f>
        <v>1</v>
      </c>
      <c r="M4953" s="369" cm="1">
        <f t="array" ref="M4953">+_xlfn.IFS((C4953&gt;='Resultats - informe'!$D$26)*(C4953&lt;='Resultats - informe'!$E$26),0,(C4953&gt;='Resultats - informe'!$D$27)*(C4953&lt;='Resultats - informe'!$E$27),0,(C4953&gt;='Resultats - informe'!$D$28)*(C4953&lt;='Resultats - informe'!$E$28),0,(C4953&gt;='Resultats - informe'!$D$29)*(C4953&lt;='Resultats - informe'!$E$29),0,1,1)</f>
        <v>0</v>
      </c>
      <c r="N4953" s="366">
        <f>+VLOOKUP(D4953,'Resultats - informe'!$Y$18:$AG$42,'Introducció dades consum'!K4953+1,0)</f>
        <v>0</v>
      </c>
      <c r="O4953" s="370" cm="1">
        <f t="array" ref="O4953">+_xlfn.SWITCH(MONTH(C4953),1,1,2,1,3,1,4,2,5,2,6,3,7,3,8,3,9,3,10,2,11,2,12,1,2)</f>
        <v>1</v>
      </c>
      <c r="P4953" s="43"/>
    </row>
    <row r="4954" spans="1:16" ht="18" x14ac:dyDescent="0.35">
      <c r="A4954" s="9"/>
      <c r="C4954" s="393"/>
      <c r="E4954" s="394"/>
      <c r="F4954" s="394">
        <v>1.51</v>
      </c>
      <c r="G4954" s="394"/>
      <c r="H4954" s="8" t="s">
        <v>235</v>
      </c>
      <c r="I4954" s="368">
        <f t="shared" si="232"/>
        <v>0</v>
      </c>
      <c r="J4954" s="365">
        <f t="shared" si="231"/>
        <v>0</v>
      </c>
      <c r="K4954" s="369">
        <f t="shared" si="233"/>
        <v>6</v>
      </c>
      <c r="L4954" s="369">
        <f>+IF((C4954&gt;='Resultats - informe'!$E$16)*(C4954&lt;='Resultats - informe'!$G$16),1,0)</f>
        <v>1</v>
      </c>
      <c r="M4954" s="369" cm="1">
        <f t="array" ref="M4954">+_xlfn.IFS((C4954&gt;='Resultats - informe'!$D$26)*(C4954&lt;='Resultats - informe'!$E$26),0,(C4954&gt;='Resultats - informe'!$D$27)*(C4954&lt;='Resultats - informe'!$E$27),0,(C4954&gt;='Resultats - informe'!$D$28)*(C4954&lt;='Resultats - informe'!$E$28),0,(C4954&gt;='Resultats - informe'!$D$29)*(C4954&lt;='Resultats - informe'!$E$29),0,1,1)</f>
        <v>0</v>
      </c>
      <c r="N4954" s="366">
        <f>+VLOOKUP(D4954,'Resultats - informe'!$Y$18:$AG$42,'Introducció dades consum'!K4954+1,0)</f>
        <v>0</v>
      </c>
      <c r="O4954" s="370" cm="1">
        <f t="array" ref="O4954">+_xlfn.SWITCH(MONTH(C4954),1,1,2,1,3,1,4,2,5,2,6,3,7,3,8,3,9,3,10,2,11,2,12,1,2)</f>
        <v>1</v>
      </c>
      <c r="P4954" s="43"/>
    </row>
    <row r="4955" spans="1:16" ht="18" x14ac:dyDescent="0.35">
      <c r="A4955" s="9"/>
      <c r="C4955" s="393"/>
      <c r="E4955" s="394"/>
      <c r="F4955" s="394">
        <v>2.4319999999999999</v>
      </c>
      <c r="G4955" s="394"/>
      <c r="H4955" s="8" t="s">
        <v>235</v>
      </c>
      <c r="I4955" s="368">
        <f t="shared" si="232"/>
        <v>0</v>
      </c>
      <c r="J4955" s="365">
        <f t="shared" si="231"/>
        <v>0</v>
      </c>
      <c r="K4955" s="369">
        <f t="shared" si="233"/>
        <v>6</v>
      </c>
      <c r="L4955" s="369">
        <f>+IF((C4955&gt;='Resultats - informe'!$E$16)*(C4955&lt;='Resultats - informe'!$G$16),1,0)</f>
        <v>1</v>
      </c>
      <c r="M4955" s="369" cm="1">
        <f t="array" ref="M4955">+_xlfn.IFS((C4955&gt;='Resultats - informe'!$D$26)*(C4955&lt;='Resultats - informe'!$E$26),0,(C4955&gt;='Resultats - informe'!$D$27)*(C4955&lt;='Resultats - informe'!$E$27),0,(C4955&gt;='Resultats - informe'!$D$28)*(C4955&lt;='Resultats - informe'!$E$28),0,(C4955&gt;='Resultats - informe'!$D$29)*(C4955&lt;='Resultats - informe'!$E$29),0,1,1)</f>
        <v>0</v>
      </c>
      <c r="N4955" s="366">
        <f>+VLOOKUP(D4955,'Resultats - informe'!$Y$18:$AG$42,'Introducció dades consum'!K4955+1,0)</f>
        <v>0</v>
      </c>
      <c r="O4955" s="370" cm="1">
        <f t="array" ref="O4955">+_xlfn.SWITCH(MONTH(C4955),1,1,2,1,3,1,4,2,5,2,6,3,7,3,8,3,9,3,10,2,11,2,12,1,2)</f>
        <v>1</v>
      </c>
      <c r="P4955" s="43"/>
    </row>
    <row r="4956" spans="1:16" ht="18" x14ac:dyDescent="0.35">
      <c r="A4956" s="9"/>
      <c r="C4956" s="393"/>
      <c r="E4956" s="394"/>
      <c r="F4956" s="394">
        <v>0.23100000000000001</v>
      </c>
      <c r="G4956" s="394"/>
      <c r="H4956" s="8" t="s">
        <v>235</v>
      </c>
      <c r="I4956" s="368">
        <f t="shared" si="232"/>
        <v>0</v>
      </c>
      <c r="J4956" s="365">
        <f t="shared" si="231"/>
        <v>0</v>
      </c>
      <c r="K4956" s="369">
        <f t="shared" si="233"/>
        <v>6</v>
      </c>
      <c r="L4956" s="369">
        <f>+IF((C4956&gt;='Resultats - informe'!$E$16)*(C4956&lt;='Resultats - informe'!$G$16),1,0)</f>
        <v>1</v>
      </c>
      <c r="M4956" s="369" cm="1">
        <f t="array" ref="M4956">+_xlfn.IFS((C4956&gt;='Resultats - informe'!$D$26)*(C4956&lt;='Resultats - informe'!$E$26),0,(C4956&gt;='Resultats - informe'!$D$27)*(C4956&lt;='Resultats - informe'!$E$27),0,(C4956&gt;='Resultats - informe'!$D$28)*(C4956&lt;='Resultats - informe'!$E$28),0,(C4956&gt;='Resultats - informe'!$D$29)*(C4956&lt;='Resultats - informe'!$E$29),0,1,1)</f>
        <v>0</v>
      </c>
      <c r="N4956" s="366">
        <f>+VLOOKUP(D4956,'Resultats - informe'!$Y$18:$AG$42,'Introducció dades consum'!K4956+1,0)</f>
        <v>0</v>
      </c>
      <c r="O4956" s="370" cm="1">
        <f t="array" ref="O4956">+_xlfn.SWITCH(MONTH(C4956),1,1,2,1,3,1,4,2,5,2,6,3,7,3,8,3,9,3,10,2,11,2,12,1,2)</f>
        <v>1</v>
      </c>
      <c r="P4956" s="43"/>
    </row>
    <row r="4957" spans="1:16" ht="18" x14ac:dyDescent="0.35">
      <c r="A4957" s="9"/>
      <c r="C4957" s="393"/>
      <c r="E4957" s="394"/>
      <c r="F4957" s="394">
        <v>1.7450000000000001</v>
      </c>
      <c r="G4957" s="394"/>
      <c r="H4957" s="8" t="s">
        <v>235</v>
      </c>
      <c r="I4957" s="368">
        <f t="shared" si="232"/>
        <v>0</v>
      </c>
      <c r="J4957" s="365">
        <f t="shared" si="231"/>
        <v>0</v>
      </c>
      <c r="K4957" s="369">
        <f t="shared" si="233"/>
        <v>6</v>
      </c>
      <c r="L4957" s="369">
        <f>+IF((C4957&gt;='Resultats - informe'!$E$16)*(C4957&lt;='Resultats - informe'!$G$16),1,0)</f>
        <v>1</v>
      </c>
      <c r="M4957" s="369" cm="1">
        <f t="array" ref="M4957">+_xlfn.IFS((C4957&gt;='Resultats - informe'!$D$26)*(C4957&lt;='Resultats - informe'!$E$26),0,(C4957&gt;='Resultats - informe'!$D$27)*(C4957&lt;='Resultats - informe'!$E$27),0,(C4957&gt;='Resultats - informe'!$D$28)*(C4957&lt;='Resultats - informe'!$E$28),0,(C4957&gt;='Resultats - informe'!$D$29)*(C4957&lt;='Resultats - informe'!$E$29),0,1,1)</f>
        <v>0</v>
      </c>
      <c r="N4957" s="366">
        <f>+VLOOKUP(D4957,'Resultats - informe'!$Y$18:$AG$42,'Introducció dades consum'!K4957+1,0)</f>
        <v>0</v>
      </c>
      <c r="O4957" s="370" cm="1">
        <f t="array" ref="O4957">+_xlfn.SWITCH(MONTH(C4957),1,1,2,1,3,1,4,2,5,2,6,3,7,3,8,3,9,3,10,2,11,2,12,1,2)</f>
        <v>1</v>
      </c>
      <c r="P4957" s="43"/>
    </row>
    <row r="4958" spans="1:16" ht="18" x14ac:dyDescent="0.35">
      <c r="A4958" s="9"/>
      <c r="C4958" s="393"/>
      <c r="E4958" s="394"/>
      <c r="F4958" s="394">
        <v>3.3140000000000001</v>
      </c>
      <c r="G4958" s="394"/>
      <c r="H4958" s="8" t="s">
        <v>235</v>
      </c>
      <c r="I4958" s="368">
        <f t="shared" si="232"/>
        <v>0</v>
      </c>
      <c r="J4958" s="365">
        <f t="shared" si="231"/>
        <v>0</v>
      </c>
      <c r="K4958" s="369">
        <f t="shared" si="233"/>
        <v>6</v>
      </c>
      <c r="L4958" s="369">
        <f>+IF((C4958&gt;='Resultats - informe'!$E$16)*(C4958&lt;='Resultats - informe'!$G$16),1,0)</f>
        <v>1</v>
      </c>
      <c r="M4958" s="369" cm="1">
        <f t="array" ref="M4958">+_xlfn.IFS((C4958&gt;='Resultats - informe'!$D$26)*(C4958&lt;='Resultats - informe'!$E$26),0,(C4958&gt;='Resultats - informe'!$D$27)*(C4958&lt;='Resultats - informe'!$E$27),0,(C4958&gt;='Resultats - informe'!$D$28)*(C4958&lt;='Resultats - informe'!$E$28),0,(C4958&gt;='Resultats - informe'!$D$29)*(C4958&lt;='Resultats - informe'!$E$29),0,1,1)</f>
        <v>0</v>
      </c>
      <c r="N4958" s="366">
        <f>+VLOOKUP(D4958,'Resultats - informe'!$Y$18:$AG$42,'Introducció dades consum'!K4958+1,0)</f>
        <v>0</v>
      </c>
      <c r="O4958" s="370" cm="1">
        <f t="array" ref="O4958">+_xlfn.SWITCH(MONTH(C4958),1,1,2,1,3,1,4,2,5,2,6,3,7,3,8,3,9,3,10,2,11,2,12,1,2)</f>
        <v>1</v>
      </c>
      <c r="P4958" s="43"/>
    </row>
    <row r="4959" spans="1:16" ht="18" x14ac:dyDescent="0.35">
      <c r="A4959" s="9"/>
      <c r="C4959" s="393"/>
      <c r="E4959" s="394"/>
      <c r="F4959" s="394">
        <v>4.6980000000000004</v>
      </c>
      <c r="G4959" s="394"/>
      <c r="H4959" s="8" t="s">
        <v>235</v>
      </c>
      <c r="I4959" s="368">
        <f t="shared" si="232"/>
        <v>0</v>
      </c>
      <c r="J4959" s="365">
        <f t="shared" si="231"/>
        <v>0</v>
      </c>
      <c r="K4959" s="369">
        <f t="shared" si="233"/>
        <v>6</v>
      </c>
      <c r="L4959" s="369">
        <f>+IF((C4959&gt;='Resultats - informe'!$E$16)*(C4959&lt;='Resultats - informe'!$G$16),1,0)</f>
        <v>1</v>
      </c>
      <c r="M4959" s="369" cm="1">
        <f t="array" ref="M4959">+_xlfn.IFS((C4959&gt;='Resultats - informe'!$D$26)*(C4959&lt;='Resultats - informe'!$E$26),0,(C4959&gt;='Resultats - informe'!$D$27)*(C4959&lt;='Resultats - informe'!$E$27),0,(C4959&gt;='Resultats - informe'!$D$28)*(C4959&lt;='Resultats - informe'!$E$28),0,(C4959&gt;='Resultats - informe'!$D$29)*(C4959&lt;='Resultats - informe'!$E$29),0,1,1)</f>
        <v>0</v>
      </c>
      <c r="N4959" s="366">
        <f>+VLOOKUP(D4959,'Resultats - informe'!$Y$18:$AG$42,'Introducció dades consum'!K4959+1,0)</f>
        <v>0</v>
      </c>
      <c r="O4959" s="370" cm="1">
        <f t="array" ref="O4959">+_xlfn.SWITCH(MONTH(C4959),1,1,2,1,3,1,4,2,5,2,6,3,7,3,8,3,9,3,10,2,11,2,12,1,2)</f>
        <v>1</v>
      </c>
      <c r="P4959" s="43"/>
    </row>
    <row r="4960" spans="1:16" ht="18" x14ac:dyDescent="0.35">
      <c r="A4960" s="9"/>
      <c r="C4960" s="393"/>
      <c r="E4960" s="394"/>
      <c r="F4960" s="394">
        <v>5.4610000000000003</v>
      </c>
      <c r="G4960" s="394"/>
      <c r="H4960" s="8" t="s">
        <v>235</v>
      </c>
      <c r="I4960" s="368">
        <f t="shared" si="232"/>
        <v>0</v>
      </c>
      <c r="J4960" s="365">
        <f t="shared" si="231"/>
        <v>0</v>
      </c>
      <c r="K4960" s="369">
        <f t="shared" si="233"/>
        <v>6</v>
      </c>
      <c r="L4960" s="369">
        <f>+IF((C4960&gt;='Resultats - informe'!$E$16)*(C4960&lt;='Resultats - informe'!$G$16),1,0)</f>
        <v>1</v>
      </c>
      <c r="M4960" s="369" cm="1">
        <f t="array" ref="M4960">+_xlfn.IFS((C4960&gt;='Resultats - informe'!$D$26)*(C4960&lt;='Resultats - informe'!$E$26),0,(C4960&gt;='Resultats - informe'!$D$27)*(C4960&lt;='Resultats - informe'!$E$27),0,(C4960&gt;='Resultats - informe'!$D$28)*(C4960&lt;='Resultats - informe'!$E$28),0,(C4960&gt;='Resultats - informe'!$D$29)*(C4960&lt;='Resultats - informe'!$E$29),0,1,1)</f>
        <v>0</v>
      </c>
      <c r="N4960" s="366">
        <f>+VLOOKUP(D4960,'Resultats - informe'!$Y$18:$AG$42,'Introducció dades consum'!K4960+1,0)</f>
        <v>0</v>
      </c>
      <c r="O4960" s="370" cm="1">
        <f t="array" ref="O4960">+_xlfn.SWITCH(MONTH(C4960),1,1,2,1,3,1,4,2,5,2,6,3,7,3,8,3,9,3,10,2,11,2,12,1,2)</f>
        <v>1</v>
      </c>
      <c r="P4960" s="43"/>
    </row>
    <row r="4961" spans="1:16" ht="18" x14ac:dyDescent="0.35">
      <c r="A4961" s="9"/>
      <c r="C4961" s="393"/>
      <c r="E4961" s="394"/>
      <c r="F4961" s="394">
        <v>6.7039999999999997</v>
      </c>
      <c r="G4961" s="394"/>
      <c r="H4961" s="8" t="s">
        <v>235</v>
      </c>
      <c r="I4961" s="368">
        <f t="shared" si="232"/>
        <v>0</v>
      </c>
      <c r="J4961" s="365">
        <f t="shared" si="231"/>
        <v>0</v>
      </c>
      <c r="K4961" s="369">
        <f t="shared" si="233"/>
        <v>6</v>
      </c>
      <c r="L4961" s="369">
        <f>+IF((C4961&gt;='Resultats - informe'!$E$16)*(C4961&lt;='Resultats - informe'!$G$16),1,0)</f>
        <v>1</v>
      </c>
      <c r="M4961" s="369" cm="1">
        <f t="array" ref="M4961">+_xlfn.IFS((C4961&gt;='Resultats - informe'!$D$26)*(C4961&lt;='Resultats - informe'!$E$26),0,(C4961&gt;='Resultats - informe'!$D$27)*(C4961&lt;='Resultats - informe'!$E$27),0,(C4961&gt;='Resultats - informe'!$D$28)*(C4961&lt;='Resultats - informe'!$E$28),0,(C4961&gt;='Resultats - informe'!$D$29)*(C4961&lt;='Resultats - informe'!$E$29),0,1,1)</f>
        <v>0</v>
      </c>
      <c r="N4961" s="366">
        <f>+VLOOKUP(D4961,'Resultats - informe'!$Y$18:$AG$42,'Introducció dades consum'!K4961+1,0)</f>
        <v>0</v>
      </c>
      <c r="O4961" s="370" cm="1">
        <f t="array" ref="O4961">+_xlfn.SWITCH(MONTH(C4961),1,1,2,1,3,1,4,2,5,2,6,3,7,3,8,3,9,3,10,2,11,2,12,1,2)</f>
        <v>1</v>
      </c>
      <c r="P4961" s="43"/>
    </row>
    <row r="4962" spans="1:16" ht="18" x14ac:dyDescent="0.35">
      <c r="A4962" s="9"/>
      <c r="C4962" s="393"/>
      <c r="E4962" s="394"/>
      <c r="F4962" s="394">
        <v>7.0919999999999996</v>
      </c>
      <c r="G4962" s="394"/>
      <c r="H4962" s="8" t="s">
        <v>235</v>
      </c>
      <c r="I4962" s="368">
        <f t="shared" si="232"/>
        <v>0</v>
      </c>
      <c r="J4962" s="365">
        <f t="shared" si="231"/>
        <v>0</v>
      </c>
      <c r="K4962" s="369">
        <f t="shared" si="233"/>
        <v>6</v>
      </c>
      <c r="L4962" s="369">
        <f>+IF((C4962&gt;='Resultats - informe'!$E$16)*(C4962&lt;='Resultats - informe'!$G$16),1,0)</f>
        <v>1</v>
      </c>
      <c r="M4962" s="369" cm="1">
        <f t="array" ref="M4962">+_xlfn.IFS((C4962&gt;='Resultats - informe'!$D$26)*(C4962&lt;='Resultats - informe'!$E$26),0,(C4962&gt;='Resultats - informe'!$D$27)*(C4962&lt;='Resultats - informe'!$E$27),0,(C4962&gt;='Resultats - informe'!$D$28)*(C4962&lt;='Resultats - informe'!$E$28),0,(C4962&gt;='Resultats - informe'!$D$29)*(C4962&lt;='Resultats - informe'!$E$29),0,1,1)</f>
        <v>0</v>
      </c>
      <c r="N4962" s="366">
        <f>+VLOOKUP(D4962,'Resultats - informe'!$Y$18:$AG$42,'Introducció dades consum'!K4962+1,0)</f>
        <v>0</v>
      </c>
      <c r="O4962" s="370" cm="1">
        <f t="array" ref="O4962">+_xlfn.SWITCH(MONTH(C4962),1,1,2,1,3,1,4,2,5,2,6,3,7,3,8,3,9,3,10,2,11,2,12,1,2)</f>
        <v>1</v>
      </c>
      <c r="P4962" s="43"/>
    </row>
    <row r="4963" spans="1:16" ht="18" x14ac:dyDescent="0.35">
      <c r="A4963" s="9"/>
      <c r="C4963" s="393"/>
      <c r="E4963" s="394"/>
      <c r="F4963" s="394">
        <v>5.1109999999999998</v>
      </c>
      <c r="G4963" s="394"/>
      <c r="H4963" s="8" t="s">
        <v>235</v>
      </c>
      <c r="I4963" s="368">
        <f t="shared" si="232"/>
        <v>0</v>
      </c>
      <c r="J4963" s="365">
        <f t="shared" si="231"/>
        <v>0</v>
      </c>
      <c r="K4963" s="369">
        <f t="shared" si="233"/>
        <v>6</v>
      </c>
      <c r="L4963" s="369">
        <f>+IF((C4963&gt;='Resultats - informe'!$E$16)*(C4963&lt;='Resultats - informe'!$G$16),1,0)</f>
        <v>1</v>
      </c>
      <c r="M4963" s="369" cm="1">
        <f t="array" ref="M4963">+_xlfn.IFS((C4963&gt;='Resultats - informe'!$D$26)*(C4963&lt;='Resultats - informe'!$E$26),0,(C4963&gt;='Resultats - informe'!$D$27)*(C4963&lt;='Resultats - informe'!$E$27),0,(C4963&gt;='Resultats - informe'!$D$28)*(C4963&lt;='Resultats - informe'!$E$28),0,(C4963&gt;='Resultats - informe'!$D$29)*(C4963&lt;='Resultats - informe'!$E$29),0,1,1)</f>
        <v>0</v>
      </c>
      <c r="N4963" s="366">
        <f>+VLOOKUP(D4963,'Resultats - informe'!$Y$18:$AG$42,'Introducció dades consum'!K4963+1,0)</f>
        <v>0</v>
      </c>
      <c r="O4963" s="370" cm="1">
        <f t="array" ref="O4963">+_xlfn.SWITCH(MONTH(C4963),1,1,2,1,3,1,4,2,5,2,6,3,7,3,8,3,9,3,10,2,11,2,12,1,2)</f>
        <v>1</v>
      </c>
      <c r="P4963" s="43"/>
    </row>
    <row r="4964" spans="1:16" ht="18" x14ac:dyDescent="0.35">
      <c r="A4964" s="9"/>
      <c r="C4964" s="393"/>
      <c r="E4964" s="394"/>
      <c r="F4964" s="394">
        <v>3.2280000000000002</v>
      </c>
      <c r="G4964" s="394"/>
      <c r="H4964" s="8" t="s">
        <v>235</v>
      </c>
      <c r="I4964" s="368">
        <f t="shared" si="232"/>
        <v>0</v>
      </c>
      <c r="J4964" s="365">
        <f t="shared" si="231"/>
        <v>0</v>
      </c>
      <c r="K4964" s="369">
        <f t="shared" si="233"/>
        <v>6</v>
      </c>
      <c r="L4964" s="369">
        <f>+IF((C4964&gt;='Resultats - informe'!$E$16)*(C4964&lt;='Resultats - informe'!$G$16),1,0)</f>
        <v>1</v>
      </c>
      <c r="M4964" s="369" cm="1">
        <f t="array" ref="M4964">+_xlfn.IFS((C4964&gt;='Resultats - informe'!$D$26)*(C4964&lt;='Resultats - informe'!$E$26),0,(C4964&gt;='Resultats - informe'!$D$27)*(C4964&lt;='Resultats - informe'!$E$27),0,(C4964&gt;='Resultats - informe'!$D$28)*(C4964&lt;='Resultats - informe'!$E$28),0,(C4964&gt;='Resultats - informe'!$D$29)*(C4964&lt;='Resultats - informe'!$E$29),0,1,1)</f>
        <v>0</v>
      </c>
      <c r="N4964" s="366">
        <f>+VLOOKUP(D4964,'Resultats - informe'!$Y$18:$AG$42,'Introducció dades consum'!K4964+1,0)</f>
        <v>0</v>
      </c>
      <c r="O4964" s="370" cm="1">
        <f t="array" ref="O4964">+_xlfn.SWITCH(MONTH(C4964),1,1,2,1,3,1,4,2,5,2,6,3,7,3,8,3,9,3,10,2,11,2,12,1,2)</f>
        <v>1</v>
      </c>
      <c r="P4964" s="43"/>
    </row>
    <row r="4965" spans="1:16" ht="18" x14ac:dyDescent="0.35">
      <c r="A4965" s="9"/>
      <c r="C4965" s="393"/>
      <c r="E4965" s="394"/>
      <c r="F4965" s="394">
        <v>3.3730000000000002</v>
      </c>
      <c r="G4965" s="394"/>
      <c r="H4965" s="8" t="s">
        <v>235</v>
      </c>
      <c r="I4965" s="368">
        <f t="shared" si="232"/>
        <v>0</v>
      </c>
      <c r="J4965" s="365">
        <f t="shared" si="231"/>
        <v>0</v>
      </c>
      <c r="K4965" s="369">
        <f t="shared" si="233"/>
        <v>6</v>
      </c>
      <c r="L4965" s="369">
        <f>+IF((C4965&gt;='Resultats - informe'!$E$16)*(C4965&lt;='Resultats - informe'!$G$16),1,0)</f>
        <v>1</v>
      </c>
      <c r="M4965" s="369" cm="1">
        <f t="array" ref="M4965">+_xlfn.IFS((C4965&gt;='Resultats - informe'!$D$26)*(C4965&lt;='Resultats - informe'!$E$26),0,(C4965&gt;='Resultats - informe'!$D$27)*(C4965&lt;='Resultats - informe'!$E$27),0,(C4965&gt;='Resultats - informe'!$D$28)*(C4965&lt;='Resultats - informe'!$E$28),0,(C4965&gt;='Resultats - informe'!$D$29)*(C4965&lt;='Resultats - informe'!$E$29),0,1,1)</f>
        <v>0</v>
      </c>
      <c r="N4965" s="366">
        <f>+VLOOKUP(D4965,'Resultats - informe'!$Y$18:$AG$42,'Introducció dades consum'!K4965+1,0)</f>
        <v>0</v>
      </c>
      <c r="O4965" s="370" cm="1">
        <f t="array" ref="O4965">+_xlfn.SWITCH(MONTH(C4965),1,1,2,1,3,1,4,2,5,2,6,3,7,3,8,3,9,3,10,2,11,2,12,1,2)</f>
        <v>1</v>
      </c>
      <c r="P4965" s="43"/>
    </row>
    <row r="4966" spans="1:16" ht="18" x14ac:dyDescent="0.35">
      <c r="A4966" s="9"/>
      <c r="C4966" s="393"/>
      <c r="E4966" s="394"/>
      <c r="F4966" s="394">
        <v>2.7839999999999998</v>
      </c>
      <c r="G4966" s="394"/>
      <c r="H4966" s="8" t="s">
        <v>235</v>
      </c>
      <c r="I4966" s="368">
        <f t="shared" si="232"/>
        <v>0</v>
      </c>
      <c r="J4966" s="365">
        <f t="shared" si="231"/>
        <v>0</v>
      </c>
      <c r="K4966" s="369">
        <f t="shared" si="233"/>
        <v>6</v>
      </c>
      <c r="L4966" s="369">
        <f>+IF((C4966&gt;='Resultats - informe'!$E$16)*(C4966&lt;='Resultats - informe'!$G$16),1,0)</f>
        <v>1</v>
      </c>
      <c r="M4966" s="369" cm="1">
        <f t="array" ref="M4966">+_xlfn.IFS((C4966&gt;='Resultats - informe'!$D$26)*(C4966&lt;='Resultats - informe'!$E$26),0,(C4966&gt;='Resultats - informe'!$D$27)*(C4966&lt;='Resultats - informe'!$E$27),0,(C4966&gt;='Resultats - informe'!$D$28)*(C4966&lt;='Resultats - informe'!$E$28),0,(C4966&gt;='Resultats - informe'!$D$29)*(C4966&lt;='Resultats - informe'!$E$29),0,1,1)</f>
        <v>0</v>
      </c>
      <c r="N4966" s="366">
        <f>+VLOOKUP(D4966,'Resultats - informe'!$Y$18:$AG$42,'Introducció dades consum'!K4966+1,0)</f>
        <v>0</v>
      </c>
      <c r="O4966" s="370" cm="1">
        <f t="array" ref="O4966">+_xlfn.SWITCH(MONTH(C4966),1,1,2,1,3,1,4,2,5,2,6,3,7,3,8,3,9,3,10,2,11,2,12,1,2)</f>
        <v>1</v>
      </c>
      <c r="P4966" s="43"/>
    </row>
    <row r="4967" spans="1:16" ht="18" x14ac:dyDescent="0.35">
      <c r="A4967" s="9"/>
      <c r="C4967" s="393"/>
      <c r="E4967" s="394"/>
      <c r="F4967" s="394">
        <v>1.05</v>
      </c>
      <c r="G4967" s="394"/>
      <c r="H4967" s="8" t="s">
        <v>235</v>
      </c>
      <c r="I4967" s="368">
        <f t="shared" si="232"/>
        <v>0</v>
      </c>
      <c r="J4967" s="365">
        <f t="shared" si="231"/>
        <v>0</v>
      </c>
      <c r="K4967" s="369">
        <f t="shared" si="233"/>
        <v>6</v>
      </c>
      <c r="L4967" s="369">
        <f>+IF((C4967&gt;='Resultats - informe'!$E$16)*(C4967&lt;='Resultats - informe'!$G$16),1,0)</f>
        <v>1</v>
      </c>
      <c r="M4967" s="369" cm="1">
        <f t="array" ref="M4967">+_xlfn.IFS((C4967&gt;='Resultats - informe'!$D$26)*(C4967&lt;='Resultats - informe'!$E$26),0,(C4967&gt;='Resultats - informe'!$D$27)*(C4967&lt;='Resultats - informe'!$E$27),0,(C4967&gt;='Resultats - informe'!$D$28)*(C4967&lt;='Resultats - informe'!$E$28),0,(C4967&gt;='Resultats - informe'!$D$29)*(C4967&lt;='Resultats - informe'!$E$29),0,1,1)</f>
        <v>0</v>
      </c>
      <c r="N4967" s="366">
        <f>+VLOOKUP(D4967,'Resultats - informe'!$Y$18:$AG$42,'Introducció dades consum'!K4967+1,0)</f>
        <v>0</v>
      </c>
      <c r="O4967" s="370" cm="1">
        <f t="array" ref="O4967">+_xlfn.SWITCH(MONTH(C4967),1,1,2,1,3,1,4,2,5,2,6,3,7,3,8,3,9,3,10,2,11,2,12,1,2)</f>
        <v>1</v>
      </c>
      <c r="P4967" s="43"/>
    </row>
    <row r="4968" spans="1:16" ht="18" x14ac:dyDescent="0.35">
      <c r="A4968" s="9"/>
      <c r="C4968" s="393"/>
      <c r="E4968" s="394"/>
      <c r="F4968" s="394">
        <v>0</v>
      </c>
      <c r="G4968" s="394"/>
      <c r="H4968" s="8" t="s">
        <v>235</v>
      </c>
      <c r="I4968" s="368">
        <f t="shared" si="232"/>
        <v>0</v>
      </c>
      <c r="J4968" s="365">
        <f t="shared" si="231"/>
        <v>0</v>
      </c>
      <c r="K4968" s="369">
        <f t="shared" si="233"/>
        <v>6</v>
      </c>
      <c r="L4968" s="369">
        <f>+IF((C4968&gt;='Resultats - informe'!$E$16)*(C4968&lt;='Resultats - informe'!$G$16),1,0)</f>
        <v>1</v>
      </c>
      <c r="M4968" s="369" cm="1">
        <f t="array" ref="M4968">+_xlfn.IFS((C4968&gt;='Resultats - informe'!$D$26)*(C4968&lt;='Resultats - informe'!$E$26),0,(C4968&gt;='Resultats - informe'!$D$27)*(C4968&lt;='Resultats - informe'!$E$27),0,(C4968&gt;='Resultats - informe'!$D$28)*(C4968&lt;='Resultats - informe'!$E$28),0,(C4968&gt;='Resultats - informe'!$D$29)*(C4968&lt;='Resultats - informe'!$E$29),0,1,1)</f>
        <v>0</v>
      </c>
      <c r="N4968" s="366">
        <f>+VLOOKUP(D4968,'Resultats - informe'!$Y$18:$AG$42,'Introducció dades consum'!K4968+1,0)</f>
        <v>0</v>
      </c>
      <c r="O4968" s="370" cm="1">
        <f t="array" ref="O4968">+_xlfn.SWITCH(MONTH(C4968),1,1,2,1,3,1,4,2,5,2,6,3,7,3,8,3,9,3,10,2,11,2,12,1,2)</f>
        <v>1</v>
      </c>
      <c r="P4968" s="43"/>
    </row>
    <row r="4969" spans="1:16" ht="18" x14ac:dyDescent="0.35">
      <c r="A4969" s="9"/>
      <c r="C4969" s="393"/>
      <c r="E4969" s="394"/>
      <c r="F4969" s="394">
        <v>0</v>
      </c>
      <c r="G4969" s="394"/>
      <c r="H4969" s="8" t="s">
        <v>235</v>
      </c>
      <c r="I4969" s="368">
        <f t="shared" si="232"/>
        <v>0</v>
      </c>
      <c r="J4969" s="365">
        <f t="shared" si="231"/>
        <v>0</v>
      </c>
      <c r="K4969" s="369">
        <f t="shared" si="233"/>
        <v>6</v>
      </c>
      <c r="L4969" s="369">
        <f>+IF((C4969&gt;='Resultats - informe'!$E$16)*(C4969&lt;='Resultats - informe'!$G$16),1,0)</f>
        <v>1</v>
      </c>
      <c r="M4969" s="369" cm="1">
        <f t="array" ref="M4969">+_xlfn.IFS((C4969&gt;='Resultats - informe'!$D$26)*(C4969&lt;='Resultats - informe'!$E$26),0,(C4969&gt;='Resultats - informe'!$D$27)*(C4969&lt;='Resultats - informe'!$E$27),0,(C4969&gt;='Resultats - informe'!$D$28)*(C4969&lt;='Resultats - informe'!$E$28),0,(C4969&gt;='Resultats - informe'!$D$29)*(C4969&lt;='Resultats - informe'!$E$29),0,1,1)</f>
        <v>0</v>
      </c>
      <c r="N4969" s="366">
        <f>+VLOOKUP(D4969,'Resultats - informe'!$Y$18:$AG$42,'Introducció dades consum'!K4969+1,0)</f>
        <v>0</v>
      </c>
      <c r="O4969" s="370" cm="1">
        <f t="array" ref="O4969">+_xlfn.SWITCH(MONTH(C4969),1,1,2,1,3,1,4,2,5,2,6,3,7,3,8,3,9,3,10,2,11,2,12,1,2)</f>
        <v>1</v>
      </c>
      <c r="P4969" s="43"/>
    </row>
    <row r="4970" spans="1:16" ht="18" x14ac:dyDescent="0.35">
      <c r="A4970" s="9"/>
      <c r="C4970" s="393"/>
      <c r="E4970" s="394"/>
      <c r="F4970" s="394">
        <v>0</v>
      </c>
      <c r="G4970" s="394"/>
      <c r="H4970" s="8" t="s">
        <v>235</v>
      </c>
      <c r="I4970" s="368">
        <f t="shared" si="232"/>
        <v>0</v>
      </c>
      <c r="J4970" s="365">
        <f t="shared" si="231"/>
        <v>0</v>
      </c>
      <c r="K4970" s="369">
        <f t="shared" si="233"/>
        <v>6</v>
      </c>
      <c r="L4970" s="369">
        <f>+IF((C4970&gt;='Resultats - informe'!$E$16)*(C4970&lt;='Resultats - informe'!$G$16),1,0)</f>
        <v>1</v>
      </c>
      <c r="M4970" s="369" cm="1">
        <f t="array" ref="M4970">+_xlfn.IFS((C4970&gt;='Resultats - informe'!$D$26)*(C4970&lt;='Resultats - informe'!$E$26),0,(C4970&gt;='Resultats - informe'!$D$27)*(C4970&lt;='Resultats - informe'!$E$27),0,(C4970&gt;='Resultats - informe'!$D$28)*(C4970&lt;='Resultats - informe'!$E$28),0,(C4970&gt;='Resultats - informe'!$D$29)*(C4970&lt;='Resultats - informe'!$E$29),0,1,1)</f>
        <v>0</v>
      </c>
      <c r="N4970" s="366">
        <f>+VLOOKUP(D4970,'Resultats - informe'!$Y$18:$AG$42,'Introducció dades consum'!K4970+1,0)</f>
        <v>0</v>
      </c>
      <c r="O4970" s="370" cm="1">
        <f t="array" ref="O4970">+_xlfn.SWITCH(MONTH(C4970),1,1,2,1,3,1,4,2,5,2,6,3,7,3,8,3,9,3,10,2,11,2,12,1,2)</f>
        <v>1</v>
      </c>
      <c r="P4970" s="43"/>
    </row>
    <row r="4971" spans="1:16" ht="18" x14ac:dyDescent="0.35">
      <c r="A4971" s="9"/>
      <c r="C4971" s="393"/>
      <c r="E4971" s="394"/>
      <c r="F4971" s="394">
        <v>0</v>
      </c>
      <c r="G4971" s="394"/>
      <c r="H4971" s="8" t="s">
        <v>235</v>
      </c>
      <c r="I4971" s="368">
        <f t="shared" si="232"/>
        <v>0</v>
      </c>
      <c r="J4971" s="365">
        <f t="shared" si="231"/>
        <v>0</v>
      </c>
      <c r="K4971" s="369">
        <f t="shared" si="233"/>
        <v>6</v>
      </c>
      <c r="L4971" s="369">
        <f>+IF((C4971&gt;='Resultats - informe'!$E$16)*(C4971&lt;='Resultats - informe'!$G$16),1,0)</f>
        <v>1</v>
      </c>
      <c r="M4971" s="369" cm="1">
        <f t="array" ref="M4971">+_xlfn.IFS((C4971&gt;='Resultats - informe'!$D$26)*(C4971&lt;='Resultats - informe'!$E$26),0,(C4971&gt;='Resultats - informe'!$D$27)*(C4971&lt;='Resultats - informe'!$E$27),0,(C4971&gt;='Resultats - informe'!$D$28)*(C4971&lt;='Resultats - informe'!$E$28),0,(C4971&gt;='Resultats - informe'!$D$29)*(C4971&lt;='Resultats - informe'!$E$29),0,1,1)</f>
        <v>0</v>
      </c>
      <c r="N4971" s="366">
        <f>+VLOOKUP(D4971,'Resultats - informe'!$Y$18:$AG$42,'Introducció dades consum'!K4971+1,0)</f>
        <v>0</v>
      </c>
      <c r="O4971" s="370" cm="1">
        <f t="array" ref="O4971">+_xlfn.SWITCH(MONTH(C4971),1,1,2,1,3,1,4,2,5,2,6,3,7,3,8,3,9,3,10,2,11,2,12,1,2)</f>
        <v>1</v>
      </c>
      <c r="P4971" s="43"/>
    </row>
    <row r="4972" spans="1:16" ht="18" x14ac:dyDescent="0.35">
      <c r="A4972" s="9"/>
      <c r="C4972" s="393"/>
      <c r="E4972" s="394"/>
      <c r="F4972" s="394">
        <v>0</v>
      </c>
      <c r="G4972" s="394"/>
      <c r="H4972" s="8" t="s">
        <v>235</v>
      </c>
      <c r="I4972" s="368">
        <f t="shared" si="232"/>
        <v>0</v>
      </c>
      <c r="J4972" s="365">
        <f t="shared" si="231"/>
        <v>0</v>
      </c>
      <c r="K4972" s="369">
        <f t="shared" si="233"/>
        <v>6</v>
      </c>
      <c r="L4972" s="369">
        <f>+IF((C4972&gt;='Resultats - informe'!$E$16)*(C4972&lt;='Resultats - informe'!$G$16),1,0)</f>
        <v>1</v>
      </c>
      <c r="M4972" s="369" cm="1">
        <f t="array" ref="M4972">+_xlfn.IFS((C4972&gt;='Resultats - informe'!$D$26)*(C4972&lt;='Resultats - informe'!$E$26),0,(C4972&gt;='Resultats - informe'!$D$27)*(C4972&lt;='Resultats - informe'!$E$27),0,(C4972&gt;='Resultats - informe'!$D$28)*(C4972&lt;='Resultats - informe'!$E$28),0,(C4972&gt;='Resultats - informe'!$D$29)*(C4972&lt;='Resultats - informe'!$E$29),0,1,1)</f>
        <v>0</v>
      </c>
      <c r="N4972" s="366">
        <f>+VLOOKUP(D4972,'Resultats - informe'!$Y$18:$AG$42,'Introducció dades consum'!K4972+1,0)</f>
        <v>0</v>
      </c>
      <c r="O4972" s="370" cm="1">
        <f t="array" ref="O4972">+_xlfn.SWITCH(MONTH(C4972),1,1,2,1,3,1,4,2,5,2,6,3,7,3,8,3,9,3,10,2,11,2,12,1,2)</f>
        <v>1</v>
      </c>
      <c r="P4972" s="43"/>
    </row>
    <row r="4973" spans="1:16" ht="18" x14ac:dyDescent="0.35">
      <c r="A4973" s="9"/>
      <c r="C4973" s="393"/>
      <c r="E4973" s="394"/>
      <c r="F4973" s="394">
        <v>0</v>
      </c>
      <c r="G4973" s="394"/>
      <c r="H4973" s="8" t="s">
        <v>235</v>
      </c>
      <c r="I4973" s="368">
        <f t="shared" si="232"/>
        <v>0</v>
      </c>
      <c r="J4973" s="365">
        <f t="shared" si="231"/>
        <v>0</v>
      </c>
      <c r="K4973" s="369">
        <f t="shared" si="233"/>
        <v>6</v>
      </c>
      <c r="L4973" s="369">
        <f>+IF((C4973&gt;='Resultats - informe'!$E$16)*(C4973&lt;='Resultats - informe'!$G$16),1,0)</f>
        <v>1</v>
      </c>
      <c r="M4973" s="369" cm="1">
        <f t="array" ref="M4973">+_xlfn.IFS((C4973&gt;='Resultats - informe'!$D$26)*(C4973&lt;='Resultats - informe'!$E$26),0,(C4973&gt;='Resultats - informe'!$D$27)*(C4973&lt;='Resultats - informe'!$E$27),0,(C4973&gt;='Resultats - informe'!$D$28)*(C4973&lt;='Resultats - informe'!$E$28),0,(C4973&gt;='Resultats - informe'!$D$29)*(C4973&lt;='Resultats - informe'!$E$29),0,1,1)</f>
        <v>0</v>
      </c>
      <c r="N4973" s="366">
        <f>+VLOOKUP(D4973,'Resultats - informe'!$Y$18:$AG$42,'Introducció dades consum'!K4973+1,0)</f>
        <v>0</v>
      </c>
      <c r="O4973" s="370" cm="1">
        <f t="array" ref="O4973">+_xlfn.SWITCH(MONTH(C4973),1,1,2,1,3,1,4,2,5,2,6,3,7,3,8,3,9,3,10,2,11,2,12,1,2)</f>
        <v>1</v>
      </c>
      <c r="P4973" s="43"/>
    </row>
    <row r="4974" spans="1:16" ht="18" x14ac:dyDescent="0.35">
      <c r="A4974" s="9"/>
      <c r="C4974" s="393"/>
      <c r="E4974" s="394"/>
      <c r="F4974" s="394">
        <v>0</v>
      </c>
      <c r="G4974" s="394"/>
      <c r="H4974" s="8" t="s">
        <v>235</v>
      </c>
      <c r="I4974" s="368">
        <f t="shared" si="232"/>
        <v>0</v>
      </c>
      <c r="J4974" s="365">
        <f t="shared" si="231"/>
        <v>0</v>
      </c>
      <c r="K4974" s="369">
        <f t="shared" si="233"/>
        <v>6</v>
      </c>
      <c r="L4974" s="369">
        <f>+IF((C4974&gt;='Resultats - informe'!$E$16)*(C4974&lt;='Resultats - informe'!$G$16),1,0)</f>
        <v>1</v>
      </c>
      <c r="M4974" s="369" cm="1">
        <f t="array" ref="M4974">+_xlfn.IFS((C4974&gt;='Resultats - informe'!$D$26)*(C4974&lt;='Resultats - informe'!$E$26),0,(C4974&gt;='Resultats - informe'!$D$27)*(C4974&lt;='Resultats - informe'!$E$27),0,(C4974&gt;='Resultats - informe'!$D$28)*(C4974&lt;='Resultats - informe'!$E$28),0,(C4974&gt;='Resultats - informe'!$D$29)*(C4974&lt;='Resultats - informe'!$E$29),0,1,1)</f>
        <v>0</v>
      </c>
      <c r="N4974" s="366">
        <f>+VLOOKUP(D4974,'Resultats - informe'!$Y$18:$AG$42,'Introducció dades consum'!K4974+1,0)</f>
        <v>0</v>
      </c>
      <c r="O4974" s="370" cm="1">
        <f t="array" ref="O4974">+_xlfn.SWITCH(MONTH(C4974),1,1,2,1,3,1,4,2,5,2,6,3,7,3,8,3,9,3,10,2,11,2,12,1,2)</f>
        <v>1</v>
      </c>
      <c r="P4974" s="43"/>
    </row>
    <row r="4975" spans="1:16" ht="18" x14ac:dyDescent="0.35">
      <c r="A4975" s="9"/>
      <c r="C4975" s="393"/>
      <c r="E4975" s="394"/>
      <c r="F4975" s="394">
        <v>0</v>
      </c>
      <c r="G4975" s="394"/>
      <c r="H4975" s="8" t="s">
        <v>235</v>
      </c>
      <c r="I4975" s="368">
        <f t="shared" si="232"/>
        <v>0</v>
      </c>
      <c r="J4975" s="365">
        <f t="shared" si="231"/>
        <v>0</v>
      </c>
      <c r="K4975" s="369">
        <f t="shared" si="233"/>
        <v>6</v>
      </c>
      <c r="L4975" s="369">
        <f>+IF((C4975&gt;='Resultats - informe'!$E$16)*(C4975&lt;='Resultats - informe'!$G$16),1,0)</f>
        <v>1</v>
      </c>
      <c r="M4975" s="369" cm="1">
        <f t="array" ref="M4975">+_xlfn.IFS((C4975&gt;='Resultats - informe'!$D$26)*(C4975&lt;='Resultats - informe'!$E$26),0,(C4975&gt;='Resultats - informe'!$D$27)*(C4975&lt;='Resultats - informe'!$E$27),0,(C4975&gt;='Resultats - informe'!$D$28)*(C4975&lt;='Resultats - informe'!$E$28),0,(C4975&gt;='Resultats - informe'!$D$29)*(C4975&lt;='Resultats - informe'!$E$29),0,1,1)</f>
        <v>0</v>
      </c>
      <c r="N4975" s="366">
        <f>+VLOOKUP(D4975,'Resultats - informe'!$Y$18:$AG$42,'Introducció dades consum'!K4975+1,0)</f>
        <v>0</v>
      </c>
      <c r="O4975" s="370" cm="1">
        <f t="array" ref="O4975">+_xlfn.SWITCH(MONTH(C4975),1,1,2,1,3,1,4,2,5,2,6,3,7,3,8,3,9,3,10,2,11,2,12,1,2)</f>
        <v>1</v>
      </c>
      <c r="P4975" s="43"/>
    </row>
    <row r="4976" spans="1:16" ht="18" x14ac:dyDescent="0.35">
      <c r="A4976" s="9"/>
      <c r="C4976" s="393"/>
      <c r="E4976" s="394"/>
      <c r="F4976" s="394">
        <v>0</v>
      </c>
      <c r="G4976" s="394"/>
      <c r="H4976" s="8" t="s">
        <v>235</v>
      </c>
      <c r="I4976" s="368">
        <f t="shared" si="232"/>
        <v>0</v>
      </c>
      <c r="J4976" s="365">
        <f t="shared" si="231"/>
        <v>0</v>
      </c>
      <c r="K4976" s="369">
        <f t="shared" si="233"/>
        <v>6</v>
      </c>
      <c r="L4976" s="369">
        <f>+IF((C4976&gt;='Resultats - informe'!$E$16)*(C4976&lt;='Resultats - informe'!$G$16),1,0)</f>
        <v>1</v>
      </c>
      <c r="M4976" s="369" cm="1">
        <f t="array" ref="M4976">+_xlfn.IFS((C4976&gt;='Resultats - informe'!$D$26)*(C4976&lt;='Resultats - informe'!$E$26),0,(C4976&gt;='Resultats - informe'!$D$27)*(C4976&lt;='Resultats - informe'!$E$27),0,(C4976&gt;='Resultats - informe'!$D$28)*(C4976&lt;='Resultats - informe'!$E$28),0,(C4976&gt;='Resultats - informe'!$D$29)*(C4976&lt;='Resultats - informe'!$E$29),0,1,1)</f>
        <v>0</v>
      </c>
      <c r="N4976" s="366">
        <f>+VLOOKUP(D4976,'Resultats - informe'!$Y$18:$AG$42,'Introducció dades consum'!K4976+1,0)</f>
        <v>0</v>
      </c>
      <c r="O4976" s="370" cm="1">
        <f t="array" ref="O4976">+_xlfn.SWITCH(MONTH(C4976),1,1,2,1,3,1,4,2,5,2,6,3,7,3,8,3,9,3,10,2,11,2,12,1,2)</f>
        <v>1</v>
      </c>
      <c r="P4976" s="43"/>
    </row>
    <row r="4977" spans="1:16" ht="18" x14ac:dyDescent="0.35">
      <c r="A4977" s="9"/>
      <c r="C4977" s="393"/>
      <c r="E4977" s="394"/>
      <c r="F4977" s="394">
        <v>0</v>
      </c>
      <c r="G4977" s="394"/>
      <c r="H4977" s="8" t="s">
        <v>235</v>
      </c>
      <c r="I4977" s="368">
        <f t="shared" si="232"/>
        <v>0</v>
      </c>
      <c r="J4977" s="365">
        <f t="shared" si="231"/>
        <v>0</v>
      </c>
      <c r="K4977" s="369">
        <f t="shared" si="233"/>
        <v>6</v>
      </c>
      <c r="L4977" s="369">
        <f>+IF((C4977&gt;='Resultats - informe'!$E$16)*(C4977&lt;='Resultats - informe'!$G$16),1,0)</f>
        <v>1</v>
      </c>
      <c r="M4977" s="369" cm="1">
        <f t="array" ref="M4977">+_xlfn.IFS((C4977&gt;='Resultats - informe'!$D$26)*(C4977&lt;='Resultats - informe'!$E$26),0,(C4977&gt;='Resultats - informe'!$D$27)*(C4977&lt;='Resultats - informe'!$E$27),0,(C4977&gt;='Resultats - informe'!$D$28)*(C4977&lt;='Resultats - informe'!$E$28),0,(C4977&gt;='Resultats - informe'!$D$29)*(C4977&lt;='Resultats - informe'!$E$29),0,1,1)</f>
        <v>0</v>
      </c>
      <c r="N4977" s="366">
        <f>+VLOOKUP(D4977,'Resultats - informe'!$Y$18:$AG$42,'Introducció dades consum'!K4977+1,0)</f>
        <v>0</v>
      </c>
      <c r="O4977" s="370" cm="1">
        <f t="array" ref="O4977">+_xlfn.SWITCH(MONTH(C4977),1,1,2,1,3,1,4,2,5,2,6,3,7,3,8,3,9,3,10,2,11,2,12,1,2)</f>
        <v>1</v>
      </c>
      <c r="P4977" s="43"/>
    </row>
    <row r="4978" spans="1:16" ht="18" x14ac:dyDescent="0.35">
      <c r="A4978" s="9"/>
      <c r="C4978" s="393"/>
      <c r="E4978" s="394"/>
      <c r="F4978" s="394">
        <v>0</v>
      </c>
      <c r="G4978" s="394"/>
      <c r="H4978" s="8" t="s">
        <v>235</v>
      </c>
      <c r="I4978" s="368">
        <f t="shared" si="232"/>
        <v>0</v>
      </c>
      <c r="J4978" s="365">
        <f t="shared" si="231"/>
        <v>0</v>
      </c>
      <c r="K4978" s="369">
        <f t="shared" si="233"/>
        <v>6</v>
      </c>
      <c r="L4978" s="369">
        <f>+IF((C4978&gt;='Resultats - informe'!$E$16)*(C4978&lt;='Resultats - informe'!$G$16),1,0)</f>
        <v>1</v>
      </c>
      <c r="M4978" s="369" cm="1">
        <f t="array" ref="M4978">+_xlfn.IFS((C4978&gt;='Resultats - informe'!$D$26)*(C4978&lt;='Resultats - informe'!$E$26),0,(C4978&gt;='Resultats - informe'!$D$27)*(C4978&lt;='Resultats - informe'!$E$27),0,(C4978&gt;='Resultats - informe'!$D$28)*(C4978&lt;='Resultats - informe'!$E$28),0,(C4978&gt;='Resultats - informe'!$D$29)*(C4978&lt;='Resultats - informe'!$E$29),0,1,1)</f>
        <v>0</v>
      </c>
      <c r="N4978" s="366">
        <f>+VLOOKUP(D4978,'Resultats - informe'!$Y$18:$AG$42,'Introducció dades consum'!K4978+1,0)</f>
        <v>0</v>
      </c>
      <c r="O4978" s="370" cm="1">
        <f t="array" ref="O4978">+_xlfn.SWITCH(MONTH(C4978),1,1,2,1,3,1,4,2,5,2,6,3,7,3,8,3,9,3,10,2,11,2,12,1,2)</f>
        <v>1</v>
      </c>
      <c r="P4978" s="43"/>
    </row>
    <row r="4979" spans="1:16" ht="18" x14ac:dyDescent="0.35">
      <c r="A4979" s="9"/>
      <c r="C4979" s="393"/>
      <c r="E4979" s="394"/>
      <c r="F4979" s="394">
        <v>0</v>
      </c>
      <c r="G4979" s="394"/>
      <c r="H4979" s="8" t="s">
        <v>235</v>
      </c>
      <c r="I4979" s="368">
        <f t="shared" si="232"/>
        <v>0</v>
      </c>
      <c r="J4979" s="365">
        <f t="shared" si="231"/>
        <v>0</v>
      </c>
      <c r="K4979" s="369">
        <f t="shared" si="233"/>
        <v>6</v>
      </c>
      <c r="L4979" s="369">
        <f>+IF((C4979&gt;='Resultats - informe'!$E$16)*(C4979&lt;='Resultats - informe'!$G$16),1,0)</f>
        <v>1</v>
      </c>
      <c r="M4979" s="369" cm="1">
        <f t="array" ref="M4979">+_xlfn.IFS((C4979&gt;='Resultats - informe'!$D$26)*(C4979&lt;='Resultats - informe'!$E$26),0,(C4979&gt;='Resultats - informe'!$D$27)*(C4979&lt;='Resultats - informe'!$E$27),0,(C4979&gt;='Resultats - informe'!$D$28)*(C4979&lt;='Resultats - informe'!$E$28),0,(C4979&gt;='Resultats - informe'!$D$29)*(C4979&lt;='Resultats - informe'!$E$29),0,1,1)</f>
        <v>0</v>
      </c>
      <c r="N4979" s="366">
        <f>+VLOOKUP(D4979,'Resultats - informe'!$Y$18:$AG$42,'Introducció dades consum'!K4979+1,0)</f>
        <v>0</v>
      </c>
      <c r="O4979" s="370" cm="1">
        <f t="array" ref="O4979">+_xlfn.SWITCH(MONTH(C4979),1,1,2,1,3,1,4,2,5,2,6,3,7,3,8,3,9,3,10,2,11,2,12,1,2)</f>
        <v>1</v>
      </c>
      <c r="P4979" s="43"/>
    </row>
    <row r="4980" spans="1:16" ht="18" x14ac:dyDescent="0.35">
      <c r="A4980" s="9"/>
      <c r="C4980" s="393"/>
      <c r="E4980" s="394"/>
      <c r="F4980" s="394">
        <v>0.54600000000000004</v>
      </c>
      <c r="G4980" s="394"/>
      <c r="H4980" s="8" t="s">
        <v>235</v>
      </c>
      <c r="I4980" s="368">
        <f t="shared" si="232"/>
        <v>0</v>
      </c>
      <c r="J4980" s="365">
        <f t="shared" si="231"/>
        <v>0</v>
      </c>
      <c r="K4980" s="369">
        <f t="shared" si="233"/>
        <v>6</v>
      </c>
      <c r="L4980" s="369">
        <f>+IF((C4980&gt;='Resultats - informe'!$E$16)*(C4980&lt;='Resultats - informe'!$G$16),1,0)</f>
        <v>1</v>
      </c>
      <c r="M4980" s="369" cm="1">
        <f t="array" ref="M4980">+_xlfn.IFS((C4980&gt;='Resultats - informe'!$D$26)*(C4980&lt;='Resultats - informe'!$E$26),0,(C4980&gt;='Resultats - informe'!$D$27)*(C4980&lt;='Resultats - informe'!$E$27),0,(C4980&gt;='Resultats - informe'!$D$28)*(C4980&lt;='Resultats - informe'!$E$28),0,(C4980&gt;='Resultats - informe'!$D$29)*(C4980&lt;='Resultats - informe'!$E$29),0,1,1)</f>
        <v>0</v>
      </c>
      <c r="N4980" s="366">
        <f>+VLOOKUP(D4980,'Resultats - informe'!$Y$18:$AG$42,'Introducció dades consum'!K4980+1,0)</f>
        <v>0</v>
      </c>
      <c r="O4980" s="370" cm="1">
        <f t="array" ref="O4980">+_xlfn.SWITCH(MONTH(C4980),1,1,2,1,3,1,4,2,5,2,6,3,7,3,8,3,9,3,10,2,11,2,12,1,2)</f>
        <v>1</v>
      </c>
      <c r="P4980" s="43"/>
    </row>
    <row r="4981" spans="1:16" ht="18" x14ac:dyDescent="0.35">
      <c r="A4981" s="9"/>
      <c r="C4981" s="393"/>
      <c r="E4981" s="394"/>
      <c r="F4981" s="394">
        <v>2.137</v>
      </c>
      <c r="G4981" s="394"/>
      <c r="H4981" s="8" t="s">
        <v>235</v>
      </c>
      <c r="I4981" s="368">
        <f t="shared" si="232"/>
        <v>0</v>
      </c>
      <c r="J4981" s="365">
        <f t="shared" si="231"/>
        <v>0</v>
      </c>
      <c r="K4981" s="369">
        <f t="shared" si="233"/>
        <v>6</v>
      </c>
      <c r="L4981" s="369">
        <f>+IF((C4981&gt;='Resultats - informe'!$E$16)*(C4981&lt;='Resultats - informe'!$G$16),1,0)</f>
        <v>1</v>
      </c>
      <c r="M4981" s="369" cm="1">
        <f t="array" ref="M4981">+_xlfn.IFS((C4981&gt;='Resultats - informe'!$D$26)*(C4981&lt;='Resultats - informe'!$E$26),0,(C4981&gt;='Resultats - informe'!$D$27)*(C4981&lt;='Resultats - informe'!$E$27),0,(C4981&gt;='Resultats - informe'!$D$28)*(C4981&lt;='Resultats - informe'!$E$28),0,(C4981&gt;='Resultats - informe'!$D$29)*(C4981&lt;='Resultats - informe'!$E$29),0,1,1)</f>
        <v>0</v>
      </c>
      <c r="N4981" s="366">
        <f>+VLOOKUP(D4981,'Resultats - informe'!$Y$18:$AG$42,'Introducció dades consum'!K4981+1,0)</f>
        <v>0</v>
      </c>
      <c r="O4981" s="370" cm="1">
        <f t="array" ref="O4981">+_xlfn.SWITCH(MONTH(C4981),1,1,2,1,3,1,4,2,5,2,6,3,7,3,8,3,9,3,10,2,11,2,12,1,2)</f>
        <v>1</v>
      </c>
      <c r="P4981" s="43"/>
    </row>
    <row r="4982" spans="1:16" ht="18" x14ac:dyDescent="0.35">
      <c r="A4982" s="9"/>
      <c r="C4982" s="393"/>
      <c r="E4982" s="394"/>
      <c r="F4982" s="394">
        <v>4.085</v>
      </c>
      <c r="G4982" s="394"/>
      <c r="H4982" s="8" t="s">
        <v>235</v>
      </c>
      <c r="I4982" s="368">
        <f t="shared" si="232"/>
        <v>0</v>
      </c>
      <c r="J4982" s="365">
        <f t="shared" si="231"/>
        <v>0</v>
      </c>
      <c r="K4982" s="369">
        <f t="shared" si="233"/>
        <v>6</v>
      </c>
      <c r="L4982" s="369">
        <f>+IF((C4982&gt;='Resultats - informe'!$E$16)*(C4982&lt;='Resultats - informe'!$G$16),1,0)</f>
        <v>1</v>
      </c>
      <c r="M4982" s="369" cm="1">
        <f t="array" ref="M4982">+_xlfn.IFS((C4982&gt;='Resultats - informe'!$D$26)*(C4982&lt;='Resultats - informe'!$E$26),0,(C4982&gt;='Resultats - informe'!$D$27)*(C4982&lt;='Resultats - informe'!$E$27),0,(C4982&gt;='Resultats - informe'!$D$28)*(C4982&lt;='Resultats - informe'!$E$28),0,(C4982&gt;='Resultats - informe'!$D$29)*(C4982&lt;='Resultats - informe'!$E$29),0,1,1)</f>
        <v>0</v>
      </c>
      <c r="N4982" s="366">
        <f>+VLOOKUP(D4982,'Resultats - informe'!$Y$18:$AG$42,'Introducció dades consum'!K4982+1,0)</f>
        <v>0</v>
      </c>
      <c r="O4982" s="370" cm="1">
        <f t="array" ref="O4982">+_xlfn.SWITCH(MONTH(C4982),1,1,2,1,3,1,4,2,5,2,6,3,7,3,8,3,9,3,10,2,11,2,12,1,2)</f>
        <v>1</v>
      </c>
      <c r="P4982" s="43"/>
    </row>
    <row r="4983" spans="1:16" ht="18" x14ac:dyDescent="0.35">
      <c r="A4983" s="9"/>
      <c r="C4983" s="393"/>
      <c r="E4983" s="394"/>
      <c r="F4983" s="394">
        <v>5.577</v>
      </c>
      <c r="G4983" s="394"/>
      <c r="H4983" s="8" t="s">
        <v>235</v>
      </c>
      <c r="I4983" s="368">
        <f t="shared" si="232"/>
        <v>0</v>
      </c>
      <c r="J4983" s="365">
        <f t="shared" si="231"/>
        <v>0</v>
      </c>
      <c r="K4983" s="369">
        <f t="shared" si="233"/>
        <v>6</v>
      </c>
      <c r="L4983" s="369">
        <f>+IF((C4983&gt;='Resultats - informe'!$E$16)*(C4983&lt;='Resultats - informe'!$G$16),1,0)</f>
        <v>1</v>
      </c>
      <c r="M4983" s="369" cm="1">
        <f t="array" ref="M4983">+_xlfn.IFS((C4983&gt;='Resultats - informe'!$D$26)*(C4983&lt;='Resultats - informe'!$E$26),0,(C4983&gt;='Resultats - informe'!$D$27)*(C4983&lt;='Resultats - informe'!$E$27),0,(C4983&gt;='Resultats - informe'!$D$28)*(C4983&lt;='Resultats - informe'!$E$28),0,(C4983&gt;='Resultats - informe'!$D$29)*(C4983&lt;='Resultats - informe'!$E$29),0,1,1)</f>
        <v>0</v>
      </c>
      <c r="N4983" s="366">
        <f>+VLOOKUP(D4983,'Resultats - informe'!$Y$18:$AG$42,'Introducció dades consum'!K4983+1,0)</f>
        <v>0</v>
      </c>
      <c r="O4983" s="370" cm="1">
        <f t="array" ref="O4983">+_xlfn.SWITCH(MONTH(C4983),1,1,2,1,3,1,4,2,5,2,6,3,7,3,8,3,9,3,10,2,11,2,12,1,2)</f>
        <v>1</v>
      </c>
      <c r="P4983" s="43"/>
    </row>
    <row r="4984" spans="1:16" ht="18" x14ac:dyDescent="0.35">
      <c r="A4984" s="9"/>
      <c r="C4984" s="393"/>
      <c r="E4984" s="394"/>
      <c r="F4984" s="394">
        <v>6.1950000000000003</v>
      </c>
      <c r="G4984" s="394"/>
      <c r="H4984" s="8" t="s">
        <v>235</v>
      </c>
      <c r="I4984" s="368">
        <f t="shared" si="232"/>
        <v>0</v>
      </c>
      <c r="J4984" s="365">
        <f t="shared" si="231"/>
        <v>0</v>
      </c>
      <c r="K4984" s="369">
        <f t="shared" si="233"/>
        <v>6</v>
      </c>
      <c r="L4984" s="369">
        <f>+IF((C4984&gt;='Resultats - informe'!$E$16)*(C4984&lt;='Resultats - informe'!$G$16),1,0)</f>
        <v>1</v>
      </c>
      <c r="M4984" s="369" cm="1">
        <f t="array" ref="M4984">+_xlfn.IFS((C4984&gt;='Resultats - informe'!$D$26)*(C4984&lt;='Resultats - informe'!$E$26),0,(C4984&gt;='Resultats - informe'!$D$27)*(C4984&lt;='Resultats - informe'!$E$27),0,(C4984&gt;='Resultats - informe'!$D$28)*(C4984&lt;='Resultats - informe'!$E$28),0,(C4984&gt;='Resultats - informe'!$D$29)*(C4984&lt;='Resultats - informe'!$E$29),0,1,1)</f>
        <v>0</v>
      </c>
      <c r="N4984" s="366">
        <f>+VLOOKUP(D4984,'Resultats - informe'!$Y$18:$AG$42,'Introducció dades consum'!K4984+1,0)</f>
        <v>0</v>
      </c>
      <c r="O4984" s="370" cm="1">
        <f t="array" ref="O4984">+_xlfn.SWITCH(MONTH(C4984),1,1,2,1,3,1,4,2,5,2,6,3,7,3,8,3,9,3,10,2,11,2,12,1,2)</f>
        <v>1</v>
      </c>
      <c r="P4984" s="43"/>
    </row>
    <row r="4985" spans="1:16" ht="18" x14ac:dyDescent="0.35">
      <c r="A4985" s="9"/>
      <c r="C4985" s="393"/>
      <c r="E4985" s="394"/>
      <c r="F4985" s="394">
        <v>5.835</v>
      </c>
      <c r="G4985" s="394"/>
      <c r="H4985" s="8" t="s">
        <v>235</v>
      </c>
      <c r="I4985" s="368">
        <f t="shared" si="232"/>
        <v>0</v>
      </c>
      <c r="J4985" s="365">
        <f t="shared" si="231"/>
        <v>0</v>
      </c>
      <c r="K4985" s="369">
        <f t="shared" si="233"/>
        <v>6</v>
      </c>
      <c r="L4985" s="369">
        <f>+IF((C4985&gt;='Resultats - informe'!$E$16)*(C4985&lt;='Resultats - informe'!$G$16),1,0)</f>
        <v>1</v>
      </c>
      <c r="M4985" s="369" cm="1">
        <f t="array" ref="M4985">+_xlfn.IFS((C4985&gt;='Resultats - informe'!$D$26)*(C4985&lt;='Resultats - informe'!$E$26),0,(C4985&gt;='Resultats - informe'!$D$27)*(C4985&lt;='Resultats - informe'!$E$27),0,(C4985&gt;='Resultats - informe'!$D$28)*(C4985&lt;='Resultats - informe'!$E$28),0,(C4985&gt;='Resultats - informe'!$D$29)*(C4985&lt;='Resultats - informe'!$E$29),0,1,1)</f>
        <v>0</v>
      </c>
      <c r="N4985" s="366">
        <f>+VLOOKUP(D4985,'Resultats - informe'!$Y$18:$AG$42,'Introducció dades consum'!K4985+1,0)</f>
        <v>0</v>
      </c>
      <c r="O4985" s="370" cm="1">
        <f t="array" ref="O4985">+_xlfn.SWITCH(MONTH(C4985),1,1,2,1,3,1,4,2,5,2,6,3,7,3,8,3,9,3,10,2,11,2,12,1,2)</f>
        <v>1</v>
      </c>
      <c r="P4985" s="43"/>
    </row>
    <row r="4986" spans="1:16" ht="18" x14ac:dyDescent="0.35">
      <c r="A4986" s="9"/>
      <c r="C4986" s="393"/>
      <c r="E4986" s="394"/>
      <c r="F4986" s="394">
        <v>1.6859999999999999</v>
      </c>
      <c r="G4986" s="394"/>
      <c r="H4986" s="8" t="s">
        <v>235</v>
      </c>
      <c r="I4986" s="368">
        <f t="shared" si="232"/>
        <v>0</v>
      </c>
      <c r="J4986" s="365">
        <f t="shared" si="231"/>
        <v>0</v>
      </c>
      <c r="K4986" s="369">
        <f t="shared" si="233"/>
        <v>6</v>
      </c>
      <c r="L4986" s="369">
        <f>+IF((C4986&gt;='Resultats - informe'!$E$16)*(C4986&lt;='Resultats - informe'!$G$16),1,0)</f>
        <v>1</v>
      </c>
      <c r="M4986" s="369" cm="1">
        <f t="array" ref="M4986">+_xlfn.IFS((C4986&gt;='Resultats - informe'!$D$26)*(C4986&lt;='Resultats - informe'!$E$26),0,(C4986&gt;='Resultats - informe'!$D$27)*(C4986&lt;='Resultats - informe'!$E$27),0,(C4986&gt;='Resultats - informe'!$D$28)*(C4986&lt;='Resultats - informe'!$E$28),0,(C4986&gt;='Resultats - informe'!$D$29)*(C4986&lt;='Resultats - informe'!$E$29),0,1,1)</f>
        <v>0</v>
      </c>
      <c r="N4986" s="366">
        <f>+VLOOKUP(D4986,'Resultats - informe'!$Y$18:$AG$42,'Introducció dades consum'!K4986+1,0)</f>
        <v>0</v>
      </c>
      <c r="O4986" s="370" cm="1">
        <f t="array" ref="O4986">+_xlfn.SWITCH(MONTH(C4986),1,1,2,1,3,1,4,2,5,2,6,3,7,3,8,3,9,3,10,2,11,2,12,1,2)</f>
        <v>1</v>
      </c>
      <c r="P4986" s="43"/>
    </row>
    <row r="4987" spans="1:16" ht="18" x14ac:dyDescent="0.35">
      <c r="A4987" s="9"/>
      <c r="C4987" s="393"/>
      <c r="E4987" s="394"/>
      <c r="F4987" s="394">
        <v>4.0979999999999999</v>
      </c>
      <c r="G4987" s="394"/>
      <c r="H4987" s="8" t="s">
        <v>235</v>
      </c>
      <c r="I4987" s="368">
        <f t="shared" si="232"/>
        <v>0</v>
      </c>
      <c r="J4987" s="365">
        <f t="shared" ref="J4987:J5050" si="234">+C4987</f>
        <v>0</v>
      </c>
      <c r="K4987" s="369">
        <f t="shared" si="233"/>
        <v>6</v>
      </c>
      <c r="L4987" s="369">
        <f>+IF((C4987&gt;='Resultats - informe'!$E$16)*(C4987&lt;='Resultats - informe'!$G$16),1,0)</f>
        <v>1</v>
      </c>
      <c r="M4987" s="369" cm="1">
        <f t="array" ref="M4987">+_xlfn.IFS((C4987&gt;='Resultats - informe'!$D$26)*(C4987&lt;='Resultats - informe'!$E$26),0,(C4987&gt;='Resultats - informe'!$D$27)*(C4987&lt;='Resultats - informe'!$E$27),0,(C4987&gt;='Resultats - informe'!$D$28)*(C4987&lt;='Resultats - informe'!$E$28),0,(C4987&gt;='Resultats - informe'!$D$29)*(C4987&lt;='Resultats - informe'!$E$29),0,1,1)</f>
        <v>0</v>
      </c>
      <c r="N4987" s="366">
        <f>+VLOOKUP(D4987,'Resultats - informe'!$Y$18:$AG$42,'Introducció dades consum'!K4987+1,0)</f>
        <v>0</v>
      </c>
      <c r="O4987" s="370" cm="1">
        <f t="array" ref="O4987">+_xlfn.SWITCH(MONTH(C4987),1,1,2,1,3,1,4,2,5,2,6,3,7,3,8,3,9,3,10,2,11,2,12,1,2)</f>
        <v>1</v>
      </c>
      <c r="P4987" s="43"/>
    </row>
    <row r="4988" spans="1:16" ht="18" x14ac:dyDescent="0.35">
      <c r="A4988" s="9"/>
      <c r="C4988" s="393"/>
      <c r="E4988" s="394"/>
      <c r="F4988" s="394">
        <v>3.2650000000000001</v>
      </c>
      <c r="G4988" s="394"/>
      <c r="H4988" s="8" t="s">
        <v>235</v>
      </c>
      <c r="I4988" s="368">
        <f t="shared" si="232"/>
        <v>0</v>
      </c>
      <c r="J4988" s="365">
        <f t="shared" si="234"/>
        <v>0</v>
      </c>
      <c r="K4988" s="369">
        <f t="shared" si="233"/>
        <v>6</v>
      </c>
      <c r="L4988" s="369">
        <f>+IF((C4988&gt;='Resultats - informe'!$E$16)*(C4988&lt;='Resultats - informe'!$G$16),1,0)</f>
        <v>1</v>
      </c>
      <c r="M4988" s="369" cm="1">
        <f t="array" ref="M4988">+_xlfn.IFS((C4988&gt;='Resultats - informe'!$D$26)*(C4988&lt;='Resultats - informe'!$E$26),0,(C4988&gt;='Resultats - informe'!$D$27)*(C4988&lt;='Resultats - informe'!$E$27),0,(C4988&gt;='Resultats - informe'!$D$28)*(C4988&lt;='Resultats - informe'!$E$28),0,(C4988&gt;='Resultats - informe'!$D$29)*(C4988&lt;='Resultats - informe'!$E$29),0,1,1)</f>
        <v>0</v>
      </c>
      <c r="N4988" s="366">
        <f>+VLOOKUP(D4988,'Resultats - informe'!$Y$18:$AG$42,'Introducció dades consum'!K4988+1,0)</f>
        <v>0</v>
      </c>
      <c r="O4988" s="370" cm="1">
        <f t="array" ref="O4988">+_xlfn.SWITCH(MONTH(C4988),1,1,2,1,3,1,4,2,5,2,6,3,7,3,8,3,9,3,10,2,11,2,12,1,2)</f>
        <v>1</v>
      </c>
      <c r="P4988" s="43"/>
    </row>
    <row r="4989" spans="1:16" ht="18" x14ac:dyDescent="0.35">
      <c r="A4989" s="9"/>
      <c r="C4989" s="393"/>
      <c r="E4989" s="394"/>
      <c r="F4989" s="394">
        <v>0.64700000000000002</v>
      </c>
      <c r="G4989" s="394"/>
      <c r="H4989" s="8" t="s">
        <v>235</v>
      </c>
      <c r="I4989" s="368">
        <f t="shared" si="232"/>
        <v>0</v>
      </c>
      <c r="J4989" s="365">
        <f t="shared" si="234"/>
        <v>0</v>
      </c>
      <c r="K4989" s="369">
        <f t="shared" si="233"/>
        <v>6</v>
      </c>
      <c r="L4989" s="369">
        <f>+IF((C4989&gt;='Resultats - informe'!$E$16)*(C4989&lt;='Resultats - informe'!$G$16),1,0)</f>
        <v>1</v>
      </c>
      <c r="M4989" s="369" cm="1">
        <f t="array" ref="M4989">+_xlfn.IFS((C4989&gt;='Resultats - informe'!$D$26)*(C4989&lt;='Resultats - informe'!$E$26),0,(C4989&gt;='Resultats - informe'!$D$27)*(C4989&lt;='Resultats - informe'!$E$27),0,(C4989&gt;='Resultats - informe'!$D$28)*(C4989&lt;='Resultats - informe'!$E$28),0,(C4989&gt;='Resultats - informe'!$D$29)*(C4989&lt;='Resultats - informe'!$E$29),0,1,1)</f>
        <v>0</v>
      </c>
      <c r="N4989" s="366">
        <f>+VLOOKUP(D4989,'Resultats - informe'!$Y$18:$AG$42,'Introducció dades consum'!K4989+1,0)</f>
        <v>0</v>
      </c>
      <c r="O4989" s="370" cm="1">
        <f t="array" ref="O4989">+_xlfn.SWITCH(MONTH(C4989),1,1,2,1,3,1,4,2,5,2,6,3,7,3,8,3,9,3,10,2,11,2,12,1,2)</f>
        <v>1</v>
      </c>
      <c r="P4989" s="43"/>
    </row>
    <row r="4990" spans="1:16" ht="18" x14ac:dyDescent="0.35">
      <c r="A4990" s="9"/>
      <c r="C4990" s="393"/>
      <c r="E4990" s="394"/>
      <c r="F4990" s="394">
        <v>0.27500000000000002</v>
      </c>
      <c r="G4990" s="394"/>
      <c r="H4990" s="8" t="s">
        <v>235</v>
      </c>
      <c r="I4990" s="368">
        <f t="shared" si="232"/>
        <v>0</v>
      </c>
      <c r="J4990" s="365">
        <f t="shared" si="234"/>
        <v>0</v>
      </c>
      <c r="K4990" s="369">
        <f t="shared" si="233"/>
        <v>6</v>
      </c>
      <c r="L4990" s="369">
        <f>+IF((C4990&gt;='Resultats - informe'!$E$16)*(C4990&lt;='Resultats - informe'!$G$16),1,0)</f>
        <v>1</v>
      </c>
      <c r="M4990" s="369" cm="1">
        <f t="array" ref="M4990">+_xlfn.IFS((C4990&gt;='Resultats - informe'!$D$26)*(C4990&lt;='Resultats - informe'!$E$26),0,(C4990&gt;='Resultats - informe'!$D$27)*(C4990&lt;='Resultats - informe'!$E$27),0,(C4990&gt;='Resultats - informe'!$D$28)*(C4990&lt;='Resultats - informe'!$E$28),0,(C4990&gt;='Resultats - informe'!$D$29)*(C4990&lt;='Resultats - informe'!$E$29),0,1,1)</f>
        <v>0</v>
      </c>
      <c r="N4990" s="366">
        <f>+VLOOKUP(D4990,'Resultats - informe'!$Y$18:$AG$42,'Introducció dades consum'!K4990+1,0)</f>
        <v>0</v>
      </c>
      <c r="O4990" s="370" cm="1">
        <f t="array" ref="O4990">+_xlfn.SWITCH(MONTH(C4990),1,1,2,1,3,1,4,2,5,2,6,3,7,3,8,3,9,3,10,2,11,2,12,1,2)</f>
        <v>1</v>
      </c>
      <c r="P4990" s="43"/>
    </row>
    <row r="4991" spans="1:16" ht="18" x14ac:dyDescent="0.35">
      <c r="A4991" s="9"/>
      <c r="C4991" s="393"/>
      <c r="E4991" s="394"/>
      <c r="F4991" s="394">
        <v>0</v>
      </c>
      <c r="G4991" s="394"/>
      <c r="H4991" s="8" t="s">
        <v>235</v>
      </c>
      <c r="I4991" s="368">
        <f t="shared" si="232"/>
        <v>0</v>
      </c>
      <c r="J4991" s="365">
        <f t="shared" si="234"/>
        <v>0</v>
      </c>
      <c r="K4991" s="369">
        <f t="shared" si="233"/>
        <v>6</v>
      </c>
      <c r="L4991" s="369">
        <f>+IF((C4991&gt;='Resultats - informe'!$E$16)*(C4991&lt;='Resultats - informe'!$G$16),1,0)</f>
        <v>1</v>
      </c>
      <c r="M4991" s="369" cm="1">
        <f t="array" ref="M4991">+_xlfn.IFS((C4991&gt;='Resultats - informe'!$D$26)*(C4991&lt;='Resultats - informe'!$E$26),0,(C4991&gt;='Resultats - informe'!$D$27)*(C4991&lt;='Resultats - informe'!$E$27),0,(C4991&gt;='Resultats - informe'!$D$28)*(C4991&lt;='Resultats - informe'!$E$28),0,(C4991&gt;='Resultats - informe'!$D$29)*(C4991&lt;='Resultats - informe'!$E$29),0,1,1)</f>
        <v>0</v>
      </c>
      <c r="N4991" s="366">
        <f>+VLOOKUP(D4991,'Resultats - informe'!$Y$18:$AG$42,'Introducció dades consum'!K4991+1,0)</f>
        <v>0</v>
      </c>
      <c r="O4991" s="370" cm="1">
        <f t="array" ref="O4991">+_xlfn.SWITCH(MONTH(C4991),1,1,2,1,3,1,4,2,5,2,6,3,7,3,8,3,9,3,10,2,11,2,12,1,2)</f>
        <v>1</v>
      </c>
      <c r="P4991" s="43"/>
    </row>
    <row r="4992" spans="1:16" ht="18" x14ac:dyDescent="0.35">
      <c r="A4992" s="9"/>
      <c r="C4992" s="393"/>
      <c r="E4992" s="394"/>
      <c r="F4992" s="394">
        <v>0</v>
      </c>
      <c r="G4992" s="394"/>
      <c r="H4992" s="8" t="s">
        <v>235</v>
      </c>
      <c r="I4992" s="368">
        <f t="shared" si="232"/>
        <v>0</v>
      </c>
      <c r="J4992" s="365">
        <f t="shared" si="234"/>
        <v>0</v>
      </c>
      <c r="K4992" s="369">
        <f t="shared" si="233"/>
        <v>6</v>
      </c>
      <c r="L4992" s="369">
        <f>+IF((C4992&gt;='Resultats - informe'!$E$16)*(C4992&lt;='Resultats - informe'!$G$16),1,0)</f>
        <v>1</v>
      </c>
      <c r="M4992" s="369" cm="1">
        <f t="array" ref="M4992">+_xlfn.IFS((C4992&gt;='Resultats - informe'!$D$26)*(C4992&lt;='Resultats - informe'!$E$26),0,(C4992&gt;='Resultats - informe'!$D$27)*(C4992&lt;='Resultats - informe'!$E$27),0,(C4992&gt;='Resultats - informe'!$D$28)*(C4992&lt;='Resultats - informe'!$E$28),0,(C4992&gt;='Resultats - informe'!$D$29)*(C4992&lt;='Resultats - informe'!$E$29),0,1,1)</f>
        <v>0</v>
      </c>
      <c r="N4992" s="366">
        <f>+VLOOKUP(D4992,'Resultats - informe'!$Y$18:$AG$42,'Introducció dades consum'!K4992+1,0)</f>
        <v>0</v>
      </c>
      <c r="O4992" s="370" cm="1">
        <f t="array" ref="O4992">+_xlfn.SWITCH(MONTH(C4992),1,1,2,1,3,1,4,2,5,2,6,3,7,3,8,3,9,3,10,2,11,2,12,1,2)</f>
        <v>1</v>
      </c>
      <c r="P4992" s="43"/>
    </row>
    <row r="4993" spans="1:16" ht="18" x14ac:dyDescent="0.35">
      <c r="A4993" s="9"/>
      <c r="C4993" s="393"/>
      <c r="E4993" s="394"/>
      <c r="F4993" s="394">
        <v>0</v>
      </c>
      <c r="G4993" s="394"/>
      <c r="H4993" s="8" t="s">
        <v>235</v>
      </c>
      <c r="I4993" s="368">
        <f t="shared" si="232"/>
        <v>0</v>
      </c>
      <c r="J4993" s="365">
        <f t="shared" si="234"/>
        <v>0</v>
      </c>
      <c r="K4993" s="369">
        <f t="shared" si="233"/>
        <v>6</v>
      </c>
      <c r="L4993" s="369">
        <f>+IF((C4993&gt;='Resultats - informe'!$E$16)*(C4993&lt;='Resultats - informe'!$G$16),1,0)</f>
        <v>1</v>
      </c>
      <c r="M4993" s="369" cm="1">
        <f t="array" ref="M4993">+_xlfn.IFS((C4993&gt;='Resultats - informe'!$D$26)*(C4993&lt;='Resultats - informe'!$E$26),0,(C4993&gt;='Resultats - informe'!$D$27)*(C4993&lt;='Resultats - informe'!$E$27),0,(C4993&gt;='Resultats - informe'!$D$28)*(C4993&lt;='Resultats - informe'!$E$28),0,(C4993&gt;='Resultats - informe'!$D$29)*(C4993&lt;='Resultats - informe'!$E$29),0,1,1)</f>
        <v>0</v>
      </c>
      <c r="N4993" s="366">
        <f>+VLOOKUP(D4993,'Resultats - informe'!$Y$18:$AG$42,'Introducció dades consum'!K4993+1,0)</f>
        <v>0</v>
      </c>
      <c r="O4993" s="370" cm="1">
        <f t="array" ref="O4993">+_xlfn.SWITCH(MONTH(C4993),1,1,2,1,3,1,4,2,5,2,6,3,7,3,8,3,9,3,10,2,11,2,12,1,2)</f>
        <v>1</v>
      </c>
      <c r="P4993" s="43"/>
    </row>
    <row r="4994" spans="1:16" ht="18" x14ac:dyDescent="0.35">
      <c r="A4994" s="9"/>
      <c r="C4994" s="393"/>
      <c r="E4994" s="394"/>
      <c r="F4994" s="394">
        <v>0</v>
      </c>
      <c r="G4994" s="394"/>
      <c r="H4994" s="8" t="s">
        <v>235</v>
      </c>
      <c r="I4994" s="368">
        <f t="shared" si="232"/>
        <v>0</v>
      </c>
      <c r="J4994" s="365">
        <f t="shared" si="234"/>
        <v>0</v>
      </c>
      <c r="K4994" s="369">
        <f t="shared" si="233"/>
        <v>6</v>
      </c>
      <c r="L4994" s="369">
        <f>+IF((C4994&gt;='Resultats - informe'!$E$16)*(C4994&lt;='Resultats - informe'!$G$16),1,0)</f>
        <v>1</v>
      </c>
      <c r="M4994" s="369" cm="1">
        <f t="array" ref="M4994">+_xlfn.IFS((C4994&gt;='Resultats - informe'!$D$26)*(C4994&lt;='Resultats - informe'!$E$26),0,(C4994&gt;='Resultats - informe'!$D$27)*(C4994&lt;='Resultats - informe'!$E$27),0,(C4994&gt;='Resultats - informe'!$D$28)*(C4994&lt;='Resultats - informe'!$E$28),0,(C4994&gt;='Resultats - informe'!$D$29)*(C4994&lt;='Resultats - informe'!$E$29),0,1,1)</f>
        <v>0</v>
      </c>
      <c r="N4994" s="366">
        <f>+VLOOKUP(D4994,'Resultats - informe'!$Y$18:$AG$42,'Introducció dades consum'!K4994+1,0)</f>
        <v>0</v>
      </c>
      <c r="O4994" s="370" cm="1">
        <f t="array" ref="O4994">+_xlfn.SWITCH(MONTH(C4994),1,1,2,1,3,1,4,2,5,2,6,3,7,3,8,3,9,3,10,2,11,2,12,1,2)</f>
        <v>1</v>
      </c>
      <c r="P4994" s="43"/>
    </row>
    <row r="4995" spans="1:16" ht="18" x14ac:dyDescent="0.35">
      <c r="A4995" s="9"/>
      <c r="C4995" s="393"/>
      <c r="E4995" s="394"/>
      <c r="F4995" s="394">
        <v>0</v>
      </c>
      <c r="G4995" s="394"/>
      <c r="H4995" s="8" t="s">
        <v>235</v>
      </c>
      <c r="I4995" s="368">
        <f t="shared" si="232"/>
        <v>0</v>
      </c>
      <c r="J4995" s="365">
        <f t="shared" si="234"/>
        <v>0</v>
      </c>
      <c r="K4995" s="369">
        <f t="shared" si="233"/>
        <v>6</v>
      </c>
      <c r="L4995" s="369">
        <f>+IF((C4995&gt;='Resultats - informe'!$E$16)*(C4995&lt;='Resultats - informe'!$G$16),1,0)</f>
        <v>1</v>
      </c>
      <c r="M4995" s="369" cm="1">
        <f t="array" ref="M4995">+_xlfn.IFS((C4995&gt;='Resultats - informe'!$D$26)*(C4995&lt;='Resultats - informe'!$E$26),0,(C4995&gt;='Resultats - informe'!$D$27)*(C4995&lt;='Resultats - informe'!$E$27),0,(C4995&gt;='Resultats - informe'!$D$28)*(C4995&lt;='Resultats - informe'!$E$28),0,(C4995&gt;='Resultats - informe'!$D$29)*(C4995&lt;='Resultats - informe'!$E$29),0,1,1)</f>
        <v>0</v>
      </c>
      <c r="N4995" s="366">
        <f>+VLOOKUP(D4995,'Resultats - informe'!$Y$18:$AG$42,'Introducció dades consum'!K4995+1,0)</f>
        <v>0</v>
      </c>
      <c r="O4995" s="370" cm="1">
        <f t="array" ref="O4995">+_xlfn.SWITCH(MONTH(C4995),1,1,2,1,3,1,4,2,5,2,6,3,7,3,8,3,9,3,10,2,11,2,12,1,2)</f>
        <v>1</v>
      </c>
      <c r="P4995" s="43"/>
    </row>
    <row r="4996" spans="1:16" ht="18" x14ac:dyDescent="0.35">
      <c r="A4996" s="9"/>
      <c r="C4996" s="393"/>
      <c r="E4996" s="394"/>
      <c r="F4996" s="394">
        <v>0</v>
      </c>
      <c r="G4996" s="394"/>
      <c r="H4996" s="8" t="s">
        <v>235</v>
      </c>
      <c r="I4996" s="368">
        <f t="shared" si="232"/>
        <v>0</v>
      </c>
      <c r="J4996" s="365">
        <f t="shared" si="234"/>
        <v>0</v>
      </c>
      <c r="K4996" s="369">
        <f t="shared" si="233"/>
        <v>6</v>
      </c>
      <c r="L4996" s="369">
        <f>+IF((C4996&gt;='Resultats - informe'!$E$16)*(C4996&lt;='Resultats - informe'!$G$16),1,0)</f>
        <v>1</v>
      </c>
      <c r="M4996" s="369" cm="1">
        <f t="array" ref="M4996">+_xlfn.IFS((C4996&gt;='Resultats - informe'!$D$26)*(C4996&lt;='Resultats - informe'!$E$26),0,(C4996&gt;='Resultats - informe'!$D$27)*(C4996&lt;='Resultats - informe'!$E$27),0,(C4996&gt;='Resultats - informe'!$D$28)*(C4996&lt;='Resultats - informe'!$E$28),0,(C4996&gt;='Resultats - informe'!$D$29)*(C4996&lt;='Resultats - informe'!$E$29),0,1,1)</f>
        <v>0</v>
      </c>
      <c r="N4996" s="366">
        <f>+VLOOKUP(D4996,'Resultats - informe'!$Y$18:$AG$42,'Introducció dades consum'!K4996+1,0)</f>
        <v>0</v>
      </c>
      <c r="O4996" s="370" cm="1">
        <f t="array" ref="O4996">+_xlfn.SWITCH(MONTH(C4996),1,1,2,1,3,1,4,2,5,2,6,3,7,3,8,3,9,3,10,2,11,2,12,1,2)</f>
        <v>1</v>
      </c>
      <c r="P4996" s="43"/>
    </row>
    <row r="4997" spans="1:16" ht="18" x14ac:dyDescent="0.35">
      <c r="A4997" s="9"/>
      <c r="C4997" s="393"/>
      <c r="E4997" s="394"/>
      <c r="F4997" s="394">
        <v>0</v>
      </c>
      <c r="G4997" s="394"/>
      <c r="H4997" s="8" t="s">
        <v>235</v>
      </c>
      <c r="I4997" s="368">
        <f t="shared" si="232"/>
        <v>0</v>
      </c>
      <c r="J4997" s="365">
        <f t="shared" si="234"/>
        <v>0</v>
      </c>
      <c r="K4997" s="369">
        <f t="shared" si="233"/>
        <v>6</v>
      </c>
      <c r="L4997" s="369">
        <f>+IF((C4997&gt;='Resultats - informe'!$E$16)*(C4997&lt;='Resultats - informe'!$G$16),1,0)</f>
        <v>1</v>
      </c>
      <c r="M4997" s="369" cm="1">
        <f t="array" ref="M4997">+_xlfn.IFS((C4997&gt;='Resultats - informe'!$D$26)*(C4997&lt;='Resultats - informe'!$E$26),0,(C4997&gt;='Resultats - informe'!$D$27)*(C4997&lt;='Resultats - informe'!$E$27),0,(C4997&gt;='Resultats - informe'!$D$28)*(C4997&lt;='Resultats - informe'!$E$28),0,(C4997&gt;='Resultats - informe'!$D$29)*(C4997&lt;='Resultats - informe'!$E$29),0,1,1)</f>
        <v>0</v>
      </c>
      <c r="N4997" s="366">
        <f>+VLOOKUP(D4997,'Resultats - informe'!$Y$18:$AG$42,'Introducció dades consum'!K4997+1,0)</f>
        <v>0</v>
      </c>
      <c r="O4997" s="370" cm="1">
        <f t="array" ref="O4997">+_xlfn.SWITCH(MONTH(C4997),1,1,2,1,3,1,4,2,5,2,6,3,7,3,8,3,9,3,10,2,11,2,12,1,2)</f>
        <v>1</v>
      </c>
      <c r="P4997" s="43"/>
    </row>
    <row r="4998" spans="1:16" ht="18" x14ac:dyDescent="0.35">
      <c r="A4998" s="9"/>
      <c r="C4998" s="393"/>
      <c r="E4998" s="394"/>
      <c r="F4998" s="394">
        <v>0</v>
      </c>
      <c r="G4998" s="394"/>
      <c r="H4998" s="8" t="s">
        <v>235</v>
      </c>
      <c r="I4998" s="368">
        <f t="shared" ref="I4998:I5061" si="235">+E4998+G4998</f>
        <v>0</v>
      </c>
      <c r="J4998" s="365">
        <f t="shared" si="234"/>
        <v>0</v>
      </c>
      <c r="K4998" s="369">
        <f t="shared" ref="K4998:K5061" si="236">+WEEKDAY(C4998,2)</f>
        <v>6</v>
      </c>
      <c r="L4998" s="369">
        <f>+IF((C4998&gt;='Resultats - informe'!$E$16)*(C4998&lt;='Resultats - informe'!$G$16),1,0)</f>
        <v>1</v>
      </c>
      <c r="M4998" s="369" cm="1">
        <f t="array" ref="M4998">+_xlfn.IFS((C4998&gt;='Resultats - informe'!$D$26)*(C4998&lt;='Resultats - informe'!$E$26),0,(C4998&gt;='Resultats - informe'!$D$27)*(C4998&lt;='Resultats - informe'!$E$27),0,(C4998&gt;='Resultats - informe'!$D$28)*(C4998&lt;='Resultats - informe'!$E$28),0,(C4998&gt;='Resultats - informe'!$D$29)*(C4998&lt;='Resultats - informe'!$E$29),0,1,1)</f>
        <v>0</v>
      </c>
      <c r="N4998" s="366">
        <f>+VLOOKUP(D4998,'Resultats - informe'!$Y$18:$AG$42,'Introducció dades consum'!K4998+1,0)</f>
        <v>0</v>
      </c>
      <c r="O4998" s="370" cm="1">
        <f t="array" ref="O4998">+_xlfn.SWITCH(MONTH(C4998),1,1,2,1,3,1,4,2,5,2,6,3,7,3,8,3,9,3,10,2,11,2,12,1,2)</f>
        <v>1</v>
      </c>
      <c r="P4998" s="43"/>
    </row>
    <row r="4999" spans="1:16" ht="18" x14ac:dyDescent="0.35">
      <c r="A4999" s="9"/>
      <c r="C4999" s="393"/>
      <c r="E4999" s="394"/>
      <c r="F4999" s="394">
        <v>0</v>
      </c>
      <c r="G4999" s="394"/>
      <c r="H4999" s="8" t="s">
        <v>235</v>
      </c>
      <c r="I4999" s="368">
        <f t="shared" si="235"/>
        <v>0</v>
      </c>
      <c r="J4999" s="365">
        <f t="shared" si="234"/>
        <v>0</v>
      </c>
      <c r="K4999" s="369">
        <f t="shared" si="236"/>
        <v>6</v>
      </c>
      <c r="L4999" s="369">
        <f>+IF((C4999&gt;='Resultats - informe'!$E$16)*(C4999&lt;='Resultats - informe'!$G$16),1,0)</f>
        <v>1</v>
      </c>
      <c r="M4999" s="369" cm="1">
        <f t="array" ref="M4999">+_xlfn.IFS((C4999&gt;='Resultats - informe'!$D$26)*(C4999&lt;='Resultats - informe'!$E$26),0,(C4999&gt;='Resultats - informe'!$D$27)*(C4999&lt;='Resultats - informe'!$E$27),0,(C4999&gt;='Resultats - informe'!$D$28)*(C4999&lt;='Resultats - informe'!$E$28),0,(C4999&gt;='Resultats - informe'!$D$29)*(C4999&lt;='Resultats - informe'!$E$29),0,1,1)</f>
        <v>0</v>
      </c>
      <c r="N4999" s="366">
        <f>+VLOOKUP(D4999,'Resultats - informe'!$Y$18:$AG$42,'Introducció dades consum'!K4999+1,0)</f>
        <v>0</v>
      </c>
      <c r="O4999" s="370" cm="1">
        <f t="array" ref="O4999">+_xlfn.SWITCH(MONTH(C4999),1,1,2,1,3,1,4,2,5,2,6,3,7,3,8,3,9,3,10,2,11,2,12,1,2)</f>
        <v>1</v>
      </c>
      <c r="P4999" s="43"/>
    </row>
    <row r="5000" spans="1:16" ht="18" x14ac:dyDescent="0.35">
      <c r="A5000" s="9"/>
      <c r="C5000" s="393"/>
      <c r="E5000" s="394"/>
      <c r="F5000" s="394">
        <v>0</v>
      </c>
      <c r="G5000" s="394"/>
      <c r="H5000" s="8" t="s">
        <v>235</v>
      </c>
      <c r="I5000" s="368">
        <f t="shared" si="235"/>
        <v>0</v>
      </c>
      <c r="J5000" s="365">
        <f t="shared" si="234"/>
        <v>0</v>
      </c>
      <c r="K5000" s="369">
        <f t="shared" si="236"/>
        <v>6</v>
      </c>
      <c r="L5000" s="369">
        <f>+IF((C5000&gt;='Resultats - informe'!$E$16)*(C5000&lt;='Resultats - informe'!$G$16),1,0)</f>
        <v>1</v>
      </c>
      <c r="M5000" s="369" cm="1">
        <f t="array" ref="M5000">+_xlfn.IFS((C5000&gt;='Resultats - informe'!$D$26)*(C5000&lt;='Resultats - informe'!$E$26),0,(C5000&gt;='Resultats - informe'!$D$27)*(C5000&lt;='Resultats - informe'!$E$27),0,(C5000&gt;='Resultats - informe'!$D$28)*(C5000&lt;='Resultats - informe'!$E$28),0,(C5000&gt;='Resultats - informe'!$D$29)*(C5000&lt;='Resultats - informe'!$E$29),0,1,1)</f>
        <v>0</v>
      </c>
      <c r="N5000" s="366">
        <f>+VLOOKUP(D5000,'Resultats - informe'!$Y$18:$AG$42,'Introducció dades consum'!K5000+1,0)</f>
        <v>0</v>
      </c>
      <c r="O5000" s="370" cm="1">
        <f t="array" ref="O5000">+_xlfn.SWITCH(MONTH(C5000),1,1,2,1,3,1,4,2,5,2,6,3,7,3,8,3,9,3,10,2,11,2,12,1,2)</f>
        <v>1</v>
      </c>
      <c r="P5000" s="43"/>
    </row>
    <row r="5001" spans="1:16" ht="18" x14ac:dyDescent="0.35">
      <c r="A5001" s="9"/>
      <c r="C5001" s="393"/>
      <c r="E5001" s="394"/>
      <c r="F5001" s="394">
        <v>0</v>
      </c>
      <c r="G5001" s="394"/>
      <c r="H5001" s="8" t="s">
        <v>235</v>
      </c>
      <c r="I5001" s="368">
        <f t="shared" si="235"/>
        <v>0</v>
      </c>
      <c r="J5001" s="365">
        <f t="shared" si="234"/>
        <v>0</v>
      </c>
      <c r="K5001" s="369">
        <f t="shared" si="236"/>
        <v>6</v>
      </c>
      <c r="L5001" s="369">
        <f>+IF((C5001&gt;='Resultats - informe'!$E$16)*(C5001&lt;='Resultats - informe'!$G$16),1,0)</f>
        <v>1</v>
      </c>
      <c r="M5001" s="369" cm="1">
        <f t="array" ref="M5001">+_xlfn.IFS((C5001&gt;='Resultats - informe'!$D$26)*(C5001&lt;='Resultats - informe'!$E$26),0,(C5001&gt;='Resultats - informe'!$D$27)*(C5001&lt;='Resultats - informe'!$E$27),0,(C5001&gt;='Resultats - informe'!$D$28)*(C5001&lt;='Resultats - informe'!$E$28),0,(C5001&gt;='Resultats - informe'!$D$29)*(C5001&lt;='Resultats - informe'!$E$29),0,1,1)</f>
        <v>0</v>
      </c>
      <c r="N5001" s="366">
        <f>+VLOOKUP(D5001,'Resultats - informe'!$Y$18:$AG$42,'Introducció dades consum'!K5001+1,0)</f>
        <v>0</v>
      </c>
      <c r="O5001" s="370" cm="1">
        <f t="array" ref="O5001">+_xlfn.SWITCH(MONTH(C5001),1,1,2,1,3,1,4,2,5,2,6,3,7,3,8,3,9,3,10,2,11,2,12,1,2)</f>
        <v>1</v>
      </c>
      <c r="P5001" s="43"/>
    </row>
    <row r="5002" spans="1:16" ht="18" x14ac:dyDescent="0.35">
      <c r="A5002" s="9"/>
      <c r="C5002" s="393"/>
      <c r="E5002" s="394"/>
      <c r="F5002" s="394">
        <v>0</v>
      </c>
      <c r="G5002" s="394"/>
      <c r="H5002" s="8" t="s">
        <v>235</v>
      </c>
      <c r="I5002" s="368">
        <f t="shared" si="235"/>
        <v>0</v>
      </c>
      <c r="J5002" s="365">
        <f t="shared" si="234"/>
        <v>0</v>
      </c>
      <c r="K5002" s="369">
        <f t="shared" si="236"/>
        <v>6</v>
      </c>
      <c r="L5002" s="369">
        <f>+IF((C5002&gt;='Resultats - informe'!$E$16)*(C5002&lt;='Resultats - informe'!$G$16),1,0)</f>
        <v>1</v>
      </c>
      <c r="M5002" s="369" cm="1">
        <f t="array" ref="M5002">+_xlfn.IFS((C5002&gt;='Resultats - informe'!$D$26)*(C5002&lt;='Resultats - informe'!$E$26),0,(C5002&gt;='Resultats - informe'!$D$27)*(C5002&lt;='Resultats - informe'!$E$27),0,(C5002&gt;='Resultats - informe'!$D$28)*(C5002&lt;='Resultats - informe'!$E$28),0,(C5002&gt;='Resultats - informe'!$D$29)*(C5002&lt;='Resultats - informe'!$E$29),0,1,1)</f>
        <v>0</v>
      </c>
      <c r="N5002" s="366">
        <f>+VLOOKUP(D5002,'Resultats - informe'!$Y$18:$AG$42,'Introducció dades consum'!K5002+1,0)</f>
        <v>0</v>
      </c>
      <c r="O5002" s="370" cm="1">
        <f t="array" ref="O5002">+_xlfn.SWITCH(MONTH(C5002),1,1,2,1,3,1,4,2,5,2,6,3,7,3,8,3,9,3,10,2,11,2,12,1,2)</f>
        <v>1</v>
      </c>
      <c r="P5002" s="43"/>
    </row>
    <row r="5003" spans="1:16" ht="18" x14ac:dyDescent="0.35">
      <c r="A5003" s="9"/>
      <c r="C5003" s="393"/>
      <c r="E5003" s="394"/>
      <c r="F5003" s="394">
        <v>0</v>
      </c>
      <c r="G5003" s="394"/>
      <c r="H5003" s="8" t="s">
        <v>235</v>
      </c>
      <c r="I5003" s="368">
        <f t="shared" si="235"/>
        <v>0</v>
      </c>
      <c r="J5003" s="365">
        <f t="shared" si="234"/>
        <v>0</v>
      </c>
      <c r="K5003" s="369">
        <f t="shared" si="236"/>
        <v>6</v>
      </c>
      <c r="L5003" s="369">
        <f>+IF((C5003&gt;='Resultats - informe'!$E$16)*(C5003&lt;='Resultats - informe'!$G$16),1,0)</f>
        <v>1</v>
      </c>
      <c r="M5003" s="369" cm="1">
        <f t="array" ref="M5003">+_xlfn.IFS((C5003&gt;='Resultats - informe'!$D$26)*(C5003&lt;='Resultats - informe'!$E$26),0,(C5003&gt;='Resultats - informe'!$D$27)*(C5003&lt;='Resultats - informe'!$E$27),0,(C5003&gt;='Resultats - informe'!$D$28)*(C5003&lt;='Resultats - informe'!$E$28),0,(C5003&gt;='Resultats - informe'!$D$29)*(C5003&lt;='Resultats - informe'!$E$29),0,1,1)</f>
        <v>0</v>
      </c>
      <c r="N5003" s="366">
        <f>+VLOOKUP(D5003,'Resultats - informe'!$Y$18:$AG$42,'Introducció dades consum'!K5003+1,0)</f>
        <v>0</v>
      </c>
      <c r="O5003" s="370" cm="1">
        <f t="array" ref="O5003">+_xlfn.SWITCH(MONTH(C5003),1,1,2,1,3,1,4,2,5,2,6,3,7,3,8,3,9,3,10,2,11,2,12,1,2)</f>
        <v>1</v>
      </c>
      <c r="P5003" s="43"/>
    </row>
    <row r="5004" spans="1:16" ht="18" x14ac:dyDescent="0.35">
      <c r="A5004" s="9"/>
      <c r="C5004" s="393"/>
      <c r="E5004" s="394"/>
      <c r="F5004" s="394">
        <v>0</v>
      </c>
      <c r="G5004" s="394"/>
      <c r="H5004" s="8" t="s">
        <v>235</v>
      </c>
      <c r="I5004" s="368">
        <f t="shared" si="235"/>
        <v>0</v>
      </c>
      <c r="J5004" s="365">
        <f t="shared" si="234"/>
        <v>0</v>
      </c>
      <c r="K5004" s="369">
        <f t="shared" si="236"/>
        <v>6</v>
      </c>
      <c r="L5004" s="369">
        <f>+IF((C5004&gt;='Resultats - informe'!$E$16)*(C5004&lt;='Resultats - informe'!$G$16),1,0)</f>
        <v>1</v>
      </c>
      <c r="M5004" s="369" cm="1">
        <f t="array" ref="M5004">+_xlfn.IFS((C5004&gt;='Resultats - informe'!$D$26)*(C5004&lt;='Resultats - informe'!$E$26),0,(C5004&gt;='Resultats - informe'!$D$27)*(C5004&lt;='Resultats - informe'!$E$27),0,(C5004&gt;='Resultats - informe'!$D$28)*(C5004&lt;='Resultats - informe'!$E$28),0,(C5004&gt;='Resultats - informe'!$D$29)*(C5004&lt;='Resultats - informe'!$E$29),0,1,1)</f>
        <v>0</v>
      </c>
      <c r="N5004" s="366">
        <f>+VLOOKUP(D5004,'Resultats - informe'!$Y$18:$AG$42,'Introducció dades consum'!K5004+1,0)</f>
        <v>0</v>
      </c>
      <c r="O5004" s="370" cm="1">
        <f t="array" ref="O5004">+_xlfn.SWITCH(MONTH(C5004),1,1,2,1,3,1,4,2,5,2,6,3,7,3,8,3,9,3,10,2,11,2,12,1,2)</f>
        <v>1</v>
      </c>
      <c r="P5004" s="43"/>
    </row>
    <row r="5005" spans="1:16" ht="18" x14ac:dyDescent="0.35">
      <c r="A5005" s="9"/>
      <c r="C5005" s="393"/>
      <c r="E5005" s="394"/>
      <c r="F5005" s="394">
        <v>1.1910000000000001</v>
      </c>
      <c r="G5005" s="394"/>
      <c r="H5005" s="8" t="s">
        <v>235</v>
      </c>
      <c r="I5005" s="368">
        <f t="shared" si="235"/>
        <v>0</v>
      </c>
      <c r="J5005" s="365">
        <f t="shared" si="234"/>
        <v>0</v>
      </c>
      <c r="K5005" s="369">
        <f t="shared" si="236"/>
        <v>6</v>
      </c>
      <c r="L5005" s="369">
        <f>+IF((C5005&gt;='Resultats - informe'!$E$16)*(C5005&lt;='Resultats - informe'!$G$16),1,0)</f>
        <v>1</v>
      </c>
      <c r="M5005" s="369" cm="1">
        <f t="array" ref="M5005">+_xlfn.IFS((C5005&gt;='Resultats - informe'!$D$26)*(C5005&lt;='Resultats - informe'!$E$26),0,(C5005&gt;='Resultats - informe'!$D$27)*(C5005&lt;='Resultats - informe'!$E$27),0,(C5005&gt;='Resultats - informe'!$D$28)*(C5005&lt;='Resultats - informe'!$E$28),0,(C5005&gt;='Resultats - informe'!$D$29)*(C5005&lt;='Resultats - informe'!$E$29),0,1,1)</f>
        <v>0</v>
      </c>
      <c r="N5005" s="366">
        <f>+VLOOKUP(D5005,'Resultats - informe'!$Y$18:$AG$42,'Introducció dades consum'!K5005+1,0)</f>
        <v>0</v>
      </c>
      <c r="O5005" s="370" cm="1">
        <f t="array" ref="O5005">+_xlfn.SWITCH(MONTH(C5005),1,1,2,1,3,1,4,2,5,2,6,3,7,3,8,3,9,3,10,2,11,2,12,1,2)</f>
        <v>1</v>
      </c>
      <c r="P5005" s="43"/>
    </row>
    <row r="5006" spans="1:16" ht="18" x14ac:dyDescent="0.35">
      <c r="A5006" s="9"/>
      <c r="C5006" s="393"/>
      <c r="E5006" s="394"/>
      <c r="F5006" s="394">
        <v>2.5139999999999998</v>
      </c>
      <c r="G5006" s="394"/>
      <c r="H5006" s="8" t="s">
        <v>235</v>
      </c>
      <c r="I5006" s="368">
        <f t="shared" si="235"/>
        <v>0</v>
      </c>
      <c r="J5006" s="365">
        <f t="shared" si="234"/>
        <v>0</v>
      </c>
      <c r="K5006" s="369">
        <f t="shared" si="236"/>
        <v>6</v>
      </c>
      <c r="L5006" s="369">
        <f>+IF((C5006&gt;='Resultats - informe'!$E$16)*(C5006&lt;='Resultats - informe'!$G$16),1,0)</f>
        <v>1</v>
      </c>
      <c r="M5006" s="369" cm="1">
        <f t="array" ref="M5006">+_xlfn.IFS((C5006&gt;='Resultats - informe'!$D$26)*(C5006&lt;='Resultats - informe'!$E$26),0,(C5006&gt;='Resultats - informe'!$D$27)*(C5006&lt;='Resultats - informe'!$E$27),0,(C5006&gt;='Resultats - informe'!$D$28)*(C5006&lt;='Resultats - informe'!$E$28),0,(C5006&gt;='Resultats - informe'!$D$29)*(C5006&lt;='Resultats - informe'!$E$29),0,1,1)</f>
        <v>0</v>
      </c>
      <c r="N5006" s="366">
        <f>+VLOOKUP(D5006,'Resultats - informe'!$Y$18:$AG$42,'Introducció dades consum'!K5006+1,0)</f>
        <v>0</v>
      </c>
      <c r="O5006" s="370" cm="1">
        <f t="array" ref="O5006">+_xlfn.SWITCH(MONTH(C5006),1,1,2,1,3,1,4,2,5,2,6,3,7,3,8,3,9,3,10,2,11,2,12,1,2)</f>
        <v>1</v>
      </c>
      <c r="P5006" s="43"/>
    </row>
    <row r="5007" spans="1:16" ht="18" x14ac:dyDescent="0.35">
      <c r="A5007" s="9"/>
      <c r="C5007" s="393"/>
      <c r="E5007" s="394"/>
      <c r="F5007" s="394">
        <v>2.2559999999999998</v>
      </c>
      <c r="G5007" s="394"/>
      <c r="H5007" s="8" t="s">
        <v>235</v>
      </c>
      <c r="I5007" s="368">
        <f t="shared" si="235"/>
        <v>0</v>
      </c>
      <c r="J5007" s="365">
        <f t="shared" si="234"/>
        <v>0</v>
      </c>
      <c r="K5007" s="369">
        <f t="shared" si="236"/>
        <v>6</v>
      </c>
      <c r="L5007" s="369">
        <f>+IF((C5007&gt;='Resultats - informe'!$E$16)*(C5007&lt;='Resultats - informe'!$G$16),1,0)</f>
        <v>1</v>
      </c>
      <c r="M5007" s="369" cm="1">
        <f t="array" ref="M5007">+_xlfn.IFS((C5007&gt;='Resultats - informe'!$D$26)*(C5007&lt;='Resultats - informe'!$E$26),0,(C5007&gt;='Resultats - informe'!$D$27)*(C5007&lt;='Resultats - informe'!$E$27),0,(C5007&gt;='Resultats - informe'!$D$28)*(C5007&lt;='Resultats - informe'!$E$28),0,(C5007&gt;='Resultats - informe'!$D$29)*(C5007&lt;='Resultats - informe'!$E$29),0,1,1)</f>
        <v>0</v>
      </c>
      <c r="N5007" s="366">
        <f>+VLOOKUP(D5007,'Resultats - informe'!$Y$18:$AG$42,'Introducció dades consum'!K5007+1,0)</f>
        <v>0</v>
      </c>
      <c r="O5007" s="370" cm="1">
        <f t="array" ref="O5007">+_xlfn.SWITCH(MONTH(C5007),1,1,2,1,3,1,4,2,5,2,6,3,7,3,8,3,9,3,10,2,11,2,12,1,2)</f>
        <v>1</v>
      </c>
      <c r="P5007" s="43"/>
    </row>
    <row r="5008" spans="1:16" ht="18" x14ac:dyDescent="0.35">
      <c r="A5008" s="9"/>
      <c r="C5008" s="393"/>
      <c r="E5008" s="394"/>
      <c r="F5008" s="394">
        <v>4.0940000000000003</v>
      </c>
      <c r="G5008" s="394"/>
      <c r="H5008" s="8" t="s">
        <v>235</v>
      </c>
      <c r="I5008" s="368">
        <f t="shared" si="235"/>
        <v>0</v>
      </c>
      <c r="J5008" s="365">
        <f t="shared" si="234"/>
        <v>0</v>
      </c>
      <c r="K5008" s="369">
        <f t="shared" si="236"/>
        <v>6</v>
      </c>
      <c r="L5008" s="369">
        <f>+IF((C5008&gt;='Resultats - informe'!$E$16)*(C5008&lt;='Resultats - informe'!$G$16),1,0)</f>
        <v>1</v>
      </c>
      <c r="M5008" s="369" cm="1">
        <f t="array" ref="M5008">+_xlfn.IFS((C5008&gt;='Resultats - informe'!$D$26)*(C5008&lt;='Resultats - informe'!$E$26),0,(C5008&gt;='Resultats - informe'!$D$27)*(C5008&lt;='Resultats - informe'!$E$27),0,(C5008&gt;='Resultats - informe'!$D$28)*(C5008&lt;='Resultats - informe'!$E$28),0,(C5008&gt;='Resultats - informe'!$D$29)*(C5008&lt;='Resultats - informe'!$E$29),0,1,1)</f>
        <v>0</v>
      </c>
      <c r="N5008" s="366">
        <f>+VLOOKUP(D5008,'Resultats - informe'!$Y$18:$AG$42,'Introducció dades consum'!K5008+1,0)</f>
        <v>0</v>
      </c>
      <c r="O5008" s="370" cm="1">
        <f t="array" ref="O5008">+_xlfn.SWITCH(MONTH(C5008),1,1,2,1,3,1,4,2,5,2,6,3,7,3,8,3,9,3,10,2,11,2,12,1,2)</f>
        <v>1</v>
      </c>
      <c r="P5008" s="43"/>
    </row>
    <row r="5009" spans="1:16" ht="18" x14ac:dyDescent="0.35">
      <c r="A5009" s="9"/>
      <c r="C5009" s="393"/>
      <c r="E5009" s="394"/>
      <c r="F5009" s="394">
        <v>5.2149999999999999</v>
      </c>
      <c r="G5009" s="394"/>
      <c r="H5009" s="8" t="s">
        <v>235</v>
      </c>
      <c r="I5009" s="368">
        <f t="shared" si="235"/>
        <v>0</v>
      </c>
      <c r="J5009" s="365">
        <f t="shared" si="234"/>
        <v>0</v>
      </c>
      <c r="K5009" s="369">
        <f t="shared" si="236"/>
        <v>6</v>
      </c>
      <c r="L5009" s="369">
        <f>+IF((C5009&gt;='Resultats - informe'!$E$16)*(C5009&lt;='Resultats - informe'!$G$16),1,0)</f>
        <v>1</v>
      </c>
      <c r="M5009" s="369" cm="1">
        <f t="array" ref="M5009">+_xlfn.IFS((C5009&gt;='Resultats - informe'!$D$26)*(C5009&lt;='Resultats - informe'!$E$26),0,(C5009&gt;='Resultats - informe'!$D$27)*(C5009&lt;='Resultats - informe'!$E$27),0,(C5009&gt;='Resultats - informe'!$D$28)*(C5009&lt;='Resultats - informe'!$E$28),0,(C5009&gt;='Resultats - informe'!$D$29)*(C5009&lt;='Resultats - informe'!$E$29),0,1,1)</f>
        <v>0</v>
      </c>
      <c r="N5009" s="366">
        <f>+VLOOKUP(D5009,'Resultats - informe'!$Y$18:$AG$42,'Introducció dades consum'!K5009+1,0)</f>
        <v>0</v>
      </c>
      <c r="O5009" s="370" cm="1">
        <f t="array" ref="O5009">+_xlfn.SWITCH(MONTH(C5009),1,1,2,1,3,1,4,2,5,2,6,3,7,3,8,3,9,3,10,2,11,2,12,1,2)</f>
        <v>1</v>
      </c>
      <c r="P5009" s="43"/>
    </row>
    <row r="5010" spans="1:16" ht="18" x14ac:dyDescent="0.35">
      <c r="A5010" s="9"/>
      <c r="C5010" s="393"/>
      <c r="E5010" s="394"/>
      <c r="F5010" s="394">
        <v>6.5910000000000002</v>
      </c>
      <c r="G5010" s="394"/>
      <c r="H5010" s="8" t="s">
        <v>235</v>
      </c>
      <c r="I5010" s="368">
        <f t="shared" si="235"/>
        <v>0</v>
      </c>
      <c r="J5010" s="365">
        <f t="shared" si="234"/>
        <v>0</v>
      </c>
      <c r="K5010" s="369">
        <f t="shared" si="236"/>
        <v>6</v>
      </c>
      <c r="L5010" s="369">
        <f>+IF((C5010&gt;='Resultats - informe'!$E$16)*(C5010&lt;='Resultats - informe'!$G$16),1,0)</f>
        <v>1</v>
      </c>
      <c r="M5010" s="369" cm="1">
        <f t="array" ref="M5010">+_xlfn.IFS((C5010&gt;='Resultats - informe'!$D$26)*(C5010&lt;='Resultats - informe'!$E$26),0,(C5010&gt;='Resultats - informe'!$D$27)*(C5010&lt;='Resultats - informe'!$E$27),0,(C5010&gt;='Resultats - informe'!$D$28)*(C5010&lt;='Resultats - informe'!$E$28),0,(C5010&gt;='Resultats - informe'!$D$29)*(C5010&lt;='Resultats - informe'!$E$29),0,1,1)</f>
        <v>0</v>
      </c>
      <c r="N5010" s="366">
        <f>+VLOOKUP(D5010,'Resultats - informe'!$Y$18:$AG$42,'Introducció dades consum'!K5010+1,0)</f>
        <v>0</v>
      </c>
      <c r="O5010" s="370" cm="1">
        <f t="array" ref="O5010">+_xlfn.SWITCH(MONTH(C5010),1,1,2,1,3,1,4,2,5,2,6,3,7,3,8,3,9,3,10,2,11,2,12,1,2)</f>
        <v>1</v>
      </c>
      <c r="P5010" s="43"/>
    </row>
    <row r="5011" spans="1:16" ht="18" x14ac:dyDescent="0.35">
      <c r="A5011" s="9"/>
      <c r="C5011" s="393"/>
      <c r="E5011" s="394"/>
      <c r="F5011" s="394">
        <v>6.4560000000000004</v>
      </c>
      <c r="G5011" s="394"/>
      <c r="H5011" s="8" t="s">
        <v>235</v>
      </c>
      <c r="I5011" s="368">
        <f t="shared" si="235"/>
        <v>0</v>
      </c>
      <c r="J5011" s="365">
        <f t="shared" si="234"/>
        <v>0</v>
      </c>
      <c r="K5011" s="369">
        <f t="shared" si="236"/>
        <v>6</v>
      </c>
      <c r="L5011" s="369">
        <f>+IF((C5011&gt;='Resultats - informe'!$E$16)*(C5011&lt;='Resultats - informe'!$G$16),1,0)</f>
        <v>1</v>
      </c>
      <c r="M5011" s="369" cm="1">
        <f t="array" ref="M5011">+_xlfn.IFS((C5011&gt;='Resultats - informe'!$D$26)*(C5011&lt;='Resultats - informe'!$E$26),0,(C5011&gt;='Resultats - informe'!$D$27)*(C5011&lt;='Resultats - informe'!$E$27),0,(C5011&gt;='Resultats - informe'!$D$28)*(C5011&lt;='Resultats - informe'!$E$28),0,(C5011&gt;='Resultats - informe'!$D$29)*(C5011&lt;='Resultats - informe'!$E$29),0,1,1)</f>
        <v>0</v>
      </c>
      <c r="N5011" s="366">
        <f>+VLOOKUP(D5011,'Resultats - informe'!$Y$18:$AG$42,'Introducció dades consum'!K5011+1,0)</f>
        <v>0</v>
      </c>
      <c r="O5011" s="370" cm="1">
        <f t="array" ref="O5011">+_xlfn.SWITCH(MONTH(C5011),1,1,2,1,3,1,4,2,5,2,6,3,7,3,8,3,9,3,10,2,11,2,12,1,2)</f>
        <v>1</v>
      </c>
      <c r="P5011" s="43"/>
    </row>
    <row r="5012" spans="1:16" ht="18" x14ac:dyDescent="0.35">
      <c r="A5012" s="9"/>
      <c r="C5012" s="393"/>
      <c r="E5012" s="394"/>
      <c r="F5012" s="394">
        <v>5.3869999999999996</v>
      </c>
      <c r="G5012" s="394"/>
      <c r="H5012" s="8" t="s">
        <v>235</v>
      </c>
      <c r="I5012" s="368">
        <f t="shared" si="235"/>
        <v>0</v>
      </c>
      <c r="J5012" s="365">
        <f t="shared" si="234"/>
        <v>0</v>
      </c>
      <c r="K5012" s="369">
        <f t="shared" si="236"/>
        <v>6</v>
      </c>
      <c r="L5012" s="369">
        <f>+IF((C5012&gt;='Resultats - informe'!$E$16)*(C5012&lt;='Resultats - informe'!$G$16),1,0)</f>
        <v>1</v>
      </c>
      <c r="M5012" s="369" cm="1">
        <f t="array" ref="M5012">+_xlfn.IFS((C5012&gt;='Resultats - informe'!$D$26)*(C5012&lt;='Resultats - informe'!$E$26),0,(C5012&gt;='Resultats - informe'!$D$27)*(C5012&lt;='Resultats - informe'!$E$27),0,(C5012&gt;='Resultats - informe'!$D$28)*(C5012&lt;='Resultats - informe'!$E$28),0,(C5012&gt;='Resultats - informe'!$D$29)*(C5012&lt;='Resultats - informe'!$E$29),0,1,1)</f>
        <v>0</v>
      </c>
      <c r="N5012" s="366">
        <f>+VLOOKUP(D5012,'Resultats - informe'!$Y$18:$AG$42,'Introducció dades consum'!K5012+1,0)</f>
        <v>0</v>
      </c>
      <c r="O5012" s="370" cm="1">
        <f t="array" ref="O5012">+_xlfn.SWITCH(MONTH(C5012),1,1,2,1,3,1,4,2,5,2,6,3,7,3,8,3,9,3,10,2,11,2,12,1,2)</f>
        <v>1</v>
      </c>
      <c r="P5012" s="43"/>
    </row>
    <row r="5013" spans="1:16" ht="18" x14ac:dyDescent="0.35">
      <c r="A5013" s="9"/>
      <c r="C5013" s="393"/>
      <c r="E5013" s="394"/>
      <c r="F5013" s="394">
        <v>3.3460000000000001</v>
      </c>
      <c r="G5013" s="394"/>
      <c r="H5013" s="8" t="s">
        <v>235</v>
      </c>
      <c r="I5013" s="368">
        <f t="shared" si="235"/>
        <v>0</v>
      </c>
      <c r="J5013" s="365">
        <f t="shared" si="234"/>
        <v>0</v>
      </c>
      <c r="K5013" s="369">
        <f t="shared" si="236"/>
        <v>6</v>
      </c>
      <c r="L5013" s="369">
        <f>+IF((C5013&gt;='Resultats - informe'!$E$16)*(C5013&lt;='Resultats - informe'!$G$16),1,0)</f>
        <v>1</v>
      </c>
      <c r="M5013" s="369" cm="1">
        <f t="array" ref="M5013">+_xlfn.IFS((C5013&gt;='Resultats - informe'!$D$26)*(C5013&lt;='Resultats - informe'!$E$26),0,(C5013&gt;='Resultats - informe'!$D$27)*(C5013&lt;='Resultats - informe'!$E$27),0,(C5013&gt;='Resultats - informe'!$D$28)*(C5013&lt;='Resultats - informe'!$E$28),0,(C5013&gt;='Resultats - informe'!$D$29)*(C5013&lt;='Resultats - informe'!$E$29),0,1,1)</f>
        <v>0</v>
      </c>
      <c r="N5013" s="366">
        <f>+VLOOKUP(D5013,'Resultats - informe'!$Y$18:$AG$42,'Introducció dades consum'!K5013+1,0)</f>
        <v>0</v>
      </c>
      <c r="O5013" s="370" cm="1">
        <f t="array" ref="O5013">+_xlfn.SWITCH(MONTH(C5013),1,1,2,1,3,1,4,2,5,2,6,3,7,3,8,3,9,3,10,2,11,2,12,1,2)</f>
        <v>1</v>
      </c>
      <c r="P5013" s="43"/>
    </row>
    <row r="5014" spans="1:16" ht="18" x14ac:dyDescent="0.35">
      <c r="A5014" s="9"/>
      <c r="C5014" s="393"/>
      <c r="E5014" s="394"/>
      <c r="F5014" s="394">
        <v>2.3820000000000001</v>
      </c>
      <c r="G5014" s="394"/>
      <c r="H5014" s="8" t="s">
        <v>235</v>
      </c>
      <c r="I5014" s="368">
        <f t="shared" si="235"/>
        <v>0</v>
      </c>
      <c r="J5014" s="365">
        <f t="shared" si="234"/>
        <v>0</v>
      </c>
      <c r="K5014" s="369">
        <f t="shared" si="236"/>
        <v>6</v>
      </c>
      <c r="L5014" s="369">
        <f>+IF((C5014&gt;='Resultats - informe'!$E$16)*(C5014&lt;='Resultats - informe'!$G$16),1,0)</f>
        <v>1</v>
      </c>
      <c r="M5014" s="369" cm="1">
        <f t="array" ref="M5014">+_xlfn.IFS((C5014&gt;='Resultats - informe'!$D$26)*(C5014&lt;='Resultats - informe'!$E$26),0,(C5014&gt;='Resultats - informe'!$D$27)*(C5014&lt;='Resultats - informe'!$E$27),0,(C5014&gt;='Resultats - informe'!$D$28)*(C5014&lt;='Resultats - informe'!$E$28),0,(C5014&gt;='Resultats - informe'!$D$29)*(C5014&lt;='Resultats - informe'!$E$29),0,1,1)</f>
        <v>0</v>
      </c>
      <c r="N5014" s="366">
        <f>+VLOOKUP(D5014,'Resultats - informe'!$Y$18:$AG$42,'Introducció dades consum'!K5014+1,0)</f>
        <v>0</v>
      </c>
      <c r="O5014" s="370" cm="1">
        <f t="array" ref="O5014">+_xlfn.SWITCH(MONTH(C5014),1,1,2,1,3,1,4,2,5,2,6,3,7,3,8,3,9,3,10,2,11,2,12,1,2)</f>
        <v>1</v>
      </c>
      <c r="P5014" s="43"/>
    </row>
    <row r="5015" spans="1:16" ht="18" x14ac:dyDescent="0.35">
      <c r="A5015" s="9"/>
      <c r="C5015" s="393"/>
      <c r="E5015" s="394"/>
      <c r="F5015" s="394">
        <v>0.70499999999999996</v>
      </c>
      <c r="G5015" s="394"/>
      <c r="H5015" s="8" t="s">
        <v>235</v>
      </c>
      <c r="I5015" s="368">
        <f t="shared" si="235"/>
        <v>0</v>
      </c>
      <c r="J5015" s="365">
        <f t="shared" si="234"/>
        <v>0</v>
      </c>
      <c r="K5015" s="369">
        <f t="shared" si="236"/>
        <v>6</v>
      </c>
      <c r="L5015" s="369">
        <f>+IF((C5015&gt;='Resultats - informe'!$E$16)*(C5015&lt;='Resultats - informe'!$G$16),1,0)</f>
        <v>1</v>
      </c>
      <c r="M5015" s="369" cm="1">
        <f t="array" ref="M5015">+_xlfn.IFS((C5015&gt;='Resultats - informe'!$D$26)*(C5015&lt;='Resultats - informe'!$E$26),0,(C5015&gt;='Resultats - informe'!$D$27)*(C5015&lt;='Resultats - informe'!$E$27),0,(C5015&gt;='Resultats - informe'!$D$28)*(C5015&lt;='Resultats - informe'!$E$28),0,(C5015&gt;='Resultats - informe'!$D$29)*(C5015&lt;='Resultats - informe'!$E$29),0,1,1)</f>
        <v>0</v>
      </c>
      <c r="N5015" s="366">
        <f>+VLOOKUP(D5015,'Resultats - informe'!$Y$18:$AG$42,'Introducció dades consum'!K5015+1,0)</f>
        <v>0</v>
      </c>
      <c r="O5015" s="370" cm="1">
        <f t="array" ref="O5015">+_xlfn.SWITCH(MONTH(C5015),1,1,2,1,3,1,4,2,5,2,6,3,7,3,8,3,9,3,10,2,11,2,12,1,2)</f>
        <v>1</v>
      </c>
      <c r="P5015" s="43"/>
    </row>
    <row r="5016" spans="1:16" ht="18" x14ac:dyDescent="0.35">
      <c r="A5016" s="9"/>
      <c r="C5016" s="393"/>
      <c r="E5016" s="394"/>
      <c r="F5016" s="394">
        <v>0</v>
      </c>
      <c r="G5016" s="394"/>
      <c r="H5016" s="8" t="s">
        <v>235</v>
      </c>
      <c r="I5016" s="368">
        <f t="shared" si="235"/>
        <v>0</v>
      </c>
      <c r="J5016" s="365">
        <f t="shared" si="234"/>
        <v>0</v>
      </c>
      <c r="K5016" s="369">
        <f t="shared" si="236"/>
        <v>6</v>
      </c>
      <c r="L5016" s="369">
        <f>+IF((C5016&gt;='Resultats - informe'!$E$16)*(C5016&lt;='Resultats - informe'!$G$16),1,0)</f>
        <v>1</v>
      </c>
      <c r="M5016" s="369" cm="1">
        <f t="array" ref="M5016">+_xlfn.IFS((C5016&gt;='Resultats - informe'!$D$26)*(C5016&lt;='Resultats - informe'!$E$26),0,(C5016&gt;='Resultats - informe'!$D$27)*(C5016&lt;='Resultats - informe'!$E$27),0,(C5016&gt;='Resultats - informe'!$D$28)*(C5016&lt;='Resultats - informe'!$E$28),0,(C5016&gt;='Resultats - informe'!$D$29)*(C5016&lt;='Resultats - informe'!$E$29),0,1,1)</f>
        <v>0</v>
      </c>
      <c r="N5016" s="366">
        <f>+VLOOKUP(D5016,'Resultats - informe'!$Y$18:$AG$42,'Introducció dades consum'!K5016+1,0)</f>
        <v>0</v>
      </c>
      <c r="O5016" s="370" cm="1">
        <f t="array" ref="O5016">+_xlfn.SWITCH(MONTH(C5016),1,1,2,1,3,1,4,2,5,2,6,3,7,3,8,3,9,3,10,2,11,2,12,1,2)</f>
        <v>1</v>
      </c>
      <c r="P5016" s="43"/>
    </row>
    <row r="5017" spans="1:16" ht="18" x14ac:dyDescent="0.35">
      <c r="A5017" s="9"/>
      <c r="C5017" s="393"/>
      <c r="E5017" s="394"/>
      <c r="F5017" s="394">
        <v>0</v>
      </c>
      <c r="G5017" s="394"/>
      <c r="H5017" s="8" t="s">
        <v>235</v>
      </c>
      <c r="I5017" s="368">
        <f t="shared" si="235"/>
        <v>0</v>
      </c>
      <c r="J5017" s="365">
        <f t="shared" si="234"/>
        <v>0</v>
      </c>
      <c r="K5017" s="369">
        <f t="shared" si="236"/>
        <v>6</v>
      </c>
      <c r="L5017" s="369">
        <f>+IF((C5017&gt;='Resultats - informe'!$E$16)*(C5017&lt;='Resultats - informe'!$G$16),1,0)</f>
        <v>1</v>
      </c>
      <c r="M5017" s="369" cm="1">
        <f t="array" ref="M5017">+_xlfn.IFS((C5017&gt;='Resultats - informe'!$D$26)*(C5017&lt;='Resultats - informe'!$E$26),0,(C5017&gt;='Resultats - informe'!$D$27)*(C5017&lt;='Resultats - informe'!$E$27),0,(C5017&gt;='Resultats - informe'!$D$28)*(C5017&lt;='Resultats - informe'!$E$28),0,(C5017&gt;='Resultats - informe'!$D$29)*(C5017&lt;='Resultats - informe'!$E$29),0,1,1)</f>
        <v>0</v>
      </c>
      <c r="N5017" s="366">
        <f>+VLOOKUP(D5017,'Resultats - informe'!$Y$18:$AG$42,'Introducció dades consum'!K5017+1,0)</f>
        <v>0</v>
      </c>
      <c r="O5017" s="370" cm="1">
        <f t="array" ref="O5017">+_xlfn.SWITCH(MONTH(C5017),1,1,2,1,3,1,4,2,5,2,6,3,7,3,8,3,9,3,10,2,11,2,12,1,2)</f>
        <v>1</v>
      </c>
      <c r="P5017" s="43"/>
    </row>
    <row r="5018" spans="1:16" ht="18" x14ac:dyDescent="0.35">
      <c r="A5018" s="9"/>
      <c r="C5018" s="393"/>
      <c r="E5018" s="394"/>
      <c r="F5018" s="394">
        <v>0</v>
      </c>
      <c r="G5018" s="394"/>
      <c r="H5018" s="8" t="s">
        <v>235</v>
      </c>
      <c r="I5018" s="368">
        <f t="shared" si="235"/>
        <v>0</v>
      </c>
      <c r="J5018" s="365">
        <f t="shared" si="234"/>
        <v>0</v>
      </c>
      <c r="K5018" s="369">
        <f t="shared" si="236"/>
        <v>6</v>
      </c>
      <c r="L5018" s="369">
        <f>+IF((C5018&gt;='Resultats - informe'!$E$16)*(C5018&lt;='Resultats - informe'!$G$16),1,0)</f>
        <v>1</v>
      </c>
      <c r="M5018" s="369" cm="1">
        <f t="array" ref="M5018">+_xlfn.IFS((C5018&gt;='Resultats - informe'!$D$26)*(C5018&lt;='Resultats - informe'!$E$26),0,(C5018&gt;='Resultats - informe'!$D$27)*(C5018&lt;='Resultats - informe'!$E$27),0,(C5018&gt;='Resultats - informe'!$D$28)*(C5018&lt;='Resultats - informe'!$E$28),0,(C5018&gt;='Resultats - informe'!$D$29)*(C5018&lt;='Resultats - informe'!$E$29),0,1,1)</f>
        <v>0</v>
      </c>
      <c r="N5018" s="366">
        <f>+VLOOKUP(D5018,'Resultats - informe'!$Y$18:$AG$42,'Introducció dades consum'!K5018+1,0)</f>
        <v>0</v>
      </c>
      <c r="O5018" s="370" cm="1">
        <f t="array" ref="O5018">+_xlfn.SWITCH(MONTH(C5018),1,1,2,1,3,1,4,2,5,2,6,3,7,3,8,3,9,3,10,2,11,2,12,1,2)</f>
        <v>1</v>
      </c>
      <c r="P5018" s="43"/>
    </row>
    <row r="5019" spans="1:16" ht="18" x14ac:dyDescent="0.35">
      <c r="A5019" s="9"/>
      <c r="C5019" s="393"/>
      <c r="E5019" s="394"/>
      <c r="F5019" s="394">
        <v>0</v>
      </c>
      <c r="G5019" s="394"/>
      <c r="H5019" s="8" t="s">
        <v>235</v>
      </c>
      <c r="I5019" s="368">
        <f t="shared" si="235"/>
        <v>0</v>
      </c>
      <c r="J5019" s="365">
        <f t="shared" si="234"/>
        <v>0</v>
      </c>
      <c r="K5019" s="369">
        <f t="shared" si="236"/>
        <v>6</v>
      </c>
      <c r="L5019" s="369">
        <f>+IF((C5019&gt;='Resultats - informe'!$E$16)*(C5019&lt;='Resultats - informe'!$G$16),1,0)</f>
        <v>1</v>
      </c>
      <c r="M5019" s="369" cm="1">
        <f t="array" ref="M5019">+_xlfn.IFS((C5019&gt;='Resultats - informe'!$D$26)*(C5019&lt;='Resultats - informe'!$E$26),0,(C5019&gt;='Resultats - informe'!$D$27)*(C5019&lt;='Resultats - informe'!$E$27),0,(C5019&gt;='Resultats - informe'!$D$28)*(C5019&lt;='Resultats - informe'!$E$28),0,(C5019&gt;='Resultats - informe'!$D$29)*(C5019&lt;='Resultats - informe'!$E$29),0,1,1)</f>
        <v>0</v>
      </c>
      <c r="N5019" s="366">
        <f>+VLOOKUP(D5019,'Resultats - informe'!$Y$18:$AG$42,'Introducció dades consum'!K5019+1,0)</f>
        <v>0</v>
      </c>
      <c r="O5019" s="370" cm="1">
        <f t="array" ref="O5019">+_xlfn.SWITCH(MONTH(C5019),1,1,2,1,3,1,4,2,5,2,6,3,7,3,8,3,9,3,10,2,11,2,12,1,2)</f>
        <v>1</v>
      </c>
      <c r="P5019" s="43"/>
    </row>
    <row r="5020" spans="1:16" ht="18" x14ac:dyDescent="0.35">
      <c r="A5020" s="9"/>
      <c r="C5020" s="393"/>
      <c r="E5020" s="394"/>
      <c r="F5020" s="394">
        <v>0</v>
      </c>
      <c r="G5020" s="394"/>
      <c r="H5020" s="8" t="s">
        <v>235</v>
      </c>
      <c r="I5020" s="368">
        <f t="shared" si="235"/>
        <v>0</v>
      </c>
      <c r="J5020" s="365">
        <f t="shared" si="234"/>
        <v>0</v>
      </c>
      <c r="K5020" s="369">
        <f t="shared" si="236"/>
        <v>6</v>
      </c>
      <c r="L5020" s="369">
        <f>+IF((C5020&gt;='Resultats - informe'!$E$16)*(C5020&lt;='Resultats - informe'!$G$16),1,0)</f>
        <v>1</v>
      </c>
      <c r="M5020" s="369" cm="1">
        <f t="array" ref="M5020">+_xlfn.IFS((C5020&gt;='Resultats - informe'!$D$26)*(C5020&lt;='Resultats - informe'!$E$26),0,(C5020&gt;='Resultats - informe'!$D$27)*(C5020&lt;='Resultats - informe'!$E$27),0,(C5020&gt;='Resultats - informe'!$D$28)*(C5020&lt;='Resultats - informe'!$E$28),0,(C5020&gt;='Resultats - informe'!$D$29)*(C5020&lt;='Resultats - informe'!$E$29),0,1,1)</f>
        <v>0</v>
      </c>
      <c r="N5020" s="366">
        <f>+VLOOKUP(D5020,'Resultats - informe'!$Y$18:$AG$42,'Introducció dades consum'!K5020+1,0)</f>
        <v>0</v>
      </c>
      <c r="O5020" s="370" cm="1">
        <f t="array" ref="O5020">+_xlfn.SWITCH(MONTH(C5020),1,1,2,1,3,1,4,2,5,2,6,3,7,3,8,3,9,3,10,2,11,2,12,1,2)</f>
        <v>1</v>
      </c>
      <c r="P5020" s="43"/>
    </row>
    <row r="5021" spans="1:16" ht="18" x14ac:dyDescent="0.35">
      <c r="A5021" s="9"/>
      <c r="C5021" s="393"/>
      <c r="E5021" s="394"/>
      <c r="F5021" s="394">
        <v>0</v>
      </c>
      <c r="G5021" s="394"/>
      <c r="H5021" s="8" t="s">
        <v>235</v>
      </c>
      <c r="I5021" s="368">
        <f t="shared" si="235"/>
        <v>0</v>
      </c>
      <c r="J5021" s="365">
        <f t="shared" si="234"/>
        <v>0</v>
      </c>
      <c r="K5021" s="369">
        <f t="shared" si="236"/>
        <v>6</v>
      </c>
      <c r="L5021" s="369">
        <f>+IF((C5021&gt;='Resultats - informe'!$E$16)*(C5021&lt;='Resultats - informe'!$G$16),1,0)</f>
        <v>1</v>
      </c>
      <c r="M5021" s="369" cm="1">
        <f t="array" ref="M5021">+_xlfn.IFS((C5021&gt;='Resultats - informe'!$D$26)*(C5021&lt;='Resultats - informe'!$E$26),0,(C5021&gt;='Resultats - informe'!$D$27)*(C5021&lt;='Resultats - informe'!$E$27),0,(C5021&gt;='Resultats - informe'!$D$28)*(C5021&lt;='Resultats - informe'!$E$28),0,(C5021&gt;='Resultats - informe'!$D$29)*(C5021&lt;='Resultats - informe'!$E$29),0,1,1)</f>
        <v>0</v>
      </c>
      <c r="N5021" s="366">
        <f>+VLOOKUP(D5021,'Resultats - informe'!$Y$18:$AG$42,'Introducció dades consum'!K5021+1,0)</f>
        <v>0</v>
      </c>
      <c r="O5021" s="370" cm="1">
        <f t="array" ref="O5021">+_xlfn.SWITCH(MONTH(C5021),1,1,2,1,3,1,4,2,5,2,6,3,7,3,8,3,9,3,10,2,11,2,12,1,2)</f>
        <v>1</v>
      </c>
      <c r="P5021" s="43"/>
    </row>
    <row r="5022" spans="1:16" ht="18" x14ac:dyDescent="0.35">
      <c r="A5022" s="9"/>
      <c r="C5022" s="393"/>
      <c r="E5022" s="394"/>
      <c r="F5022" s="394">
        <v>0</v>
      </c>
      <c r="G5022" s="394"/>
      <c r="H5022" s="8" t="s">
        <v>235</v>
      </c>
      <c r="I5022" s="368">
        <f t="shared" si="235"/>
        <v>0</v>
      </c>
      <c r="J5022" s="365">
        <f t="shared" si="234"/>
        <v>0</v>
      </c>
      <c r="K5022" s="369">
        <f t="shared" si="236"/>
        <v>6</v>
      </c>
      <c r="L5022" s="369">
        <f>+IF((C5022&gt;='Resultats - informe'!$E$16)*(C5022&lt;='Resultats - informe'!$G$16),1,0)</f>
        <v>1</v>
      </c>
      <c r="M5022" s="369" cm="1">
        <f t="array" ref="M5022">+_xlfn.IFS((C5022&gt;='Resultats - informe'!$D$26)*(C5022&lt;='Resultats - informe'!$E$26),0,(C5022&gt;='Resultats - informe'!$D$27)*(C5022&lt;='Resultats - informe'!$E$27),0,(C5022&gt;='Resultats - informe'!$D$28)*(C5022&lt;='Resultats - informe'!$E$28),0,(C5022&gt;='Resultats - informe'!$D$29)*(C5022&lt;='Resultats - informe'!$E$29),0,1,1)</f>
        <v>0</v>
      </c>
      <c r="N5022" s="366">
        <f>+VLOOKUP(D5022,'Resultats - informe'!$Y$18:$AG$42,'Introducció dades consum'!K5022+1,0)</f>
        <v>0</v>
      </c>
      <c r="O5022" s="370" cm="1">
        <f t="array" ref="O5022">+_xlfn.SWITCH(MONTH(C5022),1,1,2,1,3,1,4,2,5,2,6,3,7,3,8,3,9,3,10,2,11,2,12,1,2)</f>
        <v>1</v>
      </c>
      <c r="P5022" s="43"/>
    </row>
    <row r="5023" spans="1:16" ht="18" x14ac:dyDescent="0.35">
      <c r="A5023" s="9"/>
      <c r="C5023" s="393"/>
      <c r="E5023" s="394"/>
      <c r="F5023" s="394">
        <v>0</v>
      </c>
      <c r="G5023" s="394"/>
      <c r="H5023" s="8" t="s">
        <v>235</v>
      </c>
      <c r="I5023" s="368">
        <f t="shared" si="235"/>
        <v>0</v>
      </c>
      <c r="J5023" s="365">
        <f t="shared" si="234"/>
        <v>0</v>
      </c>
      <c r="K5023" s="369">
        <f t="shared" si="236"/>
        <v>6</v>
      </c>
      <c r="L5023" s="369">
        <f>+IF((C5023&gt;='Resultats - informe'!$E$16)*(C5023&lt;='Resultats - informe'!$G$16),1,0)</f>
        <v>1</v>
      </c>
      <c r="M5023" s="369" cm="1">
        <f t="array" ref="M5023">+_xlfn.IFS((C5023&gt;='Resultats - informe'!$D$26)*(C5023&lt;='Resultats - informe'!$E$26),0,(C5023&gt;='Resultats - informe'!$D$27)*(C5023&lt;='Resultats - informe'!$E$27),0,(C5023&gt;='Resultats - informe'!$D$28)*(C5023&lt;='Resultats - informe'!$E$28),0,(C5023&gt;='Resultats - informe'!$D$29)*(C5023&lt;='Resultats - informe'!$E$29),0,1,1)</f>
        <v>0</v>
      </c>
      <c r="N5023" s="366">
        <f>+VLOOKUP(D5023,'Resultats - informe'!$Y$18:$AG$42,'Introducció dades consum'!K5023+1,0)</f>
        <v>0</v>
      </c>
      <c r="O5023" s="370" cm="1">
        <f t="array" ref="O5023">+_xlfn.SWITCH(MONTH(C5023),1,1,2,1,3,1,4,2,5,2,6,3,7,3,8,3,9,3,10,2,11,2,12,1,2)</f>
        <v>1</v>
      </c>
      <c r="P5023" s="43"/>
    </row>
    <row r="5024" spans="1:16" ht="18" x14ac:dyDescent="0.35">
      <c r="A5024" s="9"/>
      <c r="C5024" s="393"/>
      <c r="E5024" s="394"/>
      <c r="F5024" s="394">
        <v>0</v>
      </c>
      <c r="G5024" s="394"/>
      <c r="H5024" s="8" t="s">
        <v>235</v>
      </c>
      <c r="I5024" s="368">
        <f t="shared" si="235"/>
        <v>0</v>
      </c>
      <c r="J5024" s="365">
        <f t="shared" si="234"/>
        <v>0</v>
      </c>
      <c r="K5024" s="369">
        <f t="shared" si="236"/>
        <v>6</v>
      </c>
      <c r="L5024" s="369">
        <f>+IF((C5024&gt;='Resultats - informe'!$E$16)*(C5024&lt;='Resultats - informe'!$G$16),1,0)</f>
        <v>1</v>
      </c>
      <c r="M5024" s="369" cm="1">
        <f t="array" ref="M5024">+_xlfn.IFS((C5024&gt;='Resultats - informe'!$D$26)*(C5024&lt;='Resultats - informe'!$E$26),0,(C5024&gt;='Resultats - informe'!$D$27)*(C5024&lt;='Resultats - informe'!$E$27),0,(C5024&gt;='Resultats - informe'!$D$28)*(C5024&lt;='Resultats - informe'!$E$28),0,(C5024&gt;='Resultats - informe'!$D$29)*(C5024&lt;='Resultats - informe'!$E$29),0,1,1)</f>
        <v>0</v>
      </c>
      <c r="N5024" s="366">
        <f>+VLOOKUP(D5024,'Resultats - informe'!$Y$18:$AG$42,'Introducció dades consum'!K5024+1,0)</f>
        <v>0</v>
      </c>
      <c r="O5024" s="370" cm="1">
        <f t="array" ref="O5024">+_xlfn.SWITCH(MONTH(C5024),1,1,2,1,3,1,4,2,5,2,6,3,7,3,8,3,9,3,10,2,11,2,12,1,2)</f>
        <v>1</v>
      </c>
      <c r="P5024" s="43"/>
    </row>
    <row r="5025" spans="1:16" ht="18" x14ac:dyDescent="0.35">
      <c r="A5025" s="9"/>
      <c r="C5025" s="393"/>
      <c r="E5025" s="394"/>
      <c r="F5025" s="394">
        <v>0</v>
      </c>
      <c r="G5025" s="394"/>
      <c r="H5025" s="8" t="s">
        <v>235</v>
      </c>
      <c r="I5025" s="368">
        <f t="shared" si="235"/>
        <v>0</v>
      </c>
      <c r="J5025" s="365">
        <f t="shared" si="234"/>
        <v>0</v>
      </c>
      <c r="K5025" s="369">
        <f t="shared" si="236"/>
        <v>6</v>
      </c>
      <c r="L5025" s="369">
        <f>+IF((C5025&gt;='Resultats - informe'!$E$16)*(C5025&lt;='Resultats - informe'!$G$16),1,0)</f>
        <v>1</v>
      </c>
      <c r="M5025" s="369" cm="1">
        <f t="array" ref="M5025">+_xlfn.IFS((C5025&gt;='Resultats - informe'!$D$26)*(C5025&lt;='Resultats - informe'!$E$26),0,(C5025&gt;='Resultats - informe'!$D$27)*(C5025&lt;='Resultats - informe'!$E$27),0,(C5025&gt;='Resultats - informe'!$D$28)*(C5025&lt;='Resultats - informe'!$E$28),0,(C5025&gt;='Resultats - informe'!$D$29)*(C5025&lt;='Resultats - informe'!$E$29),0,1,1)</f>
        <v>0</v>
      </c>
      <c r="N5025" s="366">
        <f>+VLOOKUP(D5025,'Resultats - informe'!$Y$18:$AG$42,'Introducció dades consum'!K5025+1,0)</f>
        <v>0</v>
      </c>
      <c r="O5025" s="370" cm="1">
        <f t="array" ref="O5025">+_xlfn.SWITCH(MONTH(C5025),1,1,2,1,3,1,4,2,5,2,6,3,7,3,8,3,9,3,10,2,11,2,12,1,2)</f>
        <v>1</v>
      </c>
      <c r="P5025" s="43"/>
    </row>
    <row r="5026" spans="1:16" ht="18" x14ac:dyDescent="0.35">
      <c r="A5026" s="9"/>
      <c r="C5026" s="393"/>
      <c r="E5026" s="394"/>
      <c r="F5026" s="394">
        <v>0</v>
      </c>
      <c r="G5026" s="394"/>
      <c r="H5026" s="8" t="s">
        <v>235</v>
      </c>
      <c r="I5026" s="368">
        <f t="shared" si="235"/>
        <v>0</v>
      </c>
      <c r="J5026" s="365">
        <f t="shared" si="234"/>
        <v>0</v>
      </c>
      <c r="K5026" s="369">
        <f t="shared" si="236"/>
        <v>6</v>
      </c>
      <c r="L5026" s="369">
        <f>+IF((C5026&gt;='Resultats - informe'!$E$16)*(C5026&lt;='Resultats - informe'!$G$16),1,0)</f>
        <v>1</v>
      </c>
      <c r="M5026" s="369" cm="1">
        <f t="array" ref="M5026">+_xlfn.IFS((C5026&gt;='Resultats - informe'!$D$26)*(C5026&lt;='Resultats - informe'!$E$26),0,(C5026&gt;='Resultats - informe'!$D$27)*(C5026&lt;='Resultats - informe'!$E$27),0,(C5026&gt;='Resultats - informe'!$D$28)*(C5026&lt;='Resultats - informe'!$E$28),0,(C5026&gt;='Resultats - informe'!$D$29)*(C5026&lt;='Resultats - informe'!$E$29),0,1,1)</f>
        <v>0</v>
      </c>
      <c r="N5026" s="366">
        <f>+VLOOKUP(D5026,'Resultats - informe'!$Y$18:$AG$42,'Introducció dades consum'!K5026+1,0)</f>
        <v>0</v>
      </c>
      <c r="O5026" s="370" cm="1">
        <f t="array" ref="O5026">+_xlfn.SWITCH(MONTH(C5026),1,1,2,1,3,1,4,2,5,2,6,3,7,3,8,3,9,3,10,2,11,2,12,1,2)</f>
        <v>1</v>
      </c>
      <c r="P5026" s="43"/>
    </row>
    <row r="5027" spans="1:16" ht="18" x14ac:dyDescent="0.35">
      <c r="A5027" s="9"/>
      <c r="C5027" s="393"/>
      <c r="E5027" s="394"/>
      <c r="F5027" s="394">
        <v>0</v>
      </c>
      <c r="G5027" s="394"/>
      <c r="H5027" s="8" t="s">
        <v>235</v>
      </c>
      <c r="I5027" s="368">
        <f t="shared" si="235"/>
        <v>0</v>
      </c>
      <c r="J5027" s="365">
        <f t="shared" si="234"/>
        <v>0</v>
      </c>
      <c r="K5027" s="369">
        <f t="shared" si="236"/>
        <v>6</v>
      </c>
      <c r="L5027" s="369">
        <f>+IF((C5027&gt;='Resultats - informe'!$E$16)*(C5027&lt;='Resultats - informe'!$G$16),1,0)</f>
        <v>1</v>
      </c>
      <c r="M5027" s="369" cm="1">
        <f t="array" ref="M5027">+_xlfn.IFS((C5027&gt;='Resultats - informe'!$D$26)*(C5027&lt;='Resultats - informe'!$E$26),0,(C5027&gt;='Resultats - informe'!$D$27)*(C5027&lt;='Resultats - informe'!$E$27),0,(C5027&gt;='Resultats - informe'!$D$28)*(C5027&lt;='Resultats - informe'!$E$28),0,(C5027&gt;='Resultats - informe'!$D$29)*(C5027&lt;='Resultats - informe'!$E$29),0,1,1)</f>
        <v>0</v>
      </c>
      <c r="N5027" s="366">
        <f>+VLOOKUP(D5027,'Resultats - informe'!$Y$18:$AG$42,'Introducció dades consum'!K5027+1,0)</f>
        <v>0</v>
      </c>
      <c r="O5027" s="370" cm="1">
        <f t="array" ref="O5027">+_xlfn.SWITCH(MONTH(C5027),1,1,2,1,3,1,4,2,5,2,6,3,7,3,8,3,9,3,10,2,11,2,12,1,2)</f>
        <v>1</v>
      </c>
      <c r="P5027" s="43"/>
    </row>
    <row r="5028" spans="1:16" ht="18" x14ac:dyDescent="0.35">
      <c r="A5028" s="9"/>
      <c r="C5028" s="393"/>
      <c r="E5028" s="394"/>
      <c r="F5028" s="394">
        <v>0</v>
      </c>
      <c r="G5028" s="394"/>
      <c r="H5028" s="8" t="s">
        <v>235</v>
      </c>
      <c r="I5028" s="368">
        <f t="shared" si="235"/>
        <v>0</v>
      </c>
      <c r="J5028" s="365">
        <f t="shared" si="234"/>
        <v>0</v>
      </c>
      <c r="K5028" s="369">
        <f t="shared" si="236"/>
        <v>6</v>
      </c>
      <c r="L5028" s="369">
        <f>+IF((C5028&gt;='Resultats - informe'!$E$16)*(C5028&lt;='Resultats - informe'!$G$16),1,0)</f>
        <v>1</v>
      </c>
      <c r="M5028" s="369" cm="1">
        <f t="array" ref="M5028">+_xlfn.IFS((C5028&gt;='Resultats - informe'!$D$26)*(C5028&lt;='Resultats - informe'!$E$26),0,(C5028&gt;='Resultats - informe'!$D$27)*(C5028&lt;='Resultats - informe'!$E$27),0,(C5028&gt;='Resultats - informe'!$D$28)*(C5028&lt;='Resultats - informe'!$E$28),0,(C5028&gt;='Resultats - informe'!$D$29)*(C5028&lt;='Resultats - informe'!$E$29),0,1,1)</f>
        <v>0</v>
      </c>
      <c r="N5028" s="366">
        <f>+VLOOKUP(D5028,'Resultats - informe'!$Y$18:$AG$42,'Introducció dades consum'!K5028+1,0)</f>
        <v>0</v>
      </c>
      <c r="O5028" s="370" cm="1">
        <f t="array" ref="O5028">+_xlfn.SWITCH(MONTH(C5028),1,1,2,1,3,1,4,2,5,2,6,3,7,3,8,3,9,3,10,2,11,2,12,1,2)</f>
        <v>1</v>
      </c>
      <c r="P5028" s="43"/>
    </row>
    <row r="5029" spans="1:16" ht="18" x14ac:dyDescent="0.35">
      <c r="A5029" s="9"/>
      <c r="C5029" s="393"/>
      <c r="E5029" s="394"/>
      <c r="F5029" s="394">
        <v>1.091</v>
      </c>
      <c r="G5029" s="394"/>
      <c r="H5029" s="8" t="s">
        <v>235</v>
      </c>
      <c r="I5029" s="368">
        <f t="shared" si="235"/>
        <v>0</v>
      </c>
      <c r="J5029" s="365">
        <f t="shared" si="234"/>
        <v>0</v>
      </c>
      <c r="K5029" s="369">
        <f t="shared" si="236"/>
        <v>6</v>
      </c>
      <c r="L5029" s="369">
        <f>+IF((C5029&gt;='Resultats - informe'!$E$16)*(C5029&lt;='Resultats - informe'!$G$16),1,0)</f>
        <v>1</v>
      </c>
      <c r="M5029" s="369" cm="1">
        <f t="array" ref="M5029">+_xlfn.IFS((C5029&gt;='Resultats - informe'!$D$26)*(C5029&lt;='Resultats - informe'!$E$26),0,(C5029&gt;='Resultats - informe'!$D$27)*(C5029&lt;='Resultats - informe'!$E$27),0,(C5029&gt;='Resultats - informe'!$D$28)*(C5029&lt;='Resultats - informe'!$E$28),0,(C5029&gt;='Resultats - informe'!$D$29)*(C5029&lt;='Resultats - informe'!$E$29),0,1,1)</f>
        <v>0</v>
      </c>
      <c r="N5029" s="366">
        <f>+VLOOKUP(D5029,'Resultats - informe'!$Y$18:$AG$42,'Introducció dades consum'!K5029+1,0)</f>
        <v>0</v>
      </c>
      <c r="O5029" s="370" cm="1">
        <f t="array" ref="O5029">+_xlfn.SWITCH(MONTH(C5029),1,1,2,1,3,1,4,2,5,2,6,3,7,3,8,3,9,3,10,2,11,2,12,1,2)</f>
        <v>1</v>
      </c>
      <c r="P5029" s="43"/>
    </row>
    <row r="5030" spans="1:16" ht="18" x14ac:dyDescent="0.35">
      <c r="A5030" s="9"/>
      <c r="C5030" s="393"/>
      <c r="E5030" s="394"/>
      <c r="F5030" s="394">
        <v>3.18</v>
      </c>
      <c r="G5030" s="394"/>
      <c r="H5030" s="8" t="s">
        <v>235</v>
      </c>
      <c r="I5030" s="368">
        <f t="shared" si="235"/>
        <v>0</v>
      </c>
      <c r="J5030" s="365">
        <f t="shared" si="234"/>
        <v>0</v>
      </c>
      <c r="K5030" s="369">
        <f t="shared" si="236"/>
        <v>6</v>
      </c>
      <c r="L5030" s="369">
        <f>+IF((C5030&gt;='Resultats - informe'!$E$16)*(C5030&lt;='Resultats - informe'!$G$16),1,0)</f>
        <v>1</v>
      </c>
      <c r="M5030" s="369" cm="1">
        <f t="array" ref="M5030">+_xlfn.IFS((C5030&gt;='Resultats - informe'!$D$26)*(C5030&lt;='Resultats - informe'!$E$26),0,(C5030&gt;='Resultats - informe'!$D$27)*(C5030&lt;='Resultats - informe'!$E$27),0,(C5030&gt;='Resultats - informe'!$D$28)*(C5030&lt;='Resultats - informe'!$E$28),0,(C5030&gt;='Resultats - informe'!$D$29)*(C5030&lt;='Resultats - informe'!$E$29),0,1,1)</f>
        <v>0</v>
      </c>
      <c r="N5030" s="366">
        <f>+VLOOKUP(D5030,'Resultats - informe'!$Y$18:$AG$42,'Introducció dades consum'!K5030+1,0)</f>
        <v>0</v>
      </c>
      <c r="O5030" s="370" cm="1">
        <f t="array" ref="O5030">+_xlfn.SWITCH(MONTH(C5030),1,1,2,1,3,1,4,2,5,2,6,3,7,3,8,3,9,3,10,2,11,2,12,1,2)</f>
        <v>1</v>
      </c>
      <c r="P5030" s="43"/>
    </row>
    <row r="5031" spans="1:16" ht="18" x14ac:dyDescent="0.35">
      <c r="A5031" s="9"/>
      <c r="C5031" s="393"/>
      <c r="E5031" s="394"/>
      <c r="F5031" s="394">
        <v>4.516</v>
      </c>
      <c r="G5031" s="394"/>
      <c r="H5031" s="8" t="s">
        <v>235</v>
      </c>
      <c r="I5031" s="368">
        <f t="shared" si="235"/>
        <v>0</v>
      </c>
      <c r="J5031" s="365">
        <f t="shared" si="234"/>
        <v>0</v>
      </c>
      <c r="K5031" s="369">
        <f t="shared" si="236"/>
        <v>6</v>
      </c>
      <c r="L5031" s="369">
        <f>+IF((C5031&gt;='Resultats - informe'!$E$16)*(C5031&lt;='Resultats - informe'!$G$16),1,0)</f>
        <v>1</v>
      </c>
      <c r="M5031" s="369" cm="1">
        <f t="array" ref="M5031">+_xlfn.IFS((C5031&gt;='Resultats - informe'!$D$26)*(C5031&lt;='Resultats - informe'!$E$26),0,(C5031&gt;='Resultats - informe'!$D$27)*(C5031&lt;='Resultats - informe'!$E$27),0,(C5031&gt;='Resultats - informe'!$D$28)*(C5031&lt;='Resultats - informe'!$E$28),0,(C5031&gt;='Resultats - informe'!$D$29)*(C5031&lt;='Resultats - informe'!$E$29),0,1,1)</f>
        <v>0</v>
      </c>
      <c r="N5031" s="366">
        <f>+VLOOKUP(D5031,'Resultats - informe'!$Y$18:$AG$42,'Introducció dades consum'!K5031+1,0)</f>
        <v>0</v>
      </c>
      <c r="O5031" s="370" cm="1">
        <f t="array" ref="O5031">+_xlfn.SWITCH(MONTH(C5031),1,1,2,1,3,1,4,2,5,2,6,3,7,3,8,3,9,3,10,2,11,2,12,1,2)</f>
        <v>1</v>
      </c>
      <c r="P5031" s="43"/>
    </row>
    <row r="5032" spans="1:16" ht="18" x14ac:dyDescent="0.35">
      <c r="A5032" s="9"/>
      <c r="C5032" s="393"/>
      <c r="E5032" s="394"/>
      <c r="F5032" s="394">
        <v>5</v>
      </c>
      <c r="G5032" s="394"/>
      <c r="H5032" s="8" t="s">
        <v>235</v>
      </c>
      <c r="I5032" s="368">
        <f t="shared" si="235"/>
        <v>0</v>
      </c>
      <c r="J5032" s="365">
        <f t="shared" si="234"/>
        <v>0</v>
      </c>
      <c r="K5032" s="369">
        <f t="shared" si="236"/>
        <v>6</v>
      </c>
      <c r="L5032" s="369">
        <f>+IF((C5032&gt;='Resultats - informe'!$E$16)*(C5032&lt;='Resultats - informe'!$G$16),1,0)</f>
        <v>1</v>
      </c>
      <c r="M5032" s="369" cm="1">
        <f t="array" ref="M5032">+_xlfn.IFS((C5032&gt;='Resultats - informe'!$D$26)*(C5032&lt;='Resultats - informe'!$E$26),0,(C5032&gt;='Resultats - informe'!$D$27)*(C5032&lt;='Resultats - informe'!$E$27),0,(C5032&gt;='Resultats - informe'!$D$28)*(C5032&lt;='Resultats - informe'!$E$28),0,(C5032&gt;='Resultats - informe'!$D$29)*(C5032&lt;='Resultats - informe'!$E$29),0,1,1)</f>
        <v>0</v>
      </c>
      <c r="N5032" s="366">
        <f>+VLOOKUP(D5032,'Resultats - informe'!$Y$18:$AG$42,'Introducció dades consum'!K5032+1,0)</f>
        <v>0</v>
      </c>
      <c r="O5032" s="370" cm="1">
        <f t="array" ref="O5032">+_xlfn.SWITCH(MONTH(C5032),1,1,2,1,3,1,4,2,5,2,6,3,7,3,8,3,9,3,10,2,11,2,12,1,2)</f>
        <v>1</v>
      </c>
      <c r="P5032" s="43"/>
    </row>
    <row r="5033" spans="1:16" ht="18" x14ac:dyDescent="0.35">
      <c r="A5033" s="9"/>
      <c r="C5033" s="393"/>
      <c r="E5033" s="394"/>
      <c r="F5033" s="394">
        <v>5.6749999999999998</v>
      </c>
      <c r="G5033" s="394"/>
      <c r="H5033" s="8" t="s">
        <v>235</v>
      </c>
      <c r="I5033" s="368">
        <f t="shared" si="235"/>
        <v>0</v>
      </c>
      <c r="J5033" s="365">
        <f t="shared" si="234"/>
        <v>0</v>
      </c>
      <c r="K5033" s="369">
        <f t="shared" si="236"/>
        <v>6</v>
      </c>
      <c r="L5033" s="369">
        <f>+IF((C5033&gt;='Resultats - informe'!$E$16)*(C5033&lt;='Resultats - informe'!$G$16),1,0)</f>
        <v>1</v>
      </c>
      <c r="M5033" s="369" cm="1">
        <f t="array" ref="M5033">+_xlfn.IFS((C5033&gt;='Resultats - informe'!$D$26)*(C5033&lt;='Resultats - informe'!$E$26),0,(C5033&gt;='Resultats - informe'!$D$27)*(C5033&lt;='Resultats - informe'!$E$27),0,(C5033&gt;='Resultats - informe'!$D$28)*(C5033&lt;='Resultats - informe'!$E$28),0,(C5033&gt;='Resultats - informe'!$D$29)*(C5033&lt;='Resultats - informe'!$E$29),0,1,1)</f>
        <v>0</v>
      </c>
      <c r="N5033" s="366">
        <f>+VLOOKUP(D5033,'Resultats - informe'!$Y$18:$AG$42,'Introducció dades consum'!K5033+1,0)</f>
        <v>0</v>
      </c>
      <c r="O5033" s="370" cm="1">
        <f t="array" ref="O5033">+_xlfn.SWITCH(MONTH(C5033),1,1,2,1,3,1,4,2,5,2,6,3,7,3,8,3,9,3,10,2,11,2,12,1,2)</f>
        <v>1</v>
      </c>
      <c r="P5033" s="43"/>
    </row>
    <row r="5034" spans="1:16" ht="18" x14ac:dyDescent="0.35">
      <c r="A5034" s="9"/>
      <c r="C5034" s="393"/>
      <c r="E5034" s="394"/>
      <c r="F5034" s="394">
        <v>6.2009999999999996</v>
      </c>
      <c r="G5034" s="394"/>
      <c r="H5034" s="8" t="s">
        <v>235</v>
      </c>
      <c r="I5034" s="368">
        <f t="shared" si="235"/>
        <v>0</v>
      </c>
      <c r="J5034" s="365">
        <f t="shared" si="234"/>
        <v>0</v>
      </c>
      <c r="K5034" s="369">
        <f t="shared" si="236"/>
        <v>6</v>
      </c>
      <c r="L5034" s="369">
        <f>+IF((C5034&gt;='Resultats - informe'!$E$16)*(C5034&lt;='Resultats - informe'!$G$16),1,0)</f>
        <v>1</v>
      </c>
      <c r="M5034" s="369" cm="1">
        <f t="array" ref="M5034">+_xlfn.IFS((C5034&gt;='Resultats - informe'!$D$26)*(C5034&lt;='Resultats - informe'!$E$26),0,(C5034&gt;='Resultats - informe'!$D$27)*(C5034&lt;='Resultats - informe'!$E$27),0,(C5034&gt;='Resultats - informe'!$D$28)*(C5034&lt;='Resultats - informe'!$E$28),0,(C5034&gt;='Resultats - informe'!$D$29)*(C5034&lt;='Resultats - informe'!$E$29),0,1,1)</f>
        <v>0</v>
      </c>
      <c r="N5034" s="366">
        <f>+VLOOKUP(D5034,'Resultats - informe'!$Y$18:$AG$42,'Introducció dades consum'!K5034+1,0)</f>
        <v>0</v>
      </c>
      <c r="O5034" s="370" cm="1">
        <f t="array" ref="O5034">+_xlfn.SWITCH(MONTH(C5034),1,1,2,1,3,1,4,2,5,2,6,3,7,3,8,3,9,3,10,2,11,2,12,1,2)</f>
        <v>1</v>
      </c>
      <c r="P5034" s="43"/>
    </row>
    <row r="5035" spans="1:16" ht="18" x14ac:dyDescent="0.35">
      <c r="A5035" s="9"/>
      <c r="C5035" s="393"/>
      <c r="E5035" s="394"/>
      <c r="F5035" s="394">
        <v>6.4320000000000004</v>
      </c>
      <c r="G5035" s="394"/>
      <c r="H5035" s="8" t="s">
        <v>235</v>
      </c>
      <c r="I5035" s="368">
        <f t="shared" si="235"/>
        <v>0</v>
      </c>
      <c r="J5035" s="365">
        <f t="shared" si="234"/>
        <v>0</v>
      </c>
      <c r="K5035" s="369">
        <f t="shared" si="236"/>
        <v>6</v>
      </c>
      <c r="L5035" s="369">
        <f>+IF((C5035&gt;='Resultats - informe'!$E$16)*(C5035&lt;='Resultats - informe'!$G$16),1,0)</f>
        <v>1</v>
      </c>
      <c r="M5035" s="369" cm="1">
        <f t="array" ref="M5035">+_xlfn.IFS((C5035&gt;='Resultats - informe'!$D$26)*(C5035&lt;='Resultats - informe'!$E$26),0,(C5035&gt;='Resultats - informe'!$D$27)*(C5035&lt;='Resultats - informe'!$E$27),0,(C5035&gt;='Resultats - informe'!$D$28)*(C5035&lt;='Resultats - informe'!$E$28),0,(C5035&gt;='Resultats - informe'!$D$29)*(C5035&lt;='Resultats - informe'!$E$29),0,1,1)</f>
        <v>0</v>
      </c>
      <c r="N5035" s="366">
        <f>+VLOOKUP(D5035,'Resultats - informe'!$Y$18:$AG$42,'Introducció dades consum'!K5035+1,0)</f>
        <v>0</v>
      </c>
      <c r="O5035" s="370" cm="1">
        <f t="array" ref="O5035">+_xlfn.SWITCH(MONTH(C5035),1,1,2,1,3,1,4,2,5,2,6,3,7,3,8,3,9,3,10,2,11,2,12,1,2)</f>
        <v>1</v>
      </c>
      <c r="P5035" s="43"/>
    </row>
    <row r="5036" spans="1:16" ht="18" x14ac:dyDescent="0.35">
      <c r="A5036" s="9"/>
      <c r="C5036" s="393"/>
      <c r="E5036" s="394"/>
      <c r="F5036" s="394">
        <v>3.3540000000000001</v>
      </c>
      <c r="G5036" s="394"/>
      <c r="H5036" s="8" t="s">
        <v>235</v>
      </c>
      <c r="I5036" s="368">
        <f t="shared" si="235"/>
        <v>0</v>
      </c>
      <c r="J5036" s="365">
        <f t="shared" si="234"/>
        <v>0</v>
      </c>
      <c r="K5036" s="369">
        <f t="shared" si="236"/>
        <v>6</v>
      </c>
      <c r="L5036" s="369">
        <f>+IF((C5036&gt;='Resultats - informe'!$E$16)*(C5036&lt;='Resultats - informe'!$G$16),1,0)</f>
        <v>1</v>
      </c>
      <c r="M5036" s="369" cm="1">
        <f t="array" ref="M5036">+_xlfn.IFS((C5036&gt;='Resultats - informe'!$D$26)*(C5036&lt;='Resultats - informe'!$E$26),0,(C5036&gt;='Resultats - informe'!$D$27)*(C5036&lt;='Resultats - informe'!$E$27),0,(C5036&gt;='Resultats - informe'!$D$28)*(C5036&lt;='Resultats - informe'!$E$28),0,(C5036&gt;='Resultats - informe'!$D$29)*(C5036&lt;='Resultats - informe'!$E$29),0,1,1)</f>
        <v>0</v>
      </c>
      <c r="N5036" s="366">
        <f>+VLOOKUP(D5036,'Resultats - informe'!$Y$18:$AG$42,'Introducció dades consum'!K5036+1,0)</f>
        <v>0</v>
      </c>
      <c r="O5036" s="370" cm="1">
        <f t="array" ref="O5036">+_xlfn.SWITCH(MONTH(C5036),1,1,2,1,3,1,4,2,5,2,6,3,7,3,8,3,9,3,10,2,11,2,12,1,2)</f>
        <v>1</v>
      </c>
      <c r="P5036" s="43"/>
    </row>
    <row r="5037" spans="1:16" ht="18" x14ac:dyDescent="0.35">
      <c r="A5037" s="9"/>
      <c r="C5037" s="393"/>
      <c r="E5037" s="394"/>
      <c r="F5037" s="394">
        <v>2.1709999999999998</v>
      </c>
      <c r="G5037" s="394"/>
      <c r="H5037" s="8" t="s">
        <v>235</v>
      </c>
      <c r="I5037" s="368">
        <f t="shared" si="235"/>
        <v>0</v>
      </c>
      <c r="J5037" s="365">
        <f t="shared" si="234"/>
        <v>0</v>
      </c>
      <c r="K5037" s="369">
        <f t="shared" si="236"/>
        <v>6</v>
      </c>
      <c r="L5037" s="369">
        <f>+IF((C5037&gt;='Resultats - informe'!$E$16)*(C5037&lt;='Resultats - informe'!$G$16),1,0)</f>
        <v>1</v>
      </c>
      <c r="M5037" s="369" cm="1">
        <f t="array" ref="M5037">+_xlfn.IFS((C5037&gt;='Resultats - informe'!$D$26)*(C5037&lt;='Resultats - informe'!$E$26),0,(C5037&gt;='Resultats - informe'!$D$27)*(C5037&lt;='Resultats - informe'!$E$27),0,(C5037&gt;='Resultats - informe'!$D$28)*(C5037&lt;='Resultats - informe'!$E$28),0,(C5037&gt;='Resultats - informe'!$D$29)*(C5037&lt;='Resultats - informe'!$E$29),0,1,1)</f>
        <v>0</v>
      </c>
      <c r="N5037" s="366">
        <f>+VLOOKUP(D5037,'Resultats - informe'!$Y$18:$AG$42,'Introducció dades consum'!K5037+1,0)</f>
        <v>0</v>
      </c>
      <c r="O5037" s="370" cm="1">
        <f t="array" ref="O5037">+_xlfn.SWITCH(MONTH(C5037),1,1,2,1,3,1,4,2,5,2,6,3,7,3,8,3,9,3,10,2,11,2,12,1,2)</f>
        <v>1</v>
      </c>
      <c r="P5037" s="43"/>
    </row>
    <row r="5038" spans="1:16" ht="18" x14ac:dyDescent="0.35">
      <c r="A5038" s="9"/>
      <c r="C5038" s="393"/>
      <c r="E5038" s="394"/>
      <c r="F5038" s="394">
        <v>1.508</v>
      </c>
      <c r="G5038" s="394"/>
      <c r="H5038" s="8" t="s">
        <v>235</v>
      </c>
      <c r="I5038" s="368">
        <f t="shared" si="235"/>
        <v>0</v>
      </c>
      <c r="J5038" s="365">
        <f t="shared" si="234"/>
        <v>0</v>
      </c>
      <c r="K5038" s="369">
        <f t="shared" si="236"/>
        <v>6</v>
      </c>
      <c r="L5038" s="369">
        <f>+IF((C5038&gt;='Resultats - informe'!$E$16)*(C5038&lt;='Resultats - informe'!$G$16),1,0)</f>
        <v>1</v>
      </c>
      <c r="M5038" s="369" cm="1">
        <f t="array" ref="M5038">+_xlfn.IFS((C5038&gt;='Resultats - informe'!$D$26)*(C5038&lt;='Resultats - informe'!$E$26),0,(C5038&gt;='Resultats - informe'!$D$27)*(C5038&lt;='Resultats - informe'!$E$27),0,(C5038&gt;='Resultats - informe'!$D$28)*(C5038&lt;='Resultats - informe'!$E$28),0,(C5038&gt;='Resultats - informe'!$D$29)*(C5038&lt;='Resultats - informe'!$E$29),0,1,1)</f>
        <v>0</v>
      </c>
      <c r="N5038" s="366">
        <f>+VLOOKUP(D5038,'Resultats - informe'!$Y$18:$AG$42,'Introducció dades consum'!K5038+1,0)</f>
        <v>0</v>
      </c>
      <c r="O5038" s="370" cm="1">
        <f t="array" ref="O5038">+_xlfn.SWITCH(MONTH(C5038),1,1,2,1,3,1,4,2,5,2,6,3,7,3,8,3,9,3,10,2,11,2,12,1,2)</f>
        <v>1</v>
      </c>
      <c r="P5038" s="43"/>
    </row>
    <row r="5039" spans="1:16" ht="18" x14ac:dyDescent="0.35">
      <c r="A5039" s="9"/>
      <c r="C5039" s="393"/>
      <c r="E5039" s="394"/>
      <c r="F5039" s="394">
        <v>0.93500000000000005</v>
      </c>
      <c r="G5039" s="394"/>
      <c r="H5039" s="8" t="s">
        <v>235</v>
      </c>
      <c r="I5039" s="368">
        <f t="shared" si="235"/>
        <v>0</v>
      </c>
      <c r="J5039" s="365">
        <f t="shared" si="234"/>
        <v>0</v>
      </c>
      <c r="K5039" s="369">
        <f t="shared" si="236"/>
        <v>6</v>
      </c>
      <c r="L5039" s="369">
        <f>+IF((C5039&gt;='Resultats - informe'!$E$16)*(C5039&lt;='Resultats - informe'!$G$16),1,0)</f>
        <v>1</v>
      </c>
      <c r="M5039" s="369" cm="1">
        <f t="array" ref="M5039">+_xlfn.IFS((C5039&gt;='Resultats - informe'!$D$26)*(C5039&lt;='Resultats - informe'!$E$26),0,(C5039&gt;='Resultats - informe'!$D$27)*(C5039&lt;='Resultats - informe'!$E$27),0,(C5039&gt;='Resultats - informe'!$D$28)*(C5039&lt;='Resultats - informe'!$E$28),0,(C5039&gt;='Resultats - informe'!$D$29)*(C5039&lt;='Resultats - informe'!$E$29),0,1,1)</f>
        <v>0</v>
      </c>
      <c r="N5039" s="366">
        <f>+VLOOKUP(D5039,'Resultats - informe'!$Y$18:$AG$42,'Introducció dades consum'!K5039+1,0)</f>
        <v>0</v>
      </c>
      <c r="O5039" s="370" cm="1">
        <f t="array" ref="O5039">+_xlfn.SWITCH(MONTH(C5039),1,1,2,1,3,1,4,2,5,2,6,3,7,3,8,3,9,3,10,2,11,2,12,1,2)</f>
        <v>1</v>
      </c>
      <c r="P5039" s="43"/>
    </row>
    <row r="5040" spans="1:16" ht="18" x14ac:dyDescent="0.35">
      <c r="A5040" s="9"/>
      <c r="C5040" s="393"/>
      <c r="E5040" s="394"/>
      <c r="F5040" s="394">
        <v>0</v>
      </c>
      <c r="G5040" s="394"/>
      <c r="H5040" s="8" t="s">
        <v>235</v>
      </c>
      <c r="I5040" s="368">
        <f t="shared" si="235"/>
        <v>0</v>
      </c>
      <c r="J5040" s="365">
        <f t="shared" si="234"/>
        <v>0</v>
      </c>
      <c r="K5040" s="369">
        <f t="shared" si="236"/>
        <v>6</v>
      </c>
      <c r="L5040" s="369">
        <f>+IF((C5040&gt;='Resultats - informe'!$E$16)*(C5040&lt;='Resultats - informe'!$G$16),1,0)</f>
        <v>1</v>
      </c>
      <c r="M5040" s="369" cm="1">
        <f t="array" ref="M5040">+_xlfn.IFS((C5040&gt;='Resultats - informe'!$D$26)*(C5040&lt;='Resultats - informe'!$E$26),0,(C5040&gt;='Resultats - informe'!$D$27)*(C5040&lt;='Resultats - informe'!$E$27),0,(C5040&gt;='Resultats - informe'!$D$28)*(C5040&lt;='Resultats - informe'!$E$28),0,(C5040&gt;='Resultats - informe'!$D$29)*(C5040&lt;='Resultats - informe'!$E$29),0,1,1)</f>
        <v>0</v>
      </c>
      <c r="N5040" s="366">
        <f>+VLOOKUP(D5040,'Resultats - informe'!$Y$18:$AG$42,'Introducció dades consum'!K5040+1,0)</f>
        <v>0</v>
      </c>
      <c r="O5040" s="370" cm="1">
        <f t="array" ref="O5040">+_xlfn.SWITCH(MONTH(C5040),1,1,2,1,3,1,4,2,5,2,6,3,7,3,8,3,9,3,10,2,11,2,12,1,2)</f>
        <v>1</v>
      </c>
      <c r="P5040" s="43"/>
    </row>
    <row r="5041" spans="1:16" ht="18" x14ac:dyDescent="0.35">
      <c r="A5041" s="9"/>
      <c r="C5041" s="393"/>
      <c r="E5041" s="394"/>
      <c r="F5041" s="394">
        <v>0</v>
      </c>
      <c r="G5041" s="394"/>
      <c r="H5041" s="8" t="s">
        <v>235</v>
      </c>
      <c r="I5041" s="368">
        <f t="shared" si="235"/>
        <v>0</v>
      </c>
      <c r="J5041" s="365">
        <f t="shared" si="234"/>
        <v>0</v>
      </c>
      <c r="K5041" s="369">
        <f t="shared" si="236"/>
        <v>6</v>
      </c>
      <c r="L5041" s="369">
        <f>+IF((C5041&gt;='Resultats - informe'!$E$16)*(C5041&lt;='Resultats - informe'!$G$16),1,0)</f>
        <v>1</v>
      </c>
      <c r="M5041" s="369" cm="1">
        <f t="array" ref="M5041">+_xlfn.IFS((C5041&gt;='Resultats - informe'!$D$26)*(C5041&lt;='Resultats - informe'!$E$26),0,(C5041&gt;='Resultats - informe'!$D$27)*(C5041&lt;='Resultats - informe'!$E$27),0,(C5041&gt;='Resultats - informe'!$D$28)*(C5041&lt;='Resultats - informe'!$E$28),0,(C5041&gt;='Resultats - informe'!$D$29)*(C5041&lt;='Resultats - informe'!$E$29),0,1,1)</f>
        <v>0</v>
      </c>
      <c r="N5041" s="366">
        <f>+VLOOKUP(D5041,'Resultats - informe'!$Y$18:$AG$42,'Introducció dades consum'!K5041+1,0)</f>
        <v>0</v>
      </c>
      <c r="O5041" s="370" cm="1">
        <f t="array" ref="O5041">+_xlfn.SWITCH(MONTH(C5041),1,1,2,1,3,1,4,2,5,2,6,3,7,3,8,3,9,3,10,2,11,2,12,1,2)</f>
        <v>1</v>
      </c>
      <c r="P5041" s="43"/>
    </row>
    <row r="5042" spans="1:16" ht="18" x14ac:dyDescent="0.35">
      <c r="A5042" s="9"/>
      <c r="C5042" s="393"/>
      <c r="E5042" s="394"/>
      <c r="F5042" s="394">
        <v>0</v>
      </c>
      <c r="G5042" s="394"/>
      <c r="H5042" s="8" t="s">
        <v>235</v>
      </c>
      <c r="I5042" s="368">
        <f t="shared" si="235"/>
        <v>0</v>
      </c>
      <c r="J5042" s="365">
        <f t="shared" si="234"/>
        <v>0</v>
      </c>
      <c r="K5042" s="369">
        <f t="shared" si="236"/>
        <v>6</v>
      </c>
      <c r="L5042" s="369">
        <f>+IF((C5042&gt;='Resultats - informe'!$E$16)*(C5042&lt;='Resultats - informe'!$G$16),1,0)</f>
        <v>1</v>
      </c>
      <c r="M5042" s="369" cm="1">
        <f t="array" ref="M5042">+_xlfn.IFS((C5042&gt;='Resultats - informe'!$D$26)*(C5042&lt;='Resultats - informe'!$E$26),0,(C5042&gt;='Resultats - informe'!$D$27)*(C5042&lt;='Resultats - informe'!$E$27),0,(C5042&gt;='Resultats - informe'!$D$28)*(C5042&lt;='Resultats - informe'!$E$28),0,(C5042&gt;='Resultats - informe'!$D$29)*(C5042&lt;='Resultats - informe'!$E$29),0,1,1)</f>
        <v>0</v>
      </c>
      <c r="N5042" s="366">
        <f>+VLOOKUP(D5042,'Resultats - informe'!$Y$18:$AG$42,'Introducció dades consum'!K5042+1,0)</f>
        <v>0</v>
      </c>
      <c r="O5042" s="370" cm="1">
        <f t="array" ref="O5042">+_xlfn.SWITCH(MONTH(C5042),1,1,2,1,3,1,4,2,5,2,6,3,7,3,8,3,9,3,10,2,11,2,12,1,2)</f>
        <v>1</v>
      </c>
      <c r="P5042" s="43"/>
    </row>
    <row r="5043" spans="1:16" ht="18" x14ac:dyDescent="0.35">
      <c r="A5043" s="9"/>
      <c r="C5043" s="393"/>
      <c r="E5043" s="394"/>
      <c r="F5043" s="394">
        <v>0</v>
      </c>
      <c r="G5043" s="394"/>
      <c r="H5043" s="8" t="s">
        <v>235</v>
      </c>
      <c r="I5043" s="368">
        <f t="shared" si="235"/>
        <v>0</v>
      </c>
      <c r="J5043" s="365">
        <f t="shared" si="234"/>
        <v>0</v>
      </c>
      <c r="K5043" s="369">
        <f t="shared" si="236"/>
        <v>6</v>
      </c>
      <c r="L5043" s="369">
        <f>+IF((C5043&gt;='Resultats - informe'!$E$16)*(C5043&lt;='Resultats - informe'!$G$16),1,0)</f>
        <v>1</v>
      </c>
      <c r="M5043" s="369" cm="1">
        <f t="array" ref="M5043">+_xlfn.IFS((C5043&gt;='Resultats - informe'!$D$26)*(C5043&lt;='Resultats - informe'!$E$26),0,(C5043&gt;='Resultats - informe'!$D$27)*(C5043&lt;='Resultats - informe'!$E$27),0,(C5043&gt;='Resultats - informe'!$D$28)*(C5043&lt;='Resultats - informe'!$E$28),0,(C5043&gt;='Resultats - informe'!$D$29)*(C5043&lt;='Resultats - informe'!$E$29),0,1,1)</f>
        <v>0</v>
      </c>
      <c r="N5043" s="366">
        <f>+VLOOKUP(D5043,'Resultats - informe'!$Y$18:$AG$42,'Introducció dades consum'!K5043+1,0)</f>
        <v>0</v>
      </c>
      <c r="O5043" s="370" cm="1">
        <f t="array" ref="O5043">+_xlfn.SWITCH(MONTH(C5043),1,1,2,1,3,1,4,2,5,2,6,3,7,3,8,3,9,3,10,2,11,2,12,1,2)</f>
        <v>1</v>
      </c>
      <c r="P5043" s="43"/>
    </row>
    <row r="5044" spans="1:16" ht="18" x14ac:dyDescent="0.35">
      <c r="A5044" s="9"/>
      <c r="C5044" s="393"/>
      <c r="E5044" s="394"/>
      <c r="F5044" s="394">
        <v>0</v>
      </c>
      <c r="G5044" s="394"/>
      <c r="H5044" s="8" t="s">
        <v>235</v>
      </c>
      <c r="I5044" s="368">
        <f t="shared" si="235"/>
        <v>0</v>
      </c>
      <c r="J5044" s="365">
        <f t="shared" si="234"/>
        <v>0</v>
      </c>
      <c r="K5044" s="369">
        <f t="shared" si="236"/>
        <v>6</v>
      </c>
      <c r="L5044" s="369">
        <f>+IF((C5044&gt;='Resultats - informe'!$E$16)*(C5044&lt;='Resultats - informe'!$G$16),1,0)</f>
        <v>1</v>
      </c>
      <c r="M5044" s="369" cm="1">
        <f t="array" ref="M5044">+_xlfn.IFS((C5044&gt;='Resultats - informe'!$D$26)*(C5044&lt;='Resultats - informe'!$E$26),0,(C5044&gt;='Resultats - informe'!$D$27)*(C5044&lt;='Resultats - informe'!$E$27),0,(C5044&gt;='Resultats - informe'!$D$28)*(C5044&lt;='Resultats - informe'!$E$28),0,(C5044&gt;='Resultats - informe'!$D$29)*(C5044&lt;='Resultats - informe'!$E$29),0,1,1)</f>
        <v>0</v>
      </c>
      <c r="N5044" s="366">
        <f>+VLOOKUP(D5044,'Resultats - informe'!$Y$18:$AG$42,'Introducció dades consum'!K5044+1,0)</f>
        <v>0</v>
      </c>
      <c r="O5044" s="370" cm="1">
        <f t="array" ref="O5044">+_xlfn.SWITCH(MONTH(C5044),1,1,2,1,3,1,4,2,5,2,6,3,7,3,8,3,9,3,10,2,11,2,12,1,2)</f>
        <v>1</v>
      </c>
      <c r="P5044" s="43"/>
    </row>
    <row r="5045" spans="1:16" ht="18" x14ac:dyDescent="0.35">
      <c r="A5045" s="9"/>
      <c r="C5045" s="393"/>
      <c r="E5045" s="394"/>
      <c r="F5045" s="394">
        <v>0</v>
      </c>
      <c r="G5045" s="394"/>
      <c r="H5045" s="8" t="s">
        <v>235</v>
      </c>
      <c r="I5045" s="368">
        <f t="shared" si="235"/>
        <v>0</v>
      </c>
      <c r="J5045" s="365">
        <f t="shared" si="234"/>
        <v>0</v>
      </c>
      <c r="K5045" s="369">
        <f t="shared" si="236"/>
        <v>6</v>
      </c>
      <c r="L5045" s="369">
        <f>+IF((C5045&gt;='Resultats - informe'!$E$16)*(C5045&lt;='Resultats - informe'!$G$16),1,0)</f>
        <v>1</v>
      </c>
      <c r="M5045" s="369" cm="1">
        <f t="array" ref="M5045">+_xlfn.IFS((C5045&gt;='Resultats - informe'!$D$26)*(C5045&lt;='Resultats - informe'!$E$26),0,(C5045&gt;='Resultats - informe'!$D$27)*(C5045&lt;='Resultats - informe'!$E$27),0,(C5045&gt;='Resultats - informe'!$D$28)*(C5045&lt;='Resultats - informe'!$E$28),0,(C5045&gt;='Resultats - informe'!$D$29)*(C5045&lt;='Resultats - informe'!$E$29),0,1,1)</f>
        <v>0</v>
      </c>
      <c r="N5045" s="366">
        <f>+VLOOKUP(D5045,'Resultats - informe'!$Y$18:$AG$42,'Introducció dades consum'!K5045+1,0)</f>
        <v>0</v>
      </c>
      <c r="O5045" s="370" cm="1">
        <f t="array" ref="O5045">+_xlfn.SWITCH(MONTH(C5045),1,1,2,1,3,1,4,2,5,2,6,3,7,3,8,3,9,3,10,2,11,2,12,1,2)</f>
        <v>1</v>
      </c>
      <c r="P5045" s="43"/>
    </row>
    <row r="5046" spans="1:16" ht="18" x14ac:dyDescent="0.35">
      <c r="A5046" s="9"/>
      <c r="C5046" s="393"/>
      <c r="E5046" s="394"/>
      <c r="F5046" s="394">
        <v>0</v>
      </c>
      <c r="G5046" s="394"/>
      <c r="H5046" s="8" t="s">
        <v>235</v>
      </c>
      <c r="I5046" s="368">
        <f t="shared" si="235"/>
        <v>0</v>
      </c>
      <c r="J5046" s="365">
        <f t="shared" si="234"/>
        <v>0</v>
      </c>
      <c r="K5046" s="369">
        <f t="shared" si="236"/>
        <v>6</v>
      </c>
      <c r="L5046" s="369">
        <f>+IF((C5046&gt;='Resultats - informe'!$E$16)*(C5046&lt;='Resultats - informe'!$G$16),1,0)</f>
        <v>1</v>
      </c>
      <c r="M5046" s="369" cm="1">
        <f t="array" ref="M5046">+_xlfn.IFS((C5046&gt;='Resultats - informe'!$D$26)*(C5046&lt;='Resultats - informe'!$E$26),0,(C5046&gt;='Resultats - informe'!$D$27)*(C5046&lt;='Resultats - informe'!$E$27),0,(C5046&gt;='Resultats - informe'!$D$28)*(C5046&lt;='Resultats - informe'!$E$28),0,(C5046&gt;='Resultats - informe'!$D$29)*(C5046&lt;='Resultats - informe'!$E$29),0,1,1)</f>
        <v>0</v>
      </c>
      <c r="N5046" s="366">
        <f>+VLOOKUP(D5046,'Resultats - informe'!$Y$18:$AG$42,'Introducció dades consum'!K5046+1,0)</f>
        <v>0</v>
      </c>
      <c r="O5046" s="370" cm="1">
        <f t="array" ref="O5046">+_xlfn.SWITCH(MONTH(C5046),1,1,2,1,3,1,4,2,5,2,6,3,7,3,8,3,9,3,10,2,11,2,12,1,2)</f>
        <v>1</v>
      </c>
      <c r="P5046" s="43"/>
    </row>
    <row r="5047" spans="1:16" ht="18" x14ac:dyDescent="0.35">
      <c r="A5047" s="9"/>
      <c r="C5047" s="393"/>
      <c r="E5047" s="394"/>
      <c r="F5047" s="394">
        <v>0</v>
      </c>
      <c r="G5047" s="394"/>
      <c r="H5047" s="8" t="s">
        <v>235</v>
      </c>
      <c r="I5047" s="368">
        <f t="shared" si="235"/>
        <v>0</v>
      </c>
      <c r="J5047" s="365">
        <f t="shared" si="234"/>
        <v>0</v>
      </c>
      <c r="K5047" s="369">
        <f t="shared" si="236"/>
        <v>6</v>
      </c>
      <c r="L5047" s="369">
        <f>+IF((C5047&gt;='Resultats - informe'!$E$16)*(C5047&lt;='Resultats - informe'!$G$16),1,0)</f>
        <v>1</v>
      </c>
      <c r="M5047" s="369" cm="1">
        <f t="array" ref="M5047">+_xlfn.IFS((C5047&gt;='Resultats - informe'!$D$26)*(C5047&lt;='Resultats - informe'!$E$26),0,(C5047&gt;='Resultats - informe'!$D$27)*(C5047&lt;='Resultats - informe'!$E$27),0,(C5047&gt;='Resultats - informe'!$D$28)*(C5047&lt;='Resultats - informe'!$E$28),0,(C5047&gt;='Resultats - informe'!$D$29)*(C5047&lt;='Resultats - informe'!$E$29),0,1,1)</f>
        <v>0</v>
      </c>
      <c r="N5047" s="366">
        <f>+VLOOKUP(D5047,'Resultats - informe'!$Y$18:$AG$42,'Introducció dades consum'!K5047+1,0)</f>
        <v>0</v>
      </c>
      <c r="O5047" s="370" cm="1">
        <f t="array" ref="O5047">+_xlfn.SWITCH(MONTH(C5047),1,1,2,1,3,1,4,2,5,2,6,3,7,3,8,3,9,3,10,2,11,2,12,1,2)</f>
        <v>1</v>
      </c>
      <c r="P5047" s="43"/>
    </row>
    <row r="5048" spans="1:16" ht="18" x14ac:dyDescent="0.35">
      <c r="A5048" s="9"/>
      <c r="C5048" s="393"/>
      <c r="E5048" s="394"/>
      <c r="F5048" s="394">
        <v>0</v>
      </c>
      <c r="G5048" s="394"/>
      <c r="H5048" s="8" t="s">
        <v>235</v>
      </c>
      <c r="I5048" s="368">
        <f t="shared" si="235"/>
        <v>0</v>
      </c>
      <c r="J5048" s="365">
        <f t="shared" si="234"/>
        <v>0</v>
      </c>
      <c r="K5048" s="369">
        <f t="shared" si="236"/>
        <v>6</v>
      </c>
      <c r="L5048" s="369">
        <f>+IF((C5048&gt;='Resultats - informe'!$E$16)*(C5048&lt;='Resultats - informe'!$G$16),1,0)</f>
        <v>1</v>
      </c>
      <c r="M5048" s="369" cm="1">
        <f t="array" ref="M5048">+_xlfn.IFS((C5048&gt;='Resultats - informe'!$D$26)*(C5048&lt;='Resultats - informe'!$E$26),0,(C5048&gt;='Resultats - informe'!$D$27)*(C5048&lt;='Resultats - informe'!$E$27),0,(C5048&gt;='Resultats - informe'!$D$28)*(C5048&lt;='Resultats - informe'!$E$28),0,(C5048&gt;='Resultats - informe'!$D$29)*(C5048&lt;='Resultats - informe'!$E$29),0,1,1)</f>
        <v>0</v>
      </c>
      <c r="N5048" s="366">
        <f>+VLOOKUP(D5048,'Resultats - informe'!$Y$18:$AG$42,'Introducció dades consum'!K5048+1,0)</f>
        <v>0</v>
      </c>
      <c r="O5048" s="370" cm="1">
        <f t="array" ref="O5048">+_xlfn.SWITCH(MONTH(C5048),1,1,2,1,3,1,4,2,5,2,6,3,7,3,8,3,9,3,10,2,11,2,12,1,2)</f>
        <v>1</v>
      </c>
      <c r="P5048" s="43"/>
    </row>
    <row r="5049" spans="1:16" ht="18" x14ac:dyDescent="0.35">
      <c r="A5049" s="9"/>
      <c r="C5049" s="393"/>
      <c r="E5049" s="394"/>
      <c r="F5049" s="394">
        <v>0</v>
      </c>
      <c r="G5049" s="394"/>
      <c r="H5049" s="8" t="s">
        <v>235</v>
      </c>
      <c r="I5049" s="368">
        <f t="shared" si="235"/>
        <v>0</v>
      </c>
      <c r="J5049" s="365">
        <f t="shared" si="234"/>
        <v>0</v>
      </c>
      <c r="K5049" s="369">
        <f t="shared" si="236"/>
        <v>6</v>
      </c>
      <c r="L5049" s="369">
        <f>+IF((C5049&gt;='Resultats - informe'!$E$16)*(C5049&lt;='Resultats - informe'!$G$16),1,0)</f>
        <v>1</v>
      </c>
      <c r="M5049" s="369" cm="1">
        <f t="array" ref="M5049">+_xlfn.IFS((C5049&gt;='Resultats - informe'!$D$26)*(C5049&lt;='Resultats - informe'!$E$26),0,(C5049&gt;='Resultats - informe'!$D$27)*(C5049&lt;='Resultats - informe'!$E$27),0,(C5049&gt;='Resultats - informe'!$D$28)*(C5049&lt;='Resultats - informe'!$E$28),0,(C5049&gt;='Resultats - informe'!$D$29)*(C5049&lt;='Resultats - informe'!$E$29),0,1,1)</f>
        <v>0</v>
      </c>
      <c r="N5049" s="366">
        <f>+VLOOKUP(D5049,'Resultats - informe'!$Y$18:$AG$42,'Introducció dades consum'!K5049+1,0)</f>
        <v>0</v>
      </c>
      <c r="O5049" s="370" cm="1">
        <f t="array" ref="O5049">+_xlfn.SWITCH(MONTH(C5049),1,1,2,1,3,1,4,2,5,2,6,3,7,3,8,3,9,3,10,2,11,2,12,1,2)</f>
        <v>1</v>
      </c>
      <c r="P5049" s="43"/>
    </row>
    <row r="5050" spans="1:16" ht="18" x14ac:dyDescent="0.35">
      <c r="A5050" s="9"/>
      <c r="C5050" s="393"/>
      <c r="E5050" s="394"/>
      <c r="F5050" s="394">
        <v>0</v>
      </c>
      <c r="G5050" s="394"/>
      <c r="H5050" s="8" t="s">
        <v>235</v>
      </c>
      <c r="I5050" s="368">
        <f t="shared" si="235"/>
        <v>0</v>
      </c>
      <c r="J5050" s="365">
        <f t="shared" si="234"/>
        <v>0</v>
      </c>
      <c r="K5050" s="369">
        <f t="shared" si="236"/>
        <v>6</v>
      </c>
      <c r="L5050" s="369">
        <f>+IF((C5050&gt;='Resultats - informe'!$E$16)*(C5050&lt;='Resultats - informe'!$G$16),1,0)</f>
        <v>1</v>
      </c>
      <c r="M5050" s="369" cm="1">
        <f t="array" ref="M5050">+_xlfn.IFS((C5050&gt;='Resultats - informe'!$D$26)*(C5050&lt;='Resultats - informe'!$E$26),0,(C5050&gt;='Resultats - informe'!$D$27)*(C5050&lt;='Resultats - informe'!$E$27),0,(C5050&gt;='Resultats - informe'!$D$28)*(C5050&lt;='Resultats - informe'!$E$28),0,(C5050&gt;='Resultats - informe'!$D$29)*(C5050&lt;='Resultats - informe'!$E$29),0,1,1)</f>
        <v>0</v>
      </c>
      <c r="N5050" s="366">
        <f>+VLOOKUP(D5050,'Resultats - informe'!$Y$18:$AG$42,'Introducció dades consum'!K5050+1,0)</f>
        <v>0</v>
      </c>
      <c r="O5050" s="370" cm="1">
        <f t="array" ref="O5050">+_xlfn.SWITCH(MONTH(C5050),1,1,2,1,3,1,4,2,5,2,6,3,7,3,8,3,9,3,10,2,11,2,12,1,2)</f>
        <v>1</v>
      </c>
      <c r="P5050" s="43"/>
    </row>
    <row r="5051" spans="1:16" ht="18" x14ac:dyDescent="0.35">
      <c r="A5051" s="9"/>
      <c r="C5051" s="393"/>
      <c r="E5051" s="394"/>
      <c r="F5051" s="394">
        <v>0</v>
      </c>
      <c r="G5051" s="394"/>
      <c r="H5051" s="8" t="s">
        <v>235</v>
      </c>
      <c r="I5051" s="368">
        <f t="shared" si="235"/>
        <v>0</v>
      </c>
      <c r="J5051" s="365">
        <f t="shared" ref="J5051:J5114" si="237">+C5051</f>
        <v>0</v>
      </c>
      <c r="K5051" s="369">
        <f t="shared" si="236"/>
        <v>6</v>
      </c>
      <c r="L5051" s="369">
        <f>+IF((C5051&gt;='Resultats - informe'!$E$16)*(C5051&lt;='Resultats - informe'!$G$16),1,0)</f>
        <v>1</v>
      </c>
      <c r="M5051" s="369" cm="1">
        <f t="array" ref="M5051">+_xlfn.IFS((C5051&gt;='Resultats - informe'!$D$26)*(C5051&lt;='Resultats - informe'!$E$26),0,(C5051&gt;='Resultats - informe'!$D$27)*(C5051&lt;='Resultats - informe'!$E$27),0,(C5051&gt;='Resultats - informe'!$D$28)*(C5051&lt;='Resultats - informe'!$E$28),0,(C5051&gt;='Resultats - informe'!$D$29)*(C5051&lt;='Resultats - informe'!$E$29),0,1,1)</f>
        <v>0</v>
      </c>
      <c r="N5051" s="366">
        <f>+VLOOKUP(D5051,'Resultats - informe'!$Y$18:$AG$42,'Introducció dades consum'!K5051+1,0)</f>
        <v>0</v>
      </c>
      <c r="O5051" s="370" cm="1">
        <f t="array" ref="O5051">+_xlfn.SWITCH(MONTH(C5051),1,1,2,1,3,1,4,2,5,2,6,3,7,3,8,3,9,3,10,2,11,2,12,1,2)</f>
        <v>1</v>
      </c>
      <c r="P5051" s="43"/>
    </row>
    <row r="5052" spans="1:16" ht="18" x14ac:dyDescent="0.35">
      <c r="A5052" s="9"/>
      <c r="C5052" s="393"/>
      <c r="E5052" s="394"/>
      <c r="F5052" s="394">
        <v>0</v>
      </c>
      <c r="G5052" s="394"/>
      <c r="H5052" s="8" t="s">
        <v>235</v>
      </c>
      <c r="I5052" s="368">
        <f t="shared" si="235"/>
        <v>0</v>
      </c>
      <c r="J5052" s="365">
        <f t="shared" si="237"/>
        <v>0</v>
      </c>
      <c r="K5052" s="369">
        <f t="shared" si="236"/>
        <v>6</v>
      </c>
      <c r="L5052" s="369">
        <f>+IF((C5052&gt;='Resultats - informe'!$E$16)*(C5052&lt;='Resultats - informe'!$G$16),1,0)</f>
        <v>1</v>
      </c>
      <c r="M5052" s="369" cm="1">
        <f t="array" ref="M5052">+_xlfn.IFS((C5052&gt;='Resultats - informe'!$D$26)*(C5052&lt;='Resultats - informe'!$E$26),0,(C5052&gt;='Resultats - informe'!$D$27)*(C5052&lt;='Resultats - informe'!$E$27),0,(C5052&gt;='Resultats - informe'!$D$28)*(C5052&lt;='Resultats - informe'!$E$28),0,(C5052&gt;='Resultats - informe'!$D$29)*(C5052&lt;='Resultats - informe'!$E$29),0,1,1)</f>
        <v>0</v>
      </c>
      <c r="N5052" s="366">
        <f>+VLOOKUP(D5052,'Resultats - informe'!$Y$18:$AG$42,'Introducció dades consum'!K5052+1,0)</f>
        <v>0</v>
      </c>
      <c r="O5052" s="370" cm="1">
        <f t="array" ref="O5052">+_xlfn.SWITCH(MONTH(C5052),1,1,2,1,3,1,4,2,5,2,6,3,7,3,8,3,9,3,10,2,11,2,12,1,2)</f>
        <v>1</v>
      </c>
      <c r="P5052" s="43"/>
    </row>
    <row r="5053" spans="1:16" ht="18" x14ac:dyDescent="0.35">
      <c r="A5053" s="9"/>
      <c r="C5053" s="393"/>
      <c r="E5053" s="394"/>
      <c r="F5053" s="394">
        <v>1.089</v>
      </c>
      <c r="G5053" s="394"/>
      <c r="H5053" s="8" t="s">
        <v>235</v>
      </c>
      <c r="I5053" s="368">
        <f t="shared" si="235"/>
        <v>0</v>
      </c>
      <c r="J5053" s="365">
        <f t="shared" si="237"/>
        <v>0</v>
      </c>
      <c r="K5053" s="369">
        <f t="shared" si="236"/>
        <v>6</v>
      </c>
      <c r="L5053" s="369">
        <f>+IF((C5053&gt;='Resultats - informe'!$E$16)*(C5053&lt;='Resultats - informe'!$G$16),1,0)</f>
        <v>1</v>
      </c>
      <c r="M5053" s="369" cm="1">
        <f t="array" ref="M5053">+_xlfn.IFS((C5053&gt;='Resultats - informe'!$D$26)*(C5053&lt;='Resultats - informe'!$E$26),0,(C5053&gt;='Resultats - informe'!$D$27)*(C5053&lt;='Resultats - informe'!$E$27),0,(C5053&gt;='Resultats - informe'!$D$28)*(C5053&lt;='Resultats - informe'!$E$28),0,(C5053&gt;='Resultats - informe'!$D$29)*(C5053&lt;='Resultats - informe'!$E$29),0,1,1)</f>
        <v>0</v>
      </c>
      <c r="N5053" s="366">
        <f>+VLOOKUP(D5053,'Resultats - informe'!$Y$18:$AG$42,'Introducció dades consum'!K5053+1,0)</f>
        <v>0</v>
      </c>
      <c r="O5053" s="370" cm="1">
        <f t="array" ref="O5053">+_xlfn.SWITCH(MONTH(C5053),1,1,2,1,3,1,4,2,5,2,6,3,7,3,8,3,9,3,10,2,11,2,12,1,2)</f>
        <v>1</v>
      </c>
      <c r="P5053" s="43"/>
    </row>
    <row r="5054" spans="1:16" ht="18" x14ac:dyDescent="0.35">
      <c r="A5054" s="9"/>
      <c r="C5054" s="393"/>
      <c r="E5054" s="394"/>
      <c r="F5054" s="394">
        <v>3.1230000000000002</v>
      </c>
      <c r="G5054" s="394"/>
      <c r="H5054" s="8" t="s">
        <v>235</v>
      </c>
      <c r="I5054" s="368">
        <f t="shared" si="235"/>
        <v>0</v>
      </c>
      <c r="J5054" s="365">
        <f t="shared" si="237"/>
        <v>0</v>
      </c>
      <c r="K5054" s="369">
        <f t="shared" si="236"/>
        <v>6</v>
      </c>
      <c r="L5054" s="369">
        <f>+IF((C5054&gt;='Resultats - informe'!$E$16)*(C5054&lt;='Resultats - informe'!$G$16),1,0)</f>
        <v>1</v>
      </c>
      <c r="M5054" s="369" cm="1">
        <f t="array" ref="M5054">+_xlfn.IFS((C5054&gt;='Resultats - informe'!$D$26)*(C5054&lt;='Resultats - informe'!$E$26),0,(C5054&gt;='Resultats - informe'!$D$27)*(C5054&lt;='Resultats - informe'!$E$27),0,(C5054&gt;='Resultats - informe'!$D$28)*(C5054&lt;='Resultats - informe'!$E$28),0,(C5054&gt;='Resultats - informe'!$D$29)*(C5054&lt;='Resultats - informe'!$E$29),0,1,1)</f>
        <v>0</v>
      </c>
      <c r="N5054" s="366">
        <f>+VLOOKUP(D5054,'Resultats - informe'!$Y$18:$AG$42,'Introducció dades consum'!K5054+1,0)</f>
        <v>0</v>
      </c>
      <c r="O5054" s="370" cm="1">
        <f t="array" ref="O5054">+_xlfn.SWITCH(MONTH(C5054),1,1,2,1,3,1,4,2,5,2,6,3,7,3,8,3,9,3,10,2,11,2,12,1,2)</f>
        <v>1</v>
      </c>
      <c r="P5054" s="43"/>
    </row>
    <row r="5055" spans="1:16" ht="18" x14ac:dyDescent="0.35">
      <c r="A5055" s="9"/>
      <c r="C5055" s="393"/>
      <c r="E5055" s="394"/>
      <c r="F5055" s="394">
        <v>4.4480000000000004</v>
      </c>
      <c r="G5055" s="394"/>
      <c r="H5055" s="8" t="s">
        <v>235</v>
      </c>
      <c r="I5055" s="368">
        <f t="shared" si="235"/>
        <v>0</v>
      </c>
      <c r="J5055" s="365">
        <f t="shared" si="237"/>
        <v>0</v>
      </c>
      <c r="K5055" s="369">
        <f t="shared" si="236"/>
        <v>6</v>
      </c>
      <c r="L5055" s="369">
        <f>+IF((C5055&gt;='Resultats - informe'!$E$16)*(C5055&lt;='Resultats - informe'!$G$16),1,0)</f>
        <v>1</v>
      </c>
      <c r="M5055" s="369" cm="1">
        <f t="array" ref="M5055">+_xlfn.IFS((C5055&gt;='Resultats - informe'!$D$26)*(C5055&lt;='Resultats - informe'!$E$26),0,(C5055&gt;='Resultats - informe'!$D$27)*(C5055&lt;='Resultats - informe'!$E$27),0,(C5055&gt;='Resultats - informe'!$D$28)*(C5055&lt;='Resultats - informe'!$E$28),0,(C5055&gt;='Resultats - informe'!$D$29)*(C5055&lt;='Resultats - informe'!$E$29),0,1,1)</f>
        <v>0</v>
      </c>
      <c r="N5055" s="366">
        <f>+VLOOKUP(D5055,'Resultats - informe'!$Y$18:$AG$42,'Introducció dades consum'!K5055+1,0)</f>
        <v>0</v>
      </c>
      <c r="O5055" s="370" cm="1">
        <f t="array" ref="O5055">+_xlfn.SWITCH(MONTH(C5055),1,1,2,1,3,1,4,2,5,2,6,3,7,3,8,3,9,3,10,2,11,2,12,1,2)</f>
        <v>1</v>
      </c>
      <c r="P5055" s="43"/>
    </row>
    <row r="5056" spans="1:16" ht="18" x14ac:dyDescent="0.35">
      <c r="A5056" s="9"/>
      <c r="C5056" s="393"/>
      <c r="E5056" s="394"/>
      <c r="F5056" s="394">
        <v>5.5259999999999998</v>
      </c>
      <c r="G5056" s="394"/>
      <c r="H5056" s="8" t="s">
        <v>235</v>
      </c>
      <c r="I5056" s="368">
        <f t="shared" si="235"/>
        <v>0</v>
      </c>
      <c r="J5056" s="365">
        <f t="shared" si="237"/>
        <v>0</v>
      </c>
      <c r="K5056" s="369">
        <f t="shared" si="236"/>
        <v>6</v>
      </c>
      <c r="L5056" s="369">
        <f>+IF((C5056&gt;='Resultats - informe'!$E$16)*(C5056&lt;='Resultats - informe'!$G$16),1,0)</f>
        <v>1</v>
      </c>
      <c r="M5056" s="369" cm="1">
        <f t="array" ref="M5056">+_xlfn.IFS((C5056&gt;='Resultats - informe'!$D$26)*(C5056&lt;='Resultats - informe'!$E$26),0,(C5056&gt;='Resultats - informe'!$D$27)*(C5056&lt;='Resultats - informe'!$E$27),0,(C5056&gt;='Resultats - informe'!$D$28)*(C5056&lt;='Resultats - informe'!$E$28),0,(C5056&gt;='Resultats - informe'!$D$29)*(C5056&lt;='Resultats - informe'!$E$29),0,1,1)</f>
        <v>0</v>
      </c>
      <c r="N5056" s="366">
        <f>+VLOOKUP(D5056,'Resultats - informe'!$Y$18:$AG$42,'Introducció dades consum'!K5056+1,0)</f>
        <v>0</v>
      </c>
      <c r="O5056" s="370" cm="1">
        <f t="array" ref="O5056">+_xlfn.SWITCH(MONTH(C5056),1,1,2,1,3,1,4,2,5,2,6,3,7,3,8,3,9,3,10,2,11,2,12,1,2)</f>
        <v>1</v>
      </c>
      <c r="P5056" s="43"/>
    </row>
    <row r="5057" spans="1:16" ht="18" x14ac:dyDescent="0.35">
      <c r="A5057" s="9"/>
      <c r="C5057" s="393"/>
      <c r="E5057" s="394"/>
      <c r="F5057" s="394">
        <v>5.0490000000000004</v>
      </c>
      <c r="G5057" s="394"/>
      <c r="H5057" s="8" t="s">
        <v>235</v>
      </c>
      <c r="I5057" s="368">
        <f t="shared" si="235"/>
        <v>0</v>
      </c>
      <c r="J5057" s="365">
        <f t="shared" si="237"/>
        <v>0</v>
      </c>
      <c r="K5057" s="369">
        <f t="shared" si="236"/>
        <v>6</v>
      </c>
      <c r="L5057" s="369">
        <f>+IF((C5057&gt;='Resultats - informe'!$E$16)*(C5057&lt;='Resultats - informe'!$G$16),1,0)</f>
        <v>1</v>
      </c>
      <c r="M5057" s="369" cm="1">
        <f t="array" ref="M5057">+_xlfn.IFS((C5057&gt;='Resultats - informe'!$D$26)*(C5057&lt;='Resultats - informe'!$E$26),0,(C5057&gt;='Resultats - informe'!$D$27)*(C5057&lt;='Resultats - informe'!$E$27),0,(C5057&gt;='Resultats - informe'!$D$28)*(C5057&lt;='Resultats - informe'!$E$28),0,(C5057&gt;='Resultats - informe'!$D$29)*(C5057&lt;='Resultats - informe'!$E$29),0,1,1)</f>
        <v>0</v>
      </c>
      <c r="N5057" s="366">
        <f>+VLOOKUP(D5057,'Resultats - informe'!$Y$18:$AG$42,'Introducció dades consum'!K5057+1,0)</f>
        <v>0</v>
      </c>
      <c r="O5057" s="370" cm="1">
        <f t="array" ref="O5057">+_xlfn.SWITCH(MONTH(C5057),1,1,2,1,3,1,4,2,5,2,6,3,7,3,8,3,9,3,10,2,11,2,12,1,2)</f>
        <v>1</v>
      </c>
      <c r="P5057" s="43"/>
    </row>
    <row r="5058" spans="1:16" ht="18" x14ac:dyDescent="0.35">
      <c r="A5058" s="9"/>
      <c r="C5058" s="393"/>
      <c r="E5058" s="394"/>
      <c r="F5058" s="394">
        <v>3.5089999999999999</v>
      </c>
      <c r="G5058" s="394"/>
      <c r="H5058" s="8" t="s">
        <v>235</v>
      </c>
      <c r="I5058" s="368">
        <f t="shared" si="235"/>
        <v>0</v>
      </c>
      <c r="J5058" s="365">
        <f t="shared" si="237"/>
        <v>0</v>
      </c>
      <c r="K5058" s="369">
        <f t="shared" si="236"/>
        <v>6</v>
      </c>
      <c r="L5058" s="369">
        <f>+IF((C5058&gt;='Resultats - informe'!$E$16)*(C5058&lt;='Resultats - informe'!$G$16),1,0)</f>
        <v>1</v>
      </c>
      <c r="M5058" s="369" cm="1">
        <f t="array" ref="M5058">+_xlfn.IFS((C5058&gt;='Resultats - informe'!$D$26)*(C5058&lt;='Resultats - informe'!$E$26),0,(C5058&gt;='Resultats - informe'!$D$27)*(C5058&lt;='Resultats - informe'!$E$27),0,(C5058&gt;='Resultats - informe'!$D$28)*(C5058&lt;='Resultats - informe'!$E$28),0,(C5058&gt;='Resultats - informe'!$D$29)*(C5058&lt;='Resultats - informe'!$E$29),0,1,1)</f>
        <v>0</v>
      </c>
      <c r="N5058" s="366">
        <f>+VLOOKUP(D5058,'Resultats - informe'!$Y$18:$AG$42,'Introducció dades consum'!K5058+1,0)</f>
        <v>0</v>
      </c>
      <c r="O5058" s="370" cm="1">
        <f t="array" ref="O5058">+_xlfn.SWITCH(MONTH(C5058),1,1,2,1,3,1,4,2,5,2,6,3,7,3,8,3,9,3,10,2,11,2,12,1,2)</f>
        <v>1</v>
      </c>
      <c r="P5058" s="43"/>
    </row>
    <row r="5059" spans="1:16" ht="18" x14ac:dyDescent="0.35">
      <c r="A5059" s="9"/>
      <c r="C5059" s="393"/>
      <c r="E5059" s="394"/>
      <c r="F5059" s="394">
        <v>2.996</v>
      </c>
      <c r="G5059" s="394"/>
      <c r="H5059" s="8" t="s">
        <v>235</v>
      </c>
      <c r="I5059" s="368">
        <f t="shared" si="235"/>
        <v>0</v>
      </c>
      <c r="J5059" s="365">
        <f t="shared" si="237"/>
        <v>0</v>
      </c>
      <c r="K5059" s="369">
        <f t="shared" si="236"/>
        <v>6</v>
      </c>
      <c r="L5059" s="369">
        <f>+IF((C5059&gt;='Resultats - informe'!$E$16)*(C5059&lt;='Resultats - informe'!$G$16),1,0)</f>
        <v>1</v>
      </c>
      <c r="M5059" s="369" cm="1">
        <f t="array" ref="M5059">+_xlfn.IFS((C5059&gt;='Resultats - informe'!$D$26)*(C5059&lt;='Resultats - informe'!$E$26),0,(C5059&gt;='Resultats - informe'!$D$27)*(C5059&lt;='Resultats - informe'!$E$27),0,(C5059&gt;='Resultats - informe'!$D$28)*(C5059&lt;='Resultats - informe'!$E$28),0,(C5059&gt;='Resultats - informe'!$D$29)*(C5059&lt;='Resultats - informe'!$E$29),0,1,1)</f>
        <v>0</v>
      </c>
      <c r="N5059" s="366">
        <f>+VLOOKUP(D5059,'Resultats - informe'!$Y$18:$AG$42,'Introducció dades consum'!K5059+1,0)</f>
        <v>0</v>
      </c>
      <c r="O5059" s="370" cm="1">
        <f t="array" ref="O5059">+_xlfn.SWITCH(MONTH(C5059),1,1,2,1,3,1,4,2,5,2,6,3,7,3,8,3,9,3,10,2,11,2,12,1,2)</f>
        <v>1</v>
      </c>
      <c r="P5059" s="43"/>
    </row>
    <row r="5060" spans="1:16" ht="18" x14ac:dyDescent="0.35">
      <c r="A5060" s="9"/>
      <c r="C5060" s="393"/>
      <c r="E5060" s="394"/>
      <c r="F5060" s="394">
        <v>2.7010000000000001</v>
      </c>
      <c r="G5060" s="394"/>
      <c r="H5060" s="8" t="s">
        <v>235</v>
      </c>
      <c r="I5060" s="368">
        <f t="shared" si="235"/>
        <v>0</v>
      </c>
      <c r="J5060" s="365">
        <f t="shared" si="237"/>
        <v>0</v>
      </c>
      <c r="K5060" s="369">
        <f t="shared" si="236"/>
        <v>6</v>
      </c>
      <c r="L5060" s="369">
        <f>+IF((C5060&gt;='Resultats - informe'!$E$16)*(C5060&lt;='Resultats - informe'!$G$16),1,0)</f>
        <v>1</v>
      </c>
      <c r="M5060" s="369" cm="1">
        <f t="array" ref="M5060">+_xlfn.IFS((C5060&gt;='Resultats - informe'!$D$26)*(C5060&lt;='Resultats - informe'!$E$26),0,(C5060&gt;='Resultats - informe'!$D$27)*(C5060&lt;='Resultats - informe'!$E$27),0,(C5060&gt;='Resultats - informe'!$D$28)*(C5060&lt;='Resultats - informe'!$E$28),0,(C5060&gt;='Resultats - informe'!$D$29)*(C5060&lt;='Resultats - informe'!$E$29),0,1,1)</f>
        <v>0</v>
      </c>
      <c r="N5060" s="366">
        <f>+VLOOKUP(D5060,'Resultats - informe'!$Y$18:$AG$42,'Introducció dades consum'!K5060+1,0)</f>
        <v>0</v>
      </c>
      <c r="O5060" s="370" cm="1">
        <f t="array" ref="O5060">+_xlfn.SWITCH(MONTH(C5060),1,1,2,1,3,1,4,2,5,2,6,3,7,3,8,3,9,3,10,2,11,2,12,1,2)</f>
        <v>1</v>
      </c>
      <c r="P5060" s="43"/>
    </row>
    <row r="5061" spans="1:16" ht="18" x14ac:dyDescent="0.35">
      <c r="A5061" s="9"/>
      <c r="C5061" s="393"/>
      <c r="E5061" s="394"/>
      <c r="F5061" s="394">
        <v>1.1990000000000001</v>
      </c>
      <c r="G5061" s="394"/>
      <c r="H5061" s="8" t="s">
        <v>235</v>
      </c>
      <c r="I5061" s="368">
        <f t="shared" si="235"/>
        <v>0</v>
      </c>
      <c r="J5061" s="365">
        <f t="shared" si="237"/>
        <v>0</v>
      </c>
      <c r="K5061" s="369">
        <f t="shared" si="236"/>
        <v>6</v>
      </c>
      <c r="L5061" s="369">
        <f>+IF((C5061&gt;='Resultats - informe'!$E$16)*(C5061&lt;='Resultats - informe'!$G$16),1,0)</f>
        <v>1</v>
      </c>
      <c r="M5061" s="369" cm="1">
        <f t="array" ref="M5061">+_xlfn.IFS((C5061&gt;='Resultats - informe'!$D$26)*(C5061&lt;='Resultats - informe'!$E$26),0,(C5061&gt;='Resultats - informe'!$D$27)*(C5061&lt;='Resultats - informe'!$E$27),0,(C5061&gt;='Resultats - informe'!$D$28)*(C5061&lt;='Resultats - informe'!$E$28),0,(C5061&gt;='Resultats - informe'!$D$29)*(C5061&lt;='Resultats - informe'!$E$29),0,1,1)</f>
        <v>0</v>
      </c>
      <c r="N5061" s="366">
        <f>+VLOOKUP(D5061,'Resultats - informe'!$Y$18:$AG$42,'Introducció dades consum'!K5061+1,0)</f>
        <v>0</v>
      </c>
      <c r="O5061" s="370" cm="1">
        <f t="array" ref="O5061">+_xlfn.SWITCH(MONTH(C5061),1,1,2,1,3,1,4,2,5,2,6,3,7,3,8,3,9,3,10,2,11,2,12,1,2)</f>
        <v>1</v>
      </c>
      <c r="P5061" s="43"/>
    </row>
    <row r="5062" spans="1:16" ht="18" x14ac:dyDescent="0.35">
      <c r="A5062" s="9"/>
      <c r="C5062" s="393"/>
      <c r="E5062" s="394"/>
      <c r="F5062" s="394">
        <v>0</v>
      </c>
      <c r="G5062" s="394"/>
      <c r="H5062" s="8" t="s">
        <v>235</v>
      </c>
      <c r="I5062" s="368">
        <f t="shared" ref="I5062:I5125" si="238">+E5062+G5062</f>
        <v>0</v>
      </c>
      <c r="J5062" s="365">
        <f t="shared" si="237"/>
        <v>0</v>
      </c>
      <c r="K5062" s="369">
        <f t="shared" ref="K5062:K5125" si="239">+WEEKDAY(C5062,2)</f>
        <v>6</v>
      </c>
      <c r="L5062" s="369">
        <f>+IF((C5062&gt;='Resultats - informe'!$E$16)*(C5062&lt;='Resultats - informe'!$G$16),1,0)</f>
        <v>1</v>
      </c>
      <c r="M5062" s="369" cm="1">
        <f t="array" ref="M5062">+_xlfn.IFS((C5062&gt;='Resultats - informe'!$D$26)*(C5062&lt;='Resultats - informe'!$E$26),0,(C5062&gt;='Resultats - informe'!$D$27)*(C5062&lt;='Resultats - informe'!$E$27),0,(C5062&gt;='Resultats - informe'!$D$28)*(C5062&lt;='Resultats - informe'!$E$28),0,(C5062&gt;='Resultats - informe'!$D$29)*(C5062&lt;='Resultats - informe'!$E$29),0,1,1)</f>
        <v>0</v>
      </c>
      <c r="N5062" s="366">
        <f>+VLOOKUP(D5062,'Resultats - informe'!$Y$18:$AG$42,'Introducció dades consum'!K5062+1,0)</f>
        <v>0</v>
      </c>
      <c r="O5062" s="370" cm="1">
        <f t="array" ref="O5062">+_xlfn.SWITCH(MONTH(C5062),1,1,2,1,3,1,4,2,5,2,6,3,7,3,8,3,9,3,10,2,11,2,12,1,2)</f>
        <v>1</v>
      </c>
      <c r="P5062" s="43"/>
    </row>
    <row r="5063" spans="1:16" ht="18" x14ac:dyDescent="0.35">
      <c r="A5063" s="9"/>
      <c r="C5063" s="393"/>
      <c r="E5063" s="394"/>
      <c r="F5063" s="394">
        <v>0</v>
      </c>
      <c r="G5063" s="394"/>
      <c r="H5063" s="8" t="s">
        <v>235</v>
      </c>
      <c r="I5063" s="368">
        <f t="shared" si="238"/>
        <v>0</v>
      </c>
      <c r="J5063" s="365">
        <f t="shared" si="237"/>
        <v>0</v>
      </c>
      <c r="K5063" s="369">
        <f t="shared" si="239"/>
        <v>6</v>
      </c>
      <c r="L5063" s="369">
        <f>+IF((C5063&gt;='Resultats - informe'!$E$16)*(C5063&lt;='Resultats - informe'!$G$16),1,0)</f>
        <v>1</v>
      </c>
      <c r="M5063" s="369" cm="1">
        <f t="array" ref="M5063">+_xlfn.IFS((C5063&gt;='Resultats - informe'!$D$26)*(C5063&lt;='Resultats - informe'!$E$26),0,(C5063&gt;='Resultats - informe'!$D$27)*(C5063&lt;='Resultats - informe'!$E$27),0,(C5063&gt;='Resultats - informe'!$D$28)*(C5063&lt;='Resultats - informe'!$E$28),0,(C5063&gt;='Resultats - informe'!$D$29)*(C5063&lt;='Resultats - informe'!$E$29),0,1,1)</f>
        <v>0</v>
      </c>
      <c r="N5063" s="366">
        <f>+VLOOKUP(D5063,'Resultats - informe'!$Y$18:$AG$42,'Introducció dades consum'!K5063+1,0)</f>
        <v>0</v>
      </c>
      <c r="O5063" s="370" cm="1">
        <f t="array" ref="O5063">+_xlfn.SWITCH(MONTH(C5063),1,1,2,1,3,1,4,2,5,2,6,3,7,3,8,3,9,3,10,2,11,2,12,1,2)</f>
        <v>1</v>
      </c>
      <c r="P5063" s="43"/>
    </row>
    <row r="5064" spans="1:16" ht="18" x14ac:dyDescent="0.35">
      <c r="A5064" s="9"/>
      <c r="C5064" s="393"/>
      <c r="E5064" s="394"/>
      <c r="F5064" s="394">
        <v>0</v>
      </c>
      <c r="G5064" s="394"/>
      <c r="H5064" s="8" t="s">
        <v>235</v>
      </c>
      <c r="I5064" s="368">
        <f t="shared" si="238"/>
        <v>0</v>
      </c>
      <c r="J5064" s="365">
        <f t="shared" si="237"/>
        <v>0</v>
      </c>
      <c r="K5064" s="369">
        <f t="shared" si="239"/>
        <v>6</v>
      </c>
      <c r="L5064" s="369">
        <f>+IF((C5064&gt;='Resultats - informe'!$E$16)*(C5064&lt;='Resultats - informe'!$G$16),1,0)</f>
        <v>1</v>
      </c>
      <c r="M5064" s="369" cm="1">
        <f t="array" ref="M5064">+_xlfn.IFS((C5064&gt;='Resultats - informe'!$D$26)*(C5064&lt;='Resultats - informe'!$E$26),0,(C5064&gt;='Resultats - informe'!$D$27)*(C5064&lt;='Resultats - informe'!$E$27),0,(C5064&gt;='Resultats - informe'!$D$28)*(C5064&lt;='Resultats - informe'!$E$28),0,(C5064&gt;='Resultats - informe'!$D$29)*(C5064&lt;='Resultats - informe'!$E$29),0,1,1)</f>
        <v>0</v>
      </c>
      <c r="N5064" s="366">
        <f>+VLOOKUP(D5064,'Resultats - informe'!$Y$18:$AG$42,'Introducció dades consum'!K5064+1,0)</f>
        <v>0</v>
      </c>
      <c r="O5064" s="370" cm="1">
        <f t="array" ref="O5064">+_xlfn.SWITCH(MONTH(C5064),1,1,2,1,3,1,4,2,5,2,6,3,7,3,8,3,9,3,10,2,11,2,12,1,2)</f>
        <v>1</v>
      </c>
      <c r="P5064" s="43"/>
    </row>
    <row r="5065" spans="1:16" ht="18" x14ac:dyDescent="0.35">
      <c r="A5065" s="9"/>
      <c r="C5065" s="393"/>
      <c r="E5065" s="394"/>
      <c r="F5065" s="394">
        <v>0</v>
      </c>
      <c r="G5065" s="394"/>
      <c r="H5065" s="8" t="s">
        <v>235</v>
      </c>
      <c r="I5065" s="368">
        <f t="shared" si="238"/>
        <v>0</v>
      </c>
      <c r="J5065" s="365">
        <f t="shared" si="237"/>
        <v>0</v>
      </c>
      <c r="K5065" s="369">
        <f t="shared" si="239"/>
        <v>6</v>
      </c>
      <c r="L5065" s="369">
        <f>+IF((C5065&gt;='Resultats - informe'!$E$16)*(C5065&lt;='Resultats - informe'!$G$16),1,0)</f>
        <v>1</v>
      </c>
      <c r="M5065" s="369" cm="1">
        <f t="array" ref="M5065">+_xlfn.IFS((C5065&gt;='Resultats - informe'!$D$26)*(C5065&lt;='Resultats - informe'!$E$26),0,(C5065&gt;='Resultats - informe'!$D$27)*(C5065&lt;='Resultats - informe'!$E$27),0,(C5065&gt;='Resultats - informe'!$D$28)*(C5065&lt;='Resultats - informe'!$E$28),0,(C5065&gt;='Resultats - informe'!$D$29)*(C5065&lt;='Resultats - informe'!$E$29),0,1,1)</f>
        <v>0</v>
      </c>
      <c r="N5065" s="366">
        <f>+VLOOKUP(D5065,'Resultats - informe'!$Y$18:$AG$42,'Introducció dades consum'!K5065+1,0)</f>
        <v>0</v>
      </c>
      <c r="O5065" s="370" cm="1">
        <f t="array" ref="O5065">+_xlfn.SWITCH(MONTH(C5065),1,1,2,1,3,1,4,2,5,2,6,3,7,3,8,3,9,3,10,2,11,2,12,1,2)</f>
        <v>1</v>
      </c>
      <c r="P5065" s="43"/>
    </row>
    <row r="5066" spans="1:16" ht="18" x14ac:dyDescent="0.35">
      <c r="A5066" s="9"/>
      <c r="C5066" s="393"/>
      <c r="E5066" s="394"/>
      <c r="F5066" s="394">
        <v>0</v>
      </c>
      <c r="G5066" s="394"/>
      <c r="H5066" s="8" t="s">
        <v>235</v>
      </c>
      <c r="I5066" s="368">
        <f t="shared" si="238"/>
        <v>0</v>
      </c>
      <c r="J5066" s="365">
        <f t="shared" si="237"/>
        <v>0</v>
      </c>
      <c r="K5066" s="369">
        <f t="shared" si="239"/>
        <v>6</v>
      </c>
      <c r="L5066" s="369">
        <f>+IF((C5066&gt;='Resultats - informe'!$E$16)*(C5066&lt;='Resultats - informe'!$G$16),1,0)</f>
        <v>1</v>
      </c>
      <c r="M5066" s="369" cm="1">
        <f t="array" ref="M5066">+_xlfn.IFS((C5066&gt;='Resultats - informe'!$D$26)*(C5066&lt;='Resultats - informe'!$E$26),0,(C5066&gt;='Resultats - informe'!$D$27)*(C5066&lt;='Resultats - informe'!$E$27),0,(C5066&gt;='Resultats - informe'!$D$28)*(C5066&lt;='Resultats - informe'!$E$28),0,(C5066&gt;='Resultats - informe'!$D$29)*(C5066&lt;='Resultats - informe'!$E$29),0,1,1)</f>
        <v>0</v>
      </c>
      <c r="N5066" s="366">
        <f>+VLOOKUP(D5066,'Resultats - informe'!$Y$18:$AG$42,'Introducció dades consum'!K5066+1,0)</f>
        <v>0</v>
      </c>
      <c r="O5066" s="370" cm="1">
        <f t="array" ref="O5066">+_xlfn.SWITCH(MONTH(C5066),1,1,2,1,3,1,4,2,5,2,6,3,7,3,8,3,9,3,10,2,11,2,12,1,2)</f>
        <v>1</v>
      </c>
      <c r="P5066" s="43"/>
    </row>
    <row r="5067" spans="1:16" ht="18" x14ac:dyDescent="0.35">
      <c r="A5067" s="9"/>
      <c r="C5067" s="393"/>
      <c r="E5067" s="394"/>
      <c r="F5067" s="394">
        <v>0</v>
      </c>
      <c r="G5067" s="394"/>
      <c r="H5067" s="8" t="s">
        <v>235</v>
      </c>
      <c r="I5067" s="368">
        <f t="shared" si="238"/>
        <v>0</v>
      </c>
      <c r="J5067" s="365">
        <f t="shared" si="237"/>
        <v>0</v>
      </c>
      <c r="K5067" s="369">
        <f t="shared" si="239"/>
        <v>6</v>
      </c>
      <c r="L5067" s="369">
        <f>+IF((C5067&gt;='Resultats - informe'!$E$16)*(C5067&lt;='Resultats - informe'!$G$16),1,0)</f>
        <v>1</v>
      </c>
      <c r="M5067" s="369" cm="1">
        <f t="array" ref="M5067">+_xlfn.IFS((C5067&gt;='Resultats - informe'!$D$26)*(C5067&lt;='Resultats - informe'!$E$26),0,(C5067&gt;='Resultats - informe'!$D$27)*(C5067&lt;='Resultats - informe'!$E$27),0,(C5067&gt;='Resultats - informe'!$D$28)*(C5067&lt;='Resultats - informe'!$E$28),0,(C5067&gt;='Resultats - informe'!$D$29)*(C5067&lt;='Resultats - informe'!$E$29),0,1,1)</f>
        <v>0</v>
      </c>
      <c r="N5067" s="366">
        <f>+VLOOKUP(D5067,'Resultats - informe'!$Y$18:$AG$42,'Introducció dades consum'!K5067+1,0)</f>
        <v>0</v>
      </c>
      <c r="O5067" s="370" cm="1">
        <f t="array" ref="O5067">+_xlfn.SWITCH(MONTH(C5067),1,1,2,1,3,1,4,2,5,2,6,3,7,3,8,3,9,3,10,2,11,2,12,1,2)</f>
        <v>1</v>
      </c>
      <c r="P5067" s="43"/>
    </row>
    <row r="5068" spans="1:16" ht="18" x14ac:dyDescent="0.35">
      <c r="A5068" s="9"/>
      <c r="C5068" s="393"/>
      <c r="E5068" s="394"/>
      <c r="F5068" s="394">
        <v>0</v>
      </c>
      <c r="G5068" s="394"/>
      <c r="H5068" s="8" t="s">
        <v>235</v>
      </c>
      <c r="I5068" s="368">
        <f t="shared" si="238"/>
        <v>0</v>
      </c>
      <c r="J5068" s="365">
        <f t="shared" si="237"/>
        <v>0</v>
      </c>
      <c r="K5068" s="369">
        <f t="shared" si="239"/>
        <v>6</v>
      </c>
      <c r="L5068" s="369">
        <f>+IF((C5068&gt;='Resultats - informe'!$E$16)*(C5068&lt;='Resultats - informe'!$G$16),1,0)</f>
        <v>1</v>
      </c>
      <c r="M5068" s="369" cm="1">
        <f t="array" ref="M5068">+_xlfn.IFS((C5068&gt;='Resultats - informe'!$D$26)*(C5068&lt;='Resultats - informe'!$E$26),0,(C5068&gt;='Resultats - informe'!$D$27)*(C5068&lt;='Resultats - informe'!$E$27),0,(C5068&gt;='Resultats - informe'!$D$28)*(C5068&lt;='Resultats - informe'!$E$28),0,(C5068&gt;='Resultats - informe'!$D$29)*(C5068&lt;='Resultats - informe'!$E$29),0,1,1)</f>
        <v>0</v>
      </c>
      <c r="N5068" s="366">
        <f>+VLOOKUP(D5068,'Resultats - informe'!$Y$18:$AG$42,'Introducció dades consum'!K5068+1,0)</f>
        <v>0</v>
      </c>
      <c r="O5068" s="370" cm="1">
        <f t="array" ref="O5068">+_xlfn.SWITCH(MONTH(C5068),1,1,2,1,3,1,4,2,5,2,6,3,7,3,8,3,9,3,10,2,11,2,12,1,2)</f>
        <v>1</v>
      </c>
      <c r="P5068" s="43"/>
    </row>
    <row r="5069" spans="1:16" ht="18" x14ac:dyDescent="0.35">
      <c r="A5069" s="9"/>
      <c r="C5069" s="393"/>
      <c r="E5069" s="394"/>
      <c r="F5069" s="394">
        <v>0</v>
      </c>
      <c r="G5069" s="394"/>
      <c r="H5069" s="8" t="s">
        <v>235</v>
      </c>
      <c r="I5069" s="368">
        <f t="shared" si="238"/>
        <v>0</v>
      </c>
      <c r="J5069" s="365">
        <f t="shared" si="237"/>
        <v>0</v>
      </c>
      <c r="K5069" s="369">
        <f t="shared" si="239"/>
        <v>6</v>
      </c>
      <c r="L5069" s="369">
        <f>+IF((C5069&gt;='Resultats - informe'!$E$16)*(C5069&lt;='Resultats - informe'!$G$16),1,0)</f>
        <v>1</v>
      </c>
      <c r="M5069" s="369" cm="1">
        <f t="array" ref="M5069">+_xlfn.IFS((C5069&gt;='Resultats - informe'!$D$26)*(C5069&lt;='Resultats - informe'!$E$26),0,(C5069&gt;='Resultats - informe'!$D$27)*(C5069&lt;='Resultats - informe'!$E$27),0,(C5069&gt;='Resultats - informe'!$D$28)*(C5069&lt;='Resultats - informe'!$E$28),0,(C5069&gt;='Resultats - informe'!$D$29)*(C5069&lt;='Resultats - informe'!$E$29),0,1,1)</f>
        <v>0</v>
      </c>
      <c r="N5069" s="366">
        <f>+VLOOKUP(D5069,'Resultats - informe'!$Y$18:$AG$42,'Introducció dades consum'!K5069+1,0)</f>
        <v>0</v>
      </c>
      <c r="O5069" s="370" cm="1">
        <f t="array" ref="O5069">+_xlfn.SWITCH(MONTH(C5069),1,1,2,1,3,1,4,2,5,2,6,3,7,3,8,3,9,3,10,2,11,2,12,1,2)</f>
        <v>1</v>
      </c>
      <c r="P5069" s="43"/>
    </row>
    <row r="5070" spans="1:16" ht="18" x14ac:dyDescent="0.35">
      <c r="A5070" s="9"/>
      <c r="C5070" s="393"/>
      <c r="E5070" s="394"/>
      <c r="F5070" s="394">
        <v>0</v>
      </c>
      <c r="G5070" s="394"/>
      <c r="H5070" s="8" t="s">
        <v>235</v>
      </c>
      <c r="I5070" s="368">
        <f t="shared" si="238"/>
        <v>0</v>
      </c>
      <c r="J5070" s="365">
        <f t="shared" si="237"/>
        <v>0</v>
      </c>
      <c r="K5070" s="369">
        <f t="shared" si="239"/>
        <v>6</v>
      </c>
      <c r="L5070" s="369">
        <f>+IF((C5070&gt;='Resultats - informe'!$E$16)*(C5070&lt;='Resultats - informe'!$G$16),1,0)</f>
        <v>1</v>
      </c>
      <c r="M5070" s="369" cm="1">
        <f t="array" ref="M5070">+_xlfn.IFS((C5070&gt;='Resultats - informe'!$D$26)*(C5070&lt;='Resultats - informe'!$E$26),0,(C5070&gt;='Resultats - informe'!$D$27)*(C5070&lt;='Resultats - informe'!$E$27),0,(C5070&gt;='Resultats - informe'!$D$28)*(C5070&lt;='Resultats - informe'!$E$28),0,(C5070&gt;='Resultats - informe'!$D$29)*(C5070&lt;='Resultats - informe'!$E$29),0,1,1)</f>
        <v>0</v>
      </c>
      <c r="N5070" s="366">
        <f>+VLOOKUP(D5070,'Resultats - informe'!$Y$18:$AG$42,'Introducció dades consum'!K5070+1,0)</f>
        <v>0</v>
      </c>
      <c r="O5070" s="370" cm="1">
        <f t="array" ref="O5070">+_xlfn.SWITCH(MONTH(C5070),1,1,2,1,3,1,4,2,5,2,6,3,7,3,8,3,9,3,10,2,11,2,12,1,2)</f>
        <v>1</v>
      </c>
      <c r="P5070" s="43"/>
    </row>
    <row r="5071" spans="1:16" ht="18" x14ac:dyDescent="0.35">
      <c r="A5071" s="9"/>
      <c r="C5071" s="393"/>
      <c r="E5071" s="394"/>
      <c r="F5071" s="394">
        <v>0</v>
      </c>
      <c r="G5071" s="394"/>
      <c r="H5071" s="8" t="s">
        <v>235</v>
      </c>
      <c r="I5071" s="368">
        <f t="shared" si="238"/>
        <v>0</v>
      </c>
      <c r="J5071" s="365">
        <f t="shared" si="237"/>
        <v>0</v>
      </c>
      <c r="K5071" s="369">
        <f t="shared" si="239"/>
        <v>6</v>
      </c>
      <c r="L5071" s="369">
        <f>+IF((C5071&gt;='Resultats - informe'!$E$16)*(C5071&lt;='Resultats - informe'!$G$16),1,0)</f>
        <v>1</v>
      </c>
      <c r="M5071" s="369" cm="1">
        <f t="array" ref="M5071">+_xlfn.IFS((C5071&gt;='Resultats - informe'!$D$26)*(C5071&lt;='Resultats - informe'!$E$26),0,(C5071&gt;='Resultats - informe'!$D$27)*(C5071&lt;='Resultats - informe'!$E$27),0,(C5071&gt;='Resultats - informe'!$D$28)*(C5071&lt;='Resultats - informe'!$E$28),0,(C5071&gt;='Resultats - informe'!$D$29)*(C5071&lt;='Resultats - informe'!$E$29),0,1,1)</f>
        <v>0</v>
      </c>
      <c r="N5071" s="366">
        <f>+VLOOKUP(D5071,'Resultats - informe'!$Y$18:$AG$42,'Introducció dades consum'!K5071+1,0)</f>
        <v>0</v>
      </c>
      <c r="O5071" s="370" cm="1">
        <f t="array" ref="O5071">+_xlfn.SWITCH(MONTH(C5071),1,1,2,1,3,1,4,2,5,2,6,3,7,3,8,3,9,3,10,2,11,2,12,1,2)</f>
        <v>1</v>
      </c>
      <c r="P5071" s="43"/>
    </row>
    <row r="5072" spans="1:16" ht="18" x14ac:dyDescent="0.35">
      <c r="A5072" s="9"/>
      <c r="C5072" s="393"/>
      <c r="E5072" s="394"/>
      <c r="F5072" s="394">
        <v>0</v>
      </c>
      <c r="G5072" s="394"/>
      <c r="H5072" s="8" t="s">
        <v>235</v>
      </c>
      <c r="I5072" s="368">
        <f t="shared" si="238"/>
        <v>0</v>
      </c>
      <c r="J5072" s="365">
        <f t="shared" si="237"/>
        <v>0</v>
      </c>
      <c r="K5072" s="369">
        <f t="shared" si="239"/>
        <v>6</v>
      </c>
      <c r="L5072" s="369">
        <f>+IF((C5072&gt;='Resultats - informe'!$E$16)*(C5072&lt;='Resultats - informe'!$G$16),1,0)</f>
        <v>1</v>
      </c>
      <c r="M5072" s="369" cm="1">
        <f t="array" ref="M5072">+_xlfn.IFS((C5072&gt;='Resultats - informe'!$D$26)*(C5072&lt;='Resultats - informe'!$E$26),0,(C5072&gt;='Resultats - informe'!$D$27)*(C5072&lt;='Resultats - informe'!$E$27),0,(C5072&gt;='Resultats - informe'!$D$28)*(C5072&lt;='Resultats - informe'!$E$28),0,(C5072&gt;='Resultats - informe'!$D$29)*(C5072&lt;='Resultats - informe'!$E$29),0,1,1)</f>
        <v>0</v>
      </c>
      <c r="N5072" s="366">
        <f>+VLOOKUP(D5072,'Resultats - informe'!$Y$18:$AG$42,'Introducció dades consum'!K5072+1,0)</f>
        <v>0</v>
      </c>
      <c r="O5072" s="370" cm="1">
        <f t="array" ref="O5072">+_xlfn.SWITCH(MONTH(C5072),1,1,2,1,3,1,4,2,5,2,6,3,7,3,8,3,9,3,10,2,11,2,12,1,2)</f>
        <v>1</v>
      </c>
      <c r="P5072" s="43"/>
    </row>
    <row r="5073" spans="1:16" ht="18" x14ac:dyDescent="0.35">
      <c r="A5073" s="9"/>
      <c r="C5073" s="393"/>
      <c r="E5073" s="394"/>
      <c r="F5073" s="394">
        <v>0</v>
      </c>
      <c r="G5073" s="394"/>
      <c r="H5073" s="8" t="s">
        <v>235</v>
      </c>
      <c r="I5073" s="368">
        <f t="shared" si="238"/>
        <v>0</v>
      </c>
      <c r="J5073" s="365">
        <f t="shared" si="237"/>
        <v>0</v>
      </c>
      <c r="K5073" s="369">
        <f t="shared" si="239"/>
        <v>6</v>
      </c>
      <c r="L5073" s="369">
        <f>+IF((C5073&gt;='Resultats - informe'!$E$16)*(C5073&lt;='Resultats - informe'!$G$16),1,0)</f>
        <v>1</v>
      </c>
      <c r="M5073" s="369" cm="1">
        <f t="array" ref="M5073">+_xlfn.IFS((C5073&gt;='Resultats - informe'!$D$26)*(C5073&lt;='Resultats - informe'!$E$26),0,(C5073&gt;='Resultats - informe'!$D$27)*(C5073&lt;='Resultats - informe'!$E$27),0,(C5073&gt;='Resultats - informe'!$D$28)*(C5073&lt;='Resultats - informe'!$E$28),0,(C5073&gt;='Resultats - informe'!$D$29)*(C5073&lt;='Resultats - informe'!$E$29),0,1,1)</f>
        <v>0</v>
      </c>
      <c r="N5073" s="366">
        <f>+VLOOKUP(D5073,'Resultats - informe'!$Y$18:$AG$42,'Introducció dades consum'!K5073+1,0)</f>
        <v>0</v>
      </c>
      <c r="O5073" s="370" cm="1">
        <f t="array" ref="O5073">+_xlfn.SWITCH(MONTH(C5073),1,1,2,1,3,1,4,2,5,2,6,3,7,3,8,3,9,3,10,2,11,2,12,1,2)</f>
        <v>1</v>
      </c>
      <c r="P5073" s="43"/>
    </row>
    <row r="5074" spans="1:16" ht="18" x14ac:dyDescent="0.35">
      <c r="A5074" s="9"/>
      <c r="C5074" s="393"/>
      <c r="E5074" s="394"/>
      <c r="F5074" s="394">
        <v>0</v>
      </c>
      <c r="G5074" s="394"/>
      <c r="H5074" s="8" t="s">
        <v>235</v>
      </c>
      <c r="I5074" s="368">
        <f t="shared" si="238"/>
        <v>0</v>
      </c>
      <c r="J5074" s="365">
        <f t="shared" si="237"/>
        <v>0</v>
      </c>
      <c r="K5074" s="369">
        <f t="shared" si="239"/>
        <v>6</v>
      </c>
      <c r="L5074" s="369">
        <f>+IF((C5074&gt;='Resultats - informe'!$E$16)*(C5074&lt;='Resultats - informe'!$G$16),1,0)</f>
        <v>1</v>
      </c>
      <c r="M5074" s="369" cm="1">
        <f t="array" ref="M5074">+_xlfn.IFS((C5074&gt;='Resultats - informe'!$D$26)*(C5074&lt;='Resultats - informe'!$E$26),0,(C5074&gt;='Resultats - informe'!$D$27)*(C5074&lt;='Resultats - informe'!$E$27),0,(C5074&gt;='Resultats - informe'!$D$28)*(C5074&lt;='Resultats - informe'!$E$28),0,(C5074&gt;='Resultats - informe'!$D$29)*(C5074&lt;='Resultats - informe'!$E$29),0,1,1)</f>
        <v>0</v>
      </c>
      <c r="N5074" s="366">
        <f>+VLOOKUP(D5074,'Resultats - informe'!$Y$18:$AG$42,'Introducció dades consum'!K5074+1,0)</f>
        <v>0</v>
      </c>
      <c r="O5074" s="370" cm="1">
        <f t="array" ref="O5074">+_xlfn.SWITCH(MONTH(C5074),1,1,2,1,3,1,4,2,5,2,6,3,7,3,8,3,9,3,10,2,11,2,12,1,2)</f>
        <v>1</v>
      </c>
      <c r="P5074" s="43"/>
    </row>
    <row r="5075" spans="1:16" ht="18" x14ac:dyDescent="0.35">
      <c r="A5075" s="9"/>
      <c r="C5075" s="393"/>
      <c r="E5075" s="394"/>
      <c r="F5075" s="394">
        <v>0</v>
      </c>
      <c r="G5075" s="394"/>
      <c r="H5075" s="8" t="s">
        <v>235</v>
      </c>
      <c r="I5075" s="368">
        <f t="shared" si="238"/>
        <v>0</v>
      </c>
      <c r="J5075" s="365">
        <f t="shared" si="237"/>
        <v>0</v>
      </c>
      <c r="K5075" s="369">
        <f t="shared" si="239"/>
        <v>6</v>
      </c>
      <c r="L5075" s="369">
        <f>+IF((C5075&gt;='Resultats - informe'!$E$16)*(C5075&lt;='Resultats - informe'!$G$16),1,0)</f>
        <v>1</v>
      </c>
      <c r="M5075" s="369" cm="1">
        <f t="array" ref="M5075">+_xlfn.IFS((C5075&gt;='Resultats - informe'!$D$26)*(C5075&lt;='Resultats - informe'!$E$26),0,(C5075&gt;='Resultats - informe'!$D$27)*(C5075&lt;='Resultats - informe'!$E$27),0,(C5075&gt;='Resultats - informe'!$D$28)*(C5075&lt;='Resultats - informe'!$E$28),0,(C5075&gt;='Resultats - informe'!$D$29)*(C5075&lt;='Resultats - informe'!$E$29),0,1,1)</f>
        <v>0</v>
      </c>
      <c r="N5075" s="366">
        <f>+VLOOKUP(D5075,'Resultats - informe'!$Y$18:$AG$42,'Introducció dades consum'!K5075+1,0)</f>
        <v>0</v>
      </c>
      <c r="O5075" s="370" cm="1">
        <f t="array" ref="O5075">+_xlfn.SWITCH(MONTH(C5075),1,1,2,1,3,1,4,2,5,2,6,3,7,3,8,3,9,3,10,2,11,2,12,1,2)</f>
        <v>1</v>
      </c>
      <c r="P5075" s="43"/>
    </row>
    <row r="5076" spans="1:16" ht="18" x14ac:dyDescent="0.35">
      <c r="A5076" s="9"/>
      <c r="C5076" s="393"/>
      <c r="E5076" s="394"/>
      <c r="F5076" s="394">
        <v>0</v>
      </c>
      <c r="G5076" s="394"/>
      <c r="H5076" s="8" t="s">
        <v>235</v>
      </c>
      <c r="I5076" s="368">
        <f t="shared" si="238"/>
        <v>0</v>
      </c>
      <c r="J5076" s="365">
        <f t="shared" si="237"/>
        <v>0</v>
      </c>
      <c r="K5076" s="369">
        <f t="shared" si="239"/>
        <v>6</v>
      </c>
      <c r="L5076" s="369">
        <f>+IF((C5076&gt;='Resultats - informe'!$E$16)*(C5076&lt;='Resultats - informe'!$G$16),1,0)</f>
        <v>1</v>
      </c>
      <c r="M5076" s="369" cm="1">
        <f t="array" ref="M5076">+_xlfn.IFS((C5076&gt;='Resultats - informe'!$D$26)*(C5076&lt;='Resultats - informe'!$E$26),0,(C5076&gt;='Resultats - informe'!$D$27)*(C5076&lt;='Resultats - informe'!$E$27),0,(C5076&gt;='Resultats - informe'!$D$28)*(C5076&lt;='Resultats - informe'!$E$28),0,(C5076&gt;='Resultats - informe'!$D$29)*(C5076&lt;='Resultats - informe'!$E$29),0,1,1)</f>
        <v>0</v>
      </c>
      <c r="N5076" s="366">
        <f>+VLOOKUP(D5076,'Resultats - informe'!$Y$18:$AG$42,'Introducció dades consum'!K5076+1,0)</f>
        <v>0</v>
      </c>
      <c r="O5076" s="370" cm="1">
        <f t="array" ref="O5076">+_xlfn.SWITCH(MONTH(C5076),1,1,2,1,3,1,4,2,5,2,6,3,7,3,8,3,9,3,10,2,11,2,12,1,2)</f>
        <v>1</v>
      </c>
      <c r="P5076" s="43"/>
    </row>
    <row r="5077" spans="1:16" ht="18" x14ac:dyDescent="0.35">
      <c r="A5077" s="9"/>
      <c r="C5077" s="393"/>
      <c r="E5077" s="394"/>
      <c r="F5077" s="394">
        <v>1.0489999999999999</v>
      </c>
      <c r="G5077" s="394"/>
      <c r="H5077" s="8" t="s">
        <v>235</v>
      </c>
      <c r="I5077" s="368">
        <f t="shared" si="238"/>
        <v>0</v>
      </c>
      <c r="J5077" s="365">
        <f t="shared" si="237"/>
        <v>0</v>
      </c>
      <c r="K5077" s="369">
        <f t="shared" si="239"/>
        <v>6</v>
      </c>
      <c r="L5077" s="369">
        <f>+IF((C5077&gt;='Resultats - informe'!$E$16)*(C5077&lt;='Resultats - informe'!$G$16),1,0)</f>
        <v>1</v>
      </c>
      <c r="M5077" s="369" cm="1">
        <f t="array" ref="M5077">+_xlfn.IFS((C5077&gt;='Resultats - informe'!$D$26)*(C5077&lt;='Resultats - informe'!$E$26),0,(C5077&gt;='Resultats - informe'!$D$27)*(C5077&lt;='Resultats - informe'!$E$27),0,(C5077&gt;='Resultats - informe'!$D$28)*(C5077&lt;='Resultats - informe'!$E$28),0,(C5077&gt;='Resultats - informe'!$D$29)*(C5077&lt;='Resultats - informe'!$E$29),0,1,1)</f>
        <v>0</v>
      </c>
      <c r="N5077" s="366">
        <f>+VLOOKUP(D5077,'Resultats - informe'!$Y$18:$AG$42,'Introducció dades consum'!K5077+1,0)</f>
        <v>0</v>
      </c>
      <c r="O5077" s="370" cm="1">
        <f t="array" ref="O5077">+_xlfn.SWITCH(MONTH(C5077),1,1,2,1,3,1,4,2,5,2,6,3,7,3,8,3,9,3,10,2,11,2,12,1,2)</f>
        <v>1</v>
      </c>
      <c r="P5077" s="43"/>
    </row>
    <row r="5078" spans="1:16" ht="18" x14ac:dyDescent="0.35">
      <c r="A5078" s="9"/>
      <c r="C5078" s="393"/>
      <c r="E5078" s="394"/>
      <c r="F5078" s="394">
        <v>2.931</v>
      </c>
      <c r="G5078" s="394"/>
      <c r="H5078" s="8" t="s">
        <v>235</v>
      </c>
      <c r="I5078" s="368">
        <f t="shared" si="238"/>
        <v>0</v>
      </c>
      <c r="J5078" s="365">
        <f t="shared" si="237"/>
        <v>0</v>
      </c>
      <c r="K5078" s="369">
        <f t="shared" si="239"/>
        <v>6</v>
      </c>
      <c r="L5078" s="369">
        <f>+IF((C5078&gt;='Resultats - informe'!$E$16)*(C5078&lt;='Resultats - informe'!$G$16),1,0)</f>
        <v>1</v>
      </c>
      <c r="M5078" s="369" cm="1">
        <f t="array" ref="M5078">+_xlfn.IFS((C5078&gt;='Resultats - informe'!$D$26)*(C5078&lt;='Resultats - informe'!$E$26),0,(C5078&gt;='Resultats - informe'!$D$27)*(C5078&lt;='Resultats - informe'!$E$27),0,(C5078&gt;='Resultats - informe'!$D$28)*(C5078&lt;='Resultats - informe'!$E$28),0,(C5078&gt;='Resultats - informe'!$D$29)*(C5078&lt;='Resultats - informe'!$E$29),0,1,1)</f>
        <v>0</v>
      </c>
      <c r="N5078" s="366">
        <f>+VLOOKUP(D5078,'Resultats - informe'!$Y$18:$AG$42,'Introducció dades consum'!K5078+1,0)</f>
        <v>0</v>
      </c>
      <c r="O5078" s="370" cm="1">
        <f t="array" ref="O5078">+_xlfn.SWITCH(MONTH(C5078),1,1,2,1,3,1,4,2,5,2,6,3,7,3,8,3,9,3,10,2,11,2,12,1,2)</f>
        <v>1</v>
      </c>
      <c r="P5078" s="43"/>
    </row>
    <row r="5079" spans="1:16" ht="18" x14ac:dyDescent="0.35">
      <c r="A5079" s="9"/>
      <c r="C5079" s="393"/>
      <c r="E5079" s="394"/>
      <c r="F5079" s="394">
        <v>4.5350000000000001</v>
      </c>
      <c r="G5079" s="394"/>
      <c r="H5079" s="8" t="s">
        <v>235</v>
      </c>
      <c r="I5079" s="368">
        <f t="shared" si="238"/>
        <v>0</v>
      </c>
      <c r="J5079" s="365">
        <f t="shared" si="237"/>
        <v>0</v>
      </c>
      <c r="K5079" s="369">
        <f t="shared" si="239"/>
        <v>6</v>
      </c>
      <c r="L5079" s="369">
        <f>+IF((C5079&gt;='Resultats - informe'!$E$16)*(C5079&lt;='Resultats - informe'!$G$16),1,0)</f>
        <v>1</v>
      </c>
      <c r="M5079" s="369" cm="1">
        <f t="array" ref="M5079">+_xlfn.IFS((C5079&gt;='Resultats - informe'!$D$26)*(C5079&lt;='Resultats - informe'!$E$26),0,(C5079&gt;='Resultats - informe'!$D$27)*(C5079&lt;='Resultats - informe'!$E$27),0,(C5079&gt;='Resultats - informe'!$D$28)*(C5079&lt;='Resultats - informe'!$E$28),0,(C5079&gt;='Resultats - informe'!$D$29)*(C5079&lt;='Resultats - informe'!$E$29),0,1,1)</f>
        <v>0</v>
      </c>
      <c r="N5079" s="366">
        <f>+VLOOKUP(D5079,'Resultats - informe'!$Y$18:$AG$42,'Introducció dades consum'!K5079+1,0)</f>
        <v>0</v>
      </c>
      <c r="O5079" s="370" cm="1">
        <f t="array" ref="O5079">+_xlfn.SWITCH(MONTH(C5079),1,1,2,1,3,1,4,2,5,2,6,3,7,3,8,3,9,3,10,2,11,2,12,1,2)</f>
        <v>1</v>
      </c>
      <c r="P5079" s="43"/>
    </row>
    <row r="5080" spans="1:16" ht="18" x14ac:dyDescent="0.35">
      <c r="A5080" s="9"/>
      <c r="C5080" s="393"/>
      <c r="E5080" s="394"/>
      <c r="F5080" s="394">
        <v>4.5990000000000002</v>
      </c>
      <c r="G5080" s="394"/>
      <c r="H5080" s="8" t="s">
        <v>235</v>
      </c>
      <c r="I5080" s="368">
        <f t="shared" si="238"/>
        <v>0</v>
      </c>
      <c r="J5080" s="365">
        <f t="shared" si="237"/>
        <v>0</v>
      </c>
      <c r="K5080" s="369">
        <f t="shared" si="239"/>
        <v>6</v>
      </c>
      <c r="L5080" s="369">
        <f>+IF((C5080&gt;='Resultats - informe'!$E$16)*(C5080&lt;='Resultats - informe'!$G$16),1,0)</f>
        <v>1</v>
      </c>
      <c r="M5080" s="369" cm="1">
        <f t="array" ref="M5080">+_xlfn.IFS((C5080&gt;='Resultats - informe'!$D$26)*(C5080&lt;='Resultats - informe'!$E$26),0,(C5080&gt;='Resultats - informe'!$D$27)*(C5080&lt;='Resultats - informe'!$E$27),0,(C5080&gt;='Resultats - informe'!$D$28)*(C5080&lt;='Resultats - informe'!$E$28),0,(C5080&gt;='Resultats - informe'!$D$29)*(C5080&lt;='Resultats - informe'!$E$29),0,1,1)</f>
        <v>0</v>
      </c>
      <c r="N5080" s="366">
        <f>+VLOOKUP(D5080,'Resultats - informe'!$Y$18:$AG$42,'Introducció dades consum'!K5080+1,0)</f>
        <v>0</v>
      </c>
      <c r="O5080" s="370" cm="1">
        <f t="array" ref="O5080">+_xlfn.SWITCH(MONTH(C5080),1,1,2,1,3,1,4,2,5,2,6,3,7,3,8,3,9,3,10,2,11,2,12,1,2)</f>
        <v>1</v>
      </c>
      <c r="P5080" s="43"/>
    </row>
    <row r="5081" spans="1:16" ht="18" x14ac:dyDescent="0.35">
      <c r="A5081" s="9"/>
      <c r="C5081" s="393"/>
      <c r="E5081" s="394"/>
      <c r="F5081" s="394">
        <v>4.7039999999999997</v>
      </c>
      <c r="G5081" s="394"/>
      <c r="H5081" s="8" t="s">
        <v>235</v>
      </c>
      <c r="I5081" s="368">
        <f t="shared" si="238"/>
        <v>0</v>
      </c>
      <c r="J5081" s="365">
        <f t="shared" si="237"/>
        <v>0</v>
      </c>
      <c r="K5081" s="369">
        <f t="shared" si="239"/>
        <v>6</v>
      </c>
      <c r="L5081" s="369">
        <f>+IF((C5081&gt;='Resultats - informe'!$E$16)*(C5081&lt;='Resultats - informe'!$G$16),1,0)</f>
        <v>1</v>
      </c>
      <c r="M5081" s="369" cm="1">
        <f t="array" ref="M5081">+_xlfn.IFS((C5081&gt;='Resultats - informe'!$D$26)*(C5081&lt;='Resultats - informe'!$E$26),0,(C5081&gt;='Resultats - informe'!$D$27)*(C5081&lt;='Resultats - informe'!$E$27),0,(C5081&gt;='Resultats - informe'!$D$28)*(C5081&lt;='Resultats - informe'!$E$28),0,(C5081&gt;='Resultats - informe'!$D$29)*(C5081&lt;='Resultats - informe'!$E$29),0,1,1)</f>
        <v>0</v>
      </c>
      <c r="N5081" s="366">
        <f>+VLOOKUP(D5081,'Resultats - informe'!$Y$18:$AG$42,'Introducció dades consum'!K5081+1,0)</f>
        <v>0</v>
      </c>
      <c r="O5081" s="370" cm="1">
        <f t="array" ref="O5081">+_xlfn.SWITCH(MONTH(C5081),1,1,2,1,3,1,4,2,5,2,6,3,7,3,8,3,9,3,10,2,11,2,12,1,2)</f>
        <v>1</v>
      </c>
      <c r="P5081" s="43"/>
    </row>
    <row r="5082" spans="1:16" ht="18" x14ac:dyDescent="0.35">
      <c r="A5082" s="9"/>
      <c r="C5082" s="393"/>
      <c r="E5082" s="394"/>
      <c r="F5082" s="394">
        <v>2.1070000000000002</v>
      </c>
      <c r="G5082" s="394"/>
      <c r="H5082" s="8" t="s">
        <v>235</v>
      </c>
      <c r="I5082" s="368">
        <f t="shared" si="238"/>
        <v>0</v>
      </c>
      <c r="J5082" s="365">
        <f t="shared" si="237"/>
        <v>0</v>
      </c>
      <c r="K5082" s="369">
        <f t="shared" si="239"/>
        <v>6</v>
      </c>
      <c r="L5082" s="369">
        <f>+IF((C5082&gt;='Resultats - informe'!$E$16)*(C5082&lt;='Resultats - informe'!$G$16),1,0)</f>
        <v>1</v>
      </c>
      <c r="M5082" s="369" cm="1">
        <f t="array" ref="M5082">+_xlfn.IFS((C5082&gt;='Resultats - informe'!$D$26)*(C5082&lt;='Resultats - informe'!$E$26),0,(C5082&gt;='Resultats - informe'!$D$27)*(C5082&lt;='Resultats - informe'!$E$27),0,(C5082&gt;='Resultats - informe'!$D$28)*(C5082&lt;='Resultats - informe'!$E$28),0,(C5082&gt;='Resultats - informe'!$D$29)*(C5082&lt;='Resultats - informe'!$E$29),0,1,1)</f>
        <v>0</v>
      </c>
      <c r="N5082" s="366">
        <f>+VLOOKUP(D5082,'Resultats - informe'!$Y$18:$AG$42,'Introducció dades consum'!K5082+1,0)</f>
        <v>0</v>
      </c>
      <c r="O5082" s="370" cm="1">
        <f t="array" ref="O5082">+_xlfn.SWITCH(MONTH(C5082),1,1,2,1,3,1,4,2,5,2,6,3,7,3,8,3,9,3,10,2,11,2,12,1,2)</f>
        <v>1</v>
      </c>
      <c r="P5082" s="43"/>
    </row>
    <row r="5083" spans="1:16" ht="18" x14ac:dyDescent="0.35">
      <c r="A5083" s="9"/>
      <c r="C5083" s="393"/>
      <c r="E5083" s="394"/>
      <c r="F5083" s="394">
        <v>2.6850000000000001</v>
      </c>
      <c r="G5083" s="394"/>
      <c r="H5083" s="8" t="s">
        <v>235</v>
      </c>
      <c r="I5083" s="368">
        <f t="shared" si="238"/>
        <v>0</v>
      </c>
      <c r="J5083" s="365">
        <f t="shared" si="237"/>
        <v>0</v>
      </c>
      <c r="K5083" s="369">
        <f t="shared" si="239"/>
        <v>6</v>
      </c>
      <c r="L5083" s="369">
        <f>+IF((C5083&gt;='Resultats - informe'!$E$16)*(C5083&lt;='Resultats - informe'!$G$16),1,0)</f>
        <v>1</v>
      </c>
      <c r="M5083" s="369" cm="1">
        <f t="array" ref="M5083">+_xlfn.IFS((C5083&gt;='Resultats - informe'!$D$26)*(C5083&lt;='Resultats - informe'!$E$26),0,(C5083&gt;='Resultats - informe'!$D$27)*(C5083&lt;='Resultats - informe'!$E$27),0,(C5083&gt;='Resultats - informe'!$D$28)*(C5083&lt;='Resultats - informe'!$E$28),0,(C5083&gt;='Resultats - informe'!$D$29)*(C5083&lt;='Resultats - informe'!$E$29),0,1,1)</f>
        <v>0</v>
      </c>
      <c r="N5083" s="366">
        <f>+VLOOKUP(D5083,'Resultats - informe'!$Y$18:$AG$42,'Introducció dades consum'!K5083+1,0)</f>
        <v>0</v>
      </c>
      <c r="O5083" s="370" cm="1">
        <f t="array" ref="O5083">+_xlfn.SWITCH(MONTH(C5083),1,1,2,1,3,1,4,2,5,2,6,3,7,3,8,3,9,3,10,2,11,2,12,1,2)</f>
        <v>1</v>
      </c>
      <c r="P5083" s="43"/>
    </row>
    <row r="5084" spans="1:16" ht="18" x14ac:dyDescent="0.35">
      <c r="A5084" s="9"/>
      <c r="C5084" s="393"/>
      <c r="E5084" s="394"/>
      <c r="F5084" s="394">
        <v>4.0380000000000003</v>
      </c>
      <c r="G5084" s="394"/>
      <c r="H5084" s="8" t="s">
        <v>235</v>
      </c>
      <c r="I5084" s="368">
        <f t="shared" si="238"/>
        <v>0</v>
      </c>
      <c r="J5084" s="365">
        <f t="shared" si="237"/>
        <v>0</v>
      </c>
      <c r="K5084" s="369">
        <f t="shared" si="239"/>
        <v>6</v>
      </c>
      <c r="L5084" s="369">
        <f>+IF((C5084&gt;='Resultats - informe'!$E$16)*(C5084&lt;='Resultats - informe'!$G$16),1,0)</f>
        <v>1</v>
      </c>
      <c r="M5084" s="369" cm="1">
        <f t="array" ref="M5084">+_xlfn.IFS((C5084&gt;='Resultats - informe'!$D$26)*(C5084&lt;='Resultats - informe'!$E$26),0,(C5084&gt;='Resultats - informe'!$D$27)*(C5084&lt;='Resultats - informe'!$E$27),0,(C5084&gt;='Resultats - informe'!$D$28)*(C5084&lt;='Resultats - informe'!$E$28),0,(C5084&gt;='Resultats - informe'!$D$29)*(C5084&lt;='Resultats - informe'!$E$29),0,1,1)</f>
        <v>0</v>
      </c>
      <c r="N5084" s="366">
        <f>+VLOOKUP(D5084,'Resultats - informe'!$Y$18:$AG$42,'Introducció dades consum'!K5084+1,0)</f>
        <v>0</v>
      </c>
      <c r="O5084" s="370" cm="1">
        <f t="array" ref="O5084">+_xlfn.SWITCH(MONTH(C5084),1,1,2,1,3,1,4,2,5,2,6,3,7,3,8,3,9,3,10,2,11,2,12,1,2)</f>
        <v>1</v>
      </c>
      <c r="P5084" s="43"/>
    </row>
    <row r="5085" spans="1:16" ht="18" x14ac:dyDescent="0.35">
      <c r="A5085" s="9"/>
      <c r="C5085" s="393"/>
      <c r="E5085" s="394"/>
      <c r="F5085" s="394">
        <v>1E-3</v>
      </c>
      <c r="G5085" s="394"/>
      <c r="H5085" s="8" t="s">
        <v>235</v>
      </c>
      <c r="I5085" s="368">
        <f t="shared" si="238"/>
        <v>0</v>
      </c>
      <c r="J5085" s="365">
        <f t="shared" si="237"/>
        <v>0</v>
      </c>
      <c r="K5085" s="369">
        <f t="shared" si="239"/>
        <v>6</v>
      </c>
      <c r="L5085" s="369">
        <f>+IF((C5085&gt;='Resultats - informe'!$E$16)*(C5085&lt;='Resultats - informe'!$G$16),1,0)</f>
        <v>1</v>
      </c>
      <c r="M5085" s="369" cm="1">
        <f t="array" ref="M5085">+_xlfn.IFS((C5085&gt;='Resultats - informe'!$D$26)*(C5085&lt;='Resultats - informe'!$E$26),0,(C5085&gt;='Resultats - informe'!$D$27)*(C5085&lt;='Resultats - informe'!$E$27),0,(C5085&gt;='Resultats - informe'!$D$28)*(C5085&lt;='Resultats - informe'!$E$28),0,(C5085&gt;='Resultats - informe'!$D$29)*(C5085&lt;='Resultats - informe'!$E$29),0,1,1)</f>
        <v>0</v>
      </c>
      <c r="N5085" s="366">
        <f>+VLOOKUP(D5085,'Resultats - informe'!$Y$18:$AG$42,'Introducció dades consum'!K5085+1,0)</f>
        <v>0</v>
      </c>
      <c r="O5085" s="370" cm="1">
        <f t="array" ref="O5085">+_xlfn.SWITCH(MONTH(C5085),1,1,2,1,3,1,4,2,5,2,6,3,7,3,8,3,9,3,10,2,11,2,12,1,2)</f>
        <v>1</v>
      </c>
      <c r="P5085" s="43"/>
    </row>
    <row r="5086" spans="1:16" ht="18" x14ac:dyDescent="0.35">
      <c r="A5086" s="9"/>
      <c r="C5086" s="393"/>
      <c r="E5086" s="394"/>
      <c r="F5086" s="394">
        <v>3.2000000000000001E-2</v>
      </c>
      <c r="G5086" s="394"/>
      <c r="H5086" s="8" t="s">
        <v>235</v>
      </c>
      <c r="I5086" s="368">
        <f t="shared" si="238"/>
        <v>0</v>
      </c>
      <c r="J5086" s="365">
        <f t="shared" si="237"/>
        <v>0</v>
      </c>
      <c r="K5086" s="369">
        <f t="shared" si="239"/>
        <v>6</v>
      </c>
      <c r="L5086" s="369">
        <f>+IF((C5086&gt;='Resultats - informe'!$E$16)*(C5086&lt;='Resultats - informe'!$G$16),1,0)</f>
        <v>1</v>
      </c>
      <c r="M5086" s="369" cm="1">
        <f t="array" ref="M5086">+_xlfn.IFS((C5086&gt;='Resultats - informe'!$D$26)*(C5086&lt;='Resultats - informe'!$E$26),0,(C5086&gt;='Resultats - informe'!$D$27)*(C5086&lt;='Resultats - informe'!$E$27),0,(C5086&gt;='Resultats - informe'!$D$28)*(C5086&lt;='Resultats - informe'!$E$28),0,(C5086&gt;='Resultats - informe'!$D$29)*(C5086&lt;='Resultats - informe'!$E$29),0,1,1)</f>
        <v>0</v>
      </c>
      <c r="N5086" s="366">
        <f>+VLOOKUP(D5086,'Resultats - informe'!$Y$18:$AG$42,'Introducció dades consum'!K5086+1,0)</f>
        <v>0</v>
      </c>
      <c r="O5086" s="370" cm="1">
        <f t="array" ref="O5086">+_xlfn.SWITCH(MONTH(C5086),1,1,2,1,3,1,4,2,5,2,6,3,7,3,8,3,9,3,10,2,11,2,12,1,2)</f>
        <v>1</v>
      </c>
      <c r="P5086" s="43"/>
    </row>
    <row r="5087" spans="1:16" ht="18" x14ac:dyDescent="0.35">
      <c r="A5087" s="9"/>
      <c r="C5087" s="393"/>
      <c r="E5087" s="394"/>
      <c r="F5087" s="394">
        <v>0</v>
      </c>
      <c r="G5087" s="394"/>
      <c r="H5087" s="8" t="s">
        <v>235</v>
      </c>
      <c r="I5087" s="368">
        <f t="shared" si="238"/>
        <v>0</v>
      </c>
      <c r="J5087" s="365">
        <f t="shared" si="237"/>
        <v>0</v>
      </c>
      <c r="K5087" s="369">
        <f t="shared" si="239"/>
        <v>6</v>
      </c>
      <c r="L5087" s="369">
        <f>+IF((C5087&gt;='Resultats - informe'!$E$16)*(C5087&lt;='Resultats - informe'!$G$16),1,0)</f>
        <v>1</v>
      </c>
      <c r="M5087" s="369" cm="1">
        <f t="array" ref="M5087">+_xlfn.IFS((C5087&gt;='Resultats - informe'!$D$26)*(C5087&lt;='Resultats - informe'!$E$26),0,(C5087&gt;='Resultats - informe'!$D$27)*(C5087&lt;='Resultats - informe'!$E$27),0,(C5087&gt;='Resultats - informe'!$D$28)*(C5087&lt;='Resultats - informe'!$E$28),0,(C5087&gt;='Resultats - informe'!$D$29)*(C5087&lt;='Resultats - informe'!$E$29),0,1,1)</f>
        <v>0</v>
      </c>
      <c r="N5087" s="366">
        <f>+VLOOKUP(D5087,'Resultats - informe'!$Y$18:$AG$42,'Introducció dades consum'!K5087+1,0)</f>
        <v>0</v>
      </c>
      <c r="O5087" s="370" cm="1">
        <f t="array" ref="O5087">+_xlfn.SWITCH(MONTH(C5087),1,1,2,1,3,1,4,2,5,2,6,3,7,3,8,3,9,3,10,2,11,2,12,1,2)</f>
        <v>1</v>
      </c>
      <c r="P5087" s="43"/>
    </row>
    <row r="5088" spans="1:16" ht="18" x14ac:dyDescent="0.35">
      <c r="A5088" s="9"/>
      <c r="C5088" s="393"/>
      <c r="E5088" s="394"/>
      <c r="F5088" s="394">
        <v>0</v>
      </c>
      <c r="G5088" s="394"/>
      <c r="H5088" s="8" t="s">
        <v>235</v>
      </c>
      <c r="I5088" s="368">
        <f t="shared" si="238"/>
        <v>0</v>
      </c>
      <c r="J5088" s="365">
        <f t="shared" si="237"/>
        <v>0</v>
      </c>
      <c r="K5088" s="369">
        <f t="shared" si="239"/>
        <v>6</v>
      </c>
      <c r="L5088" s="369">
        <f>+IF((C5088&gt;='Resultats - informe'!$E$16)*(C5088&lt;='Resultats - informe'!$G$16),1,0)</f>
        <v>1</v>
      </c>
      <c r="M5088" s="369" cm="1">
        <f t="array" ref="M5088">+_xlfn.IFS((C5088&gt;='Resultats - informe'!$D$26)*(C5088&lt;='Resultats - informe'!$E$26),0,(C5088&gt;='Resultats - informe'!$D$27)*(C5088&lt;='Resultats - informe'!$E$27),0,(C5088&gt;='Resultats - informe'!$D$28)*(C5088&lt;='Resultats - informe'!$E$28),0,(C5088&gt;='Resultats - informe'!$D$29)*(C5088&lt;='Resultats - informe'!$E$29),0,1,1)</f>
        <v>0</v>
      </c>
      <c r="N5088" s="366">
        <f>+VLOOKUP(D5088,'Resultats - informe'!$Y$18:$AG$42,'Introducció dades consum'!K5088+1,0)</f>
        <v>0</v>
      </c>
      <c r="O5088" s="370" cm="1">
        <f t="array" ref="O5088">+_xlfn.SWITCH(MONTH(C5088),1,1,2,1,3,1,4,2,5,2,6,3,7,3,8,3,9,3,10,2,11,2,12,1,2)</f>
        <v>1</v>
      </c>
      <c r="P5088" s="43"/>
    </row>
    <row r="5089" spans="1:16" ht="18" x14ac:dyDescent="0.35">
      <c r="A5089" s="9"/>
      <c r="C5089" s="393"/>
      <c r="E5089" s="394"/>
      <c r="F5089" s="394">
        <v>0</v>
      </c>
      <c r="G5089" s="394"/>
      <c r="H5089" s="8" t="s">
        <v>235</v>
      </c>
      <c r="I5089" s="368">
        <f t="shared" si="238"/>
        <v>0</v>
      </c>
      <c r="J5089" s="365">
        <f t="shared" si="237"/>
        <v>0</v>
      </c>
      <c r="K5089" s="369">
        <f t="shared" si="239"/>
        <v>6</v>
      </c>
      <c r="L5089" s="369">
        <f>+IF((C5089&gt;='Resultats - informe'!$E$16)*(C5089&lt;='Resultats - informe'!$G$16),1,0)</f>
        <v>1</v>
      </c>
      <c r="M5089" s="369" cm="1">
        <f t="array" ref="M5089">+_xlfn.IFS((C5089&gt;='Resultats - informe'!$D$26)*(C5089&lt;='Resultats - informe'!$E$26),0,(C5089&gt;='Resultats - informe'!$D$27)*(C5089&lt;='Resultats - informe'!$E$27),0,(C5089&gt;='Resultats - informe'!$D$28)*(C5089&lt;='Resultats - informe'!$E$28),0,(C5089&gt;='Resultats - informe'!$D$29)*(C5089&lt;='Resultats - informe'!$E$29),0,1,1)</f>
        <v>0</v>
      </c>
      <c r="N5089" s="366">
        <f>+VLOOKUP(D5089,'Resultats - informe'!$Y$18:$AG$42,'Introducció dades consum'!K5089+1,0)</f>
        <v>0</v>
      </c>
      <c r="O5089" s="370" cm="1">
        <f t="array" ref="O5089">+_xlfn.SWITCH(MONTH(C5089),1,1,2,1,3,1,4,2,5,2,6,3,7,3,8,3,9,3,10,2,11,2,12,1,2)</f>
        <v>1</v>
      </c>
      <c r="P5089" s="43"/>
    </row>
    <row r="5090" spans="1:16" ht="18" x14ac:dyDescent="0.35">
      <c r="A5090" s="9"/>
      <c r="C5090" s="393"/>
      <c r="E5090" s="394"/>
      <c r="F5090" s="394">
        <v>0</v>
      </c>
      <c r="G5090" s="394"/>
      <c r="H5090" s="8" t="s">
        <v>235</v>
      </c>
      <c r="I5090" s="368">
        <f t="shared" si="238"/>
        <v>0</v>
      </c>
      <c r="J5090" s="365">
        <f t="shared" si="237"/>
        <v>0</v>
      </c>
      <c r="K5090" s="369">
        <f t="shared" si="239"/>
        <v>6</v>
      </c>
      <c r="L5090" s="369">
        <f>+IF((C5090&gt;='Resultats - informe'!$E$16)*(C5090&lt;='Resultats - informe'!$G$16),1,0)</f>
        <v>1</v>
      </c>
      <c r="M5090" s="369" cm="1">
        <f t="array" ref="M5090">+_xlfn.IFS((C5090&gt;='Resultats - informe'!$D$26)*(C5090&lt;='Resultats - informe'!$E$26),0,(C5090&gt;='Resultats - informe'!$D$27)*(C5090&lt;='Resultats - informe'!$E$27),0,(C5090&gt;='Resultats - informe'!$D$28)*(C5090&lt;='Resultats - informe'!$E$28),0,(C5090&gt;='Resultats - informe'!$D$29)*(C5090&lt;='Resultats - informe'!$E$29),0,1,1)</f>
        <v>0</v>
      </c>
      <c r="N5090" s="366">
        <f>+VLOOKUP(D5090,'Resultats - informe'!$Y$18:$AG$42,'Introducció dades consum'!K5090+1,0)</f>
        <v>0</v>
      </c>
      <c r="O5090" s="370" cm="1">
        <f t="array" ref="O5090">+_xlfn.SWITCH(MONTH(C5090),1,1,2,1,3,1,4,2,5,2,6,3,7,3,8,3,9,3,10,2,11,2,12,1,2)</f>
        <v>1</v>
      </c>
      <c r="P5090" s="43"/>
    </row>
    <row r="5091" spans="1:16" ht="18" x14ac:dyDescent="0.35">
      <c r="A5091" s="9"/>
      <c r="C5091" s="393"/>
      <c r="E5091" s="394"/>
      <c r="F5091" s="394">
        <v>0</v>
      </c>
      <c r="G5091" s="394"/>
      <c r="H5091" s="8" t="s">
        <v>235</v>
      </c>
      <c r="I5091" s="368">
        <f t="shared" si="238"/>
        <v>0</v>
      </c>
      <c r="J5091" s="365">
        <f t="shared" si="237"/>
        <v>0</v>
      </c>
      <c r="K5091" s="369">
        <f t="shared" si="239"/>
        <v>6</v>
      </c>
      <c r="L5091" s="369">
        <f>+IF((C5091&gt;='Resultats - informe'!$E$16)*(C5091&lt;='Resultats - informe'!$G$16),1,0)</f>
        <v>1</v>
      </c>
      <c r="M5091" s="369" cm="1">
        <f t="array" ref="M5091">+_xlfn.IFS((C5091&gt;='Resultats - informe'!$D$26)*(C5091&lt;='Resultats - informe'!$E$26),0,(C5091&gt;='Resultats - informe'!$D$27)*(C5091&lt;='Resultats - informe'!$E$27),0,(C5091&gt;='Resultats - informe'!$D$28)*(C5091&lt;='Resultats - informe'!$E$28),0,(C5091&gt;='Resultats - informe'!$D$29)*(C5091&lt;='Resultats - informe'!$E$29),0,1,1)</f>
        <v>0</v>
      </c>
      <c r="N5091" s="366">
        <f>+VLOOKUP(D5091,'Resultats - informe'!$Y$18:$AG$42,'Introducció dades consum'!K5091+1,0)</f>
        <v>0</v>
      </c>
      <c r="O5091" s="370" cm="1">
        <f t="array" ref="O5091">+_xlfn.SWITCH(MONTH(C5091),1,1,2,1,3,1,4,2,5,2,6,3,7,3,8,3,9,3,10,2,11,2,12,1,2)</f>
        <v>1</v>
      </c>
      <c r="P5091" s="43"/>
    </row>
    <row r="5092" spans="1:16" ht="18" x14ac:dyDescent="0.35">
      <c r="A5092" s="9"/>
      <c r="C5092" s="393"/>
      <c r="E5092" s="394"/>
      <c r="F5092" s="394">
        <v>4.4999999999999998E-2</v>
      </c>
      <c r="G5092" s="394"/>
      <c r="H5092" s="8" t="s">
        <v>235</v>
      </c>
      <c r="I5092" s="368">
        <f t="shared" si="238"/>
        <v>0</v>
      </c>
      <c r="J5092" s="365">
        <f t="shared" si="237"/>
        <v>0</v>
      </c>
      <c r="K5092" s="369">
        <f t="shared" si="239"/>
        <v>6</v>
      </c>
      <c r="L5092" s="369">
        <f>+IF((C5092&gt;='Resultats - informe'!$E$16)*(C5092&lt;='Resultats - informe'!$G$16),1,0)</f>
        <v>1</v>
      </c>
      <c r="M5092" s="369" cm="1">
        <f t="array" ref="M5092">+_xlfn.IFS((C5092&gt;='Resultats - informe'!$D$26)*(C5092&lt;='Resultats - informe'!$E$26),0,(C5092&gt;='Resultats - informe'!$D$27)*(C5092&lt;='Resultats - informe'!$E$27),0,(C5092&gt;='Resultats - informe'!$D$28)*(C5092&lt;='Resultats - informe'!$E$28),0,(C5092&gt;='Resultats - informe'!$D$29)*(C5092&lt;='Resultats - informe'!$E$29),0,1,1)</f>
        <v>0</v>
      </c>
      <c r="N5092" s="366">
        <f>+VLOOKUP(D5092,'Resultats - informe'!$Y$18:$AG$42,'Introducció dades consum'!K5092+1,0)</f>
        <v>0</v>
      </c>
      <c r="O5092" s="370" cm="1">
        <f t="array" ref="O5092">+_xlfn.SWITCH(MONTH(C5092),1,1,2,1,3,1,4,2,5,2,6,3,7,3,8,3,9,3,10,2,11,2,12,1,2)</f>
        <v>1</v>
      </c>
      <c r="P5092" s="43"/>
    </row>
    <row r="5093" spans="1:16" ht="18" x14ac:dyDescent="0.35">
      <c r="A5093" s="9"/>
      <c r="C5093" s="393"/>
      <c r="E5093" s="394"/>
      <c r="F5093" s="394">
        <v>0.42699999999999999</v>
      </c>
      <c r="G5093" s="394"/>
      <c r="H5093" s="8" t="s">
        <v>235</v>
      </c>
      <c r="I5093" s="368">
        <f t="shared" si="238"/>
        <v>0</v>
      </c>
      <c r="J5093" s="365">
        <f t="shared" si="237"/>
        <v>0</v>
      </c>
      <c r="K5093" s="369">
        <f t="shared" si="239"/>
        <v>6</v>
      </c>
      <c r="L5093" s="369">
        <f>+IF((C5093&gt;='Resultats - informe'!$E$16)*(C5093&lt;='Resultats - informe'!$G$16),1,0)</f>
        <v>1</v>
      </c>
      <c r="M5093" s="369" cm="1">
        <f t="array" ref="M5093">+_xlfn.IFS((C5093&gt;='Resultats - informe'!$D$26)*(C5093&lt;='Resultats - informe'!$E$26),0,(C5093&gt;='Resultats - informe'!$D$27)*(C5093&lt;='Resultats - informe'!$E$27),0,(C5093&gt;='Resultats - informe'!$D$28)*(C5093&lt;='Resultats - informe'!$E$28),0,(C5093&gt;='Resultats - informe'!$D$29)*(C5093&lt;='Resultats - informe'!$E$29),0,1,1)</f>
        <v>0</v>
      </c>
      <c r="N5093" s="366">
        <f>+VLOOKUP(D5093,'Resultats - informe'!$Y$18:$AG$42,'Introducció dades consum'!K5093+1,0)</f>
        <v>0</v>
      </c>
      <c r="O5093" s="370" cm="1">
        <f t="array" ref="O5093">+_xlfn.SWITCH(MONTH(C5093),1,1,2,1,3,1,4,2,5,2,6,3,7,3,8,3,9,3,10,2,11,2,12,1,2)</f>
        <v>1</v>
      </c>
      <c r="P5093" s="43"/>
    </row>
    <row r="5094" spans="1:16" ht="18" x14ac:dyDescent="0.35">
      <c r="A5094" s="9"/>
      <c r="C5094" s="393"/>
      <c r="E5094" s="394"/>
      <c r="F5094" s="394">
        <v>0.43</v>
      </c>
      <c r="G5094" s="394"/>
      <c r="H5094" s="8" t="s">
        <v>235</v>
      </c>
      <c r="I5094" s="368">
        <f t="shared" si="238"/>
        <v>0</v>
      </c>
      <c r="J5094" s="365">
        <f t="shared" si="237"/>
        <v>0</v>
      </c>
      <c r="K5094" s="369">
        <f t="shared" si="239"/>
        <v>6</v>
      </c>
      <c r="L5094" s="369">
        <f>+IF((C5094&gt;='Resultats - informe'!$E$16)*(C5094&lt;='Resultats - informe'!$G$16),1,0)</f>
        <v>1</v>
      </c>
      <c r="M5094" s="369" cm="1">
        <f t="array" ref="M5094">+_xlfn.IFS((C5094&gt;='Resultats - informe'!$D$26)*(C5094&lt;='Resultats - informe'!$E$26),0,(C5094&gt;='Resultats - informe'!$D$27)*(C5094&lt;='Resultats - informe'!$E$27),0,(C5094&gt;='Resultats - informe'!$D$28)*(C5094&lt;='Resultats - informe'!$E$28),0,(C5094&gt;='Resultats - informe'!$D$29)*(C5094&lt;='Resultats - informe'!$E$29),0,1,1)</f>
        <v>0</v>
      </c>
      <c r="N5094" s="366">
        <f>+VLOOKUP(D5094,'Resultats - informe'!$Y$18:$AG$42,'Introducció dades consum'!K5094+1,0)</f>
        <v>0</v>
      </c>
      <c r="O5094" s="370" cm="1">
        <f t="array" ref="O5094">+_xlfn.SWITCH(MONTH(C5094),1,1,2,1,3,1,4,2,5,2,6,3,7,3,8,3,9,3,10,2,11,2,12,1,2)</f>
        <v>1</v>
      </c>
      <c r="P5094" s="43"/>
    </row>
    <row r="5095" spans="1:16" ht="18" x14ac:dyDescent="0.35">
      <c r="A5095" s="9"/>
      <c r="C5095" s="393"/>
      <c r="E5095" s="394"/>
      <c r="F5095" s="394">
        <v>0.43</v>
      </c>
      <c r="G5095" s="394"/>
      <c r="H5095" s="8" t="s">
        <v>235</v>
      </c>
      <c r="I5095" s="368">
        <f t="shared" si="238"/>
        <v>0</v>
      </c>
      <c r="J5095" s="365">
        <f t="shared" si="237"/>
        <v>0</v>
      </c>
      <c r="K5095" s="369">
        <f t="shared" si="239"/>
        <v>6</v>
      </c>
      <c r="L5095" s="369">
        <f>+IF((C5095&gt;='Resultats - informe'!$E$16)*(C5095&lt;='Resultats - informe'!$G$16),1,0)</f>
        <v>1</v>
      </c>
      <c r="M5095" s="369" cm="1">
        <f t="array" ref="M5095">+_xlfn.IFS((C5095&gt;='Resultats - informe'!$D$26)*(C5095&lt;='Resultats - informe'!$E$26),0,(C5095&gt;='Resultats - informe'!$D$27)*(C5095&lt;='Resultats - informe'!$E$27),0,(C5095&gt;='Resultats - informe'!$D$28)*(C5095&lt;='Resultats - informe'!$E$28),0,(C5095&gt;='Resultats - informe'!$D$29)*(C5095&lt;='Resultats - informe'!$E$29),0,1,1)</f>
        <v>0</v>
      </c>
      <c r="N5095" s="366">
        <f>+VLOOKUP(D5095,'Resultats - informe'!$Y$18:$AG$42,'Introducció dades consum'!K5095+1,0)</f>
        <v>0</v>
      </c>
      <c r="O5095" s="370" cm="1">
        <f t="array" ref="O5095">+_xlfn.SWITCH(MONTH(C5095),1,1,2,1,3,1,4,2,5,2,6,3,7,3,8,3,9,3,10,2,11,2,12,1,2)</f>
        <v>1</v>
      </c>
      <c r="P5095" s="43"/>
    </row>
    <row r="5096" spans="1:16" ht="18" x14ac:dyDescent="0.35">
      <c r="A5096" s="9"/>
      <c r="C5096" s="393"/>
      <c r="E5096" s="394"/>
      <c r="F5096" s="394">
        <v>0.43</v>
      </c>
      <c r="G5096" s="394"/>
      <c r="H5096" s="8" t="s">
        <v>235</v>
      </c>
      <c r="I5096" s="368">
        <f t="shared" si="238"/>
        <v>0</v>
      </c>
      <c r="J5096" s="365">
        <f t="shared" si="237"/>
        <v>0</v>
      </c>
      <c r="K5096" s="369">
        <f t="shared" si="239"/>
        <v>6</v>
      </c>
      <c r="L5096" s="369">
        <f>+IF((C5096&gt;='Resultats - informe'!$E$16)*(C5096&lt;='Resultats - informe'!$G$16),1,0)</f>
        <v>1</v>
      </c>
      <c r="M5096" s="369" cm="1">
        <f t="array" ref="M5096">+_xlfn.IFS((C5096&gt;='Resultats - informe'!$D$26)*(C5096&lt;='Resultats - informe'!$E$26),0,(C5096&gt;='Resultats - informe'!$D$27)*(C5096&lt;='Resultats - informe'!$E$27),0,(C5096&gt;='Resultats - informe'!$D$28)*(C5096&lt;='Resultats - informe'!$E$28),0,(C5096&gt;='Resultats - informe'!$D$29)*(C5096&lt;='Resultats - informe'!$E$29),0,1,1)</f>
        <v>0</v>
      </c>
      <c r="N5096" s="366">
        <f>+VLOOKUP(D5096,'Resultats - informe'!$Y$18:$AG$42,'Introducció dades consum'!K5096+1,0)</f>
        <v>0</v>
      </c>
      <c r="O5096" s="370" cm="1">
        <f t="array" ref="O5096">+_xlfn.SWITCH(MONTH(C5096),1,1,2,1,3,1,4,2,5,2,6,3,7,3,8,3,9,3,10,2,11,2,12,1,2)</f>
        <v>1</v>
      </c>
      <c r="P5096" s="43"/>
    </row>
    <row r="5097" spans="1:16" ht="18" x14ac:dyDescent="0.35">
      <c r="A5097" s="9"/>
      <c r="C5097" s="393"/>
      <c r="E5097" s="394"/>
      <c r="F5097" s="394">
        <v>0.432</v>
      </c>
      <c r="G5097" s="394"/>
      <c r="H5097" s="8" t="s">
        <v>235</v>
      </c>
      <c r="I5097" s="368">
        <f t="shared" si="238"/>
        <v>0</v>
      </c>
      <c r="J5097" s="365">
        <f t="shared" si="237"/>
        <v>0</v>
      </c>
      <c r="K5097" s="369">
        <f t="shared" si="239"/>
        <v>6</v>
      </c>
      <c r="L5097" s="369">
        <f>+IF((C5097&gt;='Resultats - informe'!$E$16)*(C5097&lt;='Resultats - informe'!$G$16),1,0)</f>
        <v>1</v>
      </c>
      <c r="M5097" s="369" cm="1">
        <f t="array" ref="M5097">+_xlfn.IFS((C5097&gt;='Resultats - informe'!$D$26)*(C5097&lt;='Resultats - informe'!$E$26),0,(C5097&gt;='Resultats - informe'!$D$27)*(C5097&lt;='Resultats - informe'!$E$27),0,(C5097&gt;='Resultats - informe'!$D$28)*(C5097&lt;='Resultats - informe'!$E$28),0,(C5097&gt;='Resultats - informe'!$D$29)*(C5097&lt;='Resultats - informe'!$E$29),0,1,1)</f>
        <v>0</v>
      </c>
      <c r="N5097" s="366">
        <f>+VLOOKUP(D5097,'Resultats - informe'!$Y$18:$AG$42,'Introducció dades consum'!K5097+1,0)</f>
        <v>0</v>
      </c>
      <c r="O5097" s="370" cm="1">
        <f t="array" ref="O5097">+_xlfn.SWITCH(MONTH(C5097),1,1,2,1,3,1,4,2,5,2,6,3,7,3,8,3,9,3,10,2,11,2,12,1,2)</f>
        <v>1</v>
      </c>
      <c r="P5097" s="43"/>
    </row>
    <row r="5098" spans="1:16" ht="18" x14ac:dyDescent="0.35">
      <c r="A5098" s="9"/>
      <c r="C5098" s="393"/>
      <c r="E5098" s="394"/>
      <c r="F5098" s="394">
        <v>0.42599999999999999</v>
      </c>
      <c r="G5098" s="394"/>
      <c r="H5098" s="8" t="s">
        <v>235</v>
      </c>
      <c r="I5098" s="368">
        <f t="shared" si="238"/>
        <v>0</v>
      </c>
      <c r="J5098" s="365">
        <f t="shared" si="237"/>
        <v>0</v>
      </c>
      <c r="K5098" s="369">
        <f t="shared" si="239"/>
        <v>6</v>
      </c>
      <c r="L5098" s="369">
        <f>+IF((C5098&gt;='Resultats - informe'!$E$16)*(C5098&lt;='Resultats - informe'!$G$16),1,0)</f>
        <v>1</v>
      </c>
      <c r="M5098" s="369" cm="1">
        <f t="array" ref="M5098">+_xlfn.IFS((C5098&gt;='Resultats - informe'!$D$26)*(C5098&lt;='Resultats - informe'!$E$26),0,(C5098&gt;='Resultats - informe'!$D$27)*(C5098&lt;='Resultats - informe'!$E$27),0,(C5098&gt;='Resultats - informe'!$D$28)*(C5098&lt;='Resultats - informe'!$E$28),0,(C5098&gt;='Resultats - informe'!$D$29)*(C5098&lt;='Resultats - informe'!$E$29),0,1,1)</f>
        <v>0</v>
      </c>
      <c r="N5098" s="366">
        <f>+VLOOKUP(D5098,'Resultats - informe'!$Y$18:$AG$42,'Introducció dades consum'!K5098+1,0)</f>
        <v>0</v>
      </c>
      <c r="O5098" s="370" cm="1">
        <f t="array" ref="O5098">+_xlfn.SWITCH(MONTH(C5098),1,1,2,1,3,1,4,2,5,2,6,3,7,3,8,3,9,3,10,2,11,2,12,1,2)</f>
        <v>1</v>
      </c>
      <c r="P5098" s="43"/>
    </row>
    <row r="5099" spans="1:16" ht="18" x14ac:dyDescent="0.35">
      <c r="A5099" s="9"/>
      <c r="C5099" s="393"/>
      <c r="E5099" s="394"/>
      <c r="F5099" s="394">
        <v>0.434</v>
      </c>
      <c r="G5099" s="394"/>
      <c r="H5099" s="8" t="s">
        <v>235</v>
      </c>
      <c r="I5099" s="368">
        <f t="shared" si="238"/>
        <v>0</v>
      </c>
      <c r="J5099" s="365">
        <f t="shared" si="237"/>
        <v>0</v>
      </c>
      <c r="K5099" s="369">
        <f t="shared" si="239"/>
        <v>6</v>
      </c>
      <c r="L5099" s="369">
        <f>+IF((C5099&gt;='Resultats - informe'!$E$16)*(C5099&lt;='Resultats - informe'!$G$16),1,0)</f>
        <v>1</v>
      </c>
      <c r="M5099" s="369" cm="1">
        <f t="array" ref="M5099">+_xlfn.IFS((C5099&gt;='Resultats - informe'!$D$26)*(C5099&lt;='Resultats - informe'!$E$26),0,(C5099&gt;='Resultats - informe'!$D$27)*(C5099&lt;='Resultats - informe'!$E$27),0,(C5099&gt;='Resultats - informe'!$D$28)*(C5099&lt;='Resultats - informe'!$E$28),0,(C5099&gt;='Resultats - informe'!$D$29)*(C5099&lt;='Resultats - informe'!$E$29),0,1,1)</f>
        <v>0</v>
      </c>
      <c r="N5099" s="366">
        <f>+VLOOKUP(D5099,'Resultats - informe'!$Y$18:$AG$42,'Introducció dades consum'!K5099+1,0)</f>
        <v>0</v>
      </c>
      <c r="O5099" s="370" cm="1">
        <f t="array" ref="O5099">+_xlfn.SWITCH(MONTH(C5099),1,1,2,1,3,1,4,2,5,2,6,3,7,3,8,3,9,3,10,2,11,2,12,1,2)</f>
        <v>1</v>
      </c>
      <c r="P5099" s="43"/>
    </row>
    <row r="5100" spans="1:16" ht="18" x14ac:dyDescent="0.35">
      <c r="A5100" s="9"/>
      <c r="C5100" s="393"/>
      <c r="E5100" s="394"/>
      <c r="F5100" s="394">
        <v>0.96099999999999997</v>
      </c>
      <c r="G5100" s="394"/>
      <c r="H5100" s="8" t="s">
        <v>235</v>
      </c>
      <c r="I5100" s="368">
        <f t="shared" si="238"/>
        <v>0</v>
      </c>
      <c r="J5100" s="365">
        <f t="shared" si="237"/>
        <v>0</v>
      </c>
      <c r="K5100" s="369">
        <f t="shared" si="239"/>
        <v>6</v>
      </c>
      <c r="L5100" s="369">
        <f>+IF((C5100&gt;='Resultats - informe'!$E$16)*(C5100&lt;='Resultats - informe'!$G$16),1,0)</f>
        <v>1</v>
      </c>
      <c r="M5100" s="369" cm="1">
        <f t="array" ref="M5100">+_xlfn.IFS((C5100&gt;='Resultats - informe'!$D$26)*(C5100&lt;='Resultats - informe'!$E$26),0,(C5100&gt;='Resultats - informe'!$D$27)*(C5100&lt;='Resultats - informe'!$E$27),0,(C5100&gt;='Resultats - informe'!$D$28)*(C5100&lt;='Resultats - informe'!$E$28),0,(C5100&gt;='Resultats - informe'!$D$29)*(C5100&lt;='Resultats - informe'!$E$29),0,1,1)</f>
        <v>0</v>
      </c>
      <c r="N5100" s="366">
        <f>+VLOOKUP(D5100,'Resultats - informe'!$Y$18:$AG$42,'Introducció dades consum'!K5100+1,0)</f>
        <v>0</v>
      </c>
      <c r="O5100" s="370" cm="1">
        <f t="array" ref="O5100">+_xlfn.SWITCH(MONTH(C5100),1,1,2,1,3,1,4,2,5,2,6,3,7,3,8,3,9,3,10,2,11,2,12,1,2)</f>
        <v>1</v>
      </c>
      <c r="P5100" s="43"/>
    </row>
    <row r="5101" spans="1:16" ht="18" x14ac:dyDescent="0.35">
      <c r="A5101" s="9"/>
      <c r="C5101" s="393"/>
      <c r="E5101" s="394"/>
      <c r="F5101" s="394">
        <v>0.90500000000000003</v>
      </c>
      <c r="G5101" s="394"/>
      <c r="H5101" s="8" t="s">
        <v>235</v>
      </c>
      <c r="I5101" s="368">
        <f t="shared" si="238"/>
        <v>0</v>
      </c>
      <c r="J5101" s="365">
        <f t="shared" si="237"/>
        <v>0</v>
      </c>
      <c r="K5101" s="369">
        <f t="shared" si="239"/>
        <v>6</v>
      </c>
      <c r="L5101" s="369">
        <f>+IF((C5101&gt;='Resultats - informe'!$E$16)*(C5101&lt;='Resultats - informe'!$G$16),1,0)</f>
        <v>1</v>
      </c>
      <c r="M5101" s="369" cm="1">
        <f t="array" ref="M5101">+_xlfn.IFS((C5101&gt;='Resultats - informe'!$D$26)*(C5101&lt;='Resultats - informe'!$E$26),0,(C5101&gt;='Resultats - informe'!$D$27)*(C5101&lt;='Resultats - informe'!$E$27),0,(C5101&gt;='Resultats - informe'!$D$28)*(C5101&lt;='Resultats - informe'!$E$28),0,(C5101&gt;='Resultats - informe'!$D$29)*(C5101&lt;='Resultats - informe'!$E$29),0,1,1)</f>
        <v>0</v>
      </c>
      <c r="N5101" s="366">
        <f>+VLOOKUP(D5101,'Resultats - informe'!$Y$18:$AG$42,'Introducció dades consum'!K5101+1,0)</f>
        <v>0</v>
      </c>
      <c r="O5101" s="370" cm="1">
        <f t="array" ref="O5101">+_xlfn.SWITCH(MONTH(C5101),1,1,2,1,3,1,4,2,5,2,6,3,7,3,8,3,9,3,10,2,11,2,12,1,2)</f>
        <v>1</v>
      </c>
      <c r="P5101" s="43"/>
    </row>
    <row r="5102" spans="1:16" ht="18" x14ac:dyDescent="0.35">
      <c r="A5102" s="9"/>
      <c r="C5102" s="393"/>
      <c r="E5102" s="394"/>
      <c r="F5102" s="394">
        <v>1.8029999999999999</v>
      </c>
      <c r="G5102" s="394"/>
      <c r="H5102" s="8" t="s">
        <v>235</v>
      </c>
      <c r="I5102" s="368">
        <f t="shared" si="238"/>
        <v>0</v>
      </c>
      <c r="J5102" s="365">
        <f t="shared" si="237"/>
        <v>0</v>
      </c>
      <c r="K5102" s="369">
        <f t="shared" si="239"/>
        <v>6</v>
      </c>
      <c r="L5102" s="369">
        <f>+IF((C5102&gt;='Resultats - informe'!$E$16)*(C5102&lt;='Resultats - informe'!$G$16),1,0)</f>
        <v>1</v>
      </c>
      <c r="M5102" s="369" cm="1">
        <f t="array" ref="M5102">+_xlfn.IFS((C5102&gt;='Resultats - informe'!$D$26)*(C5102&lt;='Resultats - informe'!$E$26),0,(C5102&gt;='Resultats - informe'!$D$27)*(C5102&lt;='Resultats - informe'!$E$27),0,(C5102&gt;='Resultats - informe'!$D$28)*(C5102&lt;='Resultats - informe'!$E$28),0,(C5102&gt;='Resultats - informe'!$D$29)*(C5102&lt;='Resultats - informe'!$E$29),0,1,1)</f>
        <v>0</v>
      </c>
      <c r="N5102" s="366">
        <f>+VLOOKUP(D5102,'Resultats - informe'!$Y$18:$AG$42,'Introducció dades consum'!K5102+1,0)</f>
        <v>0</v>
      </c>
      <c r="O5102" s="370" cm="1">
        <f t="array" ref="O5102">+_xlfn.SWITCH(MONTH(C5102),1,1,2,1,3,1,4,2,5,2,6,3,7,3,8,3,9,3,10,2,11,2,12,1,2)</f>
        <v>1</v>
      </c>
      <c r="P5102" s="43"/>
    </row>
    <row r="5103" spans="1:16" ht="18" x14ac:dyDescent="0.35">
      <c r="A5103" s="9"/>
      <c r="C5103" s="393"/>
      <c r="E5103" s="394"/>
      <c r="F5103" s="394">
        <v>1.792</v>
      </c>
      <c r="G5103" s="394"/>
      <c r="H5103" s="8" t="s">
        <v>235</v>
      </c>
      <c r="I5103" s="368">
        <f t="shared" si="238"/>
        <v>0</v>
      </c>
      <c r="J5103" s="365">
        <f t="shared" si="237"/>
        <v>0</v>
      </c>
      <c r="K5103" s="369">
        <f t="shared" si="239"/>
        <v>6</v>
      </c>
      <c r="L5103" s="369">
        <f>+IF((C5103&gt;='Resultats - informe'!$E$16)*(C5103&lt;='Resultats - informe'!$G$16),1,0)</f>
        <v>1</v>
      </c>
      <c r="M5103" s="369" cm="1">
        <f t="array" ref="M5103">+_xlfn.IFS((C5103&gt;='Resultats - informe'!$D$26)*(C5103&lt;='Resultats - informe'!$E$26),0,(C5103&gt;='Resultats - informe'!$D$27)*(C5103&lt;='Resultats - informe'!$E$27),0,(C5103&gt;='Resultats - informe'!$D$28)*(C5103&lt;='Resultats - informe'!$E$28),0,(C5103&gt;='Resultats - informe'!$D$29)*(C5103&lt;='Resultats - informe'!$E$29),0,1,1)</f>
        <v>0</v>
      </c>
      <c r="N5103" s="366">
        <f>+VLOOKUP(D5103,'Resultats - informe'!$Y$18:$AG$42,'Introducció dades consum'!K5103+1,0)</f>
        <v>0</v>
      </c>
      <c r="O5103" s="370" cm="1">
        <f t="array" ref="O5103">+_xlfn.SWITCH(MONTH(C5103),1,1,2,1,3,1,4,2,5,2,6,3,7,3,8,3,9,3,10,2,11,2,12,1,2)</f>
        <v>1</v>
      </c>
      <c r="P5103" s="43"/>
    </row>
    <row r="5104" spans="1:16" ht="18" x14ac:dyDescent="0.35">
      <c r="A5104" s="9"/>
      <c r="C5104" s="393"/>
      <c r="E5104" s="394"/>
      <c r="F5104" s="394">
        <v>1.7050000000000001</v>
      </c>
      <c r="G5104" s="394"/>
      <c r="H5104" s="8" t="s">
        <v>235</v>
      </c>
      <c r="I5104" s="368">
        <f t="shared" si="238"/>
        <v>0</v>
      </c>
      <c r="J5104" s="365">
        <f t="shared" si="237"/>
        <v>0</v>
      </c>
      <c r="K5104" s="369">
        <f t="shared" si="239"/>
        <v>6</v>
      </c>
      <c r="L5104" s="369">
        <f>+IF((C5104&gt;='Resultats - informe'!$E$16)*(C5104&lt;='Resultats - informe'!$G$16),1,0)</f>
        <v>1</v>
      </c>
      <c r="M5104" s="369" cm="1">
        <f t="array" ref="M5104">+_xlfn.IFS((C5104&gt;='Resultats - informe'!$D$26)*(C5104&lt;='Resultats - informe'!$E$26),0,(C5104&gt;='Resultats - informe'!$D$27)*(C5104&lt;='Resultats - informe'!$E$27),0,(C5104&gt;='Resultats - informe'!$D$28)*(C5104&lt;='Resultats - informe'!$E$28),0,(C5104&gt;='Resultats - informe'!$D$29)*(C5104&lt;='Resultats - informe'!$E$29),0,1,1)</f>
        <v>0</v>
      </c>
      <c r="N5104" s="366">
        <f>+VLOOKUP(D5104,'Resultats - informe'!$Y$18:$AG$42,'Introducció dades consum'!K5104+1,0)</f>
        <v>0</v>
      </c>
      <c r="O5104" s="370" cm="1">
        <f t="array" ref="O5104">+_xlfn.SWITCH(MONTH(C5104),1,1,2,1,3,1,4,2,5,2,6,3,7,3,8,3,9,3,10,2,11,2,12,1,2)</f>
        <v>1</v>
      </c>
      <c r="P5104" s="43"/>
    </row>
    <row r="5105" spans="1:16" ht="18" x14ac:dyDescent="0.35">
      <c r="A5105" s="9"/>
      <c r="C5105" s="393"/>
      <c r="E5105" s="394"/>
      <c r="F5105" s="394">
        <v>1.62</v>
      </c>
      <c r="G5105" s="394"/>
      <c r="H5105" s="8" t="s">
        <v>235</v>
      </c>
      <c r="I5105" s="368">
        <f t="shared" si="238"/>
        <v>0</v>
      </c>
      <c r="J5105" s="365">
        <f t="shared" si="237"/>
        <v>0</v>
      </c>
      <c r="K5105" s="369">
        <f t="shared" si="239"/>
        <v>6</v>
      </c>
      <c r="L5105" s="369">
        <f>+IF((C5105&gt;='Resultats - informe'!$E$16)*(C5105&lt;='Resultats - informe'!$G$16),1,0)</f>
        <v>1</v>
      </c>
      <c r="M5105" s="369" cm="1">
        <f t="array" ref="M5105">+_xlfn.IFS((C5105&gt;='Resultats - informe'!$D$26)*(C5105&lt;='Resultats - informe'!$E$26),0,(C5105&gt;='Resultats - informe'!$D$27)*(C5105&lt;='Resultats - informe'!$E$27),0,(C5105&gt;='Resultats - informe'!$D$28)*(C5105&lt;='Resultats - informe'!$E$28),0,(C5105&gt;='Resultats - informe'!$D$29)*(C5105&lt;='Resultats - informe'!$E$29),0,1,1)</f>
        <v>0</v>
      </c>
      <c r="N5105" s="366">
        <f>+VLOOKUP(D5105,'Resultats - informe'!$Y$18:$AG$42,'Introducció dades consum'!K5105+1,0)</f>
        <v>0</v>
      </c>
      <c r="O5105" s="370" cm="1">
        <f t="array" ref="O5105">+_xlfn.SWITCH(MONTH(C5105),1,1,2,1,3,1,4,2,5,2,6,3,7,3,8,3,9,3,10,2,11,2,12,1,2)</f>
        <v>1</v>
      </c>
      <c r="P5105" s="43"/>
    </row>
    <row r="5106" spans="1:16" ht="18" x14ac:dyDescent="0.35">
      <c r="A5106" s="9"/>
      <c r="C5106" s="393"/>
      <c r="E5106" s="394"/>
      <c r="F5106" s="394">
        <v>0.96</v>
      </c>
      <c r="G5106" s="394"/>
      <c r="H5106" s="8" t="s">
        <v>235</v>
      </c>
      <c r="I5106" s="368">
        <f t="shared" si="238"/>
        <v>0</v>
      </c>
      <c r="J5106" s="365">
        <f t="shared" si="237"/>
        <v>0</v>
      </c>
      <c r="K5106" s="369">
        <f t="shared" si="239"/>
        <v>6</v>
      </c>
      <c r="L5106" s="369">
        <f>+IF((C5106&gt;='Resultats - informe'!$E$16)*(C5106&lt;='Resultats - informe'!$G$16),1,0)</f>
        <v>1</v>
      </c>
      <c r="M5106" s="369" cm="1">
        <f t="array" ref="M5106">+_xlfn.IFS((C5106&gt;='Resultats - informe'!$D$26)*(C5106&lt;='Resultats - informe'!$E$26),0,(C5106&gt;='Resultats - informe'!$D$27)*(C5106&lt;='Resultats - informe'!$E$27),0,(C5106&gt;='Resultats - informe'!$D$28)*(C5106&lt;='Resultats - informe'!$E$28),0,(C5106&gt;='Resultats - informe'!$D$29)*(C5106&lt;='Resultats - informe'!$E$29),0,1,1)</f>
        <v>0</v>
      </c>
      <c r="N5106" s="366">
        <f>+VLOOKUP(D5106,'Resultats - informe'!$Y$18:$AG$42,'Introducció dades consum'!K5106+1,0)</f>
        <v>0</v>
      </c>
      <c r="O5106" s="370" cm="1">
        <f t="array" ref="O5106">+_xlfn.SWITCH(MONTH(C5106),1,1,2,1,3,1,4,2,5,2,6,3,7,3,8,3,9,3,10,2,11,2,12,1,2)</f>
        <v>1</v>
      </c>
      <c r="P5106" s="43"/>
    </row>
    <row r="5107" spans="1:16" ht="18" x14ac:dyDescent="0.35">
      <c r="A5107" s="9"/>
      <c r="C5107" s="393"/>
      <c r="E5107" s="394"/>
      <c r="F5107" s="394">
        <v>1.706</v>
      </c>
      <c r="G5107" s="394"/>
      <c r="H5107" s="8" t="s">
        <v>235</v>
      </c>
      <c r="I5107" s="368">
        <f t="shared" si="238"/>
        <v>0</v>
      </c>
      <c r="J5107" s="365">
        <f t="shared" si="237"/>
        <v>0</v>
      </c>
      <c r="K5107" s="369">
        <f t="shared" si="239"/>
        <v>6</v>
      </c>
      <c r="L5107" s="369">
        <f>+IF((C5107&gt;='Resultats - informe'!$E$16)*(C5107&lt;='Resultats - informe'!$G$16),1,0)</f>
        <v>1</v>
      </c>
      <c r="M5107" s="369" cm="1">
        <f t="array" ref="M5107">+_xlfn.IFS((C5107&gt;='Resultats - informe'!$D$26)*(C5107&lt;='Resultats - informe'!$E$26),0,(C5107&gt;='Resultats - informe'!$D$27)*(C5107&lt;='Resultats - informe'!$E$27),0,(C5107&gt;='Resultats - informe'!$D$28)*(C5107&lt;='Resultats - informe'!$E$28),0,(C5107&gt;='Resultats - informe'!$D$29)*(C5107&lt;='Resultats - informe'!$E$29),0,1,1)</f>
        <v>0</v>
      </c>
      <c r="N5107" s="366">
        <f>+VLOOKUP(D5107,'Resultats - informe'!$Y$18:$AG$42,'Introducció dades consum'!K5107+1,0)</f>
        <v>0</v>
      </c>
      <c r="O5107" s="370" cm="1">
        <f t="array" ref="O5107">+_xlfn.SWITCH(MONTH(C5107),1,1,2,1,3,1,4,2,5,2,6,3,7,3,8,3,9,3,10,2,11,2,12,1,2)</f>
        <v>1</v>
      </c>
      <c r="P5107" s="43"/>
    </row>
    <row r="5108" spans="1:16" ht="18" x14ac:dyDescent="0.35">
      <c r="A5108" s="9"/>
      <c r="C5108" s="393"/>
      <c r="E5108" s="394"/>
      <c r="F5108" s="394">
        <v>1.8149999999999999</v>
      </c>
      <c r="G5108" s="394"/>
      <c r="H5108" s="8" t="s">
        <v>235</v>
      </c>
      <c r="I5108" s="368">
        <f t="shared" si="238"/>
        <v>0</v>
      </c>
      <c r="J5108" s="365">
        <f t="shared" si="237"/>
        <v>0</v>
      </c>
      <c r="K5108" s="369">
        <f t="shared" si="239"/>
        <v>6</v>
      </c>
      <c r="L5108" s="369">
        <f>+IF((C5108&gt;='Resultats - informe'!$E$16)*(C5108&lt;='Resultats - informe'!$G$16),1,0)</f>
        <v>1</v>
      </c>
      <c r="M5108" s="369" cm="1">
        <f t="array" ref="M5108">+_xlfn.IFS((C5108&gt;='Resultats - informe'!$D$26)*(C5108&lt;='Resultats - informe'!$E$26),0,(C5108&gt;='Resultats - informe'!$D$27)*(C5108&lt;='Resultats - informe'!$E$27),0,(C5108&gt;='Resultats - informe'!$D$28)*(C5108&lt;='Resultats - informe'!$E$28),0,(C5108&gt;='Resultats - informe'!$D$29)*(C5108&lt;='Resultats - informe'!$E$29),0,1,1)</f>
        <v>0</v>
      </c>
      <c r="N5108" s="366">
        <f>+VLOOKUP(D5108,'Resultats - informe'!$Y$18:$AG$42,'Introducció dades consum'!K5108+1,0)</f>
        <v>0</v>
      </c>
      <c r="O5108" s="370" cm="1">
        <f t="array" ref="O5108">+_xlfn.SWITCH(MONTH(C5108),1,1,2,1,3,1,4,2,5,2,6,3,7,3,8,3,9,3,10,2,11,2,12,1,2)</f>
        <v>1</v>
      </c>
      <c r="P5108" s="43"/>
    </row>
    <row r="5109" spans="1:16" ht="18" x14ac:dyDescent="0.35">
      <c r="A5109" s="9"/>
      <c r="C5109" s="393"/>
      <c r="E5109" s="394"/>
      <c r="F5109" s="394">
        <v>1.4019999999999999</v>
      </c>
      <c r="G5109" s="394"/>
      <c r="H5109" s="8" t="s">
        <v>235</v>
      </c>
      <c r="I5109" s="368">
        <f t="shared" si="238"/>
        <v>0</v>
      </c>
      <c r="J5109" s="365">
        <f t="shared" si="237"/>
        <v>0</v>
      </c>
      <c r="K5109" s="369">
        <f t="shared" si="239"/>
        <v>6</v>
      </c>
      <c r="L5109" s="369">
        <f>+IF((C5109&gt;='Resultats - informe'!$E$16)*(C5109&lt;='Resultats - informe'!$G$16),1,0)</f>
        <v>1</v>
      </c>
      <c r="M5109" s="369" cm="1">
        <f t="array" ref="M5109">+_xlfn.IFS((C5109&gt;='Resultats - informe'!$D$26)*(C5109&lt;='Resultats - informe'!$E$26),0,(C5109&gt;='Resultats - informe'!$D$27)*(C5109&lt;='Resultats - informe'!$E$27),0,(C5109&gt;='Resultats - informe'!$D$28)*(C5109&lt;='Resultats - informe'!$E$28),0,(C5109&gt;='Resultats - informe'!$D$29)*(C5109&lt;='Resultats - informe'!$E$29),0,1,1)</f>
        <v>0</v>
      </c>
      <c r="N5109" s="366">
        <f>+VLOOKUP(D5109,'Resultats - informe'!$Y$18:$AG$42,'Introducció dades consum'!K5109+1,0)</f>
        <v>0</v>
      </c>
      <c r="O5109" s="370" cm="1">
        <f t="array" ref="O5109">+_xlfn.SWITCH(MONTH(C5109),1,1,2,1,3,1,4,2,5,2,6,3,7,3,8,3,9,3,10,2,11,2,12,1,2)</f>
        <v>1</v>
      </c>
      <c r="P5109" s="43"/>
    </row>
    <row r="5110" spans="1:16" ht="18" x14ac:dyDescent="0.35">
      <c r="A5110" s="9"/>
      <c r="C5110" s="393"/>
      <c r="E5110" s="394"/>
      <c r="F5110" s="394">
        <v>2.4750000000000001</v>
      </c>
      <c r="G5110" s="394"/>
      <c r="H5110" s="8" t="s">
        <v>235</v>
      </c>
      <c r="I5110" s="368">
        <f t="shared" si="238"/>
        <v>0</v>
      </c>
      <c r="J5110" s="365">
        <f t="shared" si="237"/>
        <v>0</v>
      </c>
      <c r="K5110" s="369">
        <f t="shared" si="239"/>
        <v>6</v>
      </c>
      <c r="L5110" s="369">
        <f>+IF((C5110&gt;='Resultats - informe'!$E$16)*(C5110&lt;='Resultats - informe'!$G$16),1,0)</f>
        <v>1</v>
      </c>
      <c r="M5110" s="369" cm="1">
        <f t="array" ref="M5110">+_xlfn.IFS((C5110&gt;='Resultats - informe'!$D$26)*(C5110&lt;='Resultats - informe'!$E$26),0,(C5110&gt;='Resultats - informe'!$D$27)*(C5110&lt;='Resultats - informe'!$E$27),0,(C5110&gt;='Resultats - informe'!$D$28)*(C5110&lt;='Resultats - informe'!$E$28),0,(C5110&gt;='Resultats - informe'!$D$29)*(C5110&lt;='Resultats - informe'!$E$29),0,1,1)</f>
        <v>0</v>
      </c>
      <c r="N5110" s="366">
        <f>+VLOOKUP(D5110,'Resultats - informe'!$Y$18:$AG$42,'Introducció dades consum'!K5110+1,0)</f>
        <v>0</v>
      </c>
      <c r="O5110" s="370" cm="1">
        <f t="array" ref="O5110">+_xlfn.SWITCH(MONTH(C5110),1,1,2,1,3,1,4,2,5,2,6,3,7,3,8,3,9,3,10,2,11,2,12,1,2)</f>
        <v>1</v>
      </c>
      <c r="P5110" s="43"/>
    </row>
    <row r="5111" spans="1:16" ht="18" x14ac:dyDescent="0.35">
      <c r="A5111" s="9"/>
      <c r="C5111" s="393"/>
      <c r="E5111" s="394"/>
      <c r="F5111" s="394">
        <v>2.5569999999999999</v>
      </c>
      <c r="G5111" s="394"/>
      <c r="H5111" s="8" t="s">
        <v>235</v>
      </c>
      <c r="I5111" s="368">
        <f t="shared" si="238"/>
        <v>0</v>
      </c>
      <c r="J5111" s="365">
        <f t="shared" si="237"/>
        <v>0</v>
      </c>
      <c r="K5111" s="369">
        <f t="shared" si="239"/>
        <v>6</v>
      </c>
      <c r="L5111" s="369">
        <f>+IF((C5111&gt;='Resultats - informe'!$E$16)*(C5111&lt;='Resultats - informe'!$G$16),1,0)</f>
        <v>1</v>
      </c>
      <c r="M5111" s="369" cm="1">
        <f t="array" ref="M5111">+_xlfn.IFS((C5111&gt;='Resultats - informe'!$D$26)*(C5111&lt;='Resultats - informe'!$E$26),0,(C5111&gt;='Resultats - informe'!$D$27)*(C5111&lt;='Resultats - informe'!$E$27),0,(C5111&gt;='Resultats - informe'!$D$28)*(C5111&lt;='Resultats - informe'!$E$28),0,(C5111&gt;='Resultats - informe'!$D$29)*(C5111&lt;='Resultats - informe'!$E$29),0,1,1)</f>
        <v>0</v>
      </c>
      <c r="N5111" s="366">
        <f>+VLOOKUP(D5111,'Resultats - informe'!$Y$18:$AG$42,'Introducció dades consum'!K5111+1,0)</f>
        <v>0</v>
      </c>
      <c r="O5111" s="370" cm="1">
        <f t="array" ref="O5111">+_xlfn.SWITCH(MONTH(C5111),1,1,2,1,3,1,4,2,5,2,6,3,7,3,8,3,9,3,10,2,11,2,12,1,2)</f>
        <v>1</v>
      </c>
      <c r="P5111" s="43"/>
    </row>
    <row r="5112" spans="1:16" ht="18" x14ac:dyDescent="0.35">
      <c r="A5112" s="9"/>
      <c r="C5112" s="393"/>
      <c r="E5112" s="394"/>
      <c r="F5112" s="394">
        <v>2.5539999999999998</v>
      </c>
      <c r="G5112" s="394"/>
      <c r="H5112" s="8" t="s">
        <v>235</v>
      </c>
      <c r="I5112" s="368">
        <f t="shared" si="238"/>
        <v>0</v>
      </c>
      <c r="J5112" s="365">
        <f t="shared" si="237"/>
        <v>0</v>
      </c>
      <c r="K5112" s="369">
        <f t="shared" si="239"/>
        <v>6</v>
      </c>
      <c r="L5112" s="369">
        <f>+IF((C5112&gt;='Resultats - informe'!$E$16)*(C5112&lt;='Resultats - informe'!$G$16),1,0)</f>
        <v>1</v>
      </c>
      <c r="M5112" s="369" cm="1">
        <f t="array" ref="M5112">+_xlfn.IFS((C5112&gt;='Resultats - informe'!$D$26)*(C5112&lt;='Resultats - informe'!$E$26),0,(C5112&gt;='Resultats - informe'!$D$27)*(C5112&lt;='Resultats - informe'!$E$27),0,(C5112&gt;='Resultats - informe'!$D$28)*(C5112&lt;='Resultats - informe'!$E$28),0,(C5112&gt;='Resultats - informe'!$D$29)*(C5112&lt;='Resultats - informe'!$E$29),0,1,1)</f>
        <v>0</v>
      </c>
      <c r="N5112" s="366">
        <f>+VLOOKUP(D5112,'Resultats - informe'!$Y$18:$AG$42,'Introducció dades consum'!K5112+1,0)</f>
        <v>0</v>
      </c>
      <c r="O5112" s="370" cm="1">
        <f t="array" ref="O5112">+_xlfn.SWITCH(MONTH(C5112),1,1,2,1,3,1,4,2,5,2,6,3,7,3,8,3,9,3,10,2,11,2,12,1,2)</f>
        <v>1</v>
      </c>
      <c r="P5112" s="43"/>
    </row>
    <row r="5113" spans="1:16" ht="18" x14ac:dyDescent="0.35">
      <c r="A5113" s="9"/>
      <c r="C5113" s="393"/>
      <c r="E5113" s="394"/>
      <c r="F5113" s="394">
        <v>2.14</v>
      </c>
      <c r="G5113" s="394"/>
      <c r="H5113" s="8" t="s">
        <v>235</v>
      </c>
      <c r="I5113" s="368">
        <f t="shared" si="238"/>
        <v>0</v>
      </c>
      <c r="J5113" s="365">
        <f t="shared" si="237"/>
        <v>0</v>
      </c>
      <c r="K5113" s="369">
        <f t="shared" si="239"/>
        <v>6</v>
      </c>
      <c r="L5113" s="369">
        <f>+IF((C5113&gt;='Resultats - informe'!$E$16)*(C5113&lt;='Resultats - informe'!$G$16),1,0)</f>
        <v>1</v>
      </c>
      <c r="M5113" s="369" cm="1">
        <f t="array" ref="M5113">+_xlfn.IFS((C5113&gt;='Resultats - informe'!$D$26)*(C5113&lt;='Resultats - informe'!$E$26),0,(C5113&gt;='Resultats - informe'!$D$27)*(C5113&lt;='Resultats - informe'!$E$27),0,(C5113&gt;='Resultats - informe'!$D$28)*(C5113&lt;='Resultats - informe'!$E$28),0,(C5113&gt;='Resultats - informe'!$D$29)*(C5113&lt;='Resultats - informe'!$E$29),0,1,1)</f>
        <v>0</v>
      </c>
      <c r="N5113" s="366">
        <f>+VLOOKUP(D5113,'Resultats - informe'!$Y$18:$AG$42,'Introducció dades consum'!K5113+1,0)</f>
        <v>0</v>
      </c>
      <c r="O5113" s="370" cm="1">
        <f t="array" ref="O5113">+_xlfn.SWITCH(MONTH(C5113),1,1,2,1,3,1,4,2,5,2,6,3,7,3,8,3,9,3,10,2,11,2,12,1,2)</f>
        <v>1</v>
      </c>
      <c r="P5113" s="43"/>
    </row>
    <row r="5114" spans="1:16" ht="18" x14ac:dyDescent="0.35">
      <c r="A5114" s="9"/>
      <c r="C5114" s="393"/>
      <c r="E5114" s="394"/>
      <c r="F5114" s="394">
        <v>1.347</v>
      </c>
      <c r="G5114" s="394"/>
      <c r="H5114" s="8" t="s">
        <v>235</v>
      </c>
      <c r="I5114" s="368">
        <f t="shared" si="238"/>
        <v>0</v>
      </c>
      <c r="J5114" s="365">
        <f t="shared" si="237"/>
        <v>0</v>
      </c>
      <c r="K5114" s="369">
        <f t="shared" si="239"/>
        <v>6</v>
      </c>
      <c r="L5114" s="369">
        <f>+IF((C5114&gt;='Resultats - informe'!$E$16)*(C5114&lt;='Resultats - informe'!$G$16),1,0)</f>
        <v>1</v>
      </c>
      <c r="M5114" s="369" cm="1">
        <f t="array" ref="M5114">+_xlfn.IFS((C5114&gt;='Resultats - informe'!$D$26)*(C5114&lt;='Resultats - informe'!$E$26),0,(C5114&gt;='Resultats - informe'!$D$27)*(C5114&lt;='Resultats - informe'!$E$27),0,(C5114&gt;='Resultats - informe'!$D$28)*(C5114&lt;='Resultats - informe'!$E$28),0,(C5114&gt;='Resultats - informe'!$D$29)*(C5114&lt;='Resultats - informe'!$E$29),0,1,1)</f>
        <v>0</v>
      </c>
      <c r="N5114" s="366">
        <f>+VLOOKUP(D5114,'Resultats - informe'!$Y$18:$AG$42,'Introducció dades consum'!K5114+1,0)</f>
        <v>0</v>
      </c>
      <c r="O5114" s="370" cm="1">
        <f t="array" ref="O5114">+_xlfn.SWITCH(MONTH(C5114),1,1,2,1,3,1,4,2,5,2,6,3,7,3,8,3,9,3,10,2,11,2,12,1,2)</f>
        <v>1</v>
      </c>
      <c r="P5114" s="43"/>
    </row>
    <row r="5115" spans="1:16" ht="18" x14ac:dyDescent="0.35">
      <c r="A5115" s="9"/>
      <c r="C5115" s="393"/>
      <c r="E5115" s="394"/>
      <c r="F5115" s="394">
        <v>1.35</v>
      </c>
      <c r="G5115" s="394"/>
      <c r="H5115" s="8" t="s">
        <v>235</v>
      </c>
      <c r="I5115" s="368">
        <f t="shared" si="238"/>
        <v>0</v>
      </c>
      <c r="J5115" s="365">
        <f t="shared" ref="J5115:J5178" si="240">+C5115</f>
        <v>0</v>
      </c>
      <c r="K5115" s="369">
        <f t="shared" si="239"/>
        <v>6</v>
      </c>
      <c r="L5115" s="369">
        <f>+IF((C5115&gt;='Resultats - informe'!$E$16)*(C5115&lt;='Resultats - informe'!$G$16),1,0)</f>
        <v>1</v>
      </c>
      <c r="M5115" s="369" cm="1">
        <f t="array" ref="M5115">+_xlfn.IFS((C5115&gt;='Resultats - informe'!$D$26)*(C5115&lt;='Resultats - informe'!$E$26),0,(C5115&gt;='Resultats - informe'!$D$27)*(C5115&lt;='Resultats - informe'!$E$27),0,(C5115&gt;='Resultats - informe'!$D$28)*(C5115&lt;='Resultats - informe'!$E$28),0,(C5115&gt;='Resultats - informe'!$D$29)*(C5115&lt;='Resultats - informe'!$E$29),0,1,1)</f>
        <v>0</v>
      </c>
      <c r="N5115" s="366">
        <f>+VLOOKUP(D5115,'Resultats - informe'!$Y$18:$AG$42,'Introducció dades consum'!K5115+1,0)</f>
        <v>0</v>
      </c>
      <c r="O5115" s="370" cm="1">
        <f t="array" ref="O5115">+_xlfn.SWITCH(MONTH(C5115),1,1,2,1,3,1,4,2,5,2,6,3,7,3,8,3,9,3,10,2,11,2,12,1,2)</f>
        <v>1</v>
      </c>
      <c r="P5115" s="43"/>
    </row>
    <row r="5116" spans="1:16" ht="18" x14ac:dyDescent="0.35">
      <c r="A5116" s="9"/>
      <c r="C5116" s="393"/>
      <c r="E5116" s="394"/>
      <c r="F5116" s="394">
        <v>4.7E-2</v>
      </c>
      <c r="G5116" s="394"/>
      <c r="H5116" s="8" t="s">
        <v>235</v>
      </c>
      <c r="I5116" s="368">
        <f t="shared" si="238"/>
        <v>0</v>
      </c>
      <c r="J5116" s="365">
        <f t="shared" si="240"/>
        <v>0</v>
      </c>
      <c r="K5116" s="369">
        <f t="shared" si="239"/>
        <v>6</v>
      </c>
      <c r="L5116" s="369">
        <f>+IF((C5116&gt;='Resultats - informe'!$E$16)*(C5116&lt;='Resultats - informe'!$G$16),1,0)</f>
        <v>1</v>
      </c>
      <c r="M5116" s="369" cm="1">
        <f t="array" ref="M5116">+_xlfn.IFS((C5116&gt;='Resultats - informe'!$D$26)*(C5116&lt;='Resultats - informe'!$E$26),0,(C5116&gt;='Resultats - informe'!$D$27)*(C5116&lt;='Resultats - informe'!$E$27),0,(C5116&gt;='Resultats - informe'!$D$28)*(C5116&lt;='Resultats - informe'!$E$28),0,(C5116&gt;='Resultats - informe'!$D$29)*(C5116&lt;='Resultats - informe'!$E$29),0,1,1)</f>
        <v>0</v>
      </c>
      <c r="N5116" s="366">
        <f>+VLOOKUP(D5116,'Resultats - informe'!$Y$18:$AG$42,'Introducció dades consum'!K5116+1,0)</f>
        <v>0</v>
      </c>
      <c r="O5116" s="370" cm="1">
        <f t="array" ref="O5116">+_xlfn.SWITCH(MONTH(C5116),1,1,2,1,3,1,4,2,5,2,6,3,7,3,8,3,9,3,10,2,11,2,12,1,2)</f>
        <v>1</v>
      </c>
      <c r="P5116" s="43"/>
    </row>
    <row r="5117" spans="1:16" ht="18" x14ac:dyDescent="0.35">
      <c r="A5117" s="9"/>
      <c r="C5117" s="393"/>
      <c r="E5117" s="394"/>
      <c r="F5117" s="394">
        <v>0.42799999999999999</v>
      </c>
      <c r="G5117" s="394"/>
      <c r="H5117" s="8" t="s">
        <v>235</v>
      </c>
      <c r="I5117" s="368">
        <f t="shared" si="238"/>
        <v>0</v>
      </c>
      <c r="J5117" s="365">
        <f t="shared" si="240"/>
        <v>0</v>
      </c>
      <c r="K5117" s="369">
        <f t="shared" si="239"/>
        <v>6</v>
      </c>
      <c r="L5117" s="369">
        <f>+IF((C5117&gt;='Resultats - informe'!$E$16)*(C5117&lt;='Resultats - informe'!$G$16),1,0)</f>
        <v>1</v>
      </c>
      <c r="M5117" s="369" cm="1">
        <f t="array" ref="M5117">+_xlfn.IFS((C5117&gt;='Resultats - informe'!$D$26)*(C5117&lt;='Resultats - informe'!$E$26),0,(C5117&gt;='Resultats - informe'!$D$27)*(C5117&lt;='Resultats - informe'!$E$27),0,(C5117&gt;='Resultats - informe'!$D$28)*(C5117&lt;='Resultats - informe'!$E$28),0,(C5117&gt;='Resultats - informe'!$D$29)*(C5117&lt;='Resultats - informe'!$E$29),0,1,1)</f>
        <v>0</v>
      </c>
      <c r="N5117" s="366">
        <f>+VLOOKUP(D5117,'Resultats - informe'!$Y$18:$AG$42,'Introducció dades consum'!K5117+1,0)</f>
        <v>0</v>
      </c>
      <c r="O5117" s="370" cm="1">
        <f t="array" ref="O5117">+_xlfn.SWITCH(MONTH(C5117),1,1,2,1,3,1,4,2,5,2,6,3,7,3,8,3,9,3,10,2,11,2,12,1,2)</f>
        <v>1</v>
      </c>
      <c r="P5117" s="43"/>
    </row>
    <row r="5118" spans="1:16" ht="18" x14ac:dyDescent="0.35">
      <c r="A5118" s="9"/>
      <c r="C5118" s="393"/>
      <c r="E5118" s="394"/>
      <c r="F5118" s="394">
        <v>0.432</v>
      </c>
      <c r="G5118" s="394"/>
      <c r="H5118" s="8" t="s">
        <v>235</v>
      </c>
      <c r="I5118" s="368">
        <f t="shared" si="238"/>
        <v>0</v>
      </c>
      <c r="J5118" s="365">
        <f t="shared" si="240"/>
        <v>0</v>
      </c>
      <c r="K5118" s="369">
        <f t="shared" si="239"/>
        <v>6</v>
      </c>
      <c r="L5118" s="369">
        <f>+IF((C5118&gt;='Resultats - informe'!$E$16)*(C5118&lt;='Resultats - informe'!$G$16),1,0)</f>
        <v>1</v>
      </c>
      <c r="M5118" s="369" cm="1">
        <f t="array" ref="M5118">+_xlfn.IFS((C5118&gt;='Resultats - informe'!$D$26)*(C5118&lt;='Resultats - informe'!$E$26),0,(C5118&gt;='Resultats - informe'!$D$27)*(C5118&lt;='Resultats - informe'!$E$27),0,(C5118&gt;='Resultats - informe'!$D$28)*(C5118&lt;='Resultats - informe'!$E$28),0,(C5118&gt;='Resultats - informe'!$D$29)*(C5118&lt;='Resultats - informe'!$E$29),0,1,1)</f>
        <v>0</v>
      </c>
      <c r="N5118" s="366">
        <f>+VLOOKUP(D5118,'Resultats - informe'!$Y$18:$AG$42,'Introducció dades consum'!K5118+1,0)</f>
        <v>0</v>
      </c>
      <c r="O5118" s="370" cm="1">
        <f t="array" ref="O5118">+_xlfn.SWITCH(MONTH(C5118),1,1,2,1,3,1,4,2,5,2,6,3,7,3,8,3,9,3,10,2,11,2,12,1,2)</f>
        <v>1</v>
      </c>
      <c r="P5118" s="43"/>
    </row>
    <row r="5119" spans="1:16" ht="18" x14ac:dyDescent="0.35">
      <c r="A5119" s="9"/>
      <c r="C5119" s="393"/>
      <c r="E5119" s="394"/>
      <c r="F5119" s="394">
        <v>0.435</v>
      </c>
      <c r="G5119" s="394"/>
      <c r="H5119" s="8" t="s">
        <v>235</v>
      </c>
      <c r="I5119" s="368">
        <f t="shared" si="238"/>
        <v>0</v>
      </c>
      <c r="J5119" s="365">
        <f t="shared" si="240"/>
        <v>0</v>
      </c>
      <c r="K5119" s="369">
        <f t="shared" si="239"/>
        <v>6</v>
      </c>
      <c r="L5119" s="369">
        <f>+IF((C5119&gt;='Resultats - informe'!$E$16)*(C5119&lt;='Resultats - informe'!$G$16),1,0)</f>
        <v>1</v>
      </c>
      <c r="M5119" s="369" cm="1">
        <f t="array" ref="M5119">+_xlfn.IFS((C5119&gt;='Resultats - informe'!$D$26)*(C5119&lt;='Resultats - informe'!$E$26),0,(C5119&gt;='Resultats - informe'!$D$27)*(C5119&lt;='Resultats - informe'!$E$27),0,(C5119&gt;='Resultats - informe'!$D$28)*(C5119&lt;='Resultats - informe'!$E$28),0,(C5119&gt;='Resultats - informe'!$D$29)*(C5119&lt;='Resultats - informe'!$E$29),0,1,1)</f>
        <v>0</v>
      </c>
      <c r="N5119" s="366">
        <f>+VLOOKUP(D5119,'Resultats - informe'!$Y$18:$AG$42,'Introducció dades consum'!K5119+1,0)</f>
        <v>0</v>
      </c>
      <c r="O5119" s="370" cm="1">
        <f t="array" ref="O5119">+_xlfn.SWITCH(MONTH(C5119),1,1,2,1,3,1,4,2,5,2,6,3,7,3,8,3,9,3,10,2,11,2,12,1,2)</f>
        <v>1</v>
      </c>
      <c r="P5119" s="43"/>
    </row>
    <row r="5120" spans="1:16" ht="18" x14ac:dyDescent="0.35">
      <c r="A5120" s="9"/>
      <c r="C5120" s="393"/>
      <c r="E5120" s="394"/>
      <c r="F5120" s="394">
        <v>0.432</v>
      </c>
      <c r="G5120" s="394"/>
      <c r="H5120" s="8" t="s">
        <v>235</v>
      </c>
      <c r="I5120" s="368">
        <f t="shared" si="238"/>
        <v>0</v>
      </c>
      <c r="J5120" s="365">
        <f t="shared" si="240"/>
        <v>0</v>
      </c>
      <c r="K5120" s="369">
        <f t="shared" si="239"/>
        <v>6</v>
      </c>
      <c r="L5120" s="369">
        <f>+IF((C5120&gt;='Resultats - informe'!$E$16)*(C5120&lt;='Resultats - informe'!$G$16),1,0)</f>
        <v>1</v>
      </c>
      <c r="M5120" s="369" cm="1">
        <f t="array" ref="M5120">+_xlfn.IFS((C5120&gt;='Resultats - informe'!$D$26)*(C5120&lt;='Resultats - informe'!$E$26),0,(C5120&gt;='Resultats - informe'!$D$27)*(C5120&lt;='Resultats - informe'!$E$27),0,(C5120&gt;='Resultats - informe'!$D$28)*(C5120&lt;='Resultats - informe'!$E$28),0,(C5120&gt;='Resultats - informe'!$D$29)*(C5120&lt;='Resultats - informe'!$E$29),0,1,1)</f>
        <v>0</v>
      </c>
      <c r="N5120" s="366">
        <f>+VLOOKUP(D5120,'Resultats - informe'!$Y$18:$AG$42,'Introducció dades consum'!K5120+1,0)</f>
        <v>0</v>
      </c>
      <c r="O5120" s="370" cm="1">
        <f t="array" ref="O5120">+_xlfn.SWITCH(MONTH(C5120),1,1,2,1,3,1,4,2,5,2,6,3,7,3,8,3,9,3,10,2,11,2,12,1,2)</f>
        <v>1</v>
      </c>
      <c r="P5120" s="43"/>
    </row>
    <row r="5121" spans="1:16" ht="18" x14ac:dyDescent="0.35">
      <c r="A5121" s="9"/>
      <c r="C5121" s="393"/>
      <c r="E5121" s="394"/>
      <c r="F5121" s="394">
        <v>0.432</v>
      </c>
      <c r="G5121" s="394"/>
      <c r="H5121" s="8" t="s">
        <v>235</v>
      </c>
      <c r="I5121" s="368">
        <f t="shared" si="238"/>
        <v>0</v>
      </c>
      <c r="J5121" s="365">
        <f t="shared" si="240"/>
        <v>0</v>
      </c>
      <c r="K5121" s="369">
        <f t="shared" si="239"/>
        <v>6</v>
      </c>
      <c r="L5121" s="369">
        <f>+IF((C5121&gt;='Resultats - informe'!$E$16)*(C5121&lt;='Resultats - informe'!$G$16),1,0)</f>
        <v>1</v>
      </c>
      <c r="M5121" s="369" cm="1">
        <f t="array" ref="M5121">+_xlfn.IFS((C5121&gt;='Resultats - informe'!$D$26)*(C5121&lt;='Resultats - informe'!$E$26),0,(C5121&gt;='Resultats - informe'!$D$27)*(C5121&lt;='Resultats - informe'!$E$27),0,(C5121&gt;='Resultats - informe'!$D$28)*(C5121&lt;='Resultats - informe'!$E$28),0,(C5121&gt;='Resultats - informe'!$D$29)*(C5121&lt;='Resultats - informe'!$E$29),0,1,1)</f>
        <v>0</v>
      </c>
      <c r="N5121" s="366">
        <f>+VLOOKUP(D5121,'Resultats - informe'!$Y$18:$AG$42,'Introducció dades consum'!K5121+1,0)</f>
        <v>0</v>
      </c>
      <c r="O5121" s="370" cm="1">
        <f t="array" ref="O5121">+_xlfn.SWITCH(MONTH(C5121),1,1,2,1,3,1,4,2,5,2,6,3,7,3,8,3,9,3,10,2,11,2,12,1,2)</f>
        <v>1</v>
      </c>
      <c r="P5121" s="43"/>
    </row>
    <row r="5122" spans="1:16" ht="18" x14ac:dyDescent="0.35">
      <c r="A5122" s="9"/>
      <c r="C5122" s="393"/>
      <c r="E5122" s="394"/>
      <c r="F5122" s="394">
        <v>0.40699999999999997</v>
      </c>
      <c r="G5122" s="394"/>
      <c r="H5122" s="8" t="s">
        <v>235</v>
      </c>
      <c r="I5122" s="368">
        <f t="shared" si="238"/>
        <v>0</v>
      </c>
      <c r="J5122" s="365">
        <f t="shared" si="240"/>
        <v>0</v>
      </c>
      <c r="K5122" s="369">
        <f t="shared" si="239"/>
        <v>6</v>
      </c>
      <c r="L5122" s="369">
        <f>+IF((C5122&gt;='Resultats - informe'!$E$16)*(C5122&lt;='Resultats - informe'!$G$16),1,0)</f>
        <v>1</v>
      </c>
      <c r="M5122" s="369" cm="1">
        <f t="array" ref="M5122">+_xlfn.IFS((C5122&gt;='Resultats - informe'!$D$26)*(C5122&lt;='Resultats - informe'!$E$26),0,(C5122&gt;='Resultats - informe'!$D$27)*(C5122&lt;='Resultats - informe'!$E$27),0,(C5122&gt;='Resultats - informe'!$D$28)*(C5122&lt;='Resultats - informe'!$E$28),0,(C5122&gt;='Resultats - informe'!$D$29)*(C5122&lt;='Resultats - informe'!$E$29),0,1,1)</f>
        <v>0</v>
      </c>
      <c r="N5122" s="366">
        <f>+VLOOKUP(D5122,'Resultats - informe'!$Y$18:$AG$42,'Introducció dades consum'!K5122+1,0)</f>
        <v>0</v>
      </c>
      <c r="O5122" s="370" cm="1">
        <f t="array" ref="O5122">+_xlfn.SWITCH(MONTH(C5122),1,1,2,1,3,1,4,2,5,2,6,3,7,3,8,3,9,3,10,2,11,2,12,1,2)</f>
        <v>1</v>
      </c>
      <c r="P5122" s="43"/>
    </row>
    <row r="5123" spans="1:16" ht="18" x14ac:dyDescent="0.35">
      <c r="A5123" s="9"/>
      <c r="C5123" s="393"/>
      <c r="E5123" s="394"/>
      <c r="F5123" s="394">
        <v>0.436</v>
      </c>
      <c r="G5123" s="394"/>
      <c r="H5123" s="8" t="s">
        <v>235</v>
      </c>
      <c r="I5123" s="368">
        <f t="shared" si="238"/>
        <v>0</v>
      </c>
      <c r="J5123" s="365">
        <f t="shared" si="240"/>
        <v>0</v>
      </c>
      <c r="K5123" s="369">
        <f t="shared" si="239"/>
        <v>6</v>
      </c>
      <c r="L5123" s="369">
        <f>+IF((C5123&gt;='Resultats - informe'!$E$16)*(C5123&lt;='Resultats - informe'!$G$16),1,0)</f>
        <v>1</v>
      </c>
      <c r="M5123" s="369" cm="1">
        <f t="array" ref="M5123">+_xlfn.IFS((C5123&gt;='Resultats - informe'!$D$26)*(C5123&lt;='Resultats - informe'!$E$26),0,(C5123&gt;='Resultats - informe'!$D$27)*(C5123&lt;='Resultats - informe'!$E$27),0,(C5123&gt;='Resultats - informe'!$D$28)*(C5123&lt;='Resultats - informe'!$E$28),0,(C5123&gt;='Resultats - informe'!$D$29)*(C5123&lt;='Resultats - informe'!$E$29),0,1,1)</f>
        <v>0</v>
      </c>
      <c r="N5123" s="366">
        <f>+VLOOKUP(D5123,'Resultats - informe'!$Y$18:$AG$42,'Introducció dades consum'!K5123+1,0)</f>
        <v>0</v>
      </c>
      <c r="O5123" s="370" cm="1">
        <f t="array" ref="O5123">+_xlfn.SWITCH(MONTH(C5123),1,1,2,1,3,1,4,2,5,2,6,3,7,3,8,3,9,3,10,2,11,2,12,1,2)</f>
        <v>1</v>
      </c>
      <c r="P5123" s="43"/>
    </row>
    <row r="5124" spans="1:16" ht="18" x14ac:dyDescent="0.35">
      <c r="A5124" s="9"/>
      <c r="C5124" s="393"/>
      <c r="E5124" s="394"/>
      <c r="F5124" s="394">
        <v>0.441</v>
      </c>
      <c r="G5124" s="394"/>
      <c r="H5124" s="8" t="s">
        <v>235</v>
      </c>
      <c r="I5124" s="368">
        <f t="shared" si="238"/>
        <v>0</v>
      </c>
      <c r="J5124" s="365">
        <f t="shared" si="240"/>
        <v>0</v>
      </c>
      <c r="K5124" s="369">
        <f t="shared" si="239"/>
        <v>6</v>
      </c>
      <c r="L5124" s="369">
        <f>+IF((C5124&gt;='Resultats - informe'!$E$16)*(C5124&lt;='Resultats - informe'!$G$16),1,0)</f>
        <v>1</v>
      </c>
      <c r="M5124" s="369" cm="1">
        <f t="array" ref="M5124">+_xlfn.IFS((C5124&gt;='Resultats - informe'!$D$26)*(C5124&lt;='Resultats - informe'!$E$26),0,(C5124&gt;='Resultats - informe'!$D$27)*(C5124&lt;='Resultats - informe'!$E$27),0,(C5124&gt;='Resultats - informe'!$D$28)*(C5124&lt;='Resultats - informe'!$E$28),0,(C5124&gt;='Resultats - informe'!$D$29)*(C5124&lt;='Resultats - informe'!$E$29),0,1,1)</f>
        <v>0</v>
      </c>
      <c r="N5124" s="366">
        <f>+VLOOKUP(D5124,'Resultats - informe'!$Y$18:$AG$42,'Introducció dades consum'!K5124+1,0)</f>
        <v>0</v>
      </c>
      <c r="O5124" s="370" cm="1">
        <f t="array" ref="O5124">+_xlfn.SWITCH(MONTH(C5124),1,1,2,1,3,1,4,2,5,2,6,3,7,3,8,3,9,3,10,2,11,2,12,1,2)</f>
        <v>1</v>
      </c>
      <c r="P5124" s="43"/>
    </row>
    <row r="5125" spans="1:16" ht="18" x14ac:dyDescent="0.35">
      <c r="A5125" s="9"/>
      <c r="C5125" s="393"/>
      <c r="E5125" s="394"/>
      <c r="F5125" s="394">
        <v>0</v>
      </c>
      <c r="G5125" s="394"/>
      <c r="H5125" s="8" t="s">
        <v>235</v>
      </c>
      <c r="I5125" s="368">
        <f t="shared" si="238"/>
        <v>0</v>
      </c>
      <c r="J5125" s="365">
        <f t="shared" si="240"/>
        <v>0</v>
      </c>
      <c r="K5125" s="369">
        <f t="shared" si="239"/>
        <v>6</v>
      </c>
      <c r="L5125" s="369">
        <f>+IF((C5125&gt;='Resultats - informe'!$E$16)*(C5125&lt;='Resultats - informe'!$G$16),1,0)</f>
        <v>1</v>
      </c>
      <c r="M5125" s="369" cm="1">
        <f t="array" ref="M5125">+_xlfn.IFS((C5125&gt;='Resultats - informe'!$D$26)*(C5125&lt;='Resultats - informe'!$E$26),0,(C5125&gt;='Resultats - informe'!$D$27)*(C5125&lt;='Resultats - informe'!$E$27),0,(C5125&gt;='Resultats - informe'!$D$28)*(C5125&lt;='Resultats - informe'!$E$28),0,(C5125&gt;='Resultats - informe'!$D$29)*(C5125&lt;='Resultats - informe'!$E$29),0,1,1)</f>
        <v>0</v>
      </c>
      <c r="N5125" s="366">
        <f>+VLOOKUP(D5125,'Resultats - informe'!$Y$18:$AG$42,'Introducció dades consum'!K5125+1,0)</f>
        <v>0</v>
      </c>
      <c r="O5125" s="370" cm="1">
        <f t="array" ref="O5125">+_xlfn.SWITCH(MONTH(C5125),1,1,2,1,3,1,4,2,5,2,6,3,7,3,8,3,9,3,10,2,11,2,12,1,2)</f>
        <v>1</v>
      </c>
      <c r="P5125" s="43"/>
    </row>
    <row r="5126" spans="1:16" ht="18" x14ac:dyDescent="0.35">
      <c r="A5126" s="9"/>
      <c r="C5126" s="393"/>
      <c r="E5126" s="394"/>
      <c r="F5126" s="394">
        <v>0</v>
      </c>
      <c r="G5126" s="394"/>
      <c r="H5126" s="8" t="s">
        <v>235</v>
      </c>
      <c r="I5126" s="368">
        <f t="shared" ref="I5126:I5189" si="241">+E5126+G5126</f>
        <v>0</v>
      </c>
      <c r="J5126" s="365">
        <f t="shared" si="240"/>
        <v>0</v>
      </c>
      <c r="K5126" s="369">
        <f t="shared" ref="K5126:K5189" si="242">+WEEKDAY(C5126,2)</f>
        <v>6</v>
      </c>
      <c r="L5126" s="369">
        <f>+IF((C5126&gt;='Resultats - informe'!$E$16)*(C5126&lt;='Resultats - informe'!$G$16),1,0)</f>
        <v>1</v>
      </c>
      <c r="M5126" s="369" cm="1">
        <f t="array" ref="M5126">+_xlfn.IFS((C5126&gt;='Resultats - informe'!$D$26)*(C5126&lt;='Resultats - informe'!$E$26),0,(C5126&gt;='Resultats - informe'!$D$27)*(C5126&lt;='Resultats - informe'!$E$27),0,(C5126&gt;='Resultats - informe'!$D$28)*(C5126&lt;='Resultats - informe'!$E$28),0,(C5126&gt;='Resultats - informe'!$D$29)*(C5126&lt;='Resultats - informe'!$E$29),0,1,1)</f>
        <v>0</v>
      </c>
      <c r="N5126" s="366">
        <f>+VLOOKUP(D5126,'Resultats - informe'!$Y$18:$AG$42,'Introducció dades consum'!K5126+1,0)</f>
        <v>0</v>
      </c>
      <c r="O5126" s="370" cm="1">
        <f t="array" ref="O5126">+_xlfn.SWITCH(MONTH(C5126),1,1,2,1,3,1,4,2,5,2,6,3,7,3,8,3,9,3,10,2,11,2,12,1,2)</f>
        <v>1</v>
      </c>
      <c r="P5126" s="43"/>
    </row>
    <row r="5127" spans="1:16" ht="18" x14ac:dyDescent="0.35">
      <c r="A5127" s="9"/>
      <c r="C5127" s="393"/>
      <c r="E5127" s="394"/>
      <c r="F5127" s="394">
        <v>0</v>
      </c>
      <c r="G5127" s="394"/>
      <c r="H5127" s="8" t="s">
        <v>235</v>
      </c>
      <c r="I5127" s="368">
        <f t="shared" si="241"/>
        <v>0</v>
      </c>
      <c r="J5127" s="365">
        <f t="shared" si="240"/>
        <v>0</v>
      </c>
      <c r="K5127" s="369">
        <f t="shared" si="242"/>
        <v>6</v>
      </c>
      <c r="L5127" s="369">
        <f>+IF((C5127&gt;='Resultats - informe'!$E$16)*(C5127&lt;='Resultats - informe'!$G$16),1,0)</f>
        <v>1</v>
      </c>
      <c r="M5127" s="369" cm="1">
        <f t="array" ref="M5127">+_xlfn.IFS((C5127&gt;='Resultats - informe'!$D$26)*(C5127&lt;='Resultats - informe'!$E$26),0,(C5127&gt;='Resultats - informe'!$D$27)*(C5127&lt;='Resultats - informe'!$E$27),0,(C5127&gt;='Resultats - informe'!$D$28)*(C5127&lt;='Resultats - informe'!$E$28),0,(C5127&gt;='Resultats - informe'!$D$29)*(C5127&lt;='Resultats - informe'!$E$29),0,1,1)</f>
        <v>0</v>
      </c>
      <c r="N5127" s="366">
        <f>+VLOOKUP(D5127,'Resultats - informe'!$Y$18:$AG$42,'Introducció dades consum'!K5127+1,0)</f>
        <v>0</v>
      </c>
      <c r="O5127" s="370" cm="1">
        <f t="array" ref="O5127">+_xlfn.SWITCH(MONTH(C5127),1,1,2,1,3,1,4,2,5,2,6,3,7,3,8,3,9,3,10,2,11,2,12,1,2)</f>
        <v>1</v>
      </c>
      <c r="P5127" s="43"/>
    </row>
    <row r="5128" spans="1:16" ht="18" x14ac:dyDescent="0.35">
      <c r="A5128" s="9"/>
      <c r="C5128" s="393"/>
      <c r="E5128" s="394"/>
      <c r="F5128" s="394">
        <v>0</v>
      </c>
      <c r="G5128" s="394"/>
      <c r="H5128" s="8" t="s">
        <v>235</v>
      </c>
      <c r="I5128" s="368">
        <f t="shared" si="241"/>
        <v>0</v>
      </c>
      <c r="J5128" s="365">
        <f t="shared" si="240"/>
        <v>0</v>
      </c>
      <c r="K5128" s="369">
        <f t="shared" si="242"/>
        <v>6</v>
      </c>
      <c r="L5128" s="369">
        <f>+IF((C5128&gt;='Resultats - informe'!$E$16)*(C5128&lt;='Resultats - informe'!$G$16),1,0)</f>
        <v>1</v>
      </c>
      <c r="M5128" s="369" cm="1">
        <f t="array" ref="M5128">+_xlfn.IFS((C5128&gt;='Resultats - informe'!$D$26)*(C5128&lt;='Resultats - informe'!$E$26),0,(C5128&gt;='Resultats - informe'!$D$27)*(C5128&lt;='Resultats - informe'!$E$27),0,(C5128&gt;='Resultats - informe'!$D$28)*(C5128&lt;='Resultats - informe'!$E$28),0,(C5128&gt;='Resultats - informe'!$D$29)*(C5128&lt;='Resultats - informe'!$E$29),0,1,1)</f>
        <v>0</v>
      </c>
      <c r="N5128" s="366">
        <f>+VLOOKUP(D5128,'Resultats - informe'!$Y$18:$AG$42,'Introducció dades consum'!K5128+1,0)</f>
        <v>0</v>
      </c>
      <c r="O5128" s="370" cm="1">
        <f t="array" ref="O5128">+_xlfn.SWITCH(MONTH(C5128),1,1,2,1,3,1,4,2,5,2,6,3,7,3,8,3,9,3,10,2,11,2,12,1,2)</f>
        <v>1</v>
      </c>
      <c r="P5128" s="43"/>
    </row>
    <row r="5129" spans="1:16" ht="18" x14ac:dyDescent="0.35">
      <c r="A5129" s="9"/>
      <c r="C5129" s="393"/>
      <c r="E5129" s="394"/>
      <c r="F5129" s="394">
        <v>3.1E-2</v>
      </c>
      <c r="G5129" s="394"/>
      <c r="H5129" s="8" t="s">
        <v>235</v>
      </c>
      <c r="I5129" s="368">
        <f t="shared" si="241"/>
        <v>0</v>
      </c>
      <c r="J5129" s="365">
        <f t="shared" si="240"/>
        <v>0</v>
      </c>
      <c r="K5129" s="369">
        <f t="shared" si="242"/>
        <v>6</v>
      </c>
      <c r="L5129" s="369">
        <f>+IF((C5129&gt;='Resultats - informe'!$E$16)*(C5129&lt;='Resultats - informe'!$G$16),1,0)</f>
        <v>1</v>
      </c>
      <c r="M5129" s="369" cm="1">
        <f t="array" ref="M5129">+_xlfn.IFS((C5129&gt;='Resultats - informe'!$D$26)*(C5129&lt;='Resultats - informe'!$E$26),0,(C5129&gt;='Resultats - informe'!$D$27)*(C5129&lt;='Resultats - informe'!$E$27),0,(C5129&gt;='Resultats - informe'!$D$28)*(C5129&lt;='Resultats - informe'!$E$28),0,(C5129&gt;='Resultats - informe'!$D$29)*(C5129&lt;='Resultats - informe'!$E$29),0,1,1)</f>
        <v>0</v>
      </c>
      <c r="N5129" s="366">
        <f>+VLOOKUP(D5129,'Resultats - informe'!$Y$18:$AG$42,'Introducció dades consum'!K5129+1,0)</f>
        <v>0</v>
      </c>
      <c r="O5129" s="370" cm="1">
        <f t="array" ref="O5129">+_xlfn.SWITCH(MONTH(C5129),1,1,2,1,3,1,4,2,5,2,6,3,7,3,8,3,9,3,10,2,11,2,12,1,2)</f>
        <v>1</v>
      </c>
      <c r="P5129" s="43"/>
    </row>
    <row r="5130" spans="1:16" ht="18" x14ac:dyDescent="0.35">
      <c r="A5130" s="9"/>
      <c r="C5130" s="393"/>
      <c r="E5130" s="394"/>
      <c r="F5130" s="394">
        <v>0.439</v>
      </c>
      <c r="G5130" s="394"/>
      <c r="H5130" s="8" t="s">
        <v>235</v>
      </c>
      <c r="I5130" s="368">
        <f t="shared" si="241"/>
        <v>0</v>
      </c>
      <c r="J5130" s="365">
        <f t="shared" si="240"/>
        <v>0</v>
      </c>
      <c r="K5130" s="369">
        <f t="shared" si="242"/>
        <v>6</v>
      </c>
      <c r="L5130" s="369">
        <f>+IF((C5130&gt;='Resultats - informe'!$E$16)*(C5130&lt;='Resultats - informe'!$G$16),1,0)</f>
        <v>1</v>
      </c>
      <c r="M5130" s="369" cm="1">
        <f t="array" ref="M5130">+_xlfn.IFS((C5130&gt;='Resultats - informe'!$D$26)*(C5130&lt;='Resultats - informe'!$E$26),0,(C5130&gt;='Resultats - informe'!$D$27)*(C5130&lt;='Resultats - informe'!$E$27),0,(C5130&gt;='Resultats - informe'!$D$28)*(C5130&lt;='Resultats - informe'!$E$28),0,(C5130&gt;='Resultats - informe'!$D$29)*(C5130&lt;='Resultats - informe'!$E$29),0,1,1)</f>
        <v>0</v>
      </c>
      <c r="N5130" s="366">
        <f>+VLOOKUP(D5130,'Resultats - informe'!$Y$18:$AG$42,'Introducció dades consum'!K5130+1,0)</f>
        <v>0</v>
      </c>
      <c r="O5130" s="370" cm="1">
        <f t="array" ref="O5130">+_xlfn.SWITCH(MONTH(C5130),1,1,2,1,3,1,4,2,5,2,6,3,7,3,8,3,9,3,10,2,11,2,12,1,2)</f>
        <v>1</v>
      </c>
      <c r="P5130" s="43"/>
    </row>
    <row r="5131" spans="1:16" ht="18" x14ac:dyDescent="0.35">
      <c r="A5131" s="9"/>
      <c r="C5131" s="393"/>
      <c r="E5131" s="394"/>
      <c r="F5131" s="394">
        <v>0.439</v>
      </c>
      <c r="G5131" s="394"/>
      <c r="H5131" s="8" t="s">
        <v>235</v>
      </c>
      <c r="I5131" s="368">
        <f t="shared" si="241"/>
        <v>0</v>
      </c>
      <c r="J5131" s="365">
        <f t="shared" si="240"/>
        <v>0</v>
      </c>
      <c r="K5131" s="369">
        <f t="shared" si="242"/>
        <v>6</v>
      </c>
      <c r="L5131" s="369">
        <f>+IF((C5131&gt;='Resultats - informe'!$E$16)*(C5131&lt;='Resultats - informe'!$G$16),1,0)</f>
        <v>1</v>
      </c>
      <c r="M5131" s="369" cm="1">
        <f t="array" ref="M5131">+_xlfn.IFS((C5131&gt;='Resultats - informe'!$D$26)*(C5131&lt;='Resultats - informe'!$E$26),0,(C5131&gt;='Resultats - informe'!$D$27)*(C5131&lt;='Resultats - informe'!$E$27),0,(C5131&gt;='Resultats - informe'!$D$28)*(C5131&lt;='Resultats - informe'!$E$28),0,(C5131&gt;='Resultats - informe'!$D$29)*(C5131&lt;='Resultats - informe'!$E$29),0,1,1)</f>
        <v>0</v>
      </c>
      <c r="N5131" s="366">
        <f>+VLOOKUP(D5131,'Resultats - informe'!$Y$18:$AG$42,'Introducció dades consum'!K5131+1,0)</f>
        <v>0</v>
      </c>
      <c r="O5131" s="370" cm="1">
        <f t="array" ref="O5131">+_xlfn.SWITCH(MONTH(C5131),1,1,2,1,3,1,4,2,5,2,6,3,7,3,8,3,9,3,10,2,11,2,12,1,2)</f>
        <v>1</v>
      </c>
      <c r="P5131" s="43"/>
    </row>
    <row r="5132" spans="1:16" ht="18" x14ac:dyDescent="0.35">
      <c r="A5132" s="9"/>
      <c r="C5132" s="393"/>
      <c r="E5132" s="394"/>
      <c r="F5132" s="394">
        <v>0.44</v>
      </c>
      <c r="G5132" s="394"/>
      <c r="H5132" s="8" t="s">
        <v>235</v>
      </c>
      <c r="I5132" s="368">
        <f t="shared" si="241"/>
        <v>0</v>
      </c>
      <c r="J5132" s="365">
        <f t="shared" si="240"/>
        <v>0</v>
      </c>
      <c r="K5132" s="369">
        <f t="shared" si="242"/>
        <v>6</v>
      </c>
      <c r="L5132" s="369">
        <f>+IF((C5132&gt;='Resultats - informe'!$E$16)*(C5132&lt;='Resultats - informe'!$G$16),1,0)</f>
        <v>1</v>
      </c>
      <c r="M5132" s="369" cm="1">
        <f t="array" ref="M5132">+_xlfn.IFS((C5132&gt;='Resultats - informe'!$D$26)*(C5132&lt;='Resultats - informe'!$E$26),0,(C5132&gt;='Resultats - informe'!$D$27)*(C5132&lt;='Resultats - informe'!$E$27),0,(C5132&gt;='Resultats - informe'!$D$28)*(C5132&lt;='Resultats - informe'!$E$28),0,(C5132&gt;='Resultats - informe'!$D$29)*(C5132&lt;='Resultats - informe'!$E$29),0,1,1)</f>
        <v>0</v>
      </c>
      <c r="N5132" s="366">
        <f>+VLOOKUP(D5132,'Resultats - informe'!$Y$18:$AG$42,'Introducció dades consum'!K5132+1,0)</f>
        <v>0</v>
      </c>
      <c r="O5132" s="370" cm="1">
        <f t="array" ref="O5132">+_xlfn.SWITCH(MONTH(C5132),1,1,2,1,3,1,4,2,5,2,6,3,7,3,8,3,9,3,10,2,11,2,12,1,2)</f>
        <v>1</v>
      </c>
      <c r="P5132" s="43"/>
    </row>
    <row r="5133" spans="1:16" ht="18" x14ac:dyDescent="0.35">
      <c r="A5133" s="9"/>
      <c r="C5133" s="393"/>
      <c r="E5133" s="394"/>
      <c r="F5133" s="394">
        <v>0.43</v>
      </c>
      <c r="G5133" s="394"/>
      <c r="H5133" s="8" t="s">
        <v>235</v>
      </c>
      <c r="I5133" s="368">
        <f t="shared" si="241"/>
        <v>0</v>
      </c>
      <c r="J5133" s="365">
        <f t="shared" si="240"/>
        <v>0</v>
      </c>
      <c r="K5133" s="369">
        <f t="shared" si="242"/>
        <v>6</v>
      </c>
      <c r="L5133" s="369">
        <f>+IF((C5133&gt;='Resultats - informe'!$E$16)*(C5133&lt;='Resultats - informe'!$G$16),1,0)</f>
        <v>1</v>
      </c>
      <c r="M5133" s="369" cm="1">
        <f t="array" ref="M5133">+_xlfn.IFS((C5133&gt;='Resultats - informe'!$D$26)*(C5133&lt;='Resultats - informe'!$E$26),0,(C5133&gt;='Resultats - informe'!$D$27)*(C5133&lt;='Resultats - informe'!$E$27),0,(C5133&gt;='Resultats - informe'!$D$28)*(C5133&lt;='Resultats - informe'!$E$28),0,(C5133&gt;='Resultats - informe'!$D$29)*(C5133&lt;='Resultats - informe'!$E$29),0,1,1)</f>
        <v>0</v>
      </c>
      <c r="N5133" s="366">
        <f>+VLOOKUP(D5133,'Resultats - informe'!$Y$18:$AG$42,'Introducció dades consum'!K5133+1,0)</f>
        <v>0</v>
      </c>
      <c r="O5133" s="370" cm="1">
        <f t="array" ref="O5133">+_xlfn.SWITCH(MONTH(C5133),1,1,2,1,3,1,4,2,5,2,6,3,7,3,8,3,9,3,10,2,11,2,12,1,2)</f>
        <v>1</v>
      </c>
      <c r="P5133" s="43"/>
    </row>
    <row r="5134" spans="1:16" ht="18" x14ac:dyDescent="0.35">
      <c r="A5134" s="9"/>
      <c r="C5134" s="393"/>
      <c r="E5134" s="394"/>
      <c r="F5134" s="394">
        <v>0.439</v>
      </c>
      <c r="G5134" s="394"/>
      <c r="H5134" s="8" t="s">
        <v>235</v>
      </c>
      <c r="I5134" s="368">
        <f t="shared" si="241"/>
        <v>0</v>
      </c>
      <c r="J5134" s="365">
        <f t="shared" si="240"/>
        <v>0</v>
      </c>
      <c r="K5134" s="369">
        <f t="shared" si="242"/>
        <v>6</v>
      </c>
      <c r="L5134" s="369">
        <f>+IF((C5134&gt;='Resultats - informe'!$E$16)*(C5134&lt;='Resultats - informe'!$G$16),1,0)</f>
        <v>1</v>
      </c>
      <c r="M5134" s="369" cm="1">
        <f t="array" ref="M5134">+_xlfn.IFS((C5134&gt;='Resultats - informe'!$D$26)*(C5134&lt;='Resultats - informe'!$E$26),0,(C5134&gt;='Resultats - informe'!$D$27)*(C5134&lt;='Resultats - informe'!$E$27),0,(C5134&gt;='Resultats - informe'!$D$28)*(C5134&lt;='Resultats - informe'!$E$28),0,(C5134&gt;='Resultats - informe'!$D$29)*(C5134&lt;='Resultats - informe'!$E$29),0,1,1)</f>
        <v>0</v>
      </c>
      <c r="N5134" s="366">
        <f>+VLOOKUP(D5134,'Resultats - informe'!$Y$18:$AG$42,'Introducció dades consum'!K5134+1,0)</f>
        <v>0</v>
      </c>
      <c r="O5134" s="370" cm="1">
        <f t="array" ref="O5134">+_xlfn.SWITCH(MONTH(C5134),1,1,2,1,3,1,4,2,5,2,6,3,7,3,8,3,9,3,10,2,11,2,12,1,2)</f>
        <v>1</v>
      </c>
      <c r="P5134" s="43"/>
    </row>
    <row r="5135" spans="1:16" ht="18" x14ac:dyDescent="0.35">
      <c r="A5135" s="9"/>
      <c r="C5135" s="393"/>
      <c r="E5135" s="394"/>
      <c r="F5135" s="394">
        <v>0.437</v>
      </c>
      <c r="G5135" s="394"/>
      <c r="H5135" s="8" t="s">
        <v>235</v>
      </c>
      <c r="I5135" s="368">
        <f t="shared" si="241"/>
        <v>0</v>
      </c>
      <c r="J5135" s="365">
        <f t="shared" si="240"/>
        <v>0</v>
      </c>
      <c r="K5135" s="369">
        <f t="shared" si="242"/>
        <v>6</v>
      </c>
      <c r="L5135" s="369">
        <f>+IF((C5135&gt;='Resultats - informe'!$E$16)*(C5135&lt;='Resultats - informe'!$G$16),1,0)</f>
        <v>1</v>
      </c>
      <c r="M5135" s="369" cm="1">
        <f t="array" ref="M5135">+_xlfn.IFS((C5135&gt;='Resultats - informe'!$D$26)*(C5135&lt;='Resultats - informe'!$E$26),0,(C5135&gt;='Resultats - informe'!$D$27)*(C5135&lt;='Resultats - informe'!$E$27),0,(C5135&gt;='Resultats - informe'!$D$28)*(C5135&lt;='Resultats - informe'!$E$28),0,(C5135&gt;='Resultats - informe'!$D$29)*(C5135&lt;='Resultats - informe'!$E$29),0,1,1)</f>
        <v>0</v>
      </c>
      <c r="N5135" s="366">
        <f>+VLOOKUP(D5135,'Resultats - informe'!$Y$18:$AG$42,'Introducció dades consum'!K5135+1,0)</f>
        <v>0</v>
      </c>
      <c r="O5135" s="370" cm="1">
        <f t="array" ref="O5135">+_xlfn.SWITCH(MONTH(C5135),1,1,2,1,3,1,4,2,5,2,6,3,7,3,8,3,9,3,10,2,11,2,12,1,2)</f>
        <v>1</v>
      </c>
      <c r="P5135" s="43"/>
    </row>
    <row r="5136" spans="1:16" ht="18" x14ac:dyDescent="0.35">
      <c r="A5136" s="9"/>
      <c r="C5136" s="393"/>
      <c r="E5136" s="394"/>
      <c r="F5136" s="394">
        <v>0.436</v>
      </c>
      <c r="G5136" s="394"/>
      <c r="H5136" s="8" t="s">
        <v>235</v>
      </c>
      <c r="I5136" s="368">
        <f t="shared" si="241"/>
        <v>0</v>
      </c>
      <c r="J5136" s="365">
        <f t="shared" si="240"/>
        <v>0</v>
      </c>
      <c r="K5136" s="369">
        <f t="shared" si="242"/>
        <v>6</v>
      </c>
      <c r="L5136" s="369">
        <f>+IF((C5136&gt;='Resultats - informe'!$E$16)*(C5136&lt;='Resultats - informe'!$G$16),1,0)</f>
        <v>1</v>
      </c>
      <c r="M5136" s="369" cm="1">
        <f t="array" ref="M5136">+_xlfn.IFS((C5136&gt;='Resultats - informe'!$D$26)*(C5136&lt;='Resultats - informe'!$E$26),0,(C5136&gt;='Resultats - informe'!$D$27)*(C5136&lt;='Resultats - informe'!$E$27),0,(C5136&gt;='Resultats - informe'!$D$28)*(C5136&lt;='Resultats - informe'!$E$28),0,(C5136&gt;='Resultats - informe'!$D$29)*(C5136&lt;='Resultats - informe'!$E$29),0,1,1)</f>
        <v>0</v>
      </c>
      <c r="N5136" s="366">
        <f>+VLOOKUP(D5136,'Resultats - informe'!$Y$18:$AG$42,'Introducció dades consum'!K5136+1,0)</f>
        <v>0</v>
      </c>
      <c r="O5136" s="370" cm="1">
        <f t="array" ref="O5136">+_xlfn.SWITCH(MONTH(C5136),1,1,2,1,3,1,4,2,5,2,6,3,7,3,8,3,9,3,10,2,11,2,12,1,2)</f>
        <v>1</v>
      </c>
      <c r="P5136" s="43"/>
    </row>
    <row r="5137" spans="1:16" ht="18" x14ac:dyDescent="0.35">
      <c r="A5137" s="9"/>
      <c r="C5137" s="393"/>
      <c r="E5137" s="394"/>
      <c r="F5137" s="394">
        <v>7.2999999999999995E-2</v>
      </c>
      <c r="G5137" s="394"/>
      <c r="H5137" s="8" t="s">
        <v>235</v>
      </c>
      <c r="I5137" s="368">
        <f t="shared" si="241"/>
        <v>0</v>
      </c>
      <c r="J5137" s="365">
        <f t="shared" si="240"/>
        <v>0</v>
      </c>
      <c r="K5137" s="369">
        <f t="shared" si="242"/>
        <v>6</v>
      </c>
      <c r="L5137" s="369">
        <f>+IF((C5137&gt;='Resultats - informe'!$E$16)*(C5137&lt;='Resultats - informe'!$G$16),1,0)</f>
        <v>1</v>
      </c>
      <c r="M5137" s="369" cm="1">
        <f t="array" ref="M5137">+_xlfn.IFS((C5137&gt;='Resultats - informe'!$D$26)*(C5137&lt;='Resultats - informe'!$E$26),0,(C5137&gt;='Resultats - informe'!$D$27)*(C5137&lt;='Resultats - informe'!$E$27),0,(C5137&gt;='Resultats - informe'!$D$28)*(C5137&lt;='Resultats - informe'!$E$28),0,(C5137&gt;='Resultats - informe'!$D$29)*(C5137&lt;='Resultats - informe'!$E$29),0,1,1)</f>
        <v>0</v>
      </c>
      <c r="N5137" s="366">
        <f>+VLOOKUP(D5137,'Resultats - informe'!$Y$18:$AG$42,'Introducció dades consum'!K5137+1,0)</f>
        <v>0</v>
      </c>
      <c r="O5137" s="370" cm="1">
        <f t="array" ref="O5137">+_xlfn.SWITCH(MONTH(C5137),1,1,2,1,3,1,4,2,5,2,6,3,7,3,8,3,9,3,10,2,11,2,12,1,2)</f>
        <v>1</v>
      </c>
      <c r="P5137" s="43"/>
    </row>
    <row r="5138" spans="1:16" ht="18" x14ac:dyDescent="0.35">
      <c r="A5138" s="9"/>
      <c r="C5138" s="393"/>
      <c r="E5138" s="394"/>
      <c r="F5138" s="394">
        <v>0</v>
      </c>
      <c r="G5138" s="394"/>
      <c r="H5138" s="8" t="s">
        <v>235</v>
      </c>
      <c r="I5138" s="368">
        <f t="shared" si="241"/>
        <v>0</v>
      </c>
      <c r="J5138" s="365">
        <f t="shared" si="240"/>
        <v>0</v>
      </c>
      <c r="K5138" s="369">
        <f t="shared" si="242"/>
        <v>6</v>
      </c>
      <c r="L5138" s="369">
        <f>+IF((C5138&gt;='Resultats - informe'!$E$16)*(C5138&lt;='Resultats - informe'!$G$16),1,0)</f>
        <v>1</v>
      </c>
      <c r="M5138" s="369" cm="1">
        <f t="array" ref="M5138">+_xlfn.IFS((C5138&gt;='Resultats - informe'!$D$26)*(C5138&lt;='Resultats - informe'!$E$26),0,(C5138&gt;='Resultats - informe'!$D$27)*(C5138&lt;='Resultats - informe'!$E$27),0,(C5138&gt;='Resultats - informe'!$D$28)*(C5138&lt;='Resultats - informe'!$E$28),0,(C5138&gt;='Resultats - informe'!$D$29)*(C5138&lt;='Resultats - informe'!$E$29),0,1,1)</f>
        <v>0</v>
      </c>
      <c r="N5138" s="366">
        <f>+VLOOKUP(D5138,'Resultats - informe'!$Y$18:$AG$42,'Introducció dades consum'!K5138+1,0)</f>
        <v>0</v>
      </c>
      <c r="O5138" s="370" cm="1">
        <f t="array" ref="O5138">+_xlfn.SWITCH(MONTH(C5138),1,1,2,1,3,1,4,2,5,2,6,3,7,3,8,3,9,3,10,2,11,2,12,1,2)</f>
        <v>1</v>
      </c>
      <c r="P5138" s="43"/>
    </row>
    <row r="5139" spans="1:16" ht="18" x14ac:dyDescent="0.35">
      <c r="A5139" s="9"/>
      <c r="C5139" s="393"/>
      <c r="E5139" s="394"/>
      <c r="F5139" s="394">
        <v>0</v>
      </c>
      <c r="G5139" s="394"/>
      <c r="H5139" s="8" t="s">
        <v>235</v>
      </c>
      <c r="I5139" s="368">
        <f t="shared" si="241"/>
        <v>0</v>
      </c>
      <c r="J5139" s="365">
        <f t="shared" si="240"/>
        <v>0</v>
      </c>
      <c r="K5139" s="369">
        <f t="shared" si="242"/>
        <v>6</v>
      </c>
      <c r="L5139" s="369">
        <f>+IF((C5139&gt;='Resultats - informe'!$E$16)*(C5139&lt;='Resultats - informe'!$G$16),1,0)</f>
        <v>1</v>
      </c>
      <c r="M5139" s="369" cm="1">
        <f t="array" ref="M5139">+_xlfn.IFS((C5139&gt;='Resultats - informe'!$D$26)*(C5139&lt;='Resultats - informe'!$E$26),0,(C5139&gt;='Resultats - informe'!$D$27)*(C5139&lt;='Resultats - informe'!$E$27),0,(C5139&gt;='Resultats - informe'!$D$28)*(C5139&lt;='Resultats - informe'!$E$28),0,(C5139&gt;='Resultats - informe'!$D$29)*(C5139&lt;='Resultats - informe'!$E$29),0,1,1)</f>
        <v>0</v>
      </c>
      <c r="N5139" s="366">
        <f>+VLOOKUP(D5139,'Resultats - informe'!$Y$18:$AG$42,'Introducció dades consum'!K5139+1,0)</f>
        <v>0</v>
      </c>
      <c r="O5139" s="370" cm="1">
        <f t="array" ref="O5139">+_xlfn.SWITCH(MONTH(C5139),1,1,2,1,3,1,4,2,5,2,6,3,7,3,8,3,9,3,10,2,11,2,12,1,2)</f>
        <v>1</v>
      </c>
      <c r="P5139" s="43"/>
    </row>
    <row r="5140" spans="1:16" ht="18" x14ac:dyDescent="0.35">
      <c r="A5140" s="9"/>
      <c r="C5140" s="393"/>
      <c r="E5140" s="394"/>
      <c r="F5140" s="394">
        <v>5.0999999999999997E-2</v>
      </c>
      <c r="G5140" s="394"/>
      <c r="H5140" s="8" t="s">
        <v>235</v>
      </c>
      <c r="I5140" s="368">
        <f t="shared" si="241"/>
        <v>0</v>
      </c>
      <c r="J5140" s="365">
        <f t="shared" si="240"/>
        <v>0</v>
      </c>
      <c r="K5140" s="369">
        <f t="shared" si="242"/>
        <v>6</v>
      </c>
      <c r="L5140" s="369">
        <f>+IF((C5140&gt;='Resultats - informe'!$E$16)*(C5140&lt;='Resultats - informe'!$G$16),1,0)</f>
        <v>1</v>
      </c>
      <c r="M5140" s="369" cm="1">
        <f t="array" ref="M5140">+_xlfn.IFS((C5140&gt;='Resultats - informe'!$D$26)*(C5140&lt;='Resultats - informe'!$E$26),0,(C5140&gt;='Resultats - informe'!$D$27)*(C5140&lt;='Resultats - informe'!$E$27),0,(C5140&gt;='Resultats - informe'!$D$28)*(C5140&lt;='Resultats - informe'!$E$28),0,(C5140&gt;='Resultats - informe'!$D$29)*(C5140&lt;='Resultats - informe'!$E$29),0,1,1)</f>
        <v>0</v>
      </c>
      <c r="N5140" s="366">
        <f>+VLOOKUP(D5140,'Resultats - informe'!$Y$18:$AG$42,'Introducció dades consum'!K5140+1,0)</f>
        <v>0</v>
      </c>
      <c r="O5140" s="370" cm="1">
        <f t="array" ref="O5140">+_xlfn.SWITCH(MONTH(C5140),1,1,2,1,3,1,4,2,5,2,6,3,7,3,8,3,9,3,10,2,11,2,12,1,2)</f>
        <v>1</v>
      </c>
      <c r="P5140" s="43"/>
    </row>
    <row r="5141" spans="1:16" ht="18" x14ac:dyDescent="0.35">
      <c r="A5141" s="9"/>
      <c r="C5141" s="393"/>
      <c r="E5141" s="394"/>
      <c r="F5141" s="394">
        <v>0.435</v>
      </c>
      <c r="G5141" s="394"/>
      <c r="H5141" s="8" t="s">
        <v>235</v>
      </c>
      <c r="I5141" s="368">
        <f t="shared" si="241"/>
        <v>0</v>
      </c>
      <c r="J5141" s="365">
        <f t="shared" si="240"/>
        <v>0</v>
      </c>
      <c r="K5141" s="369">
        <f t="shared" si="242"/>
        <v>6</v>
      </c>
      <c r="L5141" s="369">
        <f>+IF((C5141&gt;='Resultats - informe'!$E$16)*(C5141&lt;='Resultats - informe'!$G$16),1,0)</f>
        <v>1</v>
      </c>
      <c r="M5141" s="369" cm="1">
        <f t="array" ref="M5141">+_xlfn.IFS((C5141&gt;='Resultats - informe'!$D$26)*(C5141&lt;='Resultats - informe'!$E$26),0,(C5141&gt;='Resultats - informe'!$D$27)*(C5141&lt;='Resultats - informe'!$E$27),0,(C5141&gt;='Resultats - informe'!$D$28)*(C5141&lt;='Resultats - informe'!$E$28),0,(C5141&gt;='Resultats - informe'!$D$29)*(C5141&lt;='Resultats - informe'!$E$29),0,1,1)</f>
        <v>0</v>
      </c>
      <c r="N5141" s="366">
        <f>+VLOOKUP(D5141,'Resultats - informe'!$Y$18:$AG$42,'Introducció dades consum'!K5141+1,0)</f>
        <v>0</v>
      </c>
      <c r="O5141" s="370" cm="1">
        <f t="array" ref="O5141">+_xlfn.SWITCH(MONTH(C5141),1,1,2,1,3,1,4,2,5,2,6,3,7,3,8,3,9,3,10,2,11,2,12,1,2)</f>
        <v>1</v>
      </c>
      <c r="P5141" s="43"/>
    </row>
    <row r="5142" spans="1:16" ht="18" x14ac:dyDescent="0.35">
      <c r="A5142" s="9"/>
      <c r="C5142" s="393"/>
      <c r="E5142" s="394"/>
      <c r="F5142" s="394">
        <v>0.434</v>
      </c>
      <c r="G5142" s="394"/>
      <c r="H5142" s="8" t="s">
        <v>235</v>
      </c>
      <c r="I5142" s="368">
        <f t="shared" si="241"/>
        <v>0</v>
      </c>
      <c r="J5142" s="365">
        <f t="shared" si="240"/>
        <v>0</v>
      </c>
      <c r="K5142" s="369">
        <f t="shared" si="242"/>
        <v>6</v>
      </c>
      <c r="L5142" s="369">
        <f>+IF((C5142&gt;='Resultats - informe'!$E$16)*(C5142&lt;='Resultats - informe'!$G$16),1,0)</f>
        <v>1</v>
      </c>
      <c r="M5142" s="369" cm="1">
        <f t="array" ref="M5142">+_xlfn.IFS((C5142&gt;='Resultats - informe'!$D$26)*(C5142&lt;='Resultats - informe'!$E$26),0,(C5142&gt;='Resultats - informe'!$D$27)*(C5142&lt;='Resultats - informe'!$E$27),0,(C5142&gt;='Resultats - informe'!$D$28)*(C5142&lt;='Resultats - informe'!$E$28),0,(C5142&gt;='Resultats - informe'!$D$29)*(C5142&lt;='Resultats - informe'!$E$29),0,1,1)</f>
        <v>0</v>
      </c>
      <c r="N5142" s="366">
        <f>+VLOOKUP(D5142,'Resultats - informe'!$Y$18:$AG$42,'Introducció dades consum'!K5142+1,0)</f>
        <v>0</v>
      </c>
      <c r="O5142" s="370" cm="1">
        <f t="array" ref="O5142">+_xlfn.SWITCH(MONTH(C5142),1,1,2,1,3,1,4,2,5,2,6,3,7,3,8,3,9,3,10,2,11,2,12,1,2)</f>
        <v>1</v>
      </c>
      <c r="P5142" s="43"/>
    </row>
    <row r="5143" spans="1:16" ht="18" x14ac:dyDescent="0.35">
      <c r="A5143" s="9"/>
      <c r="C5143" s="393"/>
      <c r="E5143" s="394"/>
      <c r="F5143" s="394">
        <v>0.436</v>
      </c>
      <c r="G5143" s="394"/>
      <c r="H5143" s="8" t="s">
        <v>235</v>
      </c>
      <c r="I5143" s="368">
        <f t="shared" si="241"/>
        <v>0</v>
      </c>
      <c r="J5143" s="365">
        <f t="shared" si="240"/>
        <v>0</v>
      </c>
      <c r="K5143" s="369">
        <f t="shared" si="242"/>
        <v>6</v>
      </c>
      <c r="L5143" s="369">
        <f>+IF((C5143&gt;='Resultats - informe'!$E$16)*(C5143&lt;='Resultats - informe'!$G$16),1,0)</f>
        <v>1</v>
      </c>
      <c r="M5143" s="369" cm="1">
        <f t="array" ref="M5143">+_xlfn.IFS((C5143&gt;='Resultats - informe'!$D$26)*(C5143&lt;='Resultats - informe'!$E$26),0,(C5143&gt;='Resultats - informe'!$D$27)*(C5143&lt;='Resultats - informe'!$E$27),0,(C5143&gt;='Resultats - informe'!$D$28)*(C5143&lt;='Resultats - informe'!$E$28),0,(C5143&gt;='Resultats - informe'!$D$29)*(C5143&lt;='Resultats - informe'!$E$29),0,1,1)</f>
        <v>0</v>
      </c>
      <c r="N5143" s="366">
        <f>+VLOOKUP(D5143,'Resultats - informe'!$Y$18:$AG$42,'Introducció dades consum'!K5143+1,0)</f>
        <v>0</v>
      </c>
      <c r="O5143" s="370" cm="1">
        <f t="array" ref="O5143">+_xlfn.SWITCH(MONTH(C5143),1,1,2,1,3,1,4,2,5,2,6,3,7,3,8,3,9,3,10,2,11,2,12,1,2)</f>
        <v>1</v>
      </c>
      <c r="P5143" s="43"/>
    </row>
    <row r="5144" spans="1:16" ht="18" x14ac:dyDescent="0.35">
      <c r="A5144" s="9"/>
      <c r="C5144" s="393"/>
      <c r="E5144" s="394"/>
      <c r="F5144" s="394">
        <v>0.436</v>
      </c>
      <c r="G5144" s="394"/>
      <c r="H5144" s="8" t="s">
        <v>235</v>
      </c>
      <c r="I5144" s="368">
        <f t="shared" si="241"/>
        <v>0</v>
      </c>
      <c r="J5144" s="365">
        <f t="shared" si="240"/>
        <v>0</v>
      </c>
      <c r="K5144" s="369">
        <f t="shared" si="242"/>
        <v>6</v>
      </c>
      <c r="L5144" s="369">
        <f>+IF((C5144&gt;='Resultats - informe'!$E$16)*(C5144&lt;='Resultats - informe'!$G$16),1,0)</f>
        <v>1</v>
      </c>
      <c r="M5144" s="369" cm="1">
        <f t="array" ref="M5144">+_xlfn.IFS((C5144&gt;='Resultats - informe'!$D$26)*(C5144&lt;='Resultats - informe'!$E$26),0,(C5144&gt;='Resultats - informe'!$D$27)*(C5144&lt;='Resultats - informe'!$E$27),0,(C5144&gt;='Resultats - informe'!$D$28)*(C5144&lt;='Resultats - informe'!$E$28),0,(C5144&gt;='Resultats - informe'!$D$29)*(C5144&lt;='Resultats - informe'!$E$29),0,1,1)</f>
        <v>0</v>
      </c>
      <c r="N5144" s="366">
        <f>+VLOOKUP(D5144,'Resultats - informe'!$Y$18:$AG$42,'Introducció dades consum'!K5144+1,0)</f>
        <v>0</v>
      </c>
      <c r="O5144" s="370" cm="1">
        <f t="array" ref="O5144">+_xlfn.SWITCH(MONTH(C5144),1,1,2,1,3,1,4,2,5,2,6,3,7,3,8,3,9,3,10,2,11,2,12,1,2)</f>
        <v>1</v>
      </c>
      <c r="P5144" s="43"/>
    </row>
    <row r="5145" spans="1:16" ht="18" x14ac:dyDescent="0.35">
      <c r="A5145" s="9"/>
      <c r="C5145" s="393"/>
      <c r="E5145" s="394"/>
      <c r="F5145" s="394">
        <v>0.437</v>
      </c>
      <c r="G5145" s="394"/>
      <c r="H5145" s="8" t="s">
        <v>235</v>
      </c>
      <c r="I5145" s="368">
        <f t="shared" si="241"/>
        <v>0</v>
      </c>
      <c r="J5145" s="365">
        <f t="shared" si="240"/>
        <v>0</v>
      </c>
      <c r="K5145" s="369">
        <f t="shared" si="242"/>
        <v>6</v>
      </c>
      <c r="L5145" s="369">
        <f>+IF((C5145&gt;='Resultats - informe'!$E$16)*(C5145&lt;='Resultats - informe'!$G$16),1,0)</f>
        <v>1</v>
      </c>
      <c r="M5145" s="369" cm="1">
        <f t="array" ref="M5145">+_xlfn.IFS((C5145&gt;='Resultats - informe'!$D$26)*(C5145&lt;='Resultats - informe'!$E$26),0,(C5145&gt;='Resultats - informe'!$D$27)*(C5145&lt;='Resultats - informe'!$E$27),0,(C5145&gt;='Resultats - informe'!$D$28)*(C5145&lt;='Resultats - informe'!$E$28),0,(C5145&gt;='Resultats - informe'!$D$29)*(C5145&lt;='Resultats - informe'!$E$29),0,1,1)</f>
        <v>0</v>
      </c>
      <c r="N5145" s="366">
        <f>+VLOOKUP(D5145,'Resultats - informe'!$Y$18:$AG$42,'Introducció dades consum'!K5145+1,0)</f>
        <v>0</v>
      </c>
      <c r="O5145" s="370" cm="1">
        <f t="array" ref="O5145">+_xlfn.SWITCH(MONTH(C5145),1,1,2,1,3,1,4,2,5,2,6,3,7,3,8,3,9,3,10,2,11,2,12,1,2)</f>
        <v>1</v>
      </c>
      <c r="P5145" s="43"/>
    </row>
    <row r="5146" spans="1:16" ht="18" x14ac:dyDescent="0.35">
      <c r="A5146" s="9"/>
      <c r="C5146" s="393"/>
      <c r="E5146" s="394"/>
      <c r="F5146" s="394">
        <v>0.437</v>
      </c>
      <c r="G5146" s="394"/>
      <c r="H5146" s="8" t="s">
        <v>235</v>
      </c>
      <c r="I5146" s="368">
        <f t="shared" si="241"/>
        <v>0</v>
      </c>
      <c r="J5146" s="365">
        <f t="shared" si="240"/>
        <v>0</v>
      </c>
      <c r="K5146" s="369">
        <f t="shared" si="242"/>
        <v>6</v>
      </c>
      <c r="L5146" s="369">
        <f>+IF((C5146&gt;='Resultats - informe'!$E$16)*(C5146&lt;='Resultats - informe'!$G$16),1,0)</f>
        <v>1</v>
      </c>
      <c r="M5146" s="369" cm="1">
        <f t="array" ref="M5146">+_xlfn.IFS((C5146&gt;='Resultats - informe'!$D$26)*(C5146&lt;='Resultats - informe'!$E$26),0,(C5146&gt;='Resultats - informe'!$D$27)*(C5146&lt;='Resultats - informe'!$E$27),0,(C5146&gt;='Resultats - informe'!$D$28)*(C5146&lt;='Resultats - informe'!$E$28),0,(C5146&gt;='Resultats - informe'!$D$29)*(C5146&lt;='Resultats - informe'!$E$29),0,1,1)</f>
        <v>0</v>
      </c>
      <c r="N5146" s="366">
        <f>+VLOOKUP(D5146,'Resultats - informe'!$Y$18:$AG$42,'Introducció dades consum'!K5146+1,0)</f>
        <v>0</v>
      </c>
      <c r="O5146" s="370" cm="1">
        <f t="array" ref="O5146">+_xlfn.SWITCH(MONTH(C5146),1,1,2,1,3,1,4,2,5,2,6,3,7,3,8,3,9,3,10,2,11,2,12,1,2)</f>
        <v>1</v>
      </c>
      <c r="P5146" s="43"/>
    </row>
    <row r="5147" spans="1:16" ht="18" x14ac:dyDescent="0.35">
      <c r="A5147" s="9"/>
      <c r="C5147" s="393"/>
      <c r="E5147" s="394"/>
      <c r="F5147" s="394">
        <v>0.439</v>
      </c>
      <c r="G5147" s="394"/>
      <c r="H5147" s="8" t="s">
        <v>235</v>
      </c>
      <c r="I5147" s="368">
        <f t="shared" si="241"/>
        <v>0</v>
      </c>
      <c r="J5147" s="365">
        <f t="shared" si="240"/>
        <v>0</v>
      </c>
      <c r="K5147" s="369">
        <f t="shared" si="242"/>
        <v>6</v>
      </c>
      <c r="L5147" s="369">
        <f>+IF((C5147&gt;='Resultats - informe'!$E$16)*(C5147&lt;='Resultats - informe'!$G$16),1,0)</f>
        <v>1</v>
      </c>
      <c r="M5147" s="369" cm="1">
        <f t="array" ref="M5147">+_xlfn.IFS((C5147&gt;='Resultats - informe'!$D$26)*(C5147&lt;='Resultats - informe'!$E$26),0,(C5147&gt;='Resultats - informe'!$D$27)*(C5147&lt;='Resultats - informe'!$E$27),0,(C5147&gt;='Resultats - informe'!$D$28)*(C5147&lt;='Resultats - informe'!$E$28),0,(C5147&gt;='Resultats - informe'!$D$29)*(C5147&lt;='Resultats - informe'!$E$29),0,1,1)</f>
        <v>0</v>
      </c>
      <c r="N5147" s="366">
        <f>+VLOOKUP(D5147,'Resultats - informe'!$Y$18:$AG$42,'Introducció dades consum'!K5147+1,0)</f>
        <v>0</v>
      </c>
      <c r="O5147" s="370" cm="1">
        <f t="array" ref="O5147">+_xlfn.SWITCH(MONTH(C5147),1,1,2,1,3,1,4,2,5,2,6,3,7,3,8,3,9,3,10,2,11,2,12,1,2)</f>
        <v>1</v>
      </c>
      <c r="P5147" s="43"/>
    </row>
    <row r="5148" spans="1:16" ht="18" x14ac:dyDescent="0.35">
      <c r="A5148" s="9"/>
      <c r="C5148" s="393"/>
      <c r="E5148" s="394"/>
      <c r="F5148" s="394">
        <v>0.439</v>
      </c>
      <c r="G5148" s="394"/>
      <c r="H5148" s="8" t="s">
        <v>235</v>
      </c>
      <c r="I5148" s="368">
        <f t="shared" si="241"/>
        <v>0</v>
      </c>
      <c r="J5148" s="365">
        <f t="shared" si="240"/>
        <v>0</v>
      </c>
      <c r="K5148" s="369">
        <f t="shared" si="242"/>
        <v>6</v>
      </c>
      <c r="L5148" s="369">
        <f>+IF((C5148&gt;='Resultats - informe'!$E$16)*(C5148&lt;='Resultats - informe'!$G$16),1,0)</f>
        <v>1</v>
      </c>
      <c r="M5148" s="369" cm="1">
        <f t="array" ref="M5148">+_xlfn.IFS((C5148&gt;='Resultats - informe'!$D$26)*(C5148&lt;='Resultats - informe'!$E$26),0,(C5148&gt;='Resultats - informe'!$D$27)*(C5148&lt;='Resultats - informe'!$E$27),0,(C5148&gt;='Resultats - informe'!$D$28)*(C5148&lt;='Resultats - informe'!$E$28),0,(C5148&gt;='Resultats - informe'!$D$29)*(C5148&lt;='Resultats - informe'!$E$29),0,1,1)</f>
        <v>0</v>
      </c>
      <c r="N5148" s="366">
        <f>+VLOOKUP(D5148,'Resultats - informe'!$Y$18:$AG$42,'Introducció dades consum'!K5148+1,0)</f>
        <v>0</v>
      </c>
      <c r="O5148" s="370" cm="1">
        <f t="array" ref="O5148">+_xlfn.SWITCH(MONTH(C5148),1,1,2,1,3,1,4,2,5,2,6,3,7,3,8,3,9,3,10,2,11,2,12,1,2)</f>
        <v>1</v>
      </c>
      <c r="P5148" s="43"/>
    </row>
    <row r="5149" spans="1:16" ht="18" x14ac:dyDescent="0.35">
      <c r="A5149" s="9"/>
      <c r="C5149" s="393"/>
      <c r="E5149" s="394"/>
      <c r="F5149" s="394">
        <v>0.42699999999999999</v>
      </c>
      <c r="G5149" s="394"/>
      <c r="H5149" s="8" t="s">
        <v>235</v>
      </c>
      <c r="I5149" s="368">
        <f t="shared" si="241"/>
        <v>0</v>
      </c>
      <c r="J5149" s="365">
        <f t="shared" si="240"/>
        <v>0</v>
      </c>
      <c r="K5149" s="369">
        <f t="shared" si="242"/>
        <v>6</v>
      </c>
      <c r="L5149" s="369">
        <f>+IF((C5149&gt;='Resultats - informe'!$E$16)*(C5149&lt;='Resultats - informe'!$G$16),1,0)</f>
        <v>1</v>
      </c>
      <c r="M5149" s="369" cm="1">
        <f t="array" ref="M5149">+_xlfn.IFS((C5149&gt;='Resultats - informe'!$D$26)*(C5149&lt;='Resultats - informe'!$E$26),0,(C5149&gt;='Resultats - informe'!$D$27)*(C5149&lt;='Resultats - informe'!$E$27),0,(C5149&gt;='Resultats - informe'!$D$28)*(C5149&lt;='Resultats - informe'!$E$28),0,(C5149&gt;='Resultats - informe'!$D$29)*(C5149&lt;='Resultats - informe'!$E$29),0,1,1)</f>
        <v>0</v>
      </c>
      <c r="N5149" s="366">
        <f>+VLOOKUP(D5149,'Resultats - informe'!$Y$18:$AG$42,'Introducció dades consum'!K5149+1,0)</f>
        <v>0</v>
      </c>
      <c r="O5149" s="370" cm="1">
        <f t="array" ref="O5149">+_xlfn.SWITCH(MONTH(C5149),1,1,2,1,3,1,4,2,5,2,6,3,7,3,8,3,9,3,10,2,11,2,12,1,2)</f>
        <v>1</v>
      </c>
      <c r="P5149" s="43"/>
    </row>
    <row r="5150" spans="1:16" ht="18" x14ac:dyDescent="0.35">
      <c r="A5150" s="9"/>
      <c r="C5150" s="393"/>
      <c r="E5150" s="394"/>
      <c r="F5150" s="394">
        <v>0.438</v>
      </c>
      <c r="G5150" s="394"/>
      <c r="H5150" s="8" t="s">
        <v>235</v>
      </c>
      <c r="I5150" s="368">
        <f t="shared" si="241"/>
        <v>0</v>
      </c>
      <c r="J5150" s="365">
        <f t="shared" si="240"/>
        <v>0</v>
      </c>
      <c r="K5150" s="369">
        <f t="shared" si="242"/>
        <v>6</v>
      </c>
      <c r="L5150" s="369">
        <f>+IF((C5150&gt;='Resultats - informe'!$E$16)*(C5150&lt;='Resultats - informe'!$G$16),1,0)</f>
        <v>1</v>
      </c>
      <c r="M5150" s="369" cm="1">
        <f t="array" ref="M5150">+_xlfn.IFS((C5150&gt;='Resultats - informe'!$D$26)*(C5150&lt;='Resultats - informe'!$E$26),0,(C5150&gt;='Resultats - informe'!$D$27)*(C5150&lt;='Resultats - informe'!$E$27),0,(C5150&gt;='Resultats - informe'!$D$28)*(C5150&lt;='Resultats - informe'!$E$28),0,(C5150&gt;='Resultats - informe'!$D$29)*(C5150&lt;='Resultats - informe'!$E$29),0,1,1)</f>
        <v>0</v>
      </c>
      <c r="N5150" s="366">
        <f>+VLOOKUP(D5150,'Resultats - informe'!$Y$18:$AG$42,'Introducció dades consum'!K5150+1,0)</f>
        <v>0</v>
      </c>
      <c r="O5150" s="370" cm="1">
        <f t="array" ref="O5150">+_xlfn.SWITCH(MONTH(C5150),1,1,2,1,3,1,4,2,5,2,6,3,7,3,8,3,9,3,10,2,11,2,12,1,2)</f>
        <v>1</v>
      </c>
      <c r="P5150" s="43"/>
    </row>
    <row r="5151" spans="1:16" ht="18" x14ac:dyDescent="0.35">
      <c r="A5151" s="9"/>
      <c r="C5151" s="393"/>
      <c r="E5151" s="394"/>
      <c r="F5151" s="394">
        <v>0.436</v>
      </c>
      <c r="G5151" s="394"/>
      <c r="H5151" s="8" t="s">
        <v>235</v>
      </c>
      <c r="I5151" s="368">
        <f t="shared" si="241"/>
        <v>0</v>
      </c>
      <c r="J5151" s="365">
        <f t="shared" si="240"/>
        <v>0</v>
      </c>
      <c r="K5151" s="369">
        <f t="shared" si="242"/>
        <v>6</v>
      </c>
      <c r="L5151" s="369">
        <f>+IF((C5151&gt;='Resultats - informe'!$E$16)*(C5151&lt;='Resultats - informe'!$G$16),1,0)</f>
        <v>1</v>
      </c>
      <c r="M5151" s="369" cm="1">
        <f t="array" ref="M5151">+_xlfn.IFS((C5151&gt;='Resultats - informe'!$D$26)*(C5151&lt;='Resultats - informe'!$E$26),0,(C5151&gt;='Resultats - informe'!$D$27)*(C5151&lt;='Resultats - informe'!$E$27),0,(C5151&gt;='Resultats - informe'!$D$28)*(C5151&lt;='Resultats - informe'!$E$28),0,(C5151&gt;='Resultats - informe'!$D$29)*(C5151&lt;='Resultats - informe'!$E$29),0,1,1)</f>
        <v>0</v>
      </c>
      <c r="N5151" s="366">
        <f>+VLOOKUP(D5151,'Resultats - informe'!$Y$18:$AG$42,'Introducció dades consum'!K5151+1,0)</f>
        <v>0</v>
      </c>
      <c r="O5151" s="370" cm="1">
        <f t="array" ref="O5151">+_xlfn.SWITCH(MONTH(C5151),1,1,2,1,3,1,4,2,5,2,6,3,7,3,8,3,9,3,10,2,11,2,12,1,2)</f>
        <v>1</v>
      </c>
      <c r="P5151" s="43"/>
    </row>
    <row r="5152" spans="1:16" ht="18" x14ac:dyDescent="0.35">
      <c r="A5152" s="9"/>
      <c r="C5152" s="393"/>
      <c r="E5152" s="394"/>
      <c r="F5152" s="394">
        <v>0.436</v>
      </c>
      <c r="G5152" s="394"/>
      <c r="H5152" s="8" t="s">
        <v>235</v>
      </c>
      <c r="I5152" s="368">
        <f t="shared" si="241"/>
        <v>0</v>
      </c>
      <c r="J5152" s="365">
        <f t="shared" si="240"/>
        <v>0</v>
      </c>
      <c r="K5152" s="369">
        <f t="shared" si="242"/>
        <v>6</v>
      </c>
      <c r="L5152" s="369">
        <f>+IF((C5152&gt;='Resultats - informe'!$E$16)*(C5152&lt;='Resultats - informe'!$G$16),1,0)</f>
        <v>1</v>
      </c>
      <c r="M5152" s="369" cm="1">
        <f t="array" ref="M5152">+_xlfn.IFS((C5152&gt;='Resultats - informe'!$D$26)*(C5152&lt;='Resultats - informe'!$E$26),0,(C5152&gt;='Resultats - informe'!$D$27)*(C5152&lt;='Resultats - informe'!$E$27),0,(C5152&gt;='Resultats - informe'!$D$28)*(C5152&lt;='Resultats - informe'!$E$28),0,(C5152&gt;='Resultats - informe'!$D$29)*(C5152&lt;='Resultats - informe'!$E$29),0,1,1)</f>
        <v>0</v>
      </c>
      <c r="N5152" s="366">
        <f>+VLOOKUP(D5152,'Resultats - informe'!$Y$18:$AG$42,'Introducció dades consum'!K5152+1,0)</f>
        <v>0</v>
      </c>
      <c r="O5152" s="370" cm="1">
        <f t="array" ref="O5152">+_xlfn.SWITCH(MONTH(C5152),1,1,2,1,3,1,4,2,5,2,6,3,7,3,8,3,9,3,10,2,11,2,12,1,2)</f>
        <v>1</v>
      </c>
      <c r="P5152" s="43"/>
    </row>
    <row r="5153" spans="1:16" ht="18" x14ac:dyDescent="0.35">
      <c r="A5153" s="9"/>
      <c r="C5153" s="393"/>
      <c r="E5153" s="394"/>
      <c r="F5153" s="394">
        <v>0.437</v>
      </c>
      <c r="G5153" s="394"/>
      <c r="H5153" s="8" t="s">
        <v>235</v>
      </c>
      <c r="I5153" s="368">
        <f t="shared" si="241"/>
        <v>0</v>
      </c>
      <c r="J5153" s="365">
        <f t="shared" si="240"/>
        <v>0</v>
      </c>
      <c r="K5153" s="369">
        <f t="shared" si="242"/>
        <v>6</v>
      </c>
      <c r="L5153" s="369">
        <f>+IF((C5153&gt;='Resultats - informe'!$E$16)*(C5153&lt;='Resultats - informe'!$G$16),1,0)</f>
        <v>1</v>
      </c>
      <c r="M5153" s="369" cm="1">
        <f t="array" ref="M5153">+_xlfn.IFS((C5153&gt;='Resultats - informe'!$D$26)*(C5153&lt;='Resultats - informe'!$E$26),0,(C5153&gt;='Resultats - informe'!$D$27)*(C5153&lt;='Resultats - informe'!$E$27),0,(C5153&gt;='Resultats - informe'!$D$28)*(C5153&lt;='Resultats - informe'!$E$28),0,(C5153&gt;='Resultats - informe'!$D$29)*(C5153&lt;='Resultats - informe'!$E$29),0,1,1)</f>
        <v>0</v>
      </c>
      <c r="N5153" s="366">
        <f>+VLOOKUP(D5153,'Resultats - informe'!$Y$18:$AG$42,'Introducció dades consum'!K5153+1,0)</f>
        <v>0</v>
      </c>
      <c r="O5153" s="370" cm="1">
        <f t="array" ref="O5153">+_xlfn.SWITCH(MONTH(C5153),1,1,2,1,3,1,4,2,5,2,6,3,7,3,8,3,9,3,10,2,11,2,12,1,2)</f>
        <v>1</v>
      </c>
      <c r="P5153" s="43"/>
    </row>
    <row r="5154" spans="1:16" ht="18" x14ac:dyDescent="0.35">
      <c r="A5154" s="9"/>
      <c r="C5154" s="393"/>
      <c r="E5154" s="394"/>
      <c r="F5154" s="394">
        <v>0.436</v>
      </c>
      <c r="G5154" s="394"/>
      <c r="H5154" s="8" t="s">
        <v>235</v>
      </c>
      <c r="I5154" s="368">
        <f t="shared" si="241"/>
        <v>0</v>
      </c>
      <c r="J5154" s="365">
        <f t="shared" si="240"/>
        <v>0</v>
      </c>
      <c r="K5154" s="369">
        <f t="shared" si="242"/>
        <v>6</v>
      </c>
      <c r="L5154" s="369">
        <f>+IF((C5154&gt;='Resultats - informe'!$E$16)*(C5154&lt;='Resultats - informe'!$G$16),1,0)</f>
        <v>1</v>
      </c>
      <c r="M5154" s="369" cm="1">
        <f t="array" ref="M5154">+_xlfn.IFS((C5154&gt;='Resultats - informe'!$D$26)*(C5154&lt;='Resultats - informe'!$E$26),0,(C5154&gt;='Resultats - informe'!$D$27)*(C5154&lt;='Resultats - informe'!$E$27),0,(C5154&gt;='Resultats - informe'!$D$28)*(C5154&lt;='Resultats - informe'!$E$28),0,(C5154&gt;='Resultats - informe'!$D$29)*(C5154&lt;='Resultats - informe'!$E$29),0,1,1)</f>
        <v>0</v>
      </c>
      <c r="N5154" s="366">
        <f>+VLOOKUP(D5154,'Resultats - informe'!$Y$18:$AG$42,'Introducció dades consum'!K5154+1,0)</f>
        <v>0</v>
      </c>
      <c r="O5154" s="370" cm="1">
        <f t="array" ref="O5154">+_xlfn.SWITCH(MONTH(C5154),1,1,2,1,3,1,4,2,5,2,6,3,7,3,8,3,9,3,10,2,11,2,12,1,2)</f>
        <v>1</v>
      </c>
      <c r="P5154" s="43"/>
    </row>
    <row r="5155" spans="1:16" ht="18" x14ac:dyDescent="0.35">
      <c r="A5155" s="9"/>
      <c r="C5155" s="393"/>
      <c r="E5155" s="394"/>
      <c r="F5155" s="394">
        <v>0.436</v>
      </c>
      <c r="G5155" s="394"/>
      <c r="H5155" s="8" t="s">
        <v>235</v>
      </c>
      <c r="I5155" s="368">
        <f t="shared" si="241"/>
        <v>0</v>
      </c>
      <c r="J5155" s="365">
        <f t="shared" si="240"/>
        <v>0</v>
      </c>
      <c r="K5155" s="369">
        <f t="shared" si="242"/>
        <v>6</v>
      </c>
      <c r="L5155" s="369">
        <f>+IF((C5155&gt;='Resultats - informe'!$E$16)*(C5155&lt;='Resultats - informe'!$G$16),1,0)</f>
        <v>1</v>
      </c>
      <c r="M5155" s="369" cm="1">
        <f t="array" ref="M5155">+_xlfn.IFS((C5155&gt;='Resultats - informe'!$D$26)*(C5155&lt;='Resultats - informe'!$E$26),0,(C5155&gt;='Resultats - informe'!$D$27)*(C5155&lt;='Resultats - informe'!$E$27),0,(C5155&gt;='Resultats - informe'!$D$28)*(C5155&lt;='Resultats - informe'!$E$28),0,(C5155&gt;='Resultats - informe'!$D$29)*(C5155&lt;='Resultats - informe'!$E$29),0,1,1)</f>
        <v>0</v>
      </c>
      <c r="N5155" s="366">
        <f>+VLOOKUP(D5155,'Resultats - informe'!$Y$18:$AG$42,'Introducció dades consum'!K5155+1,0)</f>
        <v>0</v>
      </c>
      <c r="O5155" s="370" cm="1">
        <f t="array" ref="O5155">+_xlfn.SWITCH(MONTH(C5155),1,1,2,1,3,1,4,2,5,2,6,3,7,3,8,3,9,3,10,2,11,2,12,1,2)</f>
        <v>1</v>
      </c>
      <c r="P5155" s="43"/>
    </row>
    <row r="5156" spans="1:16" ht="18" x14ac:dyDescent="0.35">
      <c r="A5156" s="9"/>
      <c r="C5156" s="393"/>
      <c r="E5156" s="394"/>
      <c r="F5156" s="394">
        <v>0.435</v>
      </c>
      <c r="G5156" s="394"/>
      <c r="H5156" s="8" t="s">
        <v>235</v>
      </c>
      <c r="I5156" s="368">
        <f t="shared" si="241"/>
        <v>0</v>
      </c>
      <c r="J5156" s="365">
        <f t="shared" si="240"/>
        <v>0</v>
      </c>
      <c r="K5156" s="369">
        <f t="shared" si="242"/>
        <v>6</v>
      </c>
      <c r="L5156" s="369">
        <f>+IF((C5156&gt;='Resultats - informe'!$E$16)*(C5156&lt;='Resultats - informe'!$G$16),1,0)</f>
        <v>1</v>
      </c>
      <c r="M5156" s="369" cm="1">
        <f t="array" ref="M5156">+_xlfn.IFS((C5156&gt;='Resultats - informe'!$D$26)*(C5156&lt;='Resultats - informe'!$E$26),0,(C5156&gt;='Resultats - informe'!$D$27)*(C5156&lt;='Resultats - informe'!$E$27),0,(C5156&gt;='Resultats - informe'!$D$28)*(C5156&lt;='Resultats - informe'!$E$28),0,(C5156&gt;='Resultats - informe'!$D$29)*(C5156&lt;='Resultats - informe'!$E$29),0,1,1)</f>
        <v>0</v>
      </c>
      <c r="N5156" s="366">
        <f>+VLOOKUP(D5156,'Resultats - informe'!$Y$18:$AG$42,'Introducció dades consum'!K5156+1,0)</f>
        <v>0</v>
      </c>
      <c r="O5156" s="370" cm="1">
        <f t="array" ref="O5156">+_xlfn.SWITCH(MONTH(C5156),1,1,2,1,3,1,4,2,5,2,6,3,7,3,8,3,9,3,10,2,11,2,12,1,2)</f>
        <v>1</v>
      </c>
      <c r="P5156" s="43"/>
    </row>
    <row r="5157" spans="1:16" ht="18" x14ac:dyDescent="0.35">
      <c r="A5157" s="9"/>
      <c r="C5157" s="393"/>
      <c r="E5157" s="394"/>
      <c r="F5157" s="394">
        <v>0.436</v>
      </c>
      <c r="G5157" s="394"/>
      <c r="H5157" s="8" t="s">
        <v>235</v>
      </c>
      <c r="I5157" s="368">
        <f t="shared" si="241"/>
        <v>0</v>
      </c>
      <c r="J5157" s="365">
        <f t="shared" si="240"/>
        <v>0</v>
      </c>
      <c r="K5157" s="369">
        <f t="shared" si="242"/>
        <v>6</v>
      </c>
      <c r="L5157" s="369">
        <f>+IF((C5157&gt;='Resultats - informe'!$E$16)*(C5157&lt;='Resultats - informe'!$G$16),1,0)</f>
        <v>1</v>
      </c>
      <c r="M5157" s="369" cm="1">
        <f t="array" ref="M5157">+_xlfn.IFS((C5157&gt;='Resultats - informe'!$D$26)*(C5157&lt;='Resultats - informe'!$E$26),0,(C5157&gt;='Resultats - informe'!$D$27)*(C5157&lt;='Resultats - informe'!$E$27),0,(C5157&gt;='Resultats - informe'!$D$28)*(C5157&lt;='Resultats - informe'!$E$28),0,(C5157&gt;='Resultats - informe'!$D$29)*(C5157&lt;='Resultats - informe'!$E$29),0,1,1)</f>
        <v>0</v>
      </c>
      <c r="N5157" s="366">
        <f>+VLOOKUP(D5157,'Resultats - informe'!$Y$18:$AG$42,'Introducció dades consum'!K5157+1,0)</f>
        <v>0</v>
      </c>
      <c r="O5157" s="370" cm="1">
        <f t="array" ref="O5157">+_xlfn.SWITCH(MONTH(C5157),1,1,2,1,3,1,4,2,5,2,6,3,7,3,8,3,9,3,10,2,11,2,12,1,2)</f>
        <v>1</v>
      </c>
      <c r="P5157" s="43"/>
    </row>
    <row r="5158" spans="1:16" ht="18" x14ac:dyDescent="0.35">
      <c r="A5158" s="9"/>
      <c r="C5158" s="393"/>
      <c r="E5158" s="394"/>
      <c r="F5158" s="394">
        <v>0.434</v>
      </c>
      <c r="G5158" s="394"/>
      <c r="H5158" s="8" t="s">
        <v>235</v>
      </c>
      <c r="I5158" s="368">
        <f t="shared" si="241"/>
        <v>0</v>
      </c>
      <c r="J5158" s="365">
        <f t="shared" si="240"/>
        <v>0</v>
      </c>
      <c r="K5158" s="369">
        <f t="shared" si="242"/>
        <v>6</v>
      </c>
      <c r="L5158" s="369">
        <f>+IF((C5158&gt;='Resultats - informe'!$E$16)*(C5158&lt;='Resultats - informe'!$G$16),1,0)</f>
        <v>1</v>
      </c>
      <c r="M5158" s="369" cm="1">
        <f t="array" ref="M5158">+_xlfn.IFS((C5158&gt;='Resultats - informe'!$D$26)*(C5158&lt;='Resultats - informe'!$E$26),0,(C5158&gt;='Resultats - informe'!$D$27)*(C5158&lt;='Resultats - informe'!$E$27),0,(C5158&gt;='Resultats - informe'!$D$28)*(C5158&lt;='Resultats - informe'!$E$28),0,(C5158&gt;='Resultats - informe'!$D$29)*(C5158&lt;='Resultats - informe'!$E$29),0,1,1)</f>
        <v>0</v>
      </c>
      <c r="N5158" s="366">
        <f>+VLOOKUP(D5158,'Resultats - informe'!$Y$18:$AG$42,'Introducció dades consum'!K5158+1,0)</f>
        <v>0</v>
      </c>
      <c r="O5158" s="370" cm="1">
        <f t="array" ref="O5158">+_xlfn.SWITCH(MONTH(C5158),1,1,2,1,3,1,4,2,5,2,6,3,7,3,8,3,9,3,10,2,11,2,12,1,2)</f>
        <v>1</v>
      </c>
      <c r="P5158" s="43"/>
    </row>
    <row r="5159" spans="1:16" ht="18" x14ac:dyDescent="0.35">
      <c r="A5159" s="9"/>
      <c r="C5159" s="393"/>
      <c r="E5159" s="394"/>
      <c r="F5159" s="394">
        <v>0.436</v>
      </c>
      <c r="G5159" s="394"/>
      <c r="H5159" s="8" t="s">
        <v>235</v>
      </c>
      <c r="I5159" s="368">
        <f t="shared" si="241"/>
        <v>0</v>
      </c>
      <c r="J5159" s="365">
        <f t="shared" si="240"/>
        <v>0</v>
      </c>
      <c r="K5159" s="369">
        <f t="shared" si="242"/>
        <v>6</v>
      </c>
      <c r="L5159" s="369">
        <f>+IF((C5159&gt;='Resultats - informe'!$E$16)*(C5159&lt;='Resultats - informe'!$G$16),1,0)</f>
        <v>1</v>
      </c>
      <c r="M5159" s="369" cm="1">
        <f t="array" ref="M5159">+_xlfn.IFS((C5159&gt;='Resultats - informe'!$D$26)*(C5159&lt;='Resultats - informe'!$E$26),0,(C5159&gt;='Resultats - informe'!$D$27)*(C5159&lt;='Resultats - informe'!$E$27),0,(C5159&gt;='Resultats - informe'!$D$28)*(C5159&lt;='Resultats - informe'!$E$28),0,(C5159&gt;='Resultats - informe'!$D$29)*(C5159&lt;='Resultats - informe'!$E$29),0,1,1)</f>
        <v>0</v>
      </c>
      <c r="N5159" s="366">
        <f>+VLOOKUP(D5159,'Resultats - informe'!$Y$18:$AG$42,'Introducció dades consum'!K5159+1,0)</f>
        <v>0</v>
      </c>
      <c r="O5159" s="370" cm="1">
        <f t="array" ref="O5159">+_xlfn.SWITCH(MONTH(C5159),1,1,2,1,3,1,4,2,5,2,6,3,7,3,8,3,9,3,10,2,11,2,12,1,2)</f>
        <v>1</v>
      </c>
      <c r="P5159" s="43"/>
    </row>
    <row r="5160" spans="1:16" ht="18" x14ac:dyDescent="0.35">
      <c r="A5160" s="9"/>
      <c r="C5160" s="393"/>
      <c r="E5160" s="394"/>
      <c r="F5160" s="394">
        <v>0.434</v>
      </c>
      <c r="G5160" s="394"/>
      <c r="H5160" s="8" t="s">
        <v>235</v>
      </c>
      <c r="I5160" s="368">
        <f t="shared" si="241"/>
        <v>0</v>
      </c>
      <c r="J5160" s="365">
        <f t="shared" si="240"/>
        <v>0</v>
      </c>
      <c r="K5160" s="369">
        <f t="shared" si="242"/>
        <v>6</v>
      </c>
      <c r="L5160" s="369">
        <f>+IF((C5160&gt;='Resultats - informe'!$E$16)*(C5160&lt;='Resultats - informe'!$G$16),1,0)</f>
        <v>1</v>
      </c>
      <c r="M5160" s="369" cm="1">
        <f t="array" ref="M5160">+_xlfn.IFS((C5160&gt;='Resultats - informe'!$D$26)*(C5160&lt;='Resultats - informe'!$E$26),0,(C5160&gt;='Resultats - informe'!$D$27)*(C5160&lt;='Resultats - informe'!$E$27),0,(C5160&gt;='Resultats - informe'!$D$28)*(C5160&lt;='Resultats - informe'!$E$28),0,(C5160&gt;='Resultats - informe'!$D$29)*(C5160&lt;='Resultats - informe'!$E$29),0,1,1)</f>
        <v>0</v>
      </c>
      <c r="N5160" s="366">
        <f>+VLOOKUP(D5160,'Resultats - informe'!$Y$18:$AG$42,'Introducció dades consum'!K5160+1,0)</f>
        <v>0</v>
      </c>
      <c r="O5160" s="370" cm="1">
        <f t="array" ref="O5160">+_xlfn.SWITCH(MONTH(C5160),1,1,2,1,3,1,4,2,5,2,6,3,7,3,8,3,9,3,10,2,11,2,12,1,2)</f>
        <v>1</v>
      </c>
      <c r="P5160" s="43"/>
    </row>
    <row r="5161" spans="1:16" ht="18" x14ac:dyDescent="0.35">
      <c r="A5161" s="9"/>
      <c r="C5161" s="393"/>
      <c r="E5161" s="394"/>
      <c r="F5161" s="394">
        <v>0.126</v>
      </c>
      <c r="G5161" s="394"/>
      <c r="H5161" s="8" t="s">
        <v>235</v>
      </c>
      <c r="I5161" s="368">
        <f t="shared" si="241"/>
        <v>0</v>
      </c>
      <c r="J5161" s="365">
        <f t="shared" si="240"/>
        <v>0</v>
      </c>
      <c r="K5161" s="369">
        <f t="shared" si="242"/>
        <v>6</v>
      </c>
      <c r="L5161" s="369">
        <f>+IF((C5161&gt;='Resultats - informe'!$E$16)*(C5161&lt;='Resultats - informe'!$G$16),1,0)</f>
        <v>1</v>
      </c>
      <c r="M5161" s="369" cm="1">
        <f t="array" ref="M5161">+_xlfn.IFS((C5161&gt;='Resultats - informe'!$D$26)*(C5161&lt;='Resultats - informe'!$E$26),0,(C5161&gt;='Resultats - informe'!$D$27)*(C5161&lt;='Resultats - informe'!$E$27),0,(C5161&gt;='Resultats - informe'!$D$28)*(C5161&lt;='Resultats - informe'!$E$28),0,(C5161&gt;='Resultats - informe'!$D$29)*(C5161&lt;='Resultats - informe'!$E$29),0,1,1)</f>
        <v>0</v>
      </c>
      <c r="N5161" s="366">
        <f>+VLOOKUP(D5161,'Resultats - informe'!$Y$18:$AG$42,'Introducció dades consum'!K5161+1,0)</f>
        <v>0</v>
      </c>
      <c r="O5161" s="370" cm="1">
        <f t="array" ref="O5161">+_xlfn.SWITCH(MONTH(C5161),1,1,2,1,3,1,4,2,5,2,6,3,7,3,8,3,9,3,10,2,11,2,12,1,2)</f>
        <v>1</v>
      </c>
      <c r="P5161" s="43"/>
    </row>
    <row r="5162" spans="1:16" ht="18" x14ac:dyDescent="0.35">
      <c r="A5162" s="9"/>
      <c r="C5162" s="393"/>
      <c r="E5162" s="394"/>
      <c r="F5162" s="394">
        <v>0</v>
      </c>
      <c r="G5162" s="394"/>
      <c r="H5162" s="8" t="s">
        <v>235</v>
      </c>
      <c r="I5162" s="368">
        <f t="shared" si="241"/>
        <v>0</v>
      </c>
      <c r="J5162" s="365">
        <f t="shared" si="240"/>
        <v>0</v>
      </c>
      <c r="K5162" s="369">
        <f t="shared" si="242"/>
        <v>6</v>
      </c>
      <c r="L5162" s="369">
        <f>+IF((C5162&gt;='Resultats - informe'!$E$16)*(C5162&lt;='Resultats - informe'!$G$16),1,0)</f>
        <v>1</v>
      </c>
      <c r="M5162" s="369" cm="1">
        <f t="array" ref="M5162">+_xlfn.IFS((C5162&gt;='Resultats - informe'!$D$26)*(C5162&lt;='Resultats - informe'!$E$26),0,(C5162&gt;='Resultats - informe'!$D$27)*(C5162&lt;='Resultats - informe'!$E$27),0,(C5162&gt;='Resultats - informe'!$D$28)*(C5162&lt;='Resultats - informe'!$E$28),0,(C5162&gt;='Resultats - informe'!$D$29)*(C5162&lt;='Resultats - informe'!$E$29),0,1,1)</f>
        <v>0</v>
      </c>
      <c r="N5162" s="366">
        <f>+VLOOKUP(D5162,'Resultats - informe'!$Y$18:$AG$42,'Introducció dades consum'!K5162+1,0)</f>
        <v>0</v>
      </c>
      <c r="O5162" s="370" cm="1">
        <f t="array" ref="O5162">+_xlfn.SWITCH(MONTH(C5162),1,1,2,1,3,1,4,2,5,2,6,3,7,3,8,3,9,3,10,2,11,2,12,1,2)</f>
        <v>1</v>
      </c>
      <c r="P5162" s="43"/>
    </row>
    <row r="5163" spans="1:16" ht="18" x14ac:dyDescent="0.35">
      <c r="A5163" s="9"/>
      <c r="C5163" s="393"/>
      <c r="E5163" s="394"/>
      <c r="F5163" s="394">
        <v>0</v>
      </c>
      <c r="G5163" s="394"/>
      <c r="H5163" s="8" t="s">
        <v>235</v>
      </c>
      <c r="I5163" s="368">
        <f t="shared" si="241"/>
        <v>0</v>
      </c>
      <c r="J5163" s="365">
        <f t="shared" si="240"/>
        <v>0</v>
      </c>
      <c r="K5163" s="369">
        <f t="shared" si="242"/>
        <v>6</v>
      </c>
      <c r="L5163" s="369">
        <f>+IF((C5163&gt;='Resultats - informe'!$E$16)*(C5163&lt;='Resultats - informe'!$G$16),1,0)</f>
        <v>1</v>
      </c>
      <c r="M5163" s="369" cm="1">
        <f t="array" ref="M5163">+_xlfn.IFS((C5163&gt;='Resultats - informe'!$D$26)*(C5163&lt;='Resultats - informe'!$E$26),0,(C5163&gt;='Resultats - informe'!$D$27)*(C5163&lt;='Resultats - informe'!$E$27),0,(C5163&gt;='Resultats - informe'!$D$28)*(C5163&lt;='Resultats - informe'!$E$28),0,(C5163&gt;='Resultats - informe'!$D$29)*(C5163&lt;='Resultats - informe'!$E$29),0,1,1)</f>
        <v>0</v>
      </c>
      <c r="N5163" s="366">
        <f>+VLOOKUP(D5163,'Resultats - informe'!$Y$18:$AG$42,'Introducció dades consum'!K5163+1,0)</f>
        <v>0</v>
      </c>
      <c r="O5163" s="370" cm="1">
        <f t="array" ref="O5163">+_xlfn.SWITCH(MONTH(C5163),1,1,2,1,3,1,4,2,5,2,6,3,7,3,8,3,9,3,10,2,11,2,12,1,2)</f>
        <v>1</v>
      </c>
      <c r="P5163" s="43"/>
    </row>
    <row r="5164" spans="1:16" ht="18" x14ac:dyDescent="0.35">
      <c r="A5164" s="9"/>
      <c r="C5164" s="393"/>
      <c r="E5164" s="394"/>
      <c r="F5164" s="394">
        <v>5.8999999999999997E-2</v>
      </c>
      <c r="G5164" s="394"/>
      <c r="H5164" s="8" t="s">
        <v>235</v>
      </c>
      <c r="I5164" s="368">
        <f t="shared" si="241"/>
        <v>0</v>
      </c>
      <c r="J5164" s="365">
        <f t="shared" si="240"/>
        <v>0</v>
      </c>
      <c r="K5164" s="369">
        <f t="shared" si="242"/>
        <v>6</v>
      </c>
      <c r="L5164" s="369">
        <f>+IF((C5164&gt;='Resultats - informe'!$E$16)*(C5164&lt;='Resultats - informe'!$G$16),1,0)</f>
        <v>1</v>
      </c>
      <c r="M5164" s="369" cm="1">
        <f t="array" ref="M5164">+_xlfn.IFS((C5164&gt;='Resultats - informe'!$D$26)*(C5164&lt;='Resultats - informe'!$E$26),0,(C5164&gt;='Resultats - informe'!$D$27)*(C5164&lt;='Resultats - informe'!$E$27),0,(C5164&gt;='Resultats - informe'!$D$28)*(C5164&lt;='Resultats - informe'!$E$28),0,(C5164&gt;='Resultats - informe'!$D$29)*(C5164&lt;='Resultats - informe'!$E$29),0,1,1)</f>
        <v>0</v>
      </c>
      <c r="N5164" s="366">
        <f>+VLOOKUP(D5164,'Resultats - informe'!$Y$18:$AG$42,'Introducció dades consum'!K5164+1,0)</f>
        <v>0</v>
      </c>
      <c r="O5164" s="370" cm="1">
        <f t="array" ref="O5164">+_xlfn.SWITCH(MONTH(C5164),1,1,2,1,3,1,4,2,5,2,6,3,7,3,8,3,9,3,10,2,11,2,12,1,2)</f>
        <v>1</v>
      </c>
      <c r="P5164" s="43"/>
    </row>
    <row r="5165" spans="1:16" ht="18" x14ac:dyDescent="0.35">
      <c r="A5165" s="9"/>
      <c r="C5165" s="393"/>
      <c r="E5165" s="394"/>
      <c r="F5165" s="394">
        <v>0.432</v>
      </c>
      <c r="G5165" s="394"/>
      <c r="H5165" s="8" t="s">
        <v>235</v>
      </c>
      <c r="I5165" s="368">
        <f t="shared" si="241"/>
        <v>0</v>
      </c>
      <c r="J5165" s="365">
        <f t="shared" si="240"/>
        <v>0</v>
      </c>
      <c r="K5165" s="369">
        <f t="shared" si="242"/>
        <v>6</v>
      </c>
      <c r="L5165" s="369">
        <f>+IF((C5165&gt;='Resultats - informe'!$E$16)*(C5165&lt;='Resultats - informe'!$G$16),1,0)</f>
        <v>1</v>
      </c>
      <c r="M5165" s="369" cm="1">
        <f t="array" ref="M5165">+_xlfn.IFS((C5165&gt;='Resultats - informe'!$D$26)*(C5165&lt;='Resultats - informe'!$E$26),0,(C5165&gt;='Resultats - informe'!$D$27)*(C5165&lt;='Resultats - informe'!$E$27),0,(C5165&gt;='Resultats - informe'!$D$28)*(C5165&lt;='Resultats - informe'!$E$28),0,(C5165&gt;='Resultats - informe'!$D$29)*(C5165&lt;='Resultats - informe'!$E$29),0,1,1)</f>
        <v>0</v>
      </c>
      <c r="N5165" s="366">
        <f>+VLOOKUP(D5165,'Resultats - informe'!$Y$18:$AG$42,'Introducció dades consum'!K5165+1,0)</f>
        <v>0</v>
      </c>
      <c r="O5165" s="370" cm="1">
        <f t="array" ref="O5165">+_xlfn.SWITCH(MONTH(C5165),1,1,2,1,3,1,4,2,5,2,6,3,7,3,8,3,9,3,10,2,11,2,12,1,2)</f>
        <v>1</v>
      </c>
      <c r="P5165" s="43"/>
    </row>
    <row r="5166" spans="1:16" ht="18" x14ac:dyDescent="0.35">
      <c r="A5166" s="9"/>
      <c r="C5166" s="393"/>
      <c r="E5166" s="394"/>
      <c r="F5166" s="394">
        <v>0.435</v>
      </c>
      <c r="G5166" s="394"/>
      <c r="H5166" s="8" t="s">
        <v>235</v>
      </c>
      <c r="I5166" s="368">
        <f t="shared" si="241"/>
        <v>0</v>
      </c>
      <c r="J5166" s="365">
        <f t="shared" si="240"/>
        <v>0</v>
      </c>
      <c r="K5166" s="369">
        <f t="shared" si="242"/>
        <v>6</v>
      </c>
      <c r="L5166" s="369">
        <f>+IF((C5166&gt;='Resultats - informe'!$E$16)*(C5166&lt;='Resultats - informe'!$G$16),1,0)</f>
        <v>1</v>
      </c>
      <c r="M5166" s="369" cm="1">
        <f t="array" ref="M5166">+_xlfn.IFS((C5166&gt;='Resultats - informe'!$D$26)*(C5166&lt;='Resultats - informe'!$E$26),0,(C5166&gt;='Resultats - informe'!$D$27)*(C5166&lt;='Resultats - informe'!$E$27),0,(C5166&gt;='Resultats - informe'!$D$28)*(C5166&lt;='Resultats - informe'!$E$28),0,(C5166&gt;='Resultats - informe'!$D$29)*(C5166&lt;='Resultats - informe'!$E$29),0,1,1)</f>
        <v>0</v>
      </c>
      <c r="N5166" s="366">
        <f>+VLOOKUP(D5166,'Resultats - informe'!$Y$18:$AG$42,'Introducció dades consum'!K5166+1,0)</f>
        <v>0</v>
      </c>
      <c r="O5166" s="370" cm="1">
        <f t="array" ref="O5166">+_xlfn.SWITCH(MONTH(C5166),1,1,2,1,3,1,4,2,5,2,6,3,7,3,8,3,9,3,10,2,11,2,12,1,2)</f>
        <v>1</v>
      </c>
      <c r="P5166" s="43"/>
    </row>
    <row r="5167" spans="1:16" ht="18" x14ac:dyDescent="0.35">
      <c r="A5167" s="9"/>
      <c r="C5167" s="393"/>
      <c r="E5167" s="394"/>
      <c r="F5167" s="394">
        <v>0.433</v>
      </c>
      <c r="G5167" s="394"/>
      <c r="H5167" s="8" t="s">
        <v>235</v>
      </c>
      <c r="I5167" s="368">
        <f t="shared" si="241"/>
        <v>0</v>
      </c>
      <c r="J5167" s="365">
        <f t="shared" si="240"/>
        <v>0</v>
      </c>
      <c r="K5167" s="369">
        <f t="shared" si="242"/>
        <v>6</v>
      </c>
      <c r="L5167" s="369">
        <f>+IF((C5167&gt;='Resultats - informe'!$E$16)*(C5167&lt;='Resultats - informe'!$G$16),1,0)</f>
        <v>1</v>
      </c>
      <c r="M5167" s="369" cm="1">
        <f t="array" ref="M5167">+_xlfn.IFS((C5167&gt;='Resultats - informe'!$D$26)*(C5167&lt;='Resultats - informe'!$E$26),0,(C5167&gt;='Resultats - informe'!$D$27)*(C5167&lt;='Resultats - informe'!$E$27),0,(C5167&gt;='Resultats - informe'!$D$28)*(C5167&lt;='Resultats - informe'!$E$28),0,(C5167&gt;='Resultats - informe'!$D$29)*(C5167&lt;='Resultats - informe'!$E$29),0,1,1)</f>
        <v>0</v>
      </c>
      <c r="N5167" s="366">
        <f>+VLOOKUP(D5167,'Resultats - informe'!$Y$18:$AG$42,'Introducció dades consum'!K5167+1,0)</f>
        <v>0</v>
      </c>
      <c r="O5167" s="370" cm="1">
        <f t="array" ref="O5167">+_xlfn.SWITCH(MONTH(C5167),1,1,2,1,3,1,4,2,5,2,6,3,7,3,8,3,9,3,10,2,11,2,12,1,2)</f>
        <v>1</v>
      </c>
      <c r="P5167" s="43"/>
    </row>
    <row r="5168" spans="1:16" ht="18" x14ac:dyDescent="0.35">
      <c r="A5168" s="9"/>
      <c r="C5168" s="393"/>
      <c r="E5168" s="394"/>
      <c r="F5168" s="394">
        <v>0.42899999999999999</v>
      </c>
      <c r="G5168" s="394"/>
      <c r="H5168" s="8" t="s">
        <v>235</v>
      </c>
      <c r="I5168" s="368">
        <f t="shared" si="241"/>
        <v>0</v>
      </c>
      <c r="J5168" s="365">
        <f t="shared" si="240"/>
        <v>0</v>
      </c>
      <c r="K5168" s="369">
        <f t="shared" si="242"/>
        <v>6</v>
      </c>
      <c r="L5168" s="369">
        <f>+IF((C5168&gt;='Resultats - informe'!$E$16)*(C5168&lt;='Resultats - informe'!$G$16),1,0)</f>
        <v>1</v>
      </c>
      <c r="M5168" s="369" cm="1">
        <f t="array" ref="M5168">+_xlfn.IFS((C5168&gt;='Resultats - informe'!$D$26)*(C5168&lt;='Resultats - informe'!$E$26),0,(C5168&gt;='Resultats - informe'!$D$27)*(C5168&lt;='Resultats - informe'!$E$27),0,(C5168&gt;='Resultats - informe'!$D$28)*(C5168&lt;='Resultats - informe'!$E$28),0,(C5168&gt;='Resultats - informe'!$D$29)*(C5168&lt;='Resultats - informe'!$E$29),0,1,1)</f>
        <v>0</v>
      </c>
      <c r="N5168" s="366">
        <f>+VLOOKUP(D5168,'Resultats - informe'!$Y$18:$AG$42,'Introducció dades consum'!K5168+1,0)</f>
        <v>0</v>
      </c>
      <c r="O5168" s="370" cm="1">
        <f t="array" ref="O5168">+_xlfn.SWITCH(MONTH(C5168),1,1,2,1,3,1,4,2,5,2,6,3,7,3,8,3,9,3,10,2,11,2,12,1,2)</f>
        <v>1</v>
      </c>
      <c r="P5168" s="43"/>
    </row>
    <row r="5169" spans="1:16" ht="18" x14ac:dyDescent="0.35">
      <c r="A5169" s="9"/>
      <c r="C5169" s="393"/>
      <c r="E5169" s="394"/>
      <c r="F5169" s="394">
        <v>0.436</v>
      </c>
      <c r="G5169" s="394"/>
      <c r="H5169" s="8" t="s">
        <v>235</v>
      </c>
      <c r="I5169" s="368">
        <f t="shared" si="241"/>
        <v>0</v>
      </c>
      <c r="J5169" s="365">
        <f t="shared" si="240"/>
        <v>0</v>
      </c>
      <c r="K5169" s="369">
        <f t="shared" si="242"/>
        <v>6</v>
      </c>
      <c r="L5169" s="369">
        <f>+IF((C5169&gt;='Resultats - informe'!$E$16)*(C5169&lt;='Resultats - informe'!$G$16),1,0)</f>
        <v>1</v>
      </c>
      <c r="M5169" s="369" cm="1">
        <f t="array" ref="M5169">+_xlfn.IFS((C5169&gt;='Resultats - informe'!$D$26)*(C5169&lt;='Resultats - informe'!$E$26),0,(C5169&gt;='Resultats - informe'!$D$27)*(C5169&lt;='Resultats - informe'!$E$27),0,(C5169&gt;='Resultats - informe'!$D$28)*(C5169&lt;='Resultats - informe'!$E$28),0,(C5169&gt;='Resultats - informe'!$D$29)*(C5169&lt;='Resultats - informe'!$E$29),0,1,1)</f>
        <v>0</v>
      </c>
      <c r="N5169" s="366">
        <f>+VLOOKUP(D5169,'Resultats - informe'!$Y$18:$AG$42,'Introducció dades consum'!K5169+1,0)</f>
        <v>0</v>
      </c>
      <c r="O5169" s="370" cm="1">
        <f t="array" ref="O5169">+_xlfn.SWITCH(MONTH(C5169),1,1,2,1,3,1,4,2,5,2,6,3,7,3,8,3,9,3,10,2,11,2,12,1,2)</f>
        <v>1</v>
      </c>
      <c r="P5169" s="43"/>
    </row>
    <row r="5170" spans="1:16" ht="18" x14ac:dyDescent="0.35">
      <c r="A5170" s="9"/>
      <c r="C5170" s="393"/>
      <c r="E5170" s="394"/>
      <c r="F5170" s="394">
        <v>0.436</v>
      </c>
      <c r="G5170" s="394"/>
      <c r="H5170" s="8" t="s">
        <v>235</v>
      </c>
      <c r="I5170" s="368">
        <f t="shared" si="241"/>
        <v>0</v>
      </c>
      <c r="J5170" s="365">
        <f t="shared" si="240"/>
        <v>0</v>
      </c>
      <c r="K5170" s="369">
        <f t="shared" si="242"/>
        <v>6</v>
      </c>
      <c r="L5170" s="369">
        <f>+IF((C5170&gt;='Resultats - informe'!$E$16)*(C5170&lt;='Resultats - informe'!$G$16),1,0)</f>
        <v>1</v>
      </c>
      <c r="M5170" s="369" cm="1">
        <f t="array" ref="M5170">+_xlfn.IFS((C5170&gt;='Resultats - informe'!$D$26)*(C5170&lt;='Resultats - informe'!$E$26),0,(C5170&gt;='Resultats - informe'!$D$27)*(C5170&lt;='Resultats - informe'!$E$27),0,(C5170&gt;='Resultats - informe'!$D$28)*(C5170&lt;='Resultats - informe'!$E$28),0,(C5170&gt;='Resultats - informe'!$D$29)*(C5170&lt;='Resultats - informe'!$E$29),0,1,1)</f>
        <v>0</v>
      </c>
      <c r="N5170" s="366">
        <f>+VLOOKUP(D5170,'Resultats - informe'!$Y$18:$AG$42,'Introducció dades consum'!K5170+1,0)</f>
        <v>0</v>
      </c>
      <c r="O5170" s="370" cm="1">
        <f t="array" ref="O5170">+_xlfn.SWITCH(MONTH(C5170),1,1,2,1,3,1,4,2,5,2,6,3,7,3,8,3,9,3,10,2,11,2,12,1,2)</f>
        <v>1</v>
      </c>
      <c r="P5170" s="43"/>
    </row>
    <row r="5171" spans="1:16" ht="18" x14ac:dyDescent="0.35">
      <c r="A5171" s="9"/>
      <c r="C5171" s="393"/>
      <c r="E5171" s="394"/>
      <c r="F5171" s="394">
        <v>0.42899999999999999</v>
      </c>
      <c r="G5171" s="394"/>
      <c r="H5171" s="8" t="s">
        <v>235</v>
      </c>
      <c r="I5171" s="368">
        <f t="shared" si="241"/>
        <v>0</v>
      </c>
      <c r="J5171" s="365">
        <f t="shared" si="240"/>
        <v>0</v>
      </c>
      <c r="K5171" s="369">
        <f t="shared" si="242"/>
        <v>6</v>
      </c>
      <c r="L5171" s="369">
        <f>+IF((C5171&gt;='Resultats - informe'!$E$16)*(C5171&lt;='Resultats - informe'!$G$16),1,0)</f>
        <v>1</v>
      </c>
      <c r="M5171" s="369" cm="1">
        <f t="array" ref="M5171">+_xlfn.IFS((C5171&gt;='Resultats - informe'!$D$26)*(C5171&lt;='Resultats - informe'!$E$26),0,(C5171&gt;='Resultats - informe'!$D$27)*(C5171&lt;='Resultats - informe'!$E$27),0,(C5171&gt;='Resultats - informe'!$D$28)*(C5171&lt;='Resultats - informe'!$E$28),0,(C5171&gt;='Resultats - informe'!$D$29)*(C5171&lt;='Resultats - informe'!$E$29),0,1,1)</f>
        <v>0</v>
      </c>
      <c r="N5171" s="366">
        <f>+VLOOKUP(D5171,'Resultats - informe'!$Y$18:$AG$42,'Introducció dades consum'!K5171+1,0)</f>
        <v>0</v>
      </c>
      <c r="O5171" s="370" cm="1">
        <f t="array" ref="O5171">+_xlfn.SWITCH(MONTH(C5171),1,1,2,1,3,1,4,2,5,2,6,3,7,3,8,3,9,3,10,2,11,2,12,1,2)</f>
        <v>1</v>
      </c>
      <c r="P5171" s="43"/>
    </row>
    <row r="5172" spans="1:16" ht="18" x14ac:dyDescent="0.35">
      <c r="A5172" s="9"/>
      <c r="C5172" s="393"/>
      <c r="E5172" s="394"/>
      <c r="F5172" s="394">
        <v>1.333</v>
      </c>
      <c r="G5172" s="394"/>
      <c r="H5172" s="8" t="s">
        <v>235</v>
      </c>
      <c r="I5172" s="368">
        <f t="shared" si="241"/>
        <v>0</v>
      </c>
      <c r="J5172" s="365">
        <f t="shared" si="240"/>
        <v>0</v>
      </c>
      <c r="K5172" s="369">
        <f t="shared" si="242"/>
        <v>6</v>
      </c>
      <c r="L5172" s="369">
        <f>+IF((C5172&gt;='Resultats - informe'!$E$16)*(C5172&lt;='Resultats - informe'!$G$16),1,0)</f>
        <v>1</v>
      </c>
      <c r="M5172" s="369" cm="1">
        <f t="array" ref="M5172">+_xlfn.IFS((C5172&gt;='Resultats - informe'!$D$26)*(C5172&lt;='Resultats - informe'!$E$26),0,(C5172&gt;='Resultats - informe'!$D$27)*(C5172&lt;='Resultats - informe'!$E$27),0,(C5172&gt;='Resultats - informe'!$D$28)*(C5172&lt;='Resultats - informe'!$E$28),0,(C5172&gt;='Resultats - informe'!$D$29)*(C5172&lt;='Resultats - informe'!$E$29),0,1,1)</f>
        <v>0</v>
      </c>
      <c r="N5172" s="366">
        <f>+VLOOKUP(D5172,'Resultats - informe'!$Y$18:$AG$42,'Introducció dades consum'!K5172+1,0)</f>
        <v>0</v>
      </c>
      <c r="O5172" s="370" cm="1">
        <f t="array" ref="O5172">+_xlfn.SWITCH(MONTH(C5172),1,1,2,1,3,1,4,2,5,2,6,3,7,3,8,3,9,3,10,2,11,2,12,1,2)</f>
        <v>1</v>
      </c>
      <c r="P5172" s="43"/>
    </row>
    <row r="5173" spans="1:16" ht="18" x14ac:dyDescent="0.35">
      <c r="A5173" s="9"/>
      <c r="C5173" s="393"/>
      <c r="E5173" s="394"/>
      <c r="F5173" s="394">
        <v>1.0780000000000001</v>
      </c>
      <c r="G5173" s="394"/>
      <c r="H5173" s="8" t="s">
        <v>235</v>
      </c>
      <c r="I5173" s="368">
        <f t="shared" si="241"/>
        <v>0</v>
      </c>
      <c r="J5173" s="365">
        <f t="shared" si="240"/>
        <v>0</v>
      </c>
      <c r="K5173" s="369">
        <f t="shared" si="242"/>
        <v>6</v>
      </c>
      <c r="L5173" s="369">
        <f>+IF((C5173&gt;='Resultats - informe'!$E$16)*(C5173&lt;='Resultats - informe'!$G$16),1,0)</f>
        <v>1</v>
      </c>
      <c r="M5173" s="369" cm="1">
        <f t="array" ref="M5173">+_xlfn.IFS((C5173&gt;='Resultats - informe'!$D$26)*(C5173&lt;='Resultats - informe'!$E$26),0,(C5173&gt;='Resultats - informe'!$D$27)*(C5173&lt;='Resultats - informe'!$E$27),0,(C5173&gt;='Resultats - informe'!$D$28)*(C5173&lt;='Resultats - informe'!$E$28),0,(C5173&gt;='Resultats - informe'!$D$29)*(C5173&lt;='Resultats - informe'!$E$29),0,1,1)</f>
        <v>0</v>
      </c>
      <c r="N5173" s="366">
        <f>+VLOOKUP(D5173,'Resultats - informe'!$Y$18:$AG$42,'Introducció dades consum'!K5173+1,0)</f>
        <v>0</v>
      </c>
      <c r="O5173" s="370" cm="1">
        <f t="array" ref="O5173">+_xlfn.SWITCH(MONTH(C5173),1,1,2,1,3,1,4,2,5,2,6,3,7,3,8,3,9,3,10,2,11,2,12,1,2)</f>
        <v>1</v>
      </c>
      <c r="P5173" s="43"/>
    </row>
    <row r="5174" spans="1:16" ht="18" x14ac:dyDescent="0.35">
      <c r="A5174" s="9"/>
      <c r="C5174" s="393"/>
      <c r="E5174" s="394"/>
      <c r="F5174" s="394">
        <v>1.9750000000000001</v>
      </c>
      <c r="G5174" s="394"/>
      <c r="H5174" s="8" t="s">
        <v>235</v>
      </c>
      <c r="I5174" s="368">
        <f t="shared" si="241"/>
        <v>0</v>
      </c>
      <c r="J5174" s="365">
        <f t="shared" si="240"/>
        <v>0</v>
      </c>
      <c r="K5174" s="369">
        <f t="shared" si="242"/>
        <v>6</v>
      </c>
      <c r="L5174" s="369">
        <f>+IF((C5174&gt;='Resultats - informe'!$E$16)*(C5174&lt;='Resultats - informe'!$G$16),1,0)</f>
        <v>1</v>
      </c>
      <c r="M5174" s="369" cm="1">
        <f t="array" ref="M5174">+_xlfn.IFS((C5174&gt;='Resultats - informe'!$D$26)*(C5174&lt;='Resultats - informe'!$E$26),0,(C5174&gt;='Resultats - informe'!$D$27)*(C5174&lt;='Resultats - informe'!$E$27),0,(C5174&gt;='Resultats - informe'!$D$28)*(C5174&lt;='Resultats - informe'!$E$28),0,(C5174&gt;='Resultats - informe'!$D$29)*(C5174&lt;='Resultats - informe'!$E$29),0,1,1)</f>
        <v>0</v>
      </c>
      <c r="N5174" s="366">
        <f>+VLOOKUP(D5174,'Resultats - informe'!$Y$18:$AG$42,'Introducció dades consum'!K5174+1,0)</f>
        <v>0</v>
      </c>
      <c r="O5174" s="370" cm="1">
        <f t="array" ref="O5174">+_xlfn.SWITCH(MONTH(C5174),1,1,2,1,3,1,4,2,5,2,6,3,7,3,8,3,9,3,10,2,11,2,12,1,2)</f>
        <v>1</v>
      </c>
      <c r="P5174" s="43"/>
    </row>
    <row r="5175" spans="1:16" ht="18" x14ac:dyDescent="0.35">
      <c r="A5175" s="9"/>
      <c r="C5175" s="393"/>
      <c r="E5175" s="394"/>
      <c r="F5175" s="394">
        <v>2.0169999999999999</v>
      </c>
      <c r="G5175" s="394"/>
      <c r="H5175" s="8" t="s">
        <v>235</v>
      </c>
      <c r="I5175" s="368">
        <f t="shared" si="241"/>
        <v>0</v>
      </c>
      <c r="J5175" s="365">
        <f t="shared" si="240"/>
        <v>0</v>
      </c>
      <c r="K5175" s="369">
        <f t="shared" si="242"/>
        <v>6</v>
      </c>
      <c r="L5175" s="369">
        <f>+IF((C5175&gt;='Resultats - informe'!$E$16)*(C5175&lt;='Resultats - informe'!$G$16),1,0)</f>
        <v>1</v>
      </c>
      <c r="M5175" s="369" cm="1">
        <f t="array" ref="M5175">+_xlfn.IFS((C5175&gt;='Resultats - informe'!$D$26)*(C5175&lt;='Resultats - informe'!$E$26),0,(C5175&gt;='Resultats - informe'!$D$27)*(C5175&lt;='Resultats - informe'!$E$27),0,(C5175&gt;='Resultats - informe'!$D$28)*(C5175&lt;='Resultats - informe'!$E$28),0,(C5175&gt;='Resultats - informe'!$D$29)*(C5175&lt;='Resultats - informe'!$E$29),0,1,1)</f>
        <v>0</v>
      </c>
      <c r="N5175" s="366">
        <f>+VLOOKUP(D5175,'Resultats - informe'!$Y$18:$AG$42,'Introducció dades consum'!K5175+1,0)</f>
        <v>0</v>
      </c>
      <c r="O5175" s="370" cm="1">
        <f t="array" ref="O5175">+_xlfn.SWITCH(MONTH(C5175),1,1,2,1,3,1,4,2,5,2,6,3,7,3,8,3,9,3,10,2,11,2,12,1,2)</f>
        <v>1</v>
      </c>
      <c r="P5175" s="43"/>
    </row>
    <row r="5176" spans="1:16" ht="18" x14ac:dyDescent="0.35">
      <c r="A5176" s="9"/>
      <c r="C5176" s="393"/>
      <c r="E5176" s="394"/>
      <c r="F5176" s="394">
        <v>2.012</v>
      </c>
      <c r="G5176" s="394"/>
      <c r="H5176" s="8" t="s">
        <v>235</v>
      </c>
      <c r="I5176" s="368">
        <f t="shared" si="241"/>
        <v>0</v>
      </c>
      <c r="J5176" s="365">
        <f t="shared" si="240"/>
        <v>0</v>
      </c>
      <c r="K5176" s="369">
        <f t="shared" si="242"/>
        <v>6</v>
      </c>
      <c r="L5176" s="369">
        <f>+IF((C5176&gt;='Resultats - informe'!$E$16)*(C5176&lt;='Resultats - informe'!$G$16),1,0)</f>
        <v>1</v>
      </c>
      <c r="M5176" s="369" cm="1">
        <f t="array" ref="M5176">+_xlfn.IFS((C5176&gt;='Resultats - informe'!$D$26)*(C5176&lt;='Resultats - informe'!$E$26),0,(C5176&gt;='Resultats - informe'!$D$27)*(C5176&lt;='Resultats - informe'!$E$27),0,(C5176&gt;='Resultats - informe'!$D$28)*(C5176&lt;='Resultats - informe'!$E$28),0,(C5176&gt;='Resultats - informe'!$D$29)*(C5176&lt;='Resultats - informe'!$E$29),0,1,1)</f>
        <v>0</v>
      </c>
      <c r="N5176" s="366">
        <f>+VLOOKUP(D5176,'Resultats - informe'!$Y$18:$AG$42,'Introducció dades consum'!K5176+1,0)</f>
        <v>0</v>
      </c>
      <c r="O5176" s="370" cm="1">
        <f t="array" ref="O5176">+_xlfn.SWITCH(MONTH(C5176),1,1,2,1,3,1,4,2,5,2,6,3,7,3,8,3,9,3,10,2,11,2,12,1,2)</f>
        <v>1</v>
      </c>
      <c r="P5176" s="43"/>
    </row>
    <row r="5177" spans="1:16" ht="18" x14ac:dyDescent="0.35">
      <c r="A5177" s="9"/>
      <c r="C5177" s="393"/>
      <c r="E5177" s="394"/>
      <c r="F5177" s="394">
        <v>2</v>
      </c>
      <c r="G5177" s="394"/>
      <c r="H5177" s="8" t="s">
        <v>235</v>
      </c>
      <c r="I5177" s="368">
        <f t="shared" si="241"/>
        <v>0</v>
      </c>
      <c r="J5177" s="365">
        <f t="shared" si="240"/>
        <v>0</v>
      </c>
      <c r="K5177" s="369">
        <f t="shared" si="242"/>
        <v>6</v>
      </c>
      <c r="L5177" s="369">
        <f>+IF((C5177&gt;='Resultats - informe'!$E$16)*(C5177&lt;='Resultats - informe'!$G$16),1,0)</f>
        <v>1</v>
      </c>
      <c r="M5177" s="369" cm="1">
        <f t="array" ref="M5177">+_xlfn.IFS((C5177&gt;='Resultats - informe'!$D$26)*(C5177&lt;='Resultats - informe'!$E$26),0,(C5177&gt;='Resultats - informe'!$D$27)*(C5177&lt;='Resultats - informe'!$E$27),0,(C5177&gt;='Resultats - informe'!$D$28)*(C5177&lt;='Resultats - informe'!$E$28),0,(C5177&gt;='Resultats - informe'!$D$29)*(C5177&lt;='Resultats - informe'!$E$29),0,1,1)</f>
        <v>0</v>
      </c>
      <c r="N5177" s="366">
        <f>+VLOOKUP(D5177,'Resultats - informe'!$Y$18:$AG$42,'Introducció dades consum'!K5177+1,0)</f>
        <v>0</v>
      </c>
      <c r="O5177" s="370" cm="1">
        <f t="array" ref="O5177">+_xlfn.SWITCH(MONTH(C5177),1,1,2,1,3,1,4,2,5,2,6,3,7,3,8,3,9,3,10,2,11,2,12,1,2)</f>
        <v>1</v>
      </c>
      <c r="P5177" s="43"/>
    </row>
    <row r="5178" spans="1:16" ht="18" x14ac:dyDescent="0.35">
      <c r="A5178" s="9"/>
      <c r="C5178" s="393"/>
      <c r="E5178" s="394"/>
      <c r="F5178" s="394">
        <v>1.268</v>
      </c>
      <c r="G5178" s="394"/>
      <c r="H5178" s="8" t="s">
        <v>235</v>
      </c>
      <c r="I5178" s="368">
        <f t="shared" si="241"/>
        <v>0</v>
      </c>
      <c r="J5178" s="365">
        <f t="shared" si="240"/>
        <v>0</v>
      </c>
      <c r="K5178" s="369">
        <f t="shared" si="242"/>
        <v>6</v>
      </c>
      <c r="L5178" s="369">
        <f>+IF((C5178&gt;='Resultats - informe'!$E$16)*(C5178&lt;='Resultats - informe'!$G$16),1,0)</f>
        <v>1</v>
      </c>
      <c r="M5178" s="369" cm="1">
        <f t="array" ref="M5178">+_xlfn.IFS((C5178&gt;='Resultats - informe'!$D$26)*(C5178&lt;='Resultats - informe'!$E$26),0,(C5178&gt;='Resultats - informe'!$D$27)*(C5178&lt;='Resultats - informe'!$E$27),0,(C5178&gt;='Resultats - informe'!$D$28)*(C5178&lt;='Resultats - informe'!$E$28),0,(C5178&gt;='Resultats - informe'!$D$29)*(C5178&lt;='Resultats - informe'!$E$29),0,1,1)</f>
        <v>0</v>
      </c>
      <c r="N5178" s="366">
        <f>+VLOOKUP(D5178,'Resultats - informe'!$Y$18:$AG$42,'Introducció dades consum'!K5178+1,0)</f>
        <v>0</v>
      </c>
      <c r="O5178" s="370" cm="1">
        <f t="array" ref="O5178">+_xlfn.SWITCH(MONTH(C5178),1,1,2,1,3,1,4,2,5,2,6,3,7,3,8,3,9,3,10,2,11,2,12,1,2)</f>
        <v>1</v>
      </c>
      <c r="P5178" s="43"/>
    </row>
    <row r="5179" spans="1:16" ht="18" x14ac:dyDescent="0.35">
      <c r="A5179" s="9"/>
      <c r="C5179" s="393"/>
      <c r="E5179" s="394"/>
      <c r="F5179" s="394">
        <v>1.492</v>
      </c>
      <c r="G5179" s="394"/>
      <c r="H5179" s="8" t="s">
        <v>235</v>
      </c>
      <c r="I5179" s="368">
        <f t="shared" si="241"/>
        <v>0</v>
      </c>
      <c r="J5179" s="365">
        <f t="shared" ref="J5179:J5242" si="243">+C5179</f>
        <v>0</v>
      </c>
      <c r="K5179" s="369">
        <f t="shared" si="242"/>
        <v>6</v>
      </c>
      <c r="L5179" s="369">
        <f>+IF((C5179&gt;='Resultats - informe'!$E$16)*(C5179&lt;='Resultats - informe'!$G$16),1,0)</f>
        <v>1</v>
      </c>
      <c r="M5179" s="369" cm="1">
        <f t="array" ref="M5179">+_xlfn.IFS((C5179&gt;='Resultats - informe'!$D$26)*(C5179&lt;='Resultats - informe'!$E$26),0,(C5179&gt;='Resultats - informe'!$D$27)*(C5179&lt;='Resultats - informe'!$E$27),0,(C5179&gt;='Resultats - informe'!$D$28)*(C5179&lt;='Resultats - informe'!$E$28),0,(C5179&gt;='Resultats - informe'!$D$29)*(C5179&lt;='Resultats - informe'!$E$29),0,1,1)</f>
        <v>0</v>
      </c>
      <c r="N5179" s="366">
        <f>+VLOOKUP(D5179,'Resultats - informe'!$Y$18:$AG$42,'Introducció dades consum'!K5179+1,0)</f>
        <v>0</v>
      </c>
      <c r="O5179" s="370" cm="1">
        <f t="array" ref="O5179">+_xlfn.SWITCH(MONTH(C5179),1,1,2,1,3,1,4,2,5,2,6,3,7,3,8,3,9,3,10,2,11,2,12,1,2)</f>
        <v>1</v>
      </c>
      <c r="P5179" s="43"/>
    </row>
    <row r="5180" spans="1:16" ht="18" x14ac:dyDescent="0.35">
      <c r="A5180" s="9"/>
      <c r="C5180" s="393"/>
      <c r="E5180" s="394"/>
      <c r="F5180" s="394">
        <v>0.81100000000000005</v>
      </c>
      <c r="G5180" s="394"/>
      <c r="H5180" s="8" t="s">
        <v>235</v>
      </c>
      <c r="I5180" s="368">
        <f t="shared" si="241"/>
        <v>0</v>
      </c>
      <c r="J5180" s="365">
        <f t="shared" si="243"/>
        <v>0</v>
      </c>
      <c r="K5180" s="369">
        <f t="shared" si="242"/>
        <v>6</v>
      </c>
      <c r="L5180" s="369">
        <f>+IF((C5180&gt;='Resultats - informe'!$E$16)*(C5180&lt;='Resultats - informe'!$G$16),1,0)</f>
        <v>1</v>
      </c>
      <c r="M5180" s="369" cm="1">
        <f t="array" ref="M5180">+_xlfn.IFS((C5180&gt;='Resultats - informe'!$D$26)*(C5180&lt;='Resultats - informe'!$E$26),0,(C5180&gt;='Resultats - informe'!$D$27)*(C5180&lt;='Resultats - informe'!$E$27),0,(C5180&gt;='Resultats - informe'!$D$28)*(C5180&lt;='Resultats - informe'!$E$28),0,(C5180&gt;='Resultats - informe'!$D$29)*(C5180&lt;='Resultats - informe'!$E$29),0,1,1)</f>
        <v>0</v>
      </c>
      <c r="N5180" s="366">
        <f>+VLOOKUP(D5180,'Resultats - informe'!$Y$18:$AG$42,'Introducció dades consum'!K5180+1,0)</f>
        <v>0</v>
      </c>
      <c r="O5180" s="370" cm="1">
        <f t="array" ref="O5180">+_xlfn.SWITCH(MONTH(C5180),1,1,2,1,3,1,4,2,5,2,6,3,7,3,8,3,9,3,10,2,11,2,12,1,2)</f>
        <v>1</v>
      </c>
      <c r="P5180" s="43"/>
    </row>
    <row r="5181" spans="1:16" ht="18" x14ac:dyDescent="0.35">
      <c r="A5181" s="9"/>
      <c r="C5181" s="393"/>
      <c r="E5181" s="394"/>
      <c r="F5181" s="394">
        <v>1.0920000000000001</v>
      </c>
      <c r="G5181" s="394"/>
      <c r="H5181" s="8" t="s">
        <v>235</v>
      </c>
      <c r="I5181" s="368">
        <f t="shared" si="241"/>
        <v>0</v>
      </c>
      <c r="J5181" s="365">
        <f t="shared" si="243"/>
        <v>0</v>
      </c>
      <c r="K5181" s="369">
        <f t="shared" si="242"/>
        <v>6</v>
      </c>
      <c r="L5181" s="369">
        <f>+IF((C5181&gt;='Resultats - informe'!$E$16)*(C5181&lt;='Resultats - informe'!$G$16),1,0)</f>
        <v>1</v>
      </c>
      <c r="M5181" s="369" cm="1">
        <f t="array" ref="M5181">+_xlfn.IFS((C5181&gt;='Resultats - informe'!$D$26)*(C5181&lt;='Resultats - informe'!$E$26),0,(C5181&gt;='Resultats - informe'!$D$27)*(C5181&lt;='Resultats - informe'!$E$27),0,(C5181&gt;='Resultats - informe'!$D$28)*(C5181&lt;='Resultats - informe'!$E$28),0,(C5181&gt;='Resultats - informe'!$D$29)*(C5181&lt;='Resultats - informe'!$E$29),0,1,1)</f>
        <v>0</v>
      </c>
      <c r="N5181" s="366">
        <f>+VLOOKUP(D5181,'Resultats - informe'!$Y$18:$AG$42,'Introducció dades consum'!K5181+1,0)</f>
        <v>0</v>
      </c>
      <c r="O5181" s="370" cm="1">
        <f t="array" ref="O5181">+_xlfn.SWITCH(MONTH(C5181),1,1,2,1,3,1,4,2,5,2,6,3,7,3,8,3,9,3,10,2,11,2,12,1,2)</f>
        <v>1</v>
      </c>
      <c r="P5181" s="43"/>
    </row>
    <row r="5182" spans="1:16" ht="18" x14ac:dyDescent="0.35">
      <c r="A5182" s="9"/>
      <c r="C5182" s="393"/>
      <c r="E5182" s="394"/>
      <c r="F5182" s="394">
        <v>2.516</v>
      </c>
      <c r="G5182" s="394"/>
      <c r="H5182" s="8" t="s">
        <v>235</v>
      </c>
      <c r="I5182" s="368">
        <f t="shared" si="241"/>
        <v>0</v>
      </c>
      <c r="J5182" s="365">
        <f t="shared" si="243"/>
        <v>0</v>
      </c>
      <c r="K5182" s="369">
        <f t="shared" si="242"/>
        <v>6</v>
      </c>
      <c r="L5182" s="369">
        <f>+IF((C5182&gt;='Resultats - informe'!$E$16)*(C5182&lt;='Resultats - informe'!$G$16),1,0)</f>
        <v>1</v>
      </c>
      <c r="M5182" s="369" cm="1">
        <f t="array" ref="M5182">+_xlfn.IFS((C5182&gt;='Resultats - informe'!$D$26)*(C5182&lt;='Resultats - informe'!$E$26),0,(C5182&gt;='Resultats - informe'!$D$27)*(C5182&lt;='Resultats - informe'!$E$27),0,(C5182&gt;='Resultats - informe'!$D$28)*(C5182&lt;='Resultats - informe'!$E$28),0,(C5182&gt;='Resultats - informe'!$D$29)*(C5182&lt;='Resultats - informe'!$E$29),0,1,1)</f>
        <v>0</v>
      </c>
      <c r="N5182" s="366">
        <f>+VLOOKUP(D5182,'Resultats - informe'!$Y$18:$AG$42,'Introducció dades consum'!K5182+1,0)</f>
        <v>0</v>
      </c>
      <c r="O5182" s="370" cm="1">
        <f t="array" ref="O5182">+_xlfn.SWITCH(MONTH(C5182),1,1,2,1,3,1,4,2,5,2,6,3,7,3,8,3,9,3,10,2,11,2,12,1,2)</f>
        <v>1</v>
      </c>
      <c r="P5182" s="43"/>
    </row>
    <row r="5183" spans="1:16" ht="18" x14ac:dyDescent="0.35">
      <c r="A5183" s="9"/>
      <c r="C5183" s="393"/>
      <c r="E5183" s="394"/>
      <c r="F5183" s="394">
        <v>2.5529999999999999</v>
      </c>
      <c r="G5183" s="394"/>
      <c r="H5183" s="8" t="s">
        <v>235</v>
      </c>
      <c r="I5183" s="368">
        <f t="shared" si="241"/>
        <v>0</v>
      </c>
      <c r="J5183" s="365">
        <f t="shared" si="243"/>
        <v>0</v>
      </c>
      <c r="K5183" s="369">
        <f t="shared" si="242"/>
        <v>6</v>
      </c>
      <c r="L5183" s="369">
        <f>+IF((C5183&gt;='Resultats - informe'!$E$16)*(C5183&lt;='Resultats - informe'!$G$16),1,0)</f>
        <v>1</v>
      </c>
      <c r="M5183" s="369" cm="1">
        <f t="array" ref="M5183">+_xlfn.IFS((C5183&gt;='Resultats - informe'!$D$26)*(C5183&lt;='Resultats - informe'!$E$26),0,(C5183&gt;='Resultats - informe'!$D$27)*(C5183&lt;='Resultats - informe'!$E$27),0,(C5183&gt;='Resultats - informe'!$D$28)*(C5183&lt;='Resultats - informe'!$E$28),0,(C5183&gt;='Resultats - informe'!$D$29)*(C5183&lt;='Resultats - informe'!$E$29),0,1,1)</f>
        <v>0</v>
      </c>
      <c r="N5183" s="366">
        <f>+VLOOKUP(D5183,'Resultats - informe'!$Y$18:$AG$42,'Introducció dades consum'!K5183+1,0)</f>
        <v>0</v>
      </c>
      <c r="O5183" s="370" cm="1">
        <f t="array" ref="O5183">+_xlfn.SWITCH(MONTH(C5183),1,1,2,1,3,1,4,2,5,2,6,3,7,3,8,3,9,3,10,2,11,2,12,1,2)</f>
        <v>1</v>
      </c>
      <c r="P5183" s="43"/>
    </row>
    <row r="5184" spans="1:16" ht="18" x14ac:dyDescent="0.35">
      <c r="A5184" s="9"/>
      <c r="C5184" s="393"/>
      <c r="E5184" s="394"/>
      <c r="F5184" s="394">
        <v>2.5609999999999999</v>
      </c>
      <c r="G5184" s="394"/>
      <c r="H5184" s="8" t="s">
        <v>235</v>
      </c>
      <c r="I5184" s="368">
        <f t="shared" si="241"/>
        <v>0</v>
      </c>
      <c r="J5184" s="365">
        <f t="shared" si="243"/>
        <v>0</v>
      </c>
      <c r="K5184" s="369">
        <f t="shared" si="242"/>
        <v>6</v>
      </c>
      <c r="L5184" s="369">
        <f>+IF((C5184&gt;='Resultats - informe'!$E$16)*(C5184&lt;='Resultats - informe'!$G$16),1,0)</f>
        <v>1</v>
      </c>
      <c r="M5184" s="369" cm="1">
        <f t="array" ref="M5184">+_xlfn.IFS((C5184&gt;='Resultats - informe'!$D$26)*(C5184&lt;='Resultats - informe'!$E$26),0,(C5184&gt;='Resultats - informe'!$D$27)*(C5184&lt;='Resultats - informe'!$E$27),0,(C5184&gt;='Resultats - informe'!$D$28)*(C5184&lt;='Resultats - informe'!$E$28),0,(C5184&gt;='Resultats - informe'!$D$29)*(C5184&lt;='Resultats - informe'!$E$29),0,1,1)</f>
        <v>0</v>
      </c>
      <c r="N5184" s="366">
        <f>+VLOOKUP(D5184,'Resultats - informe'!$Y$18:$AG$42,'Introducció dades consum'!K5184+1,0)</f>
        <v>0</v>
      </c>
      <c r="O5184" s="370" cm="1">
        <f t="array" ref="O5184">+_xlfn.SWITCH(MONTH(C5184),1,1,2,1,3,1,4,2,5,2,6,3,7,3,8,3,9,3,10,2,11,2,12,1,2)</f>
        <v>1</v>
      </c>
      <c r="P5184" s="43"/>
    </row>
    <row r="5185" spans="1:16" ht="18" x14ac:dyDescent="0.35">
      <c r="A5185" s="9"/>
      <c r="C5185" s="393"/>
      <c r="E5185" s="394"/>
      <c r="F5185" s="394">
        <v>2.3050000000000002</v>
      </c>
      <c r="G5185" s="394"/>
      <c r="H5185" s="8" t="s">
        <v>235</v>
      </c>
      <c r="I5185" s="368">
        <f t="shared" si="241"/>
        <v>0</v>
      </c>
      <c r="J5185" s="365">
        <f t="shared" si="243"/>
        <v>0</v>
      </c>
      <c r="K5185" s="369">
        <f t="shared" si="242"/>
        <v>6</v>
      </c>
      <c r="L5185" s="369">
        <f>+IF((C5185&gt;='Resultats - informe'!$E$16)*(C5185&lt;='Resultats - informe'!$G$16),1,0)</f>
        <v>1</v>
      </c>
      <c r="M5185" s="369" cm="1">
        <f t="array" ref="M5185">+_xlfn.IFS((C5185&gt;='Resultats - informe'!$D$26)*(C5185&lt;='Resultats - informe'!$E$26),0,(C5185&gt;='Resultats - informe'!$D$27)*(C5185&lt;='Resultats - informe'!$E$27),0,(C5185&gt;='Resultats - informe'!$D$28)*(C5185&lt;='Resultats - informe'!$E$28),0,(C5185&gt;='Resultats - informe'!$D$29)*(C5185&lt;='Resultats - informe'!$E$29),0,1,1)</f>
        <v>0</v>
      </c>
      <c r="N5185" s="366">
        <f>+VLOOKUP(D5185,'Resultats - informe'!$Y$18:$AG$42,'Introducció dades consum'!K5185+1,0)</f>
        <v>0</v>
      </c>
      <c r="O5185" s="370" cm="1">
        <f t="array" ref="O5185">+_xlfn.SWITCH(MONTH(C5185),1,1,2,1,3,1,4,2,5,2,6,3,7,3,8,3,9,3,10,2,11,2,12,1,2)</f>
        <v>1</v>
      </c>
      <c r="P5185" s="43"/>
    </row>
    <row r="5186" spans="1:16" ht="18" x14ac:dyDescent="0.35">
      <c r="A5186" s="9"/>
      <c r="C5186" s="393"/>
      <c r="E5186" s="394"/>
      <c r="F5186" s="394">
        <v>1.345</v>
      </c>
      <c r="G5186" s="394"/>
      <c r="H5186" s="8" t="s">
        <v>235</v>
      </c>
      <c r="I5186" s="368">
        <f t="shared" si="241"/>
        <v>0</v>
      </c>
      <c r="J5186" s="365">
        <f t="shared" si="243"/>
        <v>0</v>
      </c>
      <c r="K5186" s="369">
        <f t="shared" si="242"/>
        <v>6</v>
      </c>
      <c r="L5186" s="369">
        <f>+IF((C5186&gt;='Resultats - informe'!$E$16)*(C5186&lt;='Resultats - informe'!$G$16),1,0)</f>
        <v>1</v>
      </c>
      <c r="M5186" s="369" cm="1">
        <f t="array" ref="M5186">+_xlfn.IFS((C5186&gt;='Resultats - informe'!$D$26)*(C5186&lt;='Resultats - informe'!$E$26),0,(C5186&gt;='Resultats - informe'!$D$27)*(C5186&lt;='Resultats - informe'!$E$27),0,(C5186&gt;='Resultats - informe'!$D$28)*(C5186&lt;='Resultats - informe'!$E$28),0,(C5186&gt;='Resultats - informe'!$D$29)*(C5186&lt;='Resultats - informe'!$E$29),0,1,1)</f>
        <v>0</v>
      </c>
      <c r="N5186" s="366">
        <f>+VLOOKUP(D5186,'Resultats - informe'!$Y$18:$AG$42,'Introducció dades consum'!K5186+1,0)</f>
        <v>0</v>
      </c>
      <c r="O5186" s="370" cm="1">
        <f t="array" ref="O5186">+_xlfn.SWITCH(MONTH(C5186),1,1,2,1,3,1,4,2,5,2,6,3,7,3,8,3,9,3,10,2,11,2,12,1,2)</f>
        <v>1</v>
      </c>
      <c r="P5186" s="43"/>
    </row>
    <row r="5187" spans="1:16" ht="18" x14ac:dyDescent="0.35">
      <c r="A5187" s="9"/>
      <c r="C5187" s="393"/>
      <c r="E5187" s="394"/>
      <c r="F5187" s="394">
        <v>1.3460000000000001</v>
      </c>
      <c r="G5187" s="394"/>
      <c r="H5187" s="8" t="s">
        <v>235</v>
      </c>
      <c r="I5187" s="368">
        <f t="shared" si="241"/>
        <v>0</v>
      </c>
      <c r="J5187" s="365">
        <f t="shared" si="243"/>
        <v>0</v>
      </c>
      <c r="K5187" s="369">
        <f t="shared" si="242"/>
        <v>6</v>
      </c>
      <c r="L5187" s="369">
        <f>+IF((C5187&gt;='Resultats - informe'!$E$16)*(C5187&lt;='Resultats - informe'!$G$16),1,0)</f>
        <v>1</v>
      </c>
      <c r="M5187" s="369" cm="1">
        <f t="array" ref="M5187">+_xlfn.IFS((C5187&gt;='Resultats - informe'!$D$26)*(C5187&lt;='Resultats - informe'!$E$26),0,(C5187&gt;='Resultats - informe'!$D$27)*(C5187&lt;='Resultats - informe'!$E$27),0,(C5187&gt;='Resultats - informe'!$D$28)*(C5187&lt;='Resultats - informe'!$E$28),0,(C5187&gt;='Resultats - informe'!$D$29)*(C5187&lt;='Resultats - informe'!$E$29),0,1,1)</f>
        <v>0</v>
      </c>
      <c r="N5187" s="366">
        <f>+VLOOKUP(D5187,'Resultats - informe'!$Y$18:$AG$42,'Introducció dades consum'!K5187+1,0)</f>
        <v>0</v>
      </c>
      <c r="O5187" s="370" cm="1">
        <f t="array" ref="O5187">+_xlfn.SWITCH(MONTH(C5187),1,1,2,1,3,1,4,2,5,2,6,3,7,3,8,3,9,3,10,2,11,2,12,1,2)</f>
        <v>1</v>
      </c>
      <c r="P5187" s="43"/>
    </row>
    <row r="5188" spans="1:16" ht="18" x14ac:dyDescent="0.35">
      <c r="A5188" s="9"/>
      <c r="C5188" s="393"/>
      <c r="E5188" s="394"/>
      <c r="F5188" s="394">
        <v>5.5E-2</v>
      </c>
      <c r="G5188" s="394"/>
      <c r="H5188" s="8" t="s">
        <v>235</v>
      </c>
      <c r="I5188" s="368">
        <f t="shared" si="241"/>
        <v>0</v>
      </c>
      <c r="J5188" s="365">
        <f t="shared" si="243"/>
        <v>0</v>
      </c>
      <c r="K5188" s="369">
        <f t="shared" si="242"/>
        <v>6</v>
      </c>
      <c r="L5188" s="369">
        <f>+IF((C5188&gt;='Resultats - informe'!$E$16)*(C5188&lt;='Resultats - informe'!$G$16),1,0)</f>
        <v>1</v>
      </c>
      <c r="M5188" s="369" cm="1">
        <f t="array" ref="M5188">+_xlfn.IFS((C5188&gt;='Resultats - informe'!$D$26)*(C5188&lt;='Resultats - informe'!$E$26),0,(C5188&gt;='Resultats - informe'!$D$27)*(C5188&lt;='Resultats - informe'!$E$27),0,(C5188&gt;='Resultats - informe'!$D$28)*(C5188&lt;='Resultats - informe'!$E$28),0,(C5188&gt;='Resultats - informe'!$D$29)*(C5188&lt;='Resultats - informe'!$E$29),0,1,1)</f>
        <v>0</v>
      </c>
      <c r="N5188" s="366">
        <f>+VLOOKUP(D5188,'Resultats - informe'!$Y$18:$AG$42,'Introducció dades consum'!K5188+1,0)</f>
        <v>0</v>
      </c>
      <c r="O5188" s="370" cm="1">
        <f t="array" ref="O5188">+_xlfn.SWITCH(MONTH(C5188),1,1,2,1,3,1,4,2,5,2,6,3,7,3,8,3,9,3,10,2,11,2,12,1,2)</f>
        <v>1</v>
      </c>
      <c r="P5188" s="43"/>
    </row>
    <row r="5189" spans="1:16" ht="18" x14ac:dyDescent="0.35">
      <c r="A5189" s="9"/>
      <c r="C5189" s="393"/>
      <c r="E5189" s="394"/>
      <c r="F5189" s="394">
        <v>0.42599999999999999</v>
      </c>
      <c r="G5189" s="394"/>
      <c r="H5189" s="8" t="s">
        <v>235</v>
      </c>
      <c r="I5189" s="368">
        <f t="shared" si="241"/>
        <v>0</v>
      </c>
      <c r="J5189" s="365">
        <f t="shared" si="243"/>
        <v>0</v>
      </c>
      <c r="K5189" s="369">
        <f t="shared" si="242"/>
        <v>6</v>
      </c>
      <c r="L5189" s="369">
        <f>+IF((C5189&gt;='Resultats - informe'!$E$16)*(C5189&lt;='Resultats - informe'!$G$16),1,0)</f>
        <v>1</v>
      </c>
      <c r="M5189" s="369" cm="1">
        <f t="array" ref="M5189">+_xlfn.IFS((C5189&gt;='Resultats - informe'!$D$26)*(C5189&lt;='Resultats - informe'!$E$26),0,(C5189&gt;='Resultats - informe'!$D$27)*(C5189&lt;='Resultats - informe'!$E$27),0,(C5189&gt;='Resultats - informe'!$D$28)*(C5189&lt;='Resultats - informe'!$E$28),0,(C5189&gt;='Resultats - informe'!$D$29)*(C5189&lt;='Resultats - informe'!$E$29),0,1,1)</f>
        <v>0</v>
      </c>
      <c r="N5189" s="366">
        <f>+VLOOKUP(D5189,'Resultats - informe'!$Y$18:$AG$42,'Introducció dades consum'!K5189+1,0)</f>
        <v>0</v>
      </c>
      <c r="O5189" s="370" cm="1">
        <f t="array" ref="O5189">+_xlfn.SWITCH(MONTH(C5189),1,1,2,1,3,1,4,2,5,2,6,3,7,3,8,3,9,3,10,2,11,2,12,1,2)</f>
        <v>1</v>
      </c>
      <c r="P5189" s="43"/>
    </row>
    <row r="5190" spans="1:16" ht="18" x14ac:dyDescent="0.35">
      <c r="A5190" s="9"/>
      <c r="C5190" s="393"/>
      <c r="E5190" s="394"/>
      <c r="F5190" s="394">
        <v>0.42799999999999999</v>
      </c>
      <c r="G5190" s="394"/>
      <c r="H5190" s="8" t="s">
        <v>235</v>
      </c>
      <c r="I5190" s="368">
        <f t="shared" ref="I5190:I5253" si="244">+E5190+G5190</f>
        <v>0</v>
      </c>
      <c r="J5190" s="365">
        <f t="shared" si="243"/>
        <v>0</v>
      </c>
      <c r="K5190" s="369">
        <f t="shared" ref="K5190:K5253" si="245">+WEEKDAY(C5190,2)</f>
        <v>6</v>
      </c>
      <c r="L5190" s="369">
        <f>+IF((C5190&gt;='Resultats - informe'!$E$16)*(C5190&lt;='Resultats - informe'!$G$16),1,0)</f>
        <v>1</v>
      </c>
      <c r="M5190" s="369" cm="1">
        <f t="array" ref="M5190">+_xlfn.IFS((C5190&gt;='Resultats - informe'!$D$26)*(C5190&lt;='Resultats - informe'!$E$26),0,(C5190&gt;='Resultats - informe'!$D$27)*(C5190&lt;='Resultats - informe'!$E$27),0,(C5190&gt;='Resultats - informe'!$D$28)*(C5190&lt;='Resultats - informe'!$E$28),0,(C5190&gt;='Resultats - informe'!$D$29)*(C5190&lt;='Resultats - informe'!$E$29),0,1,1)</f>
        <v>0</v>
      </c>
      <c r="N5190" s="366">
        <f>+VLOOKUP(D5190,'Resultats - informe'!$Y$18:$AG$42,'Introducció dades consum'!K5190+1,0)</f>
        <v>0</v>
      </c>
      <c r="O5190" s="370" cm="1">
        <f t="array" ref="O5190">+_xlfn.SWITCH(MONTH(C5190),1,1,2,1,3,1,4,2,5,2,6,3,7,3,8,3,9,3,10,2,11,2,12,1,2)</f>
        <v>1</v>
      </c>
      <c r="P5190" s="43"/>
    </row>
    <row r="5191" spans="1:16" ht="18" x14ac:dyDescent="0.35">
      <c r="A5191" s="9"/>
      <c r="C5191" s="393"/>
      <c r="E5191" s="394"/>
      <c r="F5191" s="394">
        <v>0.42499999999999999</v>
      </c>
      <c r="G5191" s="394"/>
      <c r="H5191" s="8" t="s">
        <v>235</v>
      </c>
      <c r="I5191" s="368">
        <f t="shared" si="244"/>
        <v>0</v>
      </c>
      <c r="J5191" s="365">
        <f t="shared" si="243"/>
        <v>0</v>
      </c>
      <c r="K5191" s="369">
        <f t="shared" si="245"/>
        <v>6</v>
      </c>
      <c r="L5191" s="369">
        <f>+IF((C5191&gt;='Resultats - informe'!$E$16)*(C5191&lt;='Resultats - informe'!$G$16),1,0)</f>
        <v>1</v>
      </c>
      <c r="M5191" s="369" cm="1">
        <f t="array" ref="M5191">+_xlfn.IFS((C5191&gt;='Resultats - informe'!$D$26)*(C5191&lt;='Resultats - informe'!$E$26),0,(C5191&gt;='Resultats - informe'!$D$27)*(C5191&lt;='Resultats - informe'!$E$27),0,(C5191&gt;='Resultats - informe'!$D$28)*(C5191&lt;='Resultats - informe'!$E$28),0,(C5191&gt;='Resultats - informe'!$D$29)*(C5191&lt;='Resultats - informe'!$E$29),0,1,1)</f>
        <v>0</v>
      </c>
      <c r="N5191" s="366">
        <f>+VLOOKUP(D5191,'Resultats - informe'!$Y$18:$AG$42,'Introducció dades consum'!K5191+1,0)</f>
        <v>0</v>
      </c>
      <c r="O5191" s="370" cm="1">
        <f t="array" ref="O5191">+_xlfn.SWITCH(MONTH(C5191),1,1,2,1,3,1,4,2,5,2,6,3,7,3,8,3,9,3,10,2,11,2,12,1,2)</f>
        <v>1</v>
      </c>
      <c r="P5191" s="43"/>
    </row>
    <row r="5192" spans="1:16" ht="18" x14ac:dyDescent="0.35">
      <c r="A5192" s="9"/>
      <c r="C5192" s="393"/>
      <c r="E5192" s="394"/>
      <c r="F5192" s="394">
        <v>0.42399999999999999</v>
      </c>
      <c r="G5192" s="394"/>
      <c r="H5192" s="8" t="s">
        <v>235</v>
      </c>
      <c r="I5192" s="368">
        <f t="shared" si="244"/>
        <v>0</v>
      </c>
      <c r="J5192" s="365">
        <f t="shared" si="243"/>
        <v>0</v>
      </c>
      <c r="K5192" s="369">
        <f t="shared" si="245"/>
        <v>6</v>
      </c>
      <c r="L5192" s="369">
        <f>+IF((C5192&gt;='Resultats - informe'!$E$16)*(C5192&lt;='Resultats - informe'!$G$16),1,0)</f>
        <v>1</v>
      </c>
      <c r="M5192" s="369" cm="1">
        <f t="array" ref="M5192">+_xlfn.IFS((C5192&gt;='Resultats - informe'!$D$26)*(C5192&lt;='Resultats - informe'!$E$26),0,(C5192&gt;='Resultats - informe'!$D$27)*(C5192&lt;='Resultats - informe'!$E$27),0,(C5192&gt;='Resultats - informe'!$D$28)*(C5192&lt;='Resultats - informe'!$E$28),0,(C5192&gt;='Resultats - informe'!$D$29)*(C5192&lt;='Resultats - informe'!$E$29),0,1,1)</f>
        <v>0</v>
      </c>
      <c r="N5192" s="366">
        <f>+VLOOKUP(D5192,'Resultats - informe'!$Y$18:$AG$42,'Introducció dades consum'!K5192+1,0)</f>
        <v>0</v>
      </c>
      <c r="O5192" s="370" cm="1">
        <f t="array" ref="O5192">+_xlfn.SWITCH(MONTH(C5192),1,1,2,1,3,1,4,2,5,2,6,3,7,3,8,3,9,3,10,2,11,2,12,1,2)</f>
        <v>1</v>
      </c>
      <c r="P5192" s="43"/>
    </row>
    <row r="5193" spans="1:16" ht="18" x14ac:dyDescent="0.35">
      <c r="A5193" s="9"/>
      <c r="C5193" s="393"/>
      <c r="E5193" s="394"/>
      <c r="F5193" s="394">
        <v>0.42799999999999999</v>
      </c>
      <c r="G5193" s="394"/>
      <c r="H5193" s="8" t="s">
        <v>235</v>
      </c>
      <c r="I5193" s="368">
        <f t="shared" si="244"/>
        <v>0</v>
      </c>
      <c r="J5193" s="365">
        <f t="shared" si="243"/>
        <v>0</v>
      </c>
      <c r="K5193" s="369">
        <f t="shared" si="245"/>
        <v>6</v>
      </c>
      <c r="L5193" s="369">
        <f>+IF((C5193&gt;='Resultats - informe'!$E$16)*(C5193&lt;='Resultats - informe'!$G$16),1,0)</f>
        <v>1</v>
      </c>
      <c r="M5193" s="369" cm="1">
        <f t="array" ref="M5193">+_xlfn.IFS((C5193&gt;='Resultats - informe'!$D$26)*(C5193&lt;='Resultats - informe'!$E$26),0,(C5193&gt;='Resultats - informe'!$D$27)*(C5193&lt;='Resultats - informe'!$E$27),0,(C5193&gt;='Resultats - informe'!$D$28)*(C5193&lt;='Resultats - informe'!$E$28),0,(C5193&gt;='Resultats - informe'!$D$29)*(C5193&lt;='Resultats - informe'!$E$29),0,1,1)</f>
        <v>0</v>
      </c>
      <c r="N5193" s="366">
        <f>+VLOOKUP(D5193,'Resultats - informe'!$Y$18:$AG$42,'Introducció dades consum'!K5193+1,0)</f>
        <v>0</v>
      </c>
      <c r="O5193" s="370" cm="1">
        <f t="array" ref="O5193">+_xlfn.SWITCH(MONTH(C5193),1,1,2,1,3,1,4,2,5,2,6,3,7,3,8,3,9,3,10,2,11,2,12,1,2)</f>
        <v>1</v>
      </c>
      <c r="P5193" s="43"/>
    </row>
    <row r="5194" spans="1:16" ht="18" x14ac:dyDescent="0.35">
      <c r="A5194" s="9"/>
      <c r="C5194" s="393"/>
      <c r="E5194" s="394"/>
      <c r="F5194" s="394">
        <v>0.433</v>
      </c>
      <c r="G5194" s="394"/>
      <c r="H5194" s="8" t="s">
        <v>235</v>
      </c>
      <c r="I5194" s="368">
        <f t="shared" si="244"/>
        <v>0</v>
      </c>
      <c r="J5194" s="365">
        <f t="shared" si="243"/>
        <v>0</v>
      </c>
      <c r="K5194" s="369">
        <f t="shared" si="245"/>
        <v>6</v>
      </c>
      <c r="L5194" s="369">
        <f>+IF((C5194&gt;='Resultats - informe'!$E$16)*(C5194&lt;='Resultats - informe'!$G$16),1,0)</f>
        <v>1</v>
      </c>
      <c r="M5194" s="369" cm="1">
        <f t="array" ref="M5194">+_xlfn.IFS((C5194&gt;='Resultats - informe'!$D$26)*(C5194&lt;='Resultats - informe'!$E$26),0,(C5194&gt;='Resultats - informe'!$D$27)*(C5194&lt;='Resultats - informe'!$E$27),0,(C5194&gt;='Resultats - informe'!$D$28)*(C5194&lt;='Resultats - informe'!$E$28),0,(C5194&gt;='Resultats - informe'!$D$29)*(C5194&lt;='Resultats - informe'!$E$29),0,1,1)</f>
        <v>0</v>
      </c>
      <c r="N5194" s="366">
        <f>+VLOOKUP(D5194,'Resultats - informe'!$Y$18:$AG$42,'Introducció dades consum'!K5194+1,0)</f>
        <v>0</v>
      </c>
      <c r="O5194" s="370" cm="1">
        <f t="array" ref="O5194">+_xlfn.SWITCH(MONTH(C5194),1,1,2,1,3,1,4,2,5,2,6,3,7,3,8,3,9,3,10,2,11,2,12,1,2)</f>
        <v>1</v>
      </c>
      <c r="P5194" s="43"/>
    </row>
    <row r="5195" spans="1:16" ht="18" x14ac:dyDescent="0.35">
      <c r="A5195" s="9"/>
      <c r="C5195" s="393"/>
      <c r="E5195" s="394"/>
      <c r="F5195" s="394">
        <v>0.42699999999999999</v>
      </c>
      <c r="G5195" s="394"/>
      <c r="H5195" s="8" t="s">
        <v>235</v>
      </c>
      <c r="I5195" s="368">
        <f t="shared" si="244"/>
        <v>0</v>
      </c>
      <c r="J5195" s="365">
        <f t="shared" si="243"/>
        <v>0</v>
      </c>
      <c r="K5195" s="369">
        <f t="shared" si="245"/>
        <v>6</v>
      </c>
      <c r="L5195" s="369">
        <f>+IF((C5195&gt;='Resultats - informe'!$E$16)*(C5195&lt;='Resultats - informe'!$G$16),1,0)</f>
        <v>1</v>
      </c>
      <c r="M5195" s="369" cm="1">
        <f t="array" ref="M5195">+_xlfn.IFS((C5195&gt;='Resultats - informe'!$D$26)*(C5195&lt;='Resultats - informe'!$E$26),0,(C5195&gt;='Resultats - informe'!$D$27)*(C5195&lt;='Resultats - informe'!$E$27),0,(C5195&gt;='Resultats - informe'!$D$28)*(C5195&lt;='Resultats - informe'!$E$28),0,(C5195&gt;='Resultats - informe'!$D$29)*(C5195&lt;='Resultats - informe'!$E$29),0,1,1)</f>
        <v>0</v>
      </c>
      <c r="N5195" s="366">
        <f>+VLOOKUP(D5195,'Resultats - informe'!$Y$18:$AG$42,'Introducció dades consum'!K5195+1,0)</f>
        <v>0</v>
      </c>
      <c r="O5195" s="370" cm="1">
        <f t="array" ref="O5195">+_xlfn.SWITCH(MONTH(C5195),1,1,2,1,3,1,4,2,5,2,6,3,7,3,8,3,9,3,10,2,11,2,12,1,2)</f>
        <v>1</v>
      </c>
      <c r="P5195" s="43"/>
    </row>
    <row r="5196" spans="1:16" ht="18" x14ac:dyDescent="0.35">
      <c r="A5196" s="9"/>
      <c r="C5196" s="393"/>
      <c r="E5196" s="394"/>
      <c r="F5196" s="394">
        <v>1.25</v>
      </c>
      <c r="G5196" s="394"/>
      <c r="H5196" s="8" t="s">
        <v>235</v>
      </c>
      <c r="I5196" s="368">
        <f t="shared" si="244"/>
        <v>0</v>
      </c>
      <c r="J5196" s="365">
        <f t="shared" si="243"/>
        <v>0</v>
      </c>
      <c r="K5196" s="369">
        <f t="shared" si="245"/>
        <v>6</v>
      </c>
      <c r="L5196" s="369">
        <f>+IF((C5196&gt;='Resultats - informe'!$E$16)*(C5196&lt;='Resultats - informe'!$G$16),1,0)</f>
        <v>1</v>
      </c>
      <c r="M5196" s="369" cm="1">
        <f t="array" ref="M5196">+_xlfn.IFS((C5196&gt;='Resultats - informe'!$D$26)*(C5196&lt;='Resultats - informe'!$E$26),0,(C5196&gt;='Resultats - informe'!$D$27)*(C5196&lt;='Resultats - informe'!$E$27),0,(C5196&gt;='Resultats - informe'!$D$28)*(C5196&lt;='Resultats - informe'!$E$28),0,(C5196&gt;='Resultats - informe'!$D$29)*(C5196&lt;='Resultats - informe'!$E$29),0,1,1)</f>
        <v>0</v>
      </c>
      <c r="N5196" s="366">
        <f>+VLOOKUP(D5196,'Resultats - informe'!$Y$18:$AG$42,'Introducció dades consum'!K5196+1,0)</f>
        <v>0</v>
      </c>
      <c r="O5196" s="370" cm="1">
        <f t="array" ref="O5196">+_xlfn.SWITCH(MONTH(C5196),1,1,2,1,3,1,4,2,5,2,6,3,7,3,8,3,9,3,10,2,11,2,12,1,2)</f>
        <v>1</v>
      </c>
      <c r="P5196" s="43"/>
    </row>
    <row r="5197" spans="1:16" ht="18" x14ac:dyDescent="0.35">
      <c r="A5197" s="9"/>
      <c r="C5197" s="393"/>
      <c r="E5197" s="394"/>
      <c r="F5197" s="394">
        <v>1.246</v>
      </c>
      <c r="G5197" s="394"/>
      <c r="H5197" s="8" t="s">
        <v>235</v>
      </c>
      <c r="I5197" s="368">
        <f t="shared" si="244"/>
        <v>0</v>
      </c>
      <c r="J5197" s="365">
        <f t="shared" si="243"/>
        <v>0</v>
      </c>
      <c r="K5197" s="369">
        <f t="shared" si="245"/>
        <v>6</v>
      </c>
      <c r="L5197" s="369">
        <f>+IF((C5197&gt;='Resultats - informe'!$E$16)*(C5197&lt;='Resultats - informe'!$G$16),1,0)</f>
        <v>1</v>
      </c>
      <c r="M5197" s="369" cm="1">
        <f t="array" ref="M5197">+_xlfn.IFS((C5197&gt;='Resultats - informe'!$D$26)*(C5197&lt;='Resultats - informe'!$E$26),0,(C5197&gt;='Resultats - informe'!$D$27)*(C5197&lt;='Resultats - informe'!$E$27),0,(C5197&gt;='Resultats - informe'!$D$28)*(C5197&lt;='Resultats - informe'!$E$28),0,(C5197&gt;='Resultats - informe'!$D$29)*(C5197&lt;='Resultats - informe'!$E$29),0,1,1)</f>
        <v>0</v>
      </c>
      <c r="N5197" s="366">
        <f>+VLOOKUP(D5197,'Resultats - informe'!$Y$18:$AG$42,'Introducció dades consum'!K5197+1,0)</f>
        <v>0</v>
      </c>
      <c r="O5197" s="370" cm="1">
        <f t="array" ref="O5197">+_xlfn.SWITCH(MONTH(C5197),1,1,2,1,3,1,4,2,5,2,6,3,7,3,8,3,9,3,10,2,11,2,12,1,2)</f>
        <v>1</v>
      </c>
      <c r="P5197" s="43"/>
    </row>
    <row r="5198" spans="1:16" ht="18" x14ac:dyDescent="0.35">
      <c r="A5198" s="9"/>
      <c r="C5198" s="393"/>
      <c r="E5198" s="394"/>
      <c r="F5198" s="394">
        <v>2.0259999999999998</v>
      </c>
      <c r="G5198" s="394"/>
      <c r="H5198" s="8" t="s">
        <v>235</v>
      </c>
      <c r="I5198" s="368">
        <f t="shared" si="244"/>
        <v>0</v>
      </c>
      <c r="J5198" s="365">
        <f t="shared" si="243"/>
        <v>0</v>
      </c>
      <c r="K5198" s="369">
        <f t="shared" si="245"/>
        <v>6</v>
      </c>
      <c r="L5198" s="369">
        <f>+IF((C5198&gt;='Resultats - informe'!$E$16)*(C5198&lt;='Resultats - informe'!$G$16),1,0)</f>
        <v>1</v>
      </c>
      <c r="M5198" s="369" cm="1">
        <f t="array" ref="M5198">+_xlfn.IFS((C5198&gt;='Resultats - informe'!$D$26)*(C5198&lt;='Resultats - informe'!$E$26),0,(C5198&gt;='Resultats - informe'!$D$27)*(C5198&lt;='Resultats - informe'!$E$27),0,(C5198&gt;='Resultats - informe'!$D$28)*(C5198&lt;='Resultats - informe'!$E$28),0,(C5198&gt;='Resultats - informe'!$D$29)*(C5198&lt;='Resultats - informe'!$E$29),0,1,1)</f>
        <v>0</v>
      </c>
      <c r="N5198" s="366">
        <f>+VLOOKUP(D5198,'Resultats - informe'!$Y$18:$AG$42,'Introducció dades consum'!K5198+1,0)</f>
        <v>0</v>
      </c>
      <c r="O5198" s="370" cm="1">
        <f t="array" ref="O5198">+_xlfn.SWITCH(MONTH(C5198),1,1,2,1,3,1,4,2,5,2,6,3,7,3,8,3,9,3,10,2,11,2,12,1,2)</f>
        <v>1</v>
      </c>
      <c r="P5198" s="43"/>
    </row>
    <row r="5199" spans="1:16" ht="18" x14ac:dyDescent="0.35">
      <c r="A5199" s="9"/>
      <c r="C5199" s="393"/>
      <c r="E5199" s="394"/>
      <c r="F5199" s="394">
        <v>1.976</v>
      </c>
      <c r="G5199" s="394"/>
      <c r="H5199" s="8" t="s">
        <v>235</v>
      </c>
      <c r="I5199" s="368">
        <f t="shared" si="244"/>
        <v>0</v>
      </c>
      <c r="J5199" s="365">
        <f t="shared" si="243"/>
        <v>0</v>
      </c>
      <c r="K5199" s="369">
        <f t="shared" si="245"/>
        <v>6</v>
      </c>
      <c r="L5199" s="369">
        <f>+IF((C5199&gt;='Resultats - informe'!$E$16)*(C5199&lt;='Resultats - informe'!$G$16),1,0)</f>
        <v>1</v>
      </c>
      <c r="M5199" s="369" cm="1">
        <f t="array" ref="M5199">+_xlfn.IFS((C5199&gt;='Resultats - informe'!$D$26)*(C5199&lt;='Resultats - informe'!$E$26),0,(C5199&gt;='Resultats - informe'!$D$27)*(C5199&lt;='Resultats - informe'!$E$27),0,(C5199&gt;='Resultats - informe'!$D$28)*(C5199&lt;='Resultats - informe'!$E$28),0,(C5199&gt;='Resultats - informe'!$D$29)*(C5199&lt;='Resultats - informe'!$E$29),0,1,1)</f>
        <v>0</v>
      </c>
      <c r="N5199" s="366">
        <f>+VLOOKUP(D5199,'Resultats - informe'!$Y$18:$AG$42,'Introducció dades consum'!K5199+1,0)</f>
        <v>0</v>
      </c>
      <c r="O5199" s="370" cm="1">
        <f t="array" ref="O5199">+_xlfn.SWITCH(MONTH(C5199),1,1,2,1,3,1,4,2,5,2,6,3,7,3,8,3,9,3,10,2,11,2,12,1,2)</f>
        <v>1</v>
      </c>
      <c r="P5199" s="43"/>
    </row>
    <row r="5200" spans="1:16" ht="18" x14ac:dyDescent="0.35">
      <c r="A5200" s="9"/>
      <c r="C5200" s="393"/>
      <c r="E5200" s="394"/>
      <c r="F5200" s="394">
        <v>1.4059999999999999</v>
      </c>
      <c r="G5200" s="394"/>
      <c r="H5200" s="8" t="s">
        <v>235</v>
      </c>
      <c r="I5200" s="368">
        <f t="shared" si="244"/>
        <v>0</v>
      </c>
      <c r="J5200" s="365">
        <f t="shared" si="243"/>
        <v>0</v>
      </c>
      <c r="K5200" s="369">
        <f t="shared" si="245"/>
        <v>6</v>
      </c>
      <c r="L5200" s="369">
        <f>+IF((C5200&gt;='Resultats - informe'!$E$16)*(C5200&lt;='Resultats - informe'!$G$16),1,0)</f>
        <v>1</v>
      </c>
      <c r="M5200" s="369" cm="1">
        <f t="array" ref="M5200">+_xlfn.IFS((C5200&gt;='Resultats - informe'!$D$26)*(C5200&lt;='Resultats - informe'!$E$26),0,(C5200&gt;='Resultats - informe'!$D$27)*(C5200&lt;='Resultats - informe'!$E$27),0,(C5200&gt;='Resultats - informe'!$D$28)*(C5200&lt;='Resultats - informe'!$E$28),0,(C5200&gt;='Resultats - informe'!$D$29)*(C5200&lt;='Resultats - informe'!$E$29),0,1,1)</f>
        <v>0</v>
      </c>
      <c r="N5200" s="366">
        <f>+VLOOKUP(D5200,'Resultats - informe'!$Y$18:$AG$42,'Introducció dades consum'!K5200+1,0)</f>
        <v>0</v>
      </c>
      <c r="O5200" s="370" cm="1">
        <f t="array" ref="O5200">+_xlfn.SWITCH(MONTH(C5200),1,1,2,1,3,1,4,2,5,2,6,3,7,3,8,3,9,3,10,2,11,2,12,1,2)</f>
        <v>1</v>
      </c>
      <c r="P5200" s="43"/>
    </row>
    <row r="5201" spans="1:16" ht="18" x14ac:dyDescent="0.35">
      <c r="A5201" s="9"/>
      <c r="C5201" s="393"/>
      <c r="E5201" s="394"/>
      <c r="F5201" s="394">
        <v>1.7689999999999999</v>
      </c>
      <c r="G5201" s="394"/>
      <c r="H5201" s="8" t="s">
        <v>235</v>
      </c>
      <c r="I5201" s="368">
        <f t="shared" si="244"/>
        <v>0</v>
      </c>
      <c r="J5201" s="365">
        <f t="shared" si="243"/>
        <v>0</v>
      </c>
      <c r="K5201" s="369">
        <f t="shared" si="245"/>
        <v>6</v>
      </c>
      <c r="L5201" s="369">
        <f>+IF((C5201&gt;='Resultats - informe'!$E$16)*(C5201&lt;='Resultats - informe'!$G$16),1,0)</f>
        <v>1</v>
      </c>
      <c r="M5201" s="369" cm="1">
        <f t="array" ref="M5201">+_xlfn.IFS((C5201&gt;='Resultats - informe'!$D$26)*(C5201&lt;='Resultats - informe'!$E$26),0,(C5201&gt;='Resultats - informe'!$D$27)*(C5201&lt;='Resultats - informe'!$E$27),0,(C5201&gt;='Resultats - informe'!$D$28)*(C5201&lt;='Resultats - informe'!$E$28),0,(C5201&gt;='Resultats - informe'!$D$29)*(C5201&lt;='Resultats - informe'!$E$29),0,1,1)</f>
        <v>0</v>
      </c>
      <c r="N5201" s="366">
        <f>+VLOOKUP(D5201,'Resultats - informe'!$Y$18:$AG$42,'Introducció dades consum'!K5201+1,0)</f>
        <v>0</v>
      </c>
      <c r="O5201" s="370" cm="1">
        <f t="array" ref="O5201">+_xlfn.SWITCH(MONTH(C5201),1,1,2,1,3,1,4,2,5,2,6,3,7,3,8,3,9,3,10,2,11,2,12,1,2)</f>
        <v>1</v>
      </c>
      <c r="P5201" s="43"/>
    </row>
    <row r="5202" spans="1:16" ht="18" x14ac:dyDescent="0.35">
      <c r="A5202" s="9"/>
      <c r="C5202" s="393"/>
      <c r="E5202" s="394"/>
      <c r="F5202" s="394">
        <v>1.2969999999999999</v>
      </c>
      <c r="G5202" s="394"/>
      <c r="H5202" s="8" t="s">
        <v>235</v>
      </c>
      <c r="I5202" s="368">
        <f t="shared" si="244"/>
        <v>0</v>
      </c>
      <c r="J5202" s="365">
        <f t="shared" si="243"/>
        <v>0</v>
      </c>
      <c r="K5202" s="369">
        <f t="shared" si="245"/>
        <v>6</v>
      </c>
      <c r="L5202" s="369">
        <f>+IF((C5202&gt;='Resultats - informe'!$E$16)*(C5202&lt;='Resultats - informe'!$G$16),1,0)</f>
        <v>1</v>
      </c>
      <c r="M5202" s="369" cm="1">
        <f t="array" ref="M5202">+_xlfn.IFS((C5202&gt;='Resultats - informe'!$D$26)*(C5202&lt;='Resultats - informe'!$E$26),0,(C5202&gt;='Resultats - informe'!$D$27)*(C5202&lt;='Resultats - informe'!$E$27),0,(C5202&gt;='Resultats - informe'!$D$28)*(C5202&lt;='Resultats - informe'!$E$28),0,(C5202&gt;='Resultats - informe'!$D$29)*(C5202&lt;='Resultats - informe'!$E$29),0,1,1)</f>
        <v>0</v>
      </c>
      <c r="N5202" s="366">
        <f>+VLOOKUP(D5202,'Resultats - informe'!$Y$18:$AG$42,'Introducció dades consum'!K5202+1,0)</f>
        <v>0</v>
      </c>
      <c r="O5202" s="370" cm="1">
        <f t="array" ref="O5202">+_xlfn.SWITCH(MONTH(C5202),1,1,2,1,3,1,4,2,5,2,6,3,7,3,8,3,9,3,10,2,11,2,12,1,2)</f>
        <v>1</v>
      </c>
      <c r="P5202" s="43"/>
    </row>
    <row r="5203" spans="1:16" ht="18" x14ac:dyDescent="0.35">
      <c r="A5203" s="9"/>
      <c r="C5203" s="393"/>
      <c r="E5203" s="394"/>
      <c r="F5203" s="394">
        <v>1.76</v>
      </c>
      <c r="G5203" s="394"/>
      <c r="H5203" s="8" t="s">
        <v>235</v>
      </c>
      <c r="I5203" s="368">
        <f t="shared" si="244"/>
        <v>0</v>
      </c>
      <c r="J5203" s="365">
        <f t="shared" si="243"/>
        <v>0</v>
      </c>
      <c r="K5203" s="369">
        <f t="shared" si="245"/>
        <v>6</v>
      </c>
      <c r="L5203" s="369">
        <f>+IF((C5203&gt;='Resultats - informe'!$E$16)*(C5203&lt;='Resultats - informe'!$G$16),1,0)</f>
        <v>1</v>
      </c>
      <c r="M5203" s="369" cm="1">
        <f t="array" ref="M5203">+_xlfn.IFS((C5203&gt;='Resultats - informe'!$D$26)*(C5203&lt;='Resultats - informe'!$E$26),0,(C5203&gt;='Resultats - informe'!$D$27)*(C5203&lt;='Resultats - informe'!$E$27),0,(C5203&gt;='Resultats - informe'!$D$28)*(C5203&lt;='Resultats - informe'!$E$28),0,(C5203&gt;='Resultats - informe'!$D$29)*(C5203&lt;='Resultats - informe'!$E$29),0,1,1)</f>
        <v>0</v>
      </c>
      <c r="N5203" s="366">
        <f>+VLOOKUP(D5203,'Resultats - informe'!$Y$18:$AG$42,'Introducció dades consum'!K5203+1,0)</f>
        <v>0</v>
      </c>
      <c r="O5203" s="370" cm="1">
        <f t="array" ref="O5203">+_xlfn.SWITCH(MONTH(C5203),1,1,2,1,3,1,4,2,5,2,6,3,7,3,8,3,9,3,10,2,11,2,12,1,2)</f>
        <v>1</v>
      </c>
      <c r="P5203" s="43"/>
    </row>
    <row r="5204" spans="1:16" ht="18" x14ac:dyDescent="0.35">
      <c r="A5204" s="9"/>
      <c r="C5204" s="393"/>
      <c r="E5204" s="394"/>
      <c r="F5204" s="394">
        <v>1.554</v>
      </c>
      <c r="G5204" s="394"/>
      <c r="H5204" s="8" t="s">
        <v>235</v>
      </c>
      <c r="I5204" s="368">
        <f t="shared" si="244"/>
        <v>0</v>
      </c>
      <c r="J5204" s="365">
        <f t="shared" si="243"/>
        <v>0</v>
      </c>
      <c r="K5204" s="369">
        <f t="shared" si="245"/>
        <v>6</v>
      </c>
      <c r="L5204" s="369">
        <f>+IF((C5204&gt;='Resultats - informe'!$E$16)*(C5204&lt;='Resultats - informe'!$G$16),1,0)</f>
        <v>1</v>
      </c>
      <c r="M5204" s="369" cm="1">
        <f t="array" ref="M5204">+_xlfn.IFS((C5204&gt;='Resultats - informe'!$D$26)*(C5204&lt;='Resultats - informe'!$E$26),0,(C5204&gt;='Resultats - informe'!$D$27)*(C5204&lt;='Resultats - informe'!$E$27),0,(C5204&gt;='Resultats - informe'!$D$28)*(C5204&lt;='Resultats - informe'!$E$28),0,(C5204&gt;='Resultats - informe'!$D$29)*(C5204&lt;='Resultats - informe'!$E$29),0,1,1)</f>
        <v>0</v>
      </c>
      <c r="N5204" s="366">
        <f>+VLOOKUP(D5204,'Resultats - informe'!$Y$18:$AG$42,'Introducció dades consum'!K5204+1,0)</f>
        <v>0</v>
      </c>
      <c r="O5204" s="370" cm="1">
        <f t="array" ref="O5204">+_xlfn.SWITCH(MONTH(C5204),1,1,2,1,3,1,4,2,5,2,6,3,7,3,8,3,9,3,10,2,11,2,12,1,2)</f>
        <v>1</v>
      </c>
      <c r="P5204" s="43"/>
    </row>
    <row r="5205" spans="1:16" ht="18" x14ac:dyDescent="0.35">
      <c r="A5205" s="9"/>
      <c r="C5205" s="393"/>
      <c r="E5205" s="394"/>
      <c r="F5205" s="394">
        <v>1.06</v>
      </c>
      <c r="G5205" s="394"/>
      <c r="H5205" s="8" t="s">
        <v>235</v>
      </c>
      <c r="I5205" s="368">
        <f t="shared" si="244"/>
        <v>0</v>
      </c>
      <c r="J5205" s="365">
        <f t="shared" si="243"/>
        <v>0</v>
      </c>
      <c r="K5205" s="369">
        <f t="shared" si="245"/>
        <v>6</v>
      </c>
      <c r="L5205" s="369">
        <f>+IF((C5205&gt;='Resultats - informe'!$E$16)*(C5205&lt;='Resultats - informe'!$G$16),1,0)</f>
        <v>1</v>
      </c>
      <c r="M5205" s="369" cm="1">
        <f t="array" ref="M5205">+_xlfn.IFS((C5205&gt;='Resultats - informe'!$D$26)*(C5205&lt;='Resultats - informe'!$E$26),0,(C5205&gt;='Resultats - informe'!$D$27)*(C5205&lt;='Resultats - informe'!$E$27),0,(C5205&gt;='Resultats - informe'!$D$28)*(C5205&lt;='Resultats - informe'!$E$28),0,(C5205&gt;='Resultats - informe'!$D$29)*(C5205&lt;='Resultats - informe'!$E$29),0,1,1)</f>
        <v>0</v>
      </c>
      <c r="N5205" s="366">
        <f>+VLOOKUP(D5205,'Resultats - informe'!$Y$18:$AG$42,'Introducció dades consum'!K5205+1,0)</f>
        <v>0</v>
      </c>
      <c r="O5205" s="370" cm="1">
        <f t="array" ref="O5205">+_xlfn.SWITCH(MONTH(C5205),1,1,2,1,3,1,4,2,5,2,6,3,7,3,8,3,9,3,10,2,11,2,12,1,2)</f>
        <v>1</v>
      </c>
      <c r="P5205" s="43"/>
    </row>
    <row r="5206" spans="1:16" ht="18" x14ac:dyDescent="0.35">
      <c r="A5206" s="9"/>
      <c r="C5206" s="393"/>
      <c r="E5206" s="394"/>
      <c r="F5206" s="394">
        <v>2.5619999999999998</v>
      </c>
      <c r="G5206" s="394"/>
      <c r="H5206" s="8" t="s">
        <v>235</v>
      </c>
      <c r="I5206" s="368">
        <f t="shared" si="244"/>
        <v>0</v>
      </c>
      <c r="J5206" s="365">
        <f t="shared" si="243"/>
        <v>0</v>
      </c>
      <c r="K5206" s="369">
        <f t="shared" si="245"/>
        <v>6</v>
      </c>
      <c r="L5206" s="369">
        <f>+IF((C5206&gt;='Resultats - informe'!$E$16)*(C5206&lt;='Resultats - informe'!$G$16),1,0)</f>
        <v>1</v>
      </c>
      <c r="M5206" s="369" cm="1">
        <f t="array" ref="M5206">+_xlfn.IFS((C5206&gt;='Resultats - informe'!$D$26)*(C5206&lt;='Resultats - informe'!$E$26),0,(C5206&gt;='Resultats - informe'!$D$27)*(C5206&lt;='Resultats - informe'!$E$27),0,(C5206&gt;='Resultats - informe'!$D$28)*(C5206&lt;='Resultats - informe'!$E$28),0,(C5206&gt;='Resultats - informe'!$D$29)*(C5206&lt;='Resultats - informe'!$E$29),0,1,1)</f>
        <v>0</v>
      </c>
      <c r="N5206" s="366">
        <f>+VLOOKUP(D5206,'Resultats - informe'!$Y$18:$AG$42,'Introducció dades consum'!K5206+1,0)</f>
        <v>0</v>
      </c>
      <c r="O5206" s="370" cm="1">
        <f t="array" ref="O5206">+_xlfn.SWITCH(MONTH(C5206),1,1,2,1,3,1,4,2,5,2,6,3,7,3,8,3,9,3,10,2,11,2,12,1,2)</f>
        <v>1</v>
      </c>
      <c r="P5206" s="43"/>
    </row>
    <row r="5207" spans="1:16" ht="18" x14ac:dyDescent="0.35">
      <c r="A5207" s="9"/>
      <c r="C5207" s="393"/>
      <c r="E5207" s="394"/>
      <c r="F5207" s="394">
        <v>2.5630000000000002</v>
      </c>
      <c r="G5207" s="394"/>
      <c r="H5207" s="8" t="s">
        <v>235</v>
      </c>
      <c r="I5207" s="368">
        <f t="shared" si="244"/>
        <v>0</v>
      </c>
      <c r="J5207" s="365">
        <f t="shared" si="243"/>
        <v>0</v>
      </c>
      <c r="K5207" s="369">
        <f t="shared" si="245"/>
        <v>6</v>
      </c>
      <c r="L5207" s="369">
        <f>+IF((C5207&gt;='Resultats - informe'!$E$16)*(C5207&lt;='Resultats - informe'!$G$16),1,0)</f>
        <v>1</v>
      </c>
      <c r="M5207" s="369" cm="1">
        <f t="array" ref="M5207">+_xlfn.IFS((C5207&gt;='Resultats - informe'!$D$26)*(C5207&lt;='Resultats - informe'!$E$26),0,(C5207&gt;='Resultats - informe'!$D$27)*(C5207&lt;='Resultats - informe'!$E$27),0,(C5207&gt;='Resultats - informe'!$D$28)*(C5207&lt;='Resultats - informe'!$E$28),0,(C5207&gt;='Resultats - informe'!$D$29)*(C5207&lt;='Resultats - informe'!$E$29),0,1,1)</f>
        <v>0</v>
      </c>
      <c r="N5207" s="366">
        <f>+VLOOKUP(D5207,'Resultats - informe'!$Y$18:$AG$42,'Introducció dades consum'!K5207+1,0)</f>
        <v>0</v>
      </c>
      <c r="O5207" s="370" cm="1">
        <f t="array" ref="O5207">+_xlfn.SWITCH(MONTH(C5207),1,1,2,1,3,1,4,2,5,2,6,3,7,3,8,3,9,3,10,2,11,2,12,1,2)</f>
        <v>1</v>
      </c>
      <c r="P5207" s="43"/>
    </row>
    <row r="5208" spans="1:16" ht="18" x14ac:dyDescent="0.35">
      <c r="A5208" s="9"/>
      <c r="C5208" s="393"/>
      <c r="E5208" s="394"/>
      <c r="F5208" s="394">
        <v>2.5619999999999998</v>
      </c>
      <c r="G5208" s="394"/>
      <c r="H5208" s="8" t="s">
        <v>235</v>
      </c>
      <c r="I5208" s="368">
        <f t="shared" si="244"/>
        <v>0</v>
      </c>
      <c r="J5208" s="365">
        <f t="shared" si="243"/>
        <v>0</v>
      </c>
      <c r="K5208" s="369">
        <f t="shared" si="245"/>
        <v>6</v>
      </c>
      <c r="L5208" s="369">
        <f>+IF((C5208&gt;='Resultats - informe'!$E$16)*(C5208&lt;='Resultats - informe'!$G$16),1,0)</f>
        <v>1</v>
      </c>
      <c r="M5208" s="369" cm="1">
        <f t="array" ref="M5208">+_xlfn.IFS((C5208&gt;='Resultats - informe'!$D$26)*(C5208&lt;='Resultats - informe'!$E$26),0,(C5208&gt;='Resultats - informe'!$D$27)*(C5208&lt;='Resultats - informe'!$E$27),0,(C5208&gt;='Resultats - informe'!$D$28)*(C5208&lt;='Resultats - informe'!$E$28),0,(C5208&gt;='Resultats - informe'!$D$29)*(C5208&lt;='Resultats - informe'!$E$29),0,1,1)</f>
        <v>0</v>
      </c>
      <c r="N5208" s="366">
        <f>+VLOOKUP(D5208,'Resultats - informe'!$Y$18:$AG$42,'Introducció dades consum'!K5208+1,0)</f>
        <v>0</v>
      </c>
      <c r="O5208" s="370" cm="1">
        <f t="array" ref="O5208">+_xlfn.SWITCH(MONTH(C5208),1,1,2,1,3,1,4,2,5,2,6,3,7,3,8,3,9,3,10,2,11,2,12,1,2)</f>
        <v>1</v>
      </c>
      <c r="P5208" s="43"/>
    </row>
    <row r="5209" spans="1:16" ht="18" x14ac:dyDescent="0.35">
      <c r="A5209" s="9"/>
      <c r="C5209" s="393"/>
      <c r="E5209" s="394"/>
      <c r="F5209" s="394">
        <v>2.222</v>
      </c>
      <c r="G5209" s="394"/>
      <c r="H5209" s="8" t="s">
        <v>235</v>
      </c>
      <c r="I5209" s="368">
        <f t="shared" si="244"/>
        <v>0</v>
      </c>
      <c r="J5209" s="365">
        <f t="shared" si="243"/>
        <v>0</v>
      </c>
      <c r="K5209" s="369">
        <f t="shared" si="245"/>
        <v>6</v>
      </c>
      <c r="L5209" s="369">
        <f>+IF((C5209&gt;='Resultats - informe'!$E$16)*(C5209&lt;='Resultats - informe'!$G$16),1,0)</f>
        <v>1</v>
      </c>
      <c r="M5209" s="369" cm="1">
        <f t="array" ref="M5209">+_xlfn.IFS((C5209&gt;='Resultats - informe'!$D$26)*(C5209&lt;='Resultats - informe'!$E$26),0,(C5209&gt;='Resultats - informe'!$D$27)*(C5209&lt;='Resultats - informe'!$E$27),0,(C5209&gt;='Resultats - informe'!$D$28)*(C5209&lt;='Resultats - informe'!$E$28),0,(C5209&gt;='Resultats - informe'!$D$29)*(C5209&lt;='Resultats - informe'!$E$29),0,1,1)</f>
        <v>0</v>
      </c>
      <c r="N5209" s="366">
        <f>+VLOOKUP(D5209,'Resultats - informe'!$Y$18:$AG$42,'Introducció dades consum'!K5209+1,0)</f>
        <v>0</v>
      </c>
      <c r="O5209" s="370" cm="1">
        <f t="array" ref="O5209">+_xlfn.SWITCH(MONTH(C5209),1,1,2,1,3,1,4,2,5,2,6,3,7,3,8,3,9,3,10,2,11,2,12,1,2)</f>
        <v>1</v>
      </c>
      <c r="P5209" s="43"/>
    </row>
    <row r="5210" spans="1:16" ht="18" x14ac:dyDescent="0.35">
      <c r="A5210" s="9"/>
      <c r="C5210" s="393"/>
      <c r="E5210" s="394"/>
      <c r="F5210" s="394">
        <v>1.345</v>
      </c>
      <c r="G5210" s="394"/>
      <c r="H5210" s="8" t="s">
        <v>235</v>
      </c>
      <c r="I5210" s="368">
        <f t="shared" si="244"/>
        <v>0</v>
      </c>
      <c r="J5210" s="365">
        <f t="shared" si="243"/>
        <v>0</v>
      </c>
      <c r="K5210" s="369">
        <f t="shared" si="245"/>
        <v>6</v>
      </c>
      <c r="L5210" s="369">
        <f>+IF((C5210&gt;='Resultats - informe'!$E$16)*(C5210&lt;='Resultats - informe'!$G$16),1,0)</f>
        <v>1</v>
      </c>
      <c r="M5210" s="369" cm="1">
        <f t="array" ref="M5210">+_xlfn.IFS((C5210&gt;='Resultats - informe'!$D$26)*(C5210&lt;='Resultats - informe'!$E$26),0,(C5210&gt;='Resultats - informe'!$D$27)*(C5210&lt;='Resultats - informe'!$E$27),0,(C5210&gt;='Resultats - informe'!$D$28)*(C5210&lt;='Resultats - informe'!$E$28),0,(C5210&gt;='Resultats - informe'!$D$29)*(C5210&lt;='Resultats - informe'!$E$29),0,1,1)</f>
        <v>0</v>
      </c>
      <c r="N5210" s="366">
        <f>+VLOOKUP(D5210,'Resultats - informe'!$Y$18:$AG$42,'Introducció dades consum'!K5210+1,0)</f>
        <v>0</v>
      </c>
      <c r="O5210" s="370" cm="1">
        <f t="array" ref="O5210">+_xlfn.SWITCH(MONTH(C5210),1,1,2,1,3,1,4,2,5,2,6,3,7,3,8,3,9,3,10,2,11,2,12,1,2)</f>
        <v>1</v>
      </c>
      <c r="P5210" s="43"/>
    </row>
    <row r="5211" spans="1:16" ht="18" x14ac:dyDescent="0.35">
      <c r="A5211" s="9"/>
      <c r="C5211" s="393"/>
      <c r="E5211" s="394"/>
      <c r="F5211" s="394">
        <v>1.3440000000000001</v>
      </c>
      <c r="G5211" s="394"/>
      <c r="H5211" s="8" t="s">
        <v>235</v>
      </c>
      <c r="I5211" s="368">
        <f t="shared" si="244"/>
        <v>0</v>
      </c>
      <c r="J5211" s="365">
        <f t="shared" si="243"/>
        <v>0</v>
      </c>
      <c r="K5211" s="369">
        <f t="shared" si="245"/>
        <v>6</v>
      </c>
      <c r="L5211" s="369">
        <f>+IF((C5211&gt;='Resultats - informe'!$E$16)*(C5211&lt;='Resultats - informe'!$G$16),1,0)</f>
        <v>1</v>
      </c>
      <c r="M5211" s="369" cm="1">
        <f t="array" ref="M5211">+_xlfn.IFS((C5211&gt;='Resultats - informe'!$D$26)*(C5211&lt;='Resultats - informe'!$E$26),0,(C5211&gt;='Resultats - informe'!$D$27)*(C5211&lt;='Resultats - informe'!$E$27),0,(C5211&gt;='Resultats - informe'!$D$28)*(C5211&lt;='Resultats - informe'!$E$28),0,(C5211&gt;='Resultats - informe'!$D$29)*(C5211&lt;='Resultats - informe'!$E$29),0,1,1)</f>
        <v>0</v>
      </c>
      <c r="N5211" s="366">
        <f>+VLOOKUP(D5211,'Resultats - informe'!$Y$18:$AG$42,'Introducció dades consum'!K5211+1,0)</f>
        <v>0</v>
      </c>
      <c r="O5211" s="370" cm="1">
        <f t="array" ref="O5211">+_xlfn.SWITCH(MONTH(C5211),1,1,2,1,3,1,4,2,5,2,6,3,7,3,8,3,9,3,10,2,11,2,12,1,2)</f>
        <v>1</v>
      </c>
      <c r="P5211" s="43"/>
    </row>
    <row r="5212" spans="1:16" ht="18" x14ac:dyDescent="0.35">
      <c r="A5212" s="9"/>
      <c r="C5212" s="393"/>
      <c r="E5212" s="394"/>
      <c r="F5212" s="394">
        <v>5.3999999999999999E-2</v>
      </c>
      <c r="G5212" s="394"/>
      <c r="H5212" s="8" t="s">
        <v>235</v>
      </c>
      <c r="I5212" s="368">
        <f t="shared" si="244"/>
        <v>0</v>
      </c>
      <c r="J5212" s="365">
        <f t="shared" si="243"/>
        <v>0</v>
      </c>
      <c r="K5212" s="369">
        <f t="shared" si="245"/>
        <v>6</v>
      </c>
      <c r="L5212" s="369">
        <f>+IF((C5212&gt;='Resultats - informe'!$E$16)*(C5212&lt;='Resultats - informe'!$G$16),1,0)</f>
        <v>1</v>
      </c>
      <c r="M5212" s="369" cm="1">
        <f t="array" ref="M5212">+_xlfn.IFS((C5212&gt;='Resultats - informe'!$D$26)*(C5212&lt;='Resultats - informe'!$E$26),0,(C5212&gt;='Resultats - informe'!$D$27)*(C5212&lt;='Resultats - informe'!$E$27),0,(C5212&gt;='Resultats - informe'!$D$28)*(C5212&lt;='Resultats - informe'!$E$28),0,(C5212&gt;='Resultats - informe'!$D$29)*(C5212&lt;='Resultats - informe'!$E$29),0,1,1)</f>
        <v>0</v>
      </c>
      <c r="N5212" s="366">
        <f>+VLOOKUP(D5212,'Resultats - informe'!$Y$18:$AG$42,'Introducció dades consum'!K5212+1,0)</f>
        <v>0</v>
      </c>
      <c r="O5212" s="370" cm="1">
        <f t="array" ref="O5212">+_xlfn.SWITCH(MONTH(C5212),1,1,2,1,3,1,4,2,5,2,6,3,7,3,8,3,9,3,10,2,11,2,12,1,2)</f>
        <v>1</v>
      </c>
      <c r="P5212" s="43"/>
    </row>
    <row r="5213" spans="1:16" ht="18" x14ac:dyDescent="0.35">
      <c r="A5213" s="9"/>
      <c r="C5213" s="393"/>
      <c r="E5213" s="394"/>
      <c r="F5213" s="394">
        <v>0.42799999999999999</v>
      </c>
      <c r="G5213" s="394"/>
      <c r="H5213" s="8" t="s">
        <v>235</v>
      </c>
      <c r="I5213" s="368">
        <f t="shared" si="244"/>
        <v>0</v>
      </c>
      <c r="J5213" s="365">
        <f t="shared" si="243"/>
        <v>0</v>
      </c>
      <c r="K5213" s="369">
        <f t="shared" si="245"/>
        <v>6</v>
      </c>
      <c r="L5213" s="369">
        <f>+IF((C5213&gt;='Resultats - informe'!$E$16)*(C5213&lt;='Resultats - informe'!$G$16),1,0)</f>
        <v>1</v>
      </c>
      <c r="M5213" s="369" cm="1">
        <f t="array" ref="M5213">+_xlfn.IFS((C5213&gt;='Resultats - informe'!$D$26)*(C5213&lt;='Resultats - informe'!$E$26),0,(C5213&gt;='Resultats - informe'!$D$27)*(C5213&lt;='Resultats - informe'!$E$27),0,(C5213&gt;='Resultats - informe'!$D$28)*(C5213&lt;='Resultats - informe'!$E$28),0,(C5213&gt;='Resultats - informe'!$D$29)*(C5213&lt;='Resultats - informe'!$E$29),0,1,1)</f>
        <v>0</v>
      </c>
      <c r="N5213" s="366">
        <f>+VLOOKUP(D5213,'Resultats - informe'!$Y$18:$AG$42,'Introducció dades consum'!K5213+1,0)</f>
        <v>0</v>
      </c>
      <c r="O5213" s="370" cm="1">
        <f t="array" ref="O5213">+_xlfn.SWITCH(MONTH(C5213),1,1,2,1,3,1,4,2,5,2,6,3,7,3,8,3,9,3,10,2,11,2,12,1,2)</f>
        <v>1</v>
      </c>
      <c r="P5213" s="43"/>
    </row>
    <row r="5214" spans="1:16" ht="18" x14ac:dyDescent="0.35">
      <c r="A5214" s="9"/>
      <c r="C5214" s="393"/>
      <c r="E5214" s="394"/>
      <c r="F5214" s="394">
        <v>0.42899999999999999</v>
      </c>
      <c r="G5214" s="394"/>
      <c r="H5214" s="8" t="s">
        <v>235</v>
      </c>
      <c r="I5214" s="368">
        <f t="shared" si="244"/>
        <v>0</v>
      </c>
      <c r="J5214" s="365">
        <f t="shared" si="243"/>
        <v>0</v>
      </c>
      <c r="K5214" s="369">
        <f t="shared" si="245"/>
        <v>6</v>
      </c>
      <c r="L5214" s="369">
        <f>+IF((C5214&gt;='Resultats - informe'!$E$16)*(C5214&lt;='Resultats - informe'!$G$16),1,0)</f>
        <v>1</v>
      </c>
      <c r="M5214" s="369" cm="1">
        <f t="array" ref="M5214">+_xlfn.IFS((C5214&gt;='Resultats - informe'!$D$26)*(C5214&lt;='Resultats - informe'!$E$26),0,(C5214&gt;='Resultats - informe'!$D$27)*(C5214&lt;='Resultats - informe'!$E$27),0,(C5214&gt;='Resultats - informe'!$D$28)*(C5214&lt;='Resultats - informe'!$E$28),0,(C5214&gt;='Resultats - informe'!$D$29)*(C5214&lt;='Resultats - informe'!$E$29),0,1,1)</f>
        <v>0</v>
      </c>
      <c r="N5214" s="366">
        <f>+VLOOKUP(D5214,'Resultats - informe'!$Y$18:$AG$42,'Introducció dades consum'!K5214+1,0)</f>
        <v>0</v>
      </c>
      <c r="O5214" s="370" cm="1">
        <f t="array" ref="O5214">+_xlfn.SWITCH(MONTH(C5214),1,1,2,1,3,1,4,2,5,2,6,3,7,3,8,3,9,3,10,2,11,2,12,1,2)</f>
        <v>1</v>
      </c>
      <c r="P5214" s="43"/>
    </row>
    <row r="5215" spans="1:16" ht="18" x14ac:dyDescent="0.35">
      <c r="A5215" s="9"/>
      <c r="C5215" s="393"/>
      <c r="E5215" s="394"/>
      <c r="F5215" s="394">
        <v>0.42799999999999999</v>
      </c>
      <c r="G5215" s="394"/>
      <c r="H5215" s="8" t="s">
        <v>235</v>
      </c>
      <c r="I5215" s="368">
        <f t="shared" si="244"/>
        <v>0</v>
      </c>
      <c r="J5215" s="365">
        <f t="shared" si="243"/>
        <v>0</v>
      </c>
      <c r="K5215" s="369">
        <f t="shared" si="245"/>
        <v>6</v>
      </c>
      <c r="L5215" s="369">
        <f>+IF((C5215&gt;='Resultats - informe'!$E$16)*(C5215&lt;='Resultats - informe'!$G$16),1,0)</f>
        <v>1</v>
      </c>
      <c r="M5215" s="369" cm="1">
        <f t="array" ref="M5215">+_xlfn.IFS((C5215&gt;='Resultats - informe'!$D$26)*(C5215&lt;='Resultats - informe'!$E$26),0,(C5215&gt;='Resultats - informe'!$D$27)*(C5215&lt;='Resultats - informe'!$E$27),0,(C5215&gt;='Resultats - informe'!$D$28)*(C5215&lt;='Resultats - informe'!$E$28),0,(C5215&gt;='Resultats - informe'!$D$29)*(C5215&lt;='Resultats - informe'!$E$29),0,1,1)</f>
        <v>0</v>
      </c>
      <c r="N5215" s="366">
        <f>+VLOOKUP(D5215,'Resultats - informe'!$Y$18:$AG$42,'Introducció dades consum'!K5215+1,0)</f>
        <v>0</v>
      </c>
      <c r="O5215" s="370" cm="1">
        <f t="array" ref="O5215">+_xlfn.SWITCH(MONTH(C5215),1,1,2,1,3,1,4,2,5,2,6,3,7,3,8,3,9,3,10,2,11,2,12,1,2)</f>
        <v>1</v>
      </c>
      <c r="P5215" s="43"/>
    </row>
    <row r="5216" spans="1:16" ht="18" x14ac:dyDescent="0.35">
      <c r="A5216" s="9"/>
      <c r="C5216" s="393"/>
      <c r="E5216" s="394"/>
      <c r="F5216" s="394">
        <v>0.42499999999999999</v>
      </c>
      <c r="G5216" s="394"/>
      <c r="H5216" s="8" t="s">
        <v>235</v>
      </c>
      <c r="I5216" s="368">
        <f t="shared" si="244"/>
        <v>0</v>
      </c>
      <c r="J5216" s="365">
        <f t="shared" si="243"/>
        <v>0</v>
      </c>
      <c r="K5216" s="369">
        <f t="shared" si="245"/>
        <v>6</v>
      </c>
      <c r="L5216" s="369">
        <f>+IF((C5216&gt;='Resultats - informe'!$E$16)*(C5216&lt;='Resultats - informe'!$G$16),1,0)</f>
        <v>1</v>
      </c>
      <c r="M5216" s="369" cm="1">
        <f t="array" ref="M5216">+_xlfn.IFS((C5216&gt;='Resultats - informe'!$D$26)*(C5216&lt;='Resultats - informe'!$E$26),0,(C5216&gt;='Resultats - informe'!$D$27)*(C5216&lt;='Resultats - informe'!$E$27),0,(C5216&gt;='Resultats - informe'!$D$28)*(C5216&lt;='Resultats - informe'!$E$28),0,(C5216&gt;='Resultats - informe'!$D$29)*(C5216&lt;='Resultats - informe'!$E$29),0,1,1)</f>
        <v>0</v>
      </c>
      <c r="N5216" s="366">
        <f>+VLOOKUP(D5216,'Resultats - informe'!$Y$18:$AG$42,'Introducció dades consum'!K5216+1,0)</f>
        <v>0</v>
      </c>
      <c r="O5216" s="370" cm="1">
        <f t="array" ref="O5216">+_xlfn.SWITCH(MONTH(C5216),1,1,2,1,3,1,4,2,5,2,6,3,7,3,8,3,9,3,10,2,11,2,12,1,2)</f>
        <v>1</v>
      </c>
      <c r="P5216" s="43"/>
    </row>
    <row r="5217" spans="1:16" ht="18" x14ac:dyDescent="0.35">
      <c r="A5217" s="9"/>
      <c r="C5217" s="393"/>
      <c r="E5217" s="394"/>
      <c r="F5217" s="394">
        <v>0.43</v>
      </c>
      <c r="G5217" s="394"/>
      <c r="H5217" s="8" t="s">
        <v>235</v>
      </c>
      <c r="I5217" s="368">
        <f t="shared" si="244"/>
        <v>0</v>
      </c>
      <c r="J5217" s="365">
        <f t="shared" si="243"/>
        <v>0</v>
      </c>
      <c r="K5217" s="369">
        <f t="shared" si="245"/>
        <v>6</v>
      </c>
      <c r="L5217" s="369">
        <f>+IF((C5217&gt;='Resultats - informe'!$E$16)*(C5217&lt;='Resultats - informe'!$G$16),1,0)</f>
        <v>1</v>
      </c>
      <c r="M5217" s="369" cm="1">
        <f t="array" ref="M5217">+_xlfn.IFS((C5217&gt;='Resultats - informe'!$D$26)*(C5217&lt;='Resultats - informe'!$E$26),0,(C5217&gt;='Resultats - informe'!$D$27)*(C5217&lt;='Resultats - informe'!$E$27),0,(C5217&gt;='Resultats - informe'!$D$28)*(C5217&lt;='Resultats - informe'!$E$28),0,(C5217&gt;='Resultats - informe'!$D$29)*(C5217&lt;='Resultats - informe'!$E$29),0,1,1)</f>
        <v>0</v>
      </c>
      <c r="N5217" s="366">
        <f>+VLOOKUP(D5217,'Resultats - informe'!$Y$18:$AG$42,'Introducció dades consum'!K5217+1,0)</f>
        <v>0</v>
      </c>
      <c r="O5217" s="370" cm="1">
        <f t="array" ref="O5217">+_xlfn.SWITCH(MONTH(C5217),1,1,2,1,3,1,4,2,5,2,6,3,7,3,8,3,9,3,10,2,11,2,12,1,2)</f>
        <v>1</v>
      </c>
      <c r="P5217" s="43"/>
    </row>
    <row r="5218" spans="1:16" ht="18" x14ac:dyDescent="0.35">
      <c r="A5218" s="9"/>
      <c r="C5218" s="393"/>
      <c r="E5218" s="394"/>
      <c r="F5218" s="394">
        <v>0.432</v>
      </c>
      <c r="G5218" s="394"/>
      <c r="H5218" s="8" t="s">
        <v>235</v>
      </c>
      <c r="I5218" s="368">
        <f t="shared" si="244"/>
        <v>0</v>
      </c>
      <c r="J5218" s="365">
        <f t="shared" si="243"/>
        <v>0</v>
      </c>
      <c r="K5218" s="369">
        <f t="shared" si="245"/>
        <v>6</v>
      </c>
      <c r="L5218" s="369">
        <f>+IF((C5218&gt;='Resultats - informe'!$E$16)*(C5218&lt;='Resultats - informe'!$G$16),1,0)</f>
        <v>1</v>
      </c>
      <c r="M5218" s="369" cm="1">
        <f t="array" ref="M5218">+_xlfn.IFS((C5218&gt;='Resultats - informe'!$D$26)*(C5218&lt;='Resultats - informe'!$E$26),0,(C5218&gt;='Resultats - informe'!$D$27)*(C5218&lt;='Resultats - informe'!$E$27),0,(C5218&gt;='Resultats - informe'!$D$28)*(C5218&lt;='Resultats - informe'!$E$28),0,(C5218&gt;='Resultats - informe'!$D$29)*(C5218&lt;='Resultats - informe'!$E$29),0,1,1)</f>
        <v>0</v>
      </c>
      <c r="N5218" s="366">
        <f>+VLOOKUP(D5218,'Resultats - informe'!$Y$18:$AG$42,'Introducció dades consum'!K5218+1,0)</f>
        <v>0</v>
      </c>
      <c r="O5218" s="370" cm="1">
        <f t="array" ref="O5218">+_xlfn.SWITCH(MONTH(C5218),1,1,2,1,3,1,4,2,5,2,6,3,7,3,8,3,9,3,10,2,11,2,12,1,2)</f>
        <v>1</v>
      </c>
      <c r="P5218" s="43"/>
    </row>
    <row r="5219" spans="1:16" ht="18" x14ac:dyDescent="0.35">
      <c r="A5219" s="9"/>
      <c r="C5219" s="393"/>
      <c r="E5219" s="394"/>
      <c r="F5219" s="394">
        <v>0.42</v>
      </c>
      <c r="G5219" s="394"/>
      <c r="H5219" s="8" t="s">
        <v>235</v>
      </c>
      <c r="I5219" s="368">
        <f t="shared" si="244"/>
        <v>0</v>
      </c>
      <c r="J5219" s="365">
        <f t="shared" si="243"/>
        <v>0</v>
      </c>
      <c r="K5219" s="369">
        <f t="shared" si="245"/>
        <v>6</v>
      </c>
      <c r="L5219" s="369">
        <f>+IF((C5219&gt;='Resultats - informe'!$E$16)*(C5219&lt;='Resultats - informe'!$G$16),1,0)</f>
        <v>1</v>
      </c>
      <c r="M5219" s="369" cm="1">
        <f t="array" ref="M5219">+_xlfn.IFS((C5219&gt;='Resultats - informe'!$D$26)*(C5219&lt;='Resultats - informe'!$E$26),0,(C5219&gt;='Resultats - informe'!$D$27)*(C5219&lt;='Resultats - informe'!$E$27),0,(C5219&gt;='Resultats - informe'!$D$28)*(C5219&lt;='Resultats - informe'!$E$28),0,(C5219&gt;='Resultats - informe'!$D$29)*(C5219&lt;='Resultats - informe'!$E$29),0,1,1)</f>
        <v>0</v>
      </c>
      <c r="N5219" s="366">
        <f>+VLOOKUP(D5219,'Resultats - informe'!$Y$18:$AG$42,'Introducció dades consum'!K5219+1,0)</f>
        <v>0</v>
      </c>
      <c r="O5219" s="370" cm="1">
        <f t="array" ref="O5219">+_xlfn.SWITCH(MONTH(C5219),1,1,2,1,3,1,4,2,5,2,6,3,7,3,8,3,9,3,10,2,11,2,12,1,2)</f>
        <v>1</v>
      </c>
      <c r="P5219" s="43"/>
    </row>
    <row r="5220" spans="1:16" ht="18" x14ac:dyDescent="0.35">
      <c r="A5220" s="9"/>
      <c r="C5220" s="393"/>
      <c r="E5220" s="394"/>
      <c r="F5220" s="394">
        <v>1.3</v>
      </c>
      <c r="G5220" s="394"/>
      <c r="H5220" s="8" t="s">
        <v>235</v>
      </c>
      <c r="I5220" s="368">
        <f t="shared" si="244"/>
        <v>0</v>
      </c>
      <c r="J5220" s="365">
        <f t="shared" si="243"/>
        <v>0</v>
      </c>
      <c r="K5220" s="369">
        <f t="shared" si="245"/>
        <v>6</v>
      </c>
      <c r="L5220" s="369">
        <f>+IF((C5220&gt;='Resultats - informe'!$E$16)*(C5220&lt;='Resultats - informe'!$G$16),1,0)</f>
        <v>1</v>
      </c>
      <c r="M5220" s="369" cm="1">
        <f t="array" ref="M5220">+_xlfn.IFS((C5220&gt;='Resultats - informe'!$D$26)*(C5220&lt;='Resultats - informe'!$E$26),0,(C5220&gt;='Resultats - informe'!$D$27)*(C5220&lt;='Resultats - informe'!$E$27),0,(C5220&gt;='Resultats - informe'!$D$28)*(C5220&lt;='Resultats - informe'!$E$28),0,(C5220&gt;='Resultats - informe'!$D$29)*(C5220&lt;='Resultats - informe'!$E$29),0,1,1)</f>
        <v>0</v>
      </c>
      <c r="N5220" s="366">
        <f>+VLOOKUP(D5220,'Resultats - informe'!$Y$18:$AG$42,'Introducció dades consum'!K5220+1,0)</f>
        <v>0</v>
      </c>
      <c r="O5220" s="370" cm="1">
        <f t="array" ref="O5220">+_xlfn.SWITCH(MONTH(C5220),1,1,2,1,3,1,4,2,5,2,6,3,7,3,8,3,9,3,10,2,11,2,12,1,2)</f>
        <v>1</v>
      </c>
      <c r="P5220" s="43"/>
    </row>
    <row r="5221" spans="1:16" ht="18" x14ac:dyDescent="0.35">
      <c r="A5221" s="9"/>
      <c r="C5221" s="393"/>
      <c r="E5221" s="394"/>
      <c r="F5221" s="394">
        <v>1.325</v>
      </c>
      <c r="G5221" s="394"/>
      <c r="H5221" s="8" t="s">
        <v>235</v>
      </c>
      <c r="I5221" s="368">
        <f t="shared" si="244"/>
        <v>0</v>
      </c>
      <c r="J5221" s="365">
        <f t="shared" si="243"/>
        <v>0</v>
      </c>
      <c r="K5221" s="369">
        <f t="shared" si="245"/>
        <v>6</v>
      </c>
      <c r="L5221" s="369">
        <f>+IF((C5221&gt;='Resultats - informe'!$E$16)*(C5221&lt;='Resultats - informe'!$G$16),1,0)</f>
        <v>1</v>
      </c>
      <c r="M5221" s="369" cm="1">
        <f t="array" ref="M5221">+_xlfn.IFS((C5221&gt;='Resultats - informe'!$D$26)*(C5221&lt;='Resultats - informe'!$E$26),0,(C5221&gt;='Resultats - informe'!$D$27)*(C5221&lt;='Resultats - informe'!$E$27),0,(C5221&gt;='Resultats - informe'!$D$28)*(C5221&lt;='Resultats - informe'!$E$28),0,(C5221&gt;='Resultats - informe'!$D$29)*(C5221&lt;='Resultats - informe'!$E$29),0,1,1)</f>
        <v>0</v>
      </c>
      <c r="N5221" s="366">
        <f>+VLOOKUP(D5221,'Resultats - informe'!$Y$18:$AG$42,'Introducció dades consum'!K5221+1,0)</f>
        <v>0</v>
      </c>
      <c r="O5221" s="370" cm="1">
        <f t="array" ref="O5221">+_xlfn.SWITCH(MONTH(C5221),1,1,2,1,3,1,4,2,5,2,6,3,7,3,8,3,9,3,10,2,11,2,12,1,2)</f>
        <v>1</v>
      </c>
      <c r="P5221" s="43"/>
    </row>
    <row r="5222" spans="1:16" ht="18" x14ac:dyDescent="0.35">
      <c r="A5222" s="9"/>
      <c r="C5222" s="393"/>
      <c r="E5222" s="394"/>
      <c r="F5222" s="394">
        <v>1.982</v>
      </c>
      <c r="G5222" s="394"/>
      <c r="H5222" s="8" t="s">
        <v>235</v>
      </c>
      <c r="I5222" s="368">
        <f t="shared" si="244"/>
        <v>0</v>
      </c>
      <c r="J5222" s="365">
        <f t="shared" si="243"/>
        <v>0</v>
      </c>
      <c r="K5222" s="369">
        <f t="shared" si="245"/>
        <v>6</v>
      </c>
      <c r="L5222" s="369">
        <f>+IF((C5222&gt;='Resultats - informe'!$E$16)*(C5222&lt;='Resultats - informe'!$G$16),1,0)</f>
        <v>1</v>
      </c>
      <c r="M5222" s="369" cm="1">
        <f t="array" ref="M5222">+_xlfn.IFS((C5222&gt;='Resultats - informe'!$D$26)*(C5222&lt;='Resultats - informe'!$E$26),0,(C5222&gt;='Resultats - informe'!$D$27)*(C5222&lt;='Resultats - informe'!$E$27),0,(C5222&gt;='Resultats - informe'!$D$28)*(C5222&lt;='Resultats - informe'!$E$28),0,(C5222&gt;='Resultats - informe'!$D$29)*(C5222&lt;='Resultats - informe'!$E$29),0,1,1)</f>
        <v>0</v>
      </c>
      <c r="N5222" s="366">
        <f>+VLOOKUP(D5222,'Resultats - informe'!$Y$18:$AG$42,'Introducció dades consum'!K5222+1,0)</f>
        <v>0</v>
      </c>
      <c r="O5222" s="370" cm="1">
        <f t="array" ref="O5222">+_xlfn.SWITCH(MONTH(C5222),1,1,2,1,3,1,4,2,5,2,6,3,7,3,8,3,9,3,10,2,11,2,12,1,2)</f>
        <v>1</v>
      </c>
      <c r="P5222" s="43"/>
    </row>
    <row r="5223" spans="1:16" ht="18" x14ac:dyDescent="0.35">
      <c r="A5223" s="9"/>
      <c r="C5223" s="393"/>
      <c r="E5223" s="394"/>
      <c r="F5223" s="394">
        <v>1.9370000000000001</v>
      </c>
      <c r="G5223" s="394"/>
      <c r="H5223" s="8" t="s">
        <v>235</v>
      </c>
      <c r="I5223" s="368">
        <f t="shared" si="244"/>
        <v>0</v>
      </c>
      <c r="J5223" s="365">
        <f t="shared" si="243"/>
        <v>0</v>
      </c>
      <c r="K5223" s="369">
        <f t="shared" si="245"/>
        <v>6</v>
      </c>
      <c r="L5223" s="369">
        <f>+IF((C5223&gt;='Resultats - informe'!$E$16)*(C5223&lt;='Resultats - informe'!$G$16),1,0)</f>
        <v>1</v>
      </c>
      <c r="M5223" s="369" cm="1">
        <f t="array" ref="M5223">+_xlfn.IFS((C5223&gt;='Resultats - informe'!$D$26)*(C5223&lt;='Resultats - informe'!$E$26),0,(C5223&gt;='Resultats - informe'!$D$27)*(C5223&lt;='Resultats - informe'!$E$27),0,(C5223&gt;='Resultats - informe'!$D$28)*(C5223&lt;='Resultats - informe'!$E$28),0,(C5223&gt;='Resultats - informe'!$D$29)*(C5223&lt;='Resultats - informe'!$E$29),0,1,1)</f>
        <v>0</v>
      </c>
      <c r="N5223" s="366">
        <f>+VLOOKUP(D5223,'Resultats - informe'!$Y$18:$AG$42,'Introducció dades consum'!K5223+1,0)</f>
        <v>0</v>
      </c>
      <c r="O5223" s="370" cm="1">
        <f t="array" ref="O5223">+_xlfn.SWITCH(MONTH(C5223),1,1,2,1,3,1,4,2,5,2,6,3,7,3,8,3,9,3,10,2,11,2,12,1,2)</f>
        <v>1</v>
      </c>
      <c r="P5223" s="43"/>
    </row>
    <row r="5224" spans="1:16" ht="18" x14ac:dyDescent="0.35">
      <c r="A5224" s="9"/>
      <c r="C5224" s="393"/>
      <c r="E5224" s="394"/>
      <c r="F5224" s="394">
        <v>1.8169999999999999</v>
      </c>
      <c r="G5224" s="394"/>
      <c r="H5224" s="8" t="s">
        <v>235</v>
      </c>
      <c r="I5224" s="368">
        <f t="shared" si="244"/>
        <v>0</v>
      </c>
      <c r="J5224" s="365">
        <f t="shared" si="243"/>
        <v>0</v>
      </c>
      <c r="K5224" s="369">
        <f t="shared" si="245"/>
        <v>6</v>
      </c>
      <c r="L5224" s="369">
        <f>+IF((C5224&gt;='Resultats - informe'!$E$16)*(C5224&lt;='Resultats - informe'!$G$16),1,0)</f>
        <v>1</v>
      </c>
      <c r="M5224" s="369" cm="1">
        <f t="array" ref="M5224">+_xlfn.IFS((C5224&gt;='Resultats - informe'!$D$26)*(C5224&lt;='Resultats - informe'!$E$26),0,(C5224&gt;='Resultats - informe'!$D$27)*(C5224&lt;='Resultats - informe'!$E$27),0,(C5224&gt;='Resultats - informe'!$D$28)*(C5224&lt;='Resultats - informe'!$E$28),0,(C5224&gt;='Resultats - informe'!$D$29)*(C5224&lt;='Resultats - informe'!$E$29),0,1,1)</f>
        <v>0</v>
      </c>
      <c r="N5224" s="366">
        <f>+VLOOKUP(D5224,'Resultats - informe'!$Y$18:$AG$42,'Introducció dades consum'!K5224+1,0)</f>
        <v>0</v>
      </c>
      <c r="O5224" s="370" cm="1">
        <f t="array" ref="O5224">+_xlfn.SWITCH(MONTH(C5224),1,1,2,1,3,1,4,2,5,2,6,3,7,3,8,3,9,3,10,2,11,2,12,1,2)</f>
        <v>1</v>
      </c>
      <c r="P5224" s="43"/>
    </row>
    <row r="5225" spans="1:16" ht="18" x14ac:dyDescent="0.35">
      <c r="A5225" s="9"/>
      <c r="C5225" s="393"/>
      <c r="E5225" s="394"/>
      <c r="F5225" s="394">
        <v>1.958</v>
      </c>
      <c r="G5225" s="394"/>
      <c r="H5225" s="8" t="s">
        <v>235</v>
      </c>
      <c r="I5225" s="368">
        <f t="shared" si="244"/>
        <v>0</v>
      </c>
      <c r="J5225" s="365">
        <f t="shared" si="243"/>
        <v>0</v>
      </c>
      <c r="K5225" s="369">
        <f t="shared" si="245"/>
        <v>6</v>
      </c>
      <c r="L5225" s="369">
        <f>+IF((C5225&gt;='Resultats - informe'!$E$16)*(C5225&lt;='Resultats - informe'!$G$16),1,0)</f>
        <v>1</v>
      </c>
      <c r="M5225" s="369" cm="1">
        <f t="array" ref="M5225">+_xlfn.IFS((C5225&gt;='Resultats - informe'!$D$26)*(C5225&lt;='Resultats - informe'!$E$26),0,(C5225&gt;='Resultats - informe'!$D$27)*(C5225&lt;='Resultats - informe'!$E$27),0,(C5225&gt;='Resultats - informe'!$D$28)*(C5225&lt;='Resultats - informe'!$E$28),0,(C5225&gt;='Resultats - informe'!$D$29)*(C5225&lt;='Resultats - informe'!$E$29),0,1,1)</f>
        <v>0</v>
      </c>
      <c r="N5225" s="366">
        <f>+VLOOKUP(D5225,'Resultats - informe'!$Y$18:$AG$42,'Introducció dades consum'!K5225+1,0)</f>
        <v>0</v>
      </c>
      <c r="O5225" s="370" cm="1">
        <f t="array" ref="O5225">+_xlfn.SWITCH(MONTH(C5225),1,1,2,1,3,1,4,2,5,2,6,3,7,3,8,3,9,3,10,2,11,2,12,1,2)</f>
        <v>1</v>
      </c>
      <c r="P5225" s="43"/>
    </row>
    <row r="5226" spans="1:16" ht="18" x14ac:dyDescent="0.35">
      <c r="A5226" s="9"/>
      <c r="C5226" s="393"/>
      <c r="E5226" s="394"/>
      <c r="F5226" s="394">
        <v>0.85099999999999998</v>
      </c>
      <c r="G5226" s="394"/>
      <c r="H5226" s="8" t="s">
        <v>235</v>
      </c>
      <c r="I5226" s="368">
        <f t="shared" si="244"/>
        <v>0</v>
      </c>
      <c r="J5226" s="365">
        <f t="shared" si="243"/>
        <v>0</v>
      </c>
      <c r="K5226" s="369">
        <f t="shared" si="245"/>
        <v>6</v>
      </c>
      <c r="L5226" s="369">
        <f>+IF((C5226&gt;='Resultats - informe'!$E$16)*(C5226&lt;='Resultats - informe'!$G$16),1,0)</f>
        <v>1</v>
      </c>
      <c r="M5226" s="369" cm="1">
        <f t="array" ref="M5226">+_xlfn.IFS((C5226&gt;='Resultats - informe'!$D$26)*(C5226&lt;='Resultats - informe'!$E$26),0,(C5226&gt;='Resultats - informe'!$D$27)*(C5226&lt;='Resultats - informe'!$E$27),0,(C5226&gt;='Resultats - informe'!$D$28)*(C5226&lt;='Resultats - informe'!$E$28),0,(C5226&gt;='Resultats - informe'!$D$29)*(C5226&lt;='Resultats - informe'!$E$29),0,1,1)</f>
        <v>0</v>
      </c>
      <c r="N5226" s="366">
        <f>+VLOOKUP(D5226,'Resultats - informe'!$Y$18:$AG$42,'Introducció dades consum'!K5226+1,0)</f>
        <v>0</v>
      </c>
      <c r="O5226" s="370" cm="1">
        <f t="array" ref="O5226">+_xlfn.SWITCH(MONTH(C5226),1,1,2,1,3,1,4,2,5,2,6,3,7,3,8,3,9,3,10,2,11,2,12,1,2)</f>
        <v>1</v>
      </c>
      <c r="P5226" s="43"/>
    </row>
    <row r="5227" spans="1:16" ht="18" x14ac:dyDescent="0.35">
      <c r="A5227" s="9"/>
      <c r="C5227" s="393"/>
      <c r="E5227" s="394"/>
      <c r="F5227" s="394">
        <v>1.79</v>
      </c>
      <c r="G5227" s="394"/>
      <c r="H5227" s="8" t="s">
        <v>235</v>
      </c>
      <c r="I5227" s="368">
        <f t="shared" si="244"/>
        <v>0</v>
      </c>
      <c r="J5227" s="365">
        <f t="shared" si="243"/>
        <v>0</v>
      </c>
      <c r="K5227" s="369">
        <f t="shared" si="245"/>
        <v>6</v>
      </c>
      <c r="L5227" s="369">
        <f>+IF((C5227&gt;='Resultats - informe'!$E$16)*(C5227&lt;='Resultats - informe'!$G$16),1,0)</f>
        <v>1</v>
      </c>
      <c r="M5227" s="369" cm="1">
        <f t="array" ref="M5227">+_xlfn.IFS((C5227&gt;='Resultats - informe'!$D$26)*(C5227&lt;='Resultats - informe'!$E$26),0,(C5227&gt;='Resultats - informe'!$D$27)*(C5227&lt;='Resultats - informe'!$E$27),0,(C5227&gt;='Resultats - informe'!$D$28)*(C5227&lt;='Resultats - informe'!$E$28),0,(C5227&gt;='Resultats - informe'!$D$29)*(C5227&lt;='Resultats - informe'!$E$29),0,1,1)</f>
        <v>0</v>
      </c>
      <c r="N5227" s="366">
        <f>+VLOOKUP(D5227,'Resultats - informe'!$Y$18:$AG$42,'Introducció dades consum'!K5227+1,0)</f>
        <v>0</v>
      </c>
      <c r="O5227" s="370" cm="1">
        <f t="array" ref="O5227">+_xlfn.SWITCH(MONTH(C5227),1,1,2,1,3,1,4,2,5,2,6,3,7,3,8,3,9,3,10,2,11,2,12,1,2)</f>
        <v>1</v>
      </c>
      <c r="P5227" s="43"/>
    </row>
    <row r="5228" spans="1:16" ht="18" x14ac:dyDescent="0.35">
      <c r="A5228" s="9"/>
      <c r="C5228" s="393"/>
      <c r="E5228" s="394"/>
      <c r="F5228" s="394">
        <v>1.8129999999999999</v>
      </c>
      <c r="G5228" s="394"/>
      <c r="H5228" s="8" t="s">
        <v>235</v>
      </c>
      <c r="I5228" s="368">
        <f t="shared" si="244"/>
        <v>0</v>
      </c>
      <c r="J5228" s="365">
        <f t="shared" si="243"/>
        <v>0</v>
      </c>
      <c r="K5228" s="369">
        <f t="shared" si="245"/>
        <v>6</v>
      </c>
      <c r="L5228" s="369">
        <f>+IF((C5228&gt;='Resultats - informe'!$E$16)*(C5228&lt;='Resultats - informe'!$G$16),1,0)</f>
        <v>1</v>
      </c>
      <c r="M5228" s="369" cm="1">
        <f t="array" ref="M5228">+_xlfn.IFS((C5228&gt;='Resultats - informe'!$D$26)*(C5228&lt;='Resultats - informe'!$E$26),0,(C5228&gt;='Resultats - informe'!$D$27)*(C5228&lt;='Resultats - informe'!$E$27),0,(C5228&gt;='Resultats - informe'!$D$28)*(C5228&lt;='Resultats - informe'!$E$28),0,(C5228&gt;='Resultats - informe'!$D$29)*(C5228&lt;='Resultats - informe'!$E$29),0,1,1)</f>
        <v>0</v>
      </c>
      <c r="N5228" s="366">
        <f>+VLOOKUP(D5228,'Resultats - informe'!$Y$18:$AG$42,'Introducció dades consum'!K5228+1,0)</f>
        <v>0</v>
      </c>
      <c r="O5228" s="370" cm="1">
        <f t="array" ref="O5228">+_xlfn.SWITCH(MONTH(C5228),1,1,2,1,3,1,4,2,5,2,6,3,7,3,8,3,9,3,10,2,11,2,12,1,2)</f>
        <v>1</v>
      </c>
      <c r="P5228" s="43"/>
    </row>
    <row r="5229" spans="1:16" ht="18" x14ac:dyDescent="0.35">
      <c r="A5229" s="9"/>
      <c r="C5229" s="393"/>
      <c r="E5229" s="394"/>
      <c r="F5229" s="394">
        <v>1.5369999999999999</v>
      </c>
      <c r="G5229" s="394"/>
      <c r="H5229" s="8" t="s">
        <v>235</v>
      </c>
      <c r="I5229" s="368">
        <f t="shared" si="244"/>
        <v>0</v>
      </c>
      <c r="J5229" s="365">
        <f t="shared" si="243"/>
        <v>0</v>
      </c>
      <c r="K5229" s="369">
        <f t="shared" si="245"/>
        <v>6</v>
      </c>
      <c r="L5229" s="369">
        <f>+IF((C5229&gt;='Resultats - informe'!$E$16)*(C5229&lt;='Resultats - informe'!$G$16),1,0)</f>
        <v>1</v>
      </c>
      <c r="M5229" s="369" cm="1">
        <f t="array" ref="M5229">+_xlfn.IFS((C5229&gt;='Resultats - informe'!$D$26)*(C5229&lt;='Resultats - informe'!$E$26),0,(C5229&gt;='Resultats - informe'!$D$27)*(C5229&lt;='Resultats - informe'!$E$27),0,(C5229&gt;='Resultats - informe'!$D$28)*(C5229&lt;='Resultats - informe'!$E$28),0,(C5229&gt;='Resultats - informe'!$D$29)*(C5229&lt;='Resultats - informe'!$E$29),0,1,1)</f>
        <v>0</v>
      </c>
      <c r="N5229" s="366">
        <f>+VLOOKUP(D5229,'Resultats - informe'!$Y$18:$AG$42,'Introducció dades consum'!K5229+1,0)</f>
        <v>0</v>
      </c>
      <c r="O5229" s="370" cm="1">
        <f t="array" ref="O5229">+_xlfn.SWITCH(MONTH(C5229),1,1,2,1,3,1,4,2,5,2,6,3,7,3,8,3,9,3,10,2,11,2,12,1,2)</f>
        <v>1</v>
      </c>
      <c r="P5229" s="43"/>
    </row>
    <row r="5230" spans="1:16" ht="18" x14ac:dyDescent="0.35">
      <c r="A5230" s="9"/>
      <c r="C5230" s="393"/>
      <c r="E5230" s="394"/>
      <c r="F5230" s="394">
        <v>2.5569999999999999</v>
      </c>
      <c r="G5230" s="394"/>
      <c r="H5230" s="8" t="s">
        <v>235</v>
      </c>
      <c r="I5230" s="368">
        <f t="shared" si="244"/>
        <v>0</v>
      </c>
      <c r="J5230" s="365">
        <f t="shared" si="243"/>
        <v>0</v>
      </c>
      <c r="K5230" s="369">
        <f t="shared" si="245"/>
        <v>6</v>
      </c>
      <c r="L5230" s="369">
        <f>+IF((C5230&gt;='Resultats - informe'!$E$16)*(C5230&lt;='Resultats - informe'!$G$16),1,0)</f>
        <v>1</v>
      </c>
      <c r="M5230" s="369" cm="1">
        <f t="array" ref="M5230">+_xlfn.IFS((C5230&gt;='Resultats - informe'!$D$26)*(C5230&lt;='Resultats - informe'!$E$26),0,(C5230&gt;='Resultats - informe'!$D$27)*(C5230&lt;='Resultats - informe'!$E$27),0,(C5230&gt;='Resultats - informe'!$D$28)*(C5230&lt;='Resultats - informe'!$E$28),0,(C5230&gt;='Resultats - informe'!$D$29)*(C5230&lt;='Resultats - informe'!$E$29),0,1,1)</f>
        <v>0</v>
      </c>
      <c r="N5230" s="366">
        <f>+VLOOKUP(D5230,'Resultats - informe'!$Y$18:$AG$42,'Introducció dades consum'!K5230+1,0)</f>
        <v>0</v>
      </c>
      <c r="O5230" s="370" cm="1">
        <f t="array" ref="O5230">+_xlfn.SWITCH(MONTH(C5230),1,1,2,1,3,1,4,2,5,2,6,3,7,3,8,3,9,3,10,2,11,2,12,1,2)</f>
        <v>1</v>
      </c>
      <c r="P5230" s="43"/>
    </row>
    <row r="5231" spans="1:16" ht="18" x14ac:dyDescent="0.35">
      <c r="A5231" s="9"/>
      <c r="C5231" s="393"/>
      <c r="E5231" s="394"/>
      <c r="F5231" s="394">
        <v>2.5579999999999998</v>
      </c>
      <c r="G5231" s="394"/>
      <c r="H5231" s="8" t="s">
        <v>235</v>
      </c>
      <c r="I5231" s="368">
        <f t="shared" si="244"/>
        <v>0</v>
      </c>
      <c r="J5231" s="365">
        <f t="shared" si="243"/>
        <v>0</v>
      </c>
      <c r="K5231" s="369">
        <f t="shared" si="245"/>
        <v>6</v>
      </c>
      <c r="L5231" s="369">
        <f>+IF((C5231&gt;='Resultats - informe'!$E$16)*(C5231&lt;='Resultats - informe'!$G$16),1,0)</f>
        <v>1</v>
      </c>
      <c r="M5231" s="369" cm="1">
        <f t="array" ref="M5231">+_xlfn.IFS((C5231&gt;='Resultats - informe'!$D$26)*(C5231&lt;='Resultats - informe'!$E$26),0,(C5231&gt;='Resultats - informe'!$D$27)*(C5231&lt;='Resultats - informe'!$E$27),0,(C5231&gt;='Resultats - informe'!$D$28)*(C5231&lt;='Resultats - informe'!$E$28),0,(C5231&gt;='Resultats - informe'!$D$29)*(C5231&lt;='Resultats - informe'!$E$29),0,1,1)</f>
        <v>0</v>
      </c>
      <c r="N5231" s="366">
        <f>+VLOOKUP(D5231,'Resultats - informe'!$Y$18:$AG$42,'Introducció dades consum'!K5231+1,0)</f>
        <v>0</v>
      </c>
      <c r="O5231" s="370" cm="1">
        <f t="array" ref="O5231">+_xlfn.SWITCH(MONTH(C5231),1,1,2,1,3,1,4,2,5,2,6,3,7,3,8,3,9,3,10,2,11,2,12,1,2)</f>
        <v>1</v>
      </c>
      <c r="P5231" s="43"/>
    </row>
    <row r="5232" spans="1:16" ht="18" x14ac:dyDescent="0.35">
      <c r="A5232" s="9"/>
      <c r="C5232" s="393"/>
      <c r="E5232" s="394"/>
      <c r="F5232" s="394">
        <v>2.5579999999999998</v>
      </c>
      <c r="G5232" s="394"/>
      <c r="H5232" s="8" t="s">
        <v>235</v>
      </c>
      <c r="I5232" s="368">
        <f t="shared" si="244"/>
        <v>0</v>
      </c>
      <c r="J5232" s="365">
        <f t="shared" si="243"/>
        <v>0</v>
      </c>
      <c r="K5232" s="369">
        <f t="shared" si="245"/>
        <v>6</v>
      </c>
      <c r="L5232" s="369">
        <f>+IF((C5232&gt;='Resultats - informe'!$E$16)*(C5232&lt;='Resultats - informe'!$G$16),1,0)</f>
        <v>1</v>
      </c>
      <c r="M5232" s="369" cm="1">
        <f t="array" ref="M5232">+_xlfn.IFS((C5232&gt;='Resultats - informe'!$D$26)*(C5232&lt;='Resultats - informe'!$E$26),0,(C5232&gt;='Resultats - informe'!$D$27)*(C5232&lt;='Resultats - informe'!$E$27),0,(C5232&gt;='Resultats - informe'!$D$28)*(C5232&lt;='Resultats - informe'!$E$28),0,(C5232&gt;='Resultats - informe'!$D$29)*(C5232&lt;='Resultats - informe'!$E$29),0,1,1)</f>
        <v>0</v>
      </c>
      <c r="N5232" s="366">
        <f>+VLOOKUP(D5232,'Resultats - informe'!$Y$18:$AG$42,'Introducció dades consum'!K5232+1,0)</f>
        <v>0</v>
      </c>
      <c r="O5232" s="370" cm="1">
        <f t="array" ref="O5232">+_xlfn.SWITCH(MONTH(C5232),1,1,2,1,3,1,4,2,5,2,6,3,7,3,8,3,9,3,10,2,11,2,12,1,2)</f>
        <v>1</v>
      </c>
      <c r="P5232" s="43"/>
    </row>
    <row r="5233" spans="1:16" ht="18" x14ac:dyDescent="0.35">
      <c r="A5233" s="9"/>
      <c r="C5233" s="393"/>
      <c r="E5233" s="394"/>
      <c r="F5233" s="394">
        <v>2.242</v>
      </c>
      <c r="G5233" s="394"/>
      <c r="H5233" s="8" t="s">
        <v>235</v>
      </c>
      <c r="I5233" s="368">
        <f t="shared" si="244"/>
        <v>0</v>
      </c>
      <c r="J5233" s="365">
        <f t="shared" si="243"/>
        <v>0</v>
      </c>
      <c r="K5233" s="369">
        <f t="shared" si="245"/>
        <v>6</v>
      </c>
      <c r="L5233" s="369">
        <f>+IF((C5233&gt;='Resultats - informe'!$E$16)*(C5233&lt;='Resultats - informe'!$G$16),1,0)</f>
        <v>1</v>
      </c>
      <c r="M5233" s="369" cm="1">
        <f t="array" ref="M5233">+_xlfn.IFS((C5233&gt;='Resultats - informe'!$D$26)*(C5233&lt;='Resultats - informe'!$E$26),0,(C5233&gt;='Resultats - informe'!$D$27)*(C5233&lt;='Resultats - informe'!$E$27),0,(C5233&gt;='Resultats - informe'!$D$28)*(C5233&lt;='Resultats - informe'!$E$28),0,(C5233&gt;='Resultats - informe'!$D$29)*(C5233&lt;='Resultats - informe'!$E$29),0,1,1)</f>
        <v>0</v>
      </c>
      <c r="N5233" s="366">
        <f>+VLOOKUP(D5233,'Resultats - informe'!$Y$18:$AG$42,'Introducció dades consum'!K5233+1,0)</f>
        <v>0</v>
      </c>
      <c r="O5233" s="370" cm="1">
        <f t="array" ref="O5233">+_xlfn.SWITCH(MONTH(C5233),1,1,2,1,3,1,4,2,5,2,6,3,7,3,8,3,9,3,10,2,11,2,12,1,2)</f>
        <v>1</v>
      </c>
      <c r="P5233" s="43"/>
    </row>
    <row r="5234" spans="1:16" ht="18" x14ac:dyDescent="0.35">
      <c r="A5234" s="9"/>
      <c r="C5234" s="393"/>
      <c r="E5234" s="394"/>
      <c r="F5234" s="394">
        <v>1.343</v>
      </c>
      <c r="G5234" s="394"/>
      <c r="H5234" s="8" t="s">
        <v>235</v>
      </c>
      <c r="I5234" s="368">
        <f t="shared" si="244"/>
        <v>0</v>
      </c>
      <c r="J5234" s="365">
        <f t="shared" si="243"/>
        <v>0</v>
      </c>
      <c r="K5234" s="369">
        <f t="shared" si="245"/>
        <v>6</v>
      </c>
      <c r="L5234" s="369">
        <f>+IF((C5234&gt;='Resultats - informe'!$E$16)*(C5234&lt;='Resultats - informe'!$G$16),1,0)</f>
        <v>1</v>
      </c>
      <c r="M5234" s="369" cm="1">
        <f t="array" ref="M5234">+_xlfn.IFS((C5234&gt;='Resultats - informe'!$D$26)*(C5234&lt;='Resultats - informe'!$E$26),0,(C5234&gt;='Resultats - informe'!$D$27)*(C5234&lt;='Resultats - informe'!$E$27),0,(C5234&gt;='Resultats - informe'!$D$28)*(C5234&lt;='Resultats - informe'!$E$28),0,(C5234&gt;='Resultats - informe'!$D$29)*(C5234&lt;='Resultats - informe'!$E$29),0,1,1)</f>
        <v>0</v>
      </c>
      <c r="N5234" s="366">
        <f>+VLOOKUP(D5234,'Resultats - informe'!$Y$18:$AG$42,'Introducció dades consum'!K5234+1,0)</f>
        <v>0</v>
      </c>
      <c r="O5234" s="370" cm="1">
        <f t="array" ref="O5234">+_xlfn.SWITCH(MONTH(C5234),1,1,2,1,3,1,4,2,5,2,6,3,7,3,8,3,9,3,10,2,11,2,12,1,2)</f>
        <v>1</v>
      </c>
      <c r="P5234" s="43"/>
    </row>
    <row r="5235" spans="1:16" ht="18" x14ac:dyDescent="0.35">
      <c r="A5235" s="9"/>
      <c r="C5235" s="393"/>
      <c r="E5235" s="394"/>
      <c r="F5235" s="394">
        <v>1.347</v>
      </c>
      <c r="G5235" s="394"/>
      <c r="H5235" s="8" t="s">
        <v>235</v>
      </c>
      <c r="I5235" s="368">
        <f t="shared" si="244"/>
        <v>0</v>
      </c>
      <c r="J5235" s="365">
        <f t="shared" si="243"/>
        <v>0</v>
      </c>
      <c r="K5235" s="369">
        <f t="shared" si="245"/>
        <v>6</v>
      </c>
      <c r="L5235" s="369">
        <f>+IF((C5235&gt;='Resultats - informe'!$E$16)*(C5235&lt;='Resultats - informe'!$G$16),1,0)</f>
        <v>1</v>
      </c>
      <c r="M5235" s="369" cm="1">
        <f t="array" ref="M5235">+_xlfn.IFS((C5235&gt;='Resultats - informe'!$D$26)*(C5235&lt;='Resultats - informe'!$E$26),0,(C5235&gt;='Resultats - informe'!$D$27)*(C5235&lt;='Resultats - informe'!$E$27),0,(C5235&gt;='Resultats - informe'!$D$28)*(C5235&lt;='Resultats - informe'!$E$28),0,(C5235&gt;='Resultats - informe'!$D$29)*(C5235&lt;='Resultats - informe'!$E$29),0,1,1)</f>
        <v>0</v>
      </c>
      <c r="N5235" s="366">
        <f>+VLOOKUP(D5235,'Resultats - informe'!$Y$18:$AG$42,'Introducció dades consum'!K5235+1,0)</f>
        <v>0</v>
      </c>
      <c r="O5235" s="370" cm="1">
        <f t="array" ref="O5235">+_xlfn.SWITCH(MONTH(C5235),1,1,2,1,3,1,4,2,5,2,6,3,7,3,8,3,9,3,10,2,11,2,12,1,2)</f>
        <v>1</v>
      </c>
      <c r="P5235" s="43"/>
    </row>
    <row r="5236" spans="1:16" ht="18" x14ac:dyDescent="0.35">
      <c r="A5236" s="9"/>
      <c r="C5236" s="393"/>
      <c r="E5236" s="394"/>
      <c r="F5236" s="394">
        <v>0.05</v>
      </c>
      <c r="G5236" s="394"/>
      <c r="H5236" s="8" t="s">
        <v>235</v>
      </c>
      <c r="I5236" s="368">
        <f t="shared" si="244"/>
        <v>0</v>
      </c>
      <c r="J5236" s="365">
        <f t="shared" si="243"/>
        <v>0</v>
      </c>
      <c r="K5236" s="369">
        <f t="shared" si="245"/>
        <v>6</v>
      </c>
      <c r="L5236" s="369">
        <f>+IF((C5236&gt;='Resultats - informe'!$E$16)*(C5236&lt;='Resultats - informe'!$G$16),1,0)</f>
        <v>1</v>
      </c>
      <c r="M5236" s="369" cm="1">
        <f t="array" ref="M5236">+_xlfn.IFS((C5236&gt;='Resultats - informe'!$D$26)*(C5236&lt;='Resultats - informe'!$E$26),0,(C5236&gt;='Resultats - informe'!$D$27)*(C5236&lt;='Resultats - informe'!$E$27),0,(C5236&gt;='Resultats - informe'!$D$28)*(C5236&lt;='Resultats - informe'!$E$28),0,(C5236&gt;='Resultats - informe'!$D$29)*(C5236&lt;='Resultats - informe'!$E$29),0,1,1)</f>
        <v>0</v>
      </c>
      <c r="N5236" s="366">
        <f>+VLOOKUP(D5236,'Resultats - informe'!$Y$18:$AG$42,'Introducció dades consum'!K5236+1,0)</f>
        <v>0</v>
      </c>
      <c r="O5236" s="370" cm="1">
        <f t="array" ref="O5236">+_xlfn.SWITCH(MONTH(C5236),1,1,2,1,3,1,4,2,5,2,6,3,7,3,8,3,9,3,10,2,11,2,12,1,2)</f>
        <v>1</v>
      </c>
      <c r="P5236" s="43"/>
    </row>
    <row r="5237" spans="1:16" ht="18" x14ac:dyDescent="0.35">
      <c r="A5237" s="9"/>
      <c r="C5237" s="393"/>
      <c r="E5237" s="394"/>
      <c r="F5237" s="394">
        <v>0.42499999999999999</v>
      </c>
      <c r="G5237" s="394"/>
      <c r="H5237" s="8" t="s">
        <v>235</v>
      </c>
      <c r="I5237" s="368">
        <f t="shared" si="244"/>
        <v>0</v>
      </c>
      <c r="J5237" s="365">
        <f t="shared" si="243"/>
        <v>0</v>
      </c>
      <c r="K5237" s="369">
        <f t="shared" si="245"/>
        <v>6</v>
      </c>
      <c r="L5237" s="369">
        <f>+IF((C5237&gt;='Resultats - informe'!$E$16)*(C5237&lt;='Resultats - informe'!$G$16),1,0)</f>
        <v>1</v>
      </c>
      <c r="M5237" s="369" cm="1">
        <f t="array" ref="M5237">+_xlfn.IFS((C5237&gt;='Resultats - informe'!$D$26)*(C5237&lt;='Resultats - informe'!$E$26),0,(C5237&gt;='Resultats - informe'!$D$27)*(C5237&lt;='Resultats - informe'!$E$27),0,(C5237&gt;='Resultats - informe'!$D$28)*(C5237&lt;='Resultats - informe'!$E$28),0,(C5237&gt;='Resultats - informe'!$D$29)*(C5237&lt;='Resultats - informe'!$E$29),0,1,1)</f>
        <v>0</v>
      </c>
      <c r="N5237" s="366">
        <f>+VLOOKUP(D5237,'Resultats - informe'!$Y$18:$AG$42,'Introducció dades consum'!K5237+1,0)</f>
        <v>0</v>
      </c>
      <c r="O5237" s="370" cm="1">
        <f t="array" ref="O5237">+_xlfn.SWITCH(MONTH(C5237),1,1,2,1,3,1,4,2,5,2,6,3,7,3,8,3,9,3,10,2,11,2,12,1,2)</f>
        <v>1</v>
      </c>
      <c r="P5237" s="43"/>
    </row>
    <row r="5238" spans="1:16" ht="18" x14ac:dyDescent="0.35">
      <c r="A5238" s="9"/>
      <c r="C5238" s="393"/>
      <c r="E5238" s="394"/>
      <c r="F5238" s="394">
        <v>0.42799999999999999</v>
      </c>
      <c r="G5238" s="394"/>
      <c r="H5238" s="8" t="s">
        <v>235</v>
      </c>
      <c r="I5238" s="368">
        <f t="shared" si="244"/>
        <v>0</v>
      </c>
      <c r="J5238" s="365">
        <f t="shared" si="243"/>
        <v>0</v>
      </c>
      <c r="K5238" s="369">
        <f t="shared" si="245"/>
        <v>6</v>
      </c>
      <c r="L5238" s="369">
        <f>+IF((C5238&gt;='Resultats - informe'!$E$16)*(C5238&lt;='Resultats - informe'!$G$16),1,0)</f>
        <v>1</v>
      </c>
      <c r="M5238" s="369" cm="1">
        <f t="array" ref="M5238">+_xlfn.IFS((C5238&gt;='Resultats - informe'!$D$26)*(C5238&lt;='Resultats - informe'!$E$26),0,(C5238&gt;='Resultats - informe'!$D$27)*(C5238&lt;='Resultats - informe'!$E$27),0,(C5238&gt;='Resultats - informe'!$D$28)*(C5238&lt;='Resultats - informe'!$E$28),0,(C5238&gt;='Resultats - informe'!$D$29)*(C5238&lt;='Resultats - informe'!$E$29),0,1,1)</f>
        <v>0</v>
      </c>
      <c r="N5238" s="366">
        <f>+VLOOKUP(D5238,'Resultats - informe'!$Y$18:$AG$42,'Introducció dades consum'!K5238+1,0)</f>
        <v>0</v>
      </c>
      <c r="O5238" s="370" cm="1">
        <f t="array" ref="O5238">+_xlfn.SWITCH(MONTH(C5238),1,1,2,1,3,1,4,2,5,2,6,3,7,3,8,3,9,3,10,2,11,2,12,1,2)</f>
        <v>1</v>
      </c>
      <c r="P5238" s="43"/>
    </row>
    <row r="5239" spans="1:16" ht="18" x14ac:dyDescent="0.35">
      <c r="A5239" s="9"/>
      <c r="C5239" s="393"/>
      <c r="E5239" s="394"/>
      <c r="F5239" s="394">
        <v>0.42799999999999999</v>
      </c>
      <c r="G5239" s="394"/>
      <c r="H5239" s="8" t="s">
        <v>235</v>
      </c>
      <c r="I5239" s="368">
        <f t="shared" si="244"/>
        <v>0</v>
      </c>
      <c r="J5239" s="365">
        <f t="shared" si="243"/>
        <v>0</v>
      </c>
      <c r="K5239" s="369">
        <f t="shared" si="245"/>
        <v>6</v>
      </c>
      <c r="L5239" s="369">
        <f>+IF((C5239&gt;='Resultats - informe'!$E$16)*(C5239&lt;='Resultats - informe'!$G$16),1,0)</f>
        <v>1</v>
      </c>
      <c r="M5239" s="369" cm="1">
        <f t="array" ref="M5239">+_xlfn.IFS((C5239&gt;='Resultats - informe'!$D$26)*(C5239&lt;='Resultats - informe'!$E$26),0,(C5239&gt;='Resultats - informe'!$D$27)*(C5239&lt;='Resultats - informe'!$E$27),0,(C5239&gt;='Resultats - informe'!$D$28)*(C5239&lt;='Resultats - informe'!$E$28),0,(C5239&gt;='Resultats - informe'!$D$29)*(C5239&lt;='Resultats - informe'!$E$29),0,1,1)</f>
        <v>0</v>
      </c>
      <c r="N5239" s="366">
        <f>+VLOOKUP(D5239,'Resultats - informe'!$Y$18:$AG$42,'Introducció dades consum'!K5239+1,0)</f>
        <v>0</v>
      </c>
      <c r="O5239" s="370" cm="1">
        <f t="array" ref="O5239">+_xlfn.SWITCH(MONTH(C5239),1,1,2,1,3,1,4,2,5,2,6,3,7,3,8,3,9,3,10,2,11,2,12,1,2)</f>
        <v>1</v>
      </c>
      <c r="P5239" s="43"/>
    </row>
    <row r="5240" spans="1:16" ht="18" x14ac:dyDescent="0.35">
      <c r="A5240" s="9"/>
      <c r="C5240" s="393"/>
      <c r="E5240" s="394"/>
      <c r="F5240" s="394">
        <v>0.42599999999999999</v>
      </c>
      <c r="G5240" s="394"/>
      <c r="H5240" s="8" t="s">
        <v>235</v>
      </c>
      <c r="I5240" s="368">
        <f t="shared" si="244"/>
        <v>0</v>
      </c>
      <c r="J5240" s="365">
        <f t="shared" si="243"/>
        <v>0</v>
      </c>
      <c r="K5240" s="369">
        <f t="shared" si="245"/>
        <v>6</v>
      </c>
      <c r="L5240" s="369">
        <f>+IF((C5240&gt;='Resultats - informe'!$E$16)*(C5240&lt;='Resultats - informe'!$G$16),1,0)</f>
        <v>1</v>
      </c>
      <c r="M5240" s="369" cm="1">
        <f t="array" ref="M5240">+_xlfn.IFS((C5240&gt;='Resultats - informe'!$D$26)*(C5240&lt;='Resultats - informe'!$E$26),0,(C5240&gt;='Resultats - informe'!$D$27)*(C5240&lt;='Resultats - informe'!$E$27),0,(C5240&gt;='Resultats - informe'!$D$28)*(C5240&lt;='Resultats - informe'!$E$28),0,(C5240&gt;='Resultats - informe'!$D$29)*(C5240&lt;='Resultats - informe'!$E$29),0,1,1)</f>
        <v>0</v>
      </c>
      <c r="N5240" s="366">
        <f>+VLOOKUP(D5240,'Resultats - informe'!$Y$18:$AG$42,'Introducció dades consum'!K5240+1,0)</f>
        <v>0</v>
      </c>
      <c r="O5240" s="370" cm="1">
        <f t="array" ref="O5240">+_xlfn.SWITCH(MONTH(C5240),1,1,2,1,3,1,4,2,5,2,6,3,7,3,8,3,9,3,10,2,11,2,12,1,2)</f>
        <v>1</v>
      </c>
      <c r="P5240" s="43"/>
    </row>
    <row r="5241" spans="1:16" ht="18" x14ac:dyDescent="0.35">
      <c r="A5241" s="9"/>
      <c r="C5241" s="393"/>
      <c r="E5241" s="394"/>
      <c r="F5241" s="394">
        <v>0.42799999999999999</v>
      </c>
      <c r="G5241" s="394"/>
      <c r="H5241" s="8" t="s">
        <v>235</v>
      </c>
      <c r="I5241" s="368">
        <f t="shared" si="244"/>
        <v>0</v>
      </c>
      <c r="J5241" s="365">
        <f t="shared" si="243"/>
        <v>0</v>
      </c>
      <c r="K5241" s="369">
        <f t="shared" si="245"/>
        <v>6</v>
      </c>
      <c r="L5241" s="369">
        <f>+IF((C5241&gt;='Resultats - informe'!$E$16)*(C5241&lt;='Resultats - informe'!$G$16),1,0)</f>
        <v>1</v>
      </c>
      <c r="M5241" s="369" cm="1">
        <f t="array" ref="M5241">+_xlfn.IFS((C5241&gt;='Resultats - informe'!$D$26)*(C5241&lt;='Resultats - informe'!$E$26),0,(C5241&gt;='Resultats - informe'!$D$27)*(C5241&lt;='Resultats - informe'!$E$27),0,(C5241&gt;='Resultats - informe'!$D$28)*(C5241&lt;='Resultats - informe'!$E$28),0,(C5241&gt;='Resultats - informe'!$D$29)*(C5241&lt;='Resultats - informe'!$E$29),0,1,1)</f>
        <v>0</v>
      </c>
      <c r="N5241" s="366">
        <f>+VLOOKUP(D5241,'Resultats - informe'!$Y$18:$AG$42,'Introducció dades consum'!K5241+1,0)</f>
        <v>0</v>
      </c>
      <c r="O5241" s="370" cm="1">
        <f t="array" ref="O5241">+_xlfn.SWITCH(MONTH(C5241),1,1,2,1,3,1,4,2,5,2,6,3,7,3,8,3,9,3,10,2,11,2,12,1,2)</f>
        <v>1</v>
      </c>
      <c r="P5241" s="43"/>
    </row>
    <row r="5242" spans="1:16" ht="18" x14ac:dyDescent="0.35">
      <c r="A5242" s="9"/>
      <c r="C5242" s="393"/>
      <c r="E5242" s="394"/>
      <c r="F5242" s="394">
        <v>0.432</v>
      </c>
      <c r="G5242" s="394"/>
      <c r="H5242" s="8" t="s">
        <v>235</v>
      </c>
      <c r="I5242" s="368">
        <f t="shared" si="244"/>
        <v>0</v>
      </c>
      <c r="J5242" s="365">
        <f t="shared" si="243"/>
        <v>0</v>
      </c>
      <c r="K5242" s="369">
        <f t="shared" si="245"/>
        <v>6</v>
      </c>
      <c r="L5242" s="369">
        <f>+IF((C5242&gt;='Resultats - informe'!$E$16)*(C5242&lt;='Resultats - informe'!$G$16),1,0)</f>
        <v>1</v>
      </c>
      <c r="M5242" s="369" cm="1">
        <f t="array" ref="M5242">+_xlfn.IFS((C5242&gt;='Resultats - informe'!$D$26)*(C5242&lt;='Resultats - informe'!$E$26),0,(C5242&gt;='Resultats - informe'!$D$27)*(C5242&lt;='Resultats - informe'!$E$27),0,(C5242&gt;='Resultats - informe'!$D$28)*(C5242&lt;='Resultats - informe'!$E$28),0,(C5242&gt;='Resultats - informe'!$D$29)*(C5242&lt;='Resultats - informe'!$E$29),0,1,1)</f>
        <v>0</v>
      </c>
      <c r="N5242" s="366">
        <f>+VLOOKUP(D5242,'Resultats - informe'!$Y$18:$AG$42,'Introducció dades consum'!K5242+1,0)</f>
        <v>0</v>
      </c>
      <c r="O5242" s="370" cm="1">
        <f t="array" ref="O5242">+_xlfn.SWITCH(MONTH(C5242),1,1,2,1,3,1,4,2,5,2,6,3,7,3,8,3,9,3,10,2,11,2,12,1,2)</f>
        <v>1</v>
      </c>
      <c r="P5242" s="43"/>
    </row>
    <row r="5243" spans="1:16" ht="18" x14ac:dyDescent="0.35">
      <c r="A5243" s="9"/>
      <c r="C5243" s="393"/>
      <c r="E5243" s="394"/>
      <c r="F5243" s="394">
        <v>0.42899999999999999</v>
      </c>
      <c r="G5243" s="394"/>
      <c r="H5243" s="8" t="s">
        <v>235</v>
      </c>
      <c r="I5243" s="368">
        <f t="shared" si="244"/>
        <v>0</v>
      </c>
      <c r="J5243" s="365">
        <f t="shared" ref="J5243:J5306" si="246">+C5243</f>
        <v>0</v>
      </c>
      <c r="K5243" s="369">
        <f t="shared" si="245"/>
        <v>6</v>
      </c>
      <c r="L5243" s="369">
        <f>+IF((C5243&gt;='Resultats - informe'!$E$16)*(C5243&lt;='Resultats - informe'!$G$16),1,0)</f>
        <v>1</v>
      </c>
      <c r="M5243" s="369" cm="1">
        <f t="array" ref="M5243">+_xlfn.IFS((C5243&gt;='Resultats - informe'!$D$26)*(C5243&lt;='Resultats - informe'!$E$26),0,(C5243&gt;='Resultats - informe'!$D$27)*(C5243&lt;='Resultats - informe'!$E$27),0,(C5243&gt;='Resultats - informe'!$D$28)*(C5243&lt;='Resultats - informe'!$E$28),0,(C5243&gt;='Resultats - informe'!$D$29)*(C5243&lt;='Resultats - informe'!$E$29),0,1,1)</f>
        <v>0</v>
      </c>
      <c r="N5243" s="366">
        <f>+VLOOKUP(D5243,'Resultats - informe'!$Y$18:$AG$42,'Introducció dades consum'!K5243+1,0)</f>
        <v>0</v>
      </c>
      <c r="O5243" s="370" cm="1">
        <f t="array" ref="O5243">+_xlfn.SWITCH(MONTH(C5243),1,1,2,1,3,1,4,2,5,2,6,3,7,3,8,3,9,3,10,2,11,2,12,1,2)</f>
        <v>1</v>
      </c>
      <c r="P5243" s="43"/>
    </row>
    <row r="5244" spans="1:16" ht="18" x14ac:dyDescent="0.35">
      <c r="A5244" s="9"/>
      <c r="C5244" s="393"/>
      <c r="E5244" s="394"/>
      <c r="F5244" s="394">
        <v>1.0409999999999999</v>
      </c>
      <c r="G5244" s="394"/>
      <c r="H5244" s="8" t="s">
        <v>235</v>
      </c>
      <c r="I5244" s="368">
        <f t="shared" si="244"/>
        <v>0</v>
      </c>
      <c r="J5244" s="365">
        <f t="shared" si="246"/>
        <v>0</v>
      </c>
      <c r="K5244" s="369">
        <f t="shared" si="245"/>
        <v>6</v>
      </c>
      <c r="L5244" s="369">
        <f>+IF((C5244&gt;='Resultats - informe'!$E$16)*(C5244&lt;='Resultats - informe'!$G$16),1,0)</f>
        <v>1</v>
      </c>
      <c r="M5244" s="369" cm="1">
        <f t="array" ref="M5244">+_xlfn.IFS((C5244&gt;='Resultats - informe'!$D$26)*(C5244&lt;='Resultats - informe'!$E$26),0,(C5244&gt;='Resultats - informe'!$D$27)*(C5244&lt;='Resultats - informe'!$E$27),0,(C5244&gt;='Resultats - informe'!$D$28)*(C5244&lt;='Resultats - informe'!$E$28),0,(C5244&gt;='Resultats - informe'!$D$29)*(C5244&lt;='Resultats - informe'!$E$29),0,1,1)</f>
        <v>0</v>
      </c>
      <c r="N5244" s="366">
        <f>+VLOOKUP(D5244,'Resultats - informe'!$Y$18:$AG$42,'Introducció dades consum'!K5244+1,0)</f>
        <v>0</v>
      </c>
      <c r="O5244" s="370" cm="1">
        <f t="array" ref="O5244">+_xlfn.SWITCH(MONTH(C5244),1,1,2,1,3,1,4,2,5,2,6,3,7,3,8,3,9,3,10,2,11,2,12,1,2)</f>
        <v>1</v>
      </c>
      <c r="P5244" s="43"/>
    </row>
    <row r="5245" spans="1:16" ht="18" x14ac:dyDescent="0.35">
      <c r="A5245" s="9"/>
      <c r="C5245" s="393"/>
      <c r="E5245" s="394"/>
      <c r="F5245" s="394">
        <v>0.94399999999999995</v>
      </c>
      <c r="G5245" s="394"/>
      <c r="H5245" s="8" t="s">
        <v>235</v>
      </c>
      <c r="I5245" s="368">
        <f t="shared" si="244"/>
        <v>0</v>
      </c>
      <c r="J5245" s="365">
        <f t="shared" si="246"/>
        <v>0</v>
      </c>
      <c r="K5245" s="369">
        <f t="shared" si="245"/>
        <v>6</v>
      </c>
      <c r="L5245" s="369">
        <f>+IF((C5245&gt;='Resultats - informe'!$E$16)*(C5245&lt;='Resultats - informe'!$G$16),1,0)</f>
        <v>1</v>
      </c>
      <c r="M5245" s="369" cm="1">
        <f t="array" ref="M5245">+_xlfn.IFS((C5245&gt;='Resultats - informe'!$D$26)*(C5245&lt;='Resultats - informe'!$E$26),0,(C5245&gt;='Resultats - informe'!$D$27)*(C5245&lt;='Resultats - informe'!$E$27),0,(C5245&gt;='Resultats - informe'!$D$28)*(C5245&lt;='Resultats - informe'!$E$28),0,(C5245&gt;='Resultats - informe'!$D$29)*(C5245&lt;='Resultats - informe'!$E$29),0,1,1)</f>
        <v>0</v>
      </c>
      <c r="N5245" s="366">
        <f>+VLOOKUP(D5245,'Resultats - informe'!$Y$18:$AG$42,'Introducció dades consum'!K5245+1,0)</f>
        <v>0</v>
      </c>
      <c r="O5245" s="370" cm="1">
        <f t="array" ref="O5245">+_xlfn.SWITCH(MONTH(C5245),1,1,2,1,3,1,4,2,5,2,6,3,7,3,8,3,9,3,10,2,11,2,12,1,2)</f>
        <v>1</v>
      </c>
      <c r="P5245" s="43"/>
    </row>
    <row r="5246" spans="1:16" ht="18" x14ac:dyDescent="0.35">
      <c r="A5246" s="9"/>
      <c r="C5246" s="393"/>
      <c r="E5246" s="394"/>
      <c r="F5246" s="394">
        <v>1.504</v>
      </c>
      <c r="G5246" s="394"/>
      <c r="H5246" s="8" t="s">
        <v>235</v>
      </c>
      <c r="I5246" s="368">
        <f t="shared" si="244"/>
        <v>0</v>
      </c>
      <c r="J5246" s="365">
        <f t="shared" si="246"/>
        <v>0</v>
      </c>
      <c r="K5246" s="369">
        <f t="shared" si="245"/>
        <v>6</v>
      </c>
      <c r="L5246" s="369">
        <f>+IF((C5246&gt;='Resultats - informe'!$E$16)*(C5246&lt;='Resultats - informe'!$G$16),1,0)</f>
        <v>1</v>
      </c>
      <c r="M5246" s="369" cm="1">
        <f t="array" ref="M5246">+_xlfn.IFS((C5246&gt;='Resultats - informe'!$D$26)*(C5246&lt;='Resultats - informe'!$E$26),0,(C5246&gt;='Resultats - informe'!$D$27)*(C5246&lt;='Resultats - informe'!$E$27),0,(C5246&gt;='Resultats - informe'!$D$28)*(C5246&lt;='Resultats - informe'!$E$28),0,(C5246&gt;='Resultats - informe'!$D$29)*(C5246&lt;='Resultats - informe'!$E$29),0,1,1)</f>
        <v>0</v>
      </c>
      <c r="N5246" s="366">
        <f>+VLOOKUP(D5246,'Resultats - informe'!$Y$18:$AG$42,'Introducció dades consum'!K5246+1,0)</f>
        <v>0</v>
      </c>
      <c r="O5246" s="370" cm="1">
        <f t="array" ref="O5246">+_xlfn.SWITCH(MONTH(C5246),1,1,2,1,3,1,4,2,5,2,6,3,7,3,8,3,9,3,10,2,11,2,12,1,2)</f>
        <v>1</v>
      </c>
      <c r="P5246" s="43"/>
    </row>
    <row r="5247" spans="1:16" ht="18" x14ac:dyDescent="0.35">
      <c r="A5247" s="9"/>
      <c r="C5247" s="393"/>
      <c r="E5247" s="394"/>
      <c r="F5247" s="394">
        <v>1.427</v>
      </c>
      <c r="G5247" s="394"/>
      <c r="H5247" s="8" t="s">
        <v>235</v>
      </c>
      <c r="I5247" s="368">
        <f t="shared" si="244"/>
        <v>0</v>
      </c>
      <c r="J5247" s="365">
        <f t="shared" si="246"/>
        <v>0</v>
      </c>
      <c r="K5247" s="369">
        <f t="shared" si="245"/>
        <v>6</v>
      </c>
      <c r="L5247" s="369">
        <f>+IF((C5247&gt;='Resultats - informe'!$E$16)*(C5247&lt;='Resultats - informe'!$G$16),1,0)</f>
        <v>1</v>
      </c>
      <c r="M5247" s="369" cm="1">
        <f t="array" ref="M5247">+_xlfn.IFS((C5247&gt;='Resultats - informe'!$D$26)*(C5247&lt;='Resultats - informe'!$E$26),0,(C5247&gt;='Resultats - informe'!$D$27)*(C5247&lt;='Resultats - informe'!$E$27),0,(C5247&gt;='Resultats - informe'!$D$28)*(C5247&lt;='Resultats - informe'!$E$28),0,(C5247&gt;='Resultats - informe'!$D$29)*(C5247&lt;='Resultats - informe'!$E$29),0,1,1)</f>
        <v>0</v>
      </c>
      <c r="N5247" s="366">
        <f>+VLOOKUP(D5247,'Resultats - informe'!$Y$18:$AG$42,'Introducció dades consum'!K5247+1,0)</f>
        <v>0</v>
      </c>
      <c r="O5247" s="370" cm="1">
        <f t="array" ref="O5247">+_xlfn.SWITCH(MONTH(C5247),1,1,2,1,3,1,4,2,5,2,6,3,7,3,8,3,9,3,10,2,11,2,12,1,2)</f>
        <v>1</v>
      </c>
      <c r="P5247" s="43"/>
    </row>
    <row r="5248" spans="1:16" ht="18" x14ac:dyDescent="0.35">
      <c r="A5248" s="9"/>
      <c r="C5248" s="393"/>
      <c r="E5248" s="394"/>
      <c r="F5248" s="394">
        <v>1.006</v>
      </c>
      <c r="G5248" s="394"/>
      <c r="H5248" s="8" t="s">
        <v>235</v>
      </c>
      <c r="I5248" s="368">
        <f t="shared" si="244"/>
        <v>0</v>
      </c>
      <c r="J5248" s="365">
        <f t="shared" si="246"/>
        <v>0</v>
      </c>
      <c r="K5248" s="369">
        <f t="shared" si="245"/>
        <v>6</v>
      </c>
      <c r="L5248" s="369">
        <f>+IF((C5248&gt;='Resultats - informe'!$E$16)*(C5248&lt;='Resultats - informe'!$G$16),1,0)</f>
        <v>1</v>
      </c>
      <c r="M5248" s="369" cm="1">
        <f t="array" ref="M5248">+_xlfn.IFS((C5248&gt;='Resultats - informe'!$D$26)*(C5248&lt;='Resultats - informe'!$E$26),0,(C5248&gt;='Resultats - informe'!$D$27)*(C5248&lt;='Resultats - informe'!$E$27),0,(C5248&gt;='Resultats - informe'!$D$28)*(C5248&lt;='Resultats - informe'!$E$28),0,(C5248&gt;='Resultats - informe'!$D$29)*(C5248&lt;='Resultats - informe'!$E$29),0,1,1)</f>
        <v>0</v>
      </c>
      <c r="N5248" s="366">
        <f>+VLOOKUP(D5248,'Resultats - informe'!$Y$18:$AG$42,'Introducció dades consum'!K5248+1,0)</f>
        <v>0</v>
      </c>
      <c r="O5248" s="370" cm="1">
        <f t="array" ref="O5248">+_xlfn.SWITCH(MONTH(C5248),1,1,2,1,3,1,4,2,5,2,6,3,7,3,8,3,9,3,10,2,11,2,12,1,2)</f>
        <v>1</v>
      </c>
      <c r="P5248" s="43"/>
    </row>
    <row r="5249" spans="1:16" ht="18" x14ac:dyDescent="0.35">
      <c r="A5249" s="9"/>
      <c r="C5249" s="393"/>
      <c r="E5249" s="394"/>
      <c r="F5249" s="394">
        <v>0.92800000000000005</v>
      </c>
      <c r="G5249" s="394"/>
      <c r="H5249" s="8" t="s">
        <v>235</v>
      </c>
      <c r="I5249" s="368">
        <f t="shared" si="244"/>
        <v>0</v>
      </c>
      <c r="J5249" s="365">
        <f t="shared" si="246"/>
        <v>0</v>
      </c>
      <c r="K5249" s="369">
        <f t="shared" si="245"/>
        <v>6</v>
      </c>
      <c r="L5249" s="369">
        <f>+IF((C5249&gt;='Resultats - informe'!$E$16)*(C5249&lt;='Resultats - informe'!$G$16),1,0)</f>
        <v>1</v>
      </c>
      <c r="M5249" s="369" cm="1">
        <f t="array" ref="M5249">+_xlfn.IFS((C5249&gt;='Resultats - informe'!$D$26)*(C5249&lt;='Resultats - informe'!$E$26),0,(C5249&gt;='Resultats - informe'!$D$27)*(C5249&lt;='Resultats - informe'!$E$27),0,(C5249&gt;='Resultats - informe'!$D$28)*(C5249&lt;='Resultats - informe'!$E$28),0,(C5249&gt;='Resultats - informe'!$D$29)*(C5249&lt;='Resultats - informe'!$E$29),0,1,1)</f>
        <v>0</v>
      </c>
      <c r="N5249" s="366">
        <f>+VLOOKUP(D5249,'Resultats - informe'!$Y$18:$AG$42,'Introducció dades consum'!K5249+1,0)</f>
        <v>0</v>
      </c>
      <c r="O5249" s="370" cm="1">
        <f t="array" ref="O5249">+_xlfn.SWITCH(MONTH(C5249),1,1,2,1,3,1,4,2,5,2,6,3,7,3,8,3,9,3,10,2,11,2,12,1,2)</f>
        <v>1</v>
      </c>
      <c r="P5249" s="43"/>
    </row>
    <row r="5250" spans="1:16" ht="18" x14ac:dyDescent="0.35">
      <c r="A5250" s="9"/>
      <c r="C5250" s="393"/>
      <c r="E5250" s="394"/>
      <c r="F5250" s="394">
        <v>0.88600000000000001</v>
      </c>
      <c r="G5250" s="394"/>
      <c r="H5250" s="8" t="s">
        <v>235</v>
      </c>
      <c r="I5250" s="368">
        <f t="shared" si="244"/>
        <v>0</v>
      </c>
      <c r="J5250" s="365">
        <f t="shared" si="246"/>
        <v>0</v>
      </c>
      <c r="K5250" s="369">
        <f t="shared" si="245"/>
        <v>6</v>
      </c>
      <c r="L5250" s="369">
        <f>+IF((C5250&gt;='Resultats - informe'!$E$16)*(C5250&lt;='Resultats - informe'!$G$16),1,0)</f>
        <v>1</v>
      </c>
      <c r="M5250" s="369" cm="1">
        <f t="array" ref="M5250">+_xlfn.IFS((C5250&gt;='Resultats - informe'!$D$26)*(C5250&lt;='Resultats - informe'!$E$26),0,(C5250&gt;='Resultats - informe'!$D$27)*(C5250&lt;='Resultats - informe'!$E$27),0,(C5250&gt;='Resultats - informe'!$D$28)*(C5250&lt;='Resultats - informe'!$E$28),0,(C5250&gt;='Resultats - informe'!$D$29)*(C5250&lt;='Resultats - informe'!$E$29),0,1,1)</f>
        <v>0</v>
      </c>
      <c r="N5250" s="366">
        <f>+VLOOKUP(D5250,'Resultats - informe'!$Y$18:$AG$42,'Introducció dades consum'!K5250+1,0)</f>
        <v>0</v>
      </c>
      <c r="O5250" s="370" cm="1">
        <f t="array" ref="O5250">+_xlfn.SWITCH(MONTH(C5250),1,1,2,1,3,1,4,2,5,2,6,3,7,3,8,3,9,3,10,2,11,2,12,1,2)</f>
        <v>1</v>
      </c>
      <c r="P5250" s="43"/>
    </row>
    <row r="5251" spans="1:16" ht="18" x14ac:dyDescent="0.35">
      <c r="A5251" s="9"/>
      <c r="C5251" s="393"/>
      <c r="E5251" s="394"/>
      <c r="F5251" s="394">
        <v>1.337</v>
      </c>
      <c r="G5251" s="394"/>
      <c r="H5251" s="8" t="s">
        <v>235</v>
      </c>
      <c r="I5251" s="368">
        <f t="shared" si="244"/>
        <v>0</v>
      </c>
      <c r="J5251" s="365">
        <f t="shared" si="246"/>
        <v>0</v>
      </c>
      <c r="K5251" s="369">
        <f t="shared" si="245"/>
        <v>6</v>
      </c>
      <c r="L5251" s="369">
        <f>+IF((C5251&gt;='Resultats - informe'!$E$16)*(C5251&lt;='Resultats - informe'!$G$16),1,0)</f>
        <v>1</v>
      </c>
      <c r="M5251" s="369" cm="1">
        <f t="array" ref="M5251">+_xlfn.IFS((C5251&gt;='Resultats - informe'!$D$26)*(C5251&lt;='Resultats - informe'!$E$26),0,(C5251&gt;='Resultats - informe'!$D$27)*(C5251&lt;='Resultats - informe'!$E$27),0,(C5251&gt;='Resultats - informe'!$D$28)*(C5251&lt;='Resultats - informe'!$E$28),0,(C5251&gt;='Resultats - informe'!$D$29)*(C5251&lt;='Resultats - informe'!$E$29),0,1,1)</f>
        <v>0</v>
      </c>
      <c r="N5251" s="366">
        <f>+VLOOKUP(D5251,'Resultats - informe'!$Y$18:$AG$42,'Introducció dades consum'!K5251+1,0)</f>
        <v>0</v>
      </c>
      <c r="O5251" s="370" cm="1">
        <f t="array" ref="O5251">+_xlfn.SWITCH(MONTH(C5251),1,1,2,1,3,1,4,2,5,2,6,3,7,3,8,3,9,3,10,2,11,2,12,1,2)</f>
        <v>1</v>
      </c>
      <c r="P5251" s="43"/>
    </row>
    <row r="5252" spans="1:16" ht="18" x14ac:dyDescent="0.35">
      <c r="A5252" s="9"/>
      <c r="C5252" s="393"/>
      <c r="E5252" s="394"/>
      <c r="F5252" s="394">
        <v>1.2170000000000001</v>
      </c>
      <c r="G5252" s="394"/>
      <c r="H5252" s="8" t="s">
        <v>235</v>
      </c>
      <c r="I5252" s="368">
        <f t="shared" si="244"/>
        <v>0</v>
      </c>
      <c r="J5252" s="365">
        <f t="shared" si="246"/>
        <v>0</v>
      </c>
      <c r="K5252" s="369">
        <f t="shared" si="245"/>
        <v>6</v>
      </c>
      <c r="L5252" s="369">
        <f>+IF((C5252&gt;='Resultats - informe'!$E$16)*(C5252&lt;='Resultats - informe'!$G$16),1,0)</f>
        <v>1</v>
      </c>
      <c r="M5252" s="369" cm="1">
        <f t="array" ref="M5252">+_xlfn.IFS((C5252&gt;='Resultats - informe'!$D$26)*(C5252&lt;='Resultats - informe'!$E$26),0,(C5252&gt;='Resultats - informe'!$D$27)*(C5252&lt;='Resultats - informe'!$E$27),0,(C5252&gt;='Resultats - informe'!$D$28)*(C5252&lt;='Resultats - informe'!$E$28),0,(C5252&gt;='Resultats - informe'!$D$29)*(C5252&lt;='Resultats - informe'!$E$29),0,1,1)</f>
        <v>0</v>
      </c>
      <c r="N5252" s="366">
        <f>+VLOOKUP(D5252,'Resultats - informe'!$Y$18:$AG$42,'Introducció dades consum'!K5252+1,0)</f>
        <v>0</v>
      </c>
      <c r="O5252" s="370" cm="1">
        <f t="array" ref="O5252">+_xlfn.SWITCH(MONTH(C5252),1,1,2,1,3,1,4,2,5,2,6,3,7,3,8,3,9,3,10,2,11,2,12,1,2)</f>
        <v>1</v>
      </c>
      <c r="P5252" s="43"/>
    </row>
    <row r="5253" spans="1:16" ht="18" x14ac:dyDescent="0.35">
      <c r="A5253" s="9"/>
      <c r="C5253" s="393"/>
      <c r="E5253" s="394"/>
      <c r="F5253" s="394">
        <v>0.58699999999999997</v>
      </c>
      <c r="G5253" s="394"/>
      <c r="H5253" s="8" t="s">
        <v>235</v>
      </c>
      <c r="I5253" s="368">
        <f t="shared" si="244"/>
        <v>0</v>
      </c>
      <c r="J5253" s="365">
        <f t="shared" si="246"/>
        <v>0</v>
      </c>
      <c r="K5253" s="369">
        <f t="shared" si="245"/>
        <v>6</v>
      </c>
      <c r="L5253" s="369">
        <f>+IF((C5253&gt;='Resultats - informe'!$E$16)*(C5253&lt;='Resultats - informe'!$G$16),1,0)</f>
        <v>1</v>
      </c>
      <c r="M5253" s="369" cm="1">
        <f t="array" ref="M5253">+_xlfn.IFS((C5253&gt;='Resultats - informe'!$D$26)*(C5253&lt;='Resultats - informe'!$E$26),0,(C5253&gt;='Resultats - informe'!$D$27)*(C5253&lt;='Resultats - informe'!$E$27),0,(C5253&gt;='Resultats - informe'!$D$28)*(C5253&lt;='Resultats - informe'!$E$28),0,(C5253&gt;='Resultats - informe'!$D$29)*(C5253&lt;='Resultats - informe'!$E$29),0,1,1)</f>
        <v>0</v>
      </c>
      <c r="N5253" s="366">
        <f>+VLOOKUP(D5253,'Resultats - informe'!$Y$18:$AG$42,'Introducció dades consum'!K5253+1,0)</f>
        <v>0</v>
      </c>
      <c r="O5253" s="370" cm="1">
        <f t="array" ref="O5253">+_xlfn.SWITCH(MONTH(C5253),1,1,2,1,3,1,4,2,5,2,6,3,7,3,8,3,9,3,10,2,11,2,12,1,2)</f>
        <v>1</v>
      </c>
      <c r="P5253" s="43"/>
    </row>
    <row r="5254" spans="1:16" ht="18" x14ac:dyDescent="0.35">
      <c r="A5254" s="9"/>
      <c r="C5254" s="393"/>
      <c r="E5254" s="394"/>
      <c r="F5254" s="394">
        <v>1.6719999999999999</v>
      </c>
      <c r="G5254" s="394"/>
      <c r="H5254" s="8" t="s">
        <v>235</v>
      </c>
      <c r="I5254" s="368">
        <f t="shared" ref="I5254:I5317" si="247">+E5254+G5254</f>
        <v>0</v>
      </c>
      <c r="J5254" s="365">
        <f t="shared" si="246"/>
        <v>0</v>
      </c>
      <c r="K5254" s="369">
        <f t="shared" ref="K5254:K5317" si="248">+WEEKDAY(C5254,2)</f>
        <v>6</v>
      </c>
      <c r="L5254" s="369">
        <f>+IF((C5254&gt;='Resultats - informe'!$E$16)*(C5254&lt;='Resultats - informe'!$G$16),1,0)</f>
        <v>1</v>
      </c>
      <c r="M5254" s="369" cm="1">
        <f t="array" ref="M5254">+_xlfn.IFS((C5254&gt;='Resultats - informe'!$D$26)*(C5254&lt;='Resultats - informe'!$E$26),0,(C5254&gt;='Resultats - informe'!$D$27)*(C5254&lt;='Resultats - informe'!$E$27),0,(C5254&gt;='Resultats - informe'!$D$28)*(C5254&lt;='Resultats - informe'!$E$28),0,(C5254&gt;='Resultats - informe'!$D$29)*(C5254&lt;='Resultats - informe'!$E$29),0,1,1)</f>
        <v>0</v>
      </c>
      <c r="N5254" s="366">
        <f>+VLOOKUP(D5254,'Resultats - informe'!$Y$18:$AG$42,'Introducció dades consum'!K5254+1,0)</f>
        <v>0</v>
      </c>
      <c r="O5254" s="370" cm="1">
        <f t="array" ref="O5254">+_xlfn.SWITCH(MONTH(C5254),1,1,2,1,3,1,4,2,5,2,6,3,7,3,8,3,9,3,10,2,11,2,12,1,2)</f>
        <v>1</v>
      </c>
      <c r="P5254" s="43"/>
    </row>
    <row r="5255" spans="1:16" ht="18" x14ac:dyDescent="0.35">
      <c r="A5255" s="9"/>
      <c r="C5255" s="393"/>
      <c r="E5255" s="394"/>
      <c r="F5255" s="394">
        <v>1.464</v>
      </c>
      <c r="G5255" s="394"/>
      <c r="H5255" s="8" t="s">
        <v>235</v>
      </c>
      <c r="I5255" s="368">
        <f t="shared" si="247"/>
        <v>0</v>
      </c>
      <c r="J5255" s="365">
        <f t="shared" si="246"/>
        <v>0</v>
      </c>
      <c r="K5255" s="369">
        <f t="shared" si="248"/>
        <v>6</v>
      </c>
      <c r="L5255" s="369">
        <f>+IF((C5255&gt;='Resultats - informe'!$E$16)*(C5255&lt;='Resultats - informe'!$G$16),1,0)</f>
        <v>1</v>
      </c>
      <c r="M5255" s="369" cm="1">
        <f t="array" ref="M5255">+_xlfn.IFS((C5255&gt;='Resultats - informe'!$D$26)*(C5255&lt;='Resultats - informe'!$E$26),0,(C5255&gt;='Resultats - informe'!$D$27)*(C5255&lt;='Resultats - informe'!$E$27),0,(C5255&gt;='Resultats - informe'!$D$28)*(C5255&lt;='Resultats - informe'!$E$28),0,(C5255&gt;='Resultats - informe'!$D$29)*(C5255&lt;='Resultats - informe'!$E$29),0,1,1)</f>
        <v>0</v>
      </c>
      <c r="N5255" s="366">
        <f>+VLOOKUP(D5255,'Resultats - informe'!$Y$18:$AG$42,'Introducció dades consum'!K5255+1,0)</f>
        <v>0</v>
      </c>
      <c r="O5255" s="370" cm="1">
        <f t="array" ref="O5255">+_xlfn.SWITCH(MONTH(C5255),1,1,2,1,3,1,4,2,5,2,6,3,7,3,8,3,9,3,10,2,11,2,12,1,2)</f>
        <v>1</v>
      </c>
      <c r="P5255" s="43"/>
    </row>
    <row r="5256" spans="1:16" ht="18" x14ac:dyDescent="0.35">
      <c r="A5256" s="9"/>
      <c r="C5256" s="393"/>
      <c r="E5256" s="394"/>
      <c r="F5256" s="394">
        <v>2.1059999999999999</v>
      </c>
      <c r="G5256" s="394"/>
      <c r="H5256" s="8" t="s">
        <v>235</v>
      </c>
      <c r="I5256" s="368">
        <f t="shared" si="247"/>
        <v>0</v>
      </c>
      <c r="J5256" s="365">
        <f t="shared" si="246"/>
        <v>0</v>
      </c>
      <c r="K5256" s="369">
        <f t="shared" si="248"/>
        <v>6</v>
      </c>
      <c r="L5256" s="369">
        <f>+IF((C5256&gt;='Resultats - informe'!$E$16)*(C5256&lt;='Resultats - informe'!$G$16),1,0)</f>
        <v>1</v>
      </c>
      <c r="M5256" s="369" cm="1">
        <f t="array" ref="M5256">+_xlfn.IFS((C5256&gt;='Resultats - informe'!$D$26)*(C5256&lt;='Resultats - informe'!$E$26),0,(C5256&gt;='Resultats - informe'!$D$27)*(C5256&lt;='Resultats - informe'!$E$27),0,(C5256&gt;='Resultats - informe'!$D$28)*(C5256&lt;='Resultats - informe'!$E$28),0,(C5256&gt;='Resultats - informe'!$D$29)*(C5256&lt;='Resultats - informe'!$E$29),0,1,1)</f>
        <v>0</v>
      </c>
      <c r="N5256" s="366">
        <f>+VLOOKUP(D5256,'Resultats - informe'!$Y$18:$AG$42,'Introducció dades consum'!K5256+1,0)</f>
        <v>0</v>
      </c>
      <c r="O5256" s="370" cm="1">
        <f t="array" ref="O5256">+_xlfn.SWITCH(MONTH(C5256),1,1,2,1,3,1,4,2,5,2,6,3,7,3,8,3,9,3,10,2,11,2,12,1,2)</f>
        <v>1</v>
      </c>
      <c r="P5256" s="43"/>
    </row>
    <row r="5257" spans="1:16" ht="18" x14ac:dyDescent="0.35">
      <c r="A5257" s="9"/>
      <c r="C5257" s="393"/>
      <c r="E5257" s="394"/>
      <c r="F5257" s="394">
        <v>1.925</v>
      </c>
      <c r="G5257" s="394"/>
      <c r="H5257" s="8" t="s">
        <v>235</v>
      </c>
      <c r="I5257" s="368">
        <f t="shared" si="247"/>
        <v>0</v>
      </c>
      <c r="J5257" s="365">
        <f t="shared" si="246"/>
        <v>0</v>
      </c>
      <c r="K5257" s="369">
        <f t="shared" si="248"/>
        <v>6</v>
      </c>
      <c r="L5257" s="369">
        <f>+IF((C5257&gt;='Resultats - informe'!$E$16)*(C5257&lt;='Resultats - informe'!$G$16),1,0)</f>
        <v>1</v>
      </c>
      <c r="M5257" s="369" cm="1">
        <f t="array" ref="M5257">+_xlfn.IFS((C5257&gt;='Resultats - informe'!$D$26)*(C5257&lt;='Resultats - informe'!$E$26),0,(C5257&gt;='Resultats - informe'!$D$27)*(C5257&lt;='Resultats - informe'!$E$27),0,(C5257&gt;='Resultats - informe'!$D$28)*(C5257&lt;='Resultats - informe'!$E$28),0,(C5257&gt;='Resultats - informe'!$D$29)*(C5257&lt;='Resultats - informe'!$E$29),0,1,1)</f>
        <v>0</v>
      </c>
      <c r="N5257" s="366">
        <f>+VLOOKUP(D5257,'Resultats - informe'!$Y$18:$AG$42,'Introducció dades consum'!K5257+1,0)</f>
        <v>0</v>
      </c>
      <c r="O5257" s="370" cm="1">
        <f t="array" ref="O5257">+_xlfn.SWITCH(MONTH(C5257),1,1,2,1,3,1,4,2,5,2,6,3,7,3,8,3,9,3,10,2,11,2,12,1,2)</f>
        <v>1</v>
      </c>
      <c r="P5257" s="43"/>
    </row>
    <row r="5258" spans="1:16" ht="18" x14ac:dyDescent="0.35">
      <c r="A5258" s="9"/>
      <c r="C5258" s="393"/>
      <c r="E5258" s="394"/>
      <c r="F5258" s="394">
        <v>0.998</v>
      </c>
      <c r="G5258" s="394"/>
      <c r="H5258" s="8" t="s">
        <v>235</v>
      </c>
      <c r="I5258" s="368">
        <f t="shared" si="247"/>
        <v>0</v>
      </c>
      <c r="J5258" s="365">
        <f t="shared" si="246"/>
        <v>0</v>
      </c>
      <c r="K5258" s="369">
        <f t="shared" si="248"/>
        <v>6</v>
      </c>
      <c r="L5258" s="369">
        <f>+IF((C5258&gt;='Resultats - informe'!$E$16)*(C5258&lt;='Resultats - informe'!$G$16),1,0)</f>
        <v>1</v>
      </c>
      <c r="M5258" s="369" cm="1">
        <f t="array" ref="M5258">+_xlfn.IFS((C5258&gt;='Resultats - informe'!$D$26)*(C5258&lt;='Resultats - informe'!$E$26),0,(C5258&gt;='Resultats - informe'!$D$27)*(C5258&lt;='Resultats - informe'!$E$27),0,(C5258&gt;='Resultats - informe'!$D$28)*(C5258&lt;='Resultats - informe'!$E$28),0,(C5258&gt;='Resultats - informe'!$D$29)*(C5258&lt;='Resultats - informe'!$E$29),0,1,1)</f>
        <v>0</v>
      </c>
      <c r="N5258" s="366">
        <f>+VLOOKUP(D5258,'Resultats - informe'!$Y$18:$AG$42,'Introducció dades consum'!K5258+1,0)</f>
        <v>0</v>
      </c>
      <c r="O5258" s="370" cm="1">
        <f t="array" ref="O5258">+_xlfn.SWITCH(MONTH(C5258),1,1,2,1,3,1,4,2,5,2,6,3,7,3,8,3,9,3,10,2,11,2,12,1,2)</f>
        <v>1</v>
      </c>
      <c r="P5258" s="43"/>
    </row>
    <row r="5259" spans="1:16" ht="18" x14ac:dyDescent="0.35">
      <c r="A5259" s="9"/>
      <c r="C5259" s="393"/>
      <c r="E5259" s="394"/>
      <c r="F5259" s="394">
        <v>1.0249999999999999</v>
      </c>
      <c r="G5259" s="394"/>
      <c r="H5259" s="8" t="s">
        <v>235</v>
      </c>
      <c r="I5259" s="368">
        <f t="shared" si="247"/>
        <v>0</v>
      </c>
      <c r="J5259" s="365">
        <f t="shared" si="246"/>
        <v>0</v>
      </c>
      <c r="K5259" s="369">
        <f t="shared" si="248"/>
        <v>6</v>
      </c>
      <c r="L5259" s="369">
        <f>+IF((C5259&gt;='Resultats - informe'!$E$16)*(C5259&lt;='Resultats - informe'!$G$16),1,0)</f>
        <v>1</v>
      </c>
      <c r="M5259" s="369" cm="1">
        <f t="array" ref="M5259">+_xlfn.IFS((C5259&gt;='Resultats - informe'!$D$26)*(C5259&lt;='Resultats - informe'!$E$26),0,(C5259&gt;='Resultats - informe'!$D$27)*(C5259&lt;='Resultats - informe'!$E$27),0,(C5259&gt;='Resultats - informe'!$D$28)*(C5259&lt;='Resultats - informe'!$E$28),0,(C5259&gt;='Resultats - informe'!$D$29)*(C5259&lt;='Resultats - informe'!$E$29),0,1,1)</f>
        <v>0</v>
      </c>
      <c r="N5259" s="366">
        <f>+VLOOKUP(D5259,'Resultats - informe'!$Y$18:$AG$42,'Introducció dades consum'!K5259+1,0)</f>
        <v>0</v>
      </c>
      <c r="O5259" s="370" cm="1">
        <f t="array" ref="O5259">+_xlfn.SWITCH(MONTH(C5259),1,1,2,1,3,1,4,2,5,2,6,3,7,3,8,3,9,3,10,2,11,2,12,1,2)</f>
        <v>1</v>
      </c>
      <c r="P5259" s="43"/>
    </row>
    <row r="5260" spans="1:16" ht="18" x14ac:dyDescent="0.35">
      <c r="A5260" s="9"/>
      <c r="C5260" s="393"/>
      <c r="E5260" s="394"/>
      <c r="F5260" s="394">
        <v>0</v>
      </c>
      <c r="G5260" s="394"/>
      <c r="H5260" s="8" t="s">
        <v>235</v>
      </c>
      <c r="I5260" s="368">
        <f t="shared" si="247"/>
        <v>0</v>
      </c>
      <c r="J5260" s="365">
        <f t="shared" si="246"/>
        <v>0</v>
      </c>
      <c r="K5260" s="369">
        <f t="shared" si="248"/>
        <v>6</v>
      </c>
      <c r="L5260" s="369">
        <f>+IF((C5260&gt;='Resultats - informe'!$E$16)*(C5260&lt;='Resultats - informe'!$G$16),1,0)</f>
        <v>1</v>
      </c>
      <c r="M5260" s="369" cm="1">
        <f t="array" ref="M5260">+_xlfn.IFS((C5260&gt;='Resultats - informe'!$D$26)*(C5260&lt;='Resultats - informe'!$E$26),0,(C5260&gt;='Resultats - informe'!$D$27)*(C5260&lt;='Resultats - informe'!$E$27),0,(C5260&gt;='Resultats - informe'!$D$28)*(C5260&lt;='Resultats - informe'!$E$28),0,(C5260&gt;='Resultats - informe'!$D$29)*(C5260&lt;='Resultats - informe'!$E$29),0,1,1)</f>
        <v>0</v>
      </c>
      <c r="N5260" s="366">
        <f>+VLOOKUP(D5260,'Resultats - informe'!$Y$18:$AG$42,'Introducció dades consum'!K5260+1,0)</f>
        <v>0</v>
      </c>
      <c r="O5260" s="370" cm="1">
        <f t="array" ref="O5260">+_xlfn.SWITCH(MONTH(C5260),1,1,2,1,3,1,4,2,5,2,6,3,7,3,8,3,9,3,10,2,11,2,12,1,2)</f>
        <v>1</v>
      </c>
      <c r="P5260" s="43"/>
    </row>
    <row r="5261" spans="1:16" ht="18" x14ac:dyDescent="0.35">
      <c r="A5261" s="9"/>
      <c r="C5261" s="393"/>
      <c r="E5261" s="394"/>
      <c r="F5261" s="394">
        <v>0.11899999999999999</v>
      </c>
      <c r="G5261" s="394"/>
      <c r="H5261" s="8" t="s">
        <v>235</v>
      </c>
      <c r="I5261" s="368">
        <f t="shared" si="247"/>
        <v>0</v>
      </c>
      <c r="J5261" s="365">
        <f t="shared" si="246"/>
        <v>0</v>
      </c>
      <c r="K5261" s="369">
        <f t="shared" si="248"/>
        <v>6</v>
      </c>
      <c r="L5261" s="369">
        <f>+IF((C5261&gt;='Resultats - informe'!$E$16)*(C5261&lt;='Resultats - informe'!$G$16),1,0)</f>
        <v>1</v>
      </c>
      <c r="M5261" s="369" cm="1">
        <f t="array" ref="M5261">+_xlfn.IFS((C5261&gt;='Resultats - informe'!$D$26)*(C5261&lt;='Resultats - informe'!$E$26),0,(C5261&gt;='Resultats - informe'!$D$27)*(C5261&lt;='Resultats - informe'!$E$27),0,(C5261&gt;='Resultats - informe'!$D$28)*(C5261&lt;='Resultats - informe'!$E$28),0,(C5261&gt;='Resultats - informe'!$D$29)*(C5261&lt;='Resultats - informe'!$E$29),0,1,1)</f>
        <v>0</v>
      </c>
      <c r="N5261" s="366">
        <f>+VLOOKUP(D5261,'Resultats - informe'!$Y$18:$AG$42,'Introducció dades consum'!K5261+1,0)</f>
        <v>0</v>
      </c>
      <c r="O5261" s="370" cm="1">
        <f t="array" ref="O5261">+_xlfn.SWITCH(MONTH(C5261),1,1,2,1,3,1,4,2,5,2,6,3,7,3,8,3,9,3,10,2,11,2,12,1,2)</f>
        <v>1</v>
      </c>
      <c r="P5261" s="43"/>
    </row>
    <row r="5262" spans="1:16" ht="18" x14ac:dyDescent="0.35">
      <c r="A5262" s="9"/>
      <c r="C5262" s="393"/>
      <c r="E5262" s="394"/>
      <c r="F5262" s="394">
        <v>0.14399999999999999</v>
      </c>
      <c r="G5262" s="394"/>
      <c r="H5262" s="8" t="s">
        <v>235</v>
      </c>
      <c r="I5262" s="368">
        <f t="shared" si="247"/>
        <v>0</v>
      </c>
      <c r="J5262" s="365">
        <f t="shared" si="246"/>
        <v>0</v>
      </c>
      <c r="K5262" s="369">
        <f t="shared" si="248"/>
        <v>6</v>
      </c>
      <c r="L5262" s="369">
        <f>+IF((C5262&gt;='Resultats - informe'!$E$16)*(C5262&lt;='Resultats - informe'!$G$16),1,0)</f>
        <v>1</v>
      </c>
      <c r="M5262" s="369" cm="1">
        <f t="array" ref="M5262">+_xlfn.IFS((C5262&gt;='Resultats - informe'!$D$26)*(C5262&lt;='Resultats - informe'!$E$26),0,(C5262&gt;='Resultats - informe'!$D$27)*(C5262&lt;='Resultats - informe'!$E$27),0,(C5262&gt;='Resultats - informe'!$D$28)*(C5262&lt;='Resultats - informe'!$E$28),0,(C5262&gt;='Resultats - informe'!$D$29)*(C5262&lt;='Resultats - informe'!$E$29),0,1,1)</f>
        <v>0</v>
      </c>
      <c r="N5262" s="366">
        <f>+VLOOKUP(D5262,'Resultats - informe'!$Y$18:$AG$42,'Introducció dades consum'!K5262+1,0)</f>
        <v>0</v>
      </c>
      <c r="O5262" s="370" cm="1">
        <f t="array" ref="O5262">+_xlfn.SWITCH(MONTH(C5262),1,1,2,1,3,1,4,2,5,2,6,3,7,3,8,3,9,3,10,2,11,2,12,1,2)</f>
        <v>1</v>
      </c>
      <c r="P5262" s="43"/>
    </row>
    <row r="5263" spans="1:16" ht="18" x14ac:dyDescent="0.35">
      <c r="A5263" s="9"/>
      <c r="C5263" s="393"/>
      <c r="E5263" s="394"/>
      <c r="F5263" s="394">
        <v>0.157</v>
      </c>
      <c r="G5263" s="394"/>
      <c r="H5263" s="8" t="s">
        <v>235</v>
      </c>
      <c r="I5263" s="368">
        <f t="shared" si="247"/>
        <v>0</v>
      </c>
      <c r="J5263" s="365">
        <f t="shared" si="246"/>
        <v>0</v>
      </c>
      <c r="K5263" s="369">
        <f t="shared" si="248"/>
        <v>6</v>
      </c>
      <c r="L5263" s="369">
        <f>+IF((C5263&gt;='Resultats - informe'!$E$16)*(C5263&lt;='Resultats - informe'!$G$16),1,0)</f>
        <v>1</v>
      </c>
      <c r="M5263" s="369" cm="1">
        <f t="array" ref="M5263">+_xlfn.IFS((C5263&gt;='Resultats - informe'!$D$26)*(C5263&lt;='Resultats - informe'!$E$26),0,(C5263&gt;='Resultats - informe'!$D$27)*(C5263&lt;='Resultats - informe'!$E$27),0,(C5263&gt;='Resultats - informe'!$D$28)*(C5263&lt;='Resultats - informe'!$E$28),0,(C5263&gt;='Resultats - informe'!$D$29)*(C5263&lt;='Resultats - informe'!$E$29),0,1,1)</f>
        <v>0</v>
      </c>
      <c r="N5263" s="366">
        <f>+VLOOKUP(D5263,'Resultats - informe'!$Y$18:$AG$42,'Introducció dades consum'!K5263+1,0)</f>
        <v>0</v>
      </c>
      <c r="O5263" s="370" cm="1">
        <f t="array" ref="O5263">+_xlfn.SWITCH(MONTH(C5263),1,1,2,1,3,1,4,2,5,2,6,3,7,3,8,3,9,3,10,2,11,2,12,1,2)</f>
        <v>1</v>
      </c>
      <c r="P5263" s="43"/>
    </row>
    <row r="5264" spans="1:16" ht="18" x14ac:dyDescent="0.35">
      <c r="A5264" s="9"/>
      <c r="C5264" s="393"/>
      <c r="E5264" s="394"/>
      <c r="F5264" s="394">
        <v>0.16500000000000001</v>
      </c>
      <c r="G5264" s="394"/>
      <c r="H5264" s="8" t="s">
        <v>235</v>
      </c>
      <c r="I5264" s="368">
        <f t="shared" si="247"/>
        <v>0</v>
      </c>
      <c r="J5264" s="365">
        <f t="shared" si="246"/>
        <v>0</v>
      </c>
      <c r="K5264" s="369">
        <f t="shared" si="248"/>
        <v>6</v>
      </c>
      <c r="L5264" s="369">
        <f>+IF((C5264&gt;='Resultats - informe'!$E$16)*(C5264&lt;='Resultats - informe'!$G$16),1,0)</f>
        <v>1</v>
      </c>
      <c r="M5264" s="369" cm="1">
        <f t="array" ref="M5264">+_xlfn.IFS((C5264&gt;='Resultats - informe'!$D$26)*(C5264&lt;='Resultats - informe'!$E$26),0,(C5264&gt;='Resultats - informe'!$D$27)*(C5264&lt;='Resultats - informe'!$E$27),0,(C5264&gt;='Resultats - informe'!$D$28)*(C5264&lt;='Resultats - informe'!$E$28),0,(C5264&gt;='Resultats - informe'!$D$29)*(C5264&lt;='Resultats - informe'!$E$29),0,1,1)</f>
        <v>0</v>
      </c>
      <c r="N5264" s="366">
        <f>+VLOOKUP(D5264,'Resultats - informe'!$Y$18:$AG$42,'Introducció dades consum'!K5264+1,0)</f>
        <v>0</v>
      </c>
      <c r="O5264" s="370" cm="1">
        <f t="array" ref="O5264">+_xlfn.SWITCH(MONTH(C5264),1,1,2,1,3,1,4,2,5,2,6,3,7,3,8,3,9,3,10,2,11,2,12,1,2)</f>
        <v>1</v>
      </c>
      <c r="P5264" s="43"/>
    </row>
    <row r="5265" spans="1:16" ht="18" x14ac:dyDescent="0.35">
      <c r="A5265" s="9"/>
      <c r="C5265" s="393"/>
      <c r="E5265" s="394"/>
      <c r="F5265" s="394">
        <v>0.17399999999999999</v>
      </c>
      <c r="G5265" s="394"/>
      <c r="H5265" s="8" t="s">
        <v>235</v>
      </c>
      <c r="I5265" s="368">
        <f t="shared" si="247"/>
        <v>0</v>
      </c>
      <c r="J5265" s="365">
        <f t="shared" si="246"/>
        <v>0</v>
      </c>
      <c r="K5265" s="369">
        <f t="shared" si="248"/>
        <v>6</v>
      </c>
      <c r="L5265" s="369">
        <f>+IF((C5265&gt;='Resultats - informe'!$E$16)*(C5265&lt;='Resultats - informe'!$G$16),1,0)</f>
        <v>1</v>
      </c>
      <c r="M5265" s="369" cm="1">
        <f t="array" ref="M5265">+_xlfn.IFS((C5265&gt;='Resultats - informe'!$D$26)*(C5265&lt;='Resultats - informe'!$E$26),0,(C5265&gt;='Resultats - informe'!$D$27)*(C5265&lt;='Resultats - informe'!$E$27),0,(C5265&gt;='Resultats - informe'!$D$28)*(C5265&lt;='Resultats - informe'!$E$28),0,(C5265&gt;='Resultats - informe'!$D$29)*(C5265&lt;='Resultats - informe'!$E$29),0,1,1)</f>
        <v>0</v>
      </c>
      <c r="N5265" s="366">
        <f>+VLOOKUP(D5265,'Resultats - informe'!$Y$18:$AG$42,'Introducció dades consum'!K5265+1,0)</f>
        <v>0</v>
      </c>
      <c r="O5265" s="370" cm="1">
        <f t="array" ref="O5265">+_xlfn.SWITCH(MONTH(C5265),1,1,2,1,3,1,4,2,5,2,6,3,7,3,8,3,9,3,10,2,11,2,12,1,2)</f>
        <v>1</v>
      </c>
      <c r="P5265" s="43"/>
    </row>
    <row r="5266" spans="1:16" ht="18" x14ac:dyDescent="0.35">
      <c r="A5266" s="9"/>
      <c r="C5266" s="393"/>
      <c r="E5266" s="394"/>
      <c r="F5266" s="394">
        <v>0.21199999999999999</v>
      </c>
      <c r="G5266" s="394"/>
      <c r="H5266" s="8" t="s">
        <v>235</v>
      </c>
      <c r="I5266" s="368">
        <f t="shared" si="247"/>
        <v>0</v>
      </c>
      <c r="J5266" s="365">
        <f t="shared" si="246"/>
        <v>0</v>
      </c>
      <c r="K5266" s="369">
        <f t="shared" si="248"/>
        <v>6</v>
      </c>
      <c r="L5266" s="369">
        <f>+IF((C5266&gt;='Resultats - informe'!$E$16)*(C5266&lt;='Resultats - informe'!$G$16),1,0)</f>
        <v>1</v>
      </c>
      <c r="M5266" s="369" cm="1">
        <f t="array" ref="M5266">+_xlfn.IFS((C5266&gt;='Resultats - informe'!$D$26)*(C5266&lt;='Resultats - informe'!$E$26),0,(C5266&gt;='Resultats - informe'!$D$27)*(C5266&lt;='Resultats - informe'!$E$27),0,(C5266&gt;='Resultats - informe'!$D$28)*(C5266&lt;='Resultats - informe'!$E$28),0,(C5266&gt;='Resultats - informe'!$D$29)*(C5266&lt;='Resultats - informe'!$E$29),0,1,1)</f>
        <v>0</v>
      </c>
      <c r="N5266" s="366">
        <f>+VLOOKUP(D5266,'Resultats - informe'!$Y$18:$AG$42,'Introducció dades consum'!K5266+1,0)</f>
        <v>0</v>
      </c>
      <c r="O5266" s="370" cm="1">
        <f t="array" ref="O5266">+_xlfn.SWITCH(MONTH(C5266),1,1,2,1,3,1,4,2,5,2,6,3,7,3,8,3,9,3,10,2,11,2,12,1,2)</f>
        <v>1</v>
      </c>
      <c r="P5266" s="43"/>
    </row>
    <row r="5267" spans="1:16" ht="18" x14ac:dyDescent="0.35">
      <c r="A5267" s="9"/>
      <c r="C5267" s="393"/>
      <c r="E5267" s="394"/>
      <c r="F5267" s="394">
        <v>0.16900000000000001</v>
      </c>
      <c r="G5267" s="394"/>
      <c r="H5267" s="8" t="s">
        <v>235</v>
      </c>
      <c r="I5267" s="368">
        <f t="shared" si="247"/>
        <v>0</v>
      </c>
      <c r="J5267" s="365">
        <f t="shared" si="246"/>
        <v>0</v>
      </c>
      <c r="K5267" s="369">
        <f t="shared" si="248"/>
        <v>6</v>
      </c>
      <c r="L5267" s="369">
        <f>+IF((C5267&gt;='Resultats - informe'!$E$16)*(C5267&lt;='Resultats - informe'!$G$16),1,0)</f>
        <v>1</v>
      </c>
      <c r="M5267" s="369" cm="1">
        <f t="array" ref="M5267">+_xlfn.IFS((C5267&gt;='Resultats - informe'!$D$26)*(C5267&lt;='Resultats - informe'!$E$26),0,(C5267&gt;='Resultats - informe'!$D$27)*(C5267&lt;='Resultats - informe'!$E$27),0,(C5267&gt;='Resultats - informe'!$D$28)*(C5267&lt;='Resultats - informe'!$E$28),0,(C5267&gt;='Resultats - informe'!$D$29)*(C5267&lt;='Resultats - informe'!$E$29),0,1,1)</f>
        <v>0</v>
      </c>
      <c r="N5267" s="366">
        <f>+VLOOKUP(D5267,'Resultats - informe'!$Y$18:$AG$42,'Introducció dades consum'!K5267+1,0)</f>
        <v>0</v>
      </c>
      <c r="O5267" s="370" cm="1">
        <f t="array" ref="O5267">+_xlfn.SWITCH(MONTH(C5267),1,1,2,1,3,1,4,2,5,2,6,3,7,3,8,3,9,3,10,2,11,2,12,1,2)</f>
        <v>1</v>
      </c>
      <c r="P5267" s="43"/>
    </row>
    <row r="5268" spans="1:16" ht="18" x14ac:dyDescent="0.35">
      <c r="A5268" s="9"/>
      <c r="C5268" s="393"/>
      <c r="E5268" s="394"/>
      <c r="F5268" s="394">
        <v>1.0669999999999999</v>
      </c>
      <c r="G5268" s="394"/>
      <c r="H5268" s="8" t="s">
        <v>235</v>
      </c>
      <c r="I5268" s="368">
        <f t="shared" si="247"/>
        <v>0</v>
      </c>
      <c r="J5268" s="365">
        <f t="shared" si="246"/>
        <v>0</v>
      </c>
      <c r="K5268" s="369">
        <f t="shared" si="248"/>
        <v>6</v>
      </c>
      <c r="L5268" s="369">
        <f>+IF((C5268&gt;='Resultats - informe'!$E$16)*(C5268&lt;='Resultats - informe'!$G$16),1,0)</f>
        <v>1</v>
      </c>
      <c r="M5268" s="369" cm="1">
        <f t="array" ref="M5268">+_xlfn.IFS((C5268&gt;='Resultats - informe'!$D$26)*(C5268&lt;='Resultats - informe'!$E$26),0,(C5268&gt;='Resultats - informe'!$D$27)*(C5268&lt;='Resultats - informe'!$E$27),0,(C5268&gt;='Resultats - informe'!$D$28)*(C5268&lt;='Resultats - informe'!$E$28),0,(C5268&gt;='Resultats - informe'!$D$29)*(C5268&lt;='Resultats - informe'!$E$29),0,1,1)</f>
        <v>0</v>
      </c>
      <c r="N5268" s="366">
        <f>+VLOOKUP(D5268,'Resultats - informe'!$Y$18:$AG$42,'Introducció dades consum'!K5268+1,0)</f>
        <v>0</v>
      </c>
      <c r="O5268" s="370" cm="1">
        <f t="array" ref="O5268">+_xlfn.SWITCH(MONTH(C5268),1,1,2,1,3,1,4,2,5,2,6,3,7,3,8,3,9,3,10,2,11,2,12,1,2)</f>
        <v>1</v>
      </c>
      <c r="P5268" s="43"/>
    </row>
    <row r="5269" spans="1:16" ht="18" x14ac:dyDescent="0.35">
      <c r="A5269" s="9"/>
      <c r="C5269" s="393"/>
      <c r="E5269" s="394"/>
      <c r="F5269" s="394">
        <v>0.99099999999999999</v>
      </c>
      <c r="G5269" s="394"/>
      <c r="H5269" s="8" t="s">
        <v>235</v>
      </c>
      <c r="I5269" s="368">
        <f t="shared" si="247"/>
        <v>0</v>
      </c>
      <c r="J5269" s="365">
        <f t="shared" si="246"/>
        <v>0</v>
      </c>
      <c r="K5269" s="369">
        <f t="shared" si="248"/>
        <v>6</v>
      </c>
      <c r="L5269" s="369">
        <f>+IF((C5269&gt;='Resultats - informe'!$E$16)*(C5269&lt;='Resultats - informe'!$G$16),1,0)</f>
        <v>1</v>
      </c>
      <c r="M5269" s="369" cm="1">
        <f t="array" ref="M5269">+_xlfn.IFS((C5269&gt;='Resultats - informe'!$D$26)*(C5269&lt;='Resultats - informe'!$E$26),0,(C5269&gt;='Resultats - informe'!$D$27)*(C5269&lt;='Resultats - informe'!$E$27),0,(C5269&gt;='Resultats - informe'!$D$28)*(C5269&lt;='Resultats - informe'!$E$28),0,(C5269&gt;='Resultats - informe'!$D$29)*(C5269&lt;='Resultats - informe'!$E$29),0,1,1)</f>
        <v>0</v>
      </c>
      <c r="N5269" s="366">
        <f>+VLOOKUP(D5269,'Resultats - informe'!$Y$18:$AG$42,'Introducció dades consum'!K5269+1,0)</f>
        <v>0</v>
      </c>
      <c r="O5269" s="370" cm="1">
        <f t="array" ref="O5269">+_xlfn.SWITCH(MONTH(C5269),1,1,2,1,3,1,4,2,5,2,6,3,7,3,8,3,9,3,10,2,11,2,12,1,2)</f>
        <v>1</v>
      </c>
      <c r="P5269" s="43"/>
    </row>
    <row r="5270" spans="1:16" ht="18" x14ac:dyDescent="0.35">
      <c r="A5270" s="9"/>
      <c r="C5270" s="393"/>
      <c r="E5270" s="394"/>
      <c r="F5270" s="394">
        <v>1.734</v>
      </c>
      <c r="G5270" s="394"/>
      <c r="H5270" s="8" t="s">
        <v>235</v>
      </c>
      <c r="I5270" s="368">
        <f t="shared" si="247"/>
        <v>0</v>
      </c>
      <c r="J5270" s="365">
        <f t="shared" si="246"/>
        <v>0</v>
      </c>
      <c r="K5270" s="369">
        <f t="shared" si="248"/>
        <v>6</v>
      </c>
      <c r="L5270" s="369">
        <f>+IF((C5270&gt;='Resultats - informe'!$E$16)*(C5270&lt;='Resultats - informe'!$G$16),1,0)</f>
        <v>1</v>
      </c>
      <c r="M5270" s="369" cm="1">
        <f t="array" ref="M5270">+_xlfn.IFS((C5270&gt;='Resultats - informe'!$D$26)*(C5270&lt;='Resultats - informe'!$E$26),0,(C5270&gt;='Resultats - informe'!$D$27)*(C5270&lt;='Resultats - informe'!$E$27),0,(C5270&gt;='Resultats - informe'!$D$28)*(C5270&lt;='Resultats - informe'!$E$28),0,(C5270&gt;='Resultats - informe'!$D$29)*(C5270&lt;='Resultats - informe'!$E$29),0,1,1)</f>
        <v>0</v>
      </c>
      <c r="N5270" s="366">
        <f>+VLOOKUP(D5270,'Resultats - informe'!$Y$18:$AG$42,'Introducció dades consum'!K5270+1,0)</f>
        <v>0</v>
      </c>
      <c r="O5270" s="370" cm="1">
        <f t="array" ref="O5270">+_xlfn.SWITCH(MONTH(C5270),1,1,2,1,3,1,4,2,5,2,6,3,7,3,8,3,9,3,10,2,11,2,12,1,2)</f>
        <v>1</v>
      </c>
      <c r="P5270" s="43"/>
    </row>
    <row r="5271" spans="1:16" ht="18" x14ac:dyDescent="0.35">
      <c r="A5271" s="9"/>
      <c r="C5271" s="393"/>
      <c r="E5271" s="394"/>
      <c r="F5271" s="394">
        <v>1.631</v>
      </c>
      <c r="G5271" s="394"/>
      <c r="H5271" s="8" t="s">
        <v>235</v>
      </c>
      <c r="I5271" s="368">
        <f t="shared" si="247"/>
        <v>0</v>
      </c>
      <c r="J5271" s="365">
        <f t="shared" si="246"/>
        <v>0</v>
      </c>
      <c r="K5271" s="369">
        <f t="shared" si="248"/>
        <v>6</v>
      </c>
      <c r="L5271" s="369">
        <f>+IF((C5271&gt;='Resultats - informe'!$E$16)*(C5271&lt;='Resultats - informe'!$G$16),1,0)</f>
        <v>1</v>
      </c>
      <c r="M5271" s="369" cm="1">
        <f t="array" ref="M5271">+_xlfn.IFS((C5271&gt;='Resultats - informe'!$D$26)*(C5271&lt;='Resultats - informe'!$E$26),0,(C5271&gt;='Resultats - informe'!$D$27)*(C5271&lt;='Resultats - informe'!$E$27),0,(C5271&gt;='Resultats - informe'!$D$28)*(C5271&lt;='Resultats - informe'!$E$28),0,(C5271&gt;='Resultats - informe'!$D$29)*(C5271&lt;='Resultats - informe'!$E$29),0,1,1)</f>
        <v>0</v>
      </c>
      <c r="N5271" s="366">
        <f>+VLOOKUP(D5271,'Resultats - informe'!$Y$18:$AG$42,'Introducció dades consum'!K5271+1,0)</f>
        <v>0</v>
      </c>
      <c r="O5271" s="370" cm="1">
        <f t="array" ref="O5271">+_xlfn.SWITCH(MONTH(C5271),1,1,2,1,3,1,4,2,5,2,6,3,7,3,8,3,9,3,10,2,11,2,12,1,2)</f>
        <v>1</v>
      </c>
      <c r="P5271" s="43"/>
    </row>
    <row r="5272" spans="1:16" ht="18" x14ac:dyDescent="0.35">
      <c r="A5272" s="9"/>
      <c r="C5272" s="393"/>
      <c r="E5272" s="394"/>
      <c r="F5272" s="394">
        <v>1.3959999999999999</v>
      </c>
      <c r="G5272" s="394"/>
      <c r="H5272" s="8" t="s">
        <v>235</v>
      </c>
      <c r="I5272" s="368">
        <f t="shared" si="247"/>
        <v>0</v>
      </c>
      <c r="J5272" s="365">
        <f t="shared" si="246"/>
        <v>0</v>
      </c>
      <c r="K5272" s="369">
        <f t="shared" si="248"/>
        <v>6</v>
      </c>
      <c r="L5272" s="369">
        <f>+IF((C5272&gt;='Resultats - informe'!$E$16)*(C5272&lt;='Resultats - informe'!$G$16),1,0)</f>
        <v>1</v>
      </c>
      <c r="M5272" s="369" cm="1">
        <f t="array" ref="M5272">+_xlfn.IFS((C5272&gt;='Resultats - informe'!$D$26)*(C5272&lt;='Resultats - informe'!$E$26),0,(C5272&gt;='Resultats - informe'!$D$27)*(C5272&lt;='Resultats - informe'!$E$27),0,(C5272&gt;='Resultats - informe'!$D$28)*(C5272&lt;='Resultats - informe'!$E$28),0,(C5272&gt;='Resultats - informe'!$D$29)*(C5272&lt;='Resultats - informe'!$E$29),0,1,1)</f>
        <v>0</v>
      </c>
      <c r="N5272" s="366">
        <f>+VLOOKUP(D5272,'Resultats - informe'!$Y$18:$AG$42,'Introducció dades consum'!K5272+1,0)</f>
        <v>0</v>
      </c>
      <c r="O5272" s="370" cm="1">
        <f t="array" ref="O5272">+_xlfn.SWITCH(MONTH(C5272),1,1,2,1,3,1,4,2,5,2,6,3,7,3,8,3,9,3,10,2,11,2,12,1,2)</f>
        <v>1</v>
      </c>
      <c r="P5272" s="43"/>
    </row>
    <row r="5273" spans="1:16" ht="18" x14ac:dyDescent="0.35">
      <c r="A5273" s="9"/>
      <c r="C5273" s="393"/>
      <c r="E5273" s="394"/>
      <c r="F5273" s="394">
        <v>0.79800000000000004</v>
      </c>
      <c r="G5273" s="394"/>
      <c r="H5273" s="8" t="s">
        <v>235</v>
      </c>
      <c r="I5273" s="368">
        <f t="shared" si="247"/>
        <v>0</v>
      </c>
      <c r="J5273" s="365">
        <f t="shared" si="246"/>
        <v>0</v>
      </c>
      <c r="K5273" s="369">
        <f t="shared" si="248"/>
        <v>6</v>
      </c>
      <c r="L5273" s="369">
        <f>+IF((C5273&gt;='Resultats - informe'!$E$16)*(C5273&lt;='Resultats - informe'!$G$16),1,0)</f>
        <v>1</v>
      </c>
      <c r="M5273" s="369" cm="1">
        <f t="array" ref="M5273">+_xlfn.IFS((C5273&gt;='Resultats - informe'!$D$26)*(C5273&lt;='Resultats - informe'!$E$26),0,(C5273&gt;='Resultats - informe'!$D$27)*(C5273&lt;='Resultats - informe'!$E$27),0,(C5273&gt;='Resultats - informe'!$D$28)*(C5273&lt;='Resultats - informe'!$E$28),0,(C5273&gt;='Resultats - informe'!$D$29)*(C5273&lt;='Resultats - informe'!$E$29),0,1,1)</f>
        <v>0</v>
      </c>
      <c r="N5273" s="366">
        <f>+VLOOKUP(D5273,'Resultats - informe'!$Y$18:$AG$42,'Introducció dades consum'!K5273+1,0)</f>
        <v>0</v>
      </c>
      <c r="O5273" s="370" cm="1">
        <f t="array" ref="O5273">+_xlfn.SWITCH(MONTH(C5273),1,1,2,1,3,1,4,2,5,2,6,3,7,3,8,3,9,3,10,2,11,2,12,1,2)</f>
        <v>1</v>
      </c>
      <c r="P5273" s="43"/>
    </row>
    <row r="5274" spans="1:16" ht="18" x14ac:dyDescent="0.35">
      <c r="A5274" s="9"/>
      <c r="C5274" s="393"/>
      <c r="E5274" s="394"/>
      <c r="F5274" s="394">
        <v>0.13600000000000001</v>
      </c>
      <c r="G5274" s="394"/>
      <c r="H5274" s="8" t="s">
        <v>235</v>
      </c>
      <c r="I5274" s="368">
        <f t="shared" si="247"/>
        <v>0</v>
      </c>
      <c r="J5274" s="365">
        <f t="shared" si="246"/>
        <v>0</v>
      </c>
      <c r="K5274" s="369">
        <f t="shared" si="248"/>
        <v>6</v>
      </c>
      <c r="L5274" s="369">
        <f>+IF((C5274&gt;='Resultats - informe'!$E$16)*(C5274&lt;='Resultats - informe'!$G$16),1,0)</f>
        <v>1</v>
      </c>
      <c r="M5274" s="369" cm="1">
        <f t="array" ref="M5274">+_xlfn.IFS((C5274&gt;='Resultats - informe'!$D$26)*(C5274&lt;='Resultats - informe'!$E$26),0,(C5274&gt;='Resultats - informe'!$D$27)*(C5274&lt;='Resultats - informe'!$E$27),0,(C5274&gt;='Resultats - informe'!$D$28)*(C5274&lt;='Resultats - informe'!$E$28),0,(C5274&gt;='Resultats - informe'!$D$29)*(C5274&lt;='Resultats - informe'!$E$29),0,1,1)</f>
        <v>0</v>
      </c>
      <c r="N5274" s="366">
        <f>+VLOOKUP(D5274,'Resultats - informe'!$Y$18:$AG$42,'Introducció dades consum'!K5274+1,0)</f>
        <v>0</v>
      </c>
      <c r="O5274" s="370" cm="1">
        <f t="array" ref="O5274">+_xlfn.SWITCH(MONTH(C5274),1,1,2,1,3,1,4,2,5,2,6,3,7,3,8,3,9,3,10,2,11,2,12,1,2)</f>
        <v>1</v>
      </c>
      <c r="P5274" s="43"/>
    </row>
    <row r="5275" spans="1:16" ht="18" x14ac:dyDescent="0.35">
      <c r="A5275" s="9"/>
      <c r="C5275" s="393"/>
      <c r="E5275" s="394"/>
      <c r="F5275" s="394">
        <v>1.369</v>
      </c>
      <c r="G5275" s="394"/>
      <c r="H5275" s="8" t="s">
        <v>235</v>
      </c>
      <c r="I5275" s="368">
        <f t="shared" si="247"/>
        <v>0</v>
      </c>
      <c r="J5275" s="365">
        <f t="shared" si="246"/>
        <v>0</v>
      </c>
      <c r="K5275" s="369">
        <f t="shared" si="248"/>
        <v>6</v>
      </c>
      <c r="L5275" s="369">
        <f>+IF((C5275&gt;='Resultats - informe'!$E$16)*(C5275&lt;='Resultats - informe'!$G$16),1,0)</f>
        <v>1</v>
      </c>
      <c r="M5275" s="369" cm="1">
        <f t="array" ref="M5275">+_xlfn.IFS((C5275&gt;='Resultats - informe'!$D$26)*(C5275&lt;='Resultats - informe'!$E$26),0,(C5275&gt;='Resultats - informe'!$D$27)*(C5275&lt;='Resultats - informe'!$E$27),0,(C5275&gt;='Resultats - informe'!$D$28)*(C5275&lt;='Resultats - informe'!$E$28),0,(C5275&gt;='Resultats - informe'!$D$29)*(C5275&lt;='Resultats - informe'!$E$29),0,1,1)</f>
        <v>0</v>
      </c>
      <c r="N5275" s="366">
        <f>+VLOOKUP(D5275,'Resultats - informe'!$Y$18:$AG$42,'Introducció dades consum'!K5275+1,0)</f>
        <v>0</v>
      </c>
      <c r="O5275" s="370" cm="1">
        <f t="array" ref="O5275">+_xlfn.SWITCH(MONTH(C5275),1,1,2,1,3,1,4,2,5,2,6,3,7,3,8,3,9,3,10,2,11,2,12,1,2)</f>
        <v>1</v>
      </c>
      <c r="P5275" s="43"/>
    </row>
    <row r="5276" spans="1:16" ht="18" x14ac:dyDescent="0.35">
      <c r="A5276" s="9"/>
      <c r="C5276" s="393"/>
      <c r="E5276" s="394"/>
      <c r="F5276" s="394">
        <v>0.78500000000000003</v>
      </c>
      <c r="G5276" s="394"/>
      <c r="H5276" s="8" t="s">
        <v>235</v>
      </c>
      <c r="I5276" s="368">
        <f t="shared" si="247"/>
        <v>0</v>
      </c>
      <c r="J5276" s="365">
        <f t="shared" si="246"/>
        <v>0</v>
      </c>
      <c r="K5276" s="369">
        <f t="shared" si="248"/>
        <v>6</v>
      </c>
      <c r="L5276" s="369">
        <f>+IF((C5276&gt;='Resultats - informe'!$E$16)*(C5276&lt;='Resultats - informe'!$G$16),1,0)</f>
        <v>1</v>
      </c>
      <c r="M5276" s="369" cm="1">
        <f t="array" ref="M5276">+_xlfn.IFS((C5276&gt;='Resultats - informe'!$D$26)*(C5276&lt;='Resultats - informe'!$E$26),0,(C5276&gt;='Resultats - informe'!$D$27)*(C5276&lt;='Resultats - informe'!$E$27),0,(C5276&gt;='Resultats - informe'!$D$28)*(C5276&lt;='Resultats - informe'!$E$28),0,(C5276&gt;='Resultats - informe'!$D$29)*(C5276&lt;='Resultats - informe'!$E$29),0,1,1)</f>
        <v>0</v>
      </c>
      <c r="N5276" s="366">
        <f>+VLOOKUP(D5276,'Resultats - informe'!$Y$18:$AG$42,'Introducció dades consum'!K5276+1,0)</f>
        <v>0</v>
      </c>
      <c r="O5276" s="370" cm="1">
        <f t="array" ref="O5276">+_xlfn.SWITCH(MONTH(C5276),1,1,2,1,3,1,4,2,5,2,6,3,7,3,8,3,9,3,10,2,11,2,12,1,2)</f>
        <v>1</v>
      </c>
      <c r="P5276" s="43"/>
    </row>
    <row r="5277" spans="1:16" ht="18" x14ac:dyDescent="0.35">
      <c r="A5277" s="9"/>
      <c r="C5277" s="393"/>
      <c r="E5277" s="394"/>
      <c r="F5277" s="394">
        <v>6.8000000000000005E-2</v>
      </c>
      <c r="G5277" s="394"/>
      <c r="H5277" s="8" t="s">
        <v>235</v>
      </c>
      <c r="I5277" s="368">
        <f t="shared" si="247"/>
        <v>0</v>
      </c>
      <c r="J5277" s="365">
        <f t="shared" si="246"/>
        <v>0</v>
      </c>
      <c r="K5277" s="369">
        <f t="shared" si="248"/>
        <v>6</v>
      </c>
      <c r="L5277" s="369">
        <f>+IF((C5277&gt;='Resultats - informe'!$E$16)*(C5277&lt;='Resultats - informe'!$G$16),1,0)</f>
        <v>1</v>
      </c>
      <c r="M5277" s="369" cm="1">
        <f t="array" ref="M5277">+_xlfn.IFS((C5277&gt;='Resultats - informe'!$D$26)*(C5277&lt;='Resultats - informe'!$E$26),0,(C5277&gt;='Resultats - informe'!$D$27)*(C5277&lt;='Resultats - informe'!$E$27),0,(C5277&gt;='Resultats - informe'!$D$28)*(C5277&lt;='Resultats - informe'!$E$28),0,(C5277&gt;='Resultats - informe'!$D$29)*(C5277&lt;='Resultats - informe'!$E$29),0,1,1)</f>
        <v>0</v>
      </c>
      <c r="N5277" s="366">
        <f>+VLOOKUP(D5277,'Resultats - informe'!$Y$18:$AG$42,'Introducció dades consum'!K5277+1,0)</f>
        <v>0</v>
      </c>
      <c r="O5277" s="370" cm="1">
        <f t="array" ref="O5277">+_xlfn.SWITCH(MONTH(C5277),1,1,2,1,3,1,4,2,5,2,6,3,7,3,8,3,9,3,10,2,11,2,12,1,2)</f>
        <v>1</v>
      </c>
      <c r="P5277" s="43"/>
    </row>
    <row r="5278" spans="1:16" ht="18" x14ac:dyDescent="0.35">
      <c r="A5278" s="9"/>
      <c r="C5278" s="393"/>
      <c r="E5278" s="394"/>
      <c r="F5278" s="394">
        <v>0.97599999999999998</v>
      </c>
      <c r="G5278" s="394"/>
      <c r="H5278" s="8" t="s">
        <v>235</v>
      </c>
      <c r="I5278" s="368">
        <f t="shared" si="247"/>
        <v>0</v>
      </c>
      <c r="J5278" s="365">
        <f t="shared" si="246"/>
        <v>0</v>
      </c>
      <c r="K5278" s="369">
        <f t="shared" si="248"/>
        <v>6</v>
      </c>
      <c r="L5278" s="369">
        <f>+IF((C5278&gt;='Resultats - informe'!$E$16)*(C5278&lt;='Resultats - informe'!$G$16),1,0)</f>
        <v>1</v>
      </c>
      <c r="M5278" s="369" cm="1">
        <f t="array" ref="M5278">+_xlfn.IFS((C5278&gt;='Resultats - informe'!$D$26)*(C5278&lt;='Resultats - informe'!$E$26),0,(C5278&gt;='Resultats - informe'!$D$27)*(C5278&lt;='Resultats - informe'!$E$27),0,(C5278&gt;='Resultats - informe'!$D$28)*(C5278&lt;='Resultats - informe'!$E$28),0,(C5278&gt;='Resultats - informe'!$D$29)*(C5278&lt;='Resultats - informe'!$E$29),0,1,1)</f>
        <v>0</v>
      </c>
      <c r="N5278" s="366">
        <f>+VLOOKUP(D5278,'Resultats - informe'!$Y$18:$AG$42,'Introducció dades consum'!K5278+1,0)</f>
        <v>0</v>
      </c>
      <c r="O5278" s="370" cm="1">
        <f t="array" ref="O5278">+_xlfn.SWITCH(MONTH(C5278),1,1,2,1,3,1,4,2,5,2,6,3,7,3,8,3,9,3,10,2,11,2,12,1,2)</f>
        <v>1</v>
      </c>
      <c r="P5278" s="43"/>
    </row>
    <row r="5279" spans="1:16" ht="18" x14ac:dyDescent="0.35">
      <c r="A5279" s="9"/>
      <c r="C5279" s="393"/>
      <c r="E5279" s="394"/>
      <c r="F5279" s="394">
        <v>0.99199999999999999</v>
      </c>
      <c r="G5279" s="394"/>
      <c r="H5279" s="8" t="s">
        <v>235</v>
      </c>
      <c r="I5279" s="368">
        <f t="shared" si="247"/>
        <v>0</v>
      </c>
      <c r="J5279" s="365">
        <f t="shared" si="246"/>
        <v>0</v>
      </c>
      <c r="K5279" s="369">
        <f t="shared" si="248"/>
        <v>6</v>
      </c>
      <c r="L5279" s="369">
        <f>+IF((C5279&gt;='Resultats - informe'!$E$16)*(C5279&lt;='Resultats - informe'!$G$16),1,0)</f>
        <v>1</v>
      </c>
      <c r="M5279" s="369" cm="1">
        <f t="array" ref="M5279">+_xlfn.IFS((C5279&gt;='Resultats - informe'!$D$26)*(C5279&lt;='Resultats - informe'!$E$26),0,(C5279&gt;='Resultats - informe'!$D$27)*(C5279&lt;='Resultats - informe'!$E$27),0,(C5279&gt;='Resultats - informe'!$D$28)*(C5279&lt;='Resultats - informe'!$E$28),0,(C5279&gt;='Resultats - informe'!$D$29)*(C5279&lt;='Resultats - informe'!$E$29),0,1,1)</f>
        <v>0</v>
      </c>
      <c r="N5279" s="366">
        <f>+VLOOKUP(D5279,'Resultats - informe'!$Y$18:$AG$42,'Introducció dades consum'!K5279+1,0)</f>
        <v>0</v>
      </c>
      <c r="O5279" s="370" cm="1">
        <f t="array" ref="O5279">+_xlfn.SWITCH(MONTH(C5279),1,1,2,1,3,1,4,2,5,2,6,3,7,3,8,3,9,3,10,2,11,2,12,1,2)</f>
        <v>1</v>
      </c>
      <c r="P5279" s="43"/>
    </row>
    <row r="5280" spans="1:16" ht="18" x14ac:dyDescent="0.35">
      <c r="A5280" s="9"/>
      <c r="C5280" s="393"/>
      <c r="E5280" s="394"/>
      <c r="F5280" s="394">
        <v>1.238</v>
      </c>
      <c r="G5280" s="394"/>
      <c r="H5280" s="8" t="s">
        <v>235</v>
      </c>
      <c r="I5280" s="368">
        <f t="shared" si="247"/>
        <v>0</v>
      </c>
      <c r="J5280" s="365">
        <f t="shared" si="246"/>
        <v>0</v>
      </c>
      <c r="K5280" s="369">
        <f t="shared" si="248"/>
        <v>6</v>
      </c>
      <c r="L5280" s="369">
        <f>+IF((C5280&gt;='Resultats - informe'!$E$16)*(C5280&lt;='Resultats - informe'!$G$16),1,0)</f>
        <v>1</v>
      </c>
      <c r="M5280" s="369" cm="1">
        <f t="array" ref="M5280">+_xlfn.IFS((C5280&gt;='Resultats - informe'!$D$26)*(C5280&lt;='Resultats - informe'!$E$26),0,(C5280&gt;='Resultats - informe'!$D$27)*(C5280&lt;='Resultats - informe'!$E$27),0,(C5280&gt;='Resultats - informe'!$D$28)*(C5280&lt;='Resultats - informe'!$E$28),0,(C5280&gt;='Resultats - informe'!$D$29)*(C5280&lt;='Resultats - informe'!$E$29),0,1,1)</f>
        <v>0</v>
      </c>
      <c r="N5280" s="366">
        <f>+VLOOKUP(D5280,'Resultats - informe'!$Y$18:$AG$42,'Introducció dades consum'!K5280+1,0)</f>
        <v>0</v>
      </c>
      <c r="O5280" s="370" cm="1">
        <f t="array" ref="O5280">+_xlfn.SWITCH(MONTH(C5280),1,1,2,1,3,1,4,2,5,2,6,3,7,3,8,3,9,3,10,2,11,2,12,1,2)</f>
        <v>1</v>
      </c>
      <c r="P5280" s="43"/>
    </row>
    <row r="5281" spans="1:16" ht="18" x14ac:dyDescent="0.35">
      <c r="A5281" s="9"/>
      <c r="C5281" s="393"/>
      <c r="E5281" s="394"/>
      <c r="F5281" s="394">
        <v>1.3080000000000001</v>
      </c>
      <c r="G5281" s="394"/>
      <c r="H5281" s="8" t="s">
        <v>235</v>
      </c>
      <c r="I5281" s="368">
        <f t="shared" si="247"/>
        <v>0</v>
      </c>
      <c r="J5281" s="365">
        <f t="shared" si="246"/>
        <v>0</v>
      </c>
      <c r="K5281" s="369">
        <f t="shared" si="248"/>
        <v>6</v>
      </c>
      <c r="L5281" s="369">
        <f>+IF((C5281&gt;='Resultats - informe'!$E$16)*(C5281&lt;='Resultats - informe'!$G$16),1,0)</f>
        <v>1</v>
      </c>
      <c r="M5281" s="369" cm="1">
        <f t="array" ref="M5281">+_xlfn.IFS((C5281&gt;='Resultats - informe'!$D$26)*(C5281&lt;='Resultats - informe'!$E$26),0,(C5281&gt;='Resultats - informe'!$D$27)*(C5281&lt;='Resultats - informe'!$E$27),0,(C5281&gt;='Resultats - informe'!$D$28)*(C5281&lt;='Resultats - informe'!$E$28),0,(C5281&gt;='Resultats - informe'!$D$29)*(C5281&lt;='Resultats - informe'!$E$29),0,1,1)</f>
        <v>0</v>
      </c>
      <c r="N5281" s="366">
        <f>+VLOOKUP(D5281,'Resultats - informe'!$Y$18:$AG$42,'Introducció dades consum'!K5281+1,0)</f>
        <v>0</v>
      </c>
      <c r="O5281" s="370" cm="1">
        <f t="array" ref="O5281">+_xlfn.SWITCH(MONTH(C5281),1,1,2,1,3,1,4,2,5,2,6,3,7,3,8,3,9,3,10,2,11,2,12,1,2)</f>
        <v>1</v>
      </c>
      <c r="P5281" s="43"/>
    </row>
    <row r="5282" spans="1:16" ht="18" x14ac:dyDescent="0.35">
      <c r="A5282" s="9"/>
      <c r="C5282" s="393"/>
      <c r="E5282" s="394"/>
      <c r="F5282" s="394">
        <v>1.03</v>
      </c>
      <c r="G5282" s="394"/>
      <c r="H5282" s="8" t="s">
        <v>235</v>
      </c>
      <c r="I5282" s="368">
        <f t="shared" si="247"/>
        <v>0</v>
      </c>
      <c r="J5282" s="365">
        <f t="shared" si="246"/>
        <v>0</v>
      </c>
      <c r="K5282" s="369">
        <f t="shared" si="248"/>
        <v>6</v>
      </c>
      <c r="L5282" s="369">
        <f>+IF((C5282&gt;='Resultats - informe'!$E$16)*(C5282&lt;='Resultats - informe'!$G$16),1,0)</f>
        <v>1</v>
      </c>
      <c r="M5282" s="369" cm="1">
        <f t="array" ref="M5282">+_xlfn.IFS((C5282&gt;='Resultats - informe'!$D$26)*(C5282&lt;='Resultats - informe'!$E$26),0,(C5282&gt;='Resultats - informe'!$D$27)*(C5282&lt;='Resultats - informe'!$E$27),0,(C5282&gt;='Resultats - informe'!$D$28)*(C5282&lt;='Resultats - informe'!$E$28),0,(C5282&gt;='Resultats - informe'!$D$29)*(C5282&lt;='Resultats - informe'!$E$29),0,1,1)</f>
        <v>0</v>
      </c>
      <c r="N5282" s="366">
        <f>+VLOOKUP(D5282,'Resultats - informe'!$Y$18:$AG$42,'Introducció dades consum'!K5282+1,0)</f>
        <v>0</v>
      </c>
      <c r="O5282" s="370" cm="1">
        <f t="array" ref="O5282">+_xlfn.SWITCH(MONTH(C5282),1,1,2,1,3,1,4,2,5,2,6,3,7,3,8,3,9,3,10,2,11,2,12,1,2)</f>
        <v>1</v>
      </c>
      <c r="P5282" s="43"/>
    </row>
    <row r="5283" spans="1:16" ht="18" x14ac:dyDescent="0.35">
      <c r="A5283" s="9"/>
      <c r="C5283" s="393"/>
      <c r="E5283" s="394"/>
      <c r="F5283" s="394">
        <v>1.075</v>
      </c>
      <c r="G5283" s="394"/>
      <c r="H5283" s="8" t="s">
        <v>235</v>
      </c>
      <c r="I5283" s="368">
        <f t="shared" si="247"/>
        <v>0</v>
      </c>
      <c r="J5283" s="365">
        <f t="shared" si="246"/>
        <v>0</v>
      </c>
      <c r="K5283" s="369">
        <f t="shared" si="248"/>
        <v>6</v>
      </c>
      <c r="L5283" s="369">
        <f>+IF((C5283&gt;='Resultats - informe'!$E$16)*(C5283&lt;='Resultats - informe'!$G$16),1,0)</f>
        <v>1</v>
      </c>
      <c r="M5283" s="369" cm="1">
        <f t="array" ref="M5283">+_xlfn.IFS((C5283&gt;='Resultats - informe'!$D$26)*(C5283&lt;='Resultats - informe'!$E$26),0,(C5283&gt;='Resultats - informe'!$D$27)*(C5283&lt;='Resultats - informe'!$E$27),0,(C5283&gt;='Resultats - informe'!$D$28)*(C5283&lt;='Resultats - informe'!$E$28),0,(C5283&gt;='Resultats - informe'!$D$29)*(C5283&lt;='Resultats - informe'!$E$29),0,1,1)</f>
        <v>0</v>
      </c>
      <c r="N5283" s="366">
        <f>+VLOOKUP(D5283,'Resultats - informe'!$Y$18:$AG$42,'Introducció dades consum'!K5283+1,0)</f>
        <v>0</v>
      </c>
      <c r="O5283" s="370" cm="1">
        <f t="array" ref="O5283">+_xlfn.SWITCH(MONTH(C5283),1,1,2,1,3,1,4,2,5,2,6,3,7,3,8,3,9,3,10,2,11,2,12,1,2)</f>
        <v>1</v>
      </c>
      <c r="P5283" s="43"/>
    </row>
    <row r="5284" spans="1:16" ht="18" x14ac:dyDescent="0.35">
      <c r="A5284" s="9"/>
      <c r="C5284" s="393"/>
      <c r="E5284" s="394"/>
      <c r="F5284" s="394">
        <v>0</v>
      </c>
      <c r="G5284" s="394"/>
      <c r="H5284" s="8" t="s">
        <v>235</v>
      </c>
      <c r="I5284" s="368">
        <f t="shared" si="247"/>
        <v>0</v>
      </c>
      <c r="J5284" s="365">
        <f t="shared" si="246"/>
        <v>0</v>
      </c>
      <c r="K5284" s="369">
        <f t="shared" si="248"/>
        <v>6</v>
      </c>
      <c r="L5284" s="369">
        <f>+IF((C5284&gt;='Resultats - informe'!$E$16)*(C5284&lt;='Resultats - informe'!$G$16),1,0)</f>
        <v>1</v>
      </c>
      <c r="M5284" s="369" cm="1">
        <f t="array" ref="M5284">+_xlfn.IFS((C5284&gt;='Resultats - informe'!$D$26)*(C5284&lt;='Resultats - informe'!$E$26),0,(C5284&gt;='Resultats - informe'!$D$27)*(C5284&lt;='Resultats - informe'!$E$27),0,(C5284&gt;='Resultats - informe'!$D$28)*(C5284&lt;='Resultats - informe'!$E$28),0,(C5284&gt;='Resultats - informe'!$D$29)*(C5284&lt;='Resultats - informe'!$E$29),0,1,1)</f>
        <v>0</v>
      </c>
      <c r="N5284" s="366">
        <f>+VLOOKUP(D5284,'Resultats - informe'!$Y$18:$AG$42,'Introducció dades consum'!K5284+1,0)</f>
        <v>0</v>
      </c>
      <c r="O5284" s="370" cm="1">
        <f t="array" ref="O5284">+_xlfn.SWITCH(MONTH(C5284),1,1,2,1,3,1,4,2,5,2,6,3,7,3,8,3,9,3,10,2,11,2,12,1,2)</f>
        <v>1</v>
      </c>
      <c r="P5284" s="43"/>
    </row>
    <row r="5285" spans="1:16" ht="18" x14ac:dyDescent="0.35">
      <c r="A5285" s="9"/>
      <c r="C5285" s="393"/>
      <c r="E5285" s="394"/>
      <c r="F5285" s="394">
        <v>0.17699999999999999</v>
      </c>
      <c r="G5285" s="394"/>
      <c r="H5285" s="8" t="s">
        <v>235</v>
      </c>
      <c r="I5285" s="368">
        <f t="shared" si="247"/>
        <v>0</v>
      </c>
      <c r="J5285" s="365">
        <f t="shared" si="246"/>
        <v>0</v>
      </c>
      <c r="K5285" s="369">
        <f t="shared" si="248"/>
        <v>6</v>
      </c>
      <c r="L5285" s="369">
        <f>+IF((C5285&gt;='Resultats - informe'!$E$16)*(C5285&lt;='Resultats - informe'!$G$16),1,0)</f>
        <v>1</v>
      </c>
      <c r="M5285" s="369" cm="1">
        <f t="array" ref="M5285">+_xlfn.IFS((C5285&gt;='Resultats - informe'!$D$26)*(C5285&lt;='Resultats - informe'!$E$26),0,(C5285&gt;='Resultats - informe'!$D$27)*(C5285&lt;='Resultats - informe'!$E$27),0,(C5285&gt;='Resultats - informe'!$D$28)*(C5285&lt;='Resultats - informe'!$E$28),0,(C5285&gt;='Resultats - informe'!$D$29)*(C5285&lt;='Resultats - informe'!$E$29),0,1,1)</f>
        <v>0</v>
      </c>
      <c r="N5285" s="366">
        <f>+VLOOKUP(D5285,'Resultats - informe'!$Y$18:$AG$42,'Introducció dades consum'!K5285+1,0)</f>
        <v>0</v>
      </c>
      <c r="O5285" s="370" cm="1">
        <f t="array" ref="O5285">+_xlfn.SWITCH(MONTH(C5285),1,1,2,1,3,1,4,2,5,2,6,3,7,3,8,3,9,3,10,2,11,2,12,1,2)</f>
        <v>1</v>
      </c>
      <c r="P5285" s="43"/>
    </row>
    <row r="5286" spans="1:16" ht="18" x14ac:dyDescent="0.35">
      <c r="A5286" s="9"/>
      <c r="C5286" s="393"/>
      <c r="E5286" s="394"/>
      <c r="F5286" s="394">
        <v>0.192</v>
      </c>
      <c r="G5286" s="394"/>
      <c r="H5286" s="8" t="s">
        <v>235</v>
      </c>
      <c r="I5286" s="368">
        <f t="shared" si="247"/>
        <v>0</v>
      </c>
      <c r="J5286" s="365">
        <f t="shared" si="246"/>
        <v>0</v>
      </c>
      <c r="K5286" s="369">
        <f t="shared" si="248"/>
        <v>6</v>
      </c>
      <c r="L5286" s="369">
        <f>+IF((C5286&gt;='Resultats - informe'!$E$16)*(C5286&lt;='Resultats - informe'!$G$16),1,0)</f>
        <v>1</v>
      </c>
      <c r="M5286" s="369" cm="1">
        <f t="array" ref="M5286">+_xlfn.IFS((C5286&gt;='Resultats - informe'!$D$26)*(C5286&lt;='Resultats - informe'!$E$26),0,(C5286&gt;='Resultats - informe'!$D$27)*(C5286&lt;='Resultats - informe'!$E$27),0,(C5286&gt;='Resultats - informe'!$D$28)*(C5286&lt;='Resultats - informe'!$E$28),0,(C5286&gt;='Resultats - informe'!$D$29)*(C5286&lt;='Resultats - informe'!$E$29),0,1,1)</f>
        <v>0</v>
      </c>
      <c r="N5286" s="366">
        <f>+VLOOKUP(D5286,'Resultats - informe'!$Y$18:$AG$42,'Introducció dades consum'!K5286+1,0)</f>
        <v>0</v>
      </c>
      <c r="O5286" s="370" cm="1">
        <f t="array" ref="O5286">+_xlfn.SWITCH(MONTH(C5286),1,1,2,1,3,1,4,2,5,2,6,3,7,3,8,3,9,3,10,2,11,2,12,1,2)</f>
        <v>1</v>
      </c>
      <c r="P5286" s="43"/>
    </row>
    <row r="5287" spans="1:16" ht="18" x14ac:dyDescent="0.35">
      <c r="A5287" s="9"/>
      <c r="C5287" s="393"/>
      <c r="E5287" s="394"/>
      <c r="F5287" s="394">
        <v>0.184</v>
      </c>
      <c r="G5287" s="394"/>
      <c r="H5287" s="8" t="s">
        <v>235</v>
      </c>
      <c r="I5287" s="368">
        <f t="shared" si="247"/>
        <v>0</v>
      </c>
      <c r="J5287" s="365">
        <f t="shared" si="246"/>
        <v>0</v>
      </c>
      <c r="K5287" s="369">
        <f t="shared" si="248"/>
        <v>6</v>
      </c>
      <c r="L5287" s="369">
        <f>+IF((C5287&gt;='Resultats - informe'!$E$16)*(C5287&lt;='Resultats - informe'!$G$16),1,0)</f>
        <v>1</v>
      </c>
      <c r="M5287" s="369" cm="1">
        <f t="array" ref="M5287">+_xlfn.IFS((C5287&gt;='Resultats - informe'!$D$26)*(C5287&lt;='Resultats - informe'!$E$26),0,(C5287&gt;='Resultats - informe'!$D$27)*(C5287&lt;='Resultats - informe'!$E$27),0,(C5287&gt;='Resultats - informe'!$D$28)*(C5287&lt;='Resultats - informe'!$E$28),0,(C5287&gt;='Resultats - informe'!$D$29)*(C5287&lt;='Resultats - informe'!$E$29),0,1,1)</f>
        <v>0</v>
      </c>
      <c r="N5287" s="366">
        <f>+VLOOKUP(D5287,'Resultats - informe'!$Y$18:$AG$42,'Introducció dades consum'!K5287+1,0)</f>
        <v>0</v>
      </c>
      <c r="O5287" s="370" cm="1">
        <f t="array" ref="O5287">+_xlfn.SWITCH(MONTH(C5287),1,1,2,1,3,1,4,2,5,2,6,3,7,3,8,3,9,3,10,2,11,2,12,1,2)</f>
        <v>1</v>
      </c>
      <c r="P5287" s="43"/>
    </row>
    <row r="5288" spans="1:16" ht="18" x14ac:dyDescent="0.35">
      <c r="A5288" s="9"/>
      <c r="C5288" s="393"/>
      <c r="E5288" s="394"/>
      <c r="F5288" s="394">
        <v>0.191</v>
      </c>
      <c r="G5288" s="394"/>
      <c r="H5288" s="8" t="s">
        <v>235</v>
      </c>
      <c r="I5288" s="368">
        <f t="shared" si="247"/>
        <v>0</v>
      </c>
      <c r="J5288" s="365">
        <f t="shared" si="246"/>
        <v>0</v>
      </c>
      <c r="K5288" s="369">
        <f t="shared" si="248"/>
        <v>6</v>
      </c>
      <c r="L5288" s="369">
        <f>+IF((C5288&gt;='Resultats - informe'!$E$16)*(C5288&lt;='Resultats - informe'!$G$16),1,0)</f>
        <v>1</v>
      </c>
      <c r="M5288" s="369" cm="1">
        <f t="array" ref="M5288">+_xlfn.IFS((C5288&gt;='Resultats - informe'!$D$26)*(C5288&lt;='Resultats - informe'!$E$26),0,(C5288&gt;='Resultats - informe'!$D$27)*(C5288&lt;='Resultats - informe'!$E$27),0,(C5288&gt;='Resultats - informe'!$D$28)*(C5288&lt;='Resultats - informe'!$E$28),0,(C5288&gt;='Resultats - informe'!$D$29)*(C5288&lt;='Resultats - informe'!$E$29),0,1,1)</f>
        <v>0</v>
      </c>
      <c r="N5288" s="366">
        <f>+VLOOKUP(D5288,'Resultats - informe'!$Y$18:$AG$42,'Introducció dades consum'!K5288+1,0)</f>
        <v>0</v>
      </c>
      <c r="O5288" s="370" cm="1">
        <f t="array" ref="O5288">+_xlfn.SWITCH(MONTH(C5288),1,1,2,1,3,1,4,2,5,2,6,3,7,3,8,3,9,3,10,2,11,2,12,1,2)</f>
        <v>1</v>
      </c>
      <c r="P5288" s="43"/>
    </row>
    <row r="5289" spans="1:16" ht="18" x14ac:dyDescent="0.35">
      <c r="A5289" s="9"/>
      <c r="C5289" s="393"/>
      <c r="E5289" s="394"/>
      <c r="F5289" s="394">
        <v>0.23499999999999999</v>
      </c>
      <c r="G5289" s="394"/>
      <c r="H5289" s="8" t="s">
        <v>235</v>
      </c>
      <c r="I5289" s="368">
        <f t="shared" si="247"/>
        <v>0</v>
      </c>
      <c r="J5289" s="365">
        <f t="shared" si="246"/>
        <v>0</v>
      </c>
      <c r="K5289" s="369">
        <f t="shared" si="248"/>
        <v>6</v>
      </c>
      <c r="L5289" s="369">
        <f>+IF((C5289&gt;='Resultats - informe'!$E$16)*(C5289&lt;='Resultats - informe'!$G$16),1,0)</f>
        <v>1</v>
      </c>
      <c r="M5289" s="369" cm="1">
        <f t="array" ref="M5289">+_xlfn.IFS((C5289&gt;='Resultats - informe'!$D$26)*(C5289&lt;='Resultats - informe'!$E$26),0,(C5289&gt;='Resultats - informe'!$D$27)*(C5289&lt;='Resultats - informe'!$E$27),0,(C5289&gt;='Resultats - informe'!$D$28)*(C5289&lt;='Resultats - informe'!$E$28),0,(C5289&gt;='Resultats - informe'!$D$29)*(C5289&lt;='Resultats - informe'!$E$29),0,1,1)</f>
        <v>0</v>
      </c>
      <c r="N5289" s="366">
        <f>+VLOOKUP(D5289,'Resultats - informe'!$Y$18:$AG$42,'Introducció dades consum'!K5289+1,0)</f>
        <v>0</v>
      </c>
      <c r="O5289" s="370" cm="1">
        <f t="array" ref="O5289">+_xlfn.SWITCH(MONTH(C5289),1,1,2,1,3,1,4,2,5,2,6,3,7,3,8,3,9,3,10,2,11,2,12,1,2)</f>
        <v>1</v>
      </c>
      <c r="P5289" s="43"/>
    </row>
    <row r="5290" spans="1:16" ht="18" x14ac:dyDescent="0.35">
      <c r="A5290" s="9"/>
      <c r="C5290" s="393"/>
      <c r="E5290" s="394"/>
      <c r="F5290" s="394">
        <v>0.20100000000000001</v>
      </c>
      <c r="G5290" s="394"/>
      <c r="H5290" s="8" t="s">
        <v>235</v>
      </c>
      <c r="I5290" s="368">
        <f t="shared" si="247"/>
        <v>0</v>
      </c>
      <c r="J5290" s="365">
        <f t="shared" si="246"/>
        <v>0</v>
      </c>
      <c r="K5290" s="369">
        <f t="shared" si="248"/>
        <v>6</v>
      </c>
      <c r="L5290" s="369">
        <f>+IF((C5290&gt;='Resultats - informe'!$E$16)*(C5290&lt;='Resultats - informe'!$G$16),1,0)</f>
        <v>1</v>
      </c>
      <c r="M5290" s="369" cm="1">
        <f t="array" ref="M5290">+_xlfn.IFS((C5290&gt;='Resultats - informe'!$D$26)*(C5290&lt;='Resultats - informe'!$E$26),0,(C5290&gt;='Resultats - informe'!$D$27)*(C5290&lt;='Resultats - informe'!$E$27),0,(C5290&gt;='Resultats - informe'!$D$28)*(C5290&lt;='Resultats - informe'!$E$28),0,(C5290&gt;='Resultats - informe'!$D$29)*(C5290&lt;='Resultats - informe'!$E$29),0,1,1)</f>
        <v>0</v>
      </c>
      <c r="N5290" s="366">
        <f>+VLOOKUP(D5290,'Resultats - informe'!$Y$18:$AG$42,'Introducció dades consum'!K5290+1,0)</f>
        <v>0</v>
      </c>
      <c r="O5290" s="370" cm="1">
        <f t="array" ref="O5290">+_xlfn.SWITCH(MONTH(C5290),1,1,2,1,3,1,4,2,5,2,6,3,7,3,8,3,9,3,10,2,11,2,12,1,2)</f>
        <v>1</v>
      </c>
      <c r="P5290" s="43"/>
    </row>
    <row r="5291" spans="1:16" ht="18" x14ac:dyDescent="0.35">
      <c r="A5291" s="9"/>
      <c r="C5291" s="393"/>
      <c r="E5291" s="394"/>
      <c r="F5291" s="394">
        <v>0.13300000000000001</v>
      </c>
      <c r="G5291" s="394"/>
      <c r="H5291" s="8" t="s">
        <v>235</v>
      </c>
      <c r="I5291" s="368">
        <f t="shared" si="247"/>
        <v>0</v>
      </c>
      <c r="J5291" s="365">
        <f t="shared" si="246"/>
        <v>0</v>
      </c>
      <c r="K5291" s="369">
        <f t="shared" si="248"/>
        <v>6</v>
      </c>
      <c r="L5291" s="369">
        <f>+IF((C5291&gt;='Resultats - informe'!$E$16)*(C5291&lt;='Resultats - informe'!$G$16),1,0)</f>
        <v>1</v>
      </c>
      <c r="M5291" s="369" cm="1">
        <f t="array" ref="M5291">+_xlfn.IFS((C5291&gt;='Resultats - informe'!$D$26)*(C5291&lt;='Resultats - informe'!$E$26),0,(C5291&gt;='Resultats - informe'!$D$27)*(C5291&lt;='Resultats - informe'!$E$27),0,(C5291&gt;='Resultats - informe'!$D$28)*(C5291&lt;='Resultats - informe'!$E$28),0,(C5291&gt;='Resultats - informe'!$D$29)*(C5291&lt;='Resultats - informe'!$E$29),0,1,1)</f>
        <v>0</v>
      </c>
      <c r="N5291" s="366">
        <f>+VLOOKUP(D5291,'Resultats - informe'!$Y$18:$AG$42,'Introducció dades consum'!K5291+1,0)</f>
        <v>0</v>
      </c>
      <c r="O5291" s="370" cm="1">
        <f t="array" ref="O5291">+_xlfn.SWITCH(MONTH(C5291),1,1,2,1,3,1,4,2,5,2,6,3,7,3,8,3,9,3,10,2,11,2,12,1,2)</f>
        <v>1</v>
      </c>
      <c r="P5291" s="43"/>
    </row>
    <row r="5292" spans="1:16" ht="18" x14ac:dyDescent="0.35">
      <c r="A5292" s="9"/>
      <c r="C5292" s="393"/>
      <c r="E5292" s="394"/>
      <c r="F5292" s="394">
        <v>0</v>
      </c>
      <c r="G5292" s="394"/>
      <c r="H5292" s="8" t="s">
        <v>235</v>
      </c>
      <c r="I5292" s="368">
        <f t="shared" si="247"/>
        <v>0</v>
      </c>
      <c r="J5292" s="365">
        <f t="shared" si="246"/>
        <v>0</v>
      </c>
      <c r="K5292" s="369">
        <f t="shared" si="248"/>
        <v>6</v>
      </c>
      <c r="L5292" s="369">
        <f>+IF((C5292&gt;='Resultats - informe'!$E$16)*(C5292&lt;='Resultats - informe'!$G$16),1,0)</f>
        <v>1</v>
      </c>
      <c r="M5292" s="369" cm="1">
        <f t="array" ref="M5292">+_xlfn.IFS((C5292&gt;='Resultats - informe'!$D$26)*(C5292&lt;='Resultats - informe'!$E$26),0,(C5292&gt;='Resultats - informe'!$D$27)*(C5292&lt;='Resultats - informe'!$E$27),0,(C5292&gt;='Resultats - informe'!$D$28)*(C5292&lt;='Resultats - informe'!$E$28),0,(C5292&gt;='Resultats - informe'!$D$29)*(C5292&lt;='Resultats - informe'!$E$29),0,1,1)</f>
        <v>0</v>
      </c>
      <c r="N5292" s="366">
        <f>+VLOOKUP(D5292,'Resultats - informe'!$Y$18:$AG$42,'Introducció dades consum'!K5292+1,0)</f>
        <v>0</v>
      </c>
      <c r="O5292" s="370" cm="1">
        <f t="array" ref="O5292">+_xlfn.SWITCH(MONTH(C5292),1,1,2,1,3,1,4,2,5,2,6,3,7,3,8,3,9,3,10,2,11,2,12,1,2)</f>
        <v>1</v>
      </c>
      <c r="P5292" s="43"/>
    </row>
    <row r="5293" spans="1:16" ht="18" x14ac:dyDescent="0.35">
      <c r="A5293" s="9"/>
      <c r="C5293" s="393"/>
      <c r="E5293" s="394"/>
      <c r="F5293" s="394">
        <v>0</v>
      </c>
      <c r="G5293" s="394"/>
      <c r="H5293" s="8" t="s">
        <v>235</v>
      </c>
      <c r="I5293" s="368">
        <f t="shared" si="247"/>
        <v>0</v>
      </c>
      <c r="J5293" s="365">
        <f t="shared" si="246"/>
        <v>0</v>
      </c>
      <c r="K5293" s="369">
        <f t="shared" si="248"/>
        <v>6</v>
      </c>
      <c r="L5293" s="369">
        <f>+IF((C5293&gt;='Resultats - informe'!$E$16)*(C5293&lt;='Resultats - informe'!$G$16),1,0)</f>
        <v>1</v>
      </c>
      <c r="M5293" s="369" cm="1">
        <f t="array" ref="M5293">+_xlfn.IFS((C5293&gt;='Resultats - informe'!$D$26)*(C5293&lt;='Resultats - informe'!$E$26),0,(C5293&gt;='Resultats - informe'!$D$27)*(C5293&lt;='Resultats - informe'!$E$27),0,(C5293&gt;='Resultats - informe'!$D$28)*(C5293&lt;='Resultats - informe'!$E$28),0,(C5293&gt;='Resultats - informe'!$D$29)*(C5293&lt;='Resultats - informe'!$E$29),0,1,1)</f>
        <v>0</v>
      </c>
      <c r="N5293" s="366">
        <f>+VLOOKUP(D5293,'Resultats - informe'!$Y$18:$AG$42,'Introducció dades consum'!K5293+1,0)</f>
        <v>0</v>
      </c>
      <c r="O5293" s="370" cm="1">
        <f t="array" ref="O5293">+_xlfn.SWITCH(MONTH(C5293),1,1,2,1,3,1,4,2,5,2,6,3,7,3,8,3,9,3,10,2,11,2,12,1,2)</f>
        <v>1</v>
      </c>
      <c r="P5293" s="43"/>
    </row>
    <row r="5294" spans="1:16" ht="18" x14ac:dyDescent="0.35">
      <c r="A5294" s="9"/>
      <c r="C5294" s="393"/>
      <c r="E5294" s="394"/>
      <c r="F5294" s="394">
        <v>0</v>
      </c>
      <c r="G5294" s="394"/>
      <c r="H5294" s="8" t="s">
        <v>235</v>
      </c>
      <c r="I5294" s="368">
        <f t="shared" si="247"/>
        <v>0</v>
      </c>
      <c r="J5294" s="365">
        <f t="shared" si="246"/>
        <v>0</v>
      </c>
      <c r="K5294" s="369">
        <f t="shared" si="248"/>
        <v>6</v>
      </c>
      <c r="L5294" s="369">
        <f>+IF((C5294&gt;='Resultats - informe'!$E$16)*(C5294&lt;='Resultats - informe'!$G$16),1,0)</f>
        <v>1</v>
      </c>
      <c r="M5294" s="369" cm="1">
        <f t="array" ref="M5294">+_xlfn.IFS((C5294&gt;='Resultats - informe'!$D$26)*(C5294&lt;='Resultats - informe'!$E$26),0,(C5294&gt;='Resultats - informe'!$D$27)*(C5294&lt;='Resultats - informe'!$E$27),0,(C5294&gt;='Resultats - informe'!$D$28)*(C5294&lt;='Resultats - informe'!$E$28),0,(C5294&gt;='Resultats - informe'!$D$29)*(C5294&lt;='Resultats - informe'!$E$29),0,1,1)</f>
        <v>0</v>
      </c>
      <c r="N5294" s="366">
        <f>+VLOOKUP(D5294,'Resultats - informe'!$Y$18:$AG$42,'Introducció dades consum'!K5294+1,0)</f>
        <v>0</v>
      </c>
      <c r="O5294" s="370" cm="1">
        <f t="array" ref="O5294">+_xlfn.SWITCH(MONTH(C5294),1,1,2,1,3,1,4,2,5,2,6,3,7,3,8,3,9,3,10,2,11,2,12,1,2)</f>
        <v>1</v>
      </c>
      <c r="P5294" s="43"/>
    </row>
    <row r="5295" spans="1:16" ht="18" x14ac:dyDescent="0.35">
      <c r="A5295" s="9"/>
      <c r="C5295" s="393"/>
      <c r="E5295" s="394"/>
      <c r="F5295" s="394">
        <v>0</v>
      </c>
      <c r="G5295" s="394"/>
      <c r="H5295" s="8" t="s">
        <v>235</v>
      </c>
      <c r="I5295" s="368">
        <f t="shared" si="247"/>
        <v>0</v>
      </c>
      <c r="J5295" s="365">
        <f t="shared" si="246"/>
        <v>0</v>
      </c>
      <c r="K5295" s="369">
        <f t="shared" si="248"/>
        <v>6</v>
      </c>
      <c r="L5295" s="369">
        <f>+IF((C5295&gt;='Resultats - informe'!$E$16)*(C5295&lt;='Resultats - informe'!$G$16),1,0)</f>
        <v>1</v>
      </c>
      <c r="M5295" s="369" cm="1">
        <f t="array" ref="M5295">+_xlfn.IFS((C5295&gt;='Resultats - informe'!$D$26)*(C5295&lt;='Resultats - informe'!$E$26),0,(C5295&gt;='Resultats - informe'!$D$27)*(C5295&lt;='Resultats - informe'!$E$27),0,(C5295&gt;='Resultats - informe'!$D$28)*(C5295&lt;='Resultats - informe'!$E$28),0,(C5295&gt;='Resultats - informe'!$D$29)*(C5295&lt;='Resultats - informe'!$E$29),0,1,1)</f>
        <v>0</v>
      </c>
      <c r="N5295" s="366">
        <f>+VLOOKUP(D5295,'Resultats - informe'!$Y$18:$AG$42,'Introducció dades consum'!K5295+1,0)</f>
        <v>0</v>
      </c>
      <c r="O5295" s="370" cm="1">
        <f t="array" ref="O5295">+_xlfn.SWITCH(MONTH(C5295),1,1,2,1,3,1,4,2,5,2,6,3,7,3,8,3,9,3,10,2,11,2,12,1,2)</f>
        <v>1</v>
      </c>
      <c r="P5295" s="43"/>
    </row>
    <row r="5296" spans="1:16" ht="18" x14ac:dyDescent="0.35">
      <c r="A5296" s="9"/>
      <c r="C5296" s="393"/>
      <c r="E5296" s="394"/>
      <c r="F5296" s="394">
        <v>0</v>
      </c>
      <c r="G5296" s="394"/>
      <c r="H5296" s="8" t="s">
        <v>235</v>
      </c>
      <c r="I5296" s="368">
        <f t="shared" si="247"/>
        <v>0</v>
      </c>
      <c r="J5296" s="365">
        <f t="shared" si="246"/>
        <v>0</v>
      </c>
      <c r="K5296" s="369">
        <f t="shared" si="248"/>
        <v>6</v>
      </c>
      <c r="L5296" s="369">
        <f>+IF((C5296&gt;='Resultats - informe'!$E$16)*(C5296&lt;='Resultats - informe'!$G$16),1,0)</f>
        <v>1</v>
      </c>
      <c r="M5296" s="369" cm="1">
        <f t="array" ref="M5296">+_xlfn.IFS((C5296&gt;='Resultats - informe'!$D$26)*(C5296&lt;='Resultats - informe'!$E$26),0,(C5296&gt;='Resultats - informe'!$D$27)*(C5296&lt;='Resultats - informe'!$E$27),0,(C5296&gt;='Resultats - informe'!$D$28)*(C5296&lt;='Resultats - informe'!$E$28),0,(C5296&gt;='Resultats - informe'!$D$29)*(C5296&lt;='Resultats - informe'!$E$29),0,1,1)</f>
        <v>0</v>
      </c>
      <c r="N5296" s="366">
        <f>+VLOOKUP(D5296,'Resultats - informe'!$Y$18:$AG$42,'Introducció dades consum'!K5296+1,0)</f>
        <v>0</v>
      </c>
      <c r="O5296" s="370" cm="1">
        <f t="array" ref="O5296">+_xlfn.SWITCH(MONTH(C5296),1,1,2,1,3,1,4,2,5,2,6,3,7,3,8,3,9,3,10,2,11,2,12,1,2)</f>
        <v>1</v>
      </c>
      <c r="P5296" s="43"/>
    </row>
    <row r="5297" spans="1:16" ht="18" x14ac:dyDescent="0.35">
      <c r="A5297" s="9"/>
      <c r="C5297" s="393"/>
      <c r="E5297" s="394"/>
      <c r="F5297" s="394">
        <v>0</v>
      </c>
      <c r="G5297" s="394"/>
      <c r="H5297" s="8" t="s">
        <v>235</v>
      </c>
      <c r="I5297" s="368">
        <f t="shared" si="247"/>
        <v>0</v>
      </c>
      <c r="J5297" s="365">
        <f t="shared" si="246"/>
        <v>0</v>
      </c>
      <c r="K5297" s="369">
        <f t="shared" si="248"/>
        <v>6</v>
      </c>
      <c r="L5297" s="369">
        <f>+IF((C5297&gt;='Resultats - informe'!$E$16)*(C5297&lt;='Resultats - informe'!$G$16),1,0)</f>
        <v>1</v>
      </c>
      <c r="M5297" s="369" cm="1">
        <f t="array" ref="M5297">+_xlfn.IFS((C5297&gt;='Resultats - informe'!$D$26)*(C5297&lt;='Resultats - informe'!$E$26),0,(C5297&gt;='Resultats - informe'!$D$27)*(C5297&lt;='Resultats - informe'!$E$27),0,(C5297&gt;='Resultats - informe'!$D$28)*(C5297&lt;='Resultats - informe'!$E$28),0,(C5297&gt;='Resultats - informe'!$D$29)*(C5297&lt;='Resultats - informe'!$E$29),0,1,1)</f>
        <v>0</v>
      </c>
      <c r="N5297" s="366">
        <f>+VLOOKUP(D5297,'Resultats - informe'!$Y$18:$AG$42,'Introducció dades consum'!K5297+1,0)</f>
        <v>0</v>
      </c>
      <c r="O5297" s="370" cm="1">
        <f t="array" ref="O5297">+_xlfn.SWITCH(MONTH(C5297),1,1,2,1,3,1,4,2,5,2,6,3,7,3,8,3,9,3,10,2,11,2,12,1,2)</f>
        <v>1</v>
      </c>
      <c r="P5297" s="43"/>
    </row>
    <row r="5298" spans="1:16" ht="18" x14ac:dyDescent="0.35">
      <c r="A5298" s="9"/>
      <c r="C5298" s="393"/>
      <c r="E5298" s="394"/>
      <c r="F5298" s="394">
        <v>0</v>
      </c>
      <c r="G5298" s="394"/>
      <c r="H5298" s="8" t="s">
        <v>235</v>
      </c>
      <c r="I5298" s="368">
        <f t="shared" si="247"/>
        <v>0</v>
      </c>
      <c r="J5298" s="365">
        <f t="shared" si="246"/>
        <v>0</v>
      </c>
      <c r="K5298" s="369">
        <f t="shared" si="248"/>
        <v>6</v>
      </c>
      <c r="L5298" s="369">
        <f>+IF((C5298&gt;='Resultats - informe'!$E$16)*(C5298&lt;='Resultats - informe'!$G$16),1,0)</f>
        <v>1</v>
      </c>
      <c r="M5298" s="369" cm="1">
        <f t="array" ref="M5298">+_xlfn.IFS((C5298&gt;='Resultats - informe'!$D$26)*(C5298&lt;='Resultats - informe'!$E$26),0,(C5298&gt;='Resultats - informe'!$D$27)*(C5298&lt;='Resultats - informe'!$E$27),0,(C5298&gt;='Resultats - informe'!$D$28)*(C5298&lt;='Resultats - informe'!$E$28),0,(C5298&gt;='Resultats - informe'!$D$29)*(C5298&lt;='Resultats - informe'!$E$29),0,1,1)</f>
        <v>0</v>
      </c>
      <c r="N5298" s="366">
        <f>+VLOOKUP(D5298,'Resultats - informe'!$Y$18:$AG$42,'Introducció dades consum'!K5298+1,0)</f>
        <v>0</v>
      </c>
      <c r="O5298" s="370" cm="1">
        <f t="array" ref="O5298">+_xlfn.SWITCH(MONTH(C5298),1,1,2,1,3,1,4,2,5,2,6,3,7,3,8,3,9,3,10,2,11,2,12,1,2)</f>
        <v>1</v>
      </c>
      <c r="P5298" s="43"/>
    </row>
    <row r="5299" spans="1:16" ht="18" x14ac:dyDescent="0.35">
      <c r="A5299" s="9"/>
      <c r="C5299" s="393"/>
      <c r="E5299" s="394"/>
      <c r="F5299" s="394">
        <v>0</v>
      </c>
      <c r="G5299" s="394"/>
      <c r="H5299" s="8" t="s">
        <v>235</v>
      </c>
      <c r="I5299" s="368">
        <f t="shared" si="247"/>
        <v>0</v>
      </c>
      <c r="J5299" s="365">
        <f t="shared" si="246"/>
        <v>0</v>
      </c>
      <c r="K5299" s="369">
        <f t="shared" si="248"/>
        <v>6</v>
      </c>
      <c r="L5299" s="369">
        <f>+IF((C5299&gt;='Resultats - informe'!$E$16)*(C5299&lt;='Resultats - informe'!$G$16),1,0)</f>
        <v>1</v>
      </c>
      <c r="M5299" s="369" cm="1">
        <f t="array" ref="M5299">+_xlfn.IFS((C5299&gt;='Resultats - informe'!$D$26)*(C5299&lt;='Resultats - informe'!$E$26),0,(C5299&gt;='Resultats - informe'!$D$27)*(C5299&lt;='Resultats - informe'!$E$27),0,(C5299&gt;='Resultats - informe'!$D$28)*(C5299&lt;='Resultats - informe'!$E$28),0,(C5299&gt;='Resultats - informe'!$D$29)*(C5299&lt;='Resultats - informe'!$E$29),0,1,1)</f>
        <v>0</v>
      </c>
      <c r="N5299" s="366">
        <f>+VLOOKUP(D5299,'Resultats - informe'!$Y$18:$AG$42,'Introducció dades consum'!K5299+1,0)</f>
        <v>0</v>
      </c>
      <c r="O5299" s="370" cm="1">
        <f t="array" ref="O5299">+_xlfn.SWITCH(MONTH(C5299),1,1,2,1,3,1,4,2,5,2,6,3,7,3,8,3,9,3,10,2,11,2,12,1,2)</f>
        <v>1</v>
      </c>
      <c r="P5299" s="43"/>
    </row>
    <row r="5300" spans="1:16" ht="18" x14ac:dyDescent="0.35">
      <c r="A5300" s="9"/>
      <c r="C5300" s="393"/>
      <c r="E5300" s="394"/>
      <c r="F5300" s="394">
        <v>0</v>
      </c>
      <c r="G5300" s="394"/>
      <c r="H5300" s="8" t="s">
        <v>235</v>
      </c>
      <c r="I5300" s="368">
        <f t="shared" si="247"/>
        <v>0</v>
      </c>
      <c r="J5300" s="365">
        <f t="shared" si="246"/>
        <v>0</v>
      </c>
      <c r="K5300" s="369">
        <f t="shared" si="248"/>
        <v>6</v>
      </c>
      <c r="L5300" s="369">
        <f>+IF((C5300&gt;='Resultats - informe'!$E$16)*(C5300&lt;='Resultats - informe'!$G$16),1,0)</f>
        <v>1</v>
      </c>
      <c r="M5300" s="369" cm="1">
        <f t="array" ref="M5300">+_xlfn.IFS((C5300&gt;='Resultats - informe'!$D$26)*(C5300&lt;='Resultats - informe'!$E$26),0,(C5300&gt;='Resultats - informe'!$D$27)*(C5300&lt;='Resultats - informe'!$E$27),0,(C5300&gt;='Resultats - informe'!$D$28)*(C5300&lt;='Resultats - informe'!$E$28),0,(C5300&gt;='Resultats - informe'!$D$29)*(C5300&lt;='Resultats - informe'!$E$29),0,1,1)</f>
        <v>0</v>
      </c>
      <c r="N5300" s="366">
        <f>+VLOOKUP(D5300,'Resultats - informe'!$Y$18:$AG$42,'Introducció dades consum'!K5300+1,0)</f>
        <v>0</v>
      </c>
      <c r="O5300" s="370" cm="1">
        <f t="array" ref="O5300">+_xlfn.SWITCH(MONTH(C5300),1,1,2,1,3,1,4,2,5,2,6,3,7,3,8,3,9,3,10,2,11,2,12,1,2)</f>
        <v>1</v>
      </c>
      <c r="P5300" s="43"/>
    </row>
    <row r="5301" spans="1:16" ht="18" x14ac:dyDescent="0.35">
      <c r="A5301" s="9"/>
      <c r="C5301" s="393"/>
      <c r="E5301" s="394"/>
      <c r="F5301" s="394">
        <v>0</v>
      </c>
      <c r="G5301" s="394"/>
      <c r="H5301" s="8" t="s">
        <v>235</v>
      </c>
      <c r="I5301" s="368">
        <f t="shared" si="247"/>
        <v>0</v>
      </c>
      <c r="J5301" s="365">
        <f t="shared" si="246"/>
        <v>0</v>
      </c>
      <c r="K5301" s="369">
        <f t="shared" si="248"/>
        <v>6</v>
      </c>
      <c r="L5301" s="369">
        <f>+IF((C5301&gt;='Resultats - informe'!$E$16)*(C5301&lt;='Resultats - informe'!$G$16),1,0)</f>
        <v>1</v>
      </c>
      <c r="M5301" s="369" cm="1">
        <f t="array" ref="M5301">+_xlfn.IFS((C5301&gt;='Resultats - informe'!$D$26)*(C5301&lt;='Resultats - informe'!$E$26),0,(C5301&gt;='Resultats - informe'!$D$27)*(C5301&lt;='Resultats - informe'!$E$27),0,(C5301&gt;='Resultats - informe'!$D$28)*(C5301&lt;='Resultats - informe'!$E$28),0,(C5301&gt;='Resultats - informe'!$D$29)*(C5301&lt;='Resultats - informe'!$E$29),0,1,1)</f>
        <v>0</v>
      </c>
      <c r="N5301" s="366">
        <f>+VLOOKUP(D5301,'Resultats - informe'!$Y$18:$AG$42,'Introducció dades consum'!K5301+1,0)</f>
        <v>0</v>
      </c>
      <c r="O5301" s="370" cm="1">
        <f t="array" ref="O5301">+_xlfn.SWITCH(MONTH(C5301),1,1,2,1,3,1,4,2,5,2,6,3,7,3,8,3,9,3,10,2,11,2,12,1,2)</f>
        <v>1</v>
      </c>
      <c r="P5301" s="43"/>
    </row>
    <row r="5302" spans="1:16" ht="18" x14ac:dyDescent="0.35">
      <c r="A5302" s="9"/>
      <c r="C5302" s="393"/>
      <c r="E5302" s="394"/>
      <c r="F5302" s="394">
        <v>0</v>
      </c>
      <c r="G5302" s="394"/>
      <c r="H5302" s="8" t="s">
        <v>235</v>
      </c>
      <c r="I5302" s="368">
        <f t="shared" si="247"/>
        <v>0</v>
      </c>
      <c r="J5302" s="365">
        <f t="shared" si="246"/>
        <v>0</v>
      </c>
      <c r="K5302" s="369">
        <f t="shared" si="248"/>
        <v>6</v>
      </c>
      <c r="L5302" s="369">
        <f>+IF((C5302&gt;='Resultats - informe'!$E$16)*(C5302&lt;='Resultats - informe'!$G$16),1,0)</f>
        <v>1</v>
      </c>
      <c r="M5302" s="369" cm="1">
        <f t="array" ref="M5302">+_xlfn.IFS((C5302&gt;='Resultats - informe'!$D$26)*(C5302&lt;='Resultats - informe'!$E$26),0,(C5302&gt;='Resultats - informe'!$D$27)*(C5302&lt;='Resultats - informe'!$E$27),0,(C5302&gt;='Resultats - informe'!$D$28)*(C5302&lt;='Resultats - informe'!$E$28),0,(C5302&gt;='Resultats - informe'!$D$29)*(C5302&lt;='Resultats - informe'!$E$29),0,1,1)</f>
        <v>0</v>
      </c>
      <c r="N5302" s="366">
        <f>+VLOOKUP(D5302,'Resultats - informe'!$Y$18:$AG$42,'Introducció dades consum'!K5302+1,0)</f>
        <v>0</v>
      </c>
      <c r="O5302" s="370" cm="1">
        <f t="array" ref="O5302">+_xlfn.SWITCH(MONTH(C5302),1,1,2,1,3,1,4,2,5,2,6,3,7,3,8,3,9,3,10,2,11,2,12,1,2)</f>
        <v>1</v>
      </c>
      <c r="P5302" s="43"/>
    </row>
    <row r="5303" spans="1:16" ht="18" x14ac:dyDescent="0.35">
      <c r="A5303" s="9"/>
      <c r="C5303" s="393"/>
      <c r="E5303" s="394"/>
      <c r="F5303" s="394">
        <v>0</v>
      </c>
      <c r="G5303" s="394"/>
      <c r="H5303" s="8" t="s">
        <v>235</v>
      </c>
      <c r="I5303" s="368">
        <f t="shared" si="247"/>
        <v>0</v>
      </c>
      <c r="J5303" s="365">
        <f t="shared" si="246"/>
        <v>0</v>
      </c>
      <c r="K5303" s="369">
        <f t="shared" si="248"/>
        <v>6</v>
      </c>
      <c r="L5303" s="369">
        <f>+IF((C5303&gt;='Resultats - informe'!$E$16)*(C5303&lt;='Resultats - informe'!$G$16),1,0)</f>
        <v>1</v>
      </c>
      <c r="M5303" s="369" cm="1">
        <f t="array" ref="M5303">+_xlfn.IFS((C5303&gt;='Resultats - informe'!$D$26)*(C5303&lt;='Resultats - informe'!$E$26),0,(C5303&gt;='Resultats - informe'!$D$27)*(C5303&lt;='Resultats - informe'!$E$27),0,(C5303&gt;='Resultats - informe'!$D$28)*(C5303&lt;='Resultats - informe'!$E$28),0,(C5303&gt;='Resultats - informe'!$D$29)*(C5303&lt;='Resultats - informe'!$E$29),0,1,1)</f>
        <v>0</v>
      </c>
      <c r="N5303" s="366">
        <f>+VLOOKUP(D5303,'Resultats - informe'!$Y$18:$AG$42,'Introducció dades consum'!K5303+1,0)</f>
        <v>0</v>
      </c>
      <c r="O5303" s="370" cm="1">
        <f t="array" ref="O5303">+_xlfn.SWITCH(MONTH(C5303),1,1,2,1,3,1,4,2,5,2,6,3,7,3,8,3,9,3,10,2,11,2,12,1,2)</f>
        <v>1</v>
      </c>
      <c r="P5303" s="43"/>
    </row>
    <row r="5304" spans="1:16" ht="18" x14ac:dyDescent="0.35">
      <c r="A5304" s="9"/>
      <c r="C5304" s="393"/>
      <c r="E5304" s="394"/>
      <c r="F5304" s="394">
        <v>0</v>
      </c>
      <c r="G5304" s="394"/>
      <c r="H5304" s="8" t="s">
        <v>235</v>
      </c>
      <c r="I5304" s="368">
        <f t="shared" si="247"/>
        <v>0</v>
      </c>
      <c r="J5304" s="365">
        <f t="shared" si="246"/>
        <v>0</v>
      </c>
      <c r="K5304" s="369">
        <f t="shared" si="248"/>
        <v>6</v>
      </c>
      <c r="L5304" s="369">
        <f>+IF((C5304&gt;='Resultats - informe'!$E$16)*(C5304&lt;='Resultats - informe'!$G$16),1,0)</f>
        <v>1</v>
      </c>
      <c r="M5304" s="369" cm="1">
        <f t="array" ref="M5304">+_xlfn.IFS((C5304&gt;='Resultats - informe'!$D$26)*(C5304&lt;='Resultats - informe'!$E$26),0,(C5304&gt;='Resultats - informe'!$D$27)*(C5304&lt;='Resultats - informe'!$E$27),0,(C5304&gt;='Resultats - informe'!$D$28)*(C5304&lt;='Resultats - informe'!$E$28),0,(C5304&gt;='Resultats - informe'!$D$29)*(C5304&lt;='Resultats - informe'!$E$29),0,1,1)</f>
        <v>0</v>
      </c>
      <c r="N5304" s="366">
        <f>+VLOOKUP(D5304,'Resultats - informe'!$Y$18:$AG$42,'Introducció dades consum'!K5304+1,0)</f>
        <v>0</v>
      </c>
      <c r="O5304" s="370" cm="1">
        <f t="array" ref="O5304">+_xlfn.SWITCH(MONTH(C5304),1,1,2,1,3,1,4,2,5,2,6,3,7,3,8,3,9,3,10,2,11,2,12,1,2)</f>
        <v>1</v>
      </c>
      <c r="P5304" s="43"/>
    </row>
    <row r="5305" spans="1:16" ht="18" x14ac:dyDescent="0.35">
      <c r="A5305" s="9"/>
      <c r="C5305" s="393"/>
      <c r="E5305" s="394"/>
      <c r="F5305" s="394">
        <v>0</v>
      </c>
      <c r="G5305" s="394"/>
      <c r="H5305" s="8" t="s">
        <v>235</v>
      </c>
      <c r="I5305" s="368">
        <f t="shared" si="247"/>
        <v>0</v>
      </c>
      <c r="J5305" s="365">
        <f t="shared" si="246"/>
        <v>0</v>
      </c>
      <c r="K5305" s="369">
        <f t="shared" si="248"/>
        <v>6</v>
      </c>
      <c r="L5305" s="369">
        <f>+IF((C5305&gt;='Resultats - informe'!$E$16)*(C5305&lt;='Resultats - informe'!$G$16),1,0)</f>
        <v>1</v>
      </c>
      <c r="M5305" s="369" cm="1">
        <f t="array" ref="M5305">+_xlfn.IFS((C5305&gt;='Resultats - informe'!$D$26)*(C5305&lt;='Resultats - informe'!$E$26),0,(C5305&gt;='Resultats - informe'!$D$27)*(C5305&lt;='Resultats - informe'!$E$27),0,(C5305&gt;='Resultats - informe'!$D$28)*(C5305&lt;='Resultats - informe'!$E$28),0,(C5305&gt;='Resultats - informe'!$D$29)*(C5305&lt;='Resultats - informe'!$E$29),0,1,1)</f>
        <v>0</v>
      </c>
      <c r="N5305" s="366">
        <f>+VLOOKUP(D5305,'Resultats - informe'!$Y$18:$AG$42,'Introducció dades consum'!K5305+1,0)</f>
        <v>0</v>
      </c>
      <c r="O5305" s="370" cm="1">
        <f t="array" ref="O5305">+_xlfn.SWITCH(MONTH(C5305),1,1,2,1,3,1,4,2,5,2,6,3,7,3,8,3,9,3,10,2,11,2,12,1,2)</f>
        <v>1</v>
      </c>
      <c r="P5305" s="43"/>
    </row>
    <row r="5306" spans="1:16" ht="18" x14ac:dyDescent="0.35">
      <c r="A5306" s="9"/>
      <c r="C5306" s="393"/>
      <c r="E5306" s="394"/>
      <c r="F5306" s="394">
        <v>0</v>
      </c>
      <c r="G5306" s="394"/>
      <c r="H5306" s="8" t="s">
        <v>235</v>
      </c>
      <c r="I5306" s="368">
        <f t="shared" si="247"/>
        <v>0</v>
      </c>
      <c r="J5306" s="365">
        <f t="shared" si="246"/>
        <v>0</v>
      </c>
      <c r="K5306" s="369">
        <f t="shared" si="248"/>
        <v>6</v>
      </c>
      <c r="L5306" s="369">
        <f>+IF((C5306&gt;='Resultats - informe'!$E$16)*(C5306&lt;='Resultats - informe'!$G$16),1,0)</f>
        <v>1</v>
      </c>
      <c r="M5306" s="369" cm="1">
        <f t="array" ref="M5306">+_xlfn.IFS((C5306&gt;='Resultats - informe'!$D$26)*(C5306&lt;='Resultats - informe'!$E$26),0,(C5306&gt;='Resultats - informe'!$D$27)*(C5306&lt;='Resultats - informe'!$E$27),0,(C5306&gt;='Resultats - informe'!$D$28)*(C5306&lt;='Resultats - informe'!$E$28),0,(C5306&gt;='Resultats - informe'!$D$29)*(C5306&lt;='Resultats - informe'!$E$29),0,1,1)</f>
        <v>0</v>
      </c>
      <c r="N5306" s="366">
        <f>+VLOOKUP(D5306,'Resultats - informe'!$Y$18:$AG$42,'Introducció dades consum'!K5306+1,0)</f>
        <v>0</v>
      </c>
      <c r="O5306" s="370" cm="1">
        <f t="array" ref="O5306">+_xlfn.SWITCH(MONTH(C5306),1,1,2,1,3,1,4,2,5,2,6,3,7,3,8,3,9,3,10,2,11,2,12,1,2)</f>
        <v>1</v>
      </c>
      <c r="P5306" s="43"/>
    </row>
    <row r="5307" spans="1:16" ht="18" x14ac:dyDescent="0.35">
      <c r="A5307" s="9"/>
      <c r="C5307" s="393"/>
      <c r="E5307" s="394"/>
      <c r="F5307" s="394">
        <v>0</v>
      </c>
      <c r="G5307" s="394"/>
      <c r="H5307" s="8" t="s">
        <v>235</v>
      </c>
      <c r="I5307" s="368">
        <f t="shared" si="247"/>
        <v>0</v>
      </c>
      <c r="J5307" s="365">
        <f t="shared" ref="J5307:J5370" si="249">+C5307</f>
        <v>0</v>
      </c>
      <c r="K5307" s="369">
        <f t="shared" si="248"/>
        <v>6</v>
      </c>
      <c r="L5307" s="369">
        <f>+IF((C5307&gt;='Resultats - informe'!$E$16)*(C5307&lt;='Resultats - informe'!$G$16),1,0)</f>
        <v>1</v>
      </c>
      <c r="M5307" s="369" cm="1">
        <f t="array" ref="M5307">+_xlfn.IFS((C5307&gt;='Resultats - informe'!$D$26)*(C5307&lt;='Resultats - informe'!$E$26),0,(C5307&gt;='Resultats - informe'!$D$27)*(C5307&lt;='Resultats - informe'!$E$27),0,(C5307&gt;='Resultats - informe'!$D$28)*(C5307&lt;='Resultats - informe'!$E$28),0,(C5307&gt;='Resultats - informe'!$D$29)*(C5307&lt;='Resultats - informe'!$E$29),0,1,1)</f>
        <v>0</v>
      </c>
      <c r="N5307" s="366">
        <f>+VLOOKUP(D5307,'Resultats - informe'!$Y$18:$AG$42,'Introducció dades consum'!K5307+1,0)</f>
        <v>0</v>
      </c>
      <c r="O5307" s="370" cm="1">
        <f t="array" ref="O5307">+_xlfn.SWITCH(MONTH(C5307),1,1,2,1,3,1,4,2,5,2,6,3,7,3,8,3,9,3,10,2,11,2,12,1,2)</f>
        <v>1</v>
      </c>
      <c r="P5307" s="43"/>
    </row>
    <row r="5308" spans="1:16" ht="18" x14ac:dyDescent="0.35">
      <c r="A5308" s="9"/>
      <c r="C5308" s="393"/>
      <c r="E5308" s="394"/>
      <c r="F5308" s="394">
        <v>0</v>
      </c>
      <c r="G5308" s="394"/>
      <c r="H5308" s="8" t="s">
        <v>235</v>
      </c>
      <c r="I5308" s="368">
        <f t="shared" si="247"/>
        <v>0</v>
      </c>
      <c r="J5308" s="365">
        <f t="shared" si="249"/>
        <v>0</v>
      </c>
      <c r="K5308" s="369">
        <f t="shared" si="248"/>
        <v>6</v>
      </c>
      <c r="L5308" s="369">
        <f>+IF((C5308&gt;='Resultats - informe'!$E$16)*(C5308&lt;='Resultats - informe'!$G$16),1,0)</f>
        <v>1</v>
      </c>
      <c r="M5308" s="369" cm="1">
        <f t="array" ref="M5308">+_xlfn.IFS((C5308&gt;='Resultats - informe'!$D$26)*(C5308&lt;='Resultats - informe'!$E$26),0,(C5308&gt;='Resultats - informe'!$D$27)*(C5308&lt;='Resultats - informe'!$E$27),0,(C5308&gt;='Resultats - informe'!$D$28)*(C5308&lt;='Resultats - informe'!$E$28),0,(C5308&gt;='Resultats - informe'!$D$29)*(C5308&lt;='Resultats - informe'!$E$29),0,1,1)</f>
        <v>0</v>
      </c>
      <c r="N5308" s="366">
        <f>+VLOOKUP(D5308,'Resultats - informe'!$Y$18:$AG$42,'Introducció dades consum'!K5308+1,0)</f>
        <v>0</v>
      </c>
      <c r="O5308" s="370" cm="1">
        <f t="array" ref="O5308">+_xlfn.SWITCH(MONTH(C5308),1,1,2,1,3,1,4,2,5,2,6,3,7,3,8,3,9,3,10,2,11,2,12,1,2)</f>
        <v>1</v>
      </c>
      <c r="P5308" s="43"/>
    </row>
    <row r="5309" spans="1:16" ht="18" x14ac:dyDescent="0.35">
      <c r="A5309" s="9"/>
      <c r="C5309" s="393"/>
      <c r="E5309" s="394"/>
      <c r="F5309" s="394">
        <v>0.14499999999999999</v>
      </c>
      <c r="G5309" s="394"/>
      <c r="H5309" s="8" t="s">
        <v>235</v>
      </c>
      <c r="I5309" s="368">
        <f t="shared" si="247"/>
        <v>0</v>
      </c>
      <c r="J5309" s="365">
        <f t="shared" si="249"/>
        <v>0</v>
      </c>
      <c r="K5309" s="369">
        <f t="shared" si="248"/>
        <v>6</v>
      </c>
      <c r="L5309" s="369">
        <f>+IF((C5309&gt;='Resultats - informe'!$E$16)*(C5309&lt;='Resultats - informe'!$G$16),1,0)</f>
        <v>1</v>
      </c>
      <c r="M5309" s="369" cm="1">
        <f t="array" ref="M5309">+_xlfn.IFS((C5309&gt;='Resultats - informe'!$D$26)*(C5309&lt;='Resultats - informe'!$E$26),0,(C5309&gt;='Resultats - informe'!$D$27)*(C5309&lt;='Resultats - informe'!$E$27),0,(C5309&gt;='Resultats - informe'!$D$28)*(C5309&lt;='Resultats - informe'!$E$28),0,(C5309&gt;='Resultats - informe'!$D$29)*(C5309&lt;='Resultats - informe'!$E$29),0,1,1)</f>
        <v>0</v>
      </c>
      <c r="N5309" s="366">
        <f>+VLOOKUP(D5309,'Resultats - informe'!$Y$18:$AG$42,'Introducció dades consum'!K5309+1,0)</f>
        <v>0</v>
      </c>
      <c r="O5309" s="370" cm="1">
        <f t="array" ref="O5309">+_xlfn.SWITCH(MONTH(C5309),1,1,2,1,3,1,4,2,5,2,6,3,7,3,8,3,9,3,10,2,11,2,12,1,2)</f>
        <v>1</v>
      </c>
      <c r="P5309" s="43"/>
    </row>
    <row r="5310" spans="1:16" ht="18" x14ac:dyDescent="0.35">
      <c r="A5310" s="9"/>
      <c r="C5310" s="393"/>
      <c r="E5310" s="394"/>
      <c r="F5310" s="394">
        <v>0.158</v>
      </c>
      <c r="G5310" s="394"/>
      <c r="H5310" s="8" t="s">
        <v>235</v>
      </c>
      <c r="I5310" s="368">
        <f t="shared" si="247"/>
        <v>0</v>
      </c>
      <c r="J5310" s="365">
        <f t="shared" si="249"/>
        <v>0</v>
      </c>
      <c r="K5310" s="369">
        <f t="shared" si="248"/>
        <v>6</v>
      </c>
      <c r="L5310" s="369">
        <f>+IF((C5310&gt;='Resultats - informe'!$E$16)*(C5310&lt;='Resultats - informe'!$G$16),1,0)</f>
        <v>1</v>
      </c>
      <c r="M5310" s="369" cm="1">
        <f t="array" ref="M5310">+_xlfn.IFS((C5310&gt;='Resultats - informe'!$D$26)*(C5310&lt;='Resultats - informe'!$E$26),0,(C5310&gt;='Resultats - informe'!$D$27)*(C5310&lt;='Resultats - informe'!$E$27),0,(C5310&gt;='Resultats - informe'!$D$28)*(C5310&lt;='Resultats - informe'!$E$28),0,(C5310&gt;='Resultats - informe'!$D$29)*(C5310&lt;='Resultats - informe'!$E$29),0,1,1)</f>
        <v>0</v>
      </c>
      <c r="N5310" s="366">
        <f>+VLOOKUP(D5310,'Resultats - informe'!$Y$18:$AG$42,'Introducció dades consum'!K5310+1,0)</f>
        <v>0</v>
      </c>
      <c r="O5310" s="370" cm="1">
        <f t="array" ref="O5310">+_xlfn.SWITCH(MONTH(C5310),1,1,2,1,3,1,4,2,5,2,6,3,7,3,8,3,9,3,10,2,11,2,12,1,2)</f>
        <v>1</v>
      </c>
      <c r="P5310" s="43"/>
    </row>
    <row r="5311" spans="1:16" ht="18" x14ac:dyDescent="0.35">
      <c r="A5311" s="9"/>
      <c r="C5311" s="393"/>
      <c r="E5311" s="394"/>
      <c r="F5311" s="394">
        <v>0.19900000000000001</v>
      </c>
      <c r="G5311" s="394"/>
      <c r="H5311" s="8" t="s">
        <v>235</v>
      </c>
      <c r="I5311" s="368">
        <f t="shared" si="247"/>
        <v>0</v>
      </c>
      <c r="J5311" s="365">
        <f t="shared" si="249"/>
        <v>0</v>
      </c>
      <c r="K5311" s="369">
        <f t="shared" si="248"/>
        <v>6</v>
      </c>
      <c r="L5311" s="369">
        <f>+IF((C5311&gt;='Resultats - informe'!$E$16)*(C5311&lt;='Resultats - informe'!$G$16),1,0)</f>
        <v>1</v>
      </c>
      <c r="M5311" s="369" cm="1">
        <f t="array" ref="M5311">+_xlfn.IFS((C5311&gt;='Resultats - informe'!$D$26)*(C5311&lt;='Resultats - informe'!$E$26),0,(C5311&gt;='Resultats - informe'!$D$27)*(C5311&lt;='Resultats - informe'!$E$27),0,(C5311&gt;='Resultats - informe'!$D$28)*(C5311&lt;='Resultats - informe'!$E$28),0,(C5311&gt;='Resultats - informe'!$D$29)*(C5311&lt;='Resultats - informe'!$E$29),0,1,1)</f>
        <v>0</v>
      </c>
      <c r="N5311" s="366">
        <f>+VLOOKUP(D5311,'Resultats - informe'!$Y$18:$AG$42,'Introducció dades consum'!K5311+1,0)</f>
        <v>0</v>
      </c>
      <c r="O5311" s="370" cm="1">
        <f t="array" ref="O5311">+_xlfn.SWITCH(MONTH(C5311),1,1,2,1,3,1,4,2,5,2,6,3,7,3,8,3,9,3,10,2,11,2,12,1,2)</f>
        <v>1</v>
      </c>
      <c r="P5311" s="43"/>
    </row>
    <row r="5312" spans="1:16" ht="18" x14ac:dyDescent="0.35">
      <c r="A5312" s="9"/>
      <c r="C5312" s="393"/>
      <c r="E5312" s="394"/>
      <c r="F5312" s="394">
        <v>0.17699999999999999</v>
      </c>
      <c r="G5312" s="394"/>
      <c r="H5312" s="8" t="s">
        <v>235</v>
      </c>
      <c r="I5312" s="368">
        <f t="shared" si="247"/>
        <v>0</v>
      </c>
      <c r="J5312" s="365">
        <f t="shared" si="249"/>
        <v>0</v>
      </c>
      <c r="K5312" s="369">
        <f t="shared" si="248"/>
        <v>6</v>
      </c>
      <c r="L5312" s="369">
        <f>+IF((C5312&gt;='Resultats - informe'!$E$16)*(C5312&lt;='Resultats - informe'!$G$16),1,0)</f>
        <v>1</v>
      </c>
      <c r="M5312" s="369" cm="1">
        <f t="array" ref="M5312">+_xlfn.IFS((C5312&gt;='Resultats - informe'!$D$26)*(C5312&lt;='Resultats - informe'!$E$26),0,(C5312&gt;='Resultats - informe'!$D$27)*(C5312&lt;='Resultats - informe'!$E$27),0,(C5312&gt;='Resultats - informe'!$D$28)*(C5312&lt;='Resultats - informe'!$E$28),0,(C5312&gt;='Resultats - informe'!$D$29)*(C5312&lt;='Resultats - informe'!$E$29),0,1,1)</f>
        <v>0</v>
      </c>
      <c r="N5312" s="366">
        <f>+VLOOKUP(D5312,'Resultats - informe'!$Y$18:$AG$42,'Introducció dades consum'!K5312+1,0)</f>
        <v>0</v>
      </c>
      <c r="O5312" s="370" cm="1">
        <f t="array" ref="O5312">+_xlfn.SWITCH(MONTH(C5312),1,1,2,1,3,1,4,2,5,2,6,3,7,3,8,3,9,3,10,2,11,2,12,1,2)</f>
        <v>1</v>
      </c>
      <c r="P5312" s="43"/>
    </row>
    <row r="5313" spans="1:16" ht="18" x14ac:dyDescent="0.35">
      <c r="A5313" s="9"/>
      <c r="C5313" s="393"/>
      <c r="E5313" s="394"/>
      <c r="F5313" s="394">
        <v>0.221</v>
      </c>
      <c r="G5313" s="394"/>
      <c r="H5313" s="8" t="s">
        <v>235</v>
      </c>
      <c r="I5313" s="368">
        <f t="shared" si="247"/>
        <v>0</v>
      </c>
      <c r="J5313" s="365">
        <f t="shared" si="249"/>
        <v>0</v>
      </c>
      <c r="K5313" s="369">
        <f t="shared" si="248"/>
        <v>6</v>
      </c>
      <c r="L5313" s="369">
        <f>+IF((C5313&gt;='Resultats - informe'!$E$16)*(C5313&lt;='Resultats - informe'!$G$16),1,0)</f>
        <v>1</v>
      </c>
      <c r="M5313" s="369" cm="1">
        <f t="array" ref="M5313">+_xlfn.IFS((C5313&gt;='Resultats - informe'!$D$26)*(C5313&lt;='Resultats - informe'!$E$26),0,(C5313&gt;='Resultats - informe'!$D$27)*(C5313&lt;='Resultats - informe'!$E$27),0,(C5313&gt;='Resultats - informe'!$D$28)*(C5313&lt;='Resultats - informe'!$E$28),0,(C5313&gt;='Resultats - informe'!$D$29)*(C5313&lt;='Resultats - informe'!$E$29),0,1,1)</f>
        <v>0</v>
      </c>
      <c r="N5313" s="366">
        <f>+VLOOKUP(D5313,'Resultats - informe'!$Y$18:$AG$42,'Introducció dades consum'!K5313+1,0)</f>
        <v>0</v>
      </c>
      <c r="O5313" s="370" cm="1">
        <f t="array" ref="O5313">+_xlfn.SWITCH(MONTH(C5313),1,1,2,1,3,1,4,2,5,2,6,3,7,3,8,3,9,3,10,2,11,2,12,1,2)</f>
        <v>1</v>
      </c>
      <c r="P5313" s="43"/>
    </row>
    <row r="5314" spans="1:16" ht="18" x14ac:dyDescent="0.35">
      <c r="A5314" s="9"/>
      <c r="C5314" s="393"/>
      <c r="E5314" s="394"/>
      <c r="F5314" s="394">
        <v>0.19800000000000001</v>
      </c>
      <c r="G5314" s="394"/>
      <c r="H5314" s="8" t="s">
        <v>235</v>
      </c>
      <c r="I5314" s="368">
        <f t="shared" si="247"/>
        <v>0</v>
      </c>
      <c r="J5314" s="365">
        <f t="shared" si="249"/>
        <v>0</v>
      </c>
      <c r="K5314" s="369">
        <f t="shared" si="248"/>
        <v>6</v>
      </c>
      <c r="L5314" s="369">
        <f>+IF((C5314&gt;='Resultats - informe'!$E$16)*(C5314&lt;='Resultats - informe'!$G$16),1,0)</f>
        <v>1</v>
      </c>
      <c r="M5314" s="369" cm="1">
        <f t="array" ref="M5314">+_xlfn.IFS((C5314&gt;='Resultats - informe'!$D$26)*(C5314&lt;='Resultats - informe'!$E$26),0,(C5314&gt;='Resultats - informe'!$D$27)*(C5314&lt;='Resultats - informe'!$E$27),0,(C5314&gt;='Resultats - informe'!$D$28)*(C5314&lt;='Resultats - informe'!$E$28),0,(C5314&gt;='Resultats - informe'!$D$29)*(C5314&lt;='Resultats - informe'!$E$29),0,1,1)</f>
        <v>0</v>
      </c>
      <c r="N5314" s="366">
        <f>+VLOOKUP(D5314,'Resultats - informe'!$Y$18:$AG$42,'Introducció dades consum'!K5314+1,0)</f>
        <v>0</v>
      </c>
      <c r="O5314" s="370" cm="1">
        <f t="array" ref="O5314">+_xlfn.SWITCH(MONTH(C5314),1,1,2,1,3,1,4,2,5,2,6,3,7,3,8,3,9,3,10,2,11,2,12,1,2)</f>
        <v>1</v>
      </c>
      <c r="P5314" s="43"/>
    </row>
    <row r="5315" spans="1:16" ht="18" x14ac:dyDescent="0.35">
      <c r="A5315" s="9"/>
      <c r="C5315" s="393"/>
      <c r="E5315" s="394"/>
      <c r="F5315" s="394">
        <v>0.23499999999999999</v>
      </c>
      <c r="G5315" s="394"/>
      <c r="H5315" s="8" t="s">
        <v>235</v>
      </c>
      <c r="I5315" s="368">
        <f t="shared" si="247"/>
        <v>0</v>
      </c>
      <c r="J5315" s="365">
        <f t="shared" si="249"/>
        <v>0</v>
      </c>
      <c r="K5315" s="369">
        <f t="shared" si="248"/>
        <v>6</v>
      </c>
      <c r="L5315" s="369">
        <f>+IF((C5315&gt;='Resultats - informe'!$E$16)*(C5315&lt;='Resultats - informe'!$G$16),1,0)</f>
        <v>1</v>
      </c>
      <c r="M5315" s="369" cm="1">
        <f t="array" ref="M5315">+_xlfn.IFS((C5315&gt;='Resultats - informe'!$D$26)*(C5315&lt;='Resultats - informe'!$E$26),0,(C5315&gt;='Resultats - informe'!$D$27)*(C5315&lt;='Resultats - informe'!$E$27),0,(C5315&gt;='Resultats - informe'!$D$28)*(C5315&lt;='Resultats - informe'!$E$28),0,(C5315&gt;='Resultats - informe'!$D$29)*(C5315&lt;='Resultats - informe'!$E$29),0,1,1)</f>
        <v>0</v>
      </c>
      <c r="N5315" s="366">
        <f>+VLOOKUP(D5315,'Resultats - informe'!$Y$18:$AG$42,'Introducció dades consum'!K5315+1,0)</f>
        <v>0</v>
      </c>
      <c r="O5315" s="370" cm="1">
        <f t="array" ref="O5315">+_xlfn.SWITCH(MONTH(C5315),1,1,2,1,3,1,4,2,5,2,6,3,7,3,8,3,9,3,10,2,11,2,12,1,2)</f>
        <v>1</v>
      </c>
      <c r="P5315" s="43"/>
    </row>
    <row r="5316" spans="1:16" ht="18" x14ac:dyDescent="0.35">
      <c r="A5316" s="9"/>
      <c r="C5316" s="393"/>
      <c r="E5316" s="394"/>
      <c r="F5316" s="394">
        <v>0</v>
      </c>
      <c r="G5316" s="394"/>
      <c r="H5316" s="8" t="s">
        <v>235</v>
      </c>
      <c r="I5316" s="368">
        <f t="shared" si="247"/>
        <v>0</v>
      </c>
      <c r="J5316" s="365">
        <f t="shared" si="249"/>
        <v>0</v>
      </c>
      <c r="K5316" s="369">
        <f t="shared" si="248"/>
        <v>6</v>
      </c>
      <c r="L5316" s="369">
        <f>+IF((C5316&gt;='Resultats - informe'!$E$16)*(C5316&lt;='Resultats - informe'!$G$16),1,0)</f>
        <v>1</v>
      </c>
      <c r="M5316" s="369" cm="1">
        <f t="array" ref="M5316">+_xlfn.IFS((C5316&gt;='Resultats - informe'!$D$26)*(C5316&lt;='Resultats - informe'!$E$26),0,(C5316&gt;='Resultats - informe'!$D$27)*(C5316&lt;='Resultats - informe'!$E$27),0,(C5316&gt;='Resultats - informe'!$D$28)*(C5316&lt;='Resultats - informe'!$E$28),0,(C5316&gt;='Resultats - informe'!$D$29)*(C5316&lt;='Resultats - informe'!$E$29),0,1,1)</f>
        <v>0</v>
      </c>
      <c r="N5316" s="366">
        <f>+VLOOKUP(D5316,'Resultats - informe'!$Y$18:$AG$42,'Introducció dades consum'!K5316+1,0)</f>
        <v>0</v>
      </c>
      <c r="O5316" s="370" cm="1">
        <f t="array" ref="O5316">+_xlfn.SWITCH(MONTH(C5316),1,1,2,1,3,1,4,2,5,2,6,3,7,3,8,3,9,3,10,2,11,2,12,1,2)</f>
        <v>1</v>
      </c>
      <c r="P5316" s="43"/>
    </row>
    <row r="5317" spans="1:16" ht="18" x14ac:dyDescent="0.35">
      <c r="A5317" s="9"/>
      <c r="C5317" s="393"/>
      <c r="E5317" s="394"/>
      <c r="F5317" s="394">
        <v>0</v>
      </c>
      <c r="G5317" s="394"/>
      <c r="H5317" s="8" t="s">
        <v>235</v>
      </c>
      <c r="I5317" s="368">
        <f t="shared" si="247"/>
        <v>0</v>
      </c>
      <c r="J5317" s="365">
        <f t="shared" si="249"/>
        <v>0</v>
      </c>
      <c r="K5317" s="369">
        <f t="shared" si="248"/>
        <v>6</v>
      </c>
      <c r="L5317" s="369">
        <f>+IF((C5317&gt;='Resultats - informe'!$E$16)*(C5317&lt;='Resultats - informe'!$G$16),1,0)</f>
        <v>1</v>
      </c>
      <c r="M5317" s="369" cm="1">
        <f t="array" ref="M5317">+_xlfn.IFS((C5317&gt;='Resultats - informe'!$D$26)*(C5317&lt;='Resultats - informe'!$E$26),0,(C5317&gt;='Resultats - informe'!$D$27)*(C5317&lt;='Resultats - informe'!$E$27),0,(C5317&gt;='Resultats - informe'!$D$28)*(C5317&lt;='Resultats - informe'!$E$28),0,(C5317&gt;='Resultats - informe'!$D$29)*(C5317&lt;='Resultats - informe'!$E$29),0,1,1)</f>
        <v>0</v>
      </c>
      <c r="N5317" s="366">
        <f>+VLOOKUP(D5317,'Resultats - informe'!$Y$18:$AG$42,'Introducció dades consum'!K5317+1,0)</f>
        <v>0</v>
      </c>
      <c r="O5317" s="370" cm="1">
        <f t="array" ref="O5317">+_xlfn.SWITCH(MONTH(C5317),1,1,2,1,3,1,4,2,5,2,6,3,7,3,8,3,9,3,10,2,11,2,12,1,2)</f>
        <v>1</v>
      </c>
      <c r="P5317" s="43"/>
    </row>
    <row r="5318" spans="1:16" ht="18" x14ac:dyDescent="0.35">
      <c r="A5318" s="9"/>
      <c r="C5318" s="393"/>
      <c r="E5318" s="394"/>
      <c r="F5318" s="394">
        <v>0</v>
      </c>
      <c r="G5318" s="394"/>
      <c r="H5318" s="8" t="s">
        <v>235</v>
      </c>
      <c r="I5318" s="368">
        <f t="shared" ref="I5318:I5381" si="250">+E5318+G5318</f>
        <v>0</v>
      </c>
      <c r="J5318" s="365">
        <f t="shared" si="249"/>
        <v>0</v>
      </c>
      <c r="K5318" s="369">
        <f t="shared" ref="K5318:K5381" si="251">+WEEKDAY(C5318,2)</f>
        <v>6</v>
      </c>
      <c r="L5318" s="369">
        <f>+IF((C5318&gt;='Resultats - informe'!$E$16)*(C5318&lt;='Resultats - informe'!$G$16),1,0)</f>
        <v>1</v>
      </c>
      <c r="M5318" s="369" cm="1">
        <f t="array" ref="M5318">+_xlfn.IFS((C5318&gt;='Resultats - informe'!$D$26)*(C5318&lt;='Resultats - informe'!$E$26),0,(C5318&gt;='Resultats - informe'!$D$27)*(C5318&lt;='Resultats - informe'!$E$27),0,(C5318&gt;='Resultats - informe'!$D$28)*(C5318&lt;='Resultats - informe'!$E$28),0,(C5318&gt;='Resultats - informe'!$D$29)*(C5318&lt;='Resultats - informe'!$E$29),0,1,1)</f>
        <v>0</v>
      </c>
      <c r="N5318" s="366">
        <f>+VLOOKUP(D5318,'Resultats - informe'!$Y$18:$AG$42,'Introducció dades consum'!K5318+1,0)</f>
        <v>0</v>
      </c>
      <c r="O5318" s="370" cm="1">
        <f t="array" ref="O5318">+_xlfn.SWITCH(MONTH(C5318),1,1,2,1,3,1,4,2,5,2,6,3,7,3,8,3,9,3,10,2,11,2,12,1,2)</f>
        <v>1</v>
      </c>
      <c r="P5318" s="43"/>
    </row>
    <row r="5319" spans="1:16" ht="18" x14ac:dyDescent="0.35">
      <c r="A5319" s="9"/>
      <c r="C5319" s="393"/>
      <c r="E5319" s="394"/>
      <c r="F5319" s="394">
        <v>0</v>
      </c>
      <c r="G5319" s="394"/>
      <c r="H5319" s="8" t="s">
        <v>235</v>
      </c>
      <c r="I5319" s="368">
        <f t="shared" si="250"/>
        <v>0</v>
      </c>
      <c r="J5319" s="365">
        <f t="shared" si="249"/>
        <v>0</v>
      </c>
      <c r="K5319" s="369">
        <f t="shared" si="251"/>
        <v>6</v>
      </c>
      <c r="L5319" s="369">
        <f>+IF((C5319&gt;='Resultats - informe'!$E$16)*(C5319&lt;='Resultats - informe'!$G$16),1,0)</f>
        <v>1</v>
      </c>
      <c r="M5319" s="369" cm="1">
        <f t="array" ref="M5319">+_xlfn.IFS((C5319&gt;='Resultats - informe'!$D$26)*(C5319&lt;='Resultats - informe'!$E$26),0,(C5319&gt;='Resultats - informe'!$D$27)*(C5319&lt;='Resultats - informe'!$E$27),0,(C5319&gt;='Resultats - informe'!$D$28)*(C5319&lt;='Resultats - informe'!$E$28),0,(C5319&gt;='Resultats - informe'!$D$29)*(C5319&lt;='Resultats - informe'!$E$29),0,1,1)</f>
        <v>0</v>
      </c>
      <c r="N5319" s="366">
        <f>+VLOOKUP(D5319,'Resultats - informe'!$Y$18:$AG$42,'Introducció dades consum'!K5319+1,0)</f>
        <v>0</v>
      </c>
      <c r="O5319" s="370" cm="1">
        <f t="array" ref="O5319">+_xlfn.SWITCH(MONTH(C5319),1,1,2,1,3,1,4,2,5,2,6,3,7,3,8,3,9,3,10,2,11,2,12,1,2)</f>
        <v>1</v>
      </c>
      <c r="P5319" s="43"/>
    </row>
    <row r="5320" spans="1:16" ht="18" x14ac:dyDescent="0.35">
      <c r="A5320" s="9"/>
      <c r="C5320" s="393"/>
      <c r="E5320" s="394"/>
      <c r="F5320" s="394">
        <v>0</v>
      </c>
      <c r="G5320" s="394"/>
      <c r="H5320" s="8" t="s">
        <v>235</v>
      </c>
      <c r="I5320" s="368">
        <f t="shared" si="250"/>
        <v>0</v>
      </c>
      <c r="J5320" s="365">
        <f t="shared" si="249"/>
        <v>0</v>
      </c>
      <c r="K5320" s="369">
        <f t="shared" si="251"/>
        <v>6</v>
      </c>
      <c r="L5320" s="369">
        <f>+IF((C5320&gt;='Resultats - informe'!$E$16)*(C5320&lt;='Resultats - informe'!$G$16),1,0)</f>
        <v>1</v>
      </c>
      <c r="M5320" s="369" cm="1">
        <f t="array" ref="M5320">+_xlfn.IFS((C5320&gt;='Resultats - informe'!$D$26)*(C5320&lt;='Resultats - informe'!$E$26),0,(C5320&gt;='Resultats - informe'!$D$27)*(C5320&lt;='Resultats - informe'!$E$27),0,(C5320&gt;='Resultats - informe'!$D$28)*(C5320&lt;='Resultats - informe'!$E$28),0,(C5320&gt;='Resultats - informe'!$D$29)*(C5320&lt;='Resultats - informe'!$E$29),0,1,1)</f>
        <v>0</v>
      </c>
      <c r="N5320" s="366">
        <f>+VLOOKUP(D5320,'Resultats - informe'!$Y$18:$AG$42,'Introducció dades consum'!K5320+1,0)</f>
        <v>0</v>
      </c>
      <c r="O5320" s="370" cm="1">
        <f t="array" ref="O5320">+_xlfn.SWITCH(MONTH(C5320),1,1,2,1,3,1,4,2,5,2,6,3,7,3,8,3,9,3,10,2,11,2,12,1,2)</f>
        <v>1</v>
      </c>
      <c r="P5320" s="43"/>
    </row>
    <row r="5321" spans="1:16" ht="18" x14ac:dyDescent="0.35">
      <c r="A5321" s="9"/>
      <c r="C5321" s="393"/>
      <c r="E5321" s="394"/>
      <c r="F5321" s="394">
        <v>0</v>
      </c>
      <c r="G5321" s="394"/>
      <c r="H5321" s="8" t="s">
        <v>235</v>
      </c>
      <c r="I5321" s="368">
        <f t="shared" si="250"/>
        <v>0</v>
      </c>
      <c r="J5321" s="365">
        <f t="shared" si="249"/>
        <v>0</v>
      </c>
      <c r="K5321" s="369">
        <f t="shared" si="251"/>
        <v>6</v>
      </c>
      <c r="L5321" s="369">
        <f>+IF((C5321&gt;='Resultats - informe'!$E$16)*(C5321&lt;='Resultats - informe'!$G$16),1,0)</f>
        <v>1</v>
      </c>
      <c r="M5321" s="369" cm="1">
        <f t="array" ref="M5321">+_xlfn.IFS((C5321&gt;='Resultats - informe'!$D$26)*(C5321&lt;='Resultats - informe'!$E$26),0,(C5321&gt;='Resultats - informe'!$D$27)*(C5321&lt;='Resultats - informe'!$E$27),0,(C5321&gt;='Resultats - informe'!$D$28)*(C5321&lt;='Resultats - informe'!$E$28),0,(C5321&gt;='Resultats - informe'!$D$29)*(C5321&lt;='Resultats - informe'!$E$29),0,1,1)</f>
        <v>0</v>
      </c>
      <c r="N5321" s="366">
        <f>+VLOOKUP(D5321,'Resultats - informe'!$Y$18:$AG$42,'Introducció dades consum'!K5321+1,0)</f>
        <v>0</v>
      </c>
      <c r="O5321" s="370" cm="1">
        <f t="array" ref="O5321">+_xlfn.SWITCH(MONTH(C5321),1,1,2,1,3,1,4,2,5,2,6,3,7,3,8,3,9,3,10,2,11,2,12,1,2)</f>
        <v>1</v>
      </c>
      <c r="P5321" s="43"/>
    </row>
    <row r="5322" spans="1:16" ht="18" x14ac:dyDescent="0.35">
      <c r="A5322" s="9"/>
      <c r="C5322" s="393"/>
      <c r="E5322" s="394"/>
      <c r="F5322" s="394">
        <v>0</v>
      </c>
      <c r="G5322" s="394"/>
      <c r="H5322" s="8" t="s">
        <v>235</v>
      </c>
      <c r="I5322" s="368">
        <f t="shared" si="250"/>
        <v>0</v>
      </c>
      <c r="J5322" s="365">
        <f t="shared" si="249"/>
        <v>0</v>
      </c>
      <c r="K5322" s="369">
        <f t="shared" si="251"/>
        <v>6</v>
      </c>
      <c r="L5322" s="369">
        <f>+IF((C5322&gt;='Resultats - informe'!$E$16)*(C5322&lt;='Resultats - informe'!$G$16),1,0)</f>
        <v>1</v>
      </c>
      <c r="M5322" s="369" cm="1">
        <f t="array" ref="M5322">+_xlfn.IFS((C5322&gt;='Resultats - informe'!$D$26)*(C5322&lt;='Resultats - informe'!$E$26),0,(C5322&gt;='Resultats - informe'!$D$27)*(C5322&lt;='Resultats - informe'!$E$27),0,(C5322&gt;='Resultats - informe'!$D$28)*(C5322&lt;='Resultats - informe'!$E$28),0,(C5322&gt;='Resultats - informe'!$D$29)*(C5322&lt;='Resultats - informe'!$E$29),0,1,1)</f>
        <v>0</v>
      </c>
      <c r="N5322" s="366">
        <f>+VLOOKUP(D5322,'Resultats - informe'!$Y$18:$AG$42,'Introducció dades consum'!K5322+1,0)</f>
        <v>0</v>
      </c>
      <c r="O5322" s="370" cm="1">
        <f t="array" ref="O5322">+_xlfn.SWITCH(MONTH(C5322),1,1,2,1,3,1,4,2,5,2,6,3,7,3,8,3,9,3,10,2,11,2,12,1,2)</f>
        <v>1</v>
      </c>
      <c r="P5322" s="43"/>
    </row>
    <row r="5323" spans="1:16" ht="18" x14ac:dyDescent="0.35">
      <c r="A5323" s="9"/>
      <c r="C5323" s="393"/>
      <c r="E5323" s="394"/>
      <c r="F5323" s="394">
        <v>5.6000000000000001E-2</v>
      </c>
      <c r="G5323" s="394"/>
      <c r="H5323" s="8" t="s">
        <v>235</v>
      </c>
      <c r="I5323" s="368">
        <f t="shared" si="250"/>
        <v>0</v>
      </c>
      <c r="J5323" s="365">
        <f t="shared" si="249"/>
        <v>0</v>
      </c>
      <c r="K5323" s="369">
        <f t="shared" si="251"/>
        <v>6</v>
      </c>
      <c r="L5323" s="369">
        <f>+IF((C5323&gt;='Resultats - informe'!$E$16)*(C5323&lt;='Resultats - informe'!$G$16),1,0)</f>
        <v>1</v>
      </c>
      <c r="M5323" s="369" cm="1">
        <f t="array" ref="M5323">+_xlfn.IFS((C5323&gt;='Resultats - informe'!$D$26)*(C5323&lt;='Resultats - informe'!$E$26),0,(C5323&gt;='Resultats - informe'!$D$27)*(C5323&lt;='Resultats - informe'!$E$27),0,(C5323&gt;='Resultats - informe'!$D$28)*(C5323&lt;='Resultats - informe'!$E$28),0,(C5323&gt;='Resultats - informe'!$D$29)*(C5323&lt;='Resultats - informe'!$E$29),0,1,1)</f>
        <v>0</v>
      </c>
      <c r="N5323" s="366">
        <f>+VLOOKUP(D5323,'Resultats - informe'!$Y$18:$AG$42,'Introducció dades consum'!K5323+1,0)</f>
        <v>0</v>
      </c>
      <c r="O5323" s="370" cm="1">
        <f t="array" ref="O5323">+_xlfn.SWITCH(MONTH(C5323),1,1,2,1,3,1,4,2,5,2,6,3,7,3,8,3,9,3,10,2,11,2,12,1,2)</f>
        <v>1</v>
      </c>
      <c r="P5323" s="43"/>
    </row>
    <row r="5324" spans="1:16" ht="18" x14ac:dyDescent="0.35">
      <c r="A5324" s="9"/>
      <c r="C5324" s="393"/>
      <c r="E5324" s="394"/>
      <c r="F5324" s="394">
        <v>0</v>
      </c>
      <c r="G5324" s="394"/>
      <c r="H5324" s="8" t="s">
        <v>235</v>
      </c>
      <c r="I5324" s="368">
        <f t="shared" si="250"/>
        <v>0</v>
      </c>
      <c r="J5324" s="365">
        <f t="shared" si="249"/>
        <v>0</v>
      </c>
      <c r="K5324" s="369">
        <f t="shared" si="251"/>
        <v>6</v>
      </c>
      <c r="L5324" s="369">
        <f>+IF((C5324&gt;='Resultats - informe'!$E$16)*(C5324&lt;='Resultats - informe'!$G$16),1,0)</f>
        <v>1</v>
      </c>
      <c r="M5324" s="369" cm="1">
        <f t="array" ref="M5324">+_xlfn.IFS((C5324&gt;='Resultats - informe'!$D$26)*(C5324&lt;='Resultats - informe'!$E$26),0,(C5324&gt;='Resultats - informe'!$D$27)*(C5324&lt;='Resultats - informe'!$E$27),0,(C5324&gt;='Resultats - informe'!$D$28)*(C5324&lt;='Resultats - informe'!$E$28),0,(C5324&gt;='Resultats - informe'!$D$29)*(C5324&lt;='Resultats - informe'!$E$29),0,1,1)</f>
        <v>0</v>
      </c>
      <c r="N5324" s="366">
        <f>+VLOOKUP(D5324,'Resultats - informe'!$Y$18:$AG$42,'Introducció dades consum'!K5324+1,0)</f>
        <v>0</v>
      </c>
      <c r="O5324" s="370" cm="1">
        <f t="array" ref="O5324">+_xlfn.SWITCH(MONTH(C5324),1,1,2,1,3,1,4,2,5,2,6,3,7,3,8,3,9,3,10,2,11,2,12,1,2)</f>
        <v>1</v>
      </c>
      <c r="P5324" s="43"/>
    </row>
    <row r="5325" spans="1:16" ht="18" x14ac:dyDescent="0.35">
      <c r="A5325" s="9"/>
      <c r="C5325" s="393"/>
      <c r="E5325" s="394"/>
      <c r="F5325" s="394">
        <v>0</v>
      </c>
      <c r="G5325" s="394"/>
      <c r="H5325" s="8" t="s">
        <v>235</v>
      </c>
      <c r="I5325" s="368">
        <f t="shared" si="250"/>
        <v>0</v>
      </c>
      <c r="J5325" s="365">
        <f t="shared" si="249"/>
        <v>0</v>
      </c>
      <c r="K5325" s="369">
        <f t="shared" si="251"/>
        <v>6</v>
      </c>
      <c r="L5325" s="369">
        <f>+IF((C5325&gt;='Resultats - informe'!$E$16)*(C5325&lt;='Resultats - informe'!$G$16),1,0)</f>
        <v>1</v>
      </c>
      <c r="M5325" s="369" cm="1">
        <f t="array" ref="M5325">+_xlfn.IFS((C5325&gt;='Resultats - informe'!$D$26)*(C5325&lt;='Resultats - informe'!$E$26),0,(C5325&gt;='Resultats - informe'!$D$27)*(C5325&lt;='Resultats - informe'!$E$27),0,(C5325&gt;='Resultats - informe'!$D$28)*(C5325&lt;='Resultats - informe'!$E$28),0,(C5325&gt;='Resultats - informe'!$D$29)*(C5325&lt;='Resultats - informe'!$E$29),0,1,1)</f>
        <v>0</v>
      </c>
      <c r="N5325" s="366">
        <f>+VLOOKUP(D5325,'Resultats - informe'!$Y$18:$AG$42,'Introducció dades consum'!K5325+1,0)</f>
        <v>0</v>
      </c>
      <c r="O5325" s="370" cm="1">
        <f t="array" ref="O5325">+_xlfn.SWITCH(MONTH(C5325),1,1,2,1,3,1,4,2,5,2,6,3,7,3,8,3,9,3,10,2,11,2,12,1,2)</f>
        <v>1</v>
      </c>
      <c r="P5325" s="43"/>
    </row>
    <row r="5326" spans="1:16" ht="18" x14ac:dyDescent="0.35">
      <c r="A5326" s="9"/>
      <c r="C5326" s="393"/>
      <c r="E5326" s="394"/>
      <c r="F5326" s="394">
        <v>0</v>
      </c>
      <c r="G5326" s="394"/>
      <c r="H5326" s="8" t="s">
        <v>235</v>
      </c>
      <c r="I5326" s="368">
        <f t="shared" si="250"/>
        <v>0</v>
      </c>
      <c r="J5326" s="365">
        <f t="shared" si="249"/>
        <v>0</v>
      </c>
      <c r="K5326" s="369">
        <f t="shared" si="251"/>
        <v>6</v>
      </c>
      <c r="L5326" s="369">
        <f>+IF((C5326&gt;='Resultats - informe'!$E$16)*(C5326&lt;='Resultats - informe'!$G$16),1,0)</f>
        <v>1</v>
      </c>
      <c r="M5326" s="369" cm="1">
        <f t="array" ref="M5326">+_xlfn.IFS((C5326&gt;='Resultats - informe'!$D$26)*(C5326&lt;='Resultats - informe'!$E$26),0,(C5326&gt;='Resultats - informe'!$D$27)*(C5326&lt;='Resultats - informe'!$E$27),0,(C5326&gt;='Resultats - informe'!$D$28)*(C5326&lt;='Resultats - informe'!$E$28),0,(C5326&gt;='Resultats - informe'!$D$29)*(C5326&lt;='Resultats - informe'!$E$29),0,1,1)</f>
        <v>0</v>
      </c>
      <c r="N5326" s="366">
        <f>+VLOOKUP(D5326,'Resultats - informe'!$Y$18:$AG$42,'Introducció dades consum'!K5326+1,0)</f>
        <v>0</v>
      </c>
      <c r="O5326" s="370" cm="1">
        <f t="array" ref="O5326">+_xlfn.SWITCH(MONTH(C5326),1,1,2,1,3,1,4,2,5,2,6,3,7,3,8,3,9,3,10,2,11,2,12,1,2)</f>
        <v>1</v>
      </c>
      <c r="P5326" s="43"/>
    </row>
    <row r="5327" spans="1:16" ht="18" x14ac:dyDescent="0.35">
      <c r="A5327" s="9"/>
      <c r="C5327" s="393"/>
      <c r="E5327" s="394"/>
      <c r="F5327" s="394">
        <v>0</v>
      </c>
      <c r="G5327" s="394"/>
      <c r="H5327" s="8" t="s">
        <v>235</v>
      </c>
      <c r="I5327" s="368">
        <f t="shared" si="250"/>
        <v>0</v>
      </c>
      <c r="J5327" s="365">
        <f t="shared" si="249"/>
        <v>0</v>
      </c>
      <c r="K5327" s="369">
        <f t="shared" si="251"/>
        <v>6</v>
      </c>
      <c r="L5327" s="369">
        <f>+IF((C5327&gt;='Resultats - informe'!$E$16)*(C5327&lt;='Resultats - informe'!$G$16),1,0)</f>
        <v>1</v>
      </c>
      <c r="M5327" s="369" cm="1">
        <f t="array" ref="M5327">+_xlfn.IFS((C5327&gt;='Resultats - informe'!$D$26)*(C5327&lt;='Resultats - informe'!$E$26),0,(C5327&gt;='Resultats - informe'!$D$27)*(C5327&lt;='Resultats - informe'!$E$27),0,(C5327&gt;='Resultats - informe'!$D$28)*(C5327&lt;='Resultats - informe'!$E$28),0,(C5327&gt;='Resultats - informe'!$D$29)*(C5327&lt;='Resultats - informe'!$E$29),0,1,1)</f>
        <v>0</v>
      </c>
      <c r="N5327" s="366">
        <f>+VLOOKUP(D5327,'Resultats - informe'!$Y$18:$AG$42,'Introducció dades consum'!K5327+1,0)</f>
        <v>0</v>
      </c>
      <c r="O5327" s="370" cm="1">
        <f t="array" ref="O5327">+_xlfn.SWITCH(MONTH(C5327),1,1,2,1,3,1,4,2,5,2,6,3,7,3,8,3,9,3,10,2,11,2,12,1,2)</f>
        <v>1</v>
      </c>
      <c r="P5327" s="43"/>
    </row>
    <row r="5328" spans="1:16" ht="18" x14ac:dyDescent="0.35">
      <c r="A5328" s="9"/>
      <c r="C5328" s="393"/>
      <c r="E5328" s="394"/>
      <c r="F5328" s="394">
        <v>0</v>
      </c>
      <c r="G5328" s="394"/>
      <c r="H5328" s="8" t="s">
        <v>235</v>
      </c>
      <c r="I5328" s="368">
        <f t="shared" si="250"/>
        <v>0</v>
      </c>
      <c r="J5328" s="365">
        <f t="shared" si="249"/>
        <v>0</v>
      </c>
      <c r="K5328" s="369">
        <f t="shared" si="251"/>
        <v>6</v>
      </c>
      <c r="L5328" s="369">
        <f>+IF((C5328&gt;='Resultats - informe'!$E$16)*(C5328&lt;='Resultats - informe'!$G$16),1,0)</f>
        <v>1</v>
      </c>
      <c r="M5328" s="369" cm="1">
        <f t="array" ref="M5328">+_xlfn.IFS((C5328&gt;='Resultats - informe'!$D$26)*(C5328&lt;='Resultats - informe'!$E$26),0,(C5328&gt;='Resultats - informe'!$D$27)*(C5328&lt;='Resultats - informe'!$E$27),0,(C5328&gt;='Resultats - informe'!$D$28)*(C5328&lt;='Resultats - informe'!$E$28),0,(C5328&gt;='Resultats - informe'!$D$29)*(C5328&lt;='Resultats - informe'!$E$29),0,1,1)</f>
        <v>0</v>
      </c>
      <c r="N5328" s="366">
        <f>+VLOOKUP(D5328,'Resultats - informe'!$Y$18:$AG$42,'Introducció dades consum'!K5328+1,0)</f>
        <v>0</v>
      </c>
      <c r="O5328" s="370" cm="1">
        <f t="array" ref="O5328">+_xlfn.SWITCH(MONTH(C5328),1,1,2,1,3,1,4,2,5,2,6,3,7,3,8,3,9,3,10,2,11,2,12,1,2)</f>
        <v>1</v>
      </c>
      <c r="P5328" s="43"/>
    </row>
    <row r="5329" spans="1:16" ht="18" x14ac:dyDescent="0.35">
      <c r="A5329" s="9"/>
      <c r="C5329" s="393"/>
      <c r="E5329" s="394"/>
      <c r="F5329" s="394">
        <v>0</v>
      </c>
      <c r="G5329" s="394"/>
      <c r="H5329" s="8" t="s">
        <v>235</v>
      </c>
      <c r="I5329" s="368">
        <f t="shared" si="250"/>
        <v>0</v>
      </c>
      <c r="J5329" s="365">
        <f t="shared" si="249"/>
        <v>0</v>
      </c>
      <c r="K5329" s="369">
        <f t="shared" si="251"/>
        <v>6</v>
      </c>
      <c r="L5329" s="369">
        <f>+IF((C5329&gt;='Resultats - informe'!$E$16)*(C5329&lt;='Resultats - informe'!$G$16),1,0)</f>
        <v>1</v>
      </c>
      <c r="M5329" s="369" cm="1">
        <f t="array" ref="M5329">+_xlfn.IFS((C5329&gt;='Resultats - informe'!$D$26)*(C5329&lt;='Resultats - informe'!$E$26),0,(C5329&gt;='Resultats - informe'!$D$27)*(C5329&lt;='Resultats - informe'!$E$27),0,(C5329&gt;='Resultats - informe'!$D$28)*(C5329&lt;='Resultats - informe'!$E$28),0,(C5329&gt;='Resultats - informe'!$D$29)*(C5329&lt;='Resultats - informe'!$E$29),0,1,1)</f>
        <v>0</v>
      </c>
      <c r="N5329" s="366">
        <f>+VLOOKUP(D5329,'Resultats - informe'!$Y$18:$AG$42,'Introducció dades consum'!K5329+1,0)</f>
        <v>0</v>
      </c>
      <c r="O5329" s="370" cm="1">
        <f t="array" ref="O5329">+_xlfn.SWITCH(MONTH(C5329),1,1,2,1,3,1,4,2,5,2,6,3,7,3,8,3,9,3,10,2,11,2,12,1,2)</f>
        <v>1</v>
      </c>
      <c r="P5329" s="43"/>
    </row>
    <row r="5330" spans="1:16" ht="18" x14ac:dyDescent="0.35">
      <c r="A5330" s="9"/>
      <c r="C5330" s="393"/>
      <c r="E5330" s="394"/>
      <c r="F5330" s="394">
        <v>0</v>
      </c>
      <c r="G5330" s="394"/>
      <c r="H5330" s="8" t="s">
        <v>235</v>
      </c>
      <c r="I5330" s="368">
        <f t="shared" si="250"/>
        <v>0</v>
      </c>
      <c r="J5330" s="365">
        <f t="shared" si="249"/>
        <v>0</v>
      </c>
      <c r="K5330" s="369">
        <f t="shared" si="251"/>
        <v>6</v>
      </c>
      <c r="L5330" s="369">
        <f>+IF((C5330&gt;='Resultats - informe'!$E$16)*(C5330&lt;='Resultats - informe'!$G$16),1,0)</f>
        <v>1</v>
      </c>
      <c r="M5330" s="369" cm="1">
        <f t="array" ref="M5330">+_xlfn.IFS((C5330&gt;='Resultats - informe'!$D$26)*(C5330&lt;='Resultats - informe'!$E$26),0,(C5330&gt;='Resultats - informe'!$D$27)*(C5330&lt;='Resultats - informe'!$E$27),0,(C5330&gt;='Resultats - informe'!$D$28)*(C5330&lt;='Resultats - informe'!$E$28),0,(C5330&gt;='Resultats - informe'!$D$29)*(C5330&lt;='Resultats - informe'!$E$29),0,1,1)</f>
        <v>0</v>
      </c>
      <c r="N5330" s="366">
        <f>+VLOOKUP(D5330,'Resultats - informe'!$Y$18:$AG$42,'Introducció dades consum'!K5330+1,0)</f>
        <v>0</v>
      </c>
      <c r="O5330" s="370" cm="1">
        <f t="array" ref="O5330">+_xlfn.SWITCH(MONTH(C5330),1,1,2,1,3,1,4,2,5,2,6,3,7,3,8,3,9,3,10,2,11,2,12,1,2)</f>
        <v>1</v>
      </c>
      <c r="P5330" s="43"/>
    </row>
    <row r="5331" spans="1:16" ht="18" x14ac:dyDescent="0.35">
      <c r="A5331" s="9"/>
      <c r="C5331" s="393"/>
      <c r="E5331" s="394"/>
      <c r="F5331" s="394">
        <v>0</v>
      </c>
      <c r="G5331" s="394"/>
      <c r="H5331" s="8" t="s">
        <v>235</v>
      </c>
      <c r="I5331" s="368">
        <f t="shared" si="250"/>
        <v>0</v>
      </c>
      <c r="J5331" s="365">
        <f t="shared" si="249"/>
        <v>0</v>
      </c>
      <c r="K5331" s="369">
        <f t="shared" si="251"/>
        <v>6</v>
      </c>
      <c r="L5331" s="369">
        <f>+IF((C5331&gt;='Resultats - informe'!$E$16)*(C5331&lt;='Resultats - informe'!$G$16),1,0)</f>
        <v>1</v>
      </c>
      <c r="M5331" s="369" cm="1">
        <f t="array" ref="M5331">+_xlfn.IFS((C5331&gt;='Resultats - informe'!$D$26)*(C5331&lt;='Resultats - informe'!$E$26),0,(C5331&gt;='Resultats - informe'!$D$27)*(C5331&lt;='Resultats - informe'!$E$27),0,(C5331&gt;='Resultats - informe'!$D$28)*(C5331&lt;='Resultats - informe'!$E$28),0,(C5331&gt;='Resultats - informe'!$D$29)*(C5331&lt;='Resultats - informe'!$E$29),0,1,1)</f>
        <v>0</v>
      </c>
      <c r="N5331" s="366">
        <f>+VLOOKUP(D5331,'Resultats - informe'!$Y$18:$AG$42,'Introducció dades consum'!K5331+1,0)</f>
        <v>0</v>
      </c>
      <c r="O5331" s="370" cm="1">
        <f t="array" ref="O5331">+_xlfn.SWITCH(MONTH(C5331),1,1,2,1,3,1,4,2,5,2,6,3,7,3,8,3,9,3,10,2,11,2,12,1,2)</f>
        <v>1</v>
      </c>
      <c r="P5331" s="43"/>
    </row>
    <row r="5332" spans="1:16" ht="18" x14ac:dyDescent="0.35">
      <c r="A5332" s="9"/>
      <c r="C5332" s="393"/>
      <c r="E5332" s="394"/>
      <c r="F5332" s="394">
        <v>7.3999999999999996E-2</v>
      </c>
      <c r="G5332" s="394"/>
      <c r="H5332" s="8" t="s">
        <v>235</v>
      </c>
      <c r="I5332" s="368">
        <f t="shared" si="250"/>
        <v>0</v>
      </c>
      <c r="J5332" s="365">
        <f t="shared" si="249"/>
        <v>0</v>
      </c>
      <c r="K5332" s="369">
        <f t="shared" si="251"/>
        <v>6</v>
      </c>
      <c r="L5332" s="369">
        <f>+IF((C5332&gt;='Resultats - informe'!$E$16)*(C5332&lt;='Resultats - informe'!$G$16),1,0)</f>
        <v>1</v>
      </c>
      <c r="M5332" s="369" cm="1">
        <f t="array" ref="M5332">+_xlfn.IFS((C5332&gt;='Resultats - informe'!$D$26)*(C5332&lt;='Resultats - informe'!$E$26),0,(C5332&gt;='Resultats - informe'!$D$27)*(C5332&lt;='Resultats - informe'!$E$27),0,(C5332&gt;='Resultats - informe'!$D$28)*(C5332&lt;='Resultats - informe'!$E$28),0,(C5332&gt;='Resultats - informe'!$D$29)*(C5332&lt;='Resultats - informe'!$E$29),0,1,1)</f>
        <v>0</v>
      </c>
      <c r="N5332" s="366">
        <f>+VLOOKUP(D5332,'Resultats - informe'!$Y$18:$AG$42,'Introducció dades consum'!K5332+1,0)</f>
        <v>0</v>
      </c>
      <c r="O5332" s="370" cm="1">
        <f t="array" ref="O5332">+_xlfn.SWITCH(MONTH(C5332),1,1,2,1,3,1,4,2,5,2,6,3,7,3,8,3,9,3,10,2,11,2,12,1,2)</f>
        <v>1</v>
      </c>
      <c r="P5332" s="43"/>
    </row>
    <row r="5333" spans="1:16" ht="18" x14ac:dyDescent="0.35">
      <c r="A5333" s="9"/>
      <c r="C5333" s="393"/>
      <c r="E5333" s="394"/>
      <c r="F5333" s="394">
        <v>0.45200000000000001</v>
      </c>
      <c r="G5333" s="394"/>
      <c r="H5333" s="8" t="s">
        <v>235</v>
      </c>
      <c r="I5333" s="368">
        <f t="shared" si="250"/>
        <v>0</v>
      </c>
      <c r="J5333" s="365">
        <f t="shared" si="249"/>
        <v>0</v>
      </c>
      <c r="K5333" s="369">
        <f t="shared" si="251"/>
        <v>6</v>
      </c>
      <c r="L5333" s="369">
        <f>+IF((C5333&gt;='Resultats - informe'!$E$16)*(C5333&lt;='Resultats - informe'!$G$16),1,0)</f>
        <v>1</v>
      </c>
      <c r="M5333" s="369" cm="1">
        <f t="array" ref="M5333">+_xlfn.IFS((C5333&gt;='Resultats - informe'!$D$26)*(C5333&lt;='Resultats - informe'!$E$26),0,(C5333&gt;='Resultats - informe'!$D$27)*(C5333&lt;='Resultats - informe'!$E$27),0,(C5333&gt;='Resultats - informe'!$D$28)*(C5333&lt;='Resultats - informe'!$E$28),0,(C5333&gt;='Resultats - informe'!$D$29)*(C5333&lt;='Resultats - informe'!$E$29),0,1,1)</f>
        <v>0</v>
      </c>
      <c r="N5333" s="366">
        <f>+VLOOKUP(D5333,'Resultats - informe'!$Y$18:$AG$42,'Introducció dades consum'!K5333+1,0)</f>
        <v>0</v>
      </c>
      <c r="O5333" s="370" cm="1">
        <f t="array" ref="O5333">+_xlfn.SWITCH(MONTH(C5333),1,1,2,1,3,1,4,2,5,2,6,3,7,3,8,3,9,3,10,2,11,2,12,1,2)</f>
        <v>1</v>
      </c>
      <c r="P5333" s="43"/>
    </row>
    <row r="5334" spans="1:16" ht="18" x14ac:dyDescent="0.35">
      <c r="A5334" s="9"/>
      <c r="C5334" s="393"/>
      <c r="E5334" s="394"/>
      <c r="F5334" s="394">
        <v>0.45200000000000001</v>
      </c>
      <c r="G5334" s="394"/>
      <c r="H5334" s="8" t="s">
        <v>235</v>
      </c>
      <c r="I5334" s="368">
        <f t="shared" si="250"/>
        <v>0</v>
      </c>
      <c r="J5334" s="365">
        <f t="shared" si="249"/>
        <v>0</v>
      </c>
      <c r="K5334" s="369">
        <f t="shared" si="251"/>
        <v>6</v>
      </c>
      <c r="L5334" s="369">
        <f>+IF((C5334&gt;='Resultats - informe'!$E$16)*(C5334&lt;='Resultats - informe'!$G$16),1,0)</f>
        <v>1</v>
      </c>
      <c r="M5334" s="369" cm="1">
        <f t="array" ref="M5334">+_xlfn.IFS((C5334&gt;='Resultats - informe'!$D$26)*(C5334&lt;='Resultats - informe'!$E$26),0,(C5334&gt;='Resultats - informe'!$D$27)*(C5334&lt;='Resultats - informe'!$E$27),0,(C5334&gt;='Resultats - informe'!$D$28)*(C5334&lt;='Resultats - informe'!$E$28),0,(C5334&gt;='Resultats - informe'!$D$29)*(C5334&lt;='Resultats - informe'!$E$29),0,1,1)</f>
        <v>0</v>
      </c>
      <c r="N5334" s="366">
        <f>+VLOOKUP(D5334,'Resultats - informe'!$Y$18:$AG$42,'Introducció dades consum'!K5334+1,0)</f>
        <v>0</v>
      </c>
      <c r="O5334" s="370" cm="1">
        <f t="array" ref="O5334">+_xlfn.SWITCH(MONTH(C5334),1,1,2,1,3,1,4,2,5,2,6,3,7,3,8,3,9,3,10,2,11,2,12,1,2)</f>
        <v>1</v>
      </c>
      <c r="P5334" s="43"/>
    </row>
    <row r="5335" spans="1:16" ht="18" x14ac:dyDescent="0.35">
      <c r="A5335" s="9"/>
      <c r="C5335" s="393"/>
      <c r="E5335" s="394"/>
      <c r="F5335" s="394">
        <v>0.45400000000000001</v>
      </c>
      <c r="G5335" s="394"/>
      <c r="H5335" s="8" t="s">
        <v>235</v>
      </c>
      <c r="I5335" s="368">
        <f t="shared" si="250"/>
        <v>0</v>
      </c>
      <c r="J5335" s="365">
        <f t="shared" si="249"/>
        <v>0</v>
      </c>
      <c r="K5335" s="369">
        <f t="shared" si="251"/>
        <v>6</v>
      </c>
      <c r="L5335" s="369">
        <f>+IF((C5335&gt;='Resultats - informe'!$E$16)*(C5335&lt;='Resultats - informe'!$G$16),1,0)</f>
        <v>1</v>
      </c>
      <c r="M5335" s="369" cm="1">
        <f t="array" ref="M5335">+_xlfn.IFS((C5335&gt;='Resultats - informe'!$D$26)*(C5335&lt;='Resultats - informe'!$E$26),0,(C5335&gt;='Resultats - informe'!$D$27)*(C5335&lt;='Resultats - informe'!$E$27),0,(C5335&gt;='Resultats - informe'!$D$28)*(C5335&lt;='Resultats - informe'!$E$28),0,(C5335&gt;='Resultats - informe'!$D$29)*(C5335&lt;='Resultats - informe'!$E$29),0,1,1)</f>
        <v>0</v>
      </c>
      <c r="N5335" s="366">
        <f>+VLOOKUP(D5335,'Resultats - informe'!$Y$18:$AG$42,'Introducció dades consum'!K5335+1,0)</f>
        <v>0</v>
      </c>
      <c r="O5335" s="370" cm="1">
        <f t="array" ref="O5335">+_xlfn.SWITCH(MONTH(C5335),1,1,2,1,3,1,4,2,5,2,6,3,7,3,8,3,9,3,10,2,11,2,12,1,2)</f>
        <v>1</v>
      </c>
      <c r="P5335" s="43"/>
    </row>
    <row r="5336" spans="1:16" ht="18" x14ac:dyDescent="0.35">
      <c r="A5336" s="9"/>
      <c r="C5336" s="393"/>
      <c r="E5336" s="394"/>
      <c r="F5336" s="394">
        <v>0.45200000000000001</v>
      </c>
      <c r="G5336" s="394"/>
      <c r="H5336" s="8" t="s">
        <v>235</v>
      </c>
      <c r="I5336" s="368">
        <f t="shared" si="250"/>
        <v>0</v>
      </c>
      <c r="J5336" s="365">
        <f t="shared" si="249"/>
        <v>0</v>
      </c>
      <c r="K5336" s="369">
        <f t="shared" si="251"/>
        <v>6</v>
      </c>
      <c r="L5336" s="369">
        <f>+IF((C5336&gt;='Resultats - informe'!$E$16)*(C5336&lt;='Resultats - informe'!$G$16),1,0)</f>
        <v>1</v>
      </c>
      <c r="M5336" s="369" cm="1">
        <f t="array" ref="M5336">+_xlfn.IFS((C5336&gt;='Resultats - informe'!$D$26)*(C5336&lt;='Resultats - informe'!$E$26),0,(C5336&gt;='Resultats - informe'!$D$27)*(C5336&lt;='Resultats - informe'!$E$27),0,(C5336&gt;='Resultats - informe'!$D$28)*(C5336&lt;='Resultats - informe'!$E$28),0,(C5336&gt;='Resultats - informe'!$D$29)*(C5336&lt;='Resultats - informe'!$E$29),0,1,1)</f>
        <v>0</v>
      </c>
      <c r="N5336" s="366">
        <f>+VLOOKUP(D5336,'Resultats - informe'!$Y$18:$AG$42,'Introducció dades consum'!K5336+1,0)</f>
        <v>0</v>
      </c>
      <c r="O5336" s="370" cm="1">
        <f t="array" ref="O5336">+_xlfn.SWITCH(MONTH(C5336),1,1,2,1,3,1,4,2,5,2,6,3,7,3,8,3,9,3,10,2,11,2,12,1,2)</f>
        <v>1</v>
      </c>
      <c r="P5336" s="43"/>
    </row>
    <row r="5337" spans="1:16" ht="18" x14ac:dyDescent="0.35">
      <c r="A5337" s="9"/>
      <c r="C5337" s="393"/>
      <c r="E5337" s="394"/>
      <c r="F5337" s="394">
        <v>0.45500000000000002</v>
      </c>
      <c r="G5337" s="394"/>
      <c r="H5337" s="8" t="s">
        <v>235</v>
      </c>
      <c r="I5337" s="368">
        <f t="shared" si="250"/>
        <v>0</v>
      </c>
      <c r="J5337" s="365">
        <f t="shared" si="249"/>
        <v>0</v>
      </c>
      <c r="K5337" s="369">
        <f t="shared" si="251"/>
        <v>6</v>
      </c>
      <c r="L5337" s="369">
        <f>+IF((C5337&gt;='Resultats - informe'!$E$16)*(C5337&lt;='Resultats - informe'!$G$16),1,0)</f>
        <v>1</v>
      </c>
      <c r="M5337" s="369" cm="1">
        <f t="array" ref="M5337">+_xlfn.IFS((C5337&gt;='Resultats - informe'!$D$26)*(C5337&lt;='Resultats - informe'!$E$26),0,(C5337&gt;='Resultats - informe'!$D$27)*(C5337&lt;='Resultats - informe'!$E$27),0,(C5337&gt;='Resultats - informe'!$D$28)*(C5337&lt;='Resultats - informe'!$E$28),0,(C5337&gt;='Resultats - informe'!$D$29)*(C5337&lt;='Resultats - informe'!$E$29),0,1,1)</f>
        <v>0</v>
      </c>
      <c r="N5337" s="366">
        <f>+VLOOKUP(D5337,'Resultats - informe'!$Y$18:$AG$42,'Introducció dades consum'!K5337+1,0)</f>
        <v>0</v>
      </c>
      <c r="O5337" s="370" cm="1">
        <f t="array" ref="O5337">+_xlfn.SWITCH(MONTH(C5337),1,1,2,1,3,1,4,2,5,2,6,3,7,3,8,3,9,3,10,2,11,2,12,1,2)</f>
        <v>1</v>
      </c>
      <c r="P5337" s="43"/>
    </row>
    <row r="5338" spans="1:16" ht="18" x14ac:dyDescent="0.35">
      <c r="A5338" s="9"/>
      <c r="C5338" s="393"/>
      <c r="E5338" s="394"/>
      <c r="F5338" s="394">
        <v>0.45600000000000002</v>
      </c>
      <c r="G5338" s="394"/>
      <c r="H5338" s="8" t="s">
        <v>235</v>
      </c>
      <c r="I5338" s="368">
        <f t="shared" si="250"/>
        <v>0</v>
      </c>
      <c r="J5338" s="365">
        <f t="shared" si="249"/>
        <v>0</v>
      </c>
      <c r="K5338" s="369">
        <f t="shared" si="251"/>
        <v>6</v>
      </c>
      <c r="L5338" s="369">
        <f>+IF((C5338&gt;='Resultats - informe'!$E$16)*(C5338&lt;='Resultats - informe'!$G$16),1,0)</f>
        <v>1</v>
      </c>
      <c r="M5338" s="369" cm="1">
        <f t="array" ref="M5338">+_xlfn.IFS((C5338&gt;='Resultats - informe'!$D$26)*(C5338&lt;='Resultats - informe'!$E$26),0,(C5338&gt;='Resultats - informe'!$D$27)*(C5338&lt;='Resultats - informe'!$E$27),0,(C5338&gt;='Resultats - informe'!$D$28)*(C5338&lt;='Resultats - informe'!$E$28),0,(C5338&gt;='Resultats - informe'!$D$29)*(C5338&lt;='Resultats - informe'!$E$29),0,1,1)</f>
        <v>0</v>
      </c>
      <c r="N5338" s="366">
        <f>+VLOOKUP(D5338,'Resultats - informe'!$Y$18:$AG$42,'Introducció dades consum'!K5338+1,0)</f>
        <v>0</v>
      </c>
      <c r="O5338" s="370" cm="1">
        <f t="array" ref="O5338">+_xlfn.SWITCH(MONTH(C5338),1,1,2,1,3,1,4,2,5,2,6,3,7,3,8,3,9,3,10,2,11,2,12,1,2)</f>
        <v>1</v>
      </c>
      <c r="P5338" s="43"/>
    </row>
    <row r="5339" spans="1:16" ht="18" x14ac:dyDescent="0.35">
      <c r="A5339" s="9"/>
      <c r="C5339" s="393"/>
      <c r="E5339" s="394"/>
      <c r="F5339" s="394">
        <v>0.441</v>
      </c>
      <c r="G5339" s="394"/>
      <c r="H5339" s="8" t="s">
        <v>235</v>
      </c>
      <c r="I5339" s="368">
        <f t="shared" si="250"/>
        <v>0</v>
      </c>
      <c r="J5339" s="365">
        <f t="shared" si="249"/>
        <v>0</v>
      </c>
      <c r="K5339" s="369">
        <f t="shared" si="251"/>
        <v>6</v>
      </c>
      <c r="L5339" s="369">
        <f>+IF((C5339&gt;='Resultats - informe'!$E$16)*(C5339&lt;='Resultats - informe'!$G$16),1,0)</f>
        <v>1</v>
      </c>
      <c r="M5339" s="369" cm="1">
        <f t="array" ref="M5339">+_xlfn.IFS((C5339&gt;='Resultats - informe'!$D$26)*(C5339&lt;='Resultats - informe'!$E$26),0,(C5339&gt;='Resultats - informe'!$D$27)*(C5339&lt;='Resultats - informe'!$E$27),0,(C5339&gt;='Resultats - informe'!$D$28)*(C5339&lt;='Resultats - informe'!$E$28),0,(C5339&gt;='Resultats - informe'!$D$29)*(C5339&lt;='Resultats - informe'!$E$29),0,1,1)</f>
        <v>0</v>
      </c>
      <c r="N5339" s="366">
        <f>+VLOOKUP(D5339,'Resultats - informe'!$Y$18:$AG$42,'Introducció dades consum'!K5339+1,0)</f>
        <v>0</v>
      </c>
      <c r="O5339" s="370" cm="1">
        <f t="array" ref="O5339">+_xlfn.SWITCH(MONTH(C5339),1,1,2,1,3,1,4,2,5,2,6,3,7,3,8,3,9,3,10,2,11,2,12,1,2)</f>
        <v>1</v>
      </c>
      <c r="P5339" s="43"/>
    </row>
    <row r="5340" spans="1:16" ht="18" x14ac:dyDescent="0.35">
      <c r="A5340" s="9"/>
      <c r="C5340" s="393"/>
      <c r="E5340" s="394"/>
      <c r="F5340" s="394">
        <v>1.2809999999999999</v>
      </c>
      <c r="G5340" s="394"/>
      <c r="H5340" s="8" t="s">
        <v>235</v>
      </c>
      <c r="I5340" s="368">
        <f t="shared" si="250"/>
        <v>0</v>
      </c>
      <c r="J5340" s="365">
        <f t="shared" si="249"/>
        <v>0</v>
      </c>
      <c r="K5340" s="369">
        <f t="shared" si="251"/>
        <v>6</v>
      </c>
      <c r="L5340" s="369">
        <f>+IF((C5340&gt;='Resultats - informe'!$E$16)*(C5340&lt;='Resultats - informe'!$G$16),1,0)</f>
        <v>1</v>
      </c>
      <c r="M5340" s="369" cm="1">
        <f t="array" ref="M5340">+_xlfn.IFS((C5340&gt;='Resultats - informe'!$D$26)*(C5340&lt;='Resultats - informe'!$E$26),0,(C5340&gt;='Resultats - informe'!$D$27)*(C5340&lt;='Resultats - informe'!$E$27),0,(C5340&gt;='Resultats - informe'!$D$28)*(C5340&lt;='Resultats - informe'!$E$28),0,(C5340&gt;='Resultats - informe'!$D$29)*(C5340&lt;='Resultats - informe'!$E$29),0,1,1)</f>
        <v>0</v>
      </c>
      <c r="N5340" s="366">
        <f>+VLOOKUP(D5340,'Resultats - informe'!$Y$18:$AG$42,'Introducció dades consum'!K5340+1,0)</f>
        <v>0</v>
      </c>
      <c r="O5340" s="370" cm="1">
        <f t="array" ref="O5340">+_xlfn.SWITCH(MONTH(C5340),1,1,2,1,3,1,4,2,5,2,6,3,7,3,8,3,9,3,10,2,11,2,12,1,2)</f>
        <v>1</v>
      </c>
      <c r="P5340" s="43"/>
    </row>
    <row r="5341" spans="1:16" ht="18" x14ac:dyDescent="0.35">
      <c r="A5341" s="9"/>
      <c r="C5341" s="393"/>
      <c r="E5341" s="394"/>
      <c r="F5341" s="394">
        <v>1.298</v>
      </c>
      <c r="G5341" s="394"/>
      <c r="H5341" s="8" t="s">
        <v>235</v>
      </c>
      <c r="I5341" s="368">
        <f t="shared" si="250"/>
        <v>0</v>
      </c>
      <c r="J5341" s="365">
        <f t="shared" si="249"/>
        <v>0</v>
      </c>
      <c r="K5341" s="369">
        <f t="shared" si="251"/>
        <v>6</v>
      </c>
      <c r="L5341" s="369">
        <f>+IF((C5341&gt;='Resultats - informe'!$E$16)*(C5341&lt;='Resultats - informe'!$G$16),1,0)</f>
        <v>1</v>
      </c>
      <c r="M5341" s="369" cm="1">
        <f t="array" ref="M5341">+_xlfn.IFS((C5341&gt;='Resultats - informe'!$D$26)*(C5341&lt;='Resultats - informe'!$E$26),0,(C5341&gt;='Resultats - informe'!$D$27)*(C5341&lt;='Resultats - informe'!$E$27),0,(C5341&gt;='Resultats - informe'!$D$28)*(C5341&lt;='Resultats - informe'!$E$28),0,(C5341&gt;='Resultats - informe'!$D$29)*(C5341&lt;='Resultats - informe'!$E$29),0,1,1)</f>
        <v>0</v>
      </c>
      <c r="N5341" s="366">
        <f>+VLOOKUP(D5341,'Resultats - informe'!$Y$18:$AG$42,'Introducció dades consum'!K5341+1,0)</f>
        <v>0</v>
      </c>
      <c r="O5341" s="370" cm="1">
        <f t="array" ref="O5341">+_xlfn.SWITCH(MONTH(C5341),1,1,2,1,3,1,4,2,5,2,6,3,7,3,8,3,9,3,10,2,11,2,12,1,2)</f>
        <v>1</v>
      </c>
      <c r="P5341" s="43"/>
    </row>
    <row r="5342" spans="1:16" ht="18" x14ac:dyDescent="0.35">
      <c r="A5342" s="9"/>
      <c r="C5342" s="393"/>
      <c r="E5342" s="394"/>
      <c r="F5342" s="394">
        <v>1.978</v>
      </c>
      <c r="G5342" s="394"/>
      <c r="H5342" s="8" t="s">
        <v>235</v>
      </c>
      <c r="I5342" s="368">
        <f t="shared" si="250"/>
        <v>0</v>
      </c>
      <c r="J5342" s="365">
        <f t="shared" si="249"/>
        <v>0</v>
      </c>
      <c r="K5342" s="369">
        <f t="shared" si="251"/>
        <v>6</v>
      </c>
      <c r="L5342" s="369">
        <f>+IF((C5342&gt;='Resultats - informe'!$E$16)*(C5342&lt;='Resultats - informe'!$G$16),1,0)</f>
        <v>1</v>
      </c>
      <c r="M5342" s="369" cm="1">
        <f t="array" ref="M5342">+_xlfn.IFS((C5342&gt;='Resultats - informe'!$D$26)*(C5342&lt;='Resultats - informe'!$E$26),0,(C5342&gt;='Resultats - informe'!$D$27)*(C5342&lt;='Resultats - informe'!$E$27),0,(C5342&gt;='Resultats - informe'!$D$28)*(C5342&lt;='Resultats - informe'!$E$28),0,(C5342&gt;='Resultats - informe'!$D$29)*(C5342&lt;='Resultats - informe'!$E$29),0,1,1)</f>
        <v>0</v>
      </c>
      <c r="N5342" s="366">
        <f>+VLOOKUP(D5342,'Resultats - informe'!$Y$18:$AG$42,'Introducció dades consum'!K5342+1,0)</f>
        <v>0</v>
      </c>
      <c r="O5342" s="370" cm="1">
        <f t="array" ref="O5342">+_xlfn.SWITCH(MONTH(C5342),1,1,2,1,3,1,4,2,5,2,6,3,7,3,8,3,9,3,10,2,11,2,12,1,2)</f>
        <v>1</v>
      </c>
      <c r="P5342" s="43"/>
    </row>
    <row r="5343" spans="1:16" ht="18" x14ac:dyDescent="0.35">
      <c r="A5343" s="9"/>
      <c r="C5343" s="393"/>
      <c r="E5343" s="394"/>
      <c r="F5343" s="394">
        <v>1.919</v>
      </c>
      <c r="G5343" s="394"/>
      <c r="H5343" s="8" t="s">
        <v>235</v>
      </c>
      <c r="I5343" s="368">
        <f t="shared" si="250"/>
        <v>0</v>
      </c>
      <c r="J5343" s="365">
        <f t="shared" si="249"/>
        <v>0</v>
      </c>
      <c r="K5343" s="369">
        <f t="shared" si="251"/>
        <v>6</v>
      </c>
      <c r="L5343" s="369">
        <f>+IF((C5343&gt;='Resultats - informe'!$E$16)*(C5343&lt;='Resultats - informe'!$G$16),1,0)</f>
        <v>1</v>
      </c>
      <c r="M5343" s="369" cm="1">
        <f t="array" ref="M5343">+_xlfn.IFS((C5343&gt;='Resultats - informe'!$D$26)*(C5343&lt;='Resultats - informe'!$E$26),0,(C5343&gt;='Resultats - informe'!$D$27)*(C5343&lt;='Resultats - informe'!$E$27),0,(C5343&gt;='Resultats - informe'!$D$28)*(C5343&lt;='Resultats - informe'!$E$28),0,(C5343&gt;='Resultats - informe'!$D$29)*(C5343&lt;='Resultats - informe'!$E$29),0,1,1)</f>
        <v>0</v>
      </c>
      <c r="N5343" s="366">
        <f>+VLOOKUP(D5343,'Resultats - informe'!$Y$18:$AG$42,'Introducció dades consum'!K5343+1,0)</f>
        <v>0</v>
      </c>
      <c r="O5343" s="370" cm="1">
        <f t="array" ref="O5343">+_xlfn.SWITCH(MONTH(C5343),1,1,2,1,3,1,4,2,5,2,6,3,7,3,8,3,9,3,10,2,11,2,12,1,2)</f>
        <v>1</v>
      </c>
      <c r="P5343" s="43"/>
    </row>
    <row r="5344" spans="1:16" ht="18" x14ac:dyDescent="0.35">
      <c r="A5344" s="9"/>
      <c r="C5344" s="393"/>
      <c r="E5344" s="394"/>
      <c r="F5344" s="394">
        <v>1.2689999999999999</v>
      </c>
      <c r="G5344" s="394"/>
      <c r="H5344" s="8" t="s">
        <v>235</v>
      </c>
      <c r="I5344" s="368">
        <f t="shared" si="250"/>
        <v>0</v>
      </c>
      <c r="J5344" s="365">
        <f t="shared" si="249"/>
        <v>0</v>
      </c>
      <c r="K5344" s="369">
        <f t="shared" si="251"/>
        <v>6</v>
      </c>
      <c r="L5344" s="369">
        <f>+IF((C5344&gt;='Resultats - informe'!$E$16)*(C5344&lt;='Resultats - informe'!$G$16),1,0)</f>
        <v>1</v>
      </c>
      <c r="M5344" s="369" cm="1">
        <f t="array" ref="M5344">+_xlfn.IFS((C5344&gt;='Resultats - informe'!$D$26)*(C5344&lt;='Resultats - informe'!$E$26),0,(C5344&gt;='Resultats - informe'!$D$27)*(C5344&lt;='Resultats - informe'!$E$27),0,(C5344&gt;='Resultats - informe'!$D$28)*(C5344&lt;='Resultats - informe'!$E$28),0,(C5344&gt;='Resultats - informe'!$D$29)*(C5344&lt;='Resultats - informe'!$E$29),0,1,1)</f>
        <v>0</v>
      </c>
      <c r="N5344" s="366">
        <f>+VLOOKUP(D5344,'Resultats - informe'!$Y$18:$AG$42,'Introducció dades consum'!K5344+1,0)</f>
        <v>0</v>
      </c>
      <c r="O5344" s="370" cm="1">
        <f t="array" ref="O5344">+_xlfn.SWITCH(MONTH(C5344),1,1,2,1,3,1,4,2,5,2,6,3,7,3,8,3,9,3,10,2,11,2,12,1,2)</f>
        <v>1</v>
      </c>
      <c r="P5344" s="43"/>
    </row>
    <row r="5345" spans="1:16" ht="18" x14ac:dyDescent="0.35">
      <c r="A5345" s="9"/>
      <c r="C5345" s="393"/>
      <c r="E5345" s="394"/>
      <c r="F5345" s="394">
        <v>0.85699999999999998</v>
      </c>
      <c r="G5345" s="394"/>
      <c r="H5345" s="8" t="s">
        <v>235</v>
      </c>
      <c r="I5345" s="368">
        <f t="shared" si="250"/>
        <v>0</v>
      </c>
      <c r="J5345" s="365">
        <f t="shared" si="249"/>
        <v>0</v>
      </c>
      <c r="K5345" s="369">
        <f t="shared" si="251"/>
        <v>6</v>
      </c>
      <c r="L5345" s="369">
        <f>+IF((C5345&gt;='Resultats - informe'!$E$16)*(C5345&lt;='Resultats - informe'!$G$16),1,0)</f>
        <v>1</v>
      </c>
      <c r="M5345" s="369" cm="1">
        <f t="array" ref="M5345">+_xlfn.IFS((C5345&gt;='Resultats - informe'!$D$26)*(C5345&lt;='Resultats - informe'!$E$26),0,(C5345&gt;='Resultats - informe'!$D$27)*(C5345&lt;='Resultats - informe'!$E$27),0,(C5345&gt;='Resultats - informe'!$D$28)*(C5345&lt;='Resultats - informe'!$E$28),0,(C5345&gt;='Resultats - informe'!$D$29)*(C5345&lt;='Resultats - informe'!$E$29),0,1,1)</f>
        <v>0</v>
      </c>
      <c r="N5345" s="366">
        <f>+VLOOKUP(D5345,'Resultats - informe'!$Y$18:$AG$42,'Introducció dades consum'!K5345+1,0)</f>
        <v>0</v>
      </c>
      <c r="O5345" s="370" cm="1">
        <f t="array" ref="O5345">+_xlfn.SWITCH(MONTH(C5345),1,1,2,1,3,1,4,2,5,2,6,3,7,3,8,3,9,3,10,2,11,2,12,1,2)</f>
        <v>1</v>
      </c>
      <c r="P5345" s="43"/>
    </row>
    <row r="5346" spans="1:16" ht="18" x14ac:dyDescent="0.35">
      <c r="A5346" s="9"/>
      <c r="C5346" s="393"/>
      <c r="E5346" s="394"/>
      <c r="F5346" s="394">
        <v>0.45500000000000002</v>
      </c>
      <c r="G5346" s="394"/>
      <c r="H5346" s="8" t="s">
        <v>235</v>
      </c>
      <c r="I5346" s="368">
        <f t="shared" si="250"/>
        <v>0</v>
      </c>
      <c r="J5346" s="365">
        <f t="shared" si="249"/>
        <v>0</v>
      </c>
      <c r="K5346" s="369">
        <f t="shared" si="251"/>
        <v>6</v>
      </c>
      <c r="L5346" s="369">
        <f>+IF((C5346&gt;='Resultats - informe'!$E$16)*(C5346&lt;='Resultats - informe'!$G$16),1,0)</f>
        <v>1</v>
      </c>
      <c r="M5346" s="369" cm="1">
        <f t="array" ref="M5346">+_xlfn.IFS((C5346&gt;='Resultats - informe'!$D$26)*(C5346&lt;='Resultats - informe'!$E$26),0,(C5346&gt;='Resultats - informe'!$D$27)*(C5346&lt;='Resultats - informe'!$E$27),0,(C5346&gt;='Resultats - informe'!$D$28)*(C5346&lt;='Resultats - informe'!$E$28),0,(C5346&gt;='Resultats - informe'!$D$29)*(C5346&lt;='Resultats - informe'!$E$29),0,1,1)</f>
        <v>0</v>
      </c>
      <c r="N5346" s="366">
        <f>+VLOOKUP(D5346,'Resultats - informe'!$Y$18:$AG$42,'Introducció dades consum'!K5346+1,0)</f>
        <v>0</v>
      </c>
      <c r="O5346" s="370" cm="1">
        <f t="array" ref="O5346">+_xlfn.SWITCH(MONTH(C5346),1,1,2,1,3,1,4,2,5,2,6,3,7,3,8,3,9,3,10,2,11,2,12,1,2)</f>
        <v>1</v>
      </c>
      <c r="P5346" s="43"/>
    </row>
    <row r="5347" spans="1:16" ht="18" x14ac:dyDescent="0.35">
      <c r="A5347" s="9"/>
      <c r="C5347" s="393"/>
      <c r="E5347" s="394"/>
      <c r="F5347" s="394">
        <v>1.421</v>
      </c>
      <c r="G5347" s="394"/>
      <c r="H5347" s="8" t="s">
        <v>235</v>
      </c>
      <c r="I5347" s="368">
        <f t="shared" si="250"/>
        <v>0</v>
      </c>
      <c r="J5347" s="365">
        <f t="shared" si="249"/>
        <v>0</v>
      </c>
      <c r="K5347" s="369">
        <f t="shared" si="251"/>
        <v>6</v>
      </c>
      <c r="L5347" s="369">
        <f>+IF((C5347&gt;='Resultats - informe'!$E$16)*(C5347&lt;='Resultats - informe'!$G$16),1,0)</f>
        <v>1</v>
      </c>
      <c r="M5347" s="369" cm="1">
        <f t="array" ref="M5347">+_xlfn.IFS((C5347&gt;='Resultats - informe'!$D$26)*(C5347&lt;='Resultats - informe'!$E$26),0,(C5347&gt;='Resultats - informe'!$D$27)*(C5347&lt;='Resultats - informe'!$E$27),0,(C5347&gt;='Resultats - informe'!$D$28)*(C5347&lt;='Resultats - informe'!$E$28),0,(C5347&gt;='Resultats - informe'!$D$29)*(C5347&lt;='Resultats - informe'!$E$29),0,1,1)</f>
        <v>0</v>
      </c>
      <c r="N5347" s="366">
        <f>+VLOOKUP(D5347,'Resultats - informe'!$Y$18:$AG$42,'Introducció dades consum'!K5347+1,0)</f>
        <v>0</v>
      </c>
      <c r="O5347" s="370" cm="1">
        <f t="array" ref="O5347">+_xlfn.SWITCH(MONTH(C5347),1,1,2,1,3,1,4,2,5,2,6,3,7,3,8,3,9,3,10,2,11,2,12,1,2)</f>
        <v>1</v>
      </c>
      <c r="P5347" s="43"/>
    </row>
    <row r="5348" spans="1:16" ht="18" x14ac:dyDescent="0.35">
      <c r="A5348" s="9"/>
      <c r="C5348" s="393"/>
      <c r="E5348" s="394"/>
      <c r="F5348" s="394">
        <v>0.746</v>
      </c>
      <c r="G5348" s="394"/>
      <c r="H5348" s="8" t="s">
        <v>235</v>
      </c>
      <c r="I5348" s="368">
        <f t="shared" si="250"/>
        <v>0</v>
      </c>
      <c r="J5348" s="365">
        <f t="shared" si="249"/>
        <v>0</v>
      </c>
      <c r="K5348" s="369">
        <f t="shared" si="251"/>
        <v>6</v>
      </c>
      <c r="L5348" s="369">
        <f>+IF((C5348&gt;='Resultats - informe'!$E$16)*(C5348&lt;='Resultats - informe'!$G$16),1,0)</f>
        <v>1</v>
      </c>
      <c r="M5348" s="369" cm="1">
        <f t="array" ref="M5348">+_xlfn.IFS((C5348&gt;='Resultats - informe'!$D$26)*(C5348&lt;='Resultats - informe'!$E$26),0,(C5348&gt;='Resultats - informe'!$D$27)*(C5348&lt;='Resultats - informe'!$E$27),0,(C5348&gt;='Resultats - informe'!$D$28)*(C5348&lt;='Resultats - informe'!$E$28),0,(C5348&gt;='Resultats - informe'!$D$29)*(C5348&lt;='Resultats - informe'!$E$29),0,1,1)</f>
        <v>0</v>
      </c>
      <c r="N5348" s="366">
        <f>+VLOOKUP(D5348,'Resultats - informe'!$Y$18:$AG$42,'Introducció dades consum'!K5348+1,0)</f>
        <v>0</v>
      </c>
      <c r="O5348" s="370" cm="1">
        <f t="array" ref="O5348">+_xlfn.SWITCH(MONTH(C5348),1,1,2,1,3,1,4,2,5,2,6,3,7,3,8,3,9,3,10,2,11,2,12,1,2)</f>
        <v>1</v>
      </c>
      <c r="P5348" s="43"/>
    </row>
    <row r="5349" spans="1:16" ht="18" x14ac:dyDescent="0.35">
      <c r="A5349" s="9"/>
      <c r="C5349" s="393"/>
      <c r="E5349" s="394"/>
      <c r="F5349" s="394">
        <v>0.60699999999999998</v>
      </c>
      <c r="G5349" s="394"/>
      <c r="H5349" s="8" t="s">
        <v>235</v>
      </c>
      <c r="I5349" s="368">
        <f t="shared" si="250"/>
        <v>0</v>
      </c>
      <c r="J5349" s="365">
        <f t="shared" si="249"/>
        <v>0</v>
      </c>
      <c r="K5349" s="369">
        <f t="shared" si="251"/>
        <v>6</v>
      </c>
      <c r="L5349" s="369">
        <f>+IF((C5349&gt;='Resultats - informe'!$E$16)*(C5349&lt;='Resultats - informe'!$G$16),1,0)</f>
        <v>1</v>
      </c>
      <c r="M5349" s="369" cm="1">
        <f t="array" ref="M5349">+_xlfn.IFS((C5349&gt;='Resultats - informe'!$D$26)*(C5349&lt;='Resultats - informe'!$E$26),0,(C5349&gt;='Resultats - informe'!$D$27)*(C5349&lt;='Resultats - informe'!$E$27),0,(C5349&gt;='Resultats - informe'!$D$28)*(C5349&lt;='Resultats - informe'!$E$28),0,(C5349&gt;='Resultats - informe'!$D$29)*(C5349&lt;='Resultats - informe'!$E$29),0,1,1)</f>
        <v>0</v>
      </c>
      <c r="N5349" s="366">
        <f>+VLOOKUP(D5349,'Resultats - informe'!$Y$18:$AG$42,'Introducció dades consum'!K5349+1,0)</f>
        <v>0</v>
      </c>
      <c r="O5349" s="370" cm="1">
        <f t="array" ref="O5349">+_xlfn.SWITCH(MONTH(C5349),1,1,2,1,3,1,4,2,5,2,6,3,7,3,8,3,9,3,10,2,11,2,12,1,2)</f>
        <v>1</v>
      </c>
      <c r="P5349" s="43"/>
    </row>
    <row r="5350" spans="1:16" ht="18" x14ac:dyDescent="0.35">
      <c r="A5350" s="9"/>
      <c r="C5350" s="393"/>
      <c r="E5350" s="394"/>
      <c r="F5350" s="394">
        <v>1.8240000000000001</v>
      </c>
      <c r="G5350" s="394"/>
      <c r="H5350" s="8" t="s">
        <v>235</v>
      </c>
      <c r="I5350" s="368">
        <f t="shared" si="250"/>
        <v>0</v>
      </c>
      <c r="J5350" s="365">
        <f t="shared" si="249"/>
        <v>0</v>
      </c>
      <c r="K5350" s="369">
        <f t="shared" si="251"/>
        <v>6</v>
      </c>
      <c r="L5350" s="369">
        <f>+IF((C5350&gt;='Resultats - informe'!$E$16)*(C5350&lt;='Resultats - informe'!$G$16),1,0)</f>
        <v>1</v>
      </c>
      <c r="M5350" s="369" cm="1">
        <f t="array" ref="M5350">+_xlfn.IFS((C5350&gt;='Resultats - informe'!$D$26)*(C5350&lt;='Resultats - informe'!$E$26),0,(C5350&gt;='Resultats - informe'!$D$27)*(C5350&lt;='Resultats - informe'!$E$27),0,(C5350&gt;='Resultats - informe'!$D$28)*(C5350&lt;='Resultats - informe'!$E$28),0,(C5350&gt;='Resultats - informe'!$D$29)*(C5350&lt;='Resultats - informe'!$E$29),0,1,1)</f>
        <v>0</v>
      </c>
      <c r="N5350" s="366">
        <f>+VLOOKUP(D5350,'Resultats - informe'!$Y$18:$AG$42,'Introducció dades consum'!K5350+1,0)</f>
        <v>0</v>
      </c>
      <c r="O5350" s="370" cm="1">
        <f t="array" ref="O5350">+_xlfn.SWITCH(MONTH(C5350),1,1,2,1,3,1,4,2,5,2,6,3,7,3,8,3,9,3,10,2,11,2,12,1,2)</f>
        <v>1</v>
      </c>
      <c r="P5350" s="43"/>
    </row>
    <row r="5351" spans="1:16" ht="18" x14ac:dyDescent="0.35">
      <c r="A5351" s="9"/>
      <c r="C5351" s="393"/>
      <c r="E5351" s="394"/>
      <c r="F5351" s="394">
        <v>2.476</v>
      </c>
      <c r="G5351" s="394"/>
      <c r="H5351" s="8" t="s">
        <v>235</v>
      </c>
      <c r="I5351" s="368">
        <f t="shared" si="250"/>
        <v>0</v>
      </c>
      <c r="J5351" s="365">
        <f t="shared" si="249"/>
        <v>0</v>
      </c>
      <c r="K5351" s="369">
        <f t="shared" si="251"/>
        <v>6</v>
      </c>
      <c r="L5351" s="369">
        <f>+IF((C5351&gt;='Resultats - informe'!$E$16)*(C5351&lt;='Resultats - informe'!$G$16),1,0)</f>
        <v>1</v>
      </c>
      <c r="M5351" s="369" cm="1">
        <f t="array" ref="M5351">+_xlfn.IFS((C5351&gt;='Resultats - informe'!$D$26)*(C5351&lt;='Resultats - informe'!$E$26),0,(C5351&gt;='Resultats - informe'!$D$27)*(C5351&lt;='Resultats - informe'!$E$27),0,(C5351&gt;='Resultats - informe'!$D$28)*(C5351&lt;='Resultats - informe'!$E$28),0,(C5351&gt;='Resultats - informe'!$D$29)*(C5351&lt;='Resultats - informe'!$E$29),0,1,1)</f>
        <v>0</v>
      </c>
      <c r="N5351" s="366">
        <f>+VLOOKUP(D5351,'Resultats - informe'!$Y$18:$AG$42,'Introducció dades consum'!K5351+1,0)</f>
        <v>0</v>
      </c>
      <c r="O5351" s="370" cm="1">
        <f t="array" ref="O5351">+_xlfn.SWITCH(MONTH(C5351),1,1,2,1,3,1,4,2,5,2,6,3,7,3,8,3,9,3,10,2,11,2,12,1,2)</f>
        <v>1</v>
      </c>
      <c r="P5351" s="43"/>
    </row>
    <row r="5352" spans="1:16" ht="18" x14ac:dyDescent="0.35">
      <c r="A5352" s="9"/>
      <c r="C5352" s="393"/>
      <c r="E5352" s="394"/>
      <c r="F5352" s="394">
        <v>2.5550000000000002</v>
      </c>
      <c r="G5352" s="394"/>
      <c r="H5352" s="8" t="s">
        <v>235</v>
      </c>
      <c r="I5352" s="368">
        <f t="shared" si="250"/>
        <v>0</v>
      </c>
      <c r="J5352" s="365">
        <f t="shared" si="249"/>
        <v>0</v>
      </c>
      <c r="K5352" s="369">
        <f t="shared" si="251"/>
        <v>6</v>
      </c>
      <c r="L5352" s="369">
        <f>+IF((C5352&gt;='Resultats - informe'!$E$16)*(C5352&lt;='Resultats - informe'!$G$16),1,0)</f>
        <v>1</v>
      </c>
      <c r="M5352" s="369" cm="1">
        <f t="array" ref="M5352">+_xlfn.IFS((C5352&gt;='Resultats - informe'!$D$26)*(C5352&lt;='Resultats - informe'!$E$26),0,(C5352&gt;='Resultats - informe'!$D$27)*(C5352&lt;='Resultats - informe'!$E$27),0,(C5352&gt;='Resultats - informe'!$D$28)*(C5352&lt;='Resultats - informe'!$E$28),0,(C5352&gt;='Resultats - informe'!$D$29)*(C5352&lt;='Resultats - informe'!$E$29),0,1,1)</f>
        <v>0</v>
      </c>
      <c r="N5352" s="366">
        <f>+VLOOKUP(D5352,'Resultats - informe'!$Y$18:$AG$42,'Introducció dades consum'!K5352+1,0)</f>
        <v>0</v>
      </c>
      <c r="O5352" s="370" cm="1">
        <f t="array" ref="O5352">+_xlfn.SWITCH(MONTH(C5352),1,1,2,1,3,1,4,2,5,2,6,3,7,3,8,3,9,3,10,2,11,2,12,1,2)</f>
        <v>1</v>
      </c>
      <c r="P5352" s="43"/>
    </row>
    <row r="5353" spans="1:16" ht="18" x14ac:dyDescent="0.35">
      <c r="A5353" s="9"/>
      <c r="C5353" s="393"/>
      <c r="E5353" s="394"/>
      <c r="F5353" s="394">
        <v>2.1989999999999998</v>
      </c>
      <c r="G5353" s="394"/>
      <c r="H5353" s="8" t="s">
        <v>235</v>
      </c>
      <c r="I5353" s="368">
        <f t="shared" si="250"/>
        <v>0</v>
      </c>
      <c r="J5353" s="365">
        <f t="shared" si="249"/>
        <v>0</v>
      </c>
      <c r="K5353" s="369">
        <f t="shared" si="251"/>
        <v>6</v>
      </c>
      <c r="L5353" s="369">
        <f>+IF((C5353&gt;='Resultats - informe'!$E$16)*(C5353&lt;='Resultats - informe'!$G$16),1,0)</f>
        <v>1</v>
      </c>
      <c r="M5353" s="369" cm="1">
        <f t="array" ref="M5353">+_xlfn.IFS((C5353&gt;='Resultats - informe'!$D$26)*(C5353&lt;='Resultats - informe'!$E$26),0,(C5353&gt;='Resultats - informe'!$D$27)*(C5353&lt;='Resultats - informe'!$E$27),0,(C5353&gt;='Resultats - informe'!$D$28)*(C5353&lt;='Resultats - informe'!$E$28),0,(C5353&gt;='Resultats - informe'!$D$29)*(C5353&lt;='Resultats - informe'!$E$29),0,1,1)</f>
        <v>0</v>
      </c>
      <c r="N5353" s="366">
        <f>+VLOOKUP(D5353,'Resultats - informe'!$Y$18:$AG$42,'Introducció dades consum'!K5353+1,0)</f>
        <v>0</v>
      </c>
      <c r="O5353" s="370" cm="1">
        <f t="array" ref="O5353">+_xlfn.SWITCH(MONTH(C5353),1,1,2,1,3,1,4,2,5,2,6,3,7,3,8,3,9,3,10,2,11,2,12,1,2)</f>
        <v>1</v>
      </c>
      <c r="P5353" s="43"/>
    </row>
    <row r="5354" spans="1:16" ht="18" x14ac:dyDescent="0.35">
      <c r="A5354" s="9"/>
      <c r="C5354" s="393"/>
      <c r="E5354" s="394"/>
      <c r="F5354" s="394">
        <v>1.343</v>
      </c>
      <c r="G5354" s="394"/>
      <c r="H5354" s="8" t="s">
        <v>235</v>
      </c>
      <c r="I5354" s="368">
        <f t="shared" si="250"/>
        <v>0</v>
      </c>
      <c r="J5354" s="365">
        <f t="shared" si="249"/>
        <v>0</v>
      </c>
      <c r="K5354" s="369">
        <f t="shared" si="251"/>
        <v>6</v>
      </c>
      <c r="L5354" s="369">
        <f>+IF((C5354&gt;='Resultats - informe'!$E$16)*(C5354&lt;='Resultats - informe'!$G$16),1,0)</f>
        <v>1</v>
      </c>
      <c r="M5354" s="369" cm="1">
        <f t="array" ref="M5354">+_xlfn.IFS((C5354&gt;='Resultats - informe'!$D$26)*(C5354&lt;='Resultats - informe'!$E$26),0,(C5354&gt;='Resultats - informe'!$D$27)*(C5354&lt;='Resultats - informe'!$E$27),0,(C5354&gt;='Resultats - informe'!$D$28)*(C5354&lt;='Resultats - informe'!$E$28),0,(C5354&gt;='Resultats - informe'!$D$29)*(C5354&lt;='Resultats - informe'!$E$29),0,1,1)</f>
        <v>0</v>
      </c>
      <c r="N5354" s="366">
        <f>+VLOOKUP(D5354,'Resultats - informe'!$Y$18:$AG$42,'Introducció dades consum'!K5354+1,0)</f>
        <v>0</v>
      </c>
      <c r="O5354" s="370" cm="1">
        <f t="array" ref="O5354">+_xlfn.SWITCH(MONTH(C5354),1,1,2,1,3,1,4,2,5,2,6,3,7,3,8,3,9,3,10,2,11,2,12,1,2)</f>
        <v>1</v>
      </c>
      <c r="P5354" s="43"/>
    </row>
    <row r="5355" spans="1:16" ht="18" x14ac:dyDescent="0.35">
      <c r="A5355" s="9"/>
      <c r="C5355" s="393"/>
      <c r="E5355" s="394"/>
      <c r="F5355" s="394">
        <v>1.345</v>
      </c>
      <c r="G5355" s="394"/>
      <c r="H5355" s="8" t="s">
        <v>235</v>
      </c>
      <c r="I5355" s="368">
        <f t="shared" si="250"/>
        <v>0</v>
      </c>
      <c r="J5355" s="365">
        <f t="shared" si="249"/>
        <v>0</v>
      </c>
      <c r="K5355" s="369">
        <f t="shared" si="251"/>
        <v>6</v>
      </c>
      <c r="L5355" s="369">
        <f>+IF((C5355&gt;='Resultats - informe'!$E$16)*(C5355&lt;='Resultats - informe'!$G$16),1,0)</f>
        <v>1</v>
      </c>
      <c r="M5355" s="369" cm="1">
        <f t="array" ref="M5355">+_xlfn.IFS((C5355&gt;='Resultats - informe'!$D$26)*(C5355&lt;='Resultats - informe'!$E$26),0,(C5355&gt;='Resultats - informe'!$D$27)*(C5355&lt;='Resultats - informe'!$E$27),0,(C5355&gt;='Resultats - informe'!$D$28)*(C5355&lt;='Resultats - informe'!$E$28),0,(C5355&gt;='Resultats - informe'!$D$29)*(C5355&lt;='Resultats - informe'!$E$29),0,1,1)</f>
        <v>0</v>
      </c>
      <c r="N5355" s="366">
        <f>+VLOOKUP(D5355,'Resultats - informe'!$Y$18:$AG$42,'Introducció dades consum'!K5355+1,0)</f>
        <v>0</v>
      </c>
      <c r="O5355" s="370" cm="1">
        <f t="array" ref="O5355">+_xlfn.SWITCH(MONTH(C5355),1,1,2,1,3,1,4,2,5,2,6,3,7,3,8,3,9,3,10,2,11,2,12,1,2)</f>
        <v>1</v>
      </c>
      <c r="P5355" s="43"/>
    </row>
    <row r="5356" spans="1:16" ht="18" x14ac:dyDescent="0.35">
      <c r="A5356" s="9"/>
      <c r="C5356" s="393"/>
      <c r="E5356" s="394"/>
      <c r="F5356" s="394">
        <v>4.8000000000000001E-2</v>
      </c>
      <c r="G5356" s="394"/>
      <c r="H5356" s="8" t="s">
        <v>235</v>
      </c>
      <c r="I5356" s="368">
        <f t="shared" si="250"/>
        <v>0</v>
      </c>
      <c r="J5356" s="365">
        <f t="shared" si="249"/>
        <v>0</v>
      </c>
      <c r="K5356" s="369">
        <f t="shared" si="251"/>
        <v>6</v>
      </c>
      <c r="L5356" s="369">
        <f>+IF((C5356&gt;='Resultats - informe'!$E$16)*(C5356&lt;='Resultats - informe'!$G$16),1,0)</f>
        <v>1</v>
      </c>
      <c r="M5356" s="369" cm="1">
        <f t="array" ref="M5356">+_xlfn.IFS((C5356&gt;='Resultats - informe'!$D$26)*(C5356&lt;='Resultats - informe'!$E$26),0,(C5356&gt;='Resultats - informe'!$D$27)*(C5356&lt;='Resultats - informe'!$E$27),0,(C5356&gt;='Resultats - informe'!$D$28)*(C5356&lt;='Resultats - informe'!$E$28),0,(C5356&gt;='Resultats - informe'!$D$29)*(C5356&lt;='Resultats - informe'!$E$29),0,1,1)</f>
        <v>0</v>
      </c>
      <c r="N5356" s="366">
        <f>+VLOOKUP(D5356,'Resultats - informe'!$Y$18:$AG$42,'Introducció dades consum'!K5356+1,0)</f>
        <v>0</v>
      </c>
      <c r="O5356" s="370" cm="1">
        <f t="array" ref="O5356">+_xlfn.SWITCH(MONTH(C5356),1,1,2,1,3,1,4,2,5,2,6,3,7,3,8,3,9,3,10,2,11,2,12,1,2)</f>
        <v>1</v>
      </c>
      <c r="P5356" s="43"/>
    </row>
    <row r="5357" spans="1:16" ht="18" x14ac:dyDescent="0.35">
      <c r="A5357" s="9"/>
      <c r="C5357" s="393"/>
      <c r="E5357" s="394"/>
      <c r="F5357" s="394">
        <v>0.42399999999999999</v>
      </c>
      <c r="G5357" s="394"/>
      <c r="H5357" s="8" t="s">
        <v>235</v>
      </c>
      <c r="I5357" s="368">
        <f t="shared" si="250"/>
        <v>0</v>
      </c>
      <c r="J5357" s="365">
        <f t="shared" si="249"/>
        <v>0</v>
      </c>
      <c r="K5357" s="369">
        <f t="shared" si="251"/>
        <v>6</v>
      </c>
      <c r="L5357" s="369">
        <f>+IF((C5357&gt;='Resultats - informe'!$E$16)*(C5357&lt;='Resultats - informe'!$G$16),1,0)</f>
        <v>1</v>
      </c>
      <c r="M5357" s="369" cm="1">
        <f t="array" ref="M5357">+_xlfn.IFS((C5357&gt;='Resultats - informe'!$D$26)*(C5357&lt;='Resultats - informe'!$E$26),0,(C5357&gt;='Resultats - informe'!$D$27)*(C5357&lt;='Resultats - informe'!$E$27),0,(C5357&gt;='Resultats - informe'!$D$28)*(C5357&lt;='Resultats - informe'!$E$28),0,(C5357&gt;='Resultats - informe'!$D$29)*(C5357&lt;='Resultats - informe'!$E$29),0,1,1)</f>
        <v>0</v>
      </c>
      <c r="N5357" s="366">
        <f>+VLOOKUP(D5357,'Resultats - informe'!$Y$18:$AG$42,'Introducció dades consum'!K5357+1,0)</f>
        <v>0</v>
      </c>
      <c r="O5357" s="370" cm="1">
        <f t="array" ref="O5357">+_xlfn.SWITCH(MONTH(C5357),1,1,2,1,3,1,4,2,5,2,6,3,7,3,8,3,9,3,10,2,11,2,12,1,2)</f>
        <v>1</v>
      </c>
      <c r="P5357" s="43"/>
    </row>
    <row r="5358" spans="1:16" ht="18" x14ac:dyDescent="0.35">
      <c r="A5358" s="9"/>
      <c r="C5358" s="393"/>
      <c r="E5358" s="394"/>
      <c r="F5358" s="394">
        <v>0.42299999999999999</v>
      </c>
      <c r="G5358" s="394"/>
      <c r="H5358" s="8" t="s">
        <v>235</v>
      </c>
      <c r="I5358" s="368">
        <f t="shared" si="250"/>
        <v>0</v>
      </c>
      <c r="J5358" s="365">
        <f t="shared" si="249"/>
        <v>0</v>
      </c>
      <c r="K5358" s="369">
        <f t="shared" si="251"/>
        <v>6</v>
      </c>
      <c r="L5358" s="369">
        <f>+IF((C5358&gt;='Resultats - informe'!$E$16)*(C5358&lt;='Resultats - informe'!$G$16),1,0)</f>
        <v>1</v>
      </c>
      <c r="M5358" s="369" cm="1">
        <f t="array" ref="M5358">+_xlfn.IFS((C5358&gt;='Resultats - informe'!$D$26)*(C5358&lt;='Resultats - informe'!$E$26),0,(C5358&gt;='Resultats - informe'!$D$27)*(C5358&lt;='Resultats - informe'!$E$27),0,(C5358&gt;='Resultats - informe'!$D$28)*(C5358&lt;='Resultats - informe'!$E$28),0,(C5358&gt;='Resultats - informe'!$D$29)*(C5358&lt;='Resultats - informe'!$E$29),0,1,1)</f>
        <v>0</v>
      </c>
      <c r="N5358" s="366">
        <f>+VLOOKUP(D5358,'Resultats - informe'!$Y$18:$AG$42,'Introducció dades consum'!K5358+1,0)</f>
        <v>0</v>
      </c>
      <c r="O5358" s="370" cm="1">
        <f t="array" ref="O5358">+_xlfn.SWITCH(MONTH(C5358),1,1,2,1,3,1,4,2,5,2,6,3,7,3,8,3,9,3,10,2,11,2,12,1,2)</f>
        <v>1</v>
      </c>
      <c r="P5358" s="43"/>
    </row>
    <row r="5359" spans="1:16" ht="18" x14ac:dyDescent="0.35">
      <c r="A5359" s="9"/>
      <c r="C5359" s="393"/>
      <c r="E5359" s="394"/>
      <c r="F5359" s="394">
        <v>0.42599999999999999</v>
      </c>
      <c r="G5359" s="394"/>
      <c r="H5359" s="8" t="s">
        <v>235</v>
      </c>
      <c r="I5359" s="368">
        <f t="shared" si="250"/>
        <v>0</v>
      </c>
      <c r="J5359" s="365">
        <f t="shared" si="249"/>
        <v>0</v>
      </c>
      <c r="K5359" s="369">
        <f t="shared" si="251"/>
        <v>6</v>
      </c>
      <c r="L5359" s="369">
        <f>+IF((C5359&gt;='Resultats - informe'!$E$16)*(C5359&lt;='Resultats - informe'!$G$16),1,0)</f>
        <v>1</v>
      </c>
      <c r="M5359" s="369" cm="1">
        <f t="array" ref="M5359">+_xlfn.IFS((C5359&gt;='Resultats - informe'!$D$26)*(C5359&lt;='Resultats - informe'!$E$26),0,(C5359&gt;='Resultats - informe'!$D$27)*(C5359&lt;='Resultats - informe'!$E$27),0,(C5359&gt;='Resultats - informe'!$D$28)*(C5359&lt;='Resultats - informe'!$E$28),0,(C5359&gt;='Resultats - informe'!$D$29)*(C5359&lt;='Resultats - informe'!$E$29),0,1,1)</f>
        <v>0</v>
      </c>
      <c r="N5359" s="366">
        <f>+VLOOKUP(D5359,'Resultats - informe'!$Y$18:$AG$42,'Introducció dades consum'!K5359+1,0)</f>
        <v>0</v>
      </c>
      <c r="O5359" s="370" cm="1">
        <f t="array" ref="O5359">+_xlfn.SWITCH(MONTH(C5359),1,1,2,1,3,1,4,2,5,2,6,3,7,3,8,3,9,3,10,2,11,2,12,1,2)</f>
        <v>1</v>
      </c>
      <c r="P5359" s="43"/>
    </row>
    <row r="5360" spans="1:16" ht="18" x14ac:dyDescent="0.35">
      <c r="A5360" s="9"/>
      <c r="C5360" s="393"/>
      <c r="E5360" s="394"/>
      <c r="F5360" s="394">
        <v>0.42799999999999999</v>
      </c>
      <c r="G5360" s="394"/>
      <c r="H5360" s="8" t="s">
        <v>235</v>
      </c>
      <c r="I5360" s="368">
        <f t="shared" si="250"/>
        <v>0</v>
      </c>
      <c r="J5360" s="365">
        <f t="shared" si="249"/>
        <v>0</v>
      </c>
      <c r="K5360" s="369">
        <f t="shared" si="251"/>
        <v>6</v>
      </c>
      <c r="L5360" s="369">
        <f>+IF((C5360&gt;='Resultats - informe'!$E$16)*(C5360&lt;='Resultats - informe'!$G$16),1,0)</f>
        <v>1</v>
      </c>
      <c r="M5360" s="369" cm="1">
        <f t="array" ref="M5360">+_xlfn.IFS((C5360&gt;='Resultats - informe'!$D$26)*(C5360&lt;='Resultats - informe'!$E$26),0,(C5360&gt;='Resultats - informe'!$D$27)*(C5360&lt;='Resultats - informe'!$E$27),0,(C5360&gt;='Resultats - informe'!$D$28)*(C5360&lt;='Resultats - informe'!$E$28),0,(C5360&gt;='Resultats - informe'!$D$29)*(C5360&lt;='Resultats - informe'!$E$29),0,1,1)</f>
        <v>0</v>
      </c>
      <c r="N5360" s="366">
        <f>+VLOOKUP(D5360,'Resultats - informe'!$Y$18:$AG$42,'Introducció dades consum'!K5360+1,0)</f>
        <v>0</v>
      </c>
      <c r="O5360" s="370" cm="1">
        <f t="array" ref="O5360">+_xlfn.SWITCH(MONTH(C5360),1,1,2,1,3,1,4,2,5,2,6,3,7,3,8,3,9,3,10,2,11,2,12,1,2)</f>
        <v>1</v>
      </c>
      <c r="P5360" s="43"/>
    </row>
    <row r="5361" spans="1:16" ht="18" x14ac:dyDescent="0.35">
      <c r="A5361" s="9"/>
      <c r="C5361" s="393"/>
      <c r="E5361" s="394"/>
      <c r="F5361" s="394">
        <v>0.42799999999999999</v>
      </c>
      <c r="G5361" s="394"/>
      <c r="H5361" s="8" t="s">
        <v>235</v>
      </c>
      <c r="I5361" s="368">
        <f t="shared" si="250"/>
        <v>0</v>
      </c>
      <c r="J5361" s="365">
        <f t="shared" si="249"/>
        <v>0</v>
      </c>
      <c r="K5361" s="369">
        <f t="shared" si="251"/>
        <v>6</v>
      </c>
      <c r="L5361" s="369">
        <f>+IF((C5361&gt;='Resultats - informe'!$E$16)*(C5361&lt;='Resultats - informe'!$G$16),1,0)</f>
        <v>1</v>
      </c>
      <c r="M5361" s="369" cm="1">
        <f t="array" ref="M5361">+_xlfn.IFS((C5361&gt;='Resultats - informe'!$D$26)*(C5361&lt;='Resultats - informe'!$E$26),0,(C5361&gt;='Resultats - informe'!$D$27)*(C5361&lt;='Resultats - informe'!$E$27),0,(C5361&gt;='Resultats - informe'!$D$28)*(C5361&lt;='Resultats - informe'!$E$28),0,(C5361&gt;='Resultats - informe'!$D$29)*(C5361&lt;='Resultats - informe'!$E$29),0,1,1)</f>
        <v>0</v>
      </c>
      <c r="N5361" s="366">
        <f>+VLOOKUP(D5361,'Resultats - informe'!$Y$18:$AG$42,'Introducció dades consum'!K5361+1,0)</f>
        <v>0</v>
      </c>
      <c r="O5361" s="370" cm="1">
        <f t="array" ref="O5361">+_xlfn.SWITCH(MONTH(C5361),1,1,2,1,3,1,4,2,5,2,6,3,7,3,8,3,9,3,10,2,11,2,12,1,2)</f>
        <v>1</v>
      </c>
      <c r="P5361" s="43"/>
    </row>
    <row r="5362" spans="1:16" ht="18" x14ac:dyDescent="0.35">
      <c r="A5362" s="9"/>
      <c r="C5362" s="393"/>
      <c r="E5362" s="394"/>
      <c r="F5362" s="394">
        <v>0.36299999999999999</v>
      </c>
      <c r="G5362" s="394"/>
      <c r="H5362" s="8" t="s">
        <v>235</v>
      </c>
      <c r="I5362" s="368">
        <f t="shared" si="250"/>
        <v>0</v>
      </c>
      <c r="J5362" s="365">
        <f t="shared" si="249"/>
        <v>0</v>
      </c>
      <c r="K5362" s="369">
        <f t="shared" si="251"/>
        <v>6</v>
      </c>
      <c r="L5362" s="369">
        <f>+IF((C5362&gt;='Resultats - informe'!$E$16)*(C5362&lt;='Resultats - informe'!$G$16),1,0)</f>
        <v>1</v>
      </c>
      <c r="M5362" s="369" cm="1">
        <f t="array" ref="M5362">+_xlfn.IFS((C5362&gt;='Resultats - informe'!$D$26)*(C5362&lt;='Resultats - informe'!$E$26),0,(C5362&gt;='Resultats - informe'!$D$27)*(C5362&lt;='Resultats - informe'!$E$27),0,(C5362&gt;='Resultats - informe'!$D$28)*(C5362&lt;='Resultats - informe'!$E$28),0,(C5362&gt;='Resultats - informe'!$D$29)*(C5362&lt;='Resultats - informe'!$E$29),0,1,1)</f>
        <v>0</v>
      </c>
      <c r="N5362" s="366">
        <f>+VLOOKUP(D5362,'Resultats - informe'!$Y$18:$AG$42,'Introducció dades consum'!K5362+1,0)</f>
        <v>0</v>
      </c>
      <c r="O5362" s="370" cm="1">
        <f t="array" ref="O5362">+_xlfn.SWITCH(MONTH(C5362),1,1,2,1,3,1,4,2,5,2,6,3,7,3,8,3,9,3,10,2,11,2,12,1,2)</f>
        <v>1</v>
      </c>
      <c r="P5362" s="43"/>
    </row>
    <row r="5363" spans="1:16" ht="18" x14ac:dyDescent="0.35">
      <c r="A5363" s="9"/>
      <c r="C5363" s="393"/>
      <c r="E5363" s="394"/>
      <c r="F5363" s="394">
        <v>0.432</v>
      </c>
      <c r="G5363" s="394"/>
      <c r="H5363" s="8" t="s">
        <v>235</v>
      </c>
      <c r="I5363" s="368">
        <f t="shared" si="250"/>
        <v>0</v>
      </c>
      <c r="J5363" s="365">
        <f t="shared" si="249"/>
        <v>0</v>
      </c>
      <c r="K5363" s="369">
        <f t="shared" si="251"/>
        <v>6</v>
      </c>
      <c r="L5363" s="369">
        <f>+IF((C5363&gt;='Resultats - informe'!$E$16)*(C5363&lt;='Resultats - informe'!$G$16),1,0)</f>
        <v>1</v>
      </c>
      <c r="M5363" s="369" cm="1">
        <f t="array" ref="M5363">+_xlfn.IFS((C5363&gt;='Resultats - informe'!$D$26)*(C5363&lt;='Resultats - informe'!$E$26),0,(C5363&gt;='Resultats - informe'!$D$27)*(C5363&lt;='Resultats - informe'!$E$27),0,(C5363&gt;='Resultats - informe'!$D$28)*(C5363&lt;='Resultats - informe'!$E$28),0,(C5363&gt;='Resultats - informe'!$D$29)*(C5363&lt;='Resultats - informe'!$E$29),0,1,1)</f>
        <v>0</v>
      </c>
      <c r="N5363" s="366">
        <f>+VLOOKUP(D5363,'Resultats - informe'!$Y$18:$AG$42,'Introducció dades consum'!K5363+1,0)</f>
        <v>0</v>
      </c>
      <c r="O5363" s="370" cm="1">
        <f t="array" ref="O5363">+_xlfn.SWITCH(MONTH(C5363),1,1,2,1,3,1,4,2,5,2,6,3,7,3,8,3,9,3,10,2,11,2,12,1,2)</f>
        <v>1</v>
      </c>
      <c r="P5363" s="43"/>
    </row>
    <row r="5364" spans="1:16" ht="18" x14ac:dyDescent="0.35">
      <c r="A5364" s="9"/>
      <c r="C5364" s="393"/>
      <c r="E5364" s="394"/>
      <c r="F5364" s="394">
        <v>1.3640000000000001</v>
      </c>
      <c r="G5364" s="394"/>
      <c r="H5364" s="8" t="s">
        <v>235</v>
      </c>
      <c r="I5364" s="368">
        <f t="shared" si="250"/>
        <v>0</v>
      </c>
      <c r="J5364" s="365">
        <f t="shared" si="249"/>
        <v>0</v>
      </c>
      <c r="K5364" s="369">
        <f t="shared" si="251"/>
        <v>6</v>
      </c>
      <c r="L5364" s="369">
        <f>+IF((C5364&gt;='Resultats - informe'!$E$16)*(C5364&lt;='Resultats - informe'!$G$16),1,0)</f>
        <v>1</v>
      </c>
      <c r="M5364" s="369" cm="1">
        <f t="array" ref="M5364">+_xlfn.IFS((C5364&gt;='Resultats - informe'!$D$26)*(C5364&lt;='Resultats - informe'!$E$26),0,(C5364&gt;='Resultats - informe'!$D$27)*(C5364&lt;='Resultats - informe'!$E$27),0,(C5364&gt;='Resultats - informe'!$D$28)*(C5364&lt;='Resultats - informe'!$E$28),0,(C5364&gt;='Resultats - informe'!$D$29)*(C5364&lt;='Resultats - informe'!$E$29),0,1,1)</f>
        <v>0</v>
      </c>
      <c r="N5364" s="366">
        <f>+VLOOKUP(D5364,'Resultats - informe'!$Y$18:$AG$42,'Introducció dades consum'!K5364+1,0)</f>
        <v>0</v>
      </c>
      <c r="O5364" s="370" cm="1">
        <f t="array" ref="O5364">+_xlfn.SWITCH(MONTH(C5364),1,1,2,1,3,1,4,2,5,2,6,3,7,3,8,3,9,3,10,2,11,2,12,1,2)</f>
        <v>1</v>
      </c>
      <c r="P5364" s="43"/>
    </row>
    <row r="5365" spans="1:16" ht="18" x14ac:dyDescent="0.35">
      <c r="A5365" s="9"/>
      <c r="C5365" s="393"/>
      <c r="E5365" s="394"/>
      <c r="F5365" s="394">
        <v>1.321</v>
      </c>
      <c r="G5365" s="394"/>
      <c r="H5365" s="8" t="s">
        <v>235</v>
      </c>
      <c r="I5365" s="368">
        <f t="shared" si="250"/>
        <v>0</v>
      </c>
      <c r="J5365" s="365">
        <f t="shared" si="249"/>
        <v>0</v>
      </c>
      <c r="K5365" s="369">
        <f t="shared" si="251"/>
        <v>6</v>
      </c>
      <c r="L5365" s="369">
        <f>+IF((C5365&gt;='Resultats - informe'!$E$16)*(C5365&lt;='Resultats - informe'!$G$16),1,0)</f>
        <v>1</v>
      </c>
      <c r="M5365" s="369" cm="1">
        <f t="array" ref="M5365">+_xlfn.IFS((C5365&gt;='Resultats - informe'!$D$26)*(C5365&lt;='Resultats - informe'!$E$26),0,(C5365&gt;='Resultats - informe'!$D$27)*(C5365&lt;='Resultats - informe'!$E$27),0,(C5365&gt;='Resultats - informe'!$D$28)*(C5365&lt;='Resultats - informe'!$E$28),0,(C5365&gt;='Resultats - informe'!$D$29)*(C5365&lt;='Resultats - informe'!$E$29),0,1,1)</f>
        <v>0</v>
      </c>
      <c r="N5365" s="366">
        <f>+VLOOKUP(D5365,'Resultats - informe'!$Y$18:$AG$42,'Introducció dades consum'!K5365+1,0)</f>
        <v>0</v>
      </c>
      <c r="O5365" s="370" cm="1">
        <f t="array" ref="O5365">+_xlfn.SWITCH(MONTH(C5365),1,1,2,1,3,1,4,2,5,2,6,3,7,3,8,3,9,3,10,2,11,2,12,1,2)</f>
        <v>1</v>
      </c>
      <c r="P5365" s="43"/>
    </row>
    <row r="5366" spans="1:16" ht="18" x14ac:dyDescent="0.35">
      <c r="A5366" s="9"/>
      <c r="C5366" s="393"/>
      <c r="E5366" s="394"/>
      <c r="F5366" s="394">
        <v>2.0379999999999998</v>
      </c>
      <c r="G5366" s="394"/>
      <c r="H5366" s="8" t="s">
        <v>235</v>
      </c>
      <c r="I5366" s="368">
        <f t="shared" si="250"/>
        <v>0</v>
      </c>
      <c r="J5366" s="365">
        <f t="shared" si="249"/>
        <v>0</v>
      </c>
      <c r="K5366" s="369">
        <f t="shared" si="251"/>
        <v>6</v>
      </c>
      <c r="L5366" s="369">
        <f>+IF((C5366&gt;='Resultats - informe'!$E$16)*(C5366&lt;='Resultats - informe'!$G$16),1,0)</f>
        <v>1</v>
      </c>
      <c r="M5366" s="369" cm="1">
        <f t="array" ref="M5366">+_xlfn.IFS((C5366&gt;='Resultats - informe'!$D$26)*(C5366&lt;='Resultats - informe'!$E$26),0,(C5366&gt;='Resultats - informe'!$D$27)*(C5366&lt;='Resultats - informe'!$E$27),0,(C5366&gt;='Resultats - informe'!$D$28)*(C5366&lt;='Resultats - informe'!$E$28),0,(C5366&gt;='Resultats - informe'!$D$29)*(C5366&lt;='Resultats - informe'!$E$29),0,1,1)</f>
        <v>0</v>
      </c>
      <c r="N5366" s="366">
        <f>+VLOOKUP(D5366,'Resultats - informe'!$Y$18:$AG$42,'Introducció dades consum'!K5366+1,0)</f>
        <v>0</v>
      </c>
      <c r="O5366" s="370" cm="1">
        <f t="array" ref="O5366">+_xlfn.SWITCH(MONTH(C5366),1,1,2,1,3,1,4,2,5,2,6,3,7,3,8,3,9,3,10,2,11,2,12,1,2)</f>
        <v>1</v>
      </c>
      <c r="P5366" s="43"/>
    </row>
    <row r="5367" spans="1:16" ht="18" x14ac:dyDescent="0.35">
      <c r="A5367" s="9"/>
      <c r="C5367" s="393"/>
      <c r="E5367" s="394"/>
      <c r="F5367" s="394">
        <v>1.98</v>
      </c>
      <c r="G5367" s="394"/>
      <c r="H5367" s="8" t="s">
        <v>235</v>
      </c>
      <c r="I5367" s="368">
        <f t="shared" si="250"/>
        <v>0</v>
      </c>
      <c r="J5367" s="365">
        <f t="shared" si="249"/>
        <v>0</v>
      </c>
      <c r="K5367" s="369">
        <f t="shared" si="251"/>
        <v>6</v>
      </c>
      <c r="L5367" s="369">
        <f>+IF((C5367&gt;='Resultats - informe'!$E$16)*(C5367&lt;='Resultats - informe'!$G$16),1,0)</f>
        <v>1</v>
      </c>
      <c r="M5367" s="369" cm="1">
        <f t="array" ref="M5367">+_xlfn.IFS((C5367&gt;='Resultats - informe'!$D$26)*(C5367&lt;='Resultats - informe'!$E$26),0,(C5367&gt;='Resultats - informe'!$D$27)*(C5367&lt;='Resultats - informe'!$E$27),0,(C5367&gt;='Resultats - informe'!$D$28)*(C5367&lt;='Resultats - informe'!$E$28),0,(C5367&gt;='Resultats - informe'!$D$29)*(C5367&lt;='Resultats - informe'!$E$29),0,1,1)</f>
        <v>0</v>
      </c>
      <c r="N5367" s="366">
        <f>+VLOOKUP(D5367,'Resultats - informe'!$Y$18:$AG$42,'Introducció dades consum'!K5367+1,0)</f>
        <v>0</v>
      </c>
      <c r="O5367" s="370" cm="1">
        <f t="array" ref="O5367">+_xlfn.SWITCH(MONTH(C5367),1,1,2,1,3,1,4,2,5,2,6,3,7,3,8,3,9,3,10,2,11,2,12,1,2)</f>
        <v>1</v>
      </c>
      <c r="P5367" s="43"/>
    </row>
    <row r="5368" spans="1:16" ht="18" x14ac:dyDescent="0.35">
      <c r="A5368" s="9"/>
      <c r="C5368" s="393"/>
      <c r="E5368" s="394"/>
      <c r="F5368" s="394">
        <v>1.327</v>
      </c>
      <c r="G5368" s="394"/>
      <c r="H5368" s="8" t="s">
        <v>235</v>
      </c>
      <c r="I5368" s="368">
        <f t="shared" si="250"/>
        <v>0</v>
      </c>
      <c r="J5368" s="365">
        <f t="shared" si="249"/>
        <v>0</v>
      </c>
      <c r="K5368" s="369">
        <f t="shared" si="251"/>
        <v>6</v>
      </c>
      <c r="L5368" s="369">
        <f>+IF((C5368&gt;='Resultats - informe'!$E$16)*(C5368&lt;='Resultats - informe'!$G$16),1,0)</f>
        <v>1</v>
      </c>
      <c r="M5368" s="369" cm="1">
        <f t="array" ref="M5368">+_xlfn.IFS((C5368&gt;='Resultats - informe'!$D$26)*(C5368&lt;='Resultats - informe'!$E$26),0,(C5368&gt;='Resultats - informe'!$D$27)*(C5368&lt;='Resultats - informe'!$E$27),0,(C5368&gt;='Resultats - informe'!$D$28)*(C5368&lt;='Resultats - informe'!$E$28),0,(C5368&gt;='Resultats - informe'!$D$29)*(C5368&lt;='Resultats - informe'!$E$29),0,1,1)</f>
        <v>0</v>
      </c>
      <c r="N5368" s="366">
        <f>+VLOOKUP(D5368,'Resultats - informe'!$Y$18:$AG$42,'Introducció dades consum'!K5368+1,0)</f>
        <v>0</v>
      </c>
      <c r="O5368" s="370" cm="1">
        <f t="array" ref="O5368">+_xlfn.SWITCH(MONTH(C5368),1,1,2,1,3,1,4,2,5,2,6,3,7,3,8,3,9,3,10,2,11,2,12,1,2)</f>
        <v>1</v>
      </c>
      <c r="P5368" s="43"/>
    </row>
    <row r="5369" spans="1:16" ht="18" x14ac:dyDescent="0.35">
      <c r="A5369" s="9"/>
      <c r="C5369" s="393"/>
      <c r="E5369" s="394"/>
      <c r="F5369" s="394">
        <v>1.0409999999999999</v>
      </c>
      <c r="G5369" s="394"/>
      <c r="H5369" s="8" t="s">
        <v>235</v>
      </c>
      <c r="I5369" s="368">
        <f t="shared" si="250"/>
        <v>0</v>
      </c>
      <c r="J5369" s="365">
        <f t="shared" si="249"/>
        <v>0</v>
      </c>
      <c r="K5369" s="369">
        <f t="shared" si="251"/>
        <v>6</v>
      </c>
      <c r="L5369" s="369">
        <f>+IF((C5369&gt;='Resultats - informe'!$E$16)*(C5369&lt;='Resultats - informe'!$G$16),1,0)</f>
        <v>1</v>
      </c>
      <c r="M5369" s="369" cm="1">
        <f t="array" ref="M5369">+_xlfn.IFS((C5369&gt;='Resultats - informe'!$D$26)*(C5369&lt;='Resultats - informe'!$E$26),0,(C5369&gt;='Resultats - informe'!$D$27)*(C5369&lt;='Resultats - informe'!$E$27),0,(C5369&gt;='Resultats - informe'!$D$28)*(C5369&lt;='Resultats - informe'!$E$28),0,(C5369&gt;='Resultats - informe'!$D$29)*(C5369&lt;='Resultats - informe'!$E$29),0,1,1)</f>
        <v>0</v>
      </c>
      <c r="N5369" s="366">
        <f>+VLOOKUP(D5369,'Resultats - informe'!$Y$18:$AG$42,'Introducció dades consum'!K5369+1,0)</f>
        <v>0</v>
      </c>
      <c r="O5369" s="370" cm="1">
        <f t="array" ref="O5369">+_xlfn.SWITCH(MONTH(C5369),1,1,2,1,3,1,4,2,5,2,6,3,7,3,8,3,9,3,10,2,11,2,12,1,2)</f>
        <v>1</v>
      </c>
      <c r="P5369" s="43"/>
    </row>
    <row r="5370" spans="1:16" ht="18" x14ac:dyDescent="0.35">
      <c r="A5370" s="9"/>
      <c r="C5370" s="393"/>
      <c r="E5370" s="394"/>
      <c r="F5370" s="394">
        <v>0.51800000000000002</v>
      </c>
      <c r="G5370" s="394"/>
      <c r="H5370" s="8" t="s">
        <v>235</v>
      </c>
      <c r="I5370" s="368">
        <f t="shared" si="250"/>
        <v>0</v>
      </c>
      <c r="J5370" s="365">
        <f t="shared" si="249"/>
        <v>0</v>
      </c>
      <c r="K5370" s="369">
        <f t="shared" si="251"/>
        <v>6</v>
      </c>
      <c r="L5370" s="369">
        <f>+IF((C5370&gt;='Resultats - informe'!$E$16)*(C5370&lt;='Resultats - informe'!$G$16),1,0)</f>
        <v>1</v>
      </c>
      <c r="M5370" s="369" cm="1">
        <f t="array" ref="M5370">+_xlfn.IFS((C5370&gt;='Resultats - informe'!$D$26)*(C5370&lt;='Resultats - informe'!$E$26),0,(C5370&gt;='Resultats - informe'!$D$27)*(C5370&lt;='Resultats - informe'!$E$27),0,(C5370&gt;='Resultats - informe'!$D$28)*(C5370&lt;='Resultats - informe'!$E$28),0,(C5370&gt;='Resultats - informe'!$D$29)*(C5370&lt;='Resultats - informe'!$E$29),0,1,1)</f>
        <v>0</v>
      </c>
      <c r="N5370" s="366">
        <f>+VLOOKUP(D5370,'Resultats - informe'!$Y$18:$AG$42,'Introducció dades consum'!K5370+1,0)</f>
        <v>0</v>
      </c>
      <c r="O5370" s="370" cm="1">
        <f t="array" ref="O5370">+_xlfn.SWITCH(MONTH(C5370),1,1,2,1,3,1,4,2,5,2,6,3,7,3,8,3,9,3,10,2,11,2,12,1,2)</f>
        <v>1</v>
      </c>
      <c r="P5370" s="43"/>
    </row>
    <row r="5371" spans="1:16" ht="18" x14ac:dyDescent="0.35">
      <c r="A5371" s="9"/>
      <c r="C5371" s="393"/>
      <c r="E5371" s="394"/>
      <c r="F5371" s="394">
        <v>1.7230000000000001</v>
      </c>
      <c r="G5371" s="394"/>
      <c r="H5371" s="8" t="s">
        <v>235</v>
      </c>
      <c r="I5371" s="368">
        <f t="shared" si="250"/>
        <v>0</v>
      </c>
      <c r="J5371" s="365">
        <f t="shared" ref="J5371:J5434" si="252">+C5371</f>
        <v>0</v>
      </c>
      <c r="K5371" s="369">
        <f t="shared" si="251"/>
        <v>6</v>
      </c>
      <c r="L5371" s="369">
        <f>+IF((C5371&gt;='Resultats - informe'!$E$16)*(C5371&lt;='Resultats - informe'!$G$16),1,0)</f>
        <v>1</v>
      </c>
      <c r="M5371" s="369" cm="1">
        <f t="array" ref="M5371">+_xlfn.IFS((C5371&gt;='Resultats - informe'!$D$26)*(C5371&lt;='Resultats - informe'!$E$26),0,(C5371&gt;='Resultats - informe'!$D$27)*(C5371&lt;='Resultats - informe'!$E$27),0,(C5371&gt;='Resultats - informe'!$D$28)*(C5371&lt;='Resultats - informe'!$E$28),0,(C5371&gt;='Resultats - informe'!$D$29)*(C5371&lt;='Resultats - informe'!$E$29),0,1,1)</f>
        <v>0</v>
      </c>
      <c r="N5371" s="366">
        <f>+VLOOKUP(D5371,'Resultats - informe'!$Y$18:$AG$42,'Introducció dades consum'!K5371+1,0)</f>
        <v>0</v>
      </c>
      <c r="O5371" s="370" cm="1">
        <f t="array" ref="O5371">+_xlfn.SWITCH(MONTH(C5371),1,1,2,1,3,1,4,2,5,2,6,3,7,3,8,3,9,3,10,2,11,2,12,1,2)</f>
        <v>1</v>
      </c>
      <c r="P5371" s="43"/>
    </row>
    <row r="5372" spans="1:16" ht="18" x14ac:dyDescent="0.35">
      <c r="A5372" s="9"/>
      <c r="C5372" s="393"/>
      <c r="E5372" s="394"/>
      <c r="F5372" s="394">
        <v>1.8680000000000001</v>
      </c>
      <c r="G5372" s="394"/>
      <c r="H5372" s="8" t="s">
        <v>235</v>
      </c>
      <c r="I5372" s="368">
        <f t="shared" si="250"/>
        <v>0</v>
      </c>
      <c r="J5372" s="365">
        <f t="shared" si="252"/>
        <v>0</v>
      </c>
      <c r="K5372" s="369">
        <f t="shared" si="251"/>
        <v>6</v>
      </c>
      <c r="L5372" s="369">
        <f>+IF((C5372&gt;='Resultats - informe'!$E$16)*(C5372&lt;='Resultats - informe'!$G$16),1,0)</f>
        <v>1</v>
      </c>
      <c r="M5372" s="369" cm="1">
        <f t="array" ref="M5372">+_xlfn.IFS((C5372&gt;='Resultats - informe'!$D$26)*(C5372&lt;='Resultats - informe'!$E$26),0,(C5372&gt;='Resultats - informe'!$D$27)*(C5372&lt;='Resultats - informe'!$E$27),0,(C5372&gt;='Resultats - informe'!$D$28)*(C5372&lt;='Resultats - informe'!$E$28),0,(C5372&gt;='Resultats - informe'!$D$29)*(C5372&lt;='Resultats - informe'!$E$29),0,1,1)</f>
        <v>0</v>
      </c>
      <c r="N5372" s="366">
        <f>+VLOOKUP(D5372,'Resultats - informe'!$Y$18:$AG$42,'Introducció dades consum'!K5372+1,0)</f>
        <v>0</v>
      </c>
      <c r="O5372" s="370" cm="1">
        <f t="array" ref="O5372">+_xlfn.SWITCH(MONTH(C5372),1,1,2,1,3,1,4,2,5,2,6,3,7,3,8,3,9,3,10,2,11,2,12,1,2)</f>
        <v>1</v>
      </c>
      <c r="P5372" s="43"/>
    </row>
    <row r="5373" spans="1:16" ht="18" x14ac:dyDescent="0.35">
      <c r="A5373" s="9"/>
      <c r="C5373" s="393"/>
      <c r="E5373" s="394"/>
      <c r="F5373" s="394">
        <v>1.0289999999999999</v>
      </c>
      <c r="G5373" s="394"/>
      <c r="H5373" s="8" t="s">
        <v>235</v>
      </c>
      <c r="I5373" s="368">
        <f t="shared" si="250"/>
        <v>0</v>
      </c>
      <c r="J5373" s="365">
        <f t="shared" si="252"/>
        <v>0</v>
      </c>
      <c r="K5373" s="369">
        <f t="shared" si="251"/>
        <v>6</v>
      </c>
      <c r="L5373" s="369">
        <f>+IF((C5373&gt;='Resultats - informe'!$E$16)*(C5373&lt;='Resultats - informe'!$G$16),1,0)</f>
        <v>1</v>
      </c>
      <c r="M5373" s="369" cm="1">
        <f t="array" ref="M5373">+_xlfn.IFS((C5373&gt;='Resultats - informe'!$D$26)*(C5373&lt;='Resultats - informe'!$E$26),0,(C5373&gt;='Resultats - informe'!$D$27)*(C5373&lt;='Resultats - informe'!$E$27),0,(C5373&gt;='Resultats - informe'!$D$28)*(C5373&lt;='Resultats - informe'!$E$28),0,(C5373&gt;='Resultats - informe'!$D$29)*(C5373&lt;='Resultats - informe'!$E$29),0,1,1)</f>
        <v>0</v>
      </c>
      <c r="N5373" s="366">
        <f>+VLOOKUP(D5373,'Resultats - informe'!$Y$18:$AG$42,'Introducció dades consum'!K5373+1,0)</f>
        <v>0</v>
      </c>
      <c r="O5373" s="370" cm="1">
        <f t="array" ref="O5373">+_xlfn.SWITCH(MONTH(C5373),1,1,2,1,3,1,4,2,5,2,6,3,7,3,8,3,9,3,10,2,11,2,12,1,2)</f>
        <v>1</v>
      </c>
      <c r="P5373" s="43"/>
    </row>
    <row r="5374" spans="1:16" ht="18" x14ac:dyDescent="0.35">
      <c r="A5374" s="9"/>
      <c r="C5374" s="393"/>
      <c r="E5374" s="394"/>
      <c r="F5374" s="394">
        <v>2.4540000000000002</v>
      </c>
      <c r="G5374" s="394"/>
      <c r="H5374" s="8" t="s">
        <v>235</v>
      </c>
      <c r="I5374" s="368">
        <f t="shared" si="250"/>
        <v>0</v>
      </c>
      <c r="J5374" s="365">
        <f t="shared" si="252"/>
        <v>0</v>
      </c>
      <c r="K5374" s="369">
        <f t="shared" si="251"/>
        <v>6</v>
      </c>
      <c r="L5374" s="369">
        <f>+IF((C5374&gt;='Resultats - informe'!$E$16)*(C5374&lt;='Resultats - informe'!$G$16),1,0)</f>
        <v>1</v>
      </c>
      <c r="M5374" s="369" cm="1">
        <f t="array" ref="M5374">+_xlfn.IFS((C5374&gt;='Resultats - informe'!$D$26)*(C5374&lt;='Resultats - informe'!$E$26),0,(C5374&gt;='Resultats - informe'!$D$27)*(C5374&lt;='Resultats - informe'!$E$27),0,(C5374&gt;='Resultats - informe'!$D$28)*(C5374&lt;='Resultats - informe'!$E$28),0,(C5374&gt;='Resultats - informe'!$D$29)*(C5374&lt;='Resultats - informe'!$E$29),0,1,1)</f>
        <v>0</v>
      </c>
      <c r="N5374" s="366">
        <f>+VLOOKUP(D5374,'Resultats - informe'!$Y$18:$AG$42,'Introducció dades consum'!K5374+1,0)</f>
        <v>0</v>
      </c>
      <c r="O5374" s="370" cm="1">
        <f t="array" ref="O5374">+_xlfn.SWITCH(MONTH(C5374),1,1,2,1,3,1,4,2,5,2,6,3,7,3,8,3,9,3,10,2,11,2,12,1,2)</f>
        <v>1</v>
      </c>
      <c r="P5374" s="43"/>
    </row>
    <row r="5375" spans="1:16" ht="18" x14ac:dyDescent="0.35">
      <c r="A5375" s="9"/>
      <c r="C5375" s="393"/>
      <c r="E5375" s="394"/>
      <c r="F5375" s="394">
        <v>2.5129999999999999</v>
      </c>
      <c r="G5375" s="394"/>
      <c r="H5375" s="8" t="s">
        <v>235</v>
      </c>
      <c r="I5375" s="368">
        <f t="shared" si="250"/>
        <v>0</v>
      </c>
      <c r="J5375" s="365">
        <f t="shared" si="252"/>
        <v>0</v>
      </c>
      <c r="K5375" s="369">
        <f t="shared" si="251"/>
        <v>6</v>
      </c>
      <c r="L5375" s="369">
        <f>+IF((C5375&gt;='Resultats - informe'!$E$16)*(C5375&lt;='Resultats - informe'!$G$16),1,0)</f>
        <v>1</v>
      </c>
      <c r="M5375" s="369" cm="1">
        <f t="array" ref="M5375">+_xlfn.IFS((C5375&gt;='Resultats - informe'!$D$26)*(C5375&lt;='Resultats - informe'!$E$26),0,(C5375&gt;='Resultats - informe'!$D$27)*(C5375&lt;='Resultats - informe'!$E$27),0,(C5375&gt;='Resultats - informe'!$D$28)*(C5375&lt;='Resultats - informe'!$E$28),0,(C5375&gt;='Resultats - informe'!$D$29)*(C5375&lt;='Resultats - informe'!$E$29),0,1,1)</f>
        <v>0</v>
      </c>
      <c r="N5375" s="366">
        <f>+VLOOKUP(D5375,'Resultats - informe'!$Y$18:$AG$42,'Introducció dades consum'!K5375+1,0)</f>
        <v>0</v>
      </c>
      <c r="O5375" s="370" cm="1">
        <f t="array" ref="O5375">+_xlfn.SWITCH(MONTH(C5375),1,1,2,1,3,1,4,2,5,2,6,3,7,3,8,3,9,3,10,2,11,2,12,1,2)</f>
        <v>1</v>
      </c>
      <c r="P5375" s="43"/>
    </row>
    <row r="5376" spans="1:16" ht="18" x14ac:dyDescent="0.35">
      <c r="A5376" s="9"/>
      <c r="C5376" s="393"/>
      <c r="E5376" s="394"/>
      <c r="F5376" s="394">
        <v>2.52</v>
      </c>
      <c r="G5376" s="394"/>
      <c r="H5376" s="8" t="s">
        <v>235</v>
      </c>
      <c r="I5376" s="368">
        <f t="shared" si="250"/>
        <v>0</v>
      </c>
      <c r="J5376" s="365">
        <f t="shared" si="252"/>
        <v>0</v>
      </c>
      <c r="K5376" s="369">
        <f t="shared" si="251"/>
        <v>6</v>
      </c>
      <c r="L5376" s="369">
        <f>+IF((C5376&gt;='Resultats - informe'!$E$16)*(C5376&lt;='Resultats - informe'!$G$16),1,0)</f>
        <v>1</v>
      </c>
      <c r="M5376" s="369" cm="1">
        <f t="array" ref="M5376">+_xlfn.IFS((C5376&gt;='Resultats - informe'!$D$26)*(C5376&lt;='Resultats - informe'!$E$26),0,(C5376&gt;='Resultats - informe'!$D$27)*(C5376&lt;='Resultats - informe'!$E$27),0,(C5376&gt;='Resultats - informe'!$D$28)*(C5376&lt;='Resultats - informe'!$E$28),0,(C5376&gt;='Resultats - informe'!$D$29)*(C5376&lt;='Resultats - informe'!$E$29),0,1,1)</f>
        <v>0</v>
      </c>
      <c r="N5376" s="366">
        <f>+VLOOKUP(D5376,'Resultats - informe'!$Y$18:$AG$42,'Introducció dades consum'!K5376+1,0)</f>
        <v>0</v>
      </c>
      <c r="O5376" s="370" cm="1">
        <f t="array" ref="O5376">+_xlfn.SWITCH(MONTH(C5376),1,1,2,1,3,1,4,2,5,2,6,3,7,3,8,3,9,3,10,2,11,2,12,1,2)</f>
        <v>1</v>
      </c>
      <c r="P5376" s="43"/>
    </row>
    <row r="5377" spans="1:16" ht="18" x14ac:dyDescent="0.35">
      <c r="A5377" s="9"/>
      <c r="C5377" s="393"/>
      <c r="E5377" s="394"/>
      <c r="F5377" s="394">
        <v>2.1560000000000001</v>
      </c>
      <c r="G5377" s="394"/>
      <c r="H5377" s="8" t="s">
        <v>235</v>
      </c>
      <c r="I5377" s="368">
        <f t="shared" si="250"/>
        <v>0</v>
      </c>
      <c r="J5377" s="365">
        <f t="shared" si="252"/>
        <v>0</v>
      </c>
      <c r="K5377" s="369">
        <f t="shared" si="251"/>
        <v>6</v>
      </c>
      <c r="L5377" s="369">
        <f>+IF((C5377&gt;='Resultats - informe'!$E$16)*(C5377&lt;='Resultats - informe'!$G$16),1,0)</f>
        <v>1</v>
      </c>
      <c r="M5377" s="369" cm="1">
        <f t="array" ref="M5377">+_xlfn.IFS((C5377&gt;='Resultats - informe'!$D$26)*(C5377&lt;='Resultats - informe'!$E$26),0,(C5377&gt;='Resultats - informe'!$D$27)*(C5377&lt;='Resultats - informe'!$E$27),0,(C5377&gt;='Resultats - informe'!$D$28)*(C5377&lt;='Resultats - informe'!$E$28),0,(C5377&gt;='Resultats - informe'!$D$29)*(C5377&lt;='Resultats - informe'!$E$29),0,1,1)</f>
        <v>0</v>
      </c>
      <c r="N5377" s="366">
        <f>+VLOOKUP(D5377,'Resultats - informe'!$Y$18:$AG$42,'Introducció dades consum'!K5377+1,0)</f>
        <v>0</v>
      </c>
      <c r="O5377" s="370" cm="1">
        <f t="array" ref="O5377">+_xlfn.SWITCH(MONTH(C5377),1,1,2,1,3,1,4,2,5,2,6,3,7,3,8,3,9,3,10,2,11,2,12,1,2)</f>
        <v>1</v>
      </c>
      <c r="P5377" s="43"/>
    </row>
    <row r="5378" spans="1:16" ht="18" x14ac:dyDescent="0.35">
      <c r="A5378" s="9"/>
      <c r="C5378" s="393"/>
      <c r="E5378" s="394"/>
      <c r="F5378" s="394">
        <v>1.3340000000000001</v>
      </c>
      <c r="G5378" s="394"/>
      <c r="H5378" s="8" t="s">
        <v>235</v>
      </c>
      <c r="I5378" s="368">
        <f t="shared" si="250"/>
        <v>0</v>
      </c>
      <c r="J5378" s="365">
        <f t="shared" si="252"/>
        <v>0</v>
      </c>
      <c r="K5378" s="369">
        <f t="shared" si="251"/>
        <v>6</v>
      </c>
      <c r="L5378" s="369">
        <f>+IF((C5378&gt;='Resultats - informe'!$E$16)*(C5378&lt;='Resultats - informe'!$G$16),1,0)</f>
        <v>1</v>
      </c>
      <c r="M5378" s="369" cm="1">
        <f t="array" ref="M5378">+_xlfn.IFS((C5378&gt;='Resultats - informe'!$D$26)*(C5378&lt;='Resultats - informe'!$E$26),0,(C5378&gt;='Resultats - informe'!$D$27)*(C5378&lt;='Resultats - informe'!$E$27),0,(C5378&gt;='Resultats - informe'!$D$28)*(C5378&lt;='Resultats - informe'!$E$28),0,(C5378&gt;='Resultats - informe'!$D$29)*(C5378&lt;='Resultats - informe'!$E$29),0,1,1)</f>
        <v>0</v>
      </c>
      <c r="N5378" s="366">
        <f>+VLOOKUP(D5378,'Resultats - informe'!$Y$18:$AG$42,'Introducció dades consum'!K5378+1,0)</f>
        <v>0</v>
      </c>
      <c r="O5378" s="370" cm="1">
        <f t="array" ref="O5378">+_xlfn.SWITCH(MONTH(C5378),1,1,2,1,3,1,4,2,5,2,6,3,7,3,8,3,9,3,10,2,11,2,12,1,2)</f>
        <v>1</v>
      </c>
      <c r="P5378" s="43"/>
    </row>
    <row r="5379" spans="1:16" ht="18" x14ac:dyDescent="0.35">
      <c r="A5379" s="9"/>
      <c r="C5379" s="393"/>
      <c r="E5379" s="394"/>
      <c r="F5379" s="394">
        <v>1.337</v>
      </c>
      <c r="G5379" s="394"/>
      <c r="H5379" s="8" t="s">
        <v>235</v>
      </c>
      <c r="I5379" s="368">
        <f t="shared" si="250"/>
        <v>0</v>
      </c>
      <c r="J5379" s="365">
        <f t="shared" si="252"/>
        <v>0</v>
      </c>
      <c r="K5379" s="369">
        <f t="shared" si="251"/>
        <v>6</v>
      </c>
      <c r="L5379" s="369">
        <f>+IF((C5379&gt;='Resultats - informe'!$E$16)*(C5379&lt;='Resultats - informe'!$G$16),1,0)</f>
        <v>1</v>
      </c>
      <c r="M5379" s="369" cm="1">
        <f t="array" ref="M5379">+_xlfn.IFS((C5379&gt;='Resultats - informe'!$D$26)*(C5379&lt;='Resultats - informe'!$E$26),0,(C5379&gt;='Resultats - informe'!$D$27)*(C5379&lt;='Resultats - informe'!$E$27),0,(C5379&gt;='Resultats - informe'!$D$28)*(C5379&lt;='Resultats - informe'!$E$28),0,(C5379&gt;='Resultats - informe'!$D$29)*(C5379&lt;='Resultats - informe'!$E$29),0,1,1)</f>
        <v>0</v>
      </c>
      <c r="N5379" s="366">
        <f>+VLOOKUP(D5379,'Resultats - informe'!$Y$18:$AG$42,'Introducció dades consum'!K5379+1,0)</f>
        <v>0</v>
      </c>
      <c r="O5379" s="370" cm="1">
        <f t="array" ref="O5379">+_xlfn.SWITCH(MONTH(C5379),1,1,2,1,3,1,4,2,5,2,6,3,7,3,8,3,9,3,10,2,11,2,12,1,2)</f>
        <v>1</v>
      </c>
      <c r="P5379" s="43"/>
    </row>
    <row r="5380" spans="1:16" ht="18" x14ac:dyDescent="0.35">
      <c r="A5380" s="9"/>
      <c r="C5380" s="393"/>
      <c r="E5380" s="394"/>
      <c r="F5380" s="394">
        <v>0.04</v>
      </c>
      <c r="G5380" s="394"/>
      <c r="H5380" s="8" t="s">
        <v>235</v>
      </c>
      <c r="I5380" s="368">
        <f t="shared" si="250"/>
        <v>0</v>
      </c>
      <c r="J5380" s="365">
        <f t="shared" si="252"/>
        <v>0</v>
      </c>
      <c r="K5380" s="369">
        <f t="shared" si="251"/>
        <v>6</v>
      </c>
      <c r="L5380" s="369">
        <f>+IF((C5380&gt;='Resultats - informe'!$E$16)*(C5380&lt;='Resultats - informe'!$G$16),1,0)</f>
        <v>1</v>
      </c>
      <c r="M5380" s="369" cm="1">
        <f t="array" ref="M5380">+_xlfn.IFS((C5380&gt;='Resultats - informe'!$D$26)*(C5380&lt;='Resultats - informe'!$E$26),0,(C5380&gt;='Resultats - informe'!$D$27)*(C5380&lt;='Resultats - informe'!$E$27),0,(C5380&gt;='Resultats - informe'!$D$28)*(C5380&lt;='Resultats - informe'!$E$28),0,(C5380&gt;='Resultats - informe'!$D$29)*(C5380&lt;='Resultats - informe'!$E$29),0,1,1)</f>
        <v>0</v>
      </c>
      <c r="N5380" s="366">
        <f>+VLOOKUP(D5380,'Resultats - informe'!$Y$18:$AG$42,'Introducció dades consum'!K5380+1,0)</f>
        <v>0</v>
      </c>
      <c r="O5380" s="370" cm="1">
        <f t="array" ref="O5380">+_xlfn.SWITCH(MONTH(C5380),1,1,2,1,3,1,4,2,5,2,6,3,7,3,8,3,9,3,10,2,11,2,12,1,2)</f>
        <v>1</v>
      </c>
      <c r="P5380" s="43"/>
    </row>
    <row r="5381" spans="1:16" ht="18" x14ac:dyDescent="0.35">
      <c r="A5381" s="9"/>
      <c r="C5381" s="393"/>
      <c r="E5381" s="394"/>
      <c r="F5381" s="394">
        <v>0.42199999999999999</v>
      </c>
      <c r="G5381" s="394"/>
      <c r="H5381" s="8" t="s">
        <v>235</v>
      </c>
      <c r="I5381" s="368">
        <f t="shared" si="250"/>
        <v>0</v>
      </c>
      <c r="J5381" s="365">
        <f t="shared" si="252"/>
        <v>0</v>
      </c>
      <c r="K5381" s="369">
        <f t="shared" si="251"/>
        <v>6</v>
      </c>
      <c r="L5381" s="369">
        <f>+IF((C5381&gt;='Resultats - informe'!$E$16)*(C5381&lt;='Resultats - informe'!$G$16),1,0)</f>
        <v>1</v>
      </c>
      <c r="M5381" s="369" cm="1">
        <f t="array" ref="M5381">+_xlfn.IFS((C5381&gt;='Resultats - informe'!$D$26)*(C5381&lt;='Resultats - informe'!$E$26),0,(C5381&gt;='Resultats - informe'!$D$27)*(C5381&lt;='Resultats - informe'!$E$27),0,(C5381&gt;='Resultats - informe'!$D$28)*(C5381&lt;='Resultats - informe'!$E$28),0,(C5381&gt;='Resultats - informe'!$D$29)*(C5381&lt;='Resultats - informe'!$E$29),0,1,1)</f>
        <v>0</v>
      </c>
      <c r="N5381" s="366">
        <f>+VLOOKUP(D5381,'Resultats - informe'!$Y$18:$AG$42,'Introducció dades consum'!K5381+1,0)</f>
        <v>0</v>
      </c>
      <c r="O5381" s="370" cm="1">
        <f t="array" ref="O5381">+_xlfn.SWITCH(MONTH(C5381),1,1,2,1,3,1,4,2,5,2,6,3,7,3,8,3,9,3,10,2,11,2,12,1,2)</f>
        <v>1</v>
      </c>
      <c r="P5381" s="43"/>
    </row>
    <row r="5382" spans="1:16" ht="18" x14ac:dyDescent="0.35">
      <c r="A5382" s="9"/>
      <c r="C5382" s="393"/>
      <c r="E5382" s="394"/>
      <c r="F5382" s="394">
        <v>0.42199999999999999</v>
      </c>
      <c r="G5382" s="394"/>
      <c r="H5382" s="8" t="s">
        <v>235</v>
      </c>
      <c r="I5382" s="368">
        <f t="shared" ref="I5382:I5445" si="253">+E5382+G5382</f>
        <v>0</v>
      </c>
      <c r="J5382" s="365">
        <f t="shared" si="252"/>
        <v>0</v>
      </c>
      <c r="K5382" s="369">
        <f t="shared" ref="K5382:K5445" si="254">+WEEKDAY(C5382,2)</f>
        <v>6</v>
      </c>
      <c r="L5382" s="369">
        <f>+IF((C5382&gt;='Resultats - informe'!$E$16)*(C5382&lt;='Resultats - informe'!$G$16),1,0)</f>
        <v>1</v>
      </c>
      <c r="M5382" s="369" cm="1">
        <f t="array" ref="M5382">+_xlfn.IFS((C5382&gt;='Resultats - informe'!$D$26)*(C5382&lt;='Resultats - informe'!$E$26),0,(C5382&gt;='Resultats - informe'!$D$27)*(C5382&lt;='Resultats - informe'!$E$27),0,(C5382&gt;='Resultats - informe'!$D$28)*(C5382&lt;='Resultats - informe'!$E$28),0,(C5382&gt;='Resultats - informe'!$D$29)*(C5382&lt;='Resultats - informe'!$E$29),0,1,1)</f>
        <v>0</v>
      </c>
      <c r="N5382" s="366">
        <f>+VLOOKUP(D5382,'Resultats - informe'!$Y$18:$AG$42,'Introducció dades consum'!K5382+1,0)</f>
        <v>0</v>
      </c>
      <c r="O5382" s="370" cm="1">
        <f t="array" ref="O5382">+_xlfn.SWITCH(MONTH(C5382),1,1,2,1,3,1,4,2,5,2,6,3,7,3,8,3,9,3,10,2,11,2,12,1,2)</f>
        <v>1</v>
      </c>
      <c r="P5382" s="43"/>
    </row>
    <row r="5383" spans="1:16" ht="18" x14ac:dyDescent="0.35">
      <c r="A5383" s="9"/>
      <c r="C5383" s="393"/>
      <c r="E5383" s="394"/>
      <c r="F5383" s="394">
        <v>0.42299999999999999</v>
      </c>
      <c r="G5383" s="394"/>
      <c r="H5383" s="8" t="s">
        <v>235</v>
      </c>
      <c r="I5383" s="368">
        <f t="shared" si="253"/>
        <v>0</v>
      </c>
      <c r="J5383" s="365">
        <f t="shared" si="252"/>
        <v>0</v>
      </c>
      <c r="K5383" s="369">
        <f t="shared" si="254"/>
        <v>6</v>
      </c>
      <c r="L5383" s="369">
        <f>+IF((C5383&gt;='Resultats - informe'!$E$16)*(C5383&lt;='Resultats - informe'!$G$16),1,0)</f>
        <v>1</v>
      </c>
      <c r="M5383" s="369" cm="1">
        <f t="array" ref="M5383">+_xlfn.IFS((C5383&gt;='Resultats - informe'!$D$26)*(C5383&lt;='Resultats - informe'!$E$26),0,(C5383&gt;='Resultats - informe'!$D$27)*(C5383&lt;='Resultats - informe'!$E$27),0,(C5383&gt;='Resultats - informe'!$D$28)*(C5383&lt;='Resultats - informe'!$E$28),0,(C5383&gt;='Resultats - informe'!$D$29)*(C5383&lt;='Resultats - informe'!$E$29),0,1,1)</f>
        <v>0</v>
      </c>
      <c r="N5383" s="366">
        <f>+VLOOKUP(D5383,'Resultats - informe'!$Y$18:$AG$42,'Introducció dades consum'!K5383+1,0)</f>
        <v>0</v>
      </c>
      <c r="O5383" s="370" cm="1">
        <f t="array" ref="O5383">+_xlfn.SWITCH(MONTH(C5383),1,1,2,1,3,1,4,2,5,2,6,3,7,3,8,3,9,3,10,2,11,2,12,1,2)</f>
        <v>1</v>
      </c>
      <c r="P5383" s="43"/>
    </row>
    <row r="5384" spans="1:16" ht="18" x14ac:dyDescent="0.35">
      <c r="A5384" s="9"/>
      <c r="C5384" s="393"/>
      <c r="E5384" s="394"/>
      <c r="F5384" s="394">
        <v>0.42299999999999999</v>
      </c>
      <c r="G5384" s="394"/>
      <c r="H5384" s="8" t="s">
        <v>235</v>
      </c>
      <c r="I5384" s="368">
        <f t="shared" si="253"/>
        <v>0</v>
      </c>
      <c r="J5384" s="365">
        <f t="shared" si="252"/>
        <v>0</v>
      </c>
      <c r="K5384" s="369">
        <f t="shared" si="254"/>
        <v>6</v>
      </c>
      <c r="L5384" s="369">
        <f>+IF((C5384&gt;='Resultats - informe'!$E$16)*(C5384&lt;='Resultats - informe'!$G$16),1,0)</f>
        <v>1</v>
      </c>
      <c r="M5384" s="369" cm="1">
        <f t="array" ref="M5384">+_xlfn.IFS((C5384&gt;='Resultats - informe'!$D$26)*(C5384&lt;='Resultats - informe'!$E$26),0,(C5384&gt;='Resultats - informe'!$D$27)*(C5384&lt;='Resultats - informe'!$E$27),0,(C5384&gt;='Resultats - informe'!$D$28)*(C5384&lt;='Resultats - informe'!$E$28),0,(C5384&gt;='Resultats - informe'!$D$29)*(C5384&lt;='Resultats - informe'!$E$29),0,1,1)</f>
        <v>0</v>
      </c>
      <c r="N5384" s="366">
        <f>+VLOOKUP(D5384,'Resultats - informe'!$Y$18:$AG$42,'Introducció dades consum'!K5384+1,0)</f>
        <v>0</v>
      </c>
      <c r="O5384" s="370" cm="1">
        <f t="array" ref="O5384">+_xlfn.SWITCH(MONTH(C5384),1,1,2,1,3,1,4,2,5,2,6,3,7,3,8,3,9,3,10,2,11,2,12,1,2)</f>
        <v>1</v>
      </c>
      <c r="P5384" s="43"/>
    </row>
    <row r="5385" spans="1:16" ht="18" x14ac:dyDescent="0.35">
      <c r="A5385" s="9"/>
      <c r="C5385" s="393"/>
      <c r="E5385" s="394"/>
      <c r="F5385" s="394">
        <v>0.42399999999999999</v>
      </c>
      <c r="G5385" s="394"/>
      <c r="H5385" s="8" t="s">
        <v>235</v>
      </c>
      <c r="I5385" s="368">
        <f t="shared" si="253"/>
        <v>0</v>
      </c>
      <c r="J5385" s="365">
        <f t="shared" si="252"/>
        <v>0</v>
      </c>
      <c r="K5385" s="369">
        <f t="shared" si="254"/>
        <v>6</v>
      </c>
      <c r="L5385" s="369">
        <f>+IF((C5385&gt;='Resultats - informe'!$E$16)*(C5385&lt;='Resultats - informe'!$G$16),1,0)</f>
        <v>1</v>
      </c>
      <c r="M5385" s="369" cm="1">
        <f t="array" ref="M5385">+_xlfn.IFS((C5385&gt;='Resultats - informe'!$D$26)*(C5385&lt;='Resultats - informe'!$E$26),0,(C5385&gt;='Resultats - informe'!$D$27)*(C5385&lt;='Resultats - informe'!$E$27),0,(C5385&gt;='Resultats - informe'!$D$28)*(C5385&lt;='Resultats - informe'!$E$28),0,(C5385&gt;='Resultats - informe'!$D$29)*(C5385&lt;='Resultats - informe'!$E$29),0,1,1)</f>
        <v>0</v>
      </c>
      <c r="N5385" s="366">
        <f>+VLOOKUP(D5385,'Resultats - informe'!$Y$18:$AG$42,'Introducció dades consum'!K5385+1,0)</f>
        <v>0</v>
      </c>
      <c r="O5385" s="370" cm="1">
        <f t="array" ref="O5385">+_xlfn.SWITCH(MONTH(C5385),1,1,2,1,3,1,4,2,5,2,6,3,7,3,8,3,9,3,10,2,11,2,12,1,2)</f>
        <v>1</v>
      </c>
      <c r="P5385" s="43"/>
    </row>
    <row r="5386" spans="1:16" ht="18" x14ac:dyDescent="0.35">
      <c r="A5386" s="9"/>
      <c r="C5386" s="393"/>
      <c r="E5386" s="394"/>
      <c r="F5386" s="394">
        <v>0.42699999999999999</v>
      </c>
      <c r="G5386" s="394"/>
      <c r="H5386" s="8" t="s">
        <v>235</v>
      </c>
      <c r="I5386" s="368">
        <f t="shared" si="253"/>
        <v>0</v>
      </c>
      <c r="J5386" s="365">
        <f t="shared" si="252"/>
        <v>0</v>
      </c>
      <c r="K5386" s="369">
        <f t="shared" si="254"/>
        <v>6</v>
      </c>
      <c r="L5386" s="369">
        <f>+IF((C5386&gt;='Resultats - informe'!$E$16)*(C5386&lt;='Resultats - informe'!$G$16),1,0)</f>
        <v>1</v>
      </c>
      <c r="M5386" s="369" cm="1">
        <f t="array" ref="M5386">+_xlfn.IFS((C5386&gt;='Resultats - informe'!$D$26)*(C5386&lt;='Resultats - informe'!$E$26),0,(C5386&gt;='Resultats - informe'!$D$27)*(C5386&lt;='Resultats - informe'!$E$27),0,(C5386&gt;='Resultats - informe'!$D$28)*(C5386&lt;='Resultats - informe'!$E$28),0,(C5386&gt;='Resultats - informe'!$D$29)*(C5386&lt;='Resultats - informe'!$E$29),0,1,1)</f>
        <v>0</v>
      </c>
      <c r="N5386" s="366">
        <f>+VLOOKUP(D5386,'Resultats - informe'!$Y$18:$AG$42,'Introducció dades consum'!K5386+1,0)</f>
        <v>0</v>
      </c>
      <c r="O5386" s="370" cm="1">
        <f t="array" ref="O5386">+_xlfn.SWITCH(MONTH(C5386),1,1,2,1,3,1,4,2,5,2,6,3,7,3,8,3,9,3,10,2,11,2,12,1,2)</f>
        <v>1</v>
      </c>
      <c r="P5386" s="43"/>
    </row>
    <row r="5387" spans="1:16" ht="18" x14ac:dyDescent="0.35">
      <c r="A5387" s="9"/>
      <c r="C5387" s="393"/>
      <c r="E5387" s="394"/>
      <c r="F5387" s="394">
        <v>0.42199999999999999</v>
      </c>
      <c r="G5387" s="394"/>
      <c r="H5387" s="8" t="s">
        <v>235</v>
      </c>
      <c r="I5387" s="368">
        <f t="shared" si="253"/>
        <v>0</v>
      </c>
      <c r="J5387" s="365">
        <f t="shared" si="252"/>
        <v>0</v>
      </c>
      <c r="K5387" s="369">
        <f t="shared" si="254"/>
        <v>6</v>
      </c>
      <c r="L5387" s="369">
        <f>+IF((C5387&gt;='Resultats - informe'!$E$16)*(C5387&lt;='Resultats - informe'!$G$16),1,0)</f>
        <v>1</v>
      </c>
      <c r="M5387" s="369" cm="1">
        <f t="array" ref="M5387">+_xlfn.IFS((C5387&gt;='Resultats - informe'!$D$26)*(C5387&lt;='Resultats - informe'!$E$26),0,(C5387&gt;='Resultats - informe'!$D$27)*(C5387&lt;='Resultats - informe'!$E$27),0,(C5387&gt;='Resultats - informe'!$D$28)*(C5387&lt;='Resultats - informe'!$E$28),0,(C5387&gt;='Resultats - informe'!$D$29)*(C5387&lt;='Resultats - informe'!$E$29),0,1,1)</f>
        <v>0</v>
      </c>
      <c r="N5387" s="366">
        <f>+VLOOKUP(D5387,'Resultats - informe'!$Y$18:$AG$42,'Introducció dades consum'!K5387+1,0)</f>
        <v>0</v>
      </c>
      <c r="O5387" s="370" cm="1">
        <f t="array" ref="O5387">+_xlfn.SWITCH(MONTH(C5387),1,1,2,1,3,1,4,2,5,2,6,3,7,3,8,3,9,3,10,2,11,2,12,1,2)</f>
        <v>1</v>
      </c>
      <c r="P5387" s="43"/>
    </row>
    <row r="5388" spans="1:16" ht="18" x14ac:dyDescent="0.35">
      <c r="A5388" s="9"/>
      <c r="C5388" s="393"/>
      <c r="E5388" s="394"/>
      <c r="F5388" s="394">
        <v>1.2889999999999999</v>
      </c>
      <c r="G5388" s="394"/>
      <c r="H5388" s="8" t="s">
        <v>235</v>
      </c>
      <c r="I5388" s="368">
        <f t="shared" si="253"/>
        <v>0</v>
      </c>
      <c r="J5388" s="365">
        <f t="shared" si="252"/>
        <v>0</v>
      </c>
      <c r="K5388" s="369">
        <f t="shared" si="254"/>
        <v>6</v>
      </c>
      <c r="L5388" s="369">
        <f>+IF((C5388&gt;='Resultats - informe'!$E$16)*(C5388&lt;='Resultats - informe'!$G$16),1,0)</f>
        <v>1</v>
      </c>
      <c r="M5388" s="369" cm="1">
        <f t="array" ref="M5388">+_xlfn.IFS((C5388&gt;='Resultats - informe'!$D$26)*(C5388&lt;='Resultats - informe'!$E$26),0,(C5388&gt;='Resultats - informe'!$D$27)*(C5388&lt;='Resultats - informe'!$E$27),0,(C5388&gt;='Resultats - informe'!$D$28)*(C5388&lt;='Resultats - informe'!$E$28),0,(C5388&gt;='Resultats - informe'!$D$29)*(C5388&lt;='Resultats - informe'!$E$29),0,1,1)</f>
        <v>0</v>
      </c>
      <c r="N5388" s="366">
        <f>+VLOOKUP(D5388,'Resultats - informe'!$Y$18:$AG$42,'Introducció dades consum'!K5388+1,0)</f>
        <v>0</v>
      </c>
      <c r="O5388" s="370" cm="1">
        <f t="array" ref="O5388">+_xlfn.SWITCH(MONTH(C5388),1,1,2,1,3,1,4,2,5,2,6,3,7,3,8,3,9,3,10,2,11,2,12,1,2)</f>
        <v>1</v>
      </c>
      <c r="P5388" s="43"/>
    </row>
    <row r="5389" spans="1:16" ht="18" x14ac:dyDescent="0.35">
      <c r="A5389" s="9"/>
      <c r="C5389" s="393"/>
      <c r="E5389" s="394"/>
      <c r="F5389" s="394">
        <v>1.25</v>
      </c>
      <c r="G5389" s="394"/>
      <c r="H5389" s="8" t="s">
        <v>235</v>
      </c>
      <c r="I5389" s="368">
        <f t="shared" si="253"/>
        <v>0</v>
      </c>
      <c r="J5389" s="365">
        <f t="shared" si="252"/>
        <v>0</v>
      </c>
      <c r="K5389" s="369">
        <f t="shared" si="254"/>
        <v>6</v>
      </c>
      <c r="L5389" s="369">
        <f>+IF((C5389&gt;='Resultats - informe'!$E$16)*(C5389&lt;='Resultats - informe'!$G$16),1,0)</f>
        <v>1</v>
      </c>
      <c r="M5389" s="369" cm="1">
        <f t="array" ref="M5389">+_xlfn.IFS((C5389&gt;='Resultats - informe'!$D$26)*(C5389&lt;='Resultats - informe'!$E$26),0,(C5389&gt;='Resultats - informe'!$D$27)*(C5389&lt;='Resultats - informe'!$E$27),0,(C5389&gt;='Resultats - informe'!$D$28)*(C5389&lt;='Resultats - informe'!$E$28),0,(C5389&gt;='Resultats - informe'!$D$29)*(C5389&lt;='Resultats - informe'!$E$29),0,1,1)</f>
        <v>0</v>
      </c>
      <c r="N5389" s="366">
        <f>+VLOOKUP(D5389,'Resultats - informe'!$Y$18:$AG$42,'Introducció dades consum'!K5389+1,0)</f>
        <v>0</v>
      </c>
      <c r="O5389" s="370" cm="1">
        <f t="array" ref="O5389">+_xlfn.SWITCH(MONTH(C5389),1,1,2,1,3,1,4,2,5,2,6,3,7,3,8,3,9,3,10,2,11,2,12,1,2)</f>
        <v>1</v>
      </c>
      <c r="P5389" s="43"/>
    </row>
    <row r="5390" spans="1:16" ht="18" x14ac:dyDescent="0.35">
      <c r="A5390" s="9"/>
      <c r="C5390" s="393"/>
      <c r="E5390" s="394"/>
      <c r="F5390" s="394">
        <v>1.9550000000000001</v>
      </c>
      <c r="G5390" s="394"/>
      <c r="H5390" s="8" t="s">
        <v>235</v>
      </c>
      <c r="I5390" s="368">
        <f t="shared" si="253"/>
        <v>0</v>
      </c>
      <c r="J5390" s="365">
        <f t="shared" si="252"/>
        <v>0</v>
      </c>
      <c r="K5390" s="369">
        <f t="shared" si="254"/>
        <v>6</v>
      </c>
      <c r="L5390" s="369">
        <f>+IF((C5390&gt;='Resultats - informe'!$E$16)*(C5390&lt;='Resultats - informe'!$G$16),1,0)</f>
        <v>1</v>
      </c>
      <c r="M5390" s="369" cm="1">
        <f t="array" ref="M5390">+_xlfn.IFS((C5390&gt;='Resultats - informe'!$D$26)*(C5390&lt;='Resultats - informe'!$E$26),0,(C5390&gt;='Resultats - informe'!$D$27)*(C5390&lt;='Resultats - informe'!$E$27),0,(C5390&gt;='Resultats - informe'!$D$28)*(C5390&lt;='Resultats - informe'!$E$28),0,(C5390&gt;='Resultats - informe'!$D$29)*(C5390&lt;='Resultats - informe'!$E$29),0,1,1)</f>
        <v>0</v>
      </c>
      <c r="N5390" s="366">
        <f>+VLOOKUP(D5390,'Resultats - informe'!$Y$18:$AG$42,'Introducció dades consum'!K5390+1,0)</f>
        <v>0</v>
      </c>
      <c r="O5390" s="370" cm="1">
        <f t="array" ref="O5390">+_xlfn.SWITCH(MONTH(C5390),1,1,2,1,3,1,4,2,5,2,6,3,7,3,8,3,9,3,10,2,11,2,12,1,2)</f>
        <v>1</v>
      </c>
      <c r="P5390" s="43"/>
    </row>
    <row r="5391" spans="1:16" ht="18" x14ac:dyDescent="0.35">
      <c r="A5391" s="9"/>
      <c r="C5391" s="393"/>
      <c r="E5391" s="394"/>
      <c r="F5391" s="394">
        <v>1.9059999999999999</v>
      </c>
      <c r="G5391" s="394"/>
      <c r="H5391" s="8" t="s">
        <v>235</v>
      </c>
      <c r="I5391" s="368">
        <f t="shared" si="253"/>
        <v>0</v>
      </c>
      <c r="J5391" s="365">
        <f t="shared" si="252"/>
        <v>0</v>
      </c>
      <c r="K5391" s="369">
        <f t="shared" si="254"/>
        <v>6</v>
      </c>
      <c r="L5391" s="369">
        <f>+IF((C5391&gt;='Resultats - informe'!$E$16)*(C5391&lt;='Resultats - informe'!$G$16),1,0)</f>
        <v>1</v>
      </c>
      <c r="M5391" s="369" cm="1">
        <f t="array" ref="M5391">+_xlfn.IFS((C5391&gt;='Resultats - informe'!$D$26)*(C5391&lt;='Resultats - informe'!$E$26),0,(C5391&gt;='Resultats - informe'!$D$27)*(C5391&lt;='Resultats - informe'!$E$27),0,(C5391&gt;='Resultats - informe'!$D$28)*(C5391&lt;='Resultats - informe'!$E$28),0,(C5391&gt;='Resultats - informe'!$D$29)*(C5391&lt;='Resultats - informe'!$E$29),0,1,1)</f>
        <v>0</v>
      </c>
      <c r="N5391" s="366">
        <f>+VLOOKUP(D5391,'Resultats - informe'!$Y$18:$AG$42,'Introducció dades consum'!K5391+1,0)</f>
        <v>0</v>
      </c>
      <c r="O5391" s="370" cm="1">
        <f t="array" ref="O5391">+_xlfn.SWITCH(MONTH(C5391),1,1,2,1,3,1,4,2,5,2,6,3,7,3,8,3,9,3,10,2,11,2,12,1,2)</f>
        <v>1</v>
      </c>
      <c r="P5391" s="43"/>
    </row>
    <row r="5392" spans="1:16" ht="18" x14ac:dyDescent="0.35">
      <c r="A5392" s="9"/>
      <c r="C5392" s="393"/>
      <c r="E5392" s="394"/>
      <c r="F5392" s="394">
        <v>1.996</v>
      </c>
      <c r="G5392" s="394"/>
      <c r="H5392" s="8" t="s">
        <v>235</v>
      </c>
      <c r="I5392" s="368">
        <f t="shared" si="253"/>
        <v>0</v>
      </c>
      <c r="J5392" s="365">
        <f t="shared" si="252"/>
        <v>0</v>
      </c>
      <c r="K5392" s="369">
        <f t="shared" si="254"/>
        <v>6</v>
      </c>
      <c r="L5392" s="369">
        <f>+IF((C5392&gt;='Resultats - informe'!$E$16)*(C5392&lt;='Resultats - informe'!$G$16),1,0)</f>
        <v>1</v>
      </c>
      <c r="M5392" s="369" cm="1">
        <f t="array" ref="M5392">+_xlfn.IFS((C5392&gt;='Resultats - informe'!$D$26)*(C5392&lt;='Resultats - informe'!$E$26),0,(C5392&gt;='Resultats - informe'!$D$27)*(C5392&lt;='Resultats - informe'!$E$27),0,(C5392&gt;='Resultats - informe'!$D$28)*(C5392&lt;='Resultats - informe'!$E$28),0,(C5392&gt;='Resultats - informe'!$D$29)*(C5392&lt;='Resultats - informe'!$E$29),0,1,1)</f>
        <v>0</v>
      </c>
      <c r="N5392" s="366">
        <f>+VLOOKUP(D5392,'Resultats - informe'!$Y$18:$AG$42,'Introducció dades consum'!K5392+1,0)</f>
        <v>0</v>
      </c>
      <c r="O5392" s="370" cm="1">
        <f t="array" ref="O5392">+_xlfn.SWITCH(MONTH(C5392),1,1,2,1,3,1,4,2,5,2,6,3,7,3,8,3,9,3,10,2,11,2,12,1,2)</f>
        <v>1</v>
      </c>
      <c r="P5392" s="43"/>
    </row>
    <row r="5393" spans="1:16" ht="18" x14ac:dyDescent="0.35">
      <c r="A5393" s="9"/>
      <c r="C5393" s="393"/>
      <c r="E5393" s="394"/>
      <c r="F5393" s="394">
        <v>1.399</v>
      </c>
      <c r="G5393" s="394"/>
      <c r="H5393" s="8" t="s">
        <v>235</v>
      </c>
      <c r="I5393" s="368">
        <f t="shared" si="253"/>
        <v>0</v>
      </c>
      <c r="J5393" s="365">
        <f t="shared" si="252"/>
        <v>0</v>
      </c>
      <c r="K5393" s="369">
        <f t="shared" si="254"/>
        <v>6</v>
      </c>
      <c r="L5393" s="369">
        <f>+IF((C5393&gt;='Resultats - informe'!$E$16)*(C5393&lt;='Resultats - informe'!$G$16),1,0)</f>
        <v>1</v>
      </c>
      <c r="M5393" s="369" cm="1">
        <f t="array" ref="M5393">+_xlfn.IFS((C5393&gt;='Resultats - informe'!$D$26)*(C5393&lt;='Resultats - informe'!$E$26),0,(C5393&gt;='Resultats - informe'!$D$27)*(C5393&lt;='Resultats - informe'!$E$27),0,(C5393&gt;='Resultats - informe'!$D$28)*(C5393&lt;='Resultats - informe'!$E$28),0,(C5393&gt;='Resultats - informe'!$D$29)*(C5393&lt;='Resultats - informe'!$E$29),0,1,1)</f>
        <v>0</v>
      </c>
      <c r="N5393" s="366">
        <f>+VLOOKUP(D5393,'Resultats - informe'!$Y$18:$AG$42,'Introducció dades consum'!K5393+1,0)</f>
        <v>0</v>
      </c>
      <c r="O5393" s="370" cm="1">
        <f t="array" ref="O5393">+_xlfn.SWITCH(MONTH(C5393),1,1,2,1,3,1,4,2,5,2,6,3,7,3,8,3,9,3,10,2,11,2,12,1,2)</f>
        <v>1</v>
      </c>
      <c r="P5393" s="43"/>
    </row>
    <row r="5394" spans="1:16" ht="18" x14ac:dyDescent="0.35">
      <c r="A5394" s="9"/>
      <c r="C5394" s="393"/>
      <c r="E5394" s="394"/>
      <c r="F5394" s="394">
        <v>0</v>
      </c>
      <c r="G5394" s="394"/>
      <c r="H5394" s="8" t="s">
        <v>235</v>
      </c>
      <c r="I5394" s="368">
        <f t="shared" si="253"/>
        <v>0</v>
      </c>
      <c r="J5394" s="365">
        <f t="shared" si="252"/>
        <v>0</v>
      </c>
      <c r="K5394" s="369">
        <f t="shared" si="254"/>
        <v>6</v>
      </c>
      <c r="L5394" s="369">
        <f>+IF((C5394&gt;='Resultats - informe'!$E$16)*(C5394&lt;='Resultats - informe'!$G$16),1,0)</f>
        <v>1</v>
      </c>
      <c r="M5394" s="369" cm="1">
        <f t="array" ref="M5394">+_xlfn.IFS((C5394&gt;='Resultats - informe'!$D$26)*(C5394&lt;='Resultats - informe'!$E$26),0,(C5394&gt;='Resultats - informe'!$D$27)*(C5394&lt;='Resultats - informe'!$E$27),0,(C5394&gt;='Resultats - informe'!$D$28)*(C5394&lt;='Resultats - informe'!$E$28),0,(C5394&gt;='Resultats - informe'!$D$29)*(C5394&lt;='Resultats - informe'!$E$29),0,1,1)</f>
        <v>0</v>
      </c>
      <c r="N5394" s="366">
        <f>+VLOOKUP(D5394,'Resultats - informe'!$Y$18:$AG$42,'Introducció dades consum'!K5394+1,0)</f>
        <v>0</v>
      </c>
      <c r="O5394" s="370" cm="1">
        <f t="array" ref="O5394">+_xlfn.SWITCH(MONTH(C5394),1,1,2,1,3,1,4,2,5,2,6,3,7,3,8,3,9,3,10,2,11,2,12,1,2)</f>
        <v>1</v>
      </c>
      <c r="P5394" s="43"/>
    </row>
    <row r="5395" spans="1:16" ht="18" x14ac:dyDescent="0.35">
      <c r="A5395" s="9"/>
      <c r="C5395" s="393"/>
      <c r="E5395" s="394"/>
      <c r="F5395" s="394">
        <v>1.6870000000000001</v>
      </c>
      <c r="G5395" s="394"/>
      <c r="H5395" s="8" t="s">
        <v>235</v>
      </c>
      <c r="I5395" s="368">
        <f t="shared" si="253"/>
        <v>0</v>
      </c>
      <c r="J5395" s="365">
        <f t="shared" si="252"/>
        <v>0</v>
      </c>
      <c r="K5395" s="369">
        <f t="shared" si="254"/>
        <v>6</v>
      </c>
      <c r="L5395" s="369">
        <f>+IF((C5395&gt;='Resultats - informe'!$E$16)*(C5395&lt;='Resultats - informe'!$G$16),1,0)</f>
        <v>1</v>
      </c>
      <c r="M5395" s="369" cm="1">
        <f t="array" ref="M5395">+_xlfn.IFS((C5395&gt;='Resultats - informe'!$D$26)*(C5395&lt;='Resultats - informe'!$E$26),0,(C5395&gt;='Resultats - informe'!$D$27)*(C5395&lt;='Resultats - informe'!$E$27),0,(C5395&gt;='Resultats - informe'!$D$28)*(C5395&lt;='Resultats - informe'!$E$28),0,(C5395&gt;='Resultats - informe'!$D$29)*(C5395&lt;='Resultats - informe'!$E$29),0,1,1)</f>
        <v>0</v>
      </c>
      <c r="N5395" s="366">
        <f>+VLOOKUP(D5395,'Resultats - informe'!$Y$18:$AG$42,'Introducció dades consum'!K5395+1,0)</f>
        <v>0</v>
      </c>
      <c r="O5395" s="370" cm="1">
        <f t="array" ref="O5395">+_xlfn.SWITCH(MONTH(C5395),1,1,2,1,3,1,4,2,5,2,6,3,7,3,8,3,9,3,10,2,11,2,12,1,2)</f>
        <v>1</v>
      </c>
      <c r="P5395" s="43"/>
    </row>
    <row r="5396" spans="1:16" ht="18" x14ac:dyDescent="0.35">
      <c r="A5396" s="9"/>
      <c r="C5396" s="393"/>
      <c r="E5396" s="394"/>
      <c r="F5396" s="394">
        <v>1.726</v>
      </c>
      <c r="G5396" s="394"/>
      <c r="H5396" s="8" t="s">
        <v>235</v>
      </c>
      <c r="I5396" s="368">
        <f t="shared" si="253"/>
        <v>0</v>
      </c>
      <c r="J5396" s="365">
        <f t="shared" si="252"/>
        <v>0</v>
      </c>
      <c r="K5396" s="369">
        <f t="shared" si="254"/>
        <v>6</v>
      </c>
      <c r="L5396" s="369">
        <f>+IF((C5396&gt;='Resultats - informe'!$E$16)*(C5396&lt;='Resultats - informe'!$G$16),1,0)</f>
        <v>1</v>
      </c>
      <c r="M5396" s="369" cm="1">
        <f t="array" ref="M5396">+_xlfn.IFS((C5396&gt;='Resultats - informe'!$D$26)*(C5396&lt;='Resultats - informe'!$E$26),0,(C5396&gt;='Resultats - informe'!$D$27)*(C5396&lt;='Resultats - informe'!$E$27),0,(C5396&gt;='Resultats - informe'!$D$28)*(C5396&lt;='Resultats - informe'!$E$28),0,(C5396&gt;='Resultats - informe'!$D$29)*(C5396&lt;='Resultats - informe'!$E$29),0,1,1)</f>
        <v>0</v>
      </c>
      <c r="N5396" s="366">
        <f>+VLOOKUP(D5396,'Resultats - informe'!$Y$18:$AG$42,'Introducció dades consum'!K5396+1,0)</f>
        <v>0</v>
      </c>
      <c r="O5396" s="370" cm="1">
        <f t="array" ref="O5396">+_xlfn.SWITCH(MONTH(C5396),1,1,2,1,3,1,4,2,5,2,6,3,7,3,8,3,9,3,10,2,11,2,12,1,2)</f>
        <v>1</v>
      </c>
      <c r="P5396" s="43"/>
    </row>
    <row r="5397" spans="1:16" ht="18" x14ac:dyDescent="0.35">
      <c r="A5397" s="9"/>
      <c r="C5397" s="393"/>
      <c r="E5397" s="394"/>
      <c r="F5397" s="394">
        <v>1.82</v>
      </c>
      <c r="G5397" s="394"/>
      <c r="H5397" s="8" t="s">
        <v>235</v>
      </c>
      <c r="I5397" s="368">
        <f t="shared" si="253"/>
        <v>0</v>
      </c>
      <c r="J5397" s="365">
        <f t="shared" si="252"/>
        <v>0</v>
      </c>
      <c r="K5397" s="369">
        <f t="shared" si="254"/>
        <v>6</v>
      </c>
      <c r="L5397" s="369">
        <f>+IF((C5397&gt;='Resultats - informe'!$E$16)*(C5397&lt;='Resultats - informe'!$G$16),1,0)</f>
        <v>1</v>
      </c>
      <c r="M5397" s="369" cm="1">
        <f t="array" ref="M5397">+_xlfn.IFS((C5397&gt;='Resultats - informe'!$D$26)*(C5397&lt;='Resultats - informe'!$E$26),0,(C5397&gt;='Resultats - informe'!$D$27)*(C5397&lt;='Resultats - informe'!$E$27),0,(C5397&gt;='Resultats - informe'!$D$28)*(C5397&lt;='Resultats - informe'!$E$28),0,(C5397&gt;='Resultats - informe'!$D$29)*(C5397&lt;='Resultats - informe'!$E$29),0,1,1)</f>
        <v>0</v>
      </c>
      <c r="N5397" s="366">
        <f>+VLOOKUP(D5397,'Resultats - informe'!$Y$18:$AG$42,'Introducció dades consum'!K5397+1,0)</f>
        <v>0</v>
      </c>
      <c r="O5397" s="370" cm="1">
        <f t="array" ref="O5397">+_xlfn.SWITCH(MONTH(C5397),1,1,2,1,3,1,4,2,5,2,6,3,7,3,8,3,9,3,10,2,11,2,12,1,2)</f>
        <v>1</v>
      </c>
      <c r="P5397" s="43"/>
    </row>
    <row r="5398" spans="1:16" ht="18" x14ac:dyDescent="0.35">
      <c r="A5398" s="9"/>
      <c r="C5398" s="393"/>
      <c r="E5398" s="394"/>
      <c r="F5398" s="394">
        <v>2.5510000000000002</v>
      </c>
      <c r="G5398" s="394"/>
      <c r="H5398" s="8" t="s">
        <v>235</v>
      </c>
      <c r="I5398" s="368">
        <f t="shared" si="253"/>
        <v>0</v>
      </c>
      <c r="J5398" s="365">
        <f t="shared" si="252"/>
        <v>0</v>
      </c>
      <c r="K5398" s="369">
        <f t="shared" si="254"/>
        <v>6</v>
      </c>
      <c r="L5398" s="369">
        <f>+IF((C5398&gt;='Resultats - informe'!$E$16)*(C5398&lt;='Resultats - informe'!$G$16),1,0)</f>
        <v>1</v>
      </c>
      <c r="M5398" s="369" cm="1">
        <f t="array" ref="M5398">+_xlfn.IFS((C5398&gt;='Resultats - informe'!$D$26)*(C5398&lt;='Resultats - informe'!$E$26),0,(C5398&gt;='Resultats - informe'!$D$27)*(C5398&lt;='Resultats - informe'!$E$27),0,(C5398&gt;='Resultats - informe'!$D$28)*(C5398&lt;='Resultats - informe'!$E$28),0,(C5398&gt;='Resultats - informe'!$D$29)*(C5398&lt;='Resultats - informe'!$E$29),0,1,1)</f>
        <v>0</v>
      </c>
      <c r="N5398" s="366">
        <f>+VLOOKUP(D5398,'Resultats - informe'!$Y$18:$AG$42,'Introducció dades consum'!K5398+1,0)</f>
        <v>0</v>
      </c>
      <c r="O5398" s="370" cm="1">
        <f t="array" ref="O5398">+_xlfn.SWITCH(MONTH(C5398),1,1,2,1,3,1,4,2,5,2,6,3,7,3,8,3,9,3,10,2,11,2,12,1,2)</f>
        <v>1</v>
      </c>
      <c r="P5398" s="43"/>
    </row>
    <row r="5399" spans="1:16" ht="18" x14ac:dyDescent="0.35">
      <c r="A5399" s="9"/>
      <c r="C5399" s="393"/>
      <c r="E5399" s="394"/>
      <c r="F5399" s="394">
        <v>2.5499999999999998</v>
      </c>
      <c r="G5399" s="394"/>
      <c r="H5399" s="8" t="s">
        <v>235</v>
      </c>
      <c r="I5399" s="368">
        <f t="shared" si="253"/>
        <v>0</v>
      </c>
      <c r="J5399" s="365">
        <f t="shared" si="252"/>
        <v>0</v>
      </c>
      <c r="K5399" s="369">
        <f t="shared" si="254"/>
        <v>6</v>
      </c>
      <c r="L5399" s="369">
        <f>+IF((C5399&gt;='Resultats - informe'!$E$16)*(C5399&lt;='Resultats - informe'!$G$16),1,0)</f>
        <v>1</v>
      </c>
      <c r="M5399" s="369" cm="1">
        <f t="array" ref="M5399">+_xlfn.IFS((C5399&gt;='Resultats - informe'!$D$26)*(C5399&lt;='Resultats - informe'!$E$26),0,(C5399&gt;='Resultats - informe'!$D$27)*(C5399&lt;='Resultats - informe'!$E$27),0,(C5399&gt;='Resultats - informe'!$D$28)*(C5399&lt;='Resultats - informe'!$E$28),0,(C5399&gt;='Resultats - informe'!$D$29)*(C5399&lt;='Resultats - informe'!$E$29),0,1,1)</f>
        <v>0</v>
      </c>
      <c r="N5399" s="366">
        <f>+VLOOKUP(D5399,'Resultats - informe'!$Y$18:$AG$42,'Introducció dades consum'!K5399+1,0)</f>
        <v>0</v>
      </c>
      <c r="O5399" s="370" cm="1">
        <f t="array" ref="O5399">+_xlfn.SWITCH(MONTH(C5399),1,1,2,1,3,1,4,2,5,2,6,3,7,3,8,3,9,3,10,2,11,2,12,1,2)</f>
        <v>1</v>
      </c>
      <c r="P5399" s="43"/>
    </row>
    <row r="5400" spans="1:16" ht="18" x14ac:dyDescent="0.35">
      <c r="A5400" s="9"/>
      <c r="C5400" s="393"/>
      <c r="E5400" s="394"/>
      <c r="F5400" s="394">
        <v>2.5529999999999999</v>
      </c>
      <c r="G5400" s="394"/>
      <c r="H5400" s="8" t="s">
        <v>235</v>
      </c>
      <c r="I5400" s="368">
        <f t="shared" si="253"/>
        <v>0</v>
      </c>
      <c r="J5400" s="365">
        <f t="shared" si="252"/>
        <v>0</v>
      </c>
      <c r="K5400" s="369">
        <f t="shared" si="254"/>
        <v>6</v>
      </c>
      <c r="L5400" s="369">
        <f>+IF((C5400&gt;='Resultats - informe'!$E$16)*(C5400&lt;='Resultats - informe'!$G$16),1,0)</f>
        <v>1</v>
      </c>
      <c r="M5400" s="369" cm="1">
        <f t="array" ref="M5400">+_xlfn.IFS((C5400&gt;='Resultats - informe'!$D$26)*(C5400&lt;='Resultats - informe'!$E$26),0,(C5400&gt;='Resultats - informe'!$D$27)*(C5400&lt;='Resultats - informe'!$E$27),0,(C5400&gt;='Resultats - informe'!$D$28)*(C5400&lt;='Resultats - informe'!$E$28),0,(C5400&gt;='Resultats - informe'!$D$29)*(C5400&lt;='Resultats - informe'!$E$29),0,1,1)</f>
        <v>0</v>
      </c>
      <c r="N5400" s="366">
        <f>+VLOOKUP(D5400,'Resultats - informe'!$Y$18:$AG$42,'Introducció dades consum'!K5400+1,0)</f>
        <v>0</v>
      </c>
      <c r="O5400" s="370" cm="1">
        <f t="array" ref="O5400">+_xlfn.SWITCH(MONTH(C5400),1,1,2,1,3,1,4,2,5,2,6,3,7,3,8,3,9,3,10,2,11,2,12,1,2)</f>
        <v>1</v>
      </c>
      <c r="P5400" s="43"/>
    </row>
    <row r="5401" spans="1:16" ht="18" x14ac:dyDescent="0.35">
      <c r="A5401" s="9"/>
      <c r="C5401" s="393"/>
      <c r="E5401" s="394"/>
      <c r="F5401" s="394">
        <v>2.1360000000000001</v>
      </c>
      <c r="G5401" s="394"/>
      <c r="H5401" s="8" t="s">
        <v>235</v>
      </c>
      <c r="I5401" s="368">
        <f t="shared" si="253"/>
        <v>0</v>
      </c>
      <c r="J5401" s="365">
        <f t="shared" si="252"/>
        <v>0</v>
      </c>
      <c r="K5401" s="369">
        <f t="shared" si="254"/>
        <v>6</v>
      </c>
      <c r="L5401" s="369">
        <f>+IF((C5401&gt;='Resultats - informe'!$E$16)*(C5401&lt;='Resultats - informe'!$G$16),1,0)</f>
        <v>1</v>
      </c>
      <c r="M5401" s="369" cm="1">
        <f t="array" ref="M5401">+_xlfn.IFS((C5401&gt;='Resultats - informe'!$D$26)*(C5401&lt;='Resultats - informe'!$E$26),0,(C5401&gt;='Resultats - informe'!$D$27)*(C5401&lt;='Resultats - informe'!$E$27),0,(C5401&gt;='Resultats - informe'!$D$28)*(C5401&lt;='Resultats - informe'!$E$28),0,(C5401&gt;='Resultats - informe'!$D$29)*(C5401&lt;='Resultats - informe'!$E$29),0,1,1)</f>
        <v>0</v>
      </c>
      <c r="N5401" s="366">
        <f>+VLOOKUP(D5401,'Resultats - informe'!$Y$18:$AG$42,'Introducció dades consum'!K5401+1,0)</f>
        <v>0</v>
      </c>
      <c r="O5401" s="370" cm="1">
        <f t="array" ref="O5401">+_xlfn.SWITCH(MONTH(C5401),1,1,2,1,3,1,4,2,5,2,6,3,7,3,8,3,9,3,10,2,11,2,12,1,2)</f>
        <v>1</v>
      </c>
      <c r="P5401" s="43"/>
    </row>
    <row r="5402" spans="1:16" ht="18" x14ac:dyDescent="0.35">
      <c r="A5402" s="9"/>
      <c r="C5402" s="393"/>
      <c r="E5402" s="394"/>
      <c r="F5402" s="394">
        <v>1.341</v>
      </c>
      <c r="G5402" s="394"/>
      <c r="H5402" s="8" t="s">
        <v>235</v>
      </c>
      <c r="I5402" s="368">
        <f t="shared" si="253"/>
        <v>0</v>
      </c>
      <c r="J5402" s="365">
        <f t="shared" si="252"/>
        <v>0</v>
      </c>
      <c r="K5402" s="369">
        <f t="shared" si="254"/>
        <v>6</v>
      </c>
      <c r="L5402" s="369">
        <f>+IF((C5402&gt;='Resultats - informe'!$E$16)*(C5402&lt;='Resultats - informe'!$G$16),1,0)</f>
        <v>1</v>
      </c>
      <c r="M5402" s="369" cm="1">
        <f t="array" ref="M5402">+_xlfn.IFS((C5402&gt;='Resultats - informe'!$D$26)*(C5402&lt;='Resultats - informe'!$E$26),0,(C5402&gt;='Resultats - informe'!$D$27)*(C5402&lt;='Resultats - informe'!$E$27),0,(C5402&gt;='Resultats - informe'!$D$28)*(C5402&lt;='Resultats - informe'!$E$28),0,(C5402&gt;='Resultats - informe'!$D$29)*(C5402&lt;='Resultats - informe'!$E$29),0,1,1)</f>
        <v>0</v>
      </c>
      <c r="N5402" s="366">
        <f>+VLOOKUP(D5402,'Resultats - informe'!$Y$18:$AG$42,'Introducció dades consum'!K5402+1,0)</f>
        <v>0</v>
      </c>
      <c r="O5402" s="370" cm="1">
        <f t="array" ref="O5402">+_xlfn.SWITCH(MONTH(C5402),1,1,2,1,3,1,4,2,5,2,6,3,7,3,8,3,9,3,10,2,11,2,12,1,2)</f>
        <v>1</v>
      </c>
      <c r="P5402" s="43"/>
    </row>
    <row r="5403" spans="1:16" ht="18" x14ac:dyDescent="0.35">
      <c r="A5403" s="9"/>
      <c r="C5403" s="393"/>
      <c r="E5403" s="394"/>
      <c r="F5403" s="394">
        <v>1.341</v>
      </c>
      <c r="G5403" s="394"/>
      <c r="H5403" s="8" t="s">
        <v>235</v>
      </c>
      <c r="I5403" s="368">
        <f t="shared" si="253"/>
        <v>0</v>
      </c>
      <c r="J5403" s="365">
        <f t="shared" si="252"/>
        <v>0</v>
      </c>
      <c r="K5403" s="369">
        <f t="shared" si="254"/>
        <v>6</v>
      </c>
      <c r="L5403" s="369">
        <f>+IF((C5403&gt;='Resultats - informe'!$E$16)*(C5403&lt;='Resultats - informe'!$G$16),1,0)</f>
        <v>1</v>
      </c>
      <c r="M5403" s="369" cm="1">
        <f t="array" ref="M5403">+_xlfn.IFS((C5403&gt;='Resultats - informe'!$D$26)*(C5403&lt;='Resultats - informe'!$E$26),0,(C5403&gt;='Resultats - informe'!$D$27)*(C5403&lt;='Resultats - informe'!$E$27),0,(C5403&gt;='Resultats - informe'!$D$28)*(C5403&lt;='Resultats - informe'!$E$28),0,(C5403&gt;='Resultats - informe'!$D$29)*(C5403&lt;='Resultats - informe'!$E$29),0,1,1)</f>
        <v>0</v>
      </c>
      <c r="N5403" s="366">
        <f>+VLOOKUP(D5403,'Resultats - informe'!$Y$18:$AG$42,'Introducció dades consum'!K5403+1,0)</f>
        <v>0</v>
      </c>
      <c r="O5403" s="370" cm="1">
        <f t="array" ref="O5403">+_xlfn.SWITCH(MONTH(C5403),1,1,2,1,3,1,4,2,5,2,6,3,7,3,8,3,9,3,10,2,11,2,12,1,2)</f>
        <v>1</v>
      </c>
      <c r="P5403" s="43"/>
    </row>
    <row r="5404" spans="1:16" ht="18" x14ac:dyDescent="0.35">
      <c r="A5404" s="9"/>
      <c r="C5404" s="393"/>
      <c r="E5404" s="394"/>
      <c r="F5404" s="394">
        <v>4.2999999999999997E-2</v>
      </c>
      <c r="G5404" s="394"/>
      <c r="H5404" s="8" t="s">
        <v>235</v>
      </c>
      <c r="I5404" s="368">
        <f t="shared" si="253"/>
        <v>0</v>
      </c>
      <c r="J5404" s="365">
        <f t="shared" si="252"/>
        <v>0</v>
      </c>
      <c r="K5404" s="369">
        <f t="shared" si="254"/>
        <v>6</v>
      </c>
      <c r="L5404" s="369">
        <f>+IF((C5404&gt;='Resultats - informe'!$E$16)*(C5404&lt;='Resultats - informe'!$G$16),1,0)</f>
        <v>1</v>
      </c>
      <c r="M5404" s="369" cm="1">
        <f t="array" ref="M5404">+_xlfn.IFS((C5404&gt;='Resultats - informe'!$D$26)*(C5404&lt;='Resultats - informe'!$E$26),0,(C5404&gt;='Resultats - informe'!$D$27)*(C5404&lt;='Resultats - informe'!$E$27),0,(C5404&gt;='Resultats - informe'!$D$28)*(C5404&lt;='Resultats - informe'!$E$28),0,(C5404&gt;='Resultats - informe'!$D$29)*(C5404&lt;='Resultats - informe'!$E$29),0,1,1)</f>
        <v>0</v>
      </c>
      <c r="N5404" s="366">
        <f>+VLOOKUP(D5404,'Resultats - informe'!$Y$18:$AG$42,'Introducció dades consum'!K5404+1,0)</f>
        <v>0</v>
      </c>
      <c r="O5404" s="370" cm="1">
        <f t="array" ref="O5404">+_xlfn.SWITCH(MONTH(C5404),1,1,2,1,3,1,4,2,5,2,6,3,7,3,8,3,9,3,10,2,11,2,12,1,2)</f>
        <v>1</v>
      </c>
      <c r="P5404" s="43"/>
    </row>
    <row r="5405" spans="1:16" ht="18" x14ac:dyDescent="0.35">
      <c r="A5405" s="9"/>
      <c r="C5405" s="393"/>
      <c r="E5405" s="394"/>
      <c r="F5405" s="394">
        <v>0.42299999999999999</v>
      </c>
      <c r="G5405" s="394"/>
      <c r="H5405" s="8" t="s">
        <v>235</v>
      </c>
      <c r="I5405" s="368">
        <f t="shared" si="253"/>
        <v>0</v>
      </c>
      <c r="J5405" s="365">
        <f t="shared" si="252"/>
        <v>0</v>
      </c>
      <c r="K5405" s="369">
        <f t="shared" si="254"/>
        <v>6</v>
      </c>
      <c r="L5405" s="369">
        <f>+IF((C5405&gt;='Resultats - informe'!$E$16)*(C5405&lt;='Resultats - informe'!$G$16),1,0)</f>
        <v>1</v>
      </c>
      <c r="M5405" s="369" cm="1">
        <f t="array" ref="M5405">+_xlfn.IFS((C5405&gt;='Resultats - informe'!$D$26)*(C5405&lt;='Resultats - informe'!$E$26),0,(C5405&gt;='Resultats - informe'!$D$27)*(C5405&lt;='Resultats - informe'!$E$27),0,(C5405&gt;='Resultats - informe'!$D$28)*(C5405&lt;='Resultats - informe'!$E$28),0,(C5405&gt;='Resultats - informe'!$D$29)*(C5405&lt;='Resultats - informe'!$E$29),0,1,1)</f>
        <v>0</v>
      </c>
      <c r="N5405" s="366">
        <f>+VLOOKUP(D5405,'Resultats - informe'!$Y$18:$AG$42,'Introducció dades consum'!K5405+1,0)</f>
        <v>0</v>
      </c>
      <c r="O5405" s="370" cm="1">
        <f t="array" ref="O5405">+_xlfn.SWITCH(MONTH(C5405),1,1,2,1,3,1,4,2,5,2,6,3,7,3,8,3,9,3,10,2,11,2,12,1,2)</f>
        <v>1</v>
      </c>
      <c r="P5405" s="43"/>
    </row>
    <row r="5406" spans="1:16" ht="18" x14ac:dyDescent="0.35">
      <c r="A5406" s="9"/>
      <c r="C5406" s="393"/>
      <c r="E5406" s="394"/>
      <c r="F5406" s="394">
        <v>0.42499999999999999</v>
      </c>
      <c r="G5406" s="394"/>
      <c r="H5406" s="8" t="s">
        <v>235</v>
      </c>
      <c r="I5406" s="368">
        <f t="shared" si="253"/>
        <v>0</v>
      </c>
      <c r="J5406" s="365">
        <f t="shared" si="252"/>
        <v>0</v>
      </c>
      <c r="K5406" s="369">
        <f t="shared" si="254"/>
        <v>6</v>
      </c>
      <c r="L5406" s="369">
        <f>+IF((C5406&gt;='Resultats - informe'!$E$16)*(C5406&lt;='Resultats - informe'!$G$16),1,0)</f>
        <v>1</v>
      </c>
      <c r="M5406" s="369" cm="1">
        <f t="array" ref="M5406">+_xlfn.IFS((C5406&gt;='Resultats - informe'!$D$26)*(C5406&lt;='Resultats - informe'!$E$26),0,(C5406&gt;='Resultats - informe'!$D$27)*(C5406&lt;='Resultats - informe'!$E$27),0,(C5406&gt;='Resultats - informe'!$D$28)*(C5406&lt;='Resultats - informe'!$E$28),0,(C5406&gt;='Resultats - informe'!$D$29)*(C5406&lt;='Resultats - informe'!$E$29),0,1,1)</f>
        <v>0</v>
      </c>
      <c r="N5406" s="366">
        <f>+VLOOKUP(D5406,'Resultats - informe'!$Y$18:$AG$42,'Introducció dades consum'!K5406+1,0)</f>
        <v>0</v>
      </c>
      <c r="O5406" s="370" cm="1">
        <f t="array" ref="O5406">+_xlfn.SWITCH(MONTH(C5406),1,1,2,1,3,1,4,2,5,2,6,3,7,3,8,3,9,3,10,2,11,2,12,1,2)</f>
        <v>1</v>
      </c>
      <c r="P5406" s="43"/>
    </row>
    <row r="5407" spans="1:16" ht="18" x14ac:dyDescent="0.35">
      <c r="A5407" s="9"/>
      <c r="C5407" s="393"/>
      <c r="E5407" s="394"/>
      <c r="F5407" s="394">
        <v>0.42599999999999999</v>
      </c>
      <c r="G5407" s="394"/>
      <c r="H5407" s="8" t="s">
        <v>235</v>
      </c>
      <c r="I5407" s="368">
        <f t="shared" si="253"/>
        <v>0</v>
      </c>
      <c r="J5407" s="365">
        <f t="shared" si="252"/>
        <v>0</v>
      </c>
      <c r="K5407" s="369">
        <f t="shared" si="254"/>
        <v>6</v>
      </c>
      <c r="L5407" s="369">
        <f>+IF((C5407&gt;='Resultats - informe'!$E$16)*(C5407&lt;='Resultats - informe'!$G$16),1,0)</f>
        <v>1</v>
      </c>
      <c r="M5407" s="369" cm="1">
        <f t="array" ref="M5407">+_xlfn.IFS((C5407&gt;='Resultats - informe'!$D$26)*(C5407&lt;='Resultats - informe'!$E$26),0,(C5407&gt;='Resultats - informe'!$D$27)*(C5407&lt;='Resultats - informe'!$E$27),0,(C5407&gt;='Resultats - informe'!$D$28)*(C5407&lt;='Resultats - informe'!$E$28),0,(C5407&gt;='Resultats - informe'!$D$29)*(C5407&lt;='Resultats - informe'!$E$29),0,1,1)</f>
        <v>0</v>
      </c>
      <c r="N5407" s="366">
        <f>+VLOOKUP(D5407,'Resultats - informe'!$Y$18:$AG$42,'Introducció dades consum'!K5407+1,0)</f>
        <v>0</v>
      </c>
      <c r="O5407" s="370" cm="1">
        <f t="array" ref="O5407">+_xlfn.SWITCH(MONTH(C5407),1,1,2,1,3,1,4,2,5,2,6,3,7,3,8,3,9,3,10,2,11,2,12,1,2)</f>
        <v>1</v>
      </c>
      <c r="P5407" s="43"/>
    </row>
    <row r="5408" spans="1:16" ht="18" x14ac:dyDescent="0.35">
      <c r="A5408" s="9"/>
      <c r="C5408" s="393"/>
      <c r="E5408" s="394"/>
      <c r="F5408" s="394">
        <v>0.42599999999999999</v>
      </c>
      <c r="G5408" s="394"/>
      <c r="H5408" s="8" t="s">
        <v>235</v>
      </c>
      <c r="I5408" s="368">
        <f t="shared" si="253"/>
        <v>0</v>
      </c>
      <c r="J5408" s="365">
        <f t="shared" si="252"/>
        <v>0</v>
      </c>
      <c r="K5408" s="369">
        <f t="shared" si="254"/>
        <v>6</v>
      </c>
      <c r="L5408" s="369">
        <f>+IF((C5408&gt;='Resultats - informe'!$E$16)*(C5408&lt;='Resultats - informe'!$G$16),1,0)</f>
        <v>1</v>
      </c>
      <c r="M5408" s="369" cm="1">
        <f t="array" ref="M5408">+_xlfn.IFS((C5408&gt;='Resultats - informe'!$D$26)*(C5408&lt;='Resultats - informe'!$E$26),0,(C5408&gt;='Resultats - informe'!$D$27)*(C5408&lt;='Resultats - informe'!$E$27),0,(C5408&gt;='Resultats - informe'!$D$28)*(C5408&lt;='Resultats - informe'!$E$28),0,(C5408&gt;='Resultats - informe'!$D$29)*(C5408&lt;='Resultats - informe'!$E$29),0,1,1)</f>
        <v>0</v>
      </c>
      <c r="N5408" s="366">
        <f>+VLOOKUP(D5408,'Resultats - informe'!$Y$18:$AG$42,'Introducció dades consum'!K5408+1,0)</f>
        <v>0</v>
      </c>
      <c r="O5408" s="370" cm="1">
        <f t="array" ref="O5408">+_xlfn.SWITCH(MONTH(C5408),1,1,2,1,3,1,4,2,5,2,6,3,7,3,8,3,9,3,10,2,11,2,12,1,2)</f>
        <v>1</v>
      </c>
      <c r="P5408" s="43"/>
    </row>
    <row r="5409" spans="1:16" ht="18" x14ac:dyDescent="0.35">
      <c r="A5409" s="9"/>
      <c r="C5409" s="393"/>
      <c r="E5409" s="394"/>
      <c r="F5409" s="394">
        <v>0.42599999999999999</v>
      </c>
      <c r="G5409" s="394"/>
      <c r="H5409" s="8" t="s">
        <v>235</v>
      </c>
      <c r="I5409" s="368">
        <f t="shared" si="253"/>
        <v>0</v>
      </c>
      <c r="J5409" s="365">
        <f t="shared" si="252"/>
        <v>0</v>
      </c>
      <c r="K5409" s="369">
        <f t="shared" si="254"/>
        <v>6</v>
      </c>
      <c r="L5409" s="369">
        <f>+IF((C5409&gt;='Resultats - informe'!$E$16)*(C5409&lt;='Resultats - informe'!$G$16),1,0)</f>
        <v>1</v>
      </c>
      <c r="M5409" s="369" cm="1">
        <f t="array" ref="M5409">+_xlfn.IFS((C5409&gt;='Resultats - informe'!$D$26)*(C5409&lt;='Resultats - informe'!$E$26),0,(C5409&gt;='Resultats - informe'!$D$27)*(C5409&lt;='Resultats - informe'!$E$27),0,(C5409&gt;='Resultats - informe'!$D$28)*(C5409&lt;='Resultats - informe'!$E$28),0,(C5409&gt;='Resultats - informe'!$D$29)*(C5409&lt;='Resultats - informe'!$E$29),0,1,1)</f>
        <v>0</v>
      </c>
      <c r="N5409" s="366">
        <f>+VLOOKUP(D5409,'Resultats - informe'!$Y$18:$AG$42,'Introducció dades consum'!K5409+1,0)</f>
        <v>0</v>
      </c>
      <c r="O5409" s="370" cm="1">
        <f t="array" ref="O5409">+_xlfn.SWITCH(MONTH(C5409),1,1,2,1,3,1,4,2,5,2,6,3,7,3,8,3,9,3,10,2,11,2,12,1,2)</f>
        <v>1</v>
      </c>
      <c r="P5409" s="43"/>
    </row>
    <row r="5410" spans="1:16" ht="18" x14ac:dyDescent="0.35">
      <c r="A5410" s="9"/>
      <c r="C5410" s="393"/>
      <c r="E5410" s="394"/>
      <c r="F5410" s="394">
        <v>0.42799999999999999</v>
      </c>
      <c r="G5410" s="394"/>
      <c r="H5410" s="8" t="s">
        <v>235</v>
      </c>
      <c r="I5410" s="368">
        <f t="shared" si="253"/>
        <v>0</v>
      </c>
      <c r="J5410" s="365">
        <f t="shared" si="252"/>
        <v>0</v>
      </c>
      <c r="K5410" s="369">
        <f t="shared" si="254"/>
        <v>6</v>
      </c>
      <c r="L5410" s="369">
        <f>+IF((C5410&gt;='Resultats - informe'!$E$16)*(C5410&lt;='Resultats - informe'!$G$16),1,0)</f>
        <v>1</v>
      </c>
      <c r="M5410" s="369" cm="1">
        <f t="array" ref="M5410">+_xlfn.IFS((C5410&gt;='Resultats - informe'!$D$26)*(C5410&lt;='Resultats - informe'!$E$26),0,(C5410&gt;='Resultats - informe'!$D$27)*(C5410&lt;='Resultats - informe'!$E$27),0,(C5410&gt;='Resultats - informe'!$D$28)*(C5410&lt;='Resultats - informe'!$E$28),0,(C5410&gt;='Resultats - informe'!$D$29)*(C5410&lt;='Resultats - informe'!$E$29),0,1,1)</f>
        <v>0</v>
      </c>
      <c r="N5410" s="366">
        <f>+VLOOKUP(D5410,'Resultats - informe'!$Y$18:$AG$42,'Introducció dades consum'!K5410+1,0)</f>
        <v>0</v>
      </c>
      <c r="O5410" s="370" cm="1">
        <f t="array" ref="O5410">+_xlfn.SWITCH(MONTH(C5410),1,1,2,1,3,1,4,2,5,2,6,3,7,3,8,3,9,3,10,2,11,2,12,1,2)</f>
        <v>1</v>
      </c>
      <c r="P5410" s="43"/>
    </row>
    <row r="5411" spans="1:16" ht="18" x14ac:dyDescent="0.35">
      <c r="A5411" s="9"/>
      <c r="C5411" s="393"/>
      <c r="E5411" s="394"/>
      <c r="F5411" s="394">
        <v>0.41599999999999998</v>
      </c>
      <c r="G5411" s="394"/>
      <c r="H5411" s="8" t="s">
        <v>235</v>
      </c>
      <c r="I5411" s="368">
        <f t="shared" si="253"/>
        <v>0</v>
      </c>
      <c r="J5411" s="365">
        <f t="shared" si="252"/>
        <v>0</v>
      </c>
      <c r="K5411" s="369">
        <f t="shared" si="254"/>
        <v>6</v>
      </c>
      <c r="L5411" s="369">
        <f>+IF((C5411&gt;='Resultats - informe'!$E$16)*(C5411&lt;='Resultats - informe'!$G$16),1,0)</f>
        <v>1</v>
      </c>
      <c r="M5411" s="369" cm="1">
        <f t="array" ref="M5411">+_xlfn.IFS((C5411&gt;='Resultats - informe'!$D$26)*(C5411&lt;='Resultats - informe'!$E$26),0,(C5411&gt;='Resultats - informe'!$D$27)*(C5411&lt;='Resultats - informe'!$E$27),0,(C5411&gt;='Resultats - informe'!$D$28)*(C5411&lt;='Resultats - informe'!$E$28),0,(C5411&gt;='Resultats - informe'!$D$29)*(C5411&lt;='Resultats - informe'!$E$29),0,1,1)</f>
        <v>0</v>
      </c>
      <c r="N5411" s="366">
        <f>+VLOOKUP(D5411,'Resultats - informe'!$Y$18:$AG$42,'Introducció dades consum'!K5411+1,0)</f>
        <v>0</v>
      </c>
      <c r="O5411" s="370" cm="1">
        <f t="array" ref="O5411">+_xlfn.SWITCH(MONTH(C5411),1,1,2,1,3,1,4,2,5,2,6,3,7,3,8,3,9,3,10,2,11,2,12,1,2)</f>
        <v>1</v>
      </c>
      <c r="P5411" s="43"/>
    </row>
    <row r="5412" spans="1:16" ht="18" x14ac:dyDescent="0.35">
      <c r="A5412" s="9"/>
      <c r="C5412" s="393"/>
      <c r="E5412" s="394"/>
      <c r="F5412" s="394">
        <v>1.2869999999999999</v>
      </c>
      <c r="G5412" s="394"/>
      <c r="H5412" s="8" t="s">
        <v>235</v>
      </c>
      <c r="I5412" s="368">
        <f t="shared" si="253"/>
        <v>0</v>
      </c>
      <c r="J5412" s="365">
        <f t="shared" si="252"/>
        <v>0</v>
      </c>
      <c r="K5412" s="369">
        <f t="shared" si="254"/>
        <v>6</v>
      </c>
      <c r="L5412" s="369">
        <f>+IF((C5412&gt;='Resultats - informe'!$E$16)*(C5412&lt;='Resultats - informe'!$G$16),1,0)</f>
        <v>1</v>
      </c>
      <c r="M5412" s="369" cm="1">
        <f t="array" ref="M5412">+_xlfn.IFS((C5412&gt;='Resultats - informe'!$D$26)*(C5412&lt;='Resultats - informe'!$E$26),0,(C5412&gt;='Resultats - informe'!$D$27)*(C5412&lt;='Resultats - informe'!$E$27),0,(C5412&gt;='Resultats - informe'!$D$28)*(C5412&lt;='Resultats - informe'!$E$28),0,(C5412&gt;='Resultats - informe'!$D$29)*(C5412&lt;='Resultats - informe'!$E$29),0,1,1)</f>
        <v>0</v>
      </c>
      <c r="N5412" s="366">
        <f>+VLOOKUP(D5412,'Resultats - informe'!$Y$18:$AG$42,'Introducció dades consum'!K5412+1,0)</f>
        <v>0</v>
      </c>
      <c r="O5412" s="370" cm="1">
        <f t="array" ref="O5412">+_xlfn.SWITCH(MONTH(C5412),1,1,2,1,3,1,4,2,5,2,6,3,7,3,8,3,9,3,10,2,11,2,12,1,2)</f>
        <v>1</v>
      </c>
      <c r="P5412" s="43"/>
    </row>
    <row r="5413" spans="1:16" ht="18" x14ac:dyDescent="0.35">
      <c r="A5413" s="9"/>
      <c r="C5413" s="393"/>
      <c r="E5413" s="394"/>
      <c r="F5413" s="394">
        <v>1.2430000000000001</v>
      </c>
      <c r="G5413" s="394"/>
      <c r="H5413" s="8" t="s">
        <v>235</v>
      </c>
      <c r="I5413" s="368">
        <f t="shared" si="253"/>
        <v>0</v>
      </c>
      <c r="J5413" s="365">
        <f t="shared" si="252"/>
        <v>0</v>
      </c>
      <c r="K5413" s="369">
        <f t="shared" si="254"/>
        <v>6</v>
      </c>
      <c r="L5413" s="369">
        <f>+IF((C5413&gt;='Resultats - informe'!$E$16)*(C5413&lt;='Resultats - informe'!$G$16),1,0)</f>
        <v>1</v>
      </c>
      <c r="M5413" s="369" cm="1">
        <f t="array" ref="M5413">+_xlfn.IFS((C5413&gt;='Resultats - informe'!$D$26)*(C5413&lt;='Resultats - informe'!$E$26),0,(C5413&gt;='Resultats - informe'!$D$27)*(C5413&lt;='Resultats - informe'!$E$27),0,(C5413&gt;='Resultats - informe'!$D$28)*(C5413&lt;='Resultats - informe'!$E$28),0,(C5413&gt;='Resultats - informe'!$D$29)*(C5413&lt;='Resultats - informe'!$E$29),0,1,1)</f>
        <v>0</v>
      </c>
      <c r="N5413" s="366">
        <f>+VLOOKUP(D5413,'Resultats - informe'!$Y$18:$AG$42,'Introducció dades consum'!K5413+1,0)</f>
        <v>0</v>
      </c>
      <c r="O5413" s="370" cm="1">
        <f t="array" ref="O5413">+_xlfn.SWITCH(MONTH(C5413),1,1,2,1,3,1,4,2,5,2,6,3,7,3,8,3,9,3,10,2,11,2,12,1,2)</f>
        <v>1</v>
      </c>
      <c r="P5413" s="43"/>
    </row>
    <row r="5414" spans="1:16" ht="18" x14ac:dyDescent="0.35">
      <c r="A5414" s="9"/>
      <c r="C5414" s="393"/>
      <c r="E5414" s="394"/>
      <c r="F5414" s="394">
        <v>1.97</v>
      </c>
      <c r="G5414" s="394"/>
      <c r="H5414" s="8" t="s">
        <v>235</v>
      </c>
      <c r="I5414" s="368">
        <f t="shared" si="253"/>
        <v>0</v>
      </c>
      <c r="J5414" s="365">
        <f t="shared" si="252"/>
        <v>0</v>
      </c>
      <c r="K5414" s="369">
        <f t="shared" si="254"/>
        <v>6</v>
      </c>
      <c r="L5414" s="369">
        <f>+IF((C5414&gt;='Resultats - informe'!$E$16)*(C5414&lt;='Resultats - informe'!$G$16),1,0)</f>
        <v>1</v>
      </c>
      <c r="M5414" s="369" cm="1">
        <f t="array" ref="M5414">+_xlfn.IFS((C5414&gt;='Resultats - informe'!$D$26)*(C5414&lt;='Resultats - informe'!$E$26),0,(C5414&gt;='Resultats - informe'!$D$27)*(C5414&lt;='Resultats - informe'!$E$27),0,(C5414&gt;='Resultats - informe'!$D$28)*(C5414&lt;='Resultats - informe'!$E$28),0,(C5414&gt;='Resultats - informe'!$D$29)*(C5414&lt;='Resultats - informe'!$E$29),0,1,1)</f>
        <v>0</v>
      </c>
      <c r="N5414" s="366">
        <f>+VLOOKUP(D5414,'Resultats - informe'!$Y$18:$AG$42,'Introducció dades consum'!K5414+1,0)</f>
        <v>0</v>
      </c>
      <c r="O5414" s="370" cm="1">
        <f t="array" ref="O5414">+_xlfn.SWITCH(MONTH(C5414),1,1,2,1,3,1,4,2,5,2,6,3,7,3,8,3,9,3,10,2,11,2,12,1,2)</f>
        <v>1</v>
      </c>
      <c r="P5414" s="43"/>
    </row>
    <row r="5415" spans="1:16" ht="18" x14ac:dyDescent="0.35">
      <c r="A5415" s="9"/>
      <c r="C5415" s="393"/>
      <c r="E5415" s="394"/>
      <c r="F5415" s="394">
        <v>1.9830000000000001</v>
      </c>
      <c r="G5415" s="394"/>
      <c r="H5415" s="8" t="s">
        <v>235</v>
      </c>
      <c r="I5415" s="368">
        <f t="shared" si="253"/>
        <v>0</v>
      </c>
      <c r="J5415" s="365">
        <f t="shared" si="252"/>
        <v>0</v>
      </c>
      <c r="K5415" s="369">
        <f t="shared" si="254"/>
        <v>6</v>
      </c>
      <c r="L5415" s="369">
        <f>+IF((C5415&gt;='Resultats - informe'!$E$16)*(C5415&lt;='Resultats - informe'!$G$16),1,0)</f>
        <v>1</v>
      </c>
      <c r="M5415" s="369" cm="1">
        <f t="array" ref="M5415">+_xlfn.IFS((C5415&gt;='Resultats - informe'!$D$26)*(C5415&lt;='Resultats - informe'!$E$26),0,(C5415&gt;='Resultats - informe'!$D$27)*(C5415&lt;='Resultats - informe'!$E$27),0,(C5415&gt;='Resultats - informe'!$D$28)*(C5415&lt;='Resultats - informe'!$E$28),0,(C5415&gt;='Resultats - informe'!$D$29)*(C5415&lt;='Resultats - informe'!$E$29),0,1,1)</f>
        <v>0</v>
      </c>
      <c r="N5415" s="366">
        <f>+VLOOKUP(D5415,'Resultats - informe'!$Y$18:$AG$42,'Introducció dades consum'!K5415+1,0)</f>
        <v>0</v>
      </c>
      <c r="O5415" s="370" cm="1">
        <f t="array" ref="O5415">+_xlfn.SWITCH(MONTH(C5415),1,1,2,1,3,1,4,2,5,2,6,3,7,3,8,3,9,3,10,2,11,2,12,1,2)</f>
        <v>1</v>
      </c>
      <c r="P5415" s="43"/>
    </row>
    <row r="5416" spans="1:16" ht="18" x14ac:dyDescent="0.35">
      <c r="A5416" s="9"/>
      <c r="C5416" s="393"/>
      <c r="E5416" s="394"/>
      <c r="F5416" s="394">
        <v>1.9870000000000001</v>
      </c>
      <c r="G5416" s="394"/>
      <c r="H5416" s="8" t="s">
        <v>235</v>
      </c>
      <c r="I5416" s="368">
        <f t="shared" si="253"/>
        <v>0</v>
      </c>
      <c r="J5416" s="365">
        <f t="shared" si="252"/>
        <v>0</v>
      </c>
      <c r="K5416" s="369">
        <f t="shared" si="254"/>
        <v>6</v>
      </c>
      <c r="L5416" s="369">
        <f>+IF((C5416&gt;='Resultats - informe'!$E$16)*(C5416&lt;='Resultats - informe'!$G$16),1,0)</f>
        <v>1</v>
      </c>
      <c r="M5416" s="369" cm="1">
        <f t="array" ref="M5416">+_xlfn.IFS((C5416&gt;='Resultats - informe'!$D$26)*(C5416&lt;='Resultats - informe'!$E$26),0,(C5416&gt;='Resultats - informe'!$D$27)*(C5416&lt;='Resultats - informe'!$E$27),0,(C5416&gt;='Resultats - informe'!$D$28)*(C5416&lt;='Resultats - informe'!$E$28),0,(C5416&gt;='Resultats - informe'!$D$29)*(C5416&lt;='Resultats - informe'!$E$29),0,1,1)</f>
        <v>0</v>
      </c>
      <c r="N5416" s="366">
        <f>+VLOOKUP(D5416,'Resultats - informe'!$Y$18:$AG$42,'Introducció dades consum'!K5416+1,0)</f>
        <v>0</v>
      </c>
      <c r="O5416" s="370" cm="1">
        <f t="array" ref="O5416">+_xlfn.SWITCH(MONTH(C5416),1,1,2,1,3,1,4,2,5,2,6,3,7,3,8,3,9,3,10,2,11,2,12,1,2)</f>
        <v>1</v>
      </c>
      <c r="P5416" s="43"/>
    </row>
    <row r="5417" spans="1:16" ht="18" x14ac:dyDescent="0.35">
      <c r="A5417" s="9"/>
      <c r="C5417" s="393"/>
      <c r="E5417" s="394"/>
      <c r="F5417" s="394">
        <v>1.5629999999999999</v>
      </c>
      <c r="G5417" s="394"/>
      <c r="H5417" s="8" t="s">
        <v>235</v>
      </c>
      <c r="I5417" s="368">
        <f t="shared" si="253"/>
        <v>0</v>
      </c>
      <c r="J5417" s="365">
        <f t="shared" si="252"/>
        <v>0</v>
      </c>
      <c r="K5417" s="369">
        <f t="shared" si="254"/>
        <v>6</v>
      </c>
      <c r="L5417" s="369">
        <f>+IF((C5417&gt;='Resultats - informe'!$E$16)*(C5417&lt;='Resultats - informe'!$G$16),1,0)</f>
        <v>1</v>
      </c>
      <c r="M5417" s="369" cm="1">
        <f t="array" ref="M5417">+_xlfn.IFS((C5417&gt;='Resultats - informe'!$D$26)*(C5417&lt;='Resultats - informe'!$E$26),0,(C5417&gt;='Resultats - informe'!$D$27)*(C5417&lt;='Resultats - informe'!$E$27),0,(C5417&gt;='Resultats - informe'!$D$28)*(C5417&lt;='Resultats - informe'!$E$28),0,(C5417&gt;='Resultats - informe'!$D$29)*(C5417&lt;='Resultats - informe'!$E$29),0,1,1)</f>
        <v>0</v>
      </c>
      <c r="N5417" s="366">
        <f>+VLOOKUP(D5417,'Resultats - informe'!$Y$18:$AG$42,'Introducció dades consum'!K5417+1,0)</f>
        <v>0</v>
      </c>
      <c r="O5417" s="370" cm="1">
        <f t="array" ref="O5417">+_xlfn.SWITCH(MONTH(C5417),1,1,2,1,3,1,4,2,5,2,6,3,7,3,8,3,9,3,10,2,11,2,12,1,2)</f>
        <v>1</v>
      </c>
      <c r="P5417" s="43"/>
    </row>
    <row r="5418" spans="1:16" ht="18" x14ac:dyDescent="0.35">
      <c r="A5418" s="9"/>
      <c r="C5418" s="393"/>
      <c r="E5418" s="394"/>
      <c r="F5418" s="394">
        <v>0.59399999999999997</v>
      </c>
      <c r="G5418" s="394"/>
      <c r="H5418" s="8" t="s">
        <v>235</v>
      </c>
      <c r="I5418" s="368">
        <f t="shared" si="253"/>
        <v>0</v>
      </c>
      <c r="J5418" s="365">
        <f t="shared" si="252"/>
        <v>0</v>
      </c>
      <c r="K5418" s="369">
        <f t="shared" si="254"/>
        <v>6</v>
      </c>
      <c r="L5418" s="369">
        <f>+IF((C5418&gt;='Resultats - informe'!$E$16)*(C5418&lt;='Resultats - informe'!$G$16),1,0)</f>
        <v>1</v>
      </c>
      <c r="M5418" s="369" cm="1">
        <f t="array" ref="M5418">+_xlfn.IFS((C5418&gt;='Resultats - informe'!$D$26)*(C5418&lt;='Resultats - informe'!$E$26),0,(C5418&gt;='Resultats - informe'!$D$27)*(C5418&lt;='Resultats - informe'!$E$27),0,(C5418&gt;='Resultats - informe'!$D$28)*(C5418&lt;='Resultats - informe'!$E$28),0,(C5418&gt;='Resultats - informe'!$D$29)*(C5418&lt;='Resultats - informe'!$E$29),0,1,1)</f>
        <v>0</v>
      </c>
      <c r="N5418" s="366">
        <f>+VLOOKUP(D5418,'Resultats - informe'!$Y$18:$AG$42,'Introducció dades consum'!K5418+1,0)</f>
        <v>0</v>
      </c>
      <c r="O5418" s="370" cm="1">
        <f t="array" ref="O5418">+_xlfn.SWITCH(MONTH(C5418),1,1,2,1,3,1,4,2,5,2,6,3,7,3,8,3,9,3,10,2,11,2,12,1,2)</f>
        <v>1</v>
      </c>
      <c r="P5418" s="43"/>
    </row>
    <row r="5419" spans="1:16" ht="18" x14ac:dyDescent="0.35">
      <c r="A5419" s="9"/>
      <c r="C5419" s="393"/>
      <c r="E5419" s="394"/>
      <c r="F5419" s="394">
        <v>1.7569999999999999</v>
      </c>
      <c r="G5419" s="394"/>
      <c r="H5419" s="8" t="s">
        <v>235</v>
      </c>
      <c r="I5419" s="368">
        <f t="shared" si="253"/>
        <v>0</v>
      </c>
      <c r="J5419" s="365">
        <f t="shared" si="252"/>
        <v>0</v>
      </c>
      <c r="K5419" s="369">
        <f t="shared" si="254"/>
        <v>6</v>
      </c>
      <c r="L5419" s="369">
        <f>+IF((C5419&gt;='Resultats - informe'!$E$16)*(C5419&lt;='Resultats - informe'!$G$16),1,0)</f>
        <v>1</v>
      </c>
      <c r="M5419" s="369" cm="1">
        <f t="array" ref="M5419">+_xlfn.IFS((C5419&gt;='Resultats - informe'!$D$26)*(C5419&lt;='Resultats - informe'!$E$26),0,(C5419&gt;='Resultats - informe'!$D$27)*(C5419&lt;='Resultats - informe'!$E$27),0,(C5419&gt;='Resultats - informe'!$D$28)*(C5419&lt;='Resultats - informe'!$E$28),0,(C5419&gt;='Resultats - informe'!$D$29)*(C5419&lt;='Resultats - informe'!$E$29),0,1,1)</f>
        <v>0</v>
      </c>
      <c r="N5419" s="366">
        <f>+VLOOKUP(D5419,'Resultats - informe'!$Y$18:$AG$42,'Introducció dades consum'!K5419+1,0)</f>
        <v>0</v>
      </c>
      <c r="O5419" s="370" cm="1">
        <f t="array" ref="O5419">+_xlfn.SWITCH(MONTH(C5419),1,1,2,1,3,1,4,2,5,2,6,3,7,3,8,3,9,3,10,2,11,2,12,1,2)</f>
        <v>1</v>
      </c>
      <c r="P5419" s="43"/>
    </row>
    <row r="5420" spans="1:16" ht="18" x14ac:dyDescent="0.35">
      <c r="A5420" s="9"/>
      <c r="C5420" s="393"/>
      <c r="E5420" s="394"/>
      <c r="F5420" s="394">
        <v>1.7929999999999999</v>
      </c>
      <c r="G5420" s="394"/>
      <c r="H5420" s="8" t="s">
        <v>235</v>
      </c>
      <c r="I5420" s="368">
        <f t="shared" si="253"/>
        <v>0</v>
      </c>
      <c r="J5420" s="365">
        <f t="shared" si="252"/>
        <v>0</v>
      </c>
      <c r="K5420" s="369">
        <f t="shared" si="254"/>
        <v>6</v>
      </c>
      <c r="L5420" s="369">
        <f>+IF((C5420&gt;='Resultats - informe'!$E$16)*(C5420&lt;='Resultats - informe'!$G$16),1,0)</f>
        <v>1</v>
      </c>
      <c r="M5420" s="369" cm="1">
        <f t="array" ref="M5420">+_xlfn.IFS((C5420&gt;='Resultats - informe'!$D$26)*(C5420&lt;='Resultats - informe'!$E$26),0,(C5420&gt;='Resultats - informe'!$D$27)*(C5420&lt;='Resultats - informe'!$E$27),0,(C5420&gt;='Resultats - informe'!$D$28)*(C5420&lt;='Resultats - informe'!$E$28),0,(C5420&gt;='Resultats - informe'!$D$29)*(C5420&lt;='Resultats - informe'!$E$29),0,1,1)</f>
        <v>0</v>
      </c>
      <c r="N5420" s="366">
        <f>+VLOOKUP(D5420,'Resultats - informe'!$Y$18:$AG$42,'Introducció dades consum'!K5420+1,0)</f>
        <v>0</v>
      </c>
      <c r="O5420" s="370" cm="1">
        <f t="array" ref="O5420">+_xlfn.SWITCH(MONTH(C5420),1,1,2,1,3,1,4,2,5,2,6,3,7,3,8,3,9,3,10,2,11,2,12,1,2)</f>
        <v>1</v>
      </c>
      <c r="P5420" s="43"/>
    </row>
    <row r="5421" spans="1:16" ht="18" x14ac:dyDescent="0.35">
      <c r="A5421" s="9"/>
      <c r="C5421" s="393"/>
      <c r="E5421" s="394"/>
      <c r="F5421" s="394">
        <v>1.7150000000000001</v>
      </c>
      <c r="G5421" s="394"/>
      <c r="H5421" s="8" t="s">
        <v>235</v>
      </c>
      <c r="I5421" s="368">
        <f t="shared" si="253"/>
        <v>0</v>
      </c>
      <c r="J5421" s="365">
        <f t="shared" si="252"/>
        <v>0</v>
      </c>
      <c r="K5421" s="369">
        <f t="shared" si="254"/>
        <v>6</v>
      </c>
      <c r="L5421" s="369">
        <f>+IF((C5421&gt;='Resultats - informe'!$E$16)*(C5421&lt;='Resultats - informe'!$G$16),1,0)</f>
        <v>1</v>
      </c>
      <c r="M5421" s="369" cm="1">
        <f t="array" ref="M5421">+_xlfn.IFS((C5421&gt;='Resultats - informe'!$D$26)*(C5421&lt;='Resultats - informe'!$E$26),0,(C5421&gt;='Resultats - informe'!$D$27)*(C5421&lt;='Resultats - informe'!$E$27),0,(C5421&gt;='Resultats - informe'!$D$28)*(C5421&lt;='Resultats - informe'!$E$28),0,(C5421&gt;='Resultats - informe'!$D$29)*(C5421&lt;='Resultats - informe'!$E$29),0,1,1)</f>
        <v>0</v>
      </c>
      <c r="N5421" s="366">
        <f>+VLOOKUP(D5421,'Resultats - informe'!$Y$18:$AG$42,'Introducció dades consum'!K5421+1,0)</f>
        <v>0</v>
      </c>
      <c r="O5421" s="370" cm="1">
        <f t="array" ref="O5421">+_xlfn.SWITCH(MONTH(C5421),1,1,2,1,3,1,4,2,5,2,6,3,7,3,8,3,9,3,10,2,11,2,12,1,2)</f>
        <v>1</v>
      </c>
      <c r="P5421" s="43"/>
    </row>
    <row r="5422" spans="1:16" ht="18" x14ac:dyDescent="0.35">
      <c r="A5422" s="9"/>
      <c r="C5422" s="393"/>
      <c r="E5422" s="394"/>
      <c r="F5422" s="394">
        <v>2.5350000000000001</v>
      </c>
      <c r="G5422" s="394"/>
      <c r="H5422" s="8" t="s">
        <v>235</v>
      </c>
      <c r="I5422" s="368">
        <f t="shared" si="253"/>
        <v>0</v>
      </c>
      <c r="J5422" s="365">
        <f t="shared" si="252"/>
        <v>0</v>
      </c>
      <c r="K5422" s="369">
        <f t="shared" si="254"/>
        <v>6</v>
      </c>
      <c r="L5422" s="369">
        <f>+IF((C5422&gt;='Resultats - informe'!$E$16)*(C5422&lt;='Resultats - informe'!$G$16),1,0)</f>
        <v>1</v>
      </c>
      <c r="M5422" s="369" cm="1">
        <f t="array" ref="M5422">+_xlfn.IFS((C5422&gt;='Resultats - informe'!$D$26)*(C5422&lt;='Resultats - informe'!$E$26),0,(C5422&gt;='Resultats - informe'!$D$27)*(C5422&lt;='Resultats - informe'!$E$27),0,(C5422&gt;='Resultats - informe'!$D$28)*(C5422&lt;='Resultats - informe'!$E$28),0,(C5422&gt;='Resultats - informe'!$D$29)*(C5422&lt;='Resultats - informe'!$E$29),0,1,1)</f>
        <v>0</v>
      </c>
      <c r="N5422" s="366">
        <f>+VLOOKUP(D5422,'Resultats - informe'!$Y$18:$AG$42,'Introducció dades consum'!K5422+1,0)</f>
        <v>0</v>
      </c>
      <c r="O5422" s="370" cm="1">
        <f t="array" ref="O5422">+_xlfn.SWITCH(MONTH(C5422),1,1,2,1,3,1,4,2,5,2,6,3,7,3,8,3,9,3,10,2,11,2,12,1,2)</f>
        <v>1</v>
      </c>
      <c r="P5422" s="43"/>
    </row>
    <row r="5423" spans="1:16" ht="18" x14ac:dyDescent="0.35">
      <c r="A5423" s="9"/>
      <c r="C5423" s="393"/>
      <c r="E5423" s="394"/>
      <c r="F5423" s="394">
        <v>2.5790000000000002</v>
      </c>
      <c r="G5423" s="394"/>
      <c r="H5423" s="8" t="s">
        <v>235</v>
      </c>
      <c r="I5423" s="368">
        <f t="shared" si="253"/>
        <v>0</v>
      </c>
      <c r="J5423" s="365">
        <f t="shared" si="252"/>
        <v>0</v>
      </c>
      <c r="K5423" s="369">
        <f t="shared" si="254"/>
        <v>6</v>
      </c>
      <c r="L5423" s="369">
        <f>+IF((C5423&gt;='Resultats - informe'!$E$16)*(C5423&lt;='Resultats - informe'!$G$16),1,0)</f>
        <v>1</v>
      </c>
      <c r="M5423" s="369" cm="1">
        <f t="array" ref="M5423">+_xlfn.IFS((C5423&gt;='Resultats - informe'!$D$26)*(C5423&lt;='Resultats - informe'!$E$26),0,(C5423&gt;='Resultats - informe'!$D$27)*(C5423&lt;='Resultats - informe'!$E$27),0,(C5423&gt;='Resultats - informe'!$D$28)*(C5423&lt;='Resultats - informe'!$E$28),0,(C5423&gt;='Resultats - informe'!$D$29)*(C5423&lt;='Resultats - informe'!$E$29),0,1,1)</f>
        <v>0</v>
      </c>
      <c r="N5423" s="366">
        <f>+VLOOKUP(D5423,'Resultats - informe'!$Y$18:$AG$42,'Introducció dades consum'!K5423+1,0)</f>
        <v>0</v>
      </c>
      <c r="O5423" s="370" cm="1">
        <f t="array" ref="O5423">+_xlfn.SWITCH(MONTH(C5423),1,1,2,1,3,1,4,2,5,2,6,3,7,3,8,3,9,3,10,2,11,2,12,1,2)</f>
        <v>1</v>
      </c>
      <c r="P5423" s="43"/>
    </row>
    <row r="5424" spans="1:16" ht="18" x14ac:dyDescent="0.35">
      <c r="A5424" s="9"/>
      <c r="C5424" s="393"/>
      <c r="E5424" s="394"/>
      <c r="F5424" s="394">
        <v>2.5790000000000002</v>
      </c>
      <c r="G5424" s="394"/>
      <c r="H5424" s="8" t="s">
        <v>235</v>
      </c>
      <c r="I5424" s="368">
        <f t="shared" si="253"/>
        <v>0</v>
      </c>
      <c r="J5424" s="365">
        <f t="shared" si="252"/>
        <v>0</v>
      </c>
      <c r="K5424" s="369">
        <f t="shared" si="254"/>
        <v>6</v>
      </c>
      <c r="L5424" s="369">
        <f>+IF((C5424&gt;='Resultats - informe'!$E$16)*(C5424&lt;='Resultats - informe'!$G$16),1,0)</f>
        <v>1</v>
      </c>
      <c r="M5424" s="369" cm="1">
        <f t="array" ref="M5424">+_xlfn.IFS((C5424&gt;='Resultats - informe'!$D$26)*(C5424&lt;='Resultats - informe'!$E$26),0,(C5424&gt;='Resultats - informe'!$D$27)*(C5424&lt;='Resultats - informe'!$E$27),0,(C5424&gt;='Resultats - informe'!$D$28)*(C5424&lt;='Resultats - informe'!$E$28),0,(C5424&gt;='Resultats - informe'!$D$29)*(C5424&lt;='Resultats - informe'!$E$29),0,1,1)</f>
        <v>0</v>
      </c>
      <c r="N5424" s="366">
        <f>+VLOOKUP(D5424,'Resultats - informe'!$Y$18:$AG$42,'Introducció dades consum'!K5424+1,0)</f>
        <v>0</v>
      </c>
      <c r="O5424" s="370" cm="1">
        <f t="array" ref="O5424">+_xlfn.SWITCH(MONTH(C5424),1,1,2,1,3,1,4,2,5,2,6,3,7,3,8,3,9,3,10,2,11,2,12,1,2)</f>
        <v>1</v>
      </c>
      <c r="P5424" s="43"/>
    </row>
    <row r="5425" spans="1:16" ht="18" x14ac:dyDescent="0.35">
      <c r="A5425" s="9"/>
      <c r="C5425" s="393"/>
      <c r="E5425" s="394"/>
      <c r="F5425" s="394">
        <v>2.2069999999999999</v>
      </c>
      <c r="G5425" s="394"/>
      <c r="H5425" s="8" t="s">
        <v>235</v>
      </c>
      <c r="I5425" s="368">
        <f t="shared" si="253"/>
        <v>0</v>
      </c>
      <c r="J5425" s="365">
        <f t="shared" si="252"/>
        <v>0</v>
      </c>
      <c r="K5425" s="369">
        <f t="shared" si="254"/>
        <v>6</v>
      </c>
      <c r="L5425" s="369">
        <f>+IF((C5425&gt;='Resultats - informe'!$E$16)*(C5425&lt;='Resultats - informe'!$G$16),1,0)</f>
        <v>1</v>
      </c>
      <c r="M5425" s="369" cm="1">
        <f t="array" ref="M5425">+_xlfn.IFS((C5425&gt;='Resultats - informe'!$D$26)*(C5425&lt;='Resultats - informe'!$E$26),0,(C5425&gt;='Resultats - informe'!$D$27)*(C5425&lt;='Resultats - informe'!$E$27),0,(C5425&gt;='Resultats - informe'!$D$28)*(C5425&lt;='Resultats - informe'!$E$28),0,(C5425&gt;='Resultats - informe'!$D$29)*(C5425&lt;='Resultats - informe'!$E$29),0,1,1)</f>
        <v>0</v>
      </c>
      <c r="N5425" s="366">
        <f>+VLOOKUP(D5425,'Resultats - informe'!$Y$18:$AG$42,'Introducció dades consum'!K5425+1,0)</f>
        <v>0</v>
      </c>
      <c r="O5425" s="370" cm="1">
        <f t="array" ref="O5425">+_xlfn.SWITCH(MONTH(C5425),1,1,2,1,3,1,4,2,5,2,6,3,7,3,8,3,9,3,10,2,11,2,12,1,2)</f>
        <v>1</v>
      </c>
      <c r="P5425" s="43"/>
    </row>
    <row r="5426" spans="1:16" ht="18" x14ac:dyDescent="0.35">
      <c r="A5426" s="9"/>
      <c r="C5426" s="393"/>
      <c r="E5426" s="394"/>
      <c r="F5426" s="394">
        <v>1.365</v>
      </c>
      <c r="G5426" s="394"/>
      <c r="H5426" s="8" t="s">
        <v>235</v>
      </c>
      <c r="I5426" s="368">
        <f t="shared" si="253"/>
        <v>0</v>
      </c>
      <c r="J5426" s="365">
        <f t="shared" si="252"/>
        <v>0</v>
      </c>
      <c r="K5426" s="369">
        <f t="shared" si="254"/>
        <v>6</v>
      </c>
      <c r="L5426" s="369">
        <f>+IF((C5426&gt;='Resultats - informe'!$E$16)*(C5426&lt;='Resultats - informe'!$G$16),1,0)</f>
        <v>1</v>
      </c>
      <c r="M5426" s="369" cm="1">
        <f t="array" ref="M5426">+_xlfn.IFS((C5426&gt;='Resultats - informe'!$D$26)*(C5426&lt;='Resultats - informe'!$E$26),0,(C5426&gt;='Resultats - informe'!$D$27)*(C5426&lt;='Resultats - informe'!$E$27),0,(C5426&gt;='Resultats - informe'!$D$28)*(C5426&lt;='Resultats - informe'!$E$28),0,(C5426&gt;='Resultats - informe'!$D$29)*(C5426&lt;='Resultats - informe'!$E$29),0,1,1)</f>
        <v>0</v>
      </c>
      <c r="N5426" s="366">
        <f>+VLOOKUP(D5426,'Resultats - informe'!$Y$18:$AG$42,'Introducció dades consum'!K5426+1,0)</f>
        <v>0</v>
      </c>
      <c r="O5426" s="370" cm="1">
        <f t="array" ref="O5426">+_xlfn.SWITCH(MONTH(C5426),1,1,2,1,3,1,4,2,5,2,6,3,7,3,8,3,9,3,10,2,11,2,12,1,2)</f>
        <v>1</v>
      </c>
      <c r="P5426" s="43"/>
    </row>
    <row r="5427" spans="1:16" ht="18" x14ac:dyDescent="0.35">
      <c r="A5427" s="9"/>
      <c r="C5427" s="393"/>
      <c r="E5427" s="394"/>
      <c r="F5427" s="394">
        <v>1.365</v>
      </c>
      <c r="G5427" s="394"/>
      <c r="H5427" s="8" t="s">
        <v>235</v>
      </c>
      <c r="I5427" s="368">
        <f t="shared" si="253"/>
        <v>0</v>
      </c>
      <c r="J5427" s="365">
        <f t="shared" si="252"/>
        <v>0</v>
      </c>
      <c r="K5427" s="369">
        <f t="shared" si="254"/>
        <v>6</v>
      </c>
      <c r="L5427" s="369">
        <f>+IF((C5427&gt;='Resultats - informe'!$E$16)*(C5427&lt;='Resultats - informe'!$G$16),1,0)</f>
        <v>1</v>
      </c>
      <c r="M5427" s="369" cm="1">
        <f t="array" ref="M5427">+_xlfn.IFS((C5427&gt;='Resultats - informe'!$D$26)*(C5427&lt;='Resultats - informe'!$E$26),0,(C5427&gt;='Resultats - informe'!$D$27)*(C5427&lt;='Resultats - informe'!$E$27),0,(C5427&gt;='Resultats - informe'!$D$28)*(C5427&lt;='Resultats - informe'!$E$28),0,(C5427&gt;='Resultats - informe'!$D$29)*(C5427&lt;='Resultats - informe'!$E$29),0,1,1)</f>
        <v>0</v>
      </c>
      <c r="N5427" s="366">
        <f>+VLOOKUP(D5427,'Resultats - informe'!$Y$18:$AG$42,'Introducció dades consum'!K5427+1,0)</f>
        <v>0</v>
      </c>
      <c r="O5427" s="370" cm="1">
        <f t="array" ref="O5427">+_xlfn.SWITCH(MONTH(C5427),1,1,2,1,3,1,4,2,5,2,6,3,7,3,8,3,9,3,10,2,11,2,12,1,2)</f>
        <v>1</v>
      </c>
      <c r="P5427" s="43"/>
    </row>
    <row r="5428" spans="1:16" ht="18" x14ac:dyDescent="0.35">
      <c r="A5428" s="9"/>
      <c r="C5428" s="393"/>
      <c r="E5428" s="394"/>
      <c r="F5428" s="394">
        <v>6.8000000000000005E-2</v>
      </c>
      <c r="G5428" s="394"/>
      <c r="H5428" s="8" t="s">
        <v>235</v>
      </c>
      <c r="I5428" s="368">
        <f t="shared" si="253"/>
        <v>0</v>
      </c>
      <c r="J5428" s="365">
        <f t="shared" si="252"/>
        <v>0</v>
      </c>
      <c r="K5428" s="369">
        <f t="shared" si="254"/>
        <v>6</v>
      </c>
      <c r="L5428" s="369">
        <f>+IF((C5428&gt;='Resultats - informe'!$E$16)*(C5428&lt;='Resultats - informe'!$G$16),1,0)</f>
        <v>1</v>
      </c>
      <c r="M5428" s="369" cm="1">
        <f t="array" ref="M5428">+_xlfn.IFS((C5428&gt;='Resultats - informe'!$D$26)*(C5428&lt;='Resultats - informe'!$E$26),0,(C5428&gt;='Resultats - informe'!$D$27)*(C5428&lt;='Resultats - informe'!$E$27),0,(C5428&gt;='Resultats - informe'!$D$28)*(C5428&lt;='Resultats - informe'!$E$28),0,(C5428&gt;='Resultats - informe'!$D$29)*(C5428&lt;='Resultats - informe'!$E$29),0,1,1)</f>
        <v>0</v>
      </c>
      <c r="N5428" s="366">
        <f>+VLOOKUP(D5428,'Resultats - informe'!$Y$18:$AG$42,'Introducció dades consum'!K5428+1,0)</f>
        <v>0</v>
      </c>
      <c r="O5428" s="370" cm="1">
        <f t="array" ref="O5428">+_xlfn.SWITCH(MONTH(C5428),1,1,2,1,3,1,4,2,5,2,6,3,7,3,8,3,9,3,10,2,11,2,12,1,2)</f>
        <v>1</v>
      </c>
      <c r="P5428" s="43"/>
    </row>
    <row r="5429" spans="1:16" ht="18" x14ac:dyDescent="0.35">
      <c r="A5429" s="9"/>
      <c r="C5429" s="393"/>
      <c r="E5429" s="394"/>
      <c r="F5429" s="394">
        <v>0.44700000000000001</v>
      </c>
      <c r="G5429" s="394"/>
      <c r="H5429" s="8" t="s">
        <v>235</v>
      </c>
      <c r="I5429" s="368">
        <f t="shared" si="253"/>
        <v>0</v>
      </c>
      <c r="J5429" s="365">
        <f t="shared" si="252"/>
        <v>0</v>
      </c>
      <c r="K5429" s="369">
        <f t="shared" si="254"/>
        <v>6</v>
      </c>
      <c r="L5429" s="369">
        <f>+IF((C5429&gt;='Resultats - informe'!$E$16)*(C5429&lt;='Resultats - informe'!$G$16),1,0)</f>
        <v>1</v>
      </c>
      <c r="M5429" s="369" cm="1">
        <f t="array" ref="M5429">+_xlfn.IFS((C5429&gt;='Resultats - informe'!$D$26)*(C5429&lt;='Resultats - informe'!$E$26),0,(C5429&gt;='Resultats - informe'!$D$27)*(C5429&lt;='Resultats - informe'!$E$27),0,(C5429&gt;='Resultats - informe'!$D$28)*(C5429&lt;='Resultats - informe'!$E$28),0,(C5429&gt;='Resultats - informe'!$D$29)*(C5429&lt;='Resultats - informe'!$E$29),0,1,1)</f>
        <v>0</v>
      </c>
      <c r="N5429" s="366">
        <f>+VLOOKUP(D5429,'Resultats - informe'!$Y$18:$AG$42,'Introducció dades consum'!K5429+1,0)</f>
        <v>0</v>
      </c>
      <c r="O5429" s="370" cm="1">
        <f t="array" ref="O5429">+_xlfn.SWITCH(MONTH(C5429),1,1,2,1,3,1,4,2,5,2,6,3,7,3,8,3,9,3,10,2,11,2,12,1,2)</f>
        <v>1</v>
      </c>
      <c r="P5429" s="43"/>
    </row>
    <row r="5430" spans="1:16" ht="18" x14ac:dyDescent="0.35">
      <c r="A5430" s="9"/>
      <c r="C5430" s="393"/>
      <c r="E5430" s="394"/>
      <c r="F5430" s="394">
        <v>0.44800000000000001</v>
      </c>
      <c r="G5430" s="394"/>
      <c r="H5430" s="8" t="s">
        <v>235</v>
      </c>
      <c r="I5430" s="368">
        <f t="shared" si="253"/>
        <v>0</v>
      </c>
      <c r="J5430" s="365">
        <f t="shared" si="252"/>
        <v>0</v>
      </c>
      <c r="K5430" s="369">
        <f t="shared" si="254"/>
        <v>6</v>
      </c>
      <c r="L5430" s="369">
        <f>+IF((C5430&gt;='Resultats - informe'!$E$16)*(C5430&lt;='Resultats - informe'!$G$16),1,0)</f>
        <v>1</v>
      </c>
      <c r="M5430" s="369" cm="1">
        <f t="array" ref="M5430">+_xlfn.IFS((C5430&gt;='Resultats - informe'!$D$26)*(C5430&lt;='Resultats - informe'!$E$26),0,(C5430&gt;='Resultats - informe'!$D$27)*(C5430&lt;='Resultats - informe'!$E$27),0,(C5430&gt;='Resultats - informe'!$D$28)*(C5430&lt;='Resultats - informe'!$E$28),0,(C5430&gt;='Resultats - informe'!$D$29)*(C5430&lt;='Resultats - informe'!$E$29),0,1,1)</f>
        <v>0</v>
      </c>
      <c r="N5430" s="366">
        <f>+VLOOKUP(D5430,'Resultats - informe'!$Y$18:$AG$42,'Introducció dades consum'!K5430+1,0)</f>
        <v>0</v>
      </c>
      <c r="O5430" s="370" cm="1">
        <f t="array" ref="O5430">+_xlfn.SWITCH(MONTH(C5430),1,1,2,1,3,1,4,2,5,2,6,3,7,3,8,3,9,3,10,2,11,2,12,1,2)</f>
        <v>1</v>
      </c>
      <c r="P5430" s="43"/>
    </row>
    <row r="5431" spans="1:16" ht="18" x14ac:dyDescent="0.35">
      <c r="A5431" s="9"/>
      <c r="C5431" s="393"/>
      <c r="E5431" s="394"/>
      <c r="F5431" s="394">
        <v>0.44900000000000001</v>
      </c>
      <c r="G5431" s="394"/>
      <c r="H5431" s="8" t="s">
        <v>235</v>
      </c>
      <c r="I5431" s="368">
        <f t="shared" si="253"/>
        <v>0</v>
      </c>
      <c r="J5431" s="365">
        <f t="shared" si="252"/>
        <v>0</v>
      </c>
      <c r="K5431" s="369">
        <f t="shared" si="254"/>
        <v>6</v>
      </c>
      <c r="L5431" s="369">
        <f>+IF((C5431&gt;='Resultats - informe'!$E$16)*(C5431&lt;='Resultats - informe'!$G$16),1,0)</f>
        <v>1</v>
      </c>
      <c r="M5431" s="369" cm="1">
        <f t="array" ref="M5431">+_xlfn.IFS((C5431&gt;='Resultats - informe'!$D$26)*(C5431&lt;='Resultats - informe'!$E$26),0,(C5431&gt;='Resultats - informe'!$D$27)*(C5431&lt;='Resultats - informe'!$E$27),0,(C5431&gt;='Resultats - informe'!$D$28)*(C5431&lt;='Resultats - informe'!$E$28),0,(C5431&gt;='Resultats - informe'!$D$29)*(C5431&lt;='Resultats - informe'!$E$29),0,1,1)</f>
        <v>0</v>
      </c>
      <c r="N5431" s="366">
        <f>+VLOOKUP(D5431,'Resultats - informe'!$Y$18:$AG$42,'Introducció dades consum'!K5431+1,0)</f>
        <v>0</v>
      </c>
      <c r="O5431" s="370" cm="1">
        <f t="array" ref="O5431">+_xlfn.SWITCH(MONTH(C5431),1,1,2,1,3,1,4,2,5,2,6,3,7,3,8,3,9,3,10,2,11,2,12,1,2)</f>
        <v>1</v>
      </c>
      <c r="P5431" s="43"/>
    </row>
    <row r="5432" spans="1:16" ht="18" x14ac:dyDescent="0.35">
      <c r="A5432" s="9"/>
      <c r="C5432" s="393"/>
      <c r="E5432" s="394"/>
      <c r="F5432" s="394">
        <v>0.45200000000000001</v>
      </c>
      <c r="G5432" s="394"/>
      <c r="H5432" s="8" t="s">
        <v>235</v>
      </c>
      <c r="I5432" s="368">
        <f t="shared" si="253"/>
        <v>0</v>
      </c>
      <c r="J5432" s="365">
        <f t="shared" si="252"/>
        <v>0</v>
      </c>
      <c r="K5432" s="369">
        <f t="shared" si="254"/>
        <v>6</v>
      </c>
      <c r="L5432" s="369">
        <f>+IF((C5432&gt;='Resultats - informe'!$E$16)*(C5432&lt;='Resultats - informe'!$G$16),1,0)</f>
        <v>1</v>
      </c>
      <c r="M5432" s="369" cm="1">
        <f t="array" ref="M5432">+_xlfn.IFS((C5432&gt;='Resultats - informe'!$D$26)*(C5432&lt;='Resultats - informe'!$E$26),0,(C5432&gt;='Resultats - informe'!$D$27)*(C5432&lt;='Resultats - informe'!$E$27),0,(C5432&gt;='Resultats - informe'!$D$28)*(C5432&lt;='Resultats - informe'!$E$28),0,(C5432&gt;='Resultats - informe'!$D$29)*(C5432&lt;='Resultats - informe'!$E$29),0,1,1)</f>
        <v>0</v>
      </c>
      <c r="N5432" s="366">
        <f>+VLOOKUP(D5432,'Resultats - informe'!$Y$18:$AG$42,'Introducció dades consum'!K5432+1,0)</f>
        <v>0</v>
      </c>
      <c r="O5432" s="370" cm="1">
        <f t="array" ref="O5432">+_xlfn.SWITCH(MONTH(C5432),1,1,2,1,3,1,4,2,5,2,6,3,7,3,8,3,9,3,10,2,11,2,12,1,2)</f>
        <v>1</v>
      </c>
      <c r="P5432" s="43"/>
    </row>
    <row r="5433" spans="1:16" ht="18" x14ac:dyDescent="0.35">
      <c r="A5433" s="9"/>
      <c r="C5433" s="393"/>
      <c r="E5433" s="394"/>
      <c r="F5433" s="394">
        <v>0.44900000000000001</v>
      </c>
      <c r="G5433" s="394"/>
      <c r="H5433" s="8" t="s">
        <v>235</v>
      </c>
      <c r="I5433" s="368">
        <f t="shared" si="253"/>
        <v>0</v>
      </c>
      <c r="J5433" s="365">
        <f t="shared" si="252"/>
        <v>0</v>
      </c>
      <c r="K5433" s="369">
        <f t="shared" si="254"/>
        <v>6</v>
      </c>
      <c r="L5433" s="369">
        <f>+IF((C5433&gt;='Resultats - informe'!$E$16)*(C5433&lt;='Resultats - informe'!$G$16),1,0)</f>
        <v>1</v>
      </c>
      <c r="M5433" s="369" cm="1">
        <f t="array" ref="M5433">+_xlfn.IFS((C5433&gt;='Resultats - informe'!$D$26)*(C5433&lt;='Resultats - informe'!$E$26),0,(C5433&gt;='Resultats - informe'!$D$27)*(C5433&lt;='Resultats - informe'!$E$27),0,(C5433&gt;='Resultats - informe'!$D$28)*(C5433&lt;='Resultats - informe'!$E$28),0,(C5433&gt;='Resultats - informe'!$D$29)*(C5433&lt;='Resultats - informe'!$E$29),0,1,1)</f>
        <v>0</v>
      </c>
      <c r="N5433" s="366">
        <f>+VLOOKUP(D5433,'Resultats - informe'!$Y$18:$AG$42,'Introducció dades consum'!K5433+1,0)</f>
        <v>0</v>
      </c>
      <c r="O5433" s="370" cm="1">
        <f t="array" ref="O5433">+_xlfn.SWITCH(MONTH(C5433),1,1,2,1,3,1,4,2,5,2,6,3,7,3,8,3,9,3,10,2,11,2,12,1,2)</f>
        <v>1</v>
      </c>
      <c r="P5433" s="43"/>
    </row>
    <row r="5434" spans="1:16" ht="18" x14ac:dyDescent="0.35">
      <c r="A5434" s="9"/>
      <c r="C5434" s="393"/>
      <c r="E5434" s="394"/>
      <c r="F5434" s="394">
        <v>0.45</v>
      </c>
      <c r="G5434" s="394"/>
      <c r="H5434" s="8" t="s">
        <v>235</v>
      </c>
      <c r="I5434" s="368">
        <f t="shared" si="253"/>
        <v>0</v>
      </c>
      <c r="J5434" s="365">
        <f t="shared" si="252"/>
        <v>0</v>
      </c>
      <c r="K5434" s="369">
        <f t="shared" si="254"/>
        <v>6</v>
      </c>
      <c r="L5434" s="369">
        <f>+IF((C5434&gt;='Resultats - informe'!$E$16)*(C5434&lt;='Resultats - informe'!$G$16),1,0)</f>
        <v>1</v>
      </c>
      <c r="M5434" s="369" cm="1">
        <f t="array" ref="M5434">+_xlfn.IFS((C5434&gt;='Resultats - informe'!$D$26)*(C5434&lt;='Resultats - informe'!$E$26),0,(C5434&gt;='Resultats - informe'!$D$27)*(C5434&lt;='Resultats - informe'!$E$27),0,(C5434&gt;='Resultats - informe'!$D$28)*(C5434&lt;='Resultats - informe'!$E$28),0,(C5434&gt;='Resultats - informe'!$D$29)*(C5434&lt;='Resultats - informe'!$E$29),0,1,1)</f>
        <v>0</v>
      </c>
      <c r="N5434" s="366">
        <f>+VLOOKUP(D5434,'Resultats - informe'!$Y$18:$AG$42,'Introducció dades consum'!K5434+1,0)</f>
        <v>0</v>
      </c>
      <c r="O5434" s="370" cm="1">
        <f t="array" ref="O5434">+_xlfn.SWITCH(MONTH(C5434),1,1,2,1,3,1,4,2,5,2,6,3,7,3,8,3,9,3,10,2,11,2,12,1,2)</f>
        <v>1</v>
      </c>
      <c r="P5434" s="43"/>
    </row>
    <row r="5435" spans="1:16" ht="18" x14ac:dyDescent="0.35">
      <c r="A5435" s="9"/>
      <c r="C5435" s="393"/>
      <c r="E5435" s="394"/>
      <c r="F5435" s="394">
        <v>0.45200000000000001</v>
      </c>
      <c r="G5435" s="394"/>
      <c r="H5435" s="8" t="s">
        <v>235</v>
      </c>
      <c r="I5435" s="368">
        <f t="shared" si="253"/>
        <v>0</v>
      </c>
      <c r="J5435" s="365">
        <f t="shared" ref="J5435:J5498" si="255">+C5435</f>
        <v>0</v>
      </c>
      <c r="K5435" s="369">
        <f t="shared" si="254"/>
        <v>6</v>
      </c>
      <c r="L5435" s="369">
        <f>+IF((C5435&gt;='Resultats - informe'!$E$16)*(C5435&lt;='Resultats - informe'!$G$16),1,0)</f>
        <v>1</v>
      </c>
      <c r="M5435" s="369" cm="1">
        <f t="array" ref="M5435">+_xlfn.IFS((C5435&gt;='Resultats - informe'!$D$26)*(C5435&lt;='Resultats - informe'!$E$26),0,(C5435&gt;='Resultats - informe'!$D$27)*(C5435&lt;='Resultats - informe'!$E$27),0,(C5435&gt;='Resultats - informe'!$D$28)*(C5435&lt;='Resultats - informe'!$E$28),0,(C5435&gt;='Resultats - informe'!$D$29)*(C5435&lt;='Resultats - informe'!$E$29),0,1,1)</f>
        <v>0</v>
      </c>
      <c r="N5435" s="366">
        <f>+VLOOKUP(D5435,'Resultats - informe'!$Y$18:$AG$42,'Introducció dades consum'!K5435+1,0)</f>
        <v>0</v>
      </c>
      <c r="O5435" s="370" cm="1">
        <f t="array" ref="O5435">+_xlfn.SWITCH(MONTH(C5435),1,1,2,1,3,1,4,2,5,2,6,3,7,3,8,3,9,3,10,2,11,2,12,1,2)</f>
        <v>1</v>
      </c>
      <c r="P5435" s="43"/>
    </row>
    <row r="5436" spans="1:16" ht="18" x14ac:dyDescent="0.35">
      <c r="A5436" s="9"/>
      <c r="C5436" s="393"/>
      <c r="E5436" s="394"/>
      <c r="F5436" s="394">
        <v>0.45300000000000001</v>
      </c>
      <c r="G5436" s="394"/>
      <c r="H5436" s="8" t="s">
        <v>235</v>
      </c>
      <c r="I5436" s="368">
        <f t="shared" si="253"/>
        <v>0</v>
      </c>
      <c r="J5436" s="365">
        <f t="shared" si="255"/>
        <v>0</v>
      </c>
      <c r="K5436" s="369">
        <f t="shared" si="254"/>
        <v>6</v>
      </c>
      <c r="L5436" s="369">
        <f>+IF((C5436&gt;='Resultats - informe'!$E$16)*(C5436&lt;='Resultats - informe'!$G$16),1,0)</f>
        <v>1</v>
      </c>
      <c r="M5436" s="369" cm="1">
        <f t="array" ref="M5436">+_xlfn.IFS((C5436&gt;='Resultats - informe'!$D$26)*(C5436&lt;='Resultats - informe'!$E$26),0,(C5436&gt;='Resultats - informe'!$D$27)*(C5436&lt;='Resultats - informe'!$E$27),0,(C5436&gt;='Resultats - informe'!$D$28)*(C5436&lt;='Resultats - informe'!$E$28),0,(C5436&gt;='Resultats - informe'!$D$29)*(C5436&lt;='Resultats - informe'!$E$29),0,1,1)</f>
        <v>0</v>
      </c>
      <c r="N5436" s="366">
        <f>+VLOOKUP(D5436,'Resultats - informe'!$Y$18:$AG$42,'Introducció dades consum'!K5436+1,0)</f>
        <v>0</v>
      </c>
      <c r="O5436" s="370" cm="1">
        <f t="array" ref="O5436">+_xlfn.SWITCH(MONTH(C5436),1,1,2,1,3,1,4,2,5,2,6,3,7,3,8,3,9,3,10,2,11,2,12,1,2)</f>
        <v>1</v>
      </c>
      <c r="P5436" s="43"/>
    </row>
    <row r="5437" spans="1:16" ht="18" x14ac:dyDescent="0.35">
      <c r="A5437" s="9"/>
      <c r="C5437" s="393"/>
      <c r="E5437" s="394"/>
      <c r="F5437" s="394">
        <v>0.45700000000000002</v>
      </c>
      <c r="G5437" s="394"/>
      <c r="H5437" s="8" t="s">
        <v>235</v>
      </c>
      <c r="I5437" s="368">
        <f t="shared" si="253"/>
        <v>0</v>
      </c>
      <c r="J5437" s="365">
        <f t="shared" si="255"/>
        <v>0</v>
      </c>
      <c r="K5437" s="369">
        <f t="shared" si="254"/>
        <v>6</v>
      </c>
      <c r="L5437" s="369">
        <f>+IF((C5437&gt;='Resultats - informe'!$E$16)*(C5437&lt;='Resultats - informe'!$G$16),1,0)</f>
        <v>1</v>
      </c>
      <c r="M5437" s="369" cm="1">
        <f t="array" ref="M5437">+_xlfn.IFS((C5437&gt;='Resultats - informe'!$D$26)*(C5437&lt;='Resultats - informe'!$E$26),0,(C5437&gt;='Resultats - informe'!$D$27)*(C5437&lt;='Resultats - informe'!$E$27),0,(C5437&gt;='Resultats - informe'!$D$28)*(C5437&lt;='Resultats - informe'!$E$28),0,(C5437&gt;='Resultats - informe'!$D$29)*(C5437&lt;='Resultats - informe'!$E$29),0,1,1)</f>
        <v>0</v>
      </c>
      <c r="N5437" s="366">
        <f>+VLOOKUP(D5437,'Resultats - informe'!$Y$18:$AG$42,'Introducció dades consum'!K5437+1,0)</f>
        <v>0</v>
      </c>
      <c r="O5437" s="370" cm="1">
        <f t="array" ref="O5437">+_xlfn.SWITCH(MONTH(C5437),1,1,2,1,3,1,4,2,5,2,6,3,7,3,8,3,9,3,10,2,11,2,12,1,2)</f>
        <v>1</v>
      </c>
      <c r="P5437" s="43"/>
    </row>
    <row r="5438" spans="1:16" ht="18" x14ac:dyDescent="0.35">
      <c r="A5438" s="9"/>
      <c r="C5438" s="393"/>
      <c r="E5438" s="394"/>
      <c r="F5438" s="394">
        <v>0.45300000000000001</v>
      </c>
      <c r="G5438" s="394"/>
      <c r="H5438" s="8" t="s">
        <v>235</v>
      </c>
      <c r="I5438" s="368">
        <f t="shared" si="253"/>
        <v>0</v>
      </c>
      <c r="J5438" s="365">
        <f t="shared" si="255"/>
        <v>0</v>
      </c>
      <c r="K5438" s="369">
        <f t="shared" si="254"/>
        <v>6</v>
      </c>
      <c r="L5438" s="369">
        <f>+IF((C5438&gt;='Resultats - informe'!$E$16)*(C5438&lt;='Resultats - informe'!$G$16),1,0)</f>
        <v>1</v>
      </c>
      <c r="M5438" s="369" cm="1">
        <f t="array" ref="M5438">+_xlfn.IFS((C5438&gt;='Resultats - informe'!$D$26)*(C5438&lt;='Resultats - informe'!$E$26),0,(C5438&gt;='Resultats - informe'!$D$27)*(C5438&lt;='Resultats - informe'!$E$27),0,(C5438&gt;='Resultats - informe'!$D$28)*(C5438&lt;='Resultats - informe'!$E$28),0,(C5438&gt;='Resultats - informe'!$D$29)*(C5438&lt;='Resultats - informe'!$E$29),0,1,1)</f>
        <v>0</v>
      </c>
      <c r="N5438" s="366">
        <f>+VLOOKUP(D5438,'Resultats - informe'!$Y$18:$AG$42,'Introducció dades consum'!K5438+1,0)</f>
        <v>0</v>
      </c>
      <c r="O5438" s="370" cm="1">
        <f t="array" ref="O5438">+_xlfn.SWITCH(MONTH(C5438),1,1,2,1,3,1,4,2,5,2,6,3,7,3,8,3,9,3,10,2,11,2,12,1,2)</f>
        <v>1</v>
      </c>
      <c r="P5438" s="43"/>
    </row>
    <row r="5439" spans="1:16" ht="18" x14ac:dyDescent="0.35">
      <c r="A5439" s="9"/>
      <c r="C5439" s="393"/>
      <c r="E5439" s="394"/>
      <c r="F5439" s="394">
        <v>0.45300000000000001</v>
      </c>
      <c r="G5439" s="394"/>
      <c r="H5439" s="8" t="s">
        <v>235</v>
      </c>
      <c r="I5439" s="368">
        <f t="shared" si="253"/>
        <v>0</v>
      </c>
      <c r="J5439" s="365">
        <f t="shared" si="255"/>
        <v>0</v>
      </c>
      <c r="K5439" s="369">
        <f t="shared" si="254"/>
        <v>6</v>
      </c>
      <c r="L5439" s="369">
        <f>+IF((C5439&gt;='Resultats - informe'!$E$16)*(C5439&lt;='Resultats - informe'!$G$16),1,0)</f>
        <v>1</v>
      </c>
      <c r="M5439" s="369" cm="1">
        <f t="array" ref="M5439">+_xlfn.IFS((C5439&gt;='Resultats - informe'!$D$26)*(C5439&lt;='Resultats - informe'!$E$26),0,(C5439&gt;='Resultats - informe'!$D$27)*(C5439&lt;='Resultats - informe'!$E$27),0,(C5439&gt;='Resultats - informe'!$D$28)*(C5439&lt;='Resultats - informe'!$E$28),0,(C5439&gt;='Resultats - informe'!$D$29)*(C5439&lt;='Resultats - informe'!$E$29),0,1,1)</f>
        <v>0</v>
      </c>
      <c r="N5439" s="366">
        <f>+VLOOKUP(D5439,'Resultats - informe'!$Y$18:$AG$42,'Introducció dades consum'!K5439+1,0)</f>
        <v>0</v>
      </c>
      <c r="O5439" s="370" cm="1">
        <f t="array" ref="O5439">+_xlfn.SWITCH(MONTH(C5439),1,1,2,1,3,1,4,2,5,2,6,3,7,3,8,3,9,3,10,2,11,2,12,1,2)</f>
        <v>1</v>
      </c>
      <c r="P5439" s="43"/>
    </row>
    <row r="5440" spans="1:16" ht="18" x14ac:dyDescent="0.35">
      <c r="A5440" s="9"/>
      <c r="C5440" s="393"/>
      <c r="E5440" s="394"/>
      <c r="F5440" s="394">
        <v>0.45300000000000001</v>
      </c>
      <c r="G5440" s="394"/>
      <c r="H5440" s="8" t="s">
        <v>235</v>
      </c>
      <c r="I5440" s="368">
        <f t="shared" si="253"/>
        <v>0</v>
      </c>
      <c r="J5440" s="365">
        <f t="shared" si="255"/>
        <v>0</v>
      </c>
      <c r="K5440" s="369">
        <f t="shared" si="254"/>
        <v>6</v>
      </c>
      <c r="L5440" s="369">
        <f>+IF((C5440&gt;='Resultats - informe'!$E$16)*(C5440&lt;='Resultats - informe'!$G$16),1,0)</f>
        <v>1</v>
      </c>
      <c r="M5440" s="369" cm="1">
        <f t="array" ref="M5440">+_xlfn.IFS((C5440&gt;='Resultats - informe'!$D$26)*(C5440&lt;='Resultats - informe'!$E$26),0,(C5440&gt;='Resultats - informe'!$D$27)*(C5440&lt;='Resultats - informe'!$E$27),0,(C5440&gt;='Resultats - informe'!$D$28)*(C5440&lt;='Resultats - informe'!$E$28),0,(C5440&gt;='Resultats - informe'!$D$29)*(C5440&lt;='Resultats - informe'!$E$29),0,1,1)</f>
        <v>0</v>
      </c>
      <c r="N5440" s="366">
        <f>+VLOOKUP(D5440,'Resultats - informe'!$Y$18:$AG$42,'Introducció dades consum'!K5440+1,0)</f>
        <v>0</v>
      </c>
      <c r="O5440" s="370" cm="1">
        <f t="array" ref="O5440">+_xlfn.SWITCH(MONTH(C5440),1,1,2,1,3,1,4,2,5,2,6,3,7,3,8,3,9,3,10,2,11,2,12,1,2)</f>
        <v>1</v>
      </c>
      <c r="P5440" s="43"/>
    </row>
    <row r="5441" spans="1:16" ht="18" x14ac:dyDescent="0.35">
      <c r="A5441" s="9"/>
      <c r="C5441" s="393"/>
      <c r="E5441" s="394"/>
      <c r="F5441" s="394">
        <v>0.41899999999999998</v>
      </c>
      <c r="G5441" s="394"/>
      <c r="H5441" s="8" t="s">
        <v>235</v>
      </c>
      <c r="I5441" s="368">
        <f t="shared" si="253"/>
        <v>0</v>
      </c>
      <c r="J5441" s="365">
        <f t="shared" si="255"/>
        <v>0</v>
      </c>
      <c r="K5441" s="369">
        <f t="shared" si="254"/>
        <v>6</v>
      </c>
      <c r="L5441" s="369">
        <f>+IF((C5441&gt;='Resultats - informe'!$E$16)*(C5441&lt;='Resultats - informe'!$G$16),1,0)</f>
        <v>1</v>
      </c>
      <c r="M5441" s="369" cm="1">
        <f t="array" ref="M5441">+_xlfn.IFS((C5441&gt;='Resultats - informe'!$D$26)*(C5441&lt;='Resultats - informe'!$E$26),0,(C5441&gt;='Resultats - informe'!$D$27)*(C5441&lt;='Resultats - informe'!$E$27),0,(C5441&gt;='Resultats - informe'!$D$28)*(C5441&lt;='Resultats - informe'!$E$28),0,(C5441&gt;='Resultats - informe'!$D$29)*(C5441&lt;='Resultats - informe'!$E$29),0,1,1)</f>
        <v>0</v>
      </c>
      <c r="N5441" s="366">
        <f>+VLOOKUP(D5441,'Resultats - informe'!$Y$18:$AG$42,'Introducció dades consum'!K5441+1,0)</f>
        <v>0</v>
      </c>
      <c r="O5441" s="370" cm="1">
        <f t="array" ref="O5441">+_xlfn.SWITCH(MONTH(C5441),1,1,2,1,3,1,4,2,5,2,6,3,7,3,8,3,9,3,10,2,11,2,12,1,2)</f>
        <v>1</v>
      </c>
      <c r="P5441" s="43"/>
    </row>
    <row r="5442" spans="1:16" ht="18" x14ac:dyDescent="0.35">
      <c r="A5442" s="9"/>
      <c r="C5442" s="393"/>
      <c r="E5442" s="394"/>
      <c r="F5442" s="394">
        <v>0.45300000000000001</v>
      </c>
      <c r="G5442" s="394"/>
      <c r="H5442" s="8" t="s">
        <v>235</v>
      </c>
      <c r="I5442" s="368">
        <f t="shared" si="253"/>
        <v>0</v>
      </c>
      <c r="J5442" s="365">
        <f t="shared" si="255"/>
        <v>0</v>
      </c>
      <c r="K5442" s="369">
        <f t="shared" si="254"/>
        <v>6</v>
      </c>
      <c r="L5442" s="369">
        <f>+IF((C5442&gt;='Resultats - informe'!$E$16)*(C5442&lt;='Resultats - informe'!$G$16),1,0)</f>
        <v>1</v>
      </c>
      <c r="M5442" s="369" cm="1">
        <f t="array" ref="M5442">+_xlfn.IFS((C5442&gt;='Resultats - informe'!$D$26)*(C5442&lt;='Resultats - informe'!$E$26),0,(C5442&gt;='Resultats - informe'!$D$27)*(C5442&lt;='Resultats - informe'!$E$27),0,(C5442&gt;='Resultats - informe'!$D$28)*(C5442&lt;='Resultats - informe'!$E$28),0,(C5442&gt;='Resultats - informe'!$D$29)*(C5442&lt;='Resultats - informe'!$E$29),0,1,1)</f>
        <v>0</v>
      </c>
      <c r="N5442" s="366">
        <f>+VLOOKUP(D5442,'Resultats - informe'!$Y$18:$AG$42,'Introducció dades consum'!K5442+1,0)</f>
        <v>0</v>
      </c>
      <c r="O5442" s="370" cm="1">
        <f t="array" ref="O5442">+_xlfn.SWITCH(MONTH(C5442),1,1,2,1,3,1,4,2,5,2,6,3,7,3,8,3,9,3,10,2,11,2,12,1,2)</f>
        <v>1</v>
      </c>
      <c r="P5442" s="43"/>
    </row>
    <row r="5443" spans="1:16" ht="18" x14ac:dyDescent="0.35">
      <c r="A5443" s="9"/>
      <c r="C5443" s="393"/>
      <c r="E5443" s="394"/>
      <c r="F5443" s="394">
        <v>0.45</v>
      </c>
      <c r="G5443" s="394"/>
      <c r="H5443" s="8" t="s">
        <v>235</v>
      </c>
      <c r="I5443" s="368">
        <f t="shared" si="253"/>
        <v>0</v>
      </c>
      <c r="J5443" s="365">
        <f t="shared" si="255"/>
        <v>0</v>
      </c>
      <c r="K5443" s="369">
        <f t="shared" si="254"/>
        <v>6</v>
      </c>
      <c r="L5443" s="369">
        <f>+IF((C5443&gt;='Resultats - informe'!$E$16)*(C5443&lt;='Resultats - informe'!$G$16),1,0)</f>
        <v>1</v>
      </c>
      <c r="M5443" s="369" cm="1">
        <f t="array" ref="M5443">+_xlfn.IFS((C5443&gt;='Resultats - informe'!$D$26)*(C5443&lt;='Resultats - informe'!$E$26),0,(C5443&gt;='Resultats - informe'!$D$27)*(C5443&lt;='Resultats - informe'!$E$27),0,(C5443&gt;='Resultats - informe'!$D$28)*(C5443&lt;='Resultats - informe'!$E$28),0,(C5443&gt;='Resultats - informe'!$D$29)*(C5443&lt;='Resultats - informe'!$E$29),0,1,1)</f>
        <v>0</v>
      </c>
      <c r="N5443" s="366">
        <f>+VLOOKUP(D5443,'Resultats - informe'!$Y$18:$AG$42,'Introducció dades consum'!K5443+1,0)</f>
        <v>0</v>
      </c>
      <c r="O5443" s="370" cm="1">
        <f t="array" ref="O5443">+_xlfn.SWITCH(MONTH(C5443),1,1,2,1,3,1,4,2,5,2,6,3,7,3,8,3,9,3,10,2,11,2,12,1,2)</f>
        <v>1</v>
      </c>
      <c r="P5443" s="43"/>
    </row>
    <row r="5444" spans="1:16" ht="18" x14ac:dyDescent="0.35">
      <c r="A5444" s="9"/>
      <c r="C5444" s="393"/>
      <c r="E5444" s="394"/>
      <c r="F5444" s="394">
        <v>0.45</v>
      </c>
      <c r="G5444" s="394"/>
      <c r="H5444" s="8" t="s">
        <v>235</v>
      </c>
      <c r="I5444" s="368">
        <f t="shared" si="253"/>
        <v>0</v>
      </c>
      <c r="J5444" s="365">
        <f t="shared" si="255"/>
        <v>0</v>
      </c>
      <c r="K5444" s="369">
        <f t="shared" si="254"/>
        <v>6</v>
      </c>
      <c r="L5444" s="369">
        <f>+IF((C5444&gt;='Resultats - informe'!$E$16)*(C5444&lt;='Resultats - informe'!$G$16),1,0)</f>
        <v>1</v>
      </c>
      <c r="M5444" s="369" cm="1">
        <f t="array" ref="M5444">+_xlfn.IFS((C5444&gt;='Resultats - informe'!$D$26)*(C5444&lt;='Resultats - informe'!$E$26),0,(C5444&gt;='Resultats - informe'!$D$27)*(C5444&lt;='Resultats - informe'!$E$27),0,(C5444&gt;='Resultats - informe'!$D$28)*(C5444&lt;='Resultats - informe'!$E$28),0,(C5444&gt;='Resultats - informe'!$D$29)*(C5444&lt;='Resultats - informe'!$E$29),0,1,1)</f>
        <v>0</v>
      </c>
      <c r="N5444" s="366">
        <f>+VLOOKUP(D5444,'Resultats - informe'!$Y$18:$AG$42,'Introducció dades consum'!K5444+1,0)</f>
        <v>0</v>
      </c>
      <c r="O5444" s="370" cm="1">
        <f t="array" ref="O5444">+_xlfn.SWITCH(MONTH(C5444),1,1,2,1,3,1,4,2,5,2,6,3,7,3,8,3,9,3,10,2,11,2,12,1,2)</f>
        <v>1</v>
      </c>
      <c r="P5444" s="43"/>
    </row>
    <row r="5445" spans="1:16" ht="18" x14ac:dyDescent="0.35">
      <c r="A5445" s="9"/>
      <c r="C5445" s="393"/>
      <c r="E5445" s="394"/>
      <c r="F5445" s="394">
        <v>0.45</v>
      </c>
      <c r="G5445" s="394"/>
      <c r="H5445" s="8" t="s">
        <v>235</v>
      </c>
      <c r="I5445" s="368">
        <f t="shared" si="253"/>
        <v>0</v>
      </c>
      <c r="J5445" s="365">
        <f t="shared" si="255"/>
        <v>0</v>
      </c>
      <c r="K5445" s="369">
        <f t="shared" si="254"/>
        <v>6</v>
      </c>
      <c r="L5445" s="369">
        <f>+IF((C5445&gt;='Resultats - informe'!$E$16)*(C5445&lt;='Resultats - informe'!$G$16),1,0)</f>
        <v>1</v>
      </c>
      <c r="M5445" s="369" cm="1">
        <f t="array" ref="M5445">+_xlfn.IFS((C5445&gt;='Resultats - informe'!$D$26)*(C5445&lt;='Resultats - informe'!$E$26),0,(C5445&gt;='Resultats - informe'!$D$27)*(C5445&lt;='Resultats - informe'!$E$27),0,(C5445&gt;='Resultats - informe'!$D$28)*(C5445&lt;='Resultats - informe'!$E$28),0,(C5445&gt;='Resultats - informe'!$D$29)*(C5445&lt;='Resultats - informe'!$E$29),0,1,1)</f>
        <v>0</v>
      </c>
      <c r="N5445" s="366">
        <f>+VLOOKUP(D5445,'Resultats - informe'!$Y$18:$AG$42,'Introducció dades consum'!K5445+1,0)</f>
        <v>0</v>
      </c>
      <c r="O5445" s="370" cm="1">
        <f t="array" ref="O5445">+_xlfn.SWITCH(MONTH(C5445),1,1,2,1,3,1,4,2,5,2,6,3,7,3,8,3,9,3,10,2,11,2,12,1,2)</f>
        <v>1</v>
      </c>
      <c r="P5445" s="43"/>
    </row>
    <row r="5446" spans="1:16" ht="18" x14ac:dyDescent="0.35">
      <c r="A5446" s="9"/>
      <c r="C5446" s="393"/>
      <c r="E5446" s="394"/>
      <c r="F5446" s="394">
        <v>0.44</v>
      </c>
      <c r="G5446" s="394"/>
      <c r="H5446" s="8" t="s">
        <v>235</v>
      </c>
      <c r="I5446" s="368">
        <f t="shared" ref="I5446:I5509" si="256">+E5446+G5446</f>
        <v>0</v>
      </c>
      <c r="J5446" s="365">
        <f t="shared" si="255"/>
        <v>0</v>
      </c>
      <c r="K5446" s="369">
        <f t="shared" ref="K5446:K5509" si="257">+WEEKDAY(C5446,2)</f>
        <v>6</v>
      </c>
      <c r="L5446" s="369">
        <f>+IF((C5446&gt;='Resultats - informe'!$E$16)*(C5446&lt;='Resultats - informe'!$G$16),1,0)</f>
        <v>1</v>
      </c>
      <c r="M5446" s="369" cm="1">
        <f t="array" ref="M5446">+_xlfn.IFS((C5446&gt;='Resultats - informe'!$D$26)*(C5446&lt;='Resultats - informe'!$E$26),0,(C5446&gt;='Resultats - informe'!$D$27)*(C5446&lt;='Resultats - informe'!$E$27),0,(C5446&gt;='Resultats - informe'!$D$28)*(C5446&lt;='Resultats - informe'!$E$28),0,(C5446&gt;='Resultats - informe'!$D$29)*(C5446&lt;='Resultats - informe'!$E$29),0,1,1)</f>
        <v>0</v>
      </c>
      <c r="N5446" s="366">
        <f>+VLOOKUP(D5446,'Resultats - informe'!$Y$18:$AG$42,'Introducció dades consum'!K5446+1,0)</f>
        <v>0</v>
      </c>
      <c r="O5446" s="370" cm="1">
        <f t="array" ref="O5446">+_xlfn.SWITCH(MONTH(C5446),1,1,2,1,3,1,4,2,5,2,6,3,7,3,8,3,9,3,10,2,11,2,12,1,2)</f>
        <v>1</v>
      </c>
      <c r="P5446" s="43"/>
    </row>
    <row r="5447" spans="1:16" ht="18" x14ac:dyDescent="0.35">
      <c r="A5447" s="9"/>
      <c r="C5447" s="393"/>
      <c r="E5447" s="394"/>
      <c r="F5447" s="394">
        <v>0.44900000000000001</v>
      </c>
      <c r="G5447" s="394"/>
      <c r="H5447" s="8" t="s">
        <v>235</v>
      </c>
      <c r="I5447" s="368">
        <f t="shared" si="256"/>
        <v>0</v>
      </c>
      <c r="J5447" s="365">
        <f t="shared" si="255"/>
        <v>0</v>
      </c>
      <c r="K5447" s="369">
        <f t="shared" si="257"/>
        <v>6</v>
      </c>
      <c r="L5447" s="369">
        <f>+IF((C5447&gt;='Resultats - informe'!$E$16)*(C5447&lt;='Resultats - informe'!$G$16),1,0)</f>
        <v>1</v>
      </c>
      <c r="M5447" s="369" cm="1">
        <f t="array" ref="M5447">+_xlfn.IFS((C5447&gt;='Resultats - informe'!$D$26)*(C5447&lt;='Resultats - informe'!$E$26),0,(C5447&gt;='Resultats - informe'!$D$27)*(C5447&lt;='Resultats - informe'!$E$27),0,(C5447&gt;='Resultats - informe'!$D$28)*(C5447&lt;='Resultats - informe'!$E$28),0,(C5447&gt;='Resultats - informe'!$D$29)*(C5447&lt;='Resultats - informe'!$E$29),0,1,1)</f>
        <v>0</v>
      </c>
      <c r="N5447" s="366">
        <f>+VLOOKUP(D5447,'Resultats - informe'!$Y$18:$AG$42,'Introducció dades consum'!K5447+1,0)</f>
        <v>0</v>
      </c>
      <c r="O5447" s="370" cm="1">
        <f t="array" ref="O5447">+_xlfn.SWITCH(MONTH(C5447),1,1,2,1,3,1,4,2,5,2,6,3,7,3,8,3,9,3,10,2,11,2,12,1,2)</f>
        <v>1</v>
      </c>
      <c r="P5447" s="43"/>
    </row>
    <row r="5448" spans="1:16" ht="18" x14ac:dyDescent="0.35">
      <c r="A5448" s="9"/>
      <c r="C5448" s="393"/>
      <c r="E5448" s="394"/>
      <c r="F5448" s="394">
        <v>0.441</v>
      </c>
      <c r="G5448" s="394"/>
      <c r="H5448" s="8" t="s">
        <v>235</v>
      </c>
      <c r="I5448" s="368">
        <f t="shared" si="256"/>
        <v>0</v>
      </c>
      <c r="J5448" s="365">
        <f t="shared" si="255"/>
        <v>0</v>
      </c>
      <c r="K5448" s="369">
        <f t="shared" si="257"/>
        <v>6</v>
      </c>
      <c r="L5448" s="369">
        <f>+IF((C5448&gt;='Resultats - informe'!$E$16)*(C5448&lt;='Resultats - informe'!$G$16),1,0)</f>
        <v>1</v>
      </c>
      <c r="M5448" s="369" cm="1">
        <f t="array" ref="M5448">+_xlfn.IFS((C5448&gt;='Resultats - informe'!$D$26)*(C5448&lt;='Resultats - informe'!$E$26),0,(C5448&gt;='Resultats - informe'!$D$27)*(C5448&lt;='Resultats - informe'!$E$27),0,(C5448&gt;='Resultats - informe'!$D$28)*(C5448&lt;='Resultats - informe'!$E$28),0,(C5448&gt;='Resultats - informe'!$D$29)*(C5448&lt;='Resultats - informe'!$E$29),0,1,1)</f>
        <v>0</v>
      </c>
      <c r="N5448" s="366">
        <f>+VLOOKUP(D5448,'Resultats - informe'!$Y$18:$AG$42,'Introducció dades consum'!K5448+1,0)</f>
        <v>0</v>
      </c>
      <c r="O5448" s="370" cm="1">
        <f t="array" ref="O5448">+_xlfn.SWITCH(MONTH(C5448),1,1,2,1,3,1,4,2,5,2,6,3,7,3,8,3,9,3,10,2,11,2,12,1,2)</f>
        <v>1</v>
      </c>
      <c r="P5448" s="43"/>
    </row>
    <row r="5449" spans="1:16" ht="18" x14ac:dyDescent="0.35">
      <c r="A5449" s="9"/>
      <c r="C5449" s="393"/>
      <c r="E5449" s="394"/>
      <c r="F5449" s="394">
        <v>0.06</v>
      </c>
      <c r="G5449" s="394"/>
      <c r="H5449" s="8" t="s">
        <v>235</v>
      </c>
      <c r="I5449" s="368">
        <f t="shared" si="256"/>
        <v>0</v>
      </c>
      <c r="J5449" s="365">
        <f t="shared" si="255"/>
        <v>0</v>
      </c>
      <c r="K5449" s="369">
        <f t="shared" si="257"/>
        <v>6</v>
      </c>
      <c r="L5449" s="369">
        <f>+IF((C5449&gt;='Resultats - informe'!$E$16)*(C5449&lt;='Resultats - informe'!$G$16),1,0)</f>
        <v>1</v>
      </c>
      <c r="M5449" s="369" cm="1">
        <f t="array" ref="M5449">+_xlfn.IFS((C5449&gt;='Resultats - informe'!$D$26)*(C5449&lt;='Resultats - informe'!$E$26),0,(C5449&gt;='Resultats - informe'!$D$27)*(C5449&lt;='Resultats - informe'!$E$27),0,(C5449&gt;='Resultats - informe'!$D$28)*(C5449&lt;='Resultats - informe'!$E$28),0,(C5449&gt;='Resultats - informe'!$D$29)*(C5449&lt;='Resultats - informe'!$E$29),0,1,1)</f>
        <v>0</v>
      </c>
      <c r="N5449" s="366">
        <f>+VLOOKUP(D5449,'Resultats - informe'!$Y$18:$AG$42,'Introducció dades consum'!K5449+1,0)</f>
        <v>0</v>
      </c>
      <c r="O5449" s="370" cm="1">
        <f t="array" ref="O5449">+_xlfn.SWITCH(MONTH(C5449),1,1,2,1,3,1,4,2,5,2,6,3,7,3,8,3,9,3,10,2,11,2,12,1,2)</f>
        <v>1</v>
      </c>
      <c r="P5449" s="43"/>
    </row>
    <row r="5450" spans="1:16" ht="18" x14ac:dyDescent="0.35">
      <c r="A5450" s="9"/>
      <c r="C5450" s="393"/>
      <c r="E5450" s="394"/>
      <c r="F5450" s="394">
        <v>0</v>
      </c>
      <c r="G5450" s="394"/>
      <c r="H5450" s="8" t="s">
        <v>235</v>
      </c>
      <c r="I5450" s="368">
        <f t="shared" si="256"/>
        <v>0</v>
      </c>
      <c r="J5450" s="365">
        <f t="shared" si="255"/>
        <v>0</v>
      </c>
      <c r="K5450" s="369">
        <f t="shared" si="257"/>
        <v>6</v>
      </c>
      <c r="L5450" s="369">
        <f>+IF((C5450&gt;='Resultats - informe'!$E$16)*(C5450&lt;='Resultats - informe'!$G$16),1,0)</f>
        <v>1</v>
      </c>
      <c r="M5450" s="369" cm="1">
        <f t="array" ref="M5450">+_xlfn.IFS((C5450&gt;='Resultats - informe'!$D$26)*(C5450&lt;='Resultats - informe'!$E$26),0,(C5450&gt;='Resultats - informe'!$D$27)*(C5450&lt;='Resultats - informe'!$E$27),0,(C5450&gt;='Resultats - informe'!$D$28)*(C5450&lt;='Resultats - informe'!$E$28),0,(C5450&gt;='Resultats - informe'!$D$29)*(C5450&lt;='Resultats - informe'!$E$29),0,1,1)</f>
        <v>0</v>
      </c>
      <c r="N5450" s="366">
        <f>+VLOOKUP(D5450,'Resultats - informe'!$Y$18:$AG$42,'Introducció dades consum'!K5450+1,0)</f>
        <v>0</v>
      </c>
      <c r="O5450" s="370" cm="1">
        <f t="array" ref="O5450">+_xlfn.SWITCH(MONTH(C5450),1,1,2,1,3,1,4,2,5,2,6,3,7,3,8,3,9,3,10,2,11,2,12,1,2)</f>
        <v>1</v>
      </c>
      <c r="P5450" s="43"/>
    </row>
    <row r="5451" spans="1:16" ht="18" x14ac:dyDescent="0.35">
      <c r="A5451" s="9"/>
      <c r="C5451" s="393"/>
      <c r="E5451" s="394"/>
      <c r="F5451" s="394">
        <v>0</v>
      </c>
      <c r="G5451" s="394"/>
      <c r="H5451" s="8" t="s">
        <v>235</v>
      </c>
      <c r="I5451" s="368">
        <f t="shared" si="256"/>
        <v>0</v>
      </c>
      <c r="J5451" s="365">
        <f t="shared" si="255"/>
        <v>0</v>
      </c>
      <c r="K5451" s="369">
        <f t="shared" si="257"/>
        <v>6</v>
      </c>
      <c r="L5451" s="369">
        <f>+IF((C5451&gt;='Resultats - informe'!$E$16)*(C5451&lt;='Resultats - informe'!$G$16),1,0)</f>
        <v>1</v>
      </c>
      <c r="M5451" s="369" cm="1">
        <f t="array" ref="M5451">+_xlfn.IFS((C5451&gt;='Resultats - informe'!$D$26)*(C5451&lt;='Resultats - informe'!$E$26),0,(C5451&gt;='Resultats - informe'!$D$27)*(C5451&lt;='Resultats - informe'!$E$27),0,(C5451&gt;='Resultats - informe'!$D$28)*(C5451&lt;='Resultats - informe'!$E$28),0,(C5451&gt;='Resultats - informe'!$D$29)*(C5451&lt;='Resultats - informe'!$E$29),0,1,1)</f>
        <v>0</v>
      </c>
      <c r="N5451" s="366">
        <f>+VLOOKUP(D5451,'Resultats - informe'!$Y$18:$AG$42,'Introducció dades consum'!K5451+1,0)</f>
        <v>0</v>
      </c>
      <c r="O5451" s="370" cm="1">
        <f t="array" ref="O5451">+_xlfn.SWITCH(MONTH(C5451),1,1,2,1,3,1,4,2,5,2,6,3,7,3,8,3,9,3,10,2,11,2,12,1,2)</f>
        <v>1</v>
      </c>
      <c r="P5451" s="43"/>
    </row>
    <row r="5452" spans="1:16" ht="18" x14ac:dyDescent="0.35">
      <c r="A5452" s="9"/>
      <c r="C5452" s="393"/>
      <c r="E5452" s="394"/>
      <c r="F5452" s="394">
        <v>7.9000000000000001E-2</v>
      </c>
      <c r="G5452" s="394"/>
      <c r="H5452" s="8" t="s">
        <v>235</v>
      </c>
      <c r="I5452" s="368">
        <f t="shared" si="256"/>
        <v>0</v>
      </c>
      <c r="J5452" s="365">
        <f t="shared" si="255"/>
        <v>0</v>
      </c>
      <c r="K5452" s="369">
        <f t="shared" si="257"/>
        <v>6</v>
      </c>
      <c r="L5452" s="369">
        <f>+IF((C5452&gt;='Resultats - informe'!$E$16)*(C5452&lt;='Resultats - informe'!$G$16),1,0)</f>
        <v>1</v>
      </c>
      <c r="M5452" s="369" cm="1">
        <f t="array" ref="M5452">+_xlfn.IFS((C5452&gt;='Resultats - informe'!$D$26)*(C5452&lt;='Resultats - informe'!$E$26),0,(C5452&gt;='Resultats - informe'!$D$27)*(C5452&lt;='Resultats - informe'!$E$27),0,(C5452&gt;='Resultats - informe'!$D$28)*(C5452&lt;='Resultats - informe'!$E$28),0,(C5452&gt;='Resultats - informe'!$D$29)*(C5452&lt;='Resultats - informe'!$E$29),0,1,1)</f>
        <v>0</v>
      </c>
      <c r="N5452" s="366">
        <f>+VLOOKUP(D5452,'Resultats - informe'!$Y$18:$AG$42,'Introducció dades consum'!K5452+1,0)</f>
        <v>0</v>
      </c>
      <c r="O5452" s="370" cm="1">
        <f t="array" ref="O5452">+_xlfn.SWITCH(MONTH(C5452),1,1,2,1,3,1,4,2,5,2,6,3,7,3,8,3,9,3,10,2,11,2,12,1,2)</f>
        <v>1</v>
      </c>
      <c r="P5452" s="43"/>
    </row>
    <row r="5453" spans="1:16" ht="18" x14ac:dyDescent="0.35">
      <c r="A5453" s="9"/>
      <c r="C5453" s="393"/>
      <c r="E5453" s="394"/>
      <c r="F5453" s="394">
        <v>0.44900000000000001</v>
      </c>
      <c r="G5453" s="394"/>
      <c r="H5453" s="8" t="s">
        <v>235</v>
      </c>
      <c r="I5453" s="368">
        <f t="shared" si="256"/>
        <v>0</v>
      </c>
      <c r="J5453" s="365">
        <f t="shared" si="255"/>
        <v>0</v>
      </c>
      <c r="K5453" s="369">
        <f t="shared" si="257"/>
        <v>6</v>
      </c>
      <c r="L5453" s="369">
        <f>+IF((C5453&gt;='Resultats - informe'!$E$16)*(C5453&lt;='Resultats - informe'!$G$16),1,0)</f>
        <v>1</v>
      </c>
      <c r="M5453" s="369" cm="1">
        <f t="array" ref="M5453">+_xlfn.IFS((C5453&gt;='Resultats - informe'!$D$26)*(C5453&lt;='Resultats - informe'!$E$26),0,(C5453&gt;='Resultats - informe'!$D$27)*(C5453&lt;='Resultats - informe'!$E$27),0,(C5453&gt;='Resultats - informe'!$D$28)*(C5453&lt;='Resultats - informe'!$E$28),0,(C5453&gt;='Resultats - informe'!$D$29)*(C5453&lt;='Resultats - informe'!$E$29),0,1,1)</f>
        <v>0</v>
      </c>
      <c r="N5453" s="366">
        <f>+VLOOKUP(D5453,'Resultats - informe'!$Y$18:$AG$42,'Introducció dades consum'!K5453+1,0)</f>
        <v>0</v>
      </c>
      <c r="O5453" s="370" cm="1">
        <f t="array" ref="O5453">+_xlfn.SWITCH(MONTH(C5453),1,1,2,1,3,1,4,2,5,2,6,3,7,3,8,3,9,3,10,2,11,2,12,1,2)</f>
        <v>1</v>
      </c>
      <c r="P5453" s="43"/>
    </row>
    <row r="5454" spans="1:16" ht="18" x14ac:dyDescent="0.35">
      <c r="A5454" s="9"/>
      <c r="C5454" s="393"/>
      <c r="E5454" s="394"/>
      <c r="F5454" s="394">
        <v>0.44800000000000001</v>
      </c>
      <c r="G5454" s="394"/>
      <c r="H5454" s="8" t="s">
        <v>235</v>
      </c>
      <c r="I5454" s="368">
        <f t="shared" si="256"/>
        <v>0</v>
      </c>
      <c r="J5454" s="365">
        <f t="shared" si="255"/>
        <v>0</v>
      </c>
      <c r="K5454" s="369">
        <f t="shared" si="257"/>
        <v>6</v>
      </c>
      <c r="L5454" s="369">
        <f>+IF((C5454&gt;='Resultats - informe'!$E$16)*(C5454&lt;='Resultats - informe'!$G$16),1,0)</f>
        <v>1</v>
      </c>
      <c r="M5454" s="369" cm="1">
        <f t="array" ref="M5454">+_xlfn.IFS((C5454&gt;='Resultats - informe'!$D$26)*(C5454&lt;='Resultats - informe'!$E$26),0,(C5454&gt;='Resultats - informe'!$D$27)*(C5454&lt;='Resultats - informe'!$E$27),0,(C5454&gt;='Resultats - informe'!$D$28)*(C5454&lt;='Resultats - informe'!$E$28),0,(C5454&gt;='Resultats - informe'!$D$29)*(C5454&lt;='Resultats - informe'!$E$29),0,1,1)</f>
        <v>0</v>
      </c>
      <c r="N5454" s="366">
        <f>+VLOOKUP(D5454,'Resultats - informe'!$Y$18:$AG$42,'Introducció dades consum'!K5454+1,0)</f>
        <v>0</v>
      </c>
      <c r="O5454" s="370" cm="1">
        <f t="array" ref="O5454">+_xlfn.SWITCH(MONTH(C5454),1,1,2,1,3,1,4,2,5,2,6,3,7,3,8,3,9,3,10,2,11,2,12,1,2)</f>
        <v>1</v>
      </c>
      <c r="P5454" s="43"/>
    </row>
    <row r="5455" spans="1:16" ht="18" x14ac:dyDescent="0.35">
      <c r="A5455" s="9"/>
      <c r="C5455" s="393"/>
      <c r="E5455" s="394"/>
      <c r="F5455" s="394">
        <v>0.44800000000000001</v>
      </c>
      <c r="G5455" s="394"/>
      <c r="H5455" s="8" t="s">
        <v>235</v>
      </c>
      <c r="I5455" s="368">
        <f t="shared" si="256"/>
        <v>0</v>
      </c>
      <c r="J5455" s="365">
        <f t="shared" si="255"/>
        <v>0</v>
      </c>
      <c r="K5455" s="369">
        <f t="shared" si="257"/>
        <v>6</v>
      </c>
      <c r="L5455" s="369">
        <f>+IF((C5455&gt;='Resultats - informe'!$E$16)*(C5455&lt;='Resultats - informe'!$G$16),1,0)</f>
        <v>1</v>
      </c>
      <c r="M5455" s="369" cm="1">
        <f t="array" ref="M5455">+_xlfn.IFS((C5455&gt;='Resultats - informe'!$D$26)*(C5455&lt;='Resultats - informe'!$E$26),0,(C5455&gt;='Resultats - informe'!$D$27)*(C5455&lt;='Resultats - informe'!$E$27),0,(C5455&gt;='Resultats - informe'!$D$28)*(C5455&lt;='Resultats - informe'!$E$28),0,(C5455&gt;='Resultats - informe'!$D$29)*(C5455&lt;='Resultats - informe'!$E$29),0,1,1)</f>
        <v>0</v>
      </c>
      <c r="N5455" s="366">
        <f>+VLOOKUP(D5455,'Resultats - informe'!$Y$18:$AG$42,'Introducció dades consum'!K5455+1,0)</f>
        <v>0</v>
      </c>
      <c r="O5455" s="370" cm="1">
        <f t="array" ref="O5455">+_xlfn.SWITCH(MONTH(C5455),1,1,2,1,3,1,4,2,5,2,6,3,7,3,8,3,9,3,10,2,11,2,12,1,2)</f>
        <v>1</v>
      </c>
      <c r="P5455" s="43"/>
    </row>
    <row r="5456" spans="1:16" ht="18" x14ac:dyDescent="0.35">
      <c r="A5456" s="9"/>
      <c r="C5456" s="393"/>
      <c r="E5456" s="394"/>
      <c r="F5456" s="394">
        <v>0.45</v>
      </c>
      <c r="G5456" s="394"/>
      <c r="H5456" s="8" t="s">
        <v>235</v>
      </c>
      <c r="I5456" s="368">
        <f t="shared" si="256"/>
        <v>0</v>
      </c>
      <c r="J5456" s="365">
        <f t="shared" si="255"/>
        <v>0</v>
      </c>
      <c r="K5456" s="369">
        <f t="shared" si="257"/>
        <v>6</v>
      </c>
      <c r="L5456" s="369">
        <f>+IF((C5456&gt;='Resultats - informe'!$E$16)*(C5456&lt;='Resultats - informe'!$G$16),1,0)</f>
        <v>1</v>
      </c>
      <c r="M5456" s="369" cm="1">
        <f t="array" ref="M5456">+_xlfn.IFS((C5456&gt;='Resultats - informe'!$D$26)*(C5456&lt;='Resultats - informe'!$E$26),0,(C5456&gt;='Resultats - informe'!$D$27)*(C5456&lt;='Resultats - informe'!$E$27),0,(C5456&gt;='Resultats - informe'!$D$28)*(C5456&lt;='Resultats - informe'!$E$28),0,(C5456&gt;='Resultats - informe'!$D$29)*(C5456&lt;='Resultats - informe'!$E$29),0,1,1)</f>
        <v>0</v>
      </c>
      <c r="N5456" s="366">
        <f>+VLOOKUP(D5456,'Resultats - informe'!$Y$18:$AG$42,'Introducció dades consum'!K5456+1,0)</f>
        <v>0</v>
      </c>
      <c r="O5456" s="370" cm="1">
        <f t="array" ref="O5456">+_xlfn.SWITCH(MONTH(C5456),1,1,2,1,3,1,4,2,5,2,6,3,7,3,8,3,9,3,10,2,11,2,12,1,2)</f>
        <v>1</v>
      </c>
      <c r="P5456" s="43"/>
    </row>
    <row r="5457" spans="1:16" ht="18" x14ac:dyDescent="0.35">
      <c r="A5457" s="9"/>
      <c r="C5457" s="393"/>
      <c r="E5457" s="394"/>
      <c r="F5457" s="394">
        <v>0.45</v>
      </c>
      <c r="G5457" s="394"/>
      <c r="H5457" s="8" t="s">
        <v>235</v>
      </c>
      <c r="I5457" s="368">
        <f t="shared" si="256"/>
        <v>0</v>
      </c>
      <c r="J5457" s="365">
        <f t="shared" si="255"/>
        <v>0</v>
      </c>
      <c r="K5457" s="369">
        <f t="shared" si="257"/>
        <v>6</v>
      </c>
      <c r="L5457" s="369">
        <f>+IF((C5457&gt;='Resultats - informe'!$E$16)*(C5457&lt;='Resultats - informe'!$G$16),1,0)</f>
        <v>1</v>
      </c>
      <c r="M5457" s="369" cm="1">
        <f t="array" ref="M5457">+_xlfn.IFS((C5457&gt;='Resultats - informe'!$D$26)*(C5457&lt;='Resultats - informe'!$E$26),0,(C5457&gt;='Resultats - informe'!$D$27)*(C5457&lt;='Resultats - informe'!$E$27),0,(C5457&gt;='Resultats - informe'!$D$28)*(C5457&lt;='Resultats - informe'!$E$28),0,(C5457&gt;='Resultats - informe'!$D$29)*(C5457&lt;='Resultats - informe'!$E$29),0,1,1)</f>
        <v>0</v>
      </c>
      <c r="N5457" s="366">
        <f>+VLOOKUP(D5457,'Resultats - informe'!$Y$18:$AG$42,'Introducció dades consum'!K5457+1,0)</f>
        <v>0</v>
      </c>
      <c r="O5457" s="370" cm="1">
        <f t="array" ref="O5457">+_xlfn.SWITCH(MONTH(C5457),1,1,2,1,3,1,4,2,5,2,6,3,7,3,8,3,9,3,10,2,11,2,12,1,2)</f>
        <v>1</v>
      </c>
      <c r="P5457" s="43"/>
    </row>
    <row r="5458" spans="1:16" ht="18" x14ac:dyDescent="0.35">
      <c r="A5458" s="9"/>
      <c r="C5458" s="393"/>
      <c r="E5458" s="394"/>
      <c r="F5458" s="394">
        <v>0.433</v>
      </c>
      <c r="G5458" s="394"/>
      <c r="H5458" s="8" t="s">
        <v>235</v>
      </c>
      <c r="I5458" s="368">
        <f t="shared" si="256"/>
        <v>0</v>
      </c>
      <c r="J5458" s="365">
        <f t="shared" si="255"/>
        <v>0</v>
      </c>
      <c r="K5458" s="369">
        <f t="shared" si="257"/>
        <v>6</v>
      </c>
      <c r="L5458" s="369">
        <f>+IF((C5458&gt;='Resultats - informe'!$E$16)*(C5458&lt;='Resultats - informe'!$G$16),1,0)</f>
        <v>1</v>
      </c>
      <c r="M5458" s="369" cm="1">
        <f t="array" ref="M5458">+_xlfn.IFS((C5458&gt;='Resultats - informe'!$D$26)*(C5458&lt;='Resultats - informe'!$E$26),0,(C5458&gt;='Resultats - informe'!$D$27)*(C5458&lt;='Resultats - informe'!$E$27),0,(C5458&gt;='Resultats - informe'!$D$28)*(C5458&lt;='Resultats - informe'!$E$28),0,(C5458&gt;='Resultats - informe'!$D$29)*(C5458&lt;='Resultats - informe'!$E$29),0,1,1)</f>
        <v>0</v>
      </c>
      <c r="N5458" s="366">
        <f>+VLOOKUP(D5458,'Resultats - informe'!$Y$18:$AG$42,'Introducció dades consum'!K5458+1,0)</f>
        <v>0</v>
      </c>
      <c r="O5458" s="370" cm="1">
        <f t="array" ref="O5458">+_xlfn.SWITCH(MONTH(C5458),1,1,2,1,3,1,4,2,5,2,6,3,7,3,8,3,9,3,10,2,11,2,12,1,2)</f>
        <v>1</v>
      </c>
      <c r="P5458" s="43"/>
    </row>
    <row r="5459" spans="1:16" ht="18" x14ac:dyDescent="0.35">
      <c r="A5459" s="9"/>
      <c r="C5459" s="393"/>
      <c r="E5459" s="394"/>
      <c r="F5459" s="394">
        <v>0.42699999999999999</v>
      </c>
      <c r="G5459" s="394"/>
      <c r="H5459" s="8" t="s">
        <v>235</v>
      </c>
      <c r="I5459" s="368">
        <f t="shared" si="256"/>
        <v>0</v>
      </c>
      <c r="J5459" s="365">
        <f t="shared" si="255"/>
        <v>0</v>
      </c>
      <c r="K5459" s="369">
        <f t="shared" si="257"/>
        <v>6</v>
      </c>
      <c r="L5459" s="369">
        <f>+IF((C5459&gt;='Resultats - informe'!$E$16)*(C5459&lt;='Resultats - informe'!$G$16),1,0)</f>
        <v>1</v>
      </c>
      <c r="M5459" s="369" cm="1">
        <f t="array" ref="M5459">+_xlfn.IFS((C5459&gt;='Resultats - informe'!$D$26)*(C5459&lt;='Resultats - informe'!$E$26),0,(C5459&gt;='Resultats - informe'!$D$27)*(C5459&lt;='Resultats - informe'!$E$27),0,(C5459&gt;='Resultats - informe'!$D$28)*(C5459&lt;='Resultats - informe'!$E$28),0,(C5459&gt;='Resultats - informe'!$D$29)*(C5459&lt;='Resultats - informe'!$E$29),0,1,1)</f>
        <v>0</v>
      </c>
      <c r="N5459" s="366">
        <f>+VLOOKUP(D5459,'Resultats - informe'!$Y$18:$AG$42,'Introducció dades consum'!K5459+1,0)</f>
        <v>0</v>
      </c>
      <c r="O5459" s="370" cm="1">
        <f t="array" ref="O5459">+_xlfn.SWITCH(MONTH(C5459),1,1,2,1,3,1,4,2,5,2,6,3,7,3,8,3,9,3,10,2,11,2,12,1,2)</f>
        <v>1</v>
      </c>
      <c r="P5459" s="43"/>
    </row>
    <row r="5460" spans="1:16" ht="18" x14ac:dyDescent="0.35">
      <c r="A5460" s="9"/>
      <c r="C5460" s="393"/>
      <c r="E5460" s="394"/>
      <c r="F5460" s="394">
        <v>0.45500000000000002</v>
      </c>
      <c r="G5460" s="394"/>
      <c r="H5460" s="8" t="s">
        <v>235</v>
      </c>
      <c r="I5460" s="368">
        <f t="shared" si="256"/>
        <v>0</v>
      </c>
      <c r="J5460" s="365">
        <f t="shared" si="255"/>
        <v>0</v>
      </c>
      <c r="K5460" s="369">
        <f t="shared" si="257"/>
        <v>6</v>
      </c>
      <c r="L5460" s="369">
        <f>+IF((C5460&gt;='Resultats - informe'!$E$16)*(C5460&lt;='Resultats - informe'!$G$16),1,0)</f>
        <v>1</v>
      </c>
      <c r="M5460" s="369" cm="1">
        <f t="array" ref="M5460">+_xlfn.IFS((C5460&gt;='Resultats - informe'!$D$26)*(C5460&lt;='Resultats - informe'!$E$26),0,(C5460&gt;='Resultats - informe'!$D$27)*(C5460&lt;='Resultats - informe'!$E$27),0,(C5460&gt;='Resultats - informe'!$D$28)*(C5460&lt;='Resultats - informe'!$E$28),0,(C5460&gt;='Resultats - informe'!$D$29)*(C5460&lt;='Resultats - informe'!$E$29),0,1,1)</f>
        <v>0</v>
      </c>
      <c r="N5460" s="366">
        <f>+VLOOKUP(D5460,'Resultats - informe'!$Y$18:$AG$42,'Introducció dades consum'!K5460+1,0)</f>
        <v>0</v>
      </c>
      <c r="O5460" s="370" cm="1">
        <f t="array" ref="O5460">+_xlfn.SWITCH(MONTH(C5460),1,1,2,1,3,1,4,2,5,2,6,3,7,3,8,3,9,3,10,2,11,2,12,1,2)</f>
        <v>1</v>
      </c>
      <c r="P5460" s="43"/>
    </row>
    <row r="5461" spans="1:16" ht="18" x14ac:dyDescent="0.35">
      <c r="A5461" s="9"/>
      <c r="C5461" s="393"/>
      <c r="E5461" s="394"/>
      <c r="F5461" s="394">
        <v>0</v>
      </c>
      <c r="G5461" s="394"/>
      <c r="H5461" s="8" t="s">
        <v>235</v>
      </c>
      <c r="I5461" s="368">
        <f t="shared" si="256"/>
        <v>0</v>
      </c>
      <c r="J5461" s="365">
        <f t="shared" si="255"/>
        <v>0</v>
      </c>
      <c r="K5461" s="369">
        <f t="shared" si="257"/>
        <v>6</v>
      </c>
      <c r="L5461" s="369">
        <f>+IF((C5461&gt;='Resultats - informe'!$E$16)*(C5461&lt;='Resultats - informe'!$G$16),1,0)</f>
        <v>1</v>
      </c>
      <c r="M5461" s="369" cm="1">
        <f t="array" ref="M5461">+_xlfn.IFS((C5461&gt;='Resultats - informe'!$D$26)*(C5461&lt;='Resultats - informe'!$E$26),0,(C5461&gt;='Resultats - informe'!$D$27)*(C5461&lt;='Resultats - informe'!$E$27),0,(C5461&gt;='Resultats - informe'!$D$28)*(C5461&lt;='Resultats - informe'!$E$28),0,(C5461&gt;='Resultats - informe'!$D$29)*(C5461&lt;='Resultats - informe'!$E$29),0,1,1)</f>
        <v>0</v>
      </c>
      <c r="N5461" s="366">
        <f>+VLOOKUP(D5461,'Resultats - informe'!$Y$18:$AG$42,'Introducció dades consum'!K5461+1,0)</f>
        <v>0</v>
      </c>
      <c r="O5461" s="370" cm="1">
        <f t="array" ref="O5461">+_xlfn.SWITCH(MONTH(C5461),1,1,2,1,3,1,4,2,5,2,6,3,7,3,8,3,9,3,10,2,11,2,12,1,2)</f>
        <v>1</v>
      </c>
      <c r="P5461" s="43"/>
    </row>
    <row r="5462" spans="1:16" ht="18" x14ac:dyDescent="0.35">
      <c r="A5462" s="9"/>
      <c r="C5462" s="393"/>
      <c r="E5462" s="394"/>
      <c r="F5462" s="394">
        <v>0</v>
      </c>
      <c r="G5462" s="394"/>
      <c r="H5462" s="8" t="s">
        <v>235</v>
      </c>
      <c r="I5462" s="368">
        <f t="shared" si="256"/>
        <v>0</v>
      </c>
      <c r="J5462" s="365">
        <f t="shared" si="255"/>
        <v>0</v>
      </c>
      <c r="K5462" s="369">
        <f t="shared" si="257"/>
        <v>6</v>
      </c>
      <c r="L5462" s="369">
        <f>+IF((C5462&gt;='Resultats - informe'!$E$16)*(C5462&lt;='Resultats - informe'!$G$16),1,0)</f>
        <v>1</v>
      </c>
      <c r="M5462" s="369" cm="1">
        <f t="array" ref="M5462">+_xlfn.IFS((C5462&gt;='Resultats - informe'!$D$26)*(C5462&lt;='Resultats - informe'!$E$26),0,(C5462&gt;='Resultats - informe'!$D$27)*(C5462&lt;='Resultats - informe'!$E$27),0,(C5462&gt;='Resultats - informe'!$D$28)*(C5462&lt;='Resultats - informe'!$E$28),0,(C5462&gt;='Resultats - informe'!$D$29)*(C5462&lt;='Resultats - informe'!$E$29),0,1,1)</f>
        <v>0</v>
      </c>
      <c r="N5462" s="366">
        <f>+VLOOKUP(D5462,'Resultats - informe'!$Y$18:$AG$42,'Introducció dades consum'!K5462+1,0)</f>
        <v>0</v>
      </c>
      <c r="O5462" s="370" cm="1">
        <f t="array" ref="O5462">+_xlfn.SWITCH(MONTH(C5462),1,1,2,1,3,1,4,2,5,2,6,3,7,3,8,3,9,3,10,2,11,2,12,1,2)</f>
        <v>1</v>
      </c>
      <c r="P5462" s="43"/>
    </row>
    <row r="5463" spans="1:16" ht="18" x14ac:dyDescent="0.35">
      <c r="A5463" s="9"/>
      <c r="C5463" s="393"/>
      <c r="E5463" s="394"/>
      <c r="F5463" s="394">
        <v>0</v>
      </c>
      <c r="G5463" s="394"/>
      <c r="H5463" s="8" t="s">
        <v>235</v>
      </c>
      <c r="I5463" s="368">
        <f t="shared" si="256"/>
        <v>0</v>
      </c>
      <c r="J5463" s="365">
        <f t="shared" si="255"/>
        <v>0</v>
      </c>
      <c r="K5463" s="369">
        <f t="shared" si="257"/>
        <v>6</v>
      </c>
      <c r="L5463" s="369">
        <f>+IF((C5463&gt;='Resultats - informe'!$E$16)*(C5463&lt;='Resultats - informe'!$G$16),1,0)</f>
        <v>1</v>
      </c>
      <c r="M5463" s="369" cm="1">
        <f t="array" ref="M5463">+_xlfn.IFS((C5463&gt;='Resultats - informe'!$D$26)*(C5463&lt;='Resultats - informe'!$E$26),0,(C5463&gt;='Resultats - informe'!$D$27)*(C5463&lt;='Resultats - informe'!$E$27),0,(C5463&gt;='Resultats - informe'!$D$28)*(C5463&lt;='Resultats - informe'!$E$28),0,(C5463&gt;='Resultats - informe'!$D$29)*(C5463&lt;='Resultats - informe'!$E$29),0,1,1)</f>
        <v>0</v>
      </c>
      <c r="N5463" s="366">
        <f>+VLOOKUP(D5463,'Resultats - informe'!$Y$18:$AG$42,'Introducció dades consum'!K5463+1,0)</f>
        <v>0</v>
      </c>
      <c r="O5463" s="370" cm="1">
        <f t="array" ref="O5463">+_xlfn.SWITCH(MONTH(C5463),1,1,2,1,3,1,4,2,5,2,6,3,7,3,8,3,9,3,10,2,11,2,12,1,2)</f>
        <v>1</v>
      </c>
      <c r="P5463" s="43"/>
    </row>
    <row r="5464" spans="1:16" ht="18" x14ac:dyDescent="0.35">
      <c r="A5464" s="9"/>
      <c r="C5464" s="393"/>
      <c r="E5464" s="394"/>
      <c r="F5464" s="394">
        <v>0</v>
      </c>
      <c r="G5464" s="394"/>
      <c r="H5464" s="8" t="s">
        <v>235</v>
      </c>
      <c r="I5464" s="368">
        <f t="shared" si="256"/>
        <v>0</v>
      </c>
      <c r="J5464" s="365">
        <f t="shared" si="255"/>
        <v>0</v>
      </c>
      <c r="K5464" s="369">
        <f t="shared" si="257"/>
        <v>6</v>
      </c>
      <c r="L5464" s="369">
        <f>+IF((C5464&gt;='Resultats - informe'!$E$16)*(C5464&lt;='Resultats - informe'!$G$16),1,0)</f>
        <v>1</v>
      </c>
      <c r="M5464" s="369" cm="1">
        <f t="array" ref="M5464">+_xlfn.IFS((C5464&gt;='Resultats - informe'!$D$26)*(C5464&lt;='Resultats - informe'!$E$26),0,(C5464&gt;='Resultats - informe'!$D$27)*(C5464&lt;='Resultats - informe'!$E$27),0,(C5464&gt;='Resultats - informe'!$D$28)*(C5464&lt;='Resultats - informe'!$E$28),0,(C5464&gt;='Resultats - informe'!$D$29)*(C5464&lt;='Resultats - informe'!$E$29),0,1,1)</f>
        <v>0</v>
      </c>
      <c r="N5464" s="366">
        <f>+VLOOKUP(D5464,'Resultats - informe'!$Y$18:$AG$42,'Introducció dades consum'!K5464+1,0)</f>
        <v>0</v>
      </c>
      <c r="O5464" s="370" cm="1">
        <f t="array" ref="O5464">+_xlfn.SWITCH(MONTH(C5464),1,1,2,1,3,1,4,2,5,2,6,3,7,3,8,3,9,3,10,2,11,2,12,1,2)</f>
        <v>1</v>
      </c>
      <c r="P5464" s="43"/>
    </row>
    <row r="5465" spans="1:16" ht="18" x14ac:dyDescent="0.35">
      <c r="A5465" s="9"/>
      <c r="C5465" s="393"/>
      <c r="E5465" s="394"/>
      <c r="F5465" s="394">
        <v>0.27500000000000002</v>
      </c>
      <c r="G5465" s="394"/>
      <c r="H5465" s="8" t="s">
        <v>235</v>
      </c>
      <c r="I5465" s="368">
        <f t="shared" si="256"/>
        <v>0</v>
      </c>
      <c r="J5465" s="365">
        <f t="shared" si="255"/>
        <v>0</v>
      </c>
      <c r="K5465" s="369">
        <f t="shared" si="257"/>
        <v>6</v>
      </c>
      <c r="L5465" s="369">
        <f>+IF((C5465&gt;='Resultats - informe'!$E$16)*(C5465&lt;='Resultats - informe'!$G$16),1,0)</f>
        <v>1</v>
      </c>
      <c r="M5465" s="369" cm="1">
        <f t="array" ref="M5465">+_xlfn.IFS((C5465&gt;='Resultats - informe'!$D$26)*(C5465&lt;='Resultats - informe'!$E$26),0,(C5465&gt;='Resultats - informe'!$D$27)*(C5465&lt;='Resultats - informe'!$E$27),0,(C5465&gt;='Resultats - informe'!$D$28)*(C5465&lt;='Resultats - informe'!$E$28),0,(C5465&gt;='Resultats - informe'!$D$29)*(C5465&lt;='Resultats - informe'!$E$29),0,1,1)</f>
        <v>0</v>
      </c>
      <c r="N5465" s="366">
        <f>+VLOOKUP(D5465,'Resultats - informe'!$Y$18:$AG$42,'Introducció dades consum'!K5465+1,0)</f>
        <v>0</v>
      </c>
      <c r="O5465" s="370" cm="1">
        <f t="array" ref="O5465">+_xlfn.SWITCH(MONTH(C5465),1,1,2,1,3,1,4,2,5,2,6,3,7,3,8,3,9,3,10,2,11,2,12,1,2)</f>
        <v>1</v>
      </c>
      <c r="P5465" s="43"/>
    </row>
    <row r="5466" spans="1:16" ht="18" x14ac:dyDescent="0.35">
      <c r="A5466" s="9"/>
      <c r="C5466" s="393"/>
      <c r="E5466" s="394"/>
      <c r="F5466" s="394">
        <v>0.44900000000000001</v>
      </c>
      <c r="G5466" s="394"/>
      <c r="H5466" s="8" t="s">
        <v>235</v>
      </c>
      <c r="I5466" s="368">
        <f t="shared" si="256"/>
        <v>0</v>
      </c>
      <c r="J5466" s="365">
        <f t="shared" si="255"/>
        <v>0</v>
      </c>
      <c r="K5466" s="369">
        <f t="shared" si="257"/>
        <v>6</v>
      </c>
      <c r="L5466" s="369">
        <f>+IF((C5466&gt;='Resultats - informe'!$E$16)*(C5466&lt;='Resultats - informe'!$G$16),1,0)</f>
        <v>1</v>
      </c>
      <c r="M5466" s="369" cm="1">
        <f t="array" ref="M5466">+_xlfn.IFS((C5466&gt;='Resultats - informe'!$D$26)*(C5466&lt;='Resultats - informe'!$E$26),0,(C5466&gt;='Resultats - informe'!$D$27)*(C5466&lt;='Resultats - informe'!$E$27),0,(C5466&gt;='Resultats - informe'!$D$28)*(C5466&lt;='Resultats - informe'!$E$28),0,(C5466&gt;='Resultats - informe'!$D$29)*(C5466&lt;='Resultats - informe'!$E$29),0,1,1)</f>
        <v>0</v>
      </c>
      <c r="N5466" s="366">
        <f>+VLOOKUP(D5466,'Resultats - informe'!$Y$18:$AG$42,'Introducció dades consum'!K5466+1,0)</f>
        <v>0</v>
      </c>
      <c r="O5466" s="370" cm="1">
        <f t="array" ref="O5466">+_xlfn.SWITCH(MONTH(C5466),1,1,2,1,3,1,4,2,5,2,6,3,7,3,8,3,9,3,10,2,11,2,12,1,2)</f>
        <v>1</v>
      </c>
      <c r="P5466" s="43"/>
    </row>
    <row r="5467" spans="1:16" ht="18" x14ac:dyDescent="0.35">
      <c r="A5467" s="9"/>
      <c r="C5467" s="393"/>
      <c r="E5467" s="394"/>
      <c r="F5467" s="394">
        <v>0.44900000000000001</v>
      </c>
      <c r="G5467" s="394"/>
      <c r="H5467" s="8" t="s">
        <v>235</v>
      </c>
      <c r="I5467" s="368">
        <f t="shared" si="256"/>
        <v>0</v>
      </c>
      <c r="J5467" s="365">
        <f t="shared" si="255"/>
        <v>0</v>
      </c>
      <c r="K5467" s="369">
        <f t="shared" si="257"/>
        <v>6</v>
      </c>
      <c r="L5467" s="369">
        <f>+IF((C5467&gt;='Resultats - informe'!$E$16)*(C5467&lt;='Resultats - informe'!$G$16),1,0)</f>
        <v>1</v>
      </c>
      <c r="M5467" s="369" cm="1">
        <f t="array" ref="M5467">+_xlfn.IFS((C5467&gt;='Resultats - informe'!$D$26)*(C5467&lt;='Resultats - informe'!$E$26),0,(C5467&gt;='Resultats - informe'!$D$27)*(C5467&lt;='Resultats - informe'!$E$27),0,(C5467&gt;='Resultats - informe'!$D$28)*(C5467&lt;='Resultats - informe'!$E$28),0,(C5467&gt;='Resultats - informe'!$D$29)*(C5467&lt;='Resultats - informe'!$E$29),0,1,1)</f>
        <v>0</v>
      </c>
      <c r="N5467" s="366">
        <f>+VLOOKUP(D5467,'Resultats - informe'!$Y$18:$AG$42,'Introducció dades consum'!K5467+1,0)</f>
        <v>0</v>
      </c>
      <c r="O5467" s="370" cm="1">
        <f t="array" ref="O5467">+_xlfn.SWITCH(MONTH(C5467),1,1,2,1,3,1,4,2,5,2,6,3,7,3,8,3,9,3,10,2,11,2,12,1,2)</f>
        <v>1</v>
      </c>
      <c r="P5467" s="43"/>
    </row>
    <row r="5468" spans="1:16" ht="18" x14ac:dyDescent="0.35">
      <c r="A5468" s="9"/>
      <c r="C5468" s="393"/>
      <c r="E5468" s="394"/>
      <c r="F5468" s="394">
        <v>0.44900000000000001</v>
      </c>
      <c r="G5468" s="394"/>
      <c r="H5468" s="8" t="s">
        <v>235</v>
      </c>
      <c r="I5468" s="368">
        <f t="shared" si="256"/>
        <v>0</v>
      </c>
      <c r="J5468" s="365">
        <f t="shared" si="255"/>
        <v>0</v>
      </c>
      <c r="K5468" s="369">
        <f t="shared" si="257"/>
        <v>6</v>
      </c>
      <c r="L5468" s="369">
        <f>+IF((C5468&gt;='Resultats - informe'!$E$16)*(C5468&lt;='Resultats - informe'!$G$16),1,0)</f>
        <v>1</v>
      </c>
      <c r="M5468" s="369" cm="1">
        <f t="array" ref="M5468">+_xlfn.IFS((C5468&gt;='Resultats - informe'!$D$26)*(C5468&lt;='Resultats - informe'!$E$26),0,(C5468&gt;='Resultats - informe'!$D$27)*(C5468&lt;='Resultats - informe'!$E$27),0,(C5468&gt;='Resultats - informe'!$D$28)*(C5468&lt;='Resultats - informe'!$E$28),0,(C5468&gt;='Resultats - informe'!$D$29)*(C5468&lt;='Resultats - informe'!$E$29),0,1,1)</f>
        <v>0</v>
      </c>
      <c r="N5468" s="366">
        <f>+VLOOKUP(D5468,'Resultats - informe'!$Y$18:$AG$42,'Introducció dades consum'!K5468+1,0)</f>
        <v>0</v>
      </c>
      <c r="O5468" s="370" cm="1">
        <f t="array" ref="O5468">+_xlfn.SWITCH(MONTH(C5468),1,1,2,1,3,1,4,2,5,2,6,3,7,3,8,3,9,3,10,2,11,2,12,1,2)</f>
        <v>1</v>
      </c>
      <c r="P5468" s="43"/>
    </row>
    <row r="5469" spans="1:16" ht="18" x14ac:dyDescent="0.35">
      <c r="A5469" s="9"/>
      <c r="C5469" s="393"/>
      <c r="E5469" s="394"/>
      <c r="F5469" s="394">
        <v>0.44400000000000001</v>
      </c>
      <c r="G5469" s="394"/>
      <c r="H5469" s="8" t="s">
        <v>235</v>
      </c>
      <c r="I5469" s="368">
        <f t="shared" si="256"/>
        <v>0</v>
      </c>
      <c r="J5469" s="365">
        <f t="shared" si="255"/>
        <v>0</v>
      </c>
      <c r="K5469" s="369">
        <f t="shared" si="257"/>
        <v>6</v>
      </c>
      <c r="L5469" s="369">
        <f>+IF((C5469&gt;='Resultats - informe'!$E$16)*(C5469&lt;='Resultats - informe'!$G$16),1,0)</f>
        <v>1</v>
      </c>
      <c r="M5469" s="369" cm="1">
        <f t="array" ref="M5469">+_xlfn.IFS((C5469&gt;='Resultats - informe'!$D$26)*(C5469&lt;='Resultats - informe'!$E$26),0,(C5469&gt;='Resultats - informe'!$D$27)*(C5469&lt;='Resultats - informe'!$E$27),0,(C5469&gt;='Resultats - informe'!$D$28)*(C5469&lt;='Resultats - informe'!$E$28),0,(C5469&gt;='Resultats - informe'!$D$29)*(C5469&lt;='Resultats - informe'!$E$29),0,1,1)</f>
        <v>0</v>
      </c>
      <c r="N5469" s="366">
        <f>+VLOOKUP(D5469,'Resultats - informe'!$Y$18:$AG$42,'Introducció dades consum'!K5469+1,0)</f>
        <v>0</v>
      </c>
      <c r="O5469" s="370" cm="1">
        <f t="array" ref="O5469">+_xlfn.SWITCH(MONTH(C5469),1,1,2,1,3,1,4,2,5,2,6,3,7,3,8,3,9,3,10,2,11,2,12,1,2)</f>
        <v>1</v>
      </c>
      <c r="P5469" s="43"/>
    </row>
    <row r="5470" spans="1:16" ht="18" x14ac:dyDescent="0.35">
      <c r="A5470" s="9"/>
      <c r="C5470" s="393"/>
      <c r="E5470" s="394"/>
      <c r="F5470" s="394">
        <v>0.443</v>
      </c>
      <c r="G5470" s="394"/>
      <c r="H5470" s="8" t="s">
        <v>235</v>
      </c>
      <c r="I5470" s="368">
        <f t="shared" si="256"/>
        <v>0</v>
      </c>
      <c r="J5470" s="365">
        <f t="shared" si="255"/>
        <v>0</v>
      </c>
      <c r="K5470" s="369">
        <f t="shared" si="257"/>
        <v>6</v>
      </c>
      <c r="L5470" s="369">
        <f>+IF((C5470&gt;='Resultats - informe'!$E$16)*(C5470&lt;='Resultats - informe'!$G$16),1,0)</f>
        <v>1</v>
      </c>
      <c r="M5470" s="369" cm="1">
        <f t="array" ref="M5470">+_xlfn.IFS((C5470&gt;='Resultats - informe'!$D$26)*(C5470&lt;='Resultats - informe'!$E$26),0,(C5470&gt;='Resultats - informe'!$D$27)*(C5470&lt;='Resultats - informe'!$E$27),0,(C5470&gt;='Resultats - informe'!$D$28)*(C5470&lt;='Resultats - informe'!$E$28),0,(C5470&gt;='Resultats - informe'!$D$29)*(C5470&lt;='Resultats - informe'!$E$29),0,1,1)</f>
        <v>0</v>
      </c>
      <c r="N5470" s="366">
        <f>+VLOOKUP(D5470,'Resultats - informe'!$Y$18:$AG$42,'Introducció dades consum'!K5470+1,0)</f>
        <v>0</v>
      </c>
      <c r="O5470" s="370" cm="1">
        <f t="array" ref="O5470">+_xlfn.SWITCH(MONTH(C5470),1,1,2,1,3,1,4,2,5,2,6,3,7,3,8,3,9,3,10,2,11,2,12,1,2)</f>
        <v>1</v>
      </c>
      <c r="P5470" s="43"/>
    </row>
    <row r="5471" spans="1:16" ht="18" x14ac:dyDescent="0.35">
      <c r="A5471" s="9"/>
      <c r="C5471" s="393"/>
      <c r="E5471" s="394"/>
      <c r="F5471" s="394">
        <v>0.42499999999999999</v>
      </c>
      <c r="G5471" s="394"/>
      <c r="H5471" s="8" t="s">
        <v>235</v>
      </c>
      <c r="I5471" s="368">
        <f t="shared" si="256"/>
        <v>0</v>
      </c>
      <c r="J5471" s="365">
        <f t="shared" si="255"/>
        <v>0</v>
      </c>
      <c r="K5471" s="369">
        <f t="shared" si="257"/>
        <v>6</v>
      </c>
      <c r="L5471" s="369">
        <f>+IF((C5471&gt;='Resultats - informe'!$E$16)*(C5471&lt;='Resultats - informe'!$G$16),1,0)</f>
        <v>1</v>
      </c>
      <c r="M5471" s="369" cm="1">
        <f t="array" ref="M5471">+_xlfn.IFS((C5471&gt;='Resultats - informe'!$D$26)*(C5471&lt;='Resultats - informe'!$E$26),0,(C5471&gt;='Resultats - informe'!$D$27)*(C5471&lt;='Resultats - informe'!$E$27),0,(C5471&gt;='Resultats - informe'!$D$28)*(C5471&lt;='Resultats - informe'!$E$28),0,(C5471&gt;='Resultats - informe'!$D$29)*(C5471&lt;='Resultats - informe'!$E$29),0,1,1)</f>
        <v>0</v>
      </c>
      <c r="N5471" s="366">
        <f>+VLOOKUP(D5471,'Resultats - informe'!$Y$18:$AG$42,'Introducció dades consum'!K5471+1,0)</f>
        <v>0</v>
      </c>
      <c r="O5471" s="370" cm="1">
        <f t="array" ref="O5471">+_xlfn.SWITCH(MONTH(C5471),1,1,2,1,3,1,4,2,5,2,6,3,7,3,8,3,9,3,10,2,11,2,12,1,2)</f>
        <v>1</v>
      </c>
      <c r="P5471" s="43"/>
    </row>
    <row r="5472" spans="1:16" ht="18" x14ac:dyDescent="0.35">
      <c r="A5472" s="9"/>
      <c r="C5472" s="393"/>
      <c r="E5472" s="394"/>
      <c r="F5472" s="394">
        <v>0.442</v>
      </c>
      <c r="G5472" s="394"/>
      <c r="H5472" s="8" t="s">
        <v>235</v>
      </c>
      <c r="I5472" s="368">
        <f t="shared" si="256"/>
        <v>0</v>
      </c>
      <c r="J5472" s="365">
        <f t="shared" si="255"/>
        <v>0</v>
      </c>
      <c r="K5472" s="369">
        <f t="shared" si="257"/>
        <v>6</v>
      </c>
      <c r="L5472" s="369">
        <f>+IF((C5472&gt;='Resultats - informe'!$E$16)*(C5472&lt;='Resultats - informe'!$G$16),1,0)</f>
        <v>1</v>
      </c>
      <c r="M5472" s="369" cm="1">
        <f t="array" ref="M5472">+_xlfn.IFS((C5472&gt;='Resultats - informe'!$D$26)*(C5472&lt;='Resultats - informe'!$E$26),0,(C5472&gt;='Resultats - informe'!$D$27)*(C5472&lt;='Resultats - informe'!$E$27),0,(C5472&gt;='Resultats - informe'!$D$28)*(C5472&lt;='Resultats - informe'!$E$28),0,(C5472&gt;='Resultats - informe'!$D$29)*(C5472&lt;='Resultats - informe'!$E$29),0,1,1)</f>
        <v>0</v>
      </c>
      <c r="N5472" s="366">
        <f>+VLOOKUP(D5472,'Resultats - informe'!$Y$18:$AG$42,'Introducció dades consum'!K5472+1,0)</f>
        <v>0</v>
      </c>
      <c r="O5472" s="370" cm="1">
        <f t="array" ref="O5472">+_xlfn.SWITCH(MONTH(C5472),1,1,2,1,3,1,4,2,5,2,6,3,7,3,8,3,9,3,10,2,11,2,12,1,2)</f>
        <v>1</v>
      </c>
      <c r="P5472" s="43"/>
    </row>
    <row r="5473" spans="1:16" ht="18" x14ac:dyDescent="0.35">
      <c r="A5473" s="9"/>
      <c r="C5473" s="393"/>
      <c r="E5473" s="394"/>
      <c r="F5473" s="394">
        <v>2.8000000000000001E-2</v>
      </c>
      <c r="G5473" s="394"/>
      <c r="H5473" s="8" t="s">
        <v>235</v>
      </c>
      <c r="I5473" s="368">
        <f t="shared" si="256"/>
        <v>0</v>
      </c>
      <c r="J5473" s="365">
        <f t="shared" si="255"/>
        <v>0</v>
      </c>
      <c r="K5473" s="369">
        <f t="shared" si="257"/>
        <v>6</v>
      </c>
      <c r="L5473" s="369">
        <f>+IF((C5473&gt;='Resultats - informe'!$E$16)*(C5473&lt;='Resultats - informe'!$G$16),1,0)</f>
        <v>1</v>
      </c>
      <c r="M5473" s="369" cm="1">
        <f t="array" ref="M5473">+_xlfn.IFS((C5473&gt;='Resultats - informe'!$D$26)*(C5473&lt;='Resultats - informe'!$E$26),0,(C5473&gt;='Resultats - informe'!$D$27)*(C5473&lt;='Resultats - informe'!$E$27),0,(C5473&gt;='Resultats - informe'!$D$28)*(C5473&lt;='Resultats - informe'!$E$28),0,(C5473&gt;='Resultats - informe'!$D$29)*(C5473&lt;='Resultats - informe'!$E$29),0,1,1)</f>
        <v>0</v>
      </c>
      <c r="N5473" s="366">
        <f>+VLOOKUP(D5473,'Resultats - informe'!$Y$18:$AG$42,'Introducció dades consum'!K5473+1,0)</f>
        <v>0</v>
      </c>
      <c r="O5473" s="370" cm="1">
        <f t="array" ref="O5473">+_xlfn.SWITCH(MONTH(C5473),1,1,2,1,3,1,4,2,5,2,6,3,7,3,8,3,9,3,10,2,11,2,12,1,2)</f>
        <v>1</v>
      </c>
      <c r="P5473" s="43"/>
    </row>
    <row r="5474" spans="1:16" ht="18" x14ac:dyDescent="0.35">
      <c r="A5474" s="9"/>
      <c r="C5474" s="393"/>
      <c r="E5474" s="394"/>
      <c r="F5474" s="394">
        <v>0</v>
      </c>
      <c r="G5474" s="394"/>
      <c r="H5474" s="8" t="s">
        <v>235</v>
      </c>
      <c r="I5474" s="368">
        <f t="shared" si="256"/>
        <v>0</v>
      </c>
      <c r="J5474" s="365">
        <f t="shared" si="255"/>
        <v>0</v>
      </c>
      <c r="K5474" s="369">
        <f t="shared" si="257"/>
        <v>6</v>
      </c>
      <c r="L5474" s="369">
        <f>+IF((C5474&gt;='Resultats - informe'!$E$16)*(C5474&lt;='Resultats - informe'!$G$16),1,0)</f>
        <v>1</v>
      </c>
      <c r="M5474" s="369" cm="1">
        <f t="array" ref="M5474">+_xlfn.IFS((C5474&gt;='Resultats - informe'!$D$26)*(C5474&lt;='Resultats - informe'!$E$26),0,(C5474&gt;='Resultats - informe'!$D$27)*(C5474&lt;='Resultats - informe'!$E$27),0,(C5474&gt;='Resultats - informe'!$D$28)*(C5474&lt;='Resultats - informe'!$E$28),0,(C5474&gt;='Resultats - informe'!$D$29)*(C5474&lt;='Resultats - informe'!$E$29),0,1,1)</f>
        <v>0</v>
      </c>
      <c r="N5474" s="366">
        <f>+VLOOKUP(D5474,'Resultats - informe'!$Y$18:$AG$42,'Introducció dades consum'!K5474+1,0)</f>
        <v>0</v>
      </c>
      <c r="O5474" s="370" cm="1">
        <f t="array" ref="O5474">+_xlfn.SWITCH(MONTH(C5474),1,1,2,1,3,1,4,2,5,2,6,3,7,3,8,3,9,3,10,2,11,2,12,1,2)</f>
        <v>1</v>
      </c>
      <c r="P5474" s="43"/>
    </row>
    <row r="5475" spans="1:16" ht="18" x14ac:dyDescent="0.35">
      <c r="A5475" s="9"/>
      <c r="C5475" s="393"/>
      <c r="E5475" s="394"/>
      <c r="F5475" s="394">
        <v>0</v>
      </c>
      <c r="G5475" s="394"/>
      <c r="H5475" s="8" t="s">
        <v>235</v>
      </c>
      <c r="I5475" s="368">
        <f t="shared" si="256"/>
        <v>0</v>
      </c>
      <c r="J5475" s="365">
        <f t="shared" si="255"/>
        <v>0</v>
      </c>
      <c r="K5475" s="369">
        <f t="shared" si="257"/>
        <v>6</v>
      </c>
      <c r="L5475" s="369">
        <f>+IF((C5475&gt;='Resultats - informe'!$E$16)*(C5475&lt;='Resultats - informe'!$G$16),1,0)</f>
        <v>1</v>
      </c>
      <c r="M5475" s="369" cm="1">
        <f t="array" ref="M5475">+_xlfn.IFS((C5475&gt;='Resultats - informe'!$D$26)*(C5475&lt;='Resultats - informe'!$E$26),0,(C5475&gt;='Resultats - informe'!$D$27)*(C5475&lt;='Resultats - informe'!$E$27),0,(C5475&gt;='Resultats - informe'!$D$28)*(C5475&lt;='Resultats - informe'!$E$28),0,(C5475&gt;='Resultats - informe'!$D$29)*(C5475&lt;='Resultats - informe'!$E$29),0,1,1)</f>
        <v>0</v>
      </c>
      <c r="N5475" s="366">
        <f>+VLOOKUP(D5475,'Resultats - informe'!$Y$18:$AG$42,'Introducció dades consum'!K5475+1,0)</f>
        <v>0</v>
      </c>
      <c r="O5475" s="370" cm="1">
        <f t="array" ref="O5475">+_xlfn.SWITCH(MONTH(C5475),1,1,2,1,3,1,4,2,5,2,6,3,7,3,8,3,9,3,10,2,11,2,12,1,2)</f>
        <v>1</v>
      </c>
      <c r="P5475" s="43"/>
    </row>
    <row r="5476" spans="1:16" ht="18" x14ac:dyDescent="0.35">
      <c r="A5476" s="9"/>
      <c r="C5476" s="393"/>
      <c r="E5476" s="394"/>
      <c r="F5476" s="394">
        <v>7.0999999999999994E-2</v>
      </c>
      <c r="G5476" s="394"/>
      <c r="H5476" s="8" t="s">
        <v>235</v>
      </c>
      <c r="I5476" s="368">
        <f t="shared" si="256"/>
        <v>0</v>
      </c>
      <c r="J5476" s="365">
        <f t="shared" si="255"/>
        <v>0</v>
      </c>
      <c r="K5476" s="369">
        <f t="shared" si="257"/>
        <v>6</v>
      </c>
      <c r="L5476" s="369">
        <f>+IF((C5476&gt;='Resultats - informe'!$E$16)*(C5476&lt;='Resultats - informe'!$G$16),1,0)</f>
        <v>1</v>
      </c>
      <c r="M5476" s="369" cm="1">
        <f t="array" ref="M5476">+_xlfn.IFS((C5476&gt;='Resultats - informe'!$D$26)*(C5476&lt;='Resultats - informe'!$E$26),0,(C5476&gt;='Resultats - informe'!$D$27)*(C5476&lt;='Resultats - informe'!$E$27),0,(C5476&gt;='Resultats - informe'!$D$28)*(C5476&lt;='Resultats - informe'!$E$28),0,(C5476&gt;='Resultats - informe'!$D$29)*(C5476&lt;='Resultats - informe'!$E$29),0,1,1)</f>
        <v>0</v>
      </c>
      <c r="N5476" s="366">
        <f>+VLOOKUP(D5476,'Resultats - informe'!$Y$18:$AG$42,'Introducció dades consum'!K5476+1,0)</f>
        <v>0</v>
      </c>
      <c r="O5476" s="370" cm="1">
        <f t="array" ref="O5476">+_xlfn.SWITCH(MONTH(C5476),1,1,2,1,3,1,4,2,5,2,6,3,7,3,8,3,9,3,10,2,11,2,12,1,2)</f>
        <v>1</v>
      </c>
      <c r="P5476" s="43"/>
    </row>
    <row r="5477" spans="1:16" ht="18" x14ac:dyDescent="0.35">
      <c r="A5477" s="9"/>
      <c r="C5477" s="393"/>
      <c r="E5477" s="394"/>
      <c r="F5477" s="394">
        <v>0.441</v>
      </c>
      <c r="G5477" s="394"/>
      <c r="H5477" s="8" t="s">
        <v>235</v>
      </c>
      <c r="I5477" s="368">
        <f t="shared" si="256"/>
        <v>0</v>
      </c>
      <c r="J5477" s="365">
        <f t="shared" si="255"/>
        <v>0</v>
      </c>
      <c r="K5477" s="369">
        <f t="shared" si="257"/>
        <v>6</v>
      </c>
      <c r="L5477" s="369">
        <f>+IF((C5477&gt;='Resultats - informe'!$E$16)*(C5477&lt;='Resultats - informe'!$G$16),1,0)</f>
        <v>1</v>
      </c>
      <c r="M5477" s="369" cm="1">
        <f t="array" ref="M5477">+_xlfn.IFS((C5477&gt;='Resultats - informe'!$D$26)*(C5477&lt;='Resultats - informe'!$E$26),0,(C5477&gt;='Resultats - informe'!$D$27)*(C5477&lt;='Resultats - informe'!$E$27),0,(C5477&gt;='Resultats - informe'!$D$28)*(C5477&lt;='Resultats - informe'!$E$28),0,(C5477&gt;='Resultats - informe'!$D$29)*(C5477&lt;='Resultats - informe'!$E$29),0,1,1)</f>
        <v>0</v>
      </c>
      <c r="N5477" s="366">
        <f>+VLOOKUP(D5477,'Resultats - informe'!$Y$18:$AG$42,'Introducció dades consum'!K5477+1,0)</f>
        <v>0</v>
      </c>
      <c r="O5477" s="370" cm="1">
        <f t="array" ref="O5477">+_xlfn.SWITCH(MONTH(C5477),1,1,2,1,3,1,4,2,5,2,6,3,7,3,8,3,9,3,10,2,11,2,12,1,2)</f>
        <v>1</v>
      </c>
      <c r="P5477" s="43"/>
    </row>
    <row r="5478" spans="1:16" ht="18" x14ac:dyDescent="0.35">
      <c r="A5478" s="9"/>
      <c r="C5478" s="393"/>
      <c r="E5478" s="394"/>
      <c r="F5478" s="394">
        <v>0.442</v>
      </c>
      <c r="G5478" s="394"/>
      <c r="H5478" s="8" t="s">
        <v>235</v>
      </c>
      <c r="I5478" s="368">
        <f t="shared" si="256"/>
        <v>0</v>
      </c>
      <c r="J5478" s="365">
        <f t="shared" si="255"/>
        <v>0</v>
      </c>
      <c r="K5478" s="369">
        <f t="shared" si="257"/>
        <v>6</v>
      </c>
      <c r="L5478" s="369">
        <f>+IF((C5478&gt;='Resultats - informe'!$E$16)*(C5478&lt;='Resultats - informe'!$G$16),1,0)</f>
        <v>1</v>
      </c>
      <c r="M5478" s="369" cm="1">
        <f t="array" ref="M5478">+_xlfn.IFS((C5478&gt;='Resultats - informe'!$D$26)*(C5478&lt;='Resultats - informe'!$E$26),0,(C5478&gt;='Resultats - informe'!$D$27)*(C5478&lt;='Resultats - informe'!$E$27),0,(C5478&gt;='Resultats - informe'!$D$28)*(C5478&lt;='Resultats - informe'!$E$28),0,(C5478&gt;='Resultats - informe'!$D$29)*(C5478&lt;='Resultats - informe'!$E$29),0,1,1)</f>
        <v>0</v>
      </c>
      <c r="N5478" s="366">
        <f>+VLOOKUP(D5478,'Resultats - informe'!$Y$18:$AG$42,'Introducció dades consum'!K5478+1,0)</f>
        <v>0</v>
      </c>
      <c r="O5478" s="370" cm="1">
        <f t="array" ref="O5478">+_xlfn.SWITCH(MONTH(C5478),1,1,2,1,3,1,4,2,5,2,6,3,7,3,8,3,9,3,10,2,11,2,12,1,2)</f>
        <v>1</v>
      </c>
      <c r="P5478" s="43"/>
    </row>
    <row r="5479" spans="1:16" ht="18" x14ac:dyDescent="0.35">
      <c r="A5479" s="9"/>
      <c r="C5479" s="393"/>
      <c r="E5479" s="394"/>
      <c r="F5479" s="394">
        <v>0.44400000000000001</v>
      </c>
      <c r="G5479" s="394"/>
      <c r="H5479" s="8" t="s">
        <v>235</v>
      </c>
      <c r="I5479" s="368">
        <f t="shared" si="256"/>
        <v>0</v>
      </c>
      <c r="J5479" s="365">
        <f t="shared" si="255"/>
        <v>0</v>
      </c>
      <c r="K5479" s="369">
        <f t="shared" si="257"/>
        <v>6</v>
      </c>
      <c r="L5479" s="369">
        <f>+IF((C5479&gt;='Resultats - informe'!$E$16)*(C5479&lt;='Resultats - informe'!$G$16),1,0)</f>
        <v>1</v>
      </c>
      <c r="M5479" s="369" cm="1">
        <f t="array" ref="M5479">+_xlfn.IFS((C5479&gt;='Resultats - informe'!$D$26)*(C5479&lt;='Resultats - informe'!$E$26),0,(C5479&gt;='Resultats - informe'!$D$27)*(C5479&lt;='Resultats - informe'!$E$27),0,(C5479&gt;='Resultats - informe'!$D$28)*(C5479&lt;='Resultats - informe'!$E$28),0,(C5479&gt;='Resultats - informe'!$D$29)*(C5479&lt;='Resultats - informe'!$E$29),0,1,1)</f>
        <v>0</v>
      </c>
      <c r="N5479" s="366">
        <f>+VLOOKUP(D5479,'Resultats - informe'!$Y$18:$AG$42,'Introducció dades consum'!K5479+1,0)</f>
        <v>0</v>
      </c>
      <c r="O5479" s="370" cm="1">
        <f t="array" ref="O5479">+_xlfn.SWITCH(MONTH(C5479),1,1,2,1,3,1,4,2,5,2,6,3,7,3,8,3,9,3,10,2,11,2,12,1,2)</f>
        <v>1</v>
      </c>
      <c r="P5479" s="43"/>
    </row>
    <row r="5480" spans="1:16" ht="18" x14ac:dyDescent="0.35">
      <c r="A5480" s="9"/>
      <c r="C5480" s="393"/>
      <c r="E5480" s="394"/>
      <c r="F5480" s="394">
        <v>0.44700000000000001</v>
      </c>
      <c r="G5480" s="394"/>
      <c r="H5480" s="8" t="s">
        <v>235</v>
      </c>
      <c r="I5480" s="368">
        <f t="shared" si="256"/>
        <v>0</v>
      </c>
      <c r="J5480" s="365">
        <f t="shared" si="255"/>
        <v>0</v>
      </c>
      <c r="K5480" s="369">
        <f t="shared" si="257"/>
        <v>6</v>
      </c>
      <c r="L5480" s="369">
        <f>+IF((C5480&gt;='Resultats - informe'!$E$16)*(C5480&lt;='Resultats - informe'!$G$16),1,0)</f>
        <v>1</v>
      </c>
      <c r="M5480" s="369" cm="1">
        <f t="array" ref="M5480">+_xlfn.IFS((C5480&gt;='Resultats - informe'!$D$26)*(C5480&lt;='Resultats - informe'!$E$26),0,(C5480&gt;='Resultats - informe'!$D$27)*(C5480&lt;='Resultats - informe'!$E$27),0,(C5480&gt;='Resultats - informe'!$D$28)*(C5480&lt;='Resultats - informe'!$E$28),0,(C5480&gt;='Resultats - informe'!$D$29)*(C5480&lt;='Resultats - informe'!$E$29),0,1,1)</f>
        <v>0</v>
      </c>
      <c r="N5480" s="366">
        <f>+VLOOKUP(D5480,'Resultats - informe'!$Y$18:$AG$42,'Introducció dades consum'!K5480+1,0)</f>
        <v>0</v>
      </c>
      <c r="O5480" s="370" cm="1">
        <f t="array" ref="O5480">+_xlfn.SWITCH(MONTH(C5480),1,1,2,1,3,1,4,2,5,2,6,3,7,3,8,3,9,3,10,2,11,2,12,1,2)</f>
        <v>1</v>
      </c>
      <c r="P5480" s="43"/>
    </row>
    <row r="5481" spans="1:16" ht="18" x14ac:dyDescent="0.35">
      <c r="A5481" s="9"/>
      <c r="C5481" s="393"/>
      <c r="E5481" s="394"/>
      <c r="F5481" s="394">
        <v>0.44600000000000001</v>
      </c>
      <c r="G5481" s="394"/>
      <c r="H5481" s="8" t="s">
        <v>235</v>
      </c>
      <c r="I5481" s="368">
        <f t="shared" si="256"/>
        <v>0</v>
      </c>
      <c r="J5481" s="365">
        <f t="shared" si="255"/>
        <v>0</v>
      </c>
      <c r="K5481" s="369">
        <f t="shared" si="257"/>
        <v>6</v>
      </c>
      <c r="L5481" s="369">
        <f>+IF((C5481&gt;='Resultats - informe'!$E$16)*(C5481&lt;='Resultats - informe'!$G$16),1,0)</f>
        <v>1</v>
      </c>
      <c r="M5481" s="369" cm="1">
        <f t="array" ref="M5481">+_xlfn.IFS((C5481&gt;='Resultats - informe'!$D$26)*(C5481&lt;='Resultats - informe'!$E$26),0,(C5481&gt;='Resultats - informe'!$D$27)*(C5481&lt;='Resultats - informe'!$E$27),0,(C5481&gt;='Resultats - informe'!$D$28)*(C5481&lt;='Resultats - informe'!$E$28),0,(C5481&gt;='Resultats - informe'!$D$29)*(C5481&lt;='Resultats - informe'!$E$29),0,1,1)</f>
        <v>0</v>
      </c>
      <c r="N5481" s="366">
        <f>+VLOOKUP(D5481,'Resultats - informe'!$Y$18:$AG$42,'Introducció dades consum'!K5481+1,0)</f>
        <v>0</v>
      </c>
      <c r="O5481" s="370" cm="1">
        <f t="array" ref="O5481">+_xlfn.SWITCH(MONTH(C5481),1,1,2,1,3,1,4,2,5,2,6,3,7,3,8,3,9,3,10,2,11,2,12,1,2)</f>
        <v>1</v>
      </c>
      <c r="P5481" s="43"/>
    </row>
    <row r="5482" spans="1:16" ht="18" x14ac:dyDescent="0.35">
      <c r="A5482" s="9"/>
      <c r="C5482" s="393"/>
      <c r="E5482" s="394"/>
      <c r="F5482" s="394">
        <v>0.44800000000000001</v>
      </c>
      <c r="G5482" s="394"/>
      <c r="H5482" s="8" t="s">
        <v>235</v>
      </c>
      <c r="I5482" s="368">
        <f t="shared" si="256"/>
        <v>0</v>
      </c>
      <c r="J5482" s="365">
        <f t="shared" si="255"/>
        <v>0</v>
      </c>
      <c r="K5482" s="369">
        <f t="shared" si="257"/>
        <v>6</v>
      </c>
      <c r="L5482" s="369">
        <f>+IF((C5482&gt;='Resultats - informe'!$E$16)*(C5482&lt;='Resultats - informe'!$G$16),1,0)</f>
        <v>1</v>
      </c>
      <c r="M5482" s="369" cm="1">
        <f t="array" ref="M5482">+_xlfn.IFS((C5482&gt;='Resultats - informe'!$D$26)*(C5482&lt;='Resultats - informe'!$E$26),0,(C5482&gt;='Resultats - informe'!$D$27)*(C5482&lt;='Resultats - informe'!$E$27),0,(C5482&gt;='Resultats - informe'!$D$28)*(C5482&lt;='Resultats - informe'!$E$28),0,(C5482&gt;='Resultats - informe'!$D$29)*(C5482&lt;='Resultats - informe'!$E$29),0,1,1)</f>
        <v>0</v>
      </c>
      <c r="N5482" s="366">
        <f>+VLOOKUP(D5482,'Resultats - informe'!$Y$18:$AG$42,'Introducció dades consum'!K5482+1,0)</f>
        <v>0</v>
      </c>
      <c r="O5482" s="370" cm="1">
        <f t="array" ref="O5482">+_xlfn.SWITCH(MONTH(C5482),1,1,2,1,3,1,4,2,5,2,6,3,7,3,8,3,9,3,10,2,11,2,12,1,2)</f>
        <v>1</v>
      </c>
      <c r="P5482" s="43"/>
    </row>
    <row r="5483" spans="1:16" ht="18" x14ac:dyDescent="0.35">
      <c r="A5483" s="9"/>
      <c r="C5483" s="393"/>
      <c r="E5483" s="394"/>
      <c r="F5483" s="394">
        <v>0.375</v>
      </c>
      <c r="G5483" s="394"/>
      <c r="H5483" s="8" t="s">
        <v>235</v>
      </c>
      <c r="I5483" s="368">
        <f t="shared" si="256"/>
        <v>0</v>
      </c>
      <c r="J5483" s="365">
        <f t="shared" si="255"/>
        <v>0</v>
      </c>
      <c r="K5483" s="369">
        <f t="shared" si="257"/>
        <v>6</v>
      </c>
      <c r="L5483" s="369">
        <f>+IF((C5483&gt;='Resultats - informe'!$E$16)*(C5483&lt;='Resultats - informe'!$G$16),1,0)</f>
        <v>1</v>
      </c>
      <c r="M5483" s="369" cm="1">
        <f t="array" ref="M5483">+_xlfn.IFS((C5483&gt;='Resultats - informe'!$D$26)*(C5483&lt;='Resultats - informe'!$E$26),0,(C5483&gt;='Resultats - informe'!$D$27)*(C5483&lt;='Resultats - informe'!$E$27),0,(C5483&gt;='Resultats - informe'!$D$28)*(C5483&lt;='Resultats - informe'!$E$28),0,(C5483&gt;='Resultats - informe'!$D$29)*(C5483&lt;='Resultats - informe'!$E$29),0,1,1)</f>
        <v>0</v>
      </c>
      <c r="N5483" s="366">
        <f>+VLOOKUP(D5483,'Resultats - informe'!$Y$18:$AG$42,'Introducció dades consum'!K5483+1,0)</f>
        <v>0</v>
      </c>
      <c r="O5483" s="370" cm="1">
        <f t="array" ref="O5483">+_xlfn.SWITCH(MONTH(C5483),1,1,2,1,3,1,4,2,5,2,6,3,7,3,8,3,9,3,10,2,11,2,12,1,2)</f>
        <v>1</v>
      </c>
      <c r="P5483" s="43"/>
    </row>
    <row r="5484" spans="1:16" ht="18" x14ac:dyDescent="0.35">
      <c r="A5484" s="9"/>
      <c r="C5484" s="393"/>
      <c r="E5484" s="394"/>
      <c r="F5484" s="394">
        <v>0.45</v>
      </c>
      <c r="G5484" s="394"/>
      <c r="H5484" s="8" t="s">
        <v>235</v>
      </c>
      <c r="I5484" s="368">
        <f t="shared" si="256"/>
        <v>0</v>
      </c>
      <c r="J5484" s="365">
        <f t="shared" si="255"/>
        <v>0</v>
      </c>
      <c r="K5484" s="369">
        <f t="shared" si="257"/>
        <v>6</v>
      </c>
      <c r="L5484" s="369">
        <f>+IF((C5484&gt;='Resultats - informe'!$E$16)*(C5484&lt;='Resultats - informe'!$G$16),1,0)</f>
        <v>1</v>
      </c>
      <c r="M5484" s="369" cm="1">
        <f t="array" ref="M5484">+_xlfn.IFS((C5484&gt;='Resultats - informe'!$D$26)*(C5484&lt;='Resultats - informe'!$E$26),0,(C5484&gt;='Resultats - informe'!$D$27)*(C5484&lt;='Resultats - informe'!$E$27),0,(C5484&gt;='Resultats - informe'!$D$28)*(C5484&lt;='Resultats - informe'!$E$28),0,(C5484&gt;='Resultats - informe'!$D$29)*(C5484&lt;='Resultats - informe'!$E$29),0,1,1)</f>
        <v>0</v>
      </c>
      <c r="N5484" s="366">
        <f>+VLOOKUP(D5484,'Resultats - informe'!$Y$18:$AG$42,'Introducció dades consum'!K5484+1,0)</f>
        <v>0</v>
      </c>
      <c r="O5484" s="370" cm="1">
        <f t="array" ref="O5484">+_xlfn.SWITCH(MONTH(C5484),1,1,2,1,3,1,4,2,5,2,6,3,7,3,8,3,9,3,10,2,11,2,12,1,2)</f>
        <v>1</v>
      </c>
      <c r="P5484" s="43"/>
    </row>
    <row r="5485" spans="1:16" ht="18" x14ac:dyDescent="0.35">
      <c r="A5485" s="9"/>
      <c r="C5485" s="393"/>
      <c r="E5485" s="394"/>
      <c r="F5485" s="394">
        <v>0.434</v>
      </c>
      <c r="G5485" s="394"/>
      <c r="H5485" s="8" t="s">
        <v>235</v>
      </c>
      <c r="I5485" s="368">
        <f t="shared" si="256"/>
        <v>0</v>
      </c>
      <c r="J5485" s="365">
        <f t="shared" si="255"/>
        <v>0</v>
      </c>
      <c r="K5485" s="369">
        <f t="shared" si="257"/>
        <v>6</v>
      </c>
      <c r="L5485" s="369">
        <f>+IF((C5485&gt;='Resultats - informe'!$E$16)*(C5485&lt;='Resultats - informe'!$G$16),1,0)</f>
        <v>1</v>
      </c>
      <c r="M5485" s="369" cm="1">
        <f t="array" ref="M5485">+_xlfn.IFS((C5485&gt;='Resultats - informe'!$D$26)*(C5485&lt;='Resultats - informe'!$E$26),0,(C5485&gt;='Resultats - informe'!$D$27)*(C5485&lt;='Resultats - informe'!$E$27),0,(C5485&gt;='Resultats - informe'!$D$28)*(C5485&lt;='Resultats - informe'!$E$28),0,(C5485&gt;='Resultats - informe'!$D$29)*(C5485&lt;='Resultats - informe'!$E$29),0,1,1)</f>
        <v>0</v>
      </c>
      <c r="N5485" s="366">
        <f>+VLOOKUP(D5485,'Resultats - informe'!$Y$18:$AG$42,'Introducció dades consum'!K5485+1,0)</f>
        <v>0</v>
      </c>
      <c r="O5485" s="370" cm="1">
        <f t="array" ref="O5485">+_xlfn.SWITCH(MONTH(C5485),1,1,2,1,3,1,4,2,5,2,6,3,7,3,8,3,9,3,10,2,11,2,12,1,2)</f>
        <v>1</v>
      </c>
      <c r="P5485" s="43"/>
    </row>
    <row r="5486" spans="1:16" ht="18" x14ac:dyDescent="0.35">
      <c r="A5486" s="9"/>
      <c r="C5486" s="393"/>
      <c r="E5486" s="394"/>
      <c r="F5486" s="394">
        <v>0</v>
      </c>
      <c r="G5486" s="394"/>
      <c r="H5486" s="8" t="s">
        <v>235</v>
      </c>
      <c r="I5486" s="368">
        <f t="shared" si="256"/>
        <v>0</v>
      </c>
      <c r="J5486" s="365">
        <f t="shared" si="255"/>
        <v>0</v>
      </c>
      <c r="K5486" s="369">
        <f t="shared" si="257"/>
        <v>6</v>
      </c>
      <c r="L5486" s="369">
        <f>+IF((C5486&gt;='Resultats - informe'!$E$16)*(C5486&lt;='Resultats - informe'!$G$16),1,0)</f>
        <v>1</v>
      </c>
      <c r="M5486" s="369" cm="1">
        <f t="array" ref="M5486">+_xlfn.IFS((C5486&gt;='Resultats - informe'!$D$26)*(C5486&lt;='Resultats - informe'!$E$26),0,(C5486&gt;='Resultats - informe'!$D$27)*(C5486&lt;='Resultats - informe'!$E$27),0,(C5486&gt;='Resultats - informe'!$D$28)*(C5486&lt;='Resultats - informe'!$E$28),0,(C5486&gt;='Resultats - informe'!$D$29)*(C5486&lt;='Resultats - informe'!$E$29),0,1,1)</f>
        <v>0</v>
      </c>
      <c r="N5486" s="366">
        <f>+VLOOKUP(D5486,'Resultats - informe'!$Y$18:$AG$42,'Introducció dades consum'!K5486+1,0)</f>
        <v>0</v>
      </c>
      <c r="O5486" s="370" cm="1">
        <f t="array" ref="O5486">+_xlfn.SWITCH(MONTH(C5486),1,1,2,1,3,1,4,2,5,2,6,3,7,3,8,3,9,3,10,2,11,2,12,1,2)</f>
        <v>1</v>
      </c>
      <c r="P5486" s="43"/>
    </row>
    <row r="5487" spans="1:16" ht="18" x14ac:dyDescent="0.35">
      <c r="A5487" s="9"/>
      <c r="C5487" s="393"/>
      <c r="E5487" s="394"/>
      <c r="F5487" s="394">
        <v>0.44800000000000001</v>
      </c>
      <c r="G5487" s="394"/>
      <c r="H5487" s="8" t="s">
        <v>235</v>
      </c>
      <c r="I5487" s="368">
        <f t="shared" si="256"/>
        <v>0</v>
      </c>
      <c r="J5487" s="365">
        <f t="shared" si="255"/>
        <v>0</v>
      </c>
      <c r="K5487" s="369">
        <f t="shared" si="257"/>
        <v>6</v>
      </c>
      <c r="L5487" s="369">
        <f>+IF((C5487&gt;='Resultats - informe'!$E$16)*(C5487&lt;='Resultats - informe'!$G$16),1,0)</f>
        <v>1</v>
      </c>
      <c r="M5487" s="369" cm="1">
        <f t="array" ref="M5487">+_xlfn.IFS((C5487&gt;='Resultats - informe'!$D$26)*(C5487&lt;='Resultats - informe'!$E$26),0,(C5487&gt;='Resultats - informe'!$D$27)*(C5487&lt;='Resultats - informe'!$E$27),0,(C5487&gt;='Resultats - informe'!$D$28)*(C5487&lt;='Resultats - informe'!$E$28),0,(C5487&gt;='Resultats - informe'!$D$29)*(C5487&lt;='Resultats - informe'!$E$29),0,1,1)</f>
        <v>0</v>
      </c>
      <c r="N5487" s="366">
        <f>+VLOOKUP(D5487,'Resultats - informe'!$Y$18:$AG$42,'Introducció dades consum'!K5487+1,0)</f>
        <v>0</v>
      </c>
      <c r="O5487" s="370" cm="1">
        <f t="array" ref="O5487">+_xlfn.SWITCH(MONTH(C5487),1,1,2,1,3,1,4,2,5,2,6,3,7,3,8,3,9,3,10,2,11,2,12,1,2)</f>
        <v>1</v>
      </c>
      <c r="P5487" s="43"/>
    </row>
    <row r="5488" spans="1:16" ht="18" x14ac:dyDescent="0.35">
      <c r="A5488" s="9"/>
      <c r="C5488" s="393"/>
      <c r="E5488" s="394"/>
      <c r="F5488" s="394">
        <v>0.44600000000000001</v>
      </c>
      <c r="G5488" s="394"/>
      <c r="H5488" s="8" t="s">
        <v>235</v>
      </c>
      <c r="I5488" s="368">
        <f t="shared" si="256"/>
        <v>0</v>
      </c>
      <c r="J5488" s="365">
        <f t="shared" si="255"/>
        <v>0</v>
      </c>
      <c r="K5488" s="369">
        <f t="shared" si="257"/>
        <v>6</v>
      </c>
      <c r="L5488" s="369">
        <f>+IF((C5488&gt;='Resultats - informe'!$E$16)*(C5488&lt;='Resultats - informe'!$G$16),1,0)</f>
        <v>1</v>
      </c>
      <c r="M5488" s="369" cm="1">
        <f t="array" ref="M5488">+_xlfn.IFS((C5488&gt;='Resultats - informe'!$D$26)*(C5488&lt;='Resultats - informe'!$E$26),0,(C5488&gt;='Resultats - informe'!$D$27)*(C5488&lt;='Resultats - informe'!$E$27),0,(C5488&gt;='Resultats - informe'!$D$28)*(C5488&lt;='Resultats - informe'!$E$28),0,(C5488&gt;='Resultats - informe'!$D$29)*(C5488&lt;='Resultats - informe'!$E$29),0,1,1)</f>
        <v>0</v>
      </c>
      <c r="N5488" s="366">
        <f>+VLOOKUP(D5488,'Resultats - informe'!$Y$18:$AG$42,'Introducció dades consum'!K5488+1,0)</f>
        <v>0</v>
      </c>
      <c r="O5488" s="370" cm="1">
        <f t="array" ref="O5488">+_xlfn.SWITCH(MONTH(C5488),1,1,2,1,3,1,4,2,5,2,6,3,7,3,8,3,9,3,10,2,11,2,12,1,2)</f>
        <v>1</v>
      </c>
      <c r="P5488" s="43"/>
    </row>
    <row r="5489" spans="1:16" ht="18" x14ac:dyDescent="0.35">
      <c r="A5489" s="9"/>
      <c r="C5489" s="393"/>
      <c r="E5489" s="394"/>
      <c r="F5489" s="394">
        <v>0.44600000000000001</v>
      </c>
      <c r="G5489" s="394"/>
      <c r="H5489" s="8" t="s">
        <v>235</v>
      </c>
      <c r="I5489" s="368">
        <f t="shared" si="256"/>
        <v>0</v>
      </c>
      <c r="J5489" s="365">
        <f t="shared" si="255"/>
        <v>0</v>
      </c>
      <c r="K5489" s="369">
        <f t="shared" si="257"/>
        <v>6</v>
      </c>
      <c r="L5489" s="369">
        <f>+IF((C5489&gt;='Resultats - informe'!$E$16)*(C5489&lt;='Resultats - informe'!$G$16),1,0)</f>
        <v>1</v>
      </c>
      <c r="M5489" s="369" cm="1">
        <f t="array" ref="M5489">+_xlfn.IFS((C5489&gt;='Resultats - informe'!$D$26)*(C5489&lt;='Resultats - informe'!$E$26),0,(C5489&gt;='Resultats - informe'!$D$27)*(C5489&lt;='Resultats - informe'!$E$27),0,(C5489&gt;='Resultats - informe'!$D$28)*(C5489&lt;='Resultats - informe'!$E$28),0,(C5489&gt;='Resultats - informe'!$D$29)*(C5489&lt;='Resultats - informe'!$E$29),0,1,1)</f>
        <v>0</v>
      </c>
      <c r="N5489" s="366">
        <f>+VLOOKUP(D5489,'Resultats - informe'!$Y$18:$AG$42,'Introducció dades consum'!K5489+1,0)</f>
        <v>0</v>
      </c>
      <c r="O5489" s="370" cm="1">
        <f t="array" ref="O5489">+_xlfn.SWITCH(MONTH(C5489),1,1,2,1,3,1,4,2,5,2,6,3,7,3,8,3,9,3,10,2,11,2,12,1,2)</f>
        <v>1</v>
      </c>
      <c r="P5489" s="43"/>
    </row>
    <row r="5490" spans="1:16" ht="18" x14ac:dyDescent="0.35">
      <c r="A5490" s="9"/>
      <c r="C5490" s="393"/>
      <c r="E5490" s="394"/>
      <c r="F5490" s="394">
        <v>0.44600000000000001</v>
      </c>
      <c r="G5490" s="394"/>
      <c r="H5490" s="8" t="s">
        <v>235</v>
      </c>
      <c r="I5490" s="368">
        <f t="shared" si="256"/>
        <v>0</v>
      </c>
      <c r="J5490" s="365">
        <f t="shared" si="255"/>
        <v>0</v>
      </c>
      <c r="K5490" s="369">
        <f t="shared" si="257"/>
        <v>6</v>
      </c>
      <c r="L5490" s="369">
        <f>+IF((C5490&gt;='Resultats - informe'!$E$16)*(C5490&lt;='Resultats - informe'!$G$16),1,0)</f>
        <v>1</v>
      </c>
      <c r="M5490" s="369" cm="1">
        <f t="array" ref="M5490">+_xlfn.IFS((C5490&gt;='Resultats - informe'!$D$26)*(C5490&lt;='Resultats - informe'!$E$26),0,(C5490&gt;='Resultats - informe'!$D$27)*(C5490&lt;='Resultats - informe'!$E$27),0,(C5490&gt;='Resultats - informe'!$D$28)*(C5490&lt;='Resultats - informe'!$E$28),0,(C5490&gt;='Resultats - informe'!$D$29)*(C5490&lt;='Resultats - informe'!$E$29),0,1,1)</f>
        <v>0</v>
      </c>
      <c r="N5490" s="366">
        <f>+VLOOKUP(D5490,'Resultats - informe'!$Y$18:$AG$42,'Introducció dades consum'!K5490+1,0)</f>
        <v>0</v>
      </c>
      <c r="O5490" s="370" cm="1">
        <f t="array" ref="O5490">+_xlfn.SWITCH(MONTH(C5490),1,1,2,1,3,1,4,2,5,2,6,3,7,3,8,3,9,3,10,2,11,2,12,1,2)</f>
        <v>1</v>
      </c>
      <c r="P5490" s="43"/>
    </row>
    <row r="5491" spans="1:16" ht="18" x14ac:dyDescent="0.35">
      <c r="A5491" s="9"/>
      <c r="C5491" s="393"/>
      <c r="E5491" s="394"/>
      <c r="F5491" s="394">
        <v>0.44600000000000001</v>
      </c>
      <c r="G5491" s="394"/>
      <c r="H5491" s="8" t="s">
        <v>235</v>
      </c>
      <c r="I5491" s="368">
        <f t="shared" si="256"/>
        <v>0</v>
      </c>
      <c r="J5491" s="365">
        <f t="shared" si="255"/>
        <v>0</v>
      </c>
      <c r="K5491" s="369">
        <f t="shared" si="257"/>
        <v>6</v>
      </c>
      <c r="L5491" s="369">
        <f>+IF((C5491&gt;='Resultats - informe'!$E$16)*(C5491&lt;='Resultats - informe'!$G$16),1,0)</f>
        <v>1</v>
      </c>
      <c r="M5491" s="369" cm="1">
        <f t="array" ref="M5491">+_xlfn.IFS((C5491&gt;='Resultats - informe'!$D$26)*(C5491&lt;='Resultats - informe'!$E$26),0,(C5491&gt;='Resultats - informe'!$D$27)*(C5491&lt;='Resultats - informe'!$E$27),0,(C5491&gt;='Resultats - informe'!$D$28)*(C5491&lt;='Resultats - informe'!$E$28),0,(C5491&gt;='Resultats - informe'!$D$29)*(C5491&lt;='Resultats - informe'!$E$29),0,1,1)</f>
        <v>0</v>
      </c>
      <c r="N5491" s="366">
        <f>+VLOOKUP(D5491,'Resultats - informe'!$Y$18:$AG$42,'Introducció dades consum'!K5491+1,0)</f>
        <v>0</v>
      </c>
      <c r="O5491" s="370" cm="1">
        <f t="array" ref="O5491">+_xlfn.SWITCH(MONTH(C5491),1,1,2,1,3,1,4,2,5,2,6,3,7,3,8,3,9,3,10,2,11,2,12,1,2)</f>
        <v>1</v>
      </c>
      <c r="P5491" s="43"/>
    </row>
    <row r="5492" spans="1:16" ht="18" x14ac:dyDescent="0.35">
      <c r="A5492" s="9"/>
      <c r="C5492" s="393"/>
      <c r="E5492" s="394"/>
      <c r="F5492" s="394">
        <v>0.44600000000000001</v>
      </c>
      <c r="G5492" s="394"/>
      <c r="H5492" s="8" t="s">
        <v>235</v>
      </c>
      <c r="I5492" s="368">
        <f t="shared" si="256"/>
        <v>0</v>
      </c>
      <c r="J5492" s="365">
        <f t="shared" si="255"/>
        <v>0</v>
      </c>
      <c r="K5492" s="369">
        <f t="shared" si="257"/>
        <v>6</v>
      </c>
      <c r="L5492" s="369">
        <f>+IF((C5492&gt;='Resultats - informe'!$E$16)*(C5492&lt;='Resultats - informe'!$G$16),1,0)</f>
        <v>1</v>
      </c>
      <c r="M5492" s="369" cm="1">
        <f t="array" ref="M5492">+_xlfn.IFS((C5492&gt;='Resultats - informe'!$D$26)*(C5492&lt;='Resultats - informe'!$E$26),0,(C5492&gt;='Resultats - informe'!$D$27)*(C5492&lt;='Resultats - informe'!$E$27),0,(C5492&gt;='Resultats - informe'!$D$28)*(C5492&lt;='Resultats - informe'!$E$28),0,(C5492&gt;='Resultats - informe'!$D$29)*(C5492&lt;='Resultats - informe'!$E$29),0,1,1)</f>
        <v>0</v>
      </c>
      <c r="N5492" s="366">
        <f>+VLOOKUP(D5492,'Resultats - informe'!$Y$18:$AG$42,'Introducció dades consum'!K5492+1,0)</f>
        <v>0</v>
      </c>
      <c r="O5492" s="370" cm="1">
        <f t="array" ref="O5492">+_xlfn.SWITCH(MONTH(C5492),1,1,2,1,3,1,4,2,5,2,6,3,7,3,8,3,9,3,10,2,11,2,12,1,2)</f>
        <v>1</v>
      </c>
      <c r="P5492" s="43"/>
    </row>
    <row r="5493" spans="1:16" ht="18" x14ac:dyDescent="0.35">
      <c r="A5493" s="9"/>
      <c r="C5493" s="393"/>
      <c r="E5493" s="394"/>
      <c r="F5493" s="394">
        <v>0.44600000000000001</v>
      </c>
      <c r="G5493" s="394"/>
      <c r="H5493" s="8" t="s">
        <v>235</v>
      </c>
      <c r="I5493" s="368">
        <f t="shared" si="256"/>
        <v>0</v>
      </c>
      <c r="J5493" s="365">
        <f t="shared" si="255"/>
        <v>0</v>
      </c>
      <c r="K5493" s="369">
        <f t="shared" si="257"/>
        <v>6</v>
      </c>
      <c r="L5493" s="369">
        <f>+IF((C5493&gt;='Resultats - informe'!$E$16)*(C5493&lt;='Resultats - informe'!$G$16),1,0)</f>
        <v>1</v>
      </c>
      <c r="M5493" s="369" cm="1">
        <f t="array" ref="M5493">+_xlfn.IFS((C5493&gt;='Resultats - informe'!$D$26)*(C5493&lt;='Resultats - informe'!$E$26),0,(C5493&gt;='Resultats - informe'!$D$27)*(C5493&lt;='Resultats - informe'!$E$27),0,(C5493&gt;='Resultats - informe'!$D$28)*(C5493&lt;='Resultats - informe'!$E$28),0,(C5493&gt;='Resultats - informe'!$D$29)*(C5493&lt;='Resultats - informe'!$E$29),0,1,1)</f>
        <v>0</v>
      </c>
      <c r="N5493" s="366">
        <f>+VLOOKUP(D5493,'Resultats - informe'!$Y$18:$AG$42,'Introducció dades consum'!K5493+1,0)</f>
        <v>0</v>
      </c>
      <c r="O5493" s="370" cm="1">
        <f t="array" ref="O5493">+_xlfn.SWITCH(MONTH(C5493),1,1,2,1,3,1,4,2,5,2,6,3,7,3,8,3,9,3,10,2,11,2,12,1,2)</f>
        <v>1</v>
      </c>
      <c r="P5493" s="43"/>
    </row>
    <row r="5494" spans="1:16" ht="18" x14ac:dyDescent="0.35">
      <c r="A5494" s="9"/>
      <c r="C5494" s="393"/>
      <c r="E5494" s="394"/>
      <c r="F5494" s="394">
        <v>0.44600000000000001</v>
      </c>
      <c r="G5494" s="394"/>
      <c r="H5494" s="8" t="s">
        <v>235</v>
      </c>
      <c r="I5494" s="368">
        <f t="shared" si="256"/>
        <v>0</v>
      </c>
      <c r="J5494" s="365">
        <f t="shared" si="255"/>
        <v>0</v>
      </c>
      <c r="K5494" s="369">
        <f t="shared" si="257"/>
        <v>6</v>
      </c>
      <c r="L5494" s="369">
        <f>+IF((C5494&gt;='Resultats - informe'!$E$16)*(C5494&lt;='Resultats - informe'!$G$16),1,0)</f>
        <v>1</v>
      </c>
      <c r="M5494" s="369" cm="1">
        <f t="array" ref="M5494">+_xlfn.IFS((C5494&gt;='Resultats - informe'!$D$26)*(C5494&lt;='Resultats - informe'!$E$26),0,(C5494&gt;='Resultats - informe'!$D$27)*(C5494&lt;='Resultats - informe'!$E$27),0,(C5494&gt;='Resultats - informe'!$D$28)*(C5494&lt;='Resultats - informe'!$E$28),0,(C5494&gt;='Resultats - informe'!$D$29)*(C5494&lt;='Resultats - informe'!$E$29),0,1,1)</f>
        <v>0</v>
      </c>
      <c r="N5494" s="366">
        <f>+VLOOKUP(D5494,'Resultats - informe'!$Y$18:$AG$42,'Introducció dades consum'!K5494+1,0)</f>
        <v>0</v>
      </c>
      <c r="O5494" s="370" cm="1">
        <f t="array" ref="O5494">+_xlfn.SWITCH(MONTH(C5494),1,1,2,1,3,1,4,2,5,2,6,3,7,3,8,3,9,3,10,2,11,2,12,1,2)</f>
        <v>1</v>
      </c>
      <c r="P5494" s="43"/>
    </row>
    <row r="5495" spans="1:16" ht="18" x14ac:dyDescent="0.35">
      <c r="A5495" s="9"/>
      <c r="C5495" s="393"/>
      <c r="E5495" s="394"/>
      <c r="F5495" s="394">
        <v>0.44500000000000001</v>
      </c>
      <c r="G5495" s="394"/>
      <c r="H5495" s="8" t="s">
        <v>235</v>
      </c>
      <c r="I5495" s="368">
        <f t="shared" si="256"/>
        <v>0</v>
      </c>
      <c r="J5495" s="365">
        <f t="shared" si="255"/>
        <v>0</v>
      </c>
      <c r="K5495" s="369">
        <f t="shared" si="257"/>
        <v>6</v>
      </c>
      <c r="L5495" s="369">
        <f>+IF((C5495&gt;='Resultats - informe'!$E$16)*(C5495&lt;='Resultats - informe'!$G$16),1,0)</f>
        <v>1</v>
      </c>
      <c r="M5495" s="369" cm="1">
        <f t="array" ref="M5495">+_xlfn.IFS((C5495&gt;='Resultats - informe'!$D$26)*(C5495&lt;='Resultats - informe'!$E$26),0,(C5495&gt;='Resultats - informe'!$D$27)*(C5495&lt;='Resultats - informe'!$E$27),0,(C5495&gt;='Resultats - informe'!$D$28)*(C5495&lt;='Resultats - informe'!$E$28),0,(C5495&gt;='Resultats - informe'!$D$29)*(C5495&lt;='Resultats - informe'!$E$29),0,1,1)</f>
        <v>0</v>
      </c>
      <c r="N5495" s="366">
        <f>+VLOOKUP(D5495,'Resultats - informe'!$Y$18:$AG$42,'Introducció dades consum'!K5495+1,0)</f>
        <v>0</v>
      </c>
      <c r="O5495" s="370" cm="1">
        <f t="array" ref="O5495">+_xlfn.SWITCH(MONTH(C5495),1,1,2,1,3,1,4,2,5,2,6,3,7,3,8,3,9,3,10,2,11,2,12,1,2)</f>
        <v>1</v>
      </c>
      <c r="P5495" s="43"/>
    </row>
    <row r="5496" spans="1:16" ht="18" x14ac:dyDescent="0.35">
      <c r="A5496" s="9"/>
      <c r="C5496" s="393"/>
      <c r="E5496" s="394"/>
      <c r="F5496" s="394">
        <v>0.44800000000000001</v>
      </c>
      <c r="G5496" s="394"/>
      <c r="H5496" s="8" t="s">
        <v>235</v>
      </c>
      <c r="I5496" s="368">
        <f t="shared" si="256"/>
        <v>0</v>
      </c>
      <c r="J5496" s="365">
        <f t="shared" si="255"/>
        <v>0</v>
      </c>
      <c r="K5496" s="369">
        <f t="shared" si="257"/>
        <v>6</v>
      </c>
      <c r="L5496" s="369">
        <f>+IF((C5496&gt;='Resultats - informe'!$E$16)*(C5496&lt;='Resultats - informe'!$G$16),1,0)</f>
        <v>1</v>
      </c>
      <c r="M5496" s="369" cm="1">
        <f t="array" ref="M5496">+_xlfn.IFS((C5496&gt;='Resultats - informe'!$D$26)*(C5496&lt;='Resultats - informe'!$E$26),0,(C5496&gt;='Resultats - informe'!$D$27)*(C5496&lt;='Resultats - informe'!$E$27),0,(C5496&gt;='Resultats - informe'!$D$28)*(C5496&lt;='Resultats - informe'!$E$28),0,(C5496&gt;='Resultats - informe'!$D$29)*(C5496&lt;='Resultats - informe'!$E$29),0,1,1)</f>
        <v>0</v>
      </c>
      <c r="N5496" s="366">
        <f>+VLOOKUP(D5496,'Resultats - informe'!$Y$18:$AG$42,'Introducció dades consum'!K5496+1,0)</f>
        <v>0</v>
      </c>
      <c r="O5496" s="370" cm="1">
        <f t="array" ref="O5496">+_xlfn.SWITCH(MONTH(C5496),1,1,2,1,3,1,4,2,5,2,6,3,7,3,8,3,9,3,10,2,11,2,12,1,2)</f>
        <v>1</v>
      </c>
      <c r="P5496" s="43"/>
    </row>
    <row r="5497" spans="1:16" ht="18" x14ac:dyDescent="0.35">
      <c r="A5497" s="9"/>
      <c r="C5497" s="393"/>
      <c r="E5497" s="394"/>
      <c r="F5497" s="394">
        <v>0</v>
      </c>
      <c r="G5497" s="394"/>
      <c r="H5497" s="8" t="s">
        <v>235</v>
      </c>
      <c r="I5497" s="368">
        <f t="shared" si="256"/>
        <v>0</v>
      </c>
      <c r="J5497" s="365">
        <f t="shared" si="255"/>
        <v>0</v>
      </c>
      <c r="K5497" s="369">
        <f t="shared" si="257"/>
        <v>6</v>
      </c>
      <c r="L5497" s="369">
        <f>+IF((C5497&gt;='Resultats - informe'!$E$16)*(C5497&lt;='Resultats - informe'!$G$16),1,0)</f>
        <v>1</v>
      </c>
      <c r="M5497" s="369" cm="1">
        <f t="array" ref="M5497">+_xlfn.IFS((C5497&gt;='Resultats - informe'!$D$26)*(C5497&lt;='Resultats - informe'!$E$26),0,(C5497&gt;='Resultats - informe'!$D$27)*(C5497&lt;='Resultats - informe'!$E$27),0,(C5497&gt;='Resultats - informe'!$D$28)*(C5497&lt;='Resultats - informe'!$E$28),0,(C5497&gt;='Resultats - informe'!$D$29)*(C5497&lt;='Resultats - informe'!$E$29),0,1,1)</f>
        <v>0</v>
      </c>
      <c r="N5497" s="366">
        <f>+VLOOKUP(D5497,'Resultats - informe'!$Y$18:$AG$42,'Introducció dades consum'!K5497+1,0)</f>
        <v>0</v>
      </c>
      <c r="O5497" s="370" cm="1">
        <f t="array" ref="O5497">+_xlfn.SWITCH(MONTH(C5497),1,1,2,1,3,1,4,2,5,2,6,3,7,3,8,3,9,3,10,2,11,2,12,1,2)</f>
        <v>1</v>
      </c>
      <c r="P5497" s="43"/>
    </row>
    <row r="5498" spans="1:16" ht="18" x14ac:dyDescent="0.35">
      <c r="A5498" s="9"/>
      <c r="C5498" s="393"/>
      <c r="E5498" s="394"/>
      <c r="F5498" s="394">
        <v>0</v>
      </c>
      <c r="G5498" s="394"/>
      <c r="H5498" s="8" t="s">
        <v>235</v>
      </c>
      <c r="I5498" s="368">
        <f t="shared" si="256"/>
        <v>0</v>
      </c>
      <c r="J5498" s="365">
        <f t="shared" si="255"/>
        <v>0</v>
      </c>
      <c r="K5498" s="369">
        <f t="shared" si="257"/>
        <v>6</v>
      </c>
      <c r="L5498" s="369">
        <f>+IF((C5498&gt;='Resultats - informe'!$E$16)*(C5498&lt;='Resultats - informe'!$G$16),1,0)</f>
        <v>1</v>
      </c>
      <c r="M5498" s="369" cm="1">
        <f t="array" ref="M5498">+_xlfn.IFS((C5498&gt;='Resultats - informe'!$D$26)*(C5498&lt;='Resultats - informe'!$E$26),0,(C5498&gt;='Resultats - informe'!$D$27)*(C5498&lt;='Resultats - informe'!$E$27),0,(C5498&gt;='Resultats - informe'!$D$28)*(C5498&lt;='Resultats - informe'!$E$28),0,(C5498&gt;='Resultats - informe'!$D$29)*(C5498&lt;='Resultats - informe'!$E$29),0,1,1)</f>
        <v>0</v>
      </c>
      <c r="N5498" s="366">
        <f>+VLOOKUP(D5498,'Resultats - informe'!$Y$18:$AG$42,'Introducció dades consum'!K5498+1,0)</f>
        <v>0</v>
      </c>
      <c r="O5498" s="370" cm="1">
        <f t="array" ref="O5498">+_xlfn.SWITCH(MONTH(C5498),1,1,2,1,3,1,4,2,5,2,6,3,7,3,8,3,9,3,10,2,11,2,12,1,2)</f>
        <v>1</v>
      </c>
      <c r="P5498" s="43"/>
    </row>
    <row r="5499" spans="1:16" ht="18" x14ac:dyDescent="0.35">
      <c r="A5499" s="9"/>
      <c r="C5499" s="393"/>
      <c r="E5499" s="394"/>
      <c r="F5499" s="394">
        <v>0</v>
      </c>
      <c r="G5499" s="394"/>
      <c r="H5499" s="8" t="s">
        <v>235</v>
      </c>
      <c r="I5499" s="368">
        <f t="shared" si="256"/>
        <v>0</v>
      </c>
      <c r="J5499" s="365">
        <f t="shared" ref="J5499:J5562" si="258">+C5499</f>
        <v>0</v>
      </c>
      <c r="K5499" s="369">
        <f t="shared" si="257"/>
        <v>6</v>
      </c>
      <c r="L5499" s="369">
        <f>+IF((C5499&gt;='Resultats - informe'!$E$16)*(C5499&lt;='Resultats - informe'!$G$16),1,0)</f>
        <v>1</v>
      </c>
      <c r="M5499" s="369" cm="1">
        <f t="array" ref="M5499">+_xlfn.IFS((C5499&gt;='Resultats - informe'!$D$26)*(C5499&lt;='Resultats - informe'!$E$26),0,(C5499&gt;='Resultats - informe'!$D$27)*(C5499&lt;='Resultats - informe'!$E$27),0,(C5499&gt;='Resultats - informe'!$D$28)*(C5499&lt;='Resultats - informe'!$E$28),0,(C5499&gt;='Resultats - informe'!$D$29)*(C5499&lt;='Resultats - informe'!$E$29),0,1,1)</f>
        <v>0</v>
      </c>
      <c r="N5499" s="366">
        <f>+VLOOKUP(D5499,'Resultats - informe'!$Y$18:$AG$42,'Introducció dades consum'!K5499+1,0)</f>
        <v>0</v>
      </c>
      <c r="O5499" s="370" cm="1">
        <f t="array" ref="O5499">+_xlfn.SWITCH(MONTH(C5499),1,1,2,1,3,1,4,2,5,2,6,3,7,3,8,3,9,3,10,2,11,2,12,1,2)</f>
        <v>1</v>
      </c>
      <c r="P5499" s="43"/>
    </row>
    <row r="5500" spans="1:16" ht="18" x14ac:dyDescent="0.35">
      <c r="A5500" s="9"/>
      <c r="C5500" s="393"/>
      <c r="E5500" s="394"/>
      <c r="F5500" s="394">
        <v>7.4999999999999997E-2</v>
      </c>
      <c r="G5500" s="394"/>
      <c r="H5500" s="8" t="s">
        <v>235</v>
      </c>
      <c r="I5500" s="368">
        <f t="shared" si="256"/>
        <v>0</v>
      </c>
      <c r="J5500" s="365">
        <f t="shared" si="258"/>
        <v>0</v>
      </c>
      <c r="K5500" s="369">
        <f t="shared" si="257"/>
        <v>6</v>
      </c>
      <c r="L5500" s="369">
        <f>+IF((C5500&gt;='Resultats - informe'!$E$16)*(C5500&lt;='Resultats - informe'!$G$16),1,0)</f>
        <v>1</v>
      </c>
      <c r="M5500" s="369" cm="1">
        <f t="array" ref="M5500">+_xlfn.IFS((C5500&gt;='Resultats - informe'!$D$26)*(C5500&lt;='Resultats - informe'!$E$26),0,(C5500&gt;='Resultats - informe'!$D$27)*(C5500&lt;='Resultats - informe'!$E$27),0,(C5500&gt;='Resultats - informe'!$D$28)*(C5500&lt;='Resultats - informe'!$E$28),0,(C5500&gt;='Resultats - informe'!$D$29)*(C5500&lt;='Resultats - informe'!$E$29),0,1,1)</f>
        <v>0</v>
      </c>
      <c r="N5500" s="366">
        <f>+VLOOKUP(D5500,'Resultats - informe'!$Y$18:$AG$42,'Introducció dades consum'!K5500+1,0)</f>
        <v>0</v>
      </c>
      <c r="O5500" s="370" cm="1">
        <f t="array" ref="O5500">+_xlfn.SWITCH(MONTH(C5500),1,1,2,1,3,1,4,2,5,2,6,3,7,3,8,3,9,3,10,2,11,2,12,1,2)</f>
        <v>1</v>
      </c>
      <c r="P5500" s="43"/>
    </row>
    <row r="5501" spans="1:16" ht="18" x14ac:dyDescent="0.35">
      <c r="A5501" s="9"/>
      <c r="C5501" s="393"/>
      <c r="E5501" s="394"/>
      <c r="F5501" s="394">
        <v>0.44500000000000001</v>
      </c>
      <c r="G5501" s="394"/>
      <c r="H5501" s="8" t="s">
        <v>235</v>
      </c>
      <c r="I5501" s="368">
        <f t="shared" si="256"/>
        <v>0</v>
      </c>
      <c r="J5501" s="365">
        <f t="shared" si="258"/>
        <v>0</v>
      </c>
      <c r="K5501" s="369">
        <f t="shared" si="257"/>
        <v>6</v>
      </c>
      <c r="L5501" s="369">
        <f>+IF((C5501&gt;='Resultats - informe'!$E$16)*(C5501&lt;='Resultats - informe'!$G$16),1,0)</f>
        <v>1</v>
      </c>
      <c r="M5501" s="369" cm="1">
        <f t="array" ref="M5501">+_xlfn.IFS((C5501&gt;='Resultats - informe'!$D$26)*(C5501&lt;='Resultats - informe'!$E$26),0,(C5501&gt;='Resultats - informe'!$D$27)*(C5501&lt;='Resultats - informe'!$E$27),0,(C5501&gt;='Resultats - informe'!$D$28)*(C5501&lt;='Resultats - informe'!$E$28),0,(C5501&gt;='Resultats - informe'!$D$29)*(C5501&lt;='Resultats - informe'!$E$29),0,1,1)</f>
        <v>0</v>
      </c>
      <c r="N5501" s="366">
        <f>+VLOOKUP(D5501,'Resultats - informe'!$Y$18:$AG$42,'Introducció dades consum'!K5501+1,0)</f>
        <v>0</v>
      </c>
      <c r="O5501" s="370" cm="1">
        <f t="array" ref="O5501">+_xlfn.SWITCH(MONTH(C5501),1,1,2,1,3,1,4,2,5,2,6,3,7,3,8,3,9,3,10,2,11,2,12,1,2)</f>
        <v>1</v>
      </c>
      <c r="P5501" s="43"/>
    </row>
    <row r="5502" spans="1:16" ht="18" x14ac:dyDescent="0.35">
      <c r="A5502" s="9"/>
      <c r="C5502" s="393"/>
      <c r="E5502" s="394"/>
      <c r="F5502" s="394">
        <v>0.44400000000000001</v>
      </c>
      <c r="G5502" s="394"/>
      <c r="H5502" s="8" t="s">
        <v>235</v>
      </c>
      <c r="I5502" s="368">
        <f t="shared" si="256"/>
        <v>0</v>
      </c>
      <c r="J5502" s="365">
        <f t="shared" si="258"/>
        <v>0</v>
      </c>
      <c r="K5502" s="369">
        <f t="shared" si="257"/>
        <v>6</v>
      </c>
      <c r="L5502" s="369">
        <f>+IF((C5502&gt;='Resultats - informe'!$E$16)*(C5502&lt;='Resultats - informe'!$G$16),1,0)</f>
        <v>1</v>
      </c>
      <c r="M5502" s="369" cm="1">
        <f t="array" ref="M5502">+_xlfn.IFS((C5502&gt;='Resultats - informe'!$D$26)*(C5502&lt;='Resultats - informe'!$E$26),0,(C5502&gt;='Resultats - informe'!$D$27)*(C5502&lt;='Resultats - informe'!$E$27),0,(C5502&gt;='Resultats - informe'!$D$28)*(C5502&lt;='Resultats - informe'!$E$28),0,(C5502&gt;='Resultats - informe'!$D$29)*(C5502&lt;='Resultats - informe'!$E$29),0,1,1)</f>
        <v>0</v>
      </c>
      <c r="N5502" s="366">
        <f>+VLOOKUP(D5502,'Resultats - informe'!$Y$18:$AG$42,'Introducció dades consum'!K5502+1,0)</f>
        <v>0</v>
      </c>
      <c r="O5502" s="370" cm="1">
        <f t="array" ref="O5502">+_xlfn.SWITCH(MONTH(C5502),1,1,2,1,3,1,4,2,5,2,6,3,7,3,8,3,9,3,10,2,11,2,12,1,2)</f>
        <v>1</v>
      </c>
      <c r="P5502" s="43"/>
    </row>
    <row r="5503" spans="1:16" ht="18" x14ac:dyDescent="0.35">
      <c r="A5503" s="9"/>
      <c r="C5503" s="393"/>
      <c r="E5503" s="394"/>
      <c r="F5503" s="394">
        <v>0.44600000000000001</v>
      </c>
      <c r="G5503" s="394"/>
      <c r="H5503" s="8" t="s">
        <v>235</v>
      </c>
      <c r="I5503" s="368">
        <f t="shared" si="256"/>
        <v>0</v>
      </c>
      <c r="J5503" s="365">
        <f t="shared" si="258"/>
        <v>0</v>
      </c>
      <c r="K5503" s="369">
        <f t="shared" si="257"/>
        <v>6</v>
      </c>
      <c r="L5503" s="369">
        <f>+IF((C5503&gt;='Resultats - informe'!$E$16)*(C5503&lt;='Resultats - informe'!$G$16),1,0)</f>
        <v>1</v>
      </c>
      <c r="M5503" s="369" cm="1">
        <f t="array" ref="M5503">+_xlfn.IFS((C5503&gt;='Resultats - informe'!$D$26)*(C5503&lt;='Resultats - informe'!$E$26),0,(C5503&gt;='Resultats - informe'!$D$27)*(C5503&lt;='Resultats - informe'!$E$27),0,(C5503&gt;='Resultats - informe'!$D$28)*(C5503&lt;='Resultats - informe'!$E$28),0,(C5503&gt;='Resultats - informe'!$D$29)*(C5503&lt;='Resultats - informe'!$E$29),0,1,1)</f>
        <v>0</v>
      </c>
      <c r="N5503" s="366">
        <f>+VLOOKUP(D5503,'Resultats - informe'!$Y$18:$AG$42,'Introducció dades consum'!K5503+1,0)</f>
        <v>0</v>
      </c>
      <c r="O5503" s="370" cm="1">
        <f t="array" ref="O5503">+_xlfn.SWITCH(MONTH(C5503),1,1,2,1,3,1,4,2,5,2,6,3,7,3,8,3,9,3,10,2,11,2,12,1,2)</f>
        <v>1</v>
      </c>
      <c r="P5503" s="43"/>
    </row>
    <row r="5504" spans="1:16" ht="18" x14ac:dyDescent="0.35">
      <c r="A5504" s="9"/>
      <c r="C5504" s="393"/>
      <c r="E5504" s="394"/>
      <c r="F5504" s="394">
        <v>0.44600000000000001</v>
      </c>
      <c r="G5504" s="394"/>
      <c r="H5504" s="8" t="s">
        <v>235</v>
      </c>
      <c r="I5504" s="368">
        <f t="shared" si="256"/>
        <v>0</v>
      </c>
      <c r="J5504" s="365">
        <f t="shared" si="258"/>
        <v>0</v>
      </c>
      <c r="K5504" s="369">
        <f t="shared" si="257"/>
        <v>6</v>
      </c>
      <c r="L5504" s="369">
        <f>+IF((C5504&gt;='Resultats - informe'!$E$16)*(C5504&lt;='Resultats - informe'!$G$16),1,0)</f>
        <v>1</v>
      </c>
      <c r="M5504" s="369" cm="1">
        <f t="array" ref="M5504">+_xlfn.IFS((C5504&gt;='Resultats - informe'!$D$26)*(C5504&lt;='Resultats - informe'!$E$26),0,(C5504&gt;='Resultats - informe'!$D$27)*(C5504&lt;='Resultats - informe'!$E$27),0,(C5504&gt;='Resultats - informe'!$D$28)*(C5504&lt;='Resultats - informe'!$E$28),0,(C5504&gt;='Resultats - informe'!$D$29)*(C5504&lt;='Resultats - informe'!$E$29),0,1,1)</f>
        <v>0</v>
      </c>
      <c r="N5504" s="366">
        <f>+VLOOKUP(D5504,'Resultats - informe'!$Y$18:$AG$42,'Introducció dades consum'!K5504+1,0)</f>
        <v>0</v>
      </c>
      <c r="O5504" s="370" cm="1">
        <f t="array" ref="O5504">+_xlfn.SWITCH(MONTH(C5504),1,1,2,1,3,1,4,2,5,2,6,3,7,3,8,3,9,3,10,2,11,2,12,1,2)</f>
        <v>1</v>
      </c>
      <c r="P5504" s="43"/>
    </row>
    <row r="5505" spans="1:16" ht="18" x14ac:dyDescent="0.35">
      <c r="A5505" s="9"/>
      <c r="C5505" s="393"/>
      <c r="E5505" s="394"/>
      <c r="F5505" s="394">
        <v>0.44400000000000001</v>
      </c>
      <c r="G5505" s="394"/>
      <c r="H5505" s="8" t="s">
        <v>235</v>
      </c>
      <c r="I5505" s="368">
        <f t="shared" si="256"/>
        <v>0</v>
      </c>
      <c r="J5505" s="365">
        <f t="shared" si="258"/>
        <v>0</v>
      </c>
      <c r="K5505" s="369">
        <f t="shared" si="257"/>
        <v>6</v>
      </c>
      <c r="L5505" s="369">
        <f>+IF((C5505&gt;='Resultats - informe'!$E$16)*(C5505&lt;='Resultats - informe'!$G$16),1,0)</f>
        <v>1</v>
      </c>
      <c r="M5505" s="369" cm="1">
        <f t="array" ref="M5505">+_xlfn.IFS((C5505&gt;='Resultats - informe'!$D$26)*(C5505&lt;='Resultats - informe'!$E$26),0,(C5505&gt;='Resultats - informe'!$D$27)*(C5505&lt;='Resultats - informe'!$E$27),0,(C5505&gt;='Resultats - informe'!$D$28)*(C5505&lt;='Resultats - informe'!$E$28),0,(C5505&gt;='Resultats - informe'!$D$29)*(C5505&lt;='Resultats - informe'!$E$29),0,1,1)</f>
        <v>0</v>
      </c>
      <c r="N5505" s="366">
        <f>+VLOOKUP(D5505,'Resultats - informe'!$Y$18:$AG$42,'Introducció dades consum'!K5505+1,0)</f>
        <v>0</v>
      </c>
      <c r="O5505" s="370" cm="1">
        <f t="array" ref="O5505">+_xlfn.SWITCH(MONTH(C5505),1,1,2,1,3,1,4,2,5,2,6,3,7,3,8,3,9,3,10,2,11,2,12,1,2)</f>
        <v>1</v>
      </c>
      <c r="P5505" s="43"/>
    </row>
    <row r="5506" spans="1:16" ht="18" x14ac:dyDescent="0.35">
      <c r="A5506" s="9"/>
      <c r="C5506" s="393"/>
      <c r="E5506" s="394"/>
      <c r="F5506" s="394">
        <v>0.45100000000000001</v>
      </c>
      <c r="G5506" s="394"/>
      <c r="H5506" s="8" t="s">
        <v>235</v>
      </c>
      <c r="I5506" s="368">
        <f t="shared" si="256"/>
        <v>0</v>
      </c>
      <c r="J5506" s="365">
        <f t="shared" si="258"/>
        <v>0</v>
      </c>
      <c r="K5506" s="369">
        <f t="shared" si="257"/>
        <v>6</v>
      </c>
      <c r="L5506" s="369">
        <f>+IF((C5506&gt;='Resultats - informe'!$E$16)*(C5506&lt;='Resultats - informe'!$G$16),1,0)</f>
        <v>1</v>
      </c>
      <c r="M5506" s="369" cm="1">
        <f t="array" ref="M5506">+_xlfn.IFS((C5506&gt;='Resultats - informe'!$D$26)*(C5506&lt;='Resultats - informe'!$E$26),0,(C5506&gt;='Resultats - informe'!$D$27)*(C5506&lt;='Resultats - informe'!$E$27),0,(C5506&gt;='Resultats - informe'!$D$28)*(C5506&lt;='Resultats - informe'!$E$28),0,(C5506&gt;='Resultats - informe'!$D$29)*(C5506&lt;='Resultats - informe'!$E$29),0,1,1)</f>
        <v>0</v>
      </c>
      <c r="N5506" s="366">
        <f>+VLOOKUP(D5506,'Resultats - informe'!$Y$18:$AG$42,'Introducció dades consum'!K5506+1,0)</f>
        <v>0</v>
      </c>
      <c r="O5506" s="370" cm="1">
        <f t="array" ref="O5506">+_xlfn.SWITCH(MONTH(C5506),1,1,2,1,3,1,4,2,5,2,6,3,7,3,8,3,9,3,10,2,11,2,12,1,2)</f>
        <v>1</v>
      </c>
      <c r="P5506" s="43"/>
    </row>
    <row r="5507" spans="1:16" ht="18" x14ac:dyDescent="0.35">
      <c r="A5507" s="9"/>
      <c r="C5507" s="393"/>
      <c r="E5507" s="394"/>
      <c r="F5507" s="394">
        <v>0.44900000000000001</v>
      </c>
      <c r="G5507" s="394"/>
      <c r="H5507" s="8" t="s">
        <v>235</v>
      </c>
      <c r="I5507" s="368">
        <f t="shared" si="256"/>
        <v>0</v>
      </c>
      <c r="J5507" s="365">
        <f t="shared" si="258"/>
        <v>0</v>
      </c>
      <c r="K5507" s="369">
        <f t="shared" si="257"/>
        <v>6</v>
      </c>
      <c r="L5507" s="369">
        <f>+IF((C5507&gt;='Resultats - informe'!$E$16)*(C5507&lt;='Resultats - informe'!$G$16),1,0)</f>
        <v>1</v>
      </c>
      <c r="M5507" s="369" cm="1">
        <f t="array" ref="M5507">+_xlfn.IFS((C5507&gt;='Resultats - informe'!$D$26)*(C5507&lt;='Resultats - informe'!$E$26),0,(C5507&gt;='Resultats - informe'!$D$27)*(C5507&lt;='Resultats - informe'!$E$27),0,(C5507&gt;='Resultats - informe'!$D$28)*(C5507&lt;='Resultats - informe'!$E$28),0,(C5507&gt;='Resultats - informe'!$D$29)*(C5507&lt;='Resultats - informe'!$E$29),0,1,1)</f>
        <v>0</v>
      </c>
      <c r="N5507" s="366">
        <f>+VLOOKUP(D5507,'Resultats - informe'!$Y$18:$AG$42,'Introducció dades consum'!K5507+1,0)</f>
        <v>0</v>
      </c>
      <c r="O5507" s="370" cm="1">
        <f t="array" ref="O5507">+_xlfn.SWITCH(MONTH(C5507),1,1,2,1,3,1,4,2,5,2,6,3,7,3,8,3,9,3,10,2,11,2,12,1,2)</f>
        <v>1</v>
      </c>
      <c r="P5507" s="43"/>
    </row>
    <row r="5508" spans="1:16" ht="18" x14ac:dyDescent="0.35">
      <c r="A5508" s="9"/>
      <c r="C5508" s="393"/>
      <c r="E5508" s="394"/>
      <c r="F5508" s="394">
        <v>1.177</v>
      </c>
      <c r="G5508" s="394"/>
      <c r="H5508" s="8" t="s">
        <v>235</v>
      </c>
      <c r="I5508" s="368">
        <f t="shared" si="256"/>
        <v>0</v>
      </c>
      <c r="J5508" s="365">
        <f t="shared" si="258"/>
        <v>0</v>
      </c>
      <c r="K5508" s="369">
        <f t="shared" si="257"/>
        <v>6</v>
      </c>
      <c r="L5508" s="369">
        <f>+IF((C5508&gt;='Resultats - informe'!$E$16)*(C5508&lt;='Resultats - informe'!$G$16),1,0)</f>
        <v>1</v>
      </c>
      <c r="M5508" s="369" cm="1">
        <f t="array" ref="M5508">+_xlfn.IFS((C5508&gt;='Resultats - informe'!$D$26)*(C5508&lt;='Resultats - informe'!$E$26),0,(C5508&gt;='Resultats - informe'!$D$27)*(C5508&lt;='Resultats - informe'!$E$27),0,(C5508&gt;='Resultats - informe'!$D$28)*(C5508&lt;='Resultats - informe'!$E$28),0,(C5508&gt;='Resultats - informe'!$D$29)*(C5508&lt;='Resultats - informe'!$E$29),0,1,1)</f>
        <v>0</v>
      </c>
      <c r="N5508" s="366">
        <f>+VLOOKUP(D5508,'Resultats - informe'!$Y$18:$AG$42,'Introducció dades consum'!K5508+1,0)</f>
        <v>0</v>
      </c>
      <c r="O5508" s="370" cm="1">
        <f t="array" ref="O5508">+_xlfn.SWITCH(MONTH(C5508),1,1,2,1,3,1,4,2,5,2,6,3,7,3,8,3,9,3,10,2,11,2,12,1,2)</f>
        <v>1</v>
      </c>
      <c r="P5508" s="43"/>
    </row>
    <row r="5509" spans="1:16" ht="18" x14ac:dyDescent="0.35">
      <c r="A5509" s="9"/>
      <c r="C5509" s="393"/>
      <c r="E5509" s="394"/>
      <c r="F5509" s="394">
        <v>1.175</v>
      </c>
      <c r="G5509" s="394"/>
      <c r="H5509" s="8" t="s">
        <v>235</v>
      </c>
      <c r="I5509" s="368">
        <f t="shared" si="256"/>
        <v>0</v>
      </c>
      <c r="J5509" s="365">
        <f t="shared" si="258"/>
        <v>0</v>
      </c>
      <c r="K5509" s="369">
        <f t="shared" si="257"/>
        <v>6</v>
      </c>
      <c r="L5509" s="369">
        <f>+IF((C5509&gt;='Resultats - informe'!$E$16)*(C5509&lt;='Resultats - informe'!$G$16),1,0)</f>
        <v>1</v>
      </c>
      <c r="M5509" s="369" cm="1">
        <f t="array" ref="M5509">+_xlfn.IFS((C5509&gt;='Resultats - informe'!$D$26)*(C5509&lt;='Resultats - informe'!$E$26),0,(C5509&gt;='Resultats - informe'!$D$27)*(C5509&lt;='Resultats - informe'!$E$27),0,(C5509&gt;='Resultats - informe'!$D$28)*(C5509&lt;='Resultats - informe'!$E$28),0,(C5509&gt;='Resultats - informe'!$D$29)*(C5509&lt;='Resultats - informe'!$E$29),0,1,1)</f>
        <v>0</v>
      </c>
      <c r="N5509" s="366">
        <f>+VLOOKUP(D5509,'Resultats - informe'!$Y$18:$AG$42,'Introducció dades consum'!K5509+1,0)</f>
        <v>0</v>
      </c>
      <c r="O5509" s="370" cm="1">
        <f t="array" ref="O5509">+_xlfn.SWITCH(MONTH(C5509),1,1,2,1,3,1,4,2,5,2,6,3,7,3,8,3,9,3,10,2,11,2,12,1,2)</f>
        <v>1</v>
      </c>
      <c r="P5509" s="43"/>
    </row>
    <row r="5510" spans="1:16" ht="18" x14ac:dyDescent="0.35">
      <c r="A5510" s="9"/>
      <c r="C5510" s="393"/>
      <c r="E5510" s="394"/>
      <c r="F5510" s="394">
        <v>1.768</v>
      </c>
      <c r="G5510" s="394"/>
      <c r="H5510" s="8" t="s">
        <v>235</v>
      </c>
      <c r="I5510" s="368">
        <f t="shared" ref="I5510:I5573" si="259">+E5510+G5510</f>
        <v>0</v>
      </c>
      <c r="J5510" s="365">
        <f t="shared" si="258"/>
        <v>0</v>
      </c>
      <c r="K5510" s="369">
        <f t="shared" ref="K5510:K5573" si="260">+WEEKDAY(C5510,2)</f>
        <v>6</v>
      </c>
      <c r="L5510" s="369">
        <f>+IF((C5510&gt;='Resultats - informe'!$E$16)*(C5510&lt;='Resultats - informe'!$G$16),1,0)</f>
        <v>1</v>
      </c>
      <c r="M5510" s="369" cm="1">
        <f t="array" ref="M5510">+_xlfn.IFS((C5510&gt;='Resultats - informe'!$D$26)*(C5510&lt;='Resultats - informe'!$E$26),0,(C5510&gt;='Resultats - informe'!$D$27)*(C5510&lt;='Resultats - informe'!$E$27),0,(C5510&gt;='Resultats - informe'!$D$28)*(C5510&lt;='Resultats - informe'!$E$28),0,(C5510&gt;='Resultats - informe'!$D$29)*(C5510&lt;='Resultats - informe'!$E$29),0,1,1)</f>
        <v>0</v>
      </c>
      <c r="N5510" s="366">
        <f>+VLOOKUP(D5510,'Resultats - informe'!$Y$18:$AG$42,'Introducció dades consum'!K5510+1,0)</f>
        <v>0</v>
      </c>
      <c r="O5510" s="370" cm="1">
        <f t="array" ref="O5510">+_xlfn.SWITCH(MONTH(C5510),1,1,2,1,3,1,4,2,5,2,6,3,7,3,8,3,9,3,10,2,11,2,12,1,2)</f>
        <v>1</v>
      </c>
      <c r="P5510" s="43"/>
    </row>
    <row r="5511" spans="1:16" ht="18" x14ac:dyDescent="0.35">
      <c r="A5511" s="9"/>
      <c r="C5511" s="393"/>
      <c r="E5511" s="394"/>
      <c r="F5511" s="394">
        <v>1.843</v>
      </c>
      <c r="G5511" s="394"/>
      <c r="H5511" s="8" t="s">
        <v>235</v>
      </c>
      <c r="I5511" s="368">
        <f t="shared" si="259"/>
        <v>0</v>
      </c>
      <c r="J5511" s="365">
        <f t="shared" si="258"/>
        <v>0</v>
      </c>
      <c r="K5511" s="369">
        <f t="shared" si="260"/>
        <v>6</v>
      </c>
      <c r="L5511" s="369">
        <f>+IF((C5511&gt;='Resultats - informe'!$E$16)*(C5511&lt;='Resultats - informe'!$G$16),1,0)</f>
        <v>1</v>
      </c>
      <c r="M5511" s="369" cm="1">
        <f t="array" ref="M5511">+_xlfn.IFS((C5511&gt;='Resultats - informe'!$D$26)*(C5511&lt;='Resultats - informe'!$E$26),0,(C5511&gt;='Resultats - informe'!$D$27)*(C5511&lt;='Resultats - informe'!$E$27),0,(C5511&gt;='Resultats - informe'!$D$28)*(C5511&lt;='Resultats - informe'!$E$28),0,(C5511&gt;='Resultats - informe'!$D$29)*(C5511&lt;='Resultats - informe'!$E$29),0,1,1)</f>
        <v>0</v>
      </c>
      <c r="N5511" s="366">
        <f>+VLOOKUP(D5511,'Resultats - informe'!$Y$18:$AG$42,'Introducció dades consum'!K5511+1,0)</f>
        <v>0</v>
      </c>
      <c r="O5511" s="370" cm="1">
        <f t="array" ref="O5511">+_xlfn.SWITCH(MONTH(C5511),1,1,2,1,3,1,4,2,5,2,6,3,7,3,8,3,9,3,10,2,11,2,12,1,2)</f>
        <v>1</v>
      </c>
      <c r="P5511" s="43"/>
    </row>
    <row r="5512" spans="1:16" ht="18" x14ac:dyDescent="0.35">
      <c r="A5512" s="9"/>
      <c r="C5512" s="393"/>
      <c r="E5512" s="394"/>
      <c r="F5512" s="394">
        <v>1.9359999999999999</v>
      </c>
      <c r="G5512" s="394"/>
      <c r="H5512" s="8" t="s">
        <v>235</v>
      </c>
      <c r="I5512" s="368">
        <f t="shared" si="259"/>
        <v>0</v>
      </c>
      <c r="J5512" s="365">
        <f t="shared" si="258"/>
        <v>0</v>
      </c>
      <c r="K5512" s="369">
        <f t="shared" si="260"/>
        <v>6</v>
      </c>
      <c r="L5512" s="369">
        <f>+IF((C5512&gt;='Resultats - informe'!$E$16)*(C5512&lt;='Resultats - informe'!$G$16),1,0)</f>
        <v>1</v>
      </c>
      <c r="M5512" s="369" cm="1">
        <f t="array" ref="M5512">+_xlfn.IFS((C5512&gt;='Resultats - informe'!$D$26)*(C5512&lt;='Resultats - informe'!$E$26),0,(C5512&gt;='Resultats - informe'!$D$27)*(C5512&lt;='Resultats - informe'!$E$27),0,(C5512&gt;='Resultats - informe'!$D$28)*(C5512&lt;='Resultats - informe'!$E$28),0,(C5512&gt;='Resultats - informe'!$D$29)*(C5512&lt;='Resultats - informe'!$E$29),0,1,1)</f>
        <v>0</v>
      </c>
      <c r="N5512" s="366">
        <f>+VLOOKUP(D5512,'Resultats - informe'!$Y$18:$AG$42,'Introducció dades consum'!K5512+1,0)</f>
        <v>0</v>
      </c>
      <c r="O5512" s="370" cm="1">
        <f t="array" ref="O5512">+_xlfn.SWITCH(MONTH(C5512),1,1,2,1,3,1,4,2,5,2,6,3,7,3,8,3,9,3,10,2,11,2,12,1,2)</f>
        <v>1</v>
      </c>
      <c r="P5512" s="43"/>
    </row>
    <row r="5513" spans="1:16" ht="18" x14ac:dyDescent="0.35">
      <c r="A5513" s="9"/>
      <c r="C5513" s="393"/>
      <c r="E5513" s="394"/>
      <c r="F5513" s="394">
        <v>1.821</v>
      </c>
      <c r="G5513" s="394"/>
      <c r="H5513" s="8" t="s">
        <v>235</v>
      </c>
      <c r="I5513" s="368">
        <f t="shared" si="259"/>
        <v>0</v>
      </c>
      <c r="J5513" s="365">
        <f t="shared" si="258"/>
        <v>0</v>
      </c>
      <c r="K5513" s="369">
        <f t="shared" si="260"/>
        <v>6</v>
      </c>
      <c r="L5513" s="369">
        <f>+IF((C5513&gt;='Resultats - informe'!$E$16)*(C5513&lt;='Resultats - informe'!$G$16),1,0)</f>
        <v>1</v>
      </c>
      <c r="M5513" s="369" cm="1">
        <f t="array" ref="M5513">+_xlfn.IFS((C5513&gt;='Resultats - informe'!$D$26)*(C5513&lt;='Resultats - informe'!$E$26),0,(C5513&gt;='Resultats - informe'!$D$27)*(C5513&lt;='Resultats - informe'!$E$27),0,(C5513&gt;='Resultats - informe'!$D$28)*(C5513&lt;='Resultats - informe'!$E$28),0,(C5513&gt;='Resultats - informe'!$D$29)*(C5513&lt;='Resultats - informe'!$E$29),0,1,1)</f>
        <v>0</v>
      </c>
      <c r="N5513" s="366">
        <f>+VLOOKUP(D5513,'Resultats - informe'!$Y$18:$AG$42,'Introducció dades consum'!K5513+1,0)</f>
        <v>0</v>
      </c>
      <c r="O5513" s="370" cm="1">
        <f t="array" ref="O5513">+_xlfn.SWITCH(MONTH(C5513),1,1,2,1,3,1,4,2,5,2,6,3,7,3,8,3,9,3,10,2,11,2,12,1,2)</f>
        <v>1</v>
      </c>
      <c r="P5513" s="43"/>
    </row>
    <row r="5514" spans="1:16" ht="18" x14ac:dyDescent="0.35">
      <c r="A5514" s="9"/>
      <c r="C5514" s="393"/>
      <c r="E5514" s="394"/>
      <c r="F5514" s="394">
        <v>1.1519999999999999</v>
      </c>
      <c r="G5514" s="394"/>
      <c r="H5514" s="8" t="s">
        <v>235</v>
      </c>
      <c r="I5514" s="368">
        <f t="shared" si="259"/>
        <v>0</v>
      </c>
      <c r="J5514" s="365">
        <f t="shared" si="258"/>
        <v>0</v>
      </c>
      <c r="K5514" s="369">
        <f t="shared" si="260"/>
        <v>6</v>
      </c>
      <c r="L5514" s="369">
        <f>+IF((C5514&gt;='Resultats - informe'!$E$16)*(C5514&lt;='Resultats - informe'!$G$16),1,0)</f>
        <v>1</v>
      </c>
      <c r="M5514" s="369" cm="1">
        <f t="array" ref="M5514">+_xlfn.IFS((C5514&gt;='Resultats - informe'!$D$26)*(C5514&lt;='Resultats - informe'!$E$26),0,(C5514&gt;='Resultats - informe'!$D$27)*(C5514&lt;='Resultats - informe'!$E$27),0,(C5514&gt;='Resultats - informe'!$D$28)*(C5514&lt;='Resultats - informe'!$E$28),0,(C5514&gt;='Resultats - informe'!$D$29)*(C5514&lt;='Resultats - informe'!$E$29),0,1,1)</f>
        <v>0</v>
      </c>
      <c r="N5514" s="366">
        <f>+VLOOKUP(D5514,'Resultats - informe'!$Y$18:$AG$42,'Introducció dades consum'!K5514+1,0)</f>
        <v>0</v>
      </c>
      <c r="O5514" s="370" cm="1">
        <f t="array" ref="O5514">+_xlfn.SWITCH(MONTH(C5514),1,1,2,1,3,1,4,2,5,2,6,3,7,3,8,3,9,3,10,2,11,2,12,1,2)</f>
        <v>1</v>
      </c>
      <c r="P5514" s="43"/>
    </row>
    <row r="5515" spans="1:16" ht="18" x14ac:dyDescent="0.35">
      <c r="A5515" s="9"/>
      <c r="C5515" s="393"/>
      <c r="E5515" s="394"/>
      <c r="F5515" s="394">
        <v>1.4670000000000001</v>
      </c>
      <c r="G5515" s="394"/>
      <c r="H5515" s="8" t="s">
        <v>235</v>
      </c>
      <c r="I5515" s="368">
        <f t="shared" si="259"/>
        <v>0</v>
      </c>
      <c r="J5515" s="365">
        <f t="shared" si="258"/>
        <v>0</v>
      </c>
      <c r="K5515" s="369">
        <f t="shared" si="260"/>
        <v>6</v>
      </c>
      <c r="L5515" s="369">
        <f>+IF((C5515&gt;='Resultats - informe'!$E$16)*(C5515&lt;='Resultats - informe'!$G$16),1,0)</f>
        <v>1</v>
      </c>
      <c r="M5515" s="369" cm="1">
        <f t="array" ref="M5515">+_xlfn.IFS((C5515&gt;='Resultats - informe'!$D$26)*(C5515&lt;='Resultats - informe'!$E$26),0,(C5515&gt;='Resultats - informe'!$D$27)*(C5515&lt;='Resultats - informe'!$E$27),0,(C5515&gt;='Resultats - informe'!$D$28)*(C5515&lt;='Resultats - informe'!$E$28),0,(C5515&gt;='Resultats - informe'!$D$29)*(C5515&lt;='Resultats - informe'!$E$29),0,1,1)</f>
        <v>0</v>
      </c>
      <c r="N5515" s="366">
        <f>+VLOOKUP(D5515,'Resultats - informe'!$Y$18:$AG$42,'Introducció dades consum'!K5515+1,0)</f>
        <v>0</v>
      </c>
      <c r="O5515" s="370" cm="1">
        <f t="array" ref="O5515">+_xlfn.SWITCH(MONTH(C5515),1,1,2,1,3,1,4,2,5,2,6,3,7,3,8,3,9,3,10,2,11,2,12,1,2)</f>
        <v>1</v>
      </c>
      <c r="P5515" s="43"/>
    </row>
    <row r="5516" spans="1:16" ht="18" x14ac:dyDescent="0.35">
      <c r="A5516" s="9"/>
      <c r="C5516" s="393"/>
      <c r="E5516" s="394"/>
      <c r="F5516" s="394">
        <v>1.3129999999999999</v>
      </c>
      <c r="G5516" s="394"/>
      <c r="H5516" s="8" t="s">
        <v>235</v>
      </c>
      <c r="I5516" s="368">
        <f t="shared" si="259"/>
        <v>0</v>
      </c>
      <c r="J5516" s="365">
        <f t="shared" si="258"/>
        <v>0</v>
      </c>
      <c r="K5516" s="369">
        <f t="shared" si="260"/>
        <v>6</v>
      </c>
      <c r="L5516" s="369">
        <f>+IF((C5516&gt;='Resultats - informe'!$E$16)*(C5516&lt;='Resultats - informe'!$G$16),1,0)</f>
        <v>1</v>
      </c>
      <c r="M5516" s="369" cm="1">
        <f t="array" ref="M5516">+_xlfn.IFS((C5516&gt;='Resultats - informe'!$D$26)*(C5516&lt;='Resultats - informe'!$E$26),0,(C5516&gt;='Resultats - informe'!$D$27)*(C5516&lt;='Resultats - informe'!$E$27),0,(C5516&gt;='Resultats - informe'!$D$28)*(C5516&lt;='Resultats - informe'!$E$28),0,(C5516&gt;='Resultats - informe'!$D$29)*(C5516&lt;='Resultats - informe'!$E$29),0,1,1)</f>
        <v>0</v>
      </c>
      <c r="N5516" s="366">
        <f>+VLOOKUP(D5516,'Resultats - informe'!$Y$18:$AG$42,'Introducció dades consum'!K5516+1,0)</f>
        <v>0</v>
      </c>
      <c r="O5516" s="370" cm="1">
        <f t="array" ref="O5516">+_xlfn.SWITCH(MONTH(C5516),1,1,2,1,3,1,4,2,5,2,6,3,7,3,8,3,9,3,10,2,11,2,12,1,2)</f>
        <v>1</v>
      </c>
      <c r="P5516" s="43"/>
    </row>
    <row r="5517" spans="1:16" ht="18" x14ac:dyDescent="0.35">
      <c r="A5517" s="9"/>
      <c r="C5517" s="393"/>
      <c r="E5517" s="394"/>
      <c r="F5517" s="394">
        <v>0.93</v>
      </c>
      <c r="G5517" s="394"/>
      <c r="H5517" s="8" t="s">
        <v>235</v>
      </c>
      <c r="I5517" s="368">
        <f t="shared" si="259"/>
        <v>0</v>
      </c>
      <c r="J5517" s="365">
        <f t="shared" si="258"/>
        <v>0</v>
      </c>
      <c r="K5517" s="369">
        <f t="shared" si="260"/>
        <v>6</v>
      </c>
      <c r="L5517" s="369">
        <f>+IF((C5517&gt;='Resultats - informe'!$E$16)*(C5517&lt;='Resultats - informe'!$G$16),1,0)</f>
        <v>1</v>
      </c>
      <c r="M5517" s="369" cm="1">
        <f t="array" ref="M5517">+_xlfn.IFS((C5517&gt;='Resultats - informe'!$D$26)*(C5517&lt;='Resultats - informe'!$E$26),0,(C5517&gt;='Resultats - informe'!$D$27)*(C5517&lt;='Resultats - informe'!$E$27),0,(C5517&gt;='Resultats - informe'!$D$28)*(C5517&lt;='Resultats - informe'!$E$28),0,(C5517&gt;='Resultats - informe'!$D$29)*(C5517&lt;='Resultats - informe'!$E$29),0,1,1)</f>
        <v>0</v>
      </c>
      <c r="N5517" s="366">
        <f>+VLOOKUP(D5517,'Resultats - informe'!$Y$18:$AG$42,'Introducció dades consum'!K5517+1,0)</f>
        <v>0</v>
      </c>
      <c r="O5517" s="370" cm="1">
        <f t="array" ref="O5517">+_xlfn.SWITCH(MONTH(C5517),1,1,2,1,3,1,4,2,5,2,6,3,7,3,8,3,9,3,10,2,11,2,12,1,2)</f>
        <v>1</v>
      </c>
      <c r="P5517" s="43"/>
    </row>
    <row r="5518" spans="1:16" ht="18" x14ac:dyDescent="0.35">
      <c r="A5518" s="9"/>
      <c r="C5518" s="393"/>
      <c r="E5518" s="394"/>
      <c r="F5518" s="394">
        <v>2.2490000000000001</v>
      </c>
      <c r="G5518" s="394"/>
      <c r="H5518" s="8" t="s">
        <v>235</v>
      </c>
      <c r="I5518" s="368">
        <f t="shared" si="259"/>
        <v>0</v>
      </c>
      <c r="J5518" s="365">
        <f t="shared" si="258"/>
        <v>0</v>
      </c>
      <c r="K5518" s="369">
        <f t="shared" si="260"/>
        <v>6</v>
      </c>
      <c r="L5518" s="369">
        <f>+IF((C5518&gt;='Resultats - informe'!$E$16)*(C5518&lt;='Resultats - informe'!$G$16),1,0)</f>
        <v>1</v>
      </c>
      <c r="M5518" s="369" cm="1">
        <f t="array" ref="M5518">+_xlfn.IFS((C5518&gt;='Resultats - informe'!$D$26)*(C5518&lt;='Resultats - informe'!$E$26),0,(C5518&gt;='Resultats - informe'!$D$27)*(C5518&lt;='Resultats - informe'!$E$27),0,(C5518&gt;='Resultats - informe'!$D$28)*(C5518&lt;='Resultats - informe'!$E$28),0,(C5518&gt;='Resultats - informe'!$D$29)*(C5518&lt;='Resultats - informe'!$E$29),0,1,1)</f>
        <v>0</v>
      </c>
      <c r="N5518" s="366">
        <f>+VLOOKUP(D5518,'Resultats - informe'!$Y$18:$AG$42,'Introducció dades consum'!K5518+1,0)</f>
        <v>0</v>
      </c>
      <c r="O5518" s="370" cm="1">
        <f t="array" ref="O5518">+_xlfn.SWITCH(MONTH(C5518),1,1,2,1,3,1,4,2,5,2,6,3,7,3,8,3,9,3,10,2,11,2,12,1,2)</f>
        <v>1</v>
      </c>
      <c r="P5518" s="43"/>
    </row>
    <row r="5519" spans="1:16" ht="18" x14ac:dyDescent="0.35">
      <c r="A5519" s="9"/>
      <c r="C5519" s="393"/>
      <c r="E5519" s="394"/>
      <c r="F5519" s="394">
        <v>2.1970000000000001</v>
      </c>
      <c r="G5519" s="394"/>
      <c r="H5519" s="8" t="s">
        <v>235</v>
      </c>
      <c r="I5519" s="368">
        <f t="shared" si="259"/>
        <v>0</v>
      </c>
      <c r="J5519" s="365">
        <f t="shared" si="258"/>
        <v>0</v>
      </c>
      <c r="K5519" s="369">
        <f t="shared" si="260"/>
        <v>6</v>
      </c>
      <c r="L5519" s="369">
        <f>+IF((C5519&gt;='Resultats - informe'!$E$16)*(C5519&lt;='Resultats - informe'!$G$16),1,0)</f>
        <v>1</v>
      </c>
      <c r="M5519" s="369" cm="1">
        <f t="array" ref="M5519">+_xlfn.IFS((C5519&gt;='Resultats - informe'!$D$26)*(C5519&lt;='Resultats - informe'!$E$26),0,(C5519&gt;='Resultats - informe'!$D$27)*(C5519&lt;='Resultats - informe'!$E$27),0,(C5519&gt;='Resultats - informe'!$D$28)*(C5519&lt;='Resultats - informe'!$E$28),0,(C5519&gt;='Resultats - informe'!$D$29)*(C5519&lt;='Resultats - informe'!$E$29),0,1,1)</f>
        <v>0</v>
      </c>
      <c r="N5519" s="366">
        <f>+VLOOKUP(D5519,'Resultats - informe'!$Y$18:$AG$42,'Introducció dades consum'!K5519+1,0)</f>
        <v>0</v>
      </c>
      <c r="O5519" s="370" cm="1">
        <f t="array" ref="O5519">+_xlfn.SWITCH(MONTH(C5519),1,1,2,1,3,1,4,2,5,2,6,3,7,3,8,3,9,3,10,2,11,2,12,1,2)</f>
        <v>1</v>
      </c>
      <c r="P5519" s="43"/>
    </row>
    <row r="5520" spans="1:16" ht="18" x14ac:dyDescent="0.35">
      <c r="A5520" s="9"/>
      <c r="C5520" s="393"/>
      <c r="E5520" s="394"/>
      <c r="F5520" s="394">
        <v>2.09</v>
      </c>
      <c r="G5520" s="394"/>
      <c r="H5520" s="8" t="s">
        <v>235</v>
      </c>
      <c r="I5520" s="368">
        <f t="shared" si="259"/>
        <v>0</v>
      </c>
      <c r="J5520" s="365">
        <f t="shared" si="258"/>
        <v>0</v>
      </c>
      <c r="K5520" s="369">
        <f t="shared" si="260"/>
        <v>6</v>
      </c>
      <c r="L5520" s="369">
        <f>+IF((C5520&gt;='Resultats - informe'!$E$16)*(C5520&lt;='Resultats - informe'!$G$16),1,0)</f>
        <v>1</v>
      </c>
      <c r="M5520" s="369" cm="1">
        <f t="array" ref="M5520">+_xlfn.IFS((C5520&gt;='Resultats - informe'!$D$26)*(C5520&lt;='Resultats - informe'!$E$26),0,(C5520&gt;='Resultats - informe'!$D$27)*(C5520&lt;='Resultats - informe'!$E$27),0,(C5520&gt;='Resultats - informe'!$D$28)*(C5520&lt;='Resultats - informe'!$E$28),0,(C5520&gt;='Resultats - informe'!$D$29)*(C5520&lt;='Resultats - informe'!$E$29),0,1,1)</f>
        <v>0</v>
      </c>
      <c r="N5520" s="366">
        <f>+VLOOKUP(D5520,'Resultats - informe'!$Y$18:$AG$42,'Introducció dades consum'!K5520+1,0)</f>
        <v>0</v>
      </c>
      <c r="O5520" s="370" cm="1">
        <f t="array" ref="O5520">+_xlfn.SWITCH(MONTH(C5520),1,1,2,1,3,1,4,2,5,2,6,3,7,3,8,3,9,3,10,2,11,2,12,1,2)</f>
        <v>1</v>
      </c>
      <c r="P5520" s="43"/>
    </row>
    <row r="5521" spans="1:16" ht="18" x14ac:dyDescent="0.35">
      <c r="A5521" s="9"/>
      <c r="C5521" s="393"/>
      <c r="E5521" s="394"/>
      <c r="F5521" s="394">
        <v>2.0920000000000001</v>
      </c>
      <c r="G5521" s="394"/>
      <c r="H5521" s="8" t="s">
        <v>235</v>
      </c>
      <c r="I5521" s="368">
        <f t="shared" si="259"/>
        <v>0</v>
      </c>
      <c r="J5521" s="365">
        <f t="shared" si="258"/>
        <v>0</v>
      </c>
      <c r="K5521" s="369">
        <f t="shared" si="260"/>
        <v>6</v>
      </c>
      <c r="L5521" s="369">
        <f>+IF((C5521&gt;='Resultats - informe'!$E$16)*(C5521&lt;='Resultats - informe'!$G$16),1,0)</f>
        <v>1</v>
      </c>
      <c r="M5521" s="369" cm="1">
        <f t="array" ref="M5521">+_xlfn.IFS((C5521&gt;='Resultats - informe'!$D$26)*(C5521&lt;='Resultats - informe'!$E$26),0,(C5521&gt;='Resultats - informe'!$D$27)*(C5521&lt;='Resultats - informe'!$E$27),0,(C5521&gt;='Resultats - informe'!$D$28)*(C5521&lt;='Resultats - informe'!$E$28),0,(C5521&gt;='Resultats - informe'!$D$29)*(C5521&lt;='Resultats - informe'!$E$29),0,1,1)</f>
        <v>0</v>
      </c>
      <c r="N5521" s="366">
        <f>+VLOOKUP(D5521,'Resultats - informe'!$Y$18:$AG$42,'Introducció dades consum'!K5521+1,0)</f>
        <v>0</v>
      </c>
      <c r="O5521" s="370" cm="1">
        <f t="array" ref="O5521">+_xlfn.SWITCH(MONTH(C5521),1,1,2,1,3,1,4,2,5,2,6,3,7,3,8,3,9,3,10,2,11,2,12,1,2)</f>
        <v>1</v>
      </c>
      <c r="P5521" s="43"/>
    </row>
    <row r="5522" spans="1:16" ht="18" x14ac:dyDescent="0.35">
      <c r="A5522" s="9"/>
      <c r="C5522" s="393"/>
      <c r="E5522" s="394"/>
      <c r="F5522" s="394">
        <v>1.361</v>
      </c>
      <c r="G5522" s="394"/>
      <c r="H5522" s="8" t="s">
        <v>235</v>
      </c>
      <c r="I5522" s="368">
        <f t="shared" si="259"/>
        <v>0</v>
      </c>
      <c r="J5522" s="365">
        <f t="shared" si="258"/>
        <v>0</v>
      </c>
      <c r="K5522" s="369">
        <f t="shared" si="260"/>
        <v>6</v>
      </c>
      <c r="L5522" s="369">
        <f>+IF((C5522&gt;='Resultats - informe'!$E$16)*(C5522&lt;='Resultats - informe'!$G$16),1,0)</f>
        <v>1</v>
      </c>
      <c r="M5522" s="369" cm="1">
        <f t="array" ref="M5522">+_xlfn.IFS((C5522&gt;='Resultats - informe'!$D$26)*(C5522&lt;='Resultats - informe'!$E$26),0,(C5522&gt;='Resultats - informe'!$D$27)*(C5522&lt;='Resultats - informe'!$E$27),0,(C5522&gt;='Resultats - informe'!$D$28)*(C5522&lt;='Resultats - informe'!$E$28),0,(C5522&gt;='Resultats - informe'!$D$29)*(C5522&lt;='Resultats - informe'!$E$29),0,1,1)</f>
        <v>0</v>
      </c>
      <c r="N5522" s="366">
        <f>+VLOOKUP(D5522,'Resultats - informe'!$Y$18:$AG$42,'Introducció dades consum'!K5522+1,0)</f>
        <v>0</v>
      </c>
      <c r="O5522" s="370" cm="1">
        <f t="array" ref="O5522">+_xlfn.SWITCH(MONTH(C5522),1,1,2,1,3,1,4,2,5,2,6,3,7,3,8,3,9,3,10,2,11,2,12,1,2)</f>
        <v>1</v>
      </c>
      <c r="P5522" s="43"/>
    </row>
    <row r="5523" spans="1:16" ht="18" x14ac:dyDescent="0.35">
      <c r="A5523" s="9"/>
      <c r="C5523" s="393"/>
      <c r="E5523" s="394"/>
      <c r="F5523" s="394">
        <v>1.3620000000000001</v>
      </c>
      <c r="G5523" s="394"/>
      <c r="H5523" s="8" t="s">
        <v>235</v>
      </c>
      <c r="I5523" s="368">
        <f t="shared" si="259"/>
        <v>0</v>
      </c>
      <c r="J5523" s="365">
        <f t="shared" si="258"/>
        <v>0</v>
      </c>
      <c r="K5523" s="369">
        <f t="shared" si="260"/>
        <v>6</v>
      </c>
      <c r="L5523" s="369">
        <f>+IF((C5523&gt;='Resultats - informe'!$E$16)*(C5523&lt;='Resultats - informe'!$G$16),1,0)</f>
        <v>1</v>
      </c>
      <c r="M5523" s="369" cm="1">
        <f t="array" ref="M5523">+_xlfn.IFS((C5523&gt;='Resultats - informe'!$D$26)*(C5523&lt;='Resultats - informe'!$E$26),0,(C5523&gt;='Resultats - informe'!$D$27)*(C5523&lt;='Resultats - informe'!$E$27),0,(C5523&gt;='Resultats - informe'!$D$28)*(C5523&lt;='Resultats - informe'!$E$28),0,(C5523&gt;='Resultats - informe'!$D$29)*(C5523&lt;='Resultats - informe'!$E$29),0,1,1)</f>
        <v>0</v>
      </c>
      <c r="N5523" s="366">
        <f>+VLOOKUP(D5523,'Resultats - informe'!$Y$18:$AG$42,'Introducció dades consum'!K5523+1,0)</f>
        <v>0</v>
      </c>
      <c r="O5523" s="370" cm="1">
        <f t="array" ref="O5523">+_xlfn.SWITCH(MONTH(C5523),1,1,2,1,3,1,4,2,5,2,6,3,7,3,8,3,9,3,10,2,11,2,12,1,2)</f>
        <v>1</v>
      </c>
      <c r="P5523" s="43"/>
    </row>
    <row r="5524" spans="1:16" ht="18" x14ac:dyDescent="0.35">
      <c r="A5524" s="9"/>
      <c r="C5524" s="393"/>
      <c r="E5524" s="394"/>
      <c r="F5524" s="394">
        <v>6.6000000000000003E-2</v>
      </c>
      <c r="G5524" s="394"/>
      <c r="H5524" s="8" t="s">
        <v>235</v>
      </c>
      <c r="I5524" s="368">
        <f t="shared" si="259"/>
        <v>0</v>
      </c>
      <c r="J5524" s="365">
        <f t="shared" si="258"/>
        <v>0</v>
      </c>
      <c r="K5524" s="369">
        <f t="shared" si="260"/>
        <v>6</v>
      </c>
      <c r="L5524" s="369">
        <f>+IF((C5524&gt;='Resultats - informe'!$E$16)*(C5524&lt;='Resultats - informe'!$G$16),1,0)</f>
        <v>1</v>
      </c>
      <c r="M5524" s="369" cm="1">
        <f t="array" ref="M5524">+_xlfn.IFS((C5524&gt;='Resultats - informe'!$D$26)*(C5524&lt;='Resultats - informe'!$E$26),0,(C5524&gt;='Resultats - informe'!$D$27)*(C5524&lt;='Resultats - informe'!$E$27),0,(C5524&gt;='Resultats - informe'!$D$28)*(C5524&lt;='Resultats - informe'!$E$28),0,(C5524&gt;='Resultats - informe'!$D$29)*(C5524&lt;='Resultats - informe'!$E$29),0,1,1)</f>
        <v>0</v>
      </c>
      <c r="N5524" s="366">
        <f>+VLOOKUP(D5524,'Resultats - informe'!$Y$18:$AG$42,'Introducció dades consum'!K5524+1,0)</f>
        <v>0</v>
      </c>
      <c r="O5524" s="370" cm="1">
        <f t="array" ref="O5524">+_xlfn.SWITCH(MONTH(C5524),1,1,2,1,3,1,4,2,5,2,6,3,7,3,8,3,9,3,10,2,11,2,12,1,2)</f>
        <v>1</v>
      </c>
      <c r="P5524" s="43"/>
    </row>
    <row r="5525" spans="1:16" ht="18" x14ac:dyDescent="0.35">
      <c r="A5525" s="9"/>
      <c r="C5525" s="393"/>
      <c r="E5525" s="394"/>
      <c r="F5525" s="394">
        <v>0.44</v>
      </c>
      <c r="G5525" s="394"/>
      <c r="H5525" s="8" t="s">
        <v>235</v>
      </c>
      <c r="I5525" s="368">
        <f t="shared" si="259"/>
        <v>0</v>
      </c>
      <c r="J5525" s="365">
        <f t="shared" si="258"/>
        <v>0</v>
      </c>
      <c r="K5525" s="369">
        <f t="shared" si="260"/>
        <v>6</v>
      </c>
      <c r="L5525" s="369">
        <f>+IF((C5525&gt;='Resultats - informe'!$E$16)*(C5525&lt;='Resultats - informe'!$G$16),1,0)</f>
        <v>1</v>
      </c>
      <c r="M5525" s="369" cm="1">
        <f t="array" ref="M5525">+_xlfn.IFS((C5525&gt;='Resultats - informe'!$D$26)*(C5525&lt;='Resultats - informe'!$E$26),0,(C5525&gt;='Resultats - informe'!$D$27)*(C5525&lt;='Resultats - informe'!$E$27),0,(C5525&gt;='Resultats - informe'!$D$28)*(C5525&lt;='Resultats - informe'!$E$28),0,(C5525&gt;='Resultats - informe'!$D$29)*(C5525&lt;='Resultats - informe'!$E$29),0,1,1)</f>
        <v>0</v>
      </c>
      <c r="N5525" s="366">
        <f>+VLOOKUP(D5525,'Resultats - informe'!$Y$18:$AG$42,'Introducció dades consum'!K5525+1,0)</f>
        <v>0</v>
      </c>
      <c r="O5525" s="370" cm="1">
        <f t="array" ref="O5525">+_xlfn.SWITCH(MONTH(C5525),1,1,2,1,3,1,4,2,5,2,6,3,7,3,8,3,9,3,10,2,11,2,12,1,2)</f>
        <v>1</v>
      </c>
      <c r="P5525" s="43"/>
    </row>
    <row r="5526" spans="1:16" ht="18" x14ac:dyDescent="0.35">
      <c r="A5526" s="9"/>
      <c r="C5526" s="393"/>
      <c r="E5526" s="394"/>
      <c r="F5526" s="394">
        <v>0.441</v>
      </c>
      <c r="G5526" s="394"/>
      <c r="H5526" s="8" t="s">
        <v>235</v>
      </c>
      <c r="I5526" s="368">
        <f t="shared" si="259"/>
        <v>0</v>
      </c>
      <c r="J5526" s="365">
        <f t="shared" si="258"/>
        <v>0</v>
      </c>
      <c r="K5526" s="369">
        <f t="shared" si="260"/>
        <v>6</v>
      </c>
      <c r="L5526" s="369">
        <f>+IF((C5526&gt;='Resultats - informe'!$E$16)*(C5526&lt;='Resultats - informe'!$G$16),1,0)</f>
        <v>1</v>
      </c>
      <c r="M5526" s="369" cm="1">
        <f t="array" ref="M5526">+_xlfn.IFS((C5526&gt;='Resultats - informe'!$D$26)*(C5526&lt;='Resultats - informe'!$E$26),0,(C5526&gt;='Resultats - informe'!$D$27)*(C5526&lt;='Resultats - informe'!$E$27),0,(C5526&gt;='Resultats - informe'!$D$28)*(C5526&lt;='Resultats - informe'!$E$28),0,(C5526&gt;='Resultats - informe'!$D$29)*(C5526&lt;='Resultats - informe'!$E$29),0,1,1)</f>
        <v>0</v>
      </c>
      <c r="N5526" s="366">
        <f>+VLOOKUP(D5526,'Resultats - informe'!$Y$18:$AG$42,'Introducció dades consum'!K5526+1,0)</f>
        <v>0</v>
      </c>
      <c r="O5526" s="370" cm="1">
        <f t="array" ref="O5526">+_xlfn.SWITCH(MONTH(C5526),1,1,2,1,3,1,4,2,5,2,6,3,7,3,8,3,9,3,10,2,11,2,12,1,2)</f>
        <v>1</v>
      </c>
      <c r="P5526" s="43"/>
    </row>
    <row r="5527" spans="1:16" ht="18" x14ac:dyDescent="0.35">
      <c r="A5527" s="9"/>
      <c r="C5527" s="393"/>
      <c r="E5527" s="394"/>
      <c r="F5527" s="394">
        <v>0.442</v>
      </c>
      <c r="G5527" s="394"/>
      <c r="H5527" s="8" t="s">
        <v>235</v>
      </c>
      <c r="I5527" s="368">
        <f t="shared" si="259"/>
        <v>0</v>
      </c>
      <c r="J5527" s="365">
        <f t="shared" si="258"/>
        <v>0</v>
      </c>
      <c r="K5527" s="369">
        <f t="shared" si="260"/>
        <v>6</v>
      </c>
      <c r="L5527" s="369">
        <f>+IF((C5527&gt;='Resultats - informe'!$E$16)*(C5527&lt;='Resultats - informe'!$G$16),1,0)</f>
        <v>1</v>
      </c>
      <c r="M5527" s="369" cm="1">
        <f t="array" ref="M5527">+_xlfn.IFS((C5527&gt;='Resultats - informe'!$D$26)*(C5527&lt;='Resultats - informe'!$E$26),0,(C5527&gt;='Resultats - informe'!$D$27)*(C5527&lt;='Resultats - informe'!$E$27),0,(C5527&gt;='Resultats - informe'!$D$28)*(C5527&lt;='Resultats - informe'!$E$28),0,(C5527&gt;='Resultats - informe'!$D$29)*(C5527&lt;='Resultats - informe'!$E$29),0,1,1)</f>
        <v>0</v>
      </c>
      <c r="N5527" s="366">
        <f>+VLOOKUP(D5527,'Resultats - informe'!$Y$18:$AG$42,'Introducció dades consum'!K5527+1,0)</f>
        <v>0</v>
      </c>
      <c r="O5527" s="370" cm="1">
        <f t="array" ref="O5527">+_xlfn.SWITCH(MONTH(C5527),1,1,2,1,3,1,4,2,5,2,6,3,7,3,8,3,9,3,10,2,11,2,12,1,2)</f>
        <v>1</v>
      </c>
      <c r="P5527" s="43"/>
    </row>
    <row r="5528" spans="1:16" ht="18" x14ac:dyDescent="0.35">
      <c r="A5528" s="9"/>
      <c r="C5528" s="393"/>
      <c r="E5528" s="394"/>
      <c r="F5528" s="394">
        <v>0.443</v>
      </c>
      <c r="G5528" s="394"/>
      <c r="H5528" s="8" t="s">
        <v>235</v>
      </c>
      <c r="I5528" s="368">
        <f t="shared" si="259"/>
        <v>0</v>
      </c>
      <c r="J5528" s="365">
        <f t="shared" si="258"/>
        <v>0</v>
      </c>
      <c r="K5528" s="369">
        <f t="shared" si="260"/>
        <v>6</v>
      </c>
      <c r="L5528" s="369">
        <f>+IF((C5528&gt;='Resultats - informe'!$E$16)*(C5528&lt;='Resultats - informe'!$G$16),1,0)</f>
        <v>1</v>
      </c>
      <c r="M5528" s="369" cm="1">
        <f t="array" ref="M5528">+_xlfn.IFS((C5528&gt;='Resultats - informe'!$D$26)*(C5528&lt;='Resultats - informe'!$E$26),0,(C5528&gt;='Resultats - informe'!$D$27)*(C5528&lt;='Resultats - informe'!$E$27),0,(C5528&gt;='Resultats - informe'!$D$28)*(C5528&lt;='Resultats - informe'!$E$28),0,(C5528&gt;='Resultats - informe'!$D$29)*(C5528&lt;='Resultats - informe'!$E$29),0,1,1)</f>
        <v>0</v>
      </c>
      <c r="N5528" s="366">
        <f>+VLOOKUP(D5528,'Resultats - informe'!$Y$18:$AG$42,'Introducció dades consum'!K5528+1,0)</f>
        <v>0</v>
      </c>
      <c r="O5528" s="370" cm="1">
        <f t="array" ref="O5528">+_xlfn.SWITCH(MONTH(C5528),1,1,2,1,3,1,4,2,5,2,6,3,7,3,8,3,9,3,10,2,11,2,12,1,2)</f>
        <v>1</v>
      </c>
      <c r="P5528" s="43"/>
    </row>
    <row r="5529" spans="1:16" ht="18" x14ac:dyDescent="0.35">
      <c r="A5529" s="9"/>
      <c r="C5529" s="393"/>
      <c r="E5529" s="394"/>
      <c r="F5529" s="394">
        <v>0.442</v>
      </c>
      <c r="G5529" s="394"/>
      <c r="H5529" s="8" t="s">
        <v>235</v>
      </c>
      <c r="I5529" s="368">
        <f t="shared" si="259"/>
        <v>0</v>
      </c>
      <c r="J5529" s="365">
        <f t="shared" si="258"/>
        <v>0</v>
      </c>
      <c r="K5529" s="369">
        <f t="shared" si="260"/>
        <v>6</v>
      </c>
      <c r="L5529" s="369">
        <f>+IF((C5529&gt;='Resultats - informe'!$E$16)*(C5529&lt;='Resultats - informe'!$G$16),1,0)</f>
        <v>1</v>
      </c>
      <c r="M5529" s="369" cm="1">
        <f t="array" ref="M5529">+_xlfn.IFS((C5529&gt;='Resultats - informe'!$D$26)*(C5529&lt;='Resultats - informe'!$E$26),0,(C5529&gt;='Resultats - informe'!$D$27)*(C5529&lt;='Resultats - informe'!$E$27),0,(C5529&gt;='Resultats - informe'!$D$28)*(C5529&lt;='Resultats - informe'!$E$28),0,(C5529&gt;='Resultats - informe'!$D$29)*(C5529&lt;='Resultats - informe'!$E$29),0,1,1)</f>
        <v>0</v>
      </c>
      <c r="N5529" s="366">
        <f>+VLOOKUP(D5529,'Resultats - informe'!$Y$18:$AG$42,'Introducció dades consum'!K5529+1,0)</f>
        <v>0</v>
      </c>
      <c r="O5529" s="370" cm="1">
        <f t="array" ref="O5529">+_xlfn.SWITCH(MONTH(C5529),1,1,2,1,3,1,4,2,5,2,6,3,7,3,8,3,9,3,10,2,11,2,12,1,2)</f>
        <v>1</v>
      </c>
      <c r="P5529" s="43"/>
    </row>
    <row r="5530" spans="1:16" ht="18" x14ac:dyDescent="0.35">
      <c r="A5530" s="9"/>
      <c r="C5530" s="393"/>
      <c r="E5530" s="394"/>
      <c r="F5530" s="394">
        <v>0.44400000000000001</v>
      </c>
      <c r="G5530" s="394"/>
      <c r="H5530" s="8" t="s">
        <v>235</v>
      </c>
      <c r="I5530" s="368">
        <f t="shared" si="259"/>
        <v>0</v>
      </c>
      <c r="J5530" s="365">
        <f t="shared" si="258"/>
        <v>0</v>
      </c>
      <c r="K5530" s="369">
        <f t="shared" si="260"/>
        <v>6</v>
      </c>
      <c r="L5530" s="369">
        <f>+IF((C5530&gt;='Resultats - informe'!$E$16)*(C5530&lt;='Resultats - informe'!$G$16),1,0)</f>
        <v>1</v>
      </c>
      <c r="M5530" s="369" cm="1">
        <f t="array" ref="M5530">+_xlfn.IFS((C5530&gt;='Resultats - informe'!$D$26)*(C5530&lt;='Resultats - informe'!$E$26),0,(C5530&gt;='Resultats - informe'!$D$27)*(C5530&lt;='Resultats - informe'!$E$27),0,(C5530&gt;='Resultats - informe'!$D$28)*(C5530&lt;='Resultats - informe'!$E$28),0,(C5530&gt;='Resultats - informe'!$D$29)*(C5530&lt;='Resultats - informe'!$E$29),0,1,1)</f>
        <v>0</v>
      </c>
      <c r="N5530" s="366">
        <f>+VLOOKUP(D5530,'Resultats - informe'!$Y$18:$AG$42,'Introducció dades consum'!K5530+1,0)</f>
        <v>0</v>
      </c>
      <c r="O5530" s="370" cm="1">
        <f t="array" ref="O5530">+_xlfn.SWITCH(MONTH(C5530),1,1,2,1,3,1,4,2,5,2,6,3,7,3,8,3,9,3,10,2,11,2,12,1,2)</f>
        <v>1</v>
      </c>
      <c r="P5530" s="43"/>
    </row>
    <row r="5531" spans="1:16" ht="18" x14ac:dyDescent="0.35">
      <c r="A5531" s="9"/>
      <c r="C5531" s="393"/>
      <c r="E5531" s="394"/>
      <c r="F5531" s="394">
        <v>0.443</v>
      </c>
      <c r="G5531" s="394"/>
      <c r="H5531" s="8" t="s">
        <v>235</v>
      </c>
      <c r="I5531" s="368">
        <f t="shared" si="259"/>
        <v>0</v>
      </c>
      <c r="J5531" s="365">
        <f t="shared" si="258"/>
        <v>0</v>
      </c>
      <c r="K5531" s="369">
        <f t="shared" si="260"/>
        <v>6</v>
      </c>
      <c r="L5531" s="369">
        <f>+IF((C5531&gt;='Resultats - informe'!$E$16)*(C5531&lt;='Resultats - informe'!$G$16),1,0)</f>
        <v>1</v>
      </c>
      <c r="M5531" s="369" cm="1">
        <f t="array" ref="M5531">+_xlfn.IFS((C5531&gt;='Resultats - informe'!$D$26)*(C5531&lt;='Resultats - informe'!$E$26),0,(C5531&gt;='Resultats - informe'!$D$27)*(C5531&lt;='Resultats - informe'!$E$27),0,(C5531&gt;='Resultats - informe'!$D$28)*(C5531&lt;='Resultats - informe'!$E$28),0,(C5531&gt;='Resultats - informe'!$D$29)*(C5531&lt;='Resultats - informe'!$E$29),0,1,1)</f>
        <v>0</v>
      </c>
      <c r="N5531" s="366">
        <f>+VLOOKUP(D5531,'Resultats - informe'!$Y$18:$AG$42,'Introducció dades consum'!K5531+1,0)</f>
        <v>0</v>
      </c>
      <c r="O5531" s="370" cm="1">
        <f t="array" ref="O5531">+_xlfn.SWITCH(MONTH(C5531),1,1,2,1,3,1,4,2,5,2,6,3,7,3,8,3,9,3,10,2,11,2,12,1,2)</f>
        <v>1</v>
      </c>
      <c r="P5531" s="43"/>
    </row>
    <row r="5532" spans="1:16" ht="18" x14ac:dyDescent="0.35">
      <c r="A5532" s="9"/>
      <c r="C5532" s="393"/>
      <c r="E5532" s="394"/>
      <c r="F5532" s="394">
        <v>0.95899999999999996</v>
      </c>
      <c r="G5532" s="394"/>
      <c r="H5532" s="8" t="s">
        <v>235</v>
      </c>
      <c r="I5532" s="368">
        <f t="shared" si="259"/>
        <v>0</v>
      </c>
      <c r="J5532" s="365">
        <f t="shared" si="258"/>
        <v>0</v>
      </c>
      <c r="K5532" s="369">
        <f t="shared" si="260"/>
        <v>6</v>
      </c>
      <c r="L5532" s="369">
        <f>+IF((C5532&gt;='Resultats - informe'!$E$16)*(C5532&lt;='Resultats - informe'!$G$16),1,0)</f>
        <v>1</v>
      </c>
      <c r="M5532" s="369" cm="1">
        <f t="array" ref="M5532">+_xlfn.IFS((C5532&gt;='Resultats - informe'!$D$26)*(C5532&lt;='Resultats - informe'!$E$26),0,(C5532&gt;='Resultats - informe'!$D$27)*(C5532&lt;='Resultats - informe'!$E$27),0,(C5532&gt;='Resultats - informe'!$D$28)*(C5532&lt;='Resultats - informe'!$E$28),0,(C5532&gt;='Resultats - informe'!$D$29)*(C5532&lt;='Resultats - informe'!$E$29),0,1,1)</f>
        <v>0</v>
      </c>
      <c r="N5532" s="366">
        <f>+VLOOKUP(D5532,'Resultats - informe'!$Y$18:$AG$42,'Introducció dades consum'!K5532+1,0)</f>
        <v>0</v>
      </c>
      <c r="O5532" s="370" cm="1">
        <f t="array" ref="O5532">+_xlfn.SWITCH(MONTH(C5532),1,1,2,1,3,1,4,2,5,2,6,3,7,3,8,3,9,3,10,2,11,2,12,1,2)</f>
        <v>1</v>
      </c>
      <c r="P5532" s="43"/>
    </row>
    <row r="5533" spans="1:16" ht="18" x14ac:dyDescent="0.35">
      <c r="A5533" s="9"/>
      <c r="C5533" s="393"/>
      <c r="E5533" s="394"/>
      <c r="F5533" s="394">
        <v>0.90600000000000003</v>
      </c>
      <c r="G5533" s="394"/>
      <c r="H5533" s="8" t="s">
        <v>235</v>
      </c>
      <c r="I5533" s="368">
        <f t="shared" si="259"/>
        <v>0</v>
      </c>
      <c r="J5533" s="365">
        <f t="shared" si="258"/>
        <v>0</v>
      </c>
      <c r="K5533" s="369">
        <f t="shared" si="260"/>
        <v>6</v>
      </c>
      <c r="L5533" s="369">
        <f>+IF((C5533&gt;='Resultats - informe'!$E$16)*(C5533&lt;='Resultats - informe'!$G$16),1,0)</f>
        <v>1</v>
      </c>
      <c r="M5533" s="369" cm="1">
        <f t="array" ref="M5533">+_xlfn.IFS((C5533&gt;='Resultats - informe'!$D$26)*(C5533&lt;='Resultats - informe'!$E$26),0,(C5533&gt;='Resultats - informe'!$D$27)*(C5533&lt;='Resultats - informe'!$E$27),0,(C5533&gt;='Resultats - informe'!$D$28)*(C5533&lt;='Resultats - informe'!$E$28),0,(C5533&gt;='Resultats - informe'!$D$29)*(C5533&lt;='Resultats - informe'!$E$29),0,1,1)</f>
        <v>0</v>
      </c>
      <c r="N5533" s="366">
        <f>+VLOOKUP(D5533,'Resultats - informe'!$Y$18:$AG$42,'Introducció dades consum'!K5533+1,0)</f>
        <v>0</v>
      </c>
      <c r="O5533" s="370" cm="1">
        <f t="array" ref="O5533">+_xlfn.SWITCH(MONTH(C5533),1,1,2,1,3,1,4,2,5,2,6,3,7,3,8,3,9,3,10,2,11,2,12,1,2)</f>
        <v>1</v>
      </c>
      <c r="P5533" s="43"/>
    </row>
    <row r="5534" spans="1:16" ht="18" x14ac:dyDescent="0.35">
      <c r="A5534" s="9"/>
      <c r="C5534" s="393"/>
      <c r="E5534" s="394"/>
      <c r="F5534" s="394">
        <v>1.7210000000000001</v>
      </c>
      <c r="G5534" s="394"/>
      <c r="H5534" s="8" t="s">
        <v>235</v>
      </c>
      <c r="I5534" s="368">
        <f t="shared" si="259"/>
        <v>0</v>
      </c>
      <c r="J5534" s="365">
        <f t="shared" si="258"/>
        <v>0</v>
      </c>
      <c r="K5534" s="369">
        <f t="shared" si="260"/>
        <v>6</v>
      </c>
      <c r="L5534" s="369">
        <f>+IF((C5534&gt;='Resultats - informe'!$E$16)*(C5534&lt;='Resultats - informe'!$G$16),1,0)</f>
        <v>1</v>
      </c>
      <c r="M5534" s="369" cm="1">
        <f t="array" ref="M5534">+_xlfn.IFS((C5534&gt;='Resultats - informe'!$D$26)*(C5534&lt;='Resultats - informe'!$E$26),0,(C5534&gt;='Resultats - informe'!$D$27)*(C5534&lt;='Resultats - informe'!$E$27),0,(C5534&gt;='Resultats - informe'!$D$28)*(C5534&lt;='Resultats - informe'!$E$28),0,(C5534&gt;='Resultats - informe'!$D$29)*(C5534&lt;='Resultats - informe'!$E$29),0,1,1)</f>
        <v>0</v>
      </c>
      <c r="N5534" s="366">
        <f>+VLOOKUP(D5534,'Resultats - informe'!$Y$18:$AG$42,'Introducció dades consum'!K5534+1,0)</f>
        <v>0</v>
      </c>
      <c r="O5534" s="370" cm="1">
        <f t="array" ref="O5534">+_xlfn.SWITCH(MONTH(C5534),1,1,2,1,3,1,4,2,5,2,6,3,7,3,8,3,9,3,10,2,11,2,12,1,2)</f>
        <v>1</v>
      </c>
      <c r="P5534" s="43"/>
    </row>
    <row r="5535" spans="1:16" ht="18" x14ac:dyDescent="0.35">
      <c r="A5535" s="9"/>
      <c r="C5535" s="393"/>
      <c r="E5535" s="394"/>
      <c r="F5535" s="394">
        <v>1.5880000000000001</v>
      </c>
      <c r="G5535" s="394"/>
      <c r="H5535" s="8" t="s">
        <v>235</v>
      </c>
      <c r="I5535" s="368">
        <f t="shared" si="259"/>
        <v>0</v>
      </c>
      <c r="J5535" s="365">
        <f t="shared" si="258"/>
        <v>0</v>
      </c>
      <c r="K5535" s="369">
        <f t="shared" si="260"/>
        <v>6</v>
      </c>
      <c r="L5535" s="369">
        <f>+IF((C5535&gt;='Resultats - informe'!$E$16)*(C5535&lt;='Resultats - informe'!$G$16),1,0)</f>
        <v>1</v>
      </c>
      <c r="M5535" s="369" cm="1">
        <f t="array" ref="M5535">+_xlfn.IFS((C5535&gt;='Resultats - informe'!$D$26)*(C5535&lt;='Resultats - informe'!$E$26),0,(C5535&gt;='Resultats - informe'!$D$27)*(C5535&lt;='Resultats - informe'!$E$27),0,(C5535&gt;='Resultats - informe'!$D$28)*(C5535&lt;='Resultats - informe'!$E$28),0,(C5535&gt;='Resultats - informe'!$D$29)*(C5535&lt;='Resultats - informe'!$E$29),0,1,1)</f>
        <v>0</v>
      </c>
      <c r="N5535" s="366">
        <f>+VLOOKUP(D5535,'Resultats - informe'!$Y$18:$AG$42,'Introducció dades consum'!K5535+1,0)</f>
        <v>0</v>
      </c>
      <c r="O5535" s="370" cm="1">
        <f t="array" ref="O5535">+_xlfn.SWITCH(MONTH(C5535),1,1,2,1,3,1,4,2,5,2,6,3,7,3,8,3,9,3,10,2,11,2,12,1,2)</f>
        <v>1</v>
      </c>
      <c r="P5535" s="43"/>
    </row>
    <row r="5536" spans="1:16" ht="18" x14ac:dyDescent="0.35">
      <c r="A5536" s="9"/>
      <c r="C5536" s="393"/>
      <c r="E5536" s="394"/>
      <c r="F5536" s="394">
        <v>1.6659999999999999</v>
      </c>
      <c r="G5536" s="394"/>
      <c r="H5536" s="8" t="s">
        <v>235</v>
      </c>
      <c r="I5536" s="368">
        <f t="shared" si="259"/>
        <v>0</v>
      </c>
      <c r="J5536" s="365">
        <f t="shared" si="258"/>
        <v>0</v>
      </c>
      <c r="K5536" s="369">
        <f t="shared" si="260"/>
        <v>6</v>
      </c>
      <c r="L5536" s="369">
        <f>+IF((C5536&gt;='Resultats - informe'!$E$16)*(C5536&lt;='Resultats - informe'!$G$16),1,0)</f>
        <v>1</v>
      </c>
      <c r="M5536" s="369" cm="1">
        <f t="array" ref="M5536">+_xlfn.IFS((C5536&gt;='Resultats - informe'!$D$26)*(C5536&lt;='Resultats - informe'!$E$26),0,(C5536&gt;='Resultats - informe'!$D$27)*(C5536&lt;='Resultats - informe'!$E$27),0,(C5536&gt;='Resultats - informe'!$D$28)*(C5536&lt;='Resultats - informe'!$E$28),0,(C5536&gt;='Resultats - informe'!$D$29)*(C5536&lt;='Resultats - informe'!$E$29),0,1,1)</f>
        <v>0</v>
      </c>
      <c r="N5536" s="366">
        <f>+VLOOKUP(D5536,'Resultats - informe'!$Y$18:$AG$42,'Introducció dades consum'!K5536+1,0)</f>
        <v>0</v>
      </c>
      <c r="O5536" s="370" cm="1">
        <f t="array" ref="O5536">+_xlfn.SWITCH(MONTH(C5536),1,1,2,1,3,1,4,2,5,2,6,3,7,3,8,3,9,3,10,2,11,2,12,1,2)</f>
        <v>1</v>
      </c>
      <c r="P5536" s="43"/>
    </row>
    <row r="5537" spans="1:16" ht="18" x14ac:dyDescent="0.35">
      <c r="A5537" s="9"/>
      <c r="C5537" s="393"/>
      <c r="E5537" s="394"/>
      <c r="F5537" s="394">
        <v>1.657</v>
      </c>
      <c r="G5537" s="394"/>
      <c r="H5537" s="8" t="s">
        <v>235</v>
      </c>
      <c r="I5537" s="368">
        <f t="shared" si="259"/>
        <v>0</v>
      </c>
      <c r="J5537" s="365">
        <f t="shared" si="258"/>
        <v>0</v>
      </c>
      <c r="K5537" s="369">
        <f t="shared" si="260"/>
        <v>6</v>
      </c>
      <c r="L5537" s="369">
        <f>+IF((C5537&gt;='Resultats - informe'!$E$16)*(C5537&lt;='Resultats - informe'!$G$16),1,0)</f>
        <v>1</v>
      </c>
      <c r="M5537" s="369" cm="1">
        <f t="array" ref="M5537">+_xlfn.IFS((C5537&gt;='Resultats - informe'!$D$26)*(C5537&lt;='Resultats - informe'!$E$26),0,(C5537&gt;='Resultats - informe'!$D$27)*(C5537&lt;='Resultats - informe'!$E$27),0,(C5537&gt;='Resultats - informe'!$D$28)*(C5537&lt;='Resultats - informe'!$E$28),0,(C5537&gt;='Resultats - informe'!$D$29)*(C5537&lt;='Resultats - informe'!$E$29),0,1,1)</f>
        <v>0</v>
      </c>
      <c r="N5537" s="366">
        <f>+VLOOKUP(D5537,'Resultats - informe'!$Y$18:$AG$42,'Introducció dades consum'!K5537+1,0)</f>
        <v>0</v>
      </c>
      <c r="O5537" s="370" cm="1">
        <f t="array" ref="O5537">+_xlfn.SWITCH(MONTH(C5537),1,1,2,1,3,1,4,2,5,2,6,3,7,3,8,3,9,3,10,2,11,2,12,1,2)</f>
        <v>1</v>
      </c>
      <c r="P5537" s="43"/>
    </row>
    <row r="5538" spans="1:16" ht="18" x14ac:dyDescent="0.35">
      <c r="A5538" s="9"/>
      <c r="C5538" s="393"/>
      <c r="E5538" s="394"/>
      <c r="F5538" s="394">
        <v>1.1879999999999999</v>
      </c>
      <c r="G5538" s="394"/>
      <c r="H5538" s="8" t="s">
        <v>235</v>
      </c>
      <c r="I5538" s="368">
        <f t="shared" si="259"/>
        <v>0</v>
      </c>
      <c r="J5538" s="365">
        <f t="shared" si="258"/>
        <v>0</v>
      </c>
      <c r="K5538" s="369">
        <f t="shared" si="260"/>
        <v>6</v>
      </c>
      <c r="L5538" s="369">
        <f>+IF((C5538&gt;='Resultats - informe'!$E$16)*(C5538&lt;='Resultats - informe'!$G$16),1,0)</f>
        <v>1</v>
      </c>
      <c r="M5538" s="369" cm="1">
        <f t="array" ref="M5538">+_xlfn.IFS((C5538&gt;='Resultats - informe'!$D$26)*(C5538&lt;='Resultats - informe'!$E$26),0,(C5538&gt;='Resultats - informe'!$D$27)*(C5538&lt;='Resultats - informe'!$E$27),0,(C5538&gt;='Resultats - informe'!$D$28)*(C5538&lt;='Resultats - informe'!$E$28),0,(C5538&gt;='Resultats - informe'!$D$29)*(C5538&lt;='Resultats - informe'!$E$29),0,1,1)</f>
        <v>0</v>
      </c>
      <c r="N5538" s="366">
        <f>+VLOOKUP(D5538,'Resultats - informe'!$Y$18:$AG$42,'Introducció dades consum'!K5538+1,0)</f>
        <v>0</v>
      </c>
      <c r="O5538" s="370" cm="1">
        <f t="array" ref="O5538">+_xlfn.SWITCH(MONTH(C5538),1,1,2,1,3,1,4,2,5,2,6,3,7,3,8,3,9,3,10,2,11,2,12,1,2)</f>
        <v>1</v>
      </c>
      <c r="P5538" s="43"/>
    </row>
    <row r="5539" spans="1:16" ht="18" x14ac:dyDescent="0.35">
      <c r="A5539" s="9"/>
      <c r="C5539" s="393"/>
      <c r="E5539" s="394"/>
      <c r="F5539" s="394">
        <v>1.643</v>
      </c>
      <c r="G5539" s="394"/>
      <c r="H5539" s="8" t="s">
        <v>235</v>
      </c>
      <c r="I5539" s="368">
        <f t="shared" si="259"/>
        <v>0</v>
      </c>
      <c r="J5539" s="365">
        <f t="shared" si="258"/>
        <v>0</v>
      </c>
      <c r="K5539" s="369">
        <f t="shared" si="260"/>
        <v>6</v>
      </c>
      <c r="L5539" s="369">
        <f>+IF((C5539&gt;='Resultats - informe'!$E$16)*(C5539&lt;='Resultats - informe'!$G$16),1,0)</f>
        <v>1</v>
      </c>
      <c r="M5539" s="369" cm="1">
        <f t="array" ref="M5539">+_xlfn.IFS((C5539&gt;='Resultats - informe'!$D$26)*(C5539&lt;='Resultats - informe'!$E$26),0,(C5539&gt;='Resultats - informe'!$D$27)*(C5539&lt;='Resultats - informe'!$E$27),0,(C5539&gt;='Resultats - informe'!$D$28)*(C5539&lt;='Resultats - informe'!$E$28),0,(C5539&gt;='Resultats - informe'!$D$29)*(C5539&lt;='Resultats - informe'!$E$29),0,1,1)</f>
        <v>0</v>
      </c>
      <c r="N5539" s="366">
        <f>+VLOOKUP(D5539,'Resultats - informe'!$Y$18:$AG$42,'Introducció dades consum'!K5539+1,0)</f>
        <v>0</v>
      </c>
      <c r="O5539" s="370" cm="1">
        <f t="array" ref="O5539">+_xlfn.SWITCH(MONTH(C5539),1,1,2,1,3,1,4,2,5,2,6,3,7,3,8,3,9,3,10,2,11,2,12,1,2)</f>
        <v>1</v>
      </c>
      <c r="P5539" s="43"/>
    </row>
    <row r="5540" spans="1:16" ht="18" x14ac:dyDescent="0.35">
      <c r="A5540" s="9"/>
      <c r="C5540" s="393"/>
      <c r="E5540" s="394"/>
      <c r="F5540" s="394">
        <v>1.8440000000000001</v>
      </c>
      <c r="G5540" s="394"/>
      <c r="H5540" s="8" t="s">
        <v>235</v>
      </c>
      <c r="I5540" s="368">
        <f t="shared" si="259"/>
        <v>0</v>
      </c>
      <c r="J5540" s="365">
        <f t="shared" si="258"/>
        <v>0</v>
      </c>
      <c r="K5540" s="369">
        <f t="shared" si="260"/>
        <v>6</v>
      </c>
      <c r="L5540" s="369">
        <f>+IF((C5540&gt;='Resultats - informe'!$E$16)*(C5540&lt;='Resultats - informe'!$G$16),1,0)</f>
        <v>1</v>
      </c>
      <c r="M5540" s="369" cm="1">
        <f t="array" ref="M5540">+_xlfn.IFS((C5540&gt;='Resultats - informe'!$D$26)*(C5540&lt;='Resultats - informe'!$E$26),0,(C5540&gt;='Resultats - informe'!$D$27)*(C5540&lt;='Resultats - informe'!$E$27),0,(C5540&gt;='Resultats - informe'!$D$28)*(C5540&lt;='Resultats - informe'!$E$28),0,(C5540&gt;='Resultats - informe'!$D$29)*(C5540&lt;='Resultats - informe'!$E$29),0,1,1)</f>
        <v>0</v>
      </c>
      <c r="N5540" s="366">
        <f>+VLOOKUP(D5540,'Resultats - informe'!$Y$18:$AG$42,'Introducció dades consum'!K5540+1,0)</f>
        <v>0</v>
      </c>
      <c r="O5540" s="370" cm="1">
        <f t="array" ref="O5540">+_xlfn.SWITCH(MONTH(C5540),1,1,2,1,3,1,4,2,5,2,6,3,7,3,8,3,9,3,10,2,11,2,12,1,2)</f>
        <v>1</v>
      </c>
      <c r="P5540" s="43"/>
    </row>
    <row r="5541" spans="1:16" ht="18" x14ac:dyDescent="0.35">
      <c r="A5541" s="9"/>
      <c r="C5541" s="393"/>
      <c r="E5541" s="394"/>
      <c r="F5541" s="394">
        <v>1.835</v>
      </c>
      <c r="G5541" s="394"/>
      <c r="H5541" s="8" t="s">
        <v>235</v>
      </c>
      <c r="I5541" s="368">
        <f t="shared" si="259"/>
        <v>0</v>
      </c>
      <c r="J5541" s="365">
        <f t="shared" si="258"/>
        <v>0</v>
      </c>
      <c r="K5541" s="369">
        <f t="shared" si="260"/>
        <v>6</v>
      </c>
      <c r="L5541" s="369">
        <f>+IF((C5541&gt;='Resultats - informe'!$E$16)*(C5541&lt;='Resultats - informe'!$G$16),1,0)</f>
        <v>1</v>
      </c>
      <c r="M5541" s="369" cm="1">
        <f t="array" ref="M5541">+_xlfn.IFS((C5541&gt;='Resultats - informe'!$D$26)*(C5541&lt;='Resultats - informe'!$E$26),0,(C5541&gt;='Resultats - informe'!$D$27)*(C5541&lt;='Resultats - informe'!$E$27),0,(C5541&gt;='Resultats - informe'!$D$28)*(C5541&lt;='Resultats - informe'!$E$28),0,(C5541&gt;='Resultats - informe'!$D$29)*(C5541&lt;='Resultats - informe'!$E$29),0,1,1)</f>
        <v>0</v>
      </c>
      <c r="N5541" s="366">
        <f>+VLOOKUP(D5541,'Resultats - informe'!$Y$18:$AG$42,'Introducció dades consum'!K5541+1,0)</f>
        <v>0</v>
      </c>
      <c r="O5541" s="370" cm="1">
        <f t="array" ref="O5541">+_xlfn.SWITCH(MONTH(C5541),1,1,2,1,3,1,4,2,5,2,6,3,7,3,8,3,9,3,10,2,11,2,12,1,2)</f>
        <v>1</v>
      </c>
      <c r="P5541" s="43"/>
    </row>
    <row r="5542" spans="1:16" ht="18" x14ac:dyDescent="0.35">
      <c r="A5542" s="9"/>
      <c r="C5542" s="393"/>
      <c r="E5542" s="394"/>
      <c r="F5542" s="394">
        <v>2.5779999999999998</v>
      </c>
      <c r="G5542" s="394"/>
      <c r="H5542" s="8" t="s">
        <v>235</v>
      </c>
      <c r="I5542" s="368">
        <f t="shared" si="259"/>
        <v>0</v>
      </c>
      <c r="J5542" s="365">
        <f t="shared" si="258"/>
        <v>0</v>
      </c>
      <c r="K5542" s="369">
        <f t="shared" si="260"/>
        <v>6</v>
      </c>
      <c r="L5542" s="369">
        <f>+IF((C5542&gt;='Resultats - informe'!$E$16)*(C5542&lt;='Resultats - informe'!$G$16),1,0)</f>
        <v>1</v>
      </c>
      <c r="M5542" s="369" cm="1">
        <f t="array" ref="M5542">+_xlfn.IFS((C5542&gt;='Resultats - informe'!$D$26)*(C5542&lt;='Resultats - informe'!$E$26),0,(C5542&gt;='Resultats - informe'!$D$27)*(C5542&lt;='Resultats - informe'!$E$27),0,(C5542&gt;='Resultats - informe'!$D$28)*(C5542&lt;='Resultats - informe'!$E$28),0,(C5542&gt;='Resultats - informe'!$D$29)*(C5542&lt;='Resultats - informe'!$E$29),0,1,1)</f>
        <v>0</v>
      </c>
      <c r="N5542" s="366">
        <f>+VLOOKUP(D5542,'Resultats - informe'!$Y$18:$AG$42,'Introducció dades consum'!K5542+1,0)</f>
        <v>0</v>
      </c>
      <c r="O5542" s="370" cm="1">
        <f t="array" ref="O5542">+_xlfn.SWITCH(MONTH(C5542),1,1,2,1,3,1,4,2,5,2,6,3,7,3,8,3,9,3,10,2,11,2,12,1,2)</f>
        <v>1</v>
      </c>
      <c r="P5542" s="43"/>
    </row>
    <row r="5543" spans="1:16" ht="18" x14ac:dyDescent="0.35">
      <c r="A5543" s="9"/>
      <c r="C5543" s="393"/>
      <c r="E5543" s="394"/>
      <c r="F5543" s="394">
        <v>2.581</v>
      </c>
      <c r="G5543" s="394"/>
      <c r="H5543" s="8" t="s">
        <v>235</v>
      </c>
      <c r="I5543" s="368">
        <f t="shared" si="259"/>
        <v>0</v>
      </c>
      <c r="J5543" s="365">
        <f t="shared" si="258"/>
        <v>0</v>
      </c>
      <c r="K5543" s="369">
        <f t="shared" si="260"/>
        <v>6</v>
      </c>
      <c r="L5543" s="369">
        <f>+IF((C5543&gt;='Resultats - informe'!$E$16)*(C5543&lt;='Resultats - informe'!$G$16),1,0)</f>
        <v>1</v>
      </c>
      <c r="M5543" s="369" cm="1">
        <f t="array" ref="M5543">+_xlfn.IFS((C5543&gt;='Resultats - informe'!$D$26)*(C5543&lt;='Resultats - informe'!$E$26),0,(C5543&gt;='Resultats - informe'!$D$27)*(C5543&lt;='Resultats - informe'!$E$27),0,(C5543&gt;='Resultats - informe'!$D$28)*(C5543&lt;='Resultats - informe'!$E$28),0,(C5543&gt;='Resultats - informe'!$D$29)*(C5543&lt;='Resultats - informe'!$E$29),0,1,1)</f>
        <v>0</v>
      </c>
      <c r="N5543" s="366">
        <f>+VLOOKUP(D5543,'Resultats - informe'!$Y$18:$AG$42,'Introducció dades consum'!K5543+1,0)</f>
        <v>0</v>
      </c>
      <c r="O5543" s="370" cm="1">
        <f t="array" ref="O5543">+_xlfn.SWITCH(MONTH(C5543),1,1,2,1,3,1,4,2,5,2,6,3,7,3,8,3,9,3,10,2,11,2,12,1,2)</f>
        <v>1</v>
      </c>
      <c r="P5543" s="43"/>
    </row>
    <row r="5544" spans="1:16" ht="18" x14ac:dyDescent="0.35">
      <c r="A5544" s="9"/>
      <c r="C5544" s="393"/>
      <c r="E5544" s="394"/>
      <c r="F5544" s="394">
        <v>2.3820000000000001</v>
      </c>
      <c r="G5544" s="394"/>
      <c r="H5544" s="8" t="s">
        <v>235</v>
      </c>
      <c r="I5544" s="368">
        <f t="shared" si="259"/>
        <v>0</v>
      </c>
      <c r="J5544" s="365">
        <f t="shared" si="258"/>
        <v>0</v>
      </c>
      <c r="K5544" s="369">
        <f t="shared" si="260"/>
        <v>6</v>
      </c>
      <c r="L5544" s="369">
        <f>+IF((C5544&gt;='Resultats - informe'!$E$16)*(C5544&lt;='Resultats - informe'!$G$16),1,0)</f>
        <v>1</v>
      </c>
      <c r="M5544" s="369" cm="1">
        <f t="array" ref="M5544">+_xlfn.IFS((C5544&gt;='Resultats - informe'!$D$26)*(C5544&lt;='Resultats - informe'!$E$26),0,(C5544&gt;='Resultats - informe'!$D$27)*(C5544&lt;='Resultats - informe'!$E$27),0,(C5544&gt;='Resultats - informe'!$D$28)*(C5544&lt;='Resultats - informe'!$E$28),0,(C5544&gt;='Resultats - informe'!$D$29)*(C5544&lt;='Resultats - informe'!$E$29),0,1,1)</f>
        <v>0</v>
      </c>
      <c r="N5544" s="366">
        <f>+VLOOKUP(D5544,'Resultats - informe'!$Y$18:$AG$42,'Introducció dades consum'!K5544+1,0)</f>
        <v>0</v>
      </c>
      <c r="O5544" s="370" cm="1">
        <f t="array" ref="O5544">+_xlfn.SWITCH(MONTH(C5544),1,1,2,1,3,1,4,2,5,2,6,3,7,3,8,3,9,3,10,2,11,2,12,1,2)</f>
        <v>1</v>
      </c>
      <c r="P5544" s="43"/>
    </row>
    <row r="5545" spans="1:16" ht="18" x14ac:dyDescent="0.35">
      <c r="A5545" s="9"/>
      <c r="C5545" s="393"/>
      <c r="E5545" s="394"/>
      <c r="F5545" s="394">
        <v>2.101</v>
      </c>
      <c r="G5545" s="394"/>
      <c r="H5545" s="8" t="s">
        <v>235</v>
      </c>
      <c r="I5545" s="368">
        <f t="shared" si="259"/>
        <v>0</v>
      </c>
      <c r="J5545" s="365">
        <f t="shared" si="258"/>
        <v>0</v>
      </c>
      <c r="K5545" s="369">
        <f t="shared" si="260"/>
        <v>6</v>
      </c>
      <c r="L5545" s="369">
        <f>+IF((C5545&gt;='Resultats - informe'!$E$16)*(C5545&lt;='Resultats - informe'!$G$16),1,0)</f>
        <v>1</v>
      </c>
      <c r="M5545" s="369" cm="1">
        <f t="array" ref="M5545">+_xlfn.IFS((C5545&gt;='Resultats - informe'!$D$26)*(C5545&lt;='Resultats - informe'!$E$26),0,(C5545&gt;='Resultats - informe'!$D$27)*(C5545&lt;='Resultats - informe'!$E$27),0,(C5545&gt;='Resultats - informe'!$D$28)*(C5545&lt;='Resultats - informe'!$E$28),0,(C5545&gt;='Resultats - informe'!$D$29)*(C5545&lt;='Resultats - informe'!$E$29),0,1,1)</f>
        <v>0</v>
      </c>
      <c r="N5545" s="366">
        <f>+VLOOKUP(D5545,'Resultats - informe'!$Y$18:$AG$42,'Introducció dades consum'!K5545+1,0)</f>
        <v>0</v>
      </c>
      <c r="O5545" s="370" cm="1">
        <f t="array" ref="O5545">+_xlfn.SWITCH(MONTH(C5545),1,1,2,1,3,1,4,2,5,2,6,3,7,3,8,3,9,3,10,2,11,2,12,1,2)</f>
        <v>1</v>
      </c>
      <c r="P5545" s="43"/>
    </row>
    <row r="5546" spans="1:16" ht="18" x14ac:dyDescent="0.35">
      <c r="A5546" s="9"/>
      <c r="C5546" s="393"/>
      <c r="E5546" s="394"/>
      <c r="F5546" s="394">
        <v>1.367</v>
      </c>
      <c r="G5546" s="394"/>
      <c r="H5546" s="8" t="s">
        <v>235</v>
      </c>
      <c r="I5546" s="368">
        <f t="shared" si="259"/>
        <v>0</v>
      </c>
      <c r="J5546" s="365">
        <f t="shared" si="258"/>
        <v>0</v>
      </c>
      <c r="K5546" s="369">
        <f t="shared" si="260"/>
        <v>6</v>
      </c>
      <c r="L5546" s="369">
        <f>+IF((C5546&gt;='Resultats - informe'!$E$16)*(C5546&lt;='Resultats - informe'!$G$16),1,0)</f>
        <v>1</v>
      </c>
      <c r="M5546" s="369" cm="1">
        <f t="array" ref="M5546">+_xlfn.IFS((C5546&gt;='Resultats - informe'!$D$26)*(C5546&lt;='Resultats - informe'!$E$26),0,(C5546&gt;='Resultats - informe'!$D$27)*(C5546&lt;='Resultats - informe'!$E$27),0,(C5546&gt;='Resultats - informe'!$D$28)*(C5546&lt;='Resultats - informe'!$E$28),0,(C5546&gt;='Resultats - informe'!$D$29)*(C5546&lt;='Resultats - informe'!$E$29),0,1,1)</f>
        <v>0</v>
      </c>
      <c r="N5546" s="366">
        <f>+VLOOKUP(D5546,'Resultats - informe'!$Y$18:$AG$42,'Introducció dades consum'!K5546+1,0)</f>
        <v>0</v>
      </c>
      <c r="O5546" s="370" cm="1">
        <f t="array" ref="O5546">+_xlfn.SWITCH(MONTH(C5546),1,1,2,1,3,1,4,2,5,2,6,3,7,3,8,3,9,3,10,2,11,2,12,1,2)</f>
        <v>1</v>
      </c>
      <c r="P5546" s="43"/>
    </row>
    <row r="5547" spans="1:16" ht="18" x14ac:dyDescent="0.35">
      <c r="A5547" s="9"/>
      <c r="C5547" s="393"/>
      <c r="E5547" s="394"/>
      <c r="F5547" s="394">
        <v>1.3640000000000001</v>
      </c>
      <c r="G5547" s="394"/>
      <c r="H5547" s="8" t="s">
        <v>235</v>
      </c>
      <c r="I5547" s="368">
        <f t="shared" si="259"/>
        <v>0</v>
      </c>
      <c r="J5547" s="365">
        <f t="shared" si="258"/>
        <v>0</v>
      </c>
      <c r="K5547" s="369">
        <f t="shared" si="260"/>
        <v>6</v>
      </c>
      <c r="L5547" s="369">
        <f>+IF((C5547&gt;='Resultats - informe'!$E$16)*(C5547&lt;='Resultats - informe'!$G$16),1,0)</f>
        <v>1</v>
      </c>
      <c r="M5547" s="369" cm="1">
        <f t="array" ref="M5547">+_xlfn.IFS((C5547&gt;='Resultats - informe'!$D$26)*(C5547&lt;='Resultats - informe'!$E$26),0,(C5547&gt;='Resultats - informe'!$D$27)*(C5547&lt;='Resultats - informe'!$E$27),0,(C5547&gt;='Resultats - informe'!$D$28)*(C5547&lt;='Resultats - informe'!$E$28),0,(C5547&gt;='Resultats - informe'!$D$29)*(C5547&lt;='Resultats - informe'!$E$29),0,1,1)</f>
        <v>0</v>
      </c>
      <c r="N5547" s="366">
        <f>+VLOOKUP(D5547,'Resultats - informe'!$Y$18:$AG$42,'Introducció dades consum'!K5547+1,0)</f>
        <v>0</v>
      </c>
      <c r="O5547" s="370" cm="1">
        <f t="array" ref="O5547">+_xlfn.SWITCH(MONTH(C5547),1,1,2,1,3,1,4,2,5,2,6,3,7,3,8,3,9,3,10,2,11,2,12,1,2)</f>
        <v>1</v>
      </c>
      <c r="P5547" s="43"/>
    </row>
    <row r="5548" spans="1:16" ht="18" x14ac:dyDescent="0.35">
      <c r="A5548" s="9"/>
      <c r="C5548" s="393"/>
      <c r="E5548" s="394"/>
      <c r="F5548" s="394">
        <v>7.3999999999999996E-2</v>
      </c>
      <c r="G5548" s="394"/>
      <c r="H5548" s="8" t="s">
        <v>235</v>
      </c>
      <c r="I5548" s="368">
        <f t="shared" si="259"/>
        <v>0</v>
      </c>
      <c r="J5548" s="365">
        <f t="shared" si="258"/>
        <v>0</v>
      </c>
      <c r="K5548" s="369">
        <f t="shared" si="260"/>
        <v>6</v>
      </c>
      <c r="L5548" s="369">
        <f>+IF((C5548&gt;='Resultats - informe'!$E$16)*(C5548&lt;='Resultats - informe'!$G$16),1,0)</f>
        <v>1</v>
      </c>
      <c r="M5548" s="369" cm="1">
        <f t="array" ref="M5548">+_xlfn.IFS((C5548&gt;='Resultats - informe'!$D$26)*(C5548&lt;='Resultats - informe'!$E$26),0,(C5548&gt;='Resultats - informe'!$D$27)*(C5548&lt;='Resultats - informe'!$E$27),0,(C5548&gt;='Resultats - informe'!$D$28)*(C5548&lt;='Resultats - informe'!$E$28),0,(C5548&gt;='Resultats - informe'!$D$29)*(C5548&lt;='Resultats - informe'!$E$29),0,1,1)</f>
        <v>0</v>
      </c>
      <c r="N5548" s="366">
        <f>+VLOOKUP(D5548,'Resultats - informe'!$Y$18:$AG$42,'Introducció dades consum'!K5548+1,0)</f>
        <v>0</v>
      </c>
      <c r="O5548" s="370" cm="1">
        <f t="array" ref="O5548">+_xlfn.SWITCH(MONTH(C5548),1,1,2,1,3,1,4,2,5,2,6,3,7,3,8,3,9,3,10,2,11,2,12,1,2)</f>
        <v>1</v>
      </c>
      <c r="P5548" s="43"/>
    </row>
    <row r="5549" spans="1:16" ht="18" x14ac:dyDescent="0.35">
      <c r="A5549" s="9"/>
      <c r="C5549" s="393"/>
      <c r="E5549" s="394"/>
      <c r="F5549" s="394">
        <v>0.44700000000000001</v>
      </c>
      <c r="G5549" s="394"/>
      <c r="H5549" s="8" t="s">
        <v>235</v>
      </c>
      <c r="I5549" s="368">
        <f t="shared" si="259"/>
        <v>0</v>
      </c>
      <c r="J5549" s="365">
        <f t="shared" si="258"/>
        <v>0</v>
      </c>
      <c r="K5549" s="369">
        <f t="shared" si="260"/>
        <v>6</v>
      </c>
      <c r="L5549" s="369">
        <f>+IF((C5549&gt;='Resultats - informe'!$E$16)*(C5549&lt;='Resultats - informe'!$G$16),1,0)</f>
        <v>1</v>
      </c>
      <c r="M5549" s="369" cm="1">
        <f t="array" ref="M5549">+_xlfn.IFS((C5549&gt;='Resultats - informe'!$D$26)*(C5549&lt;='Resultats - informe'!$E$26),0,(C5549&gt;='Resultats - informe'!$D$27)*(C5549&lt;='Resultats - informe'!$E$27),0,(C5549&gt;='Resultats - informe'!$D$28)*(C5549&lt;='Resultats - informe'!$E$28),0,(C5549&gt;='Resultats - informe'!$D$29)*(C5549&lt;='Resultats - informe'!$E$29),0,1,1)</f>
        <v>0</v>
      </c>
      <c r="N5549" s="366">
        <f>+VLOOKUP(D5549,'Resultats - informe'!$Y$18:$AG$42,'Introducció dades consum'!K5549+1,0)</f>
        <v>0</v>
      </c>
      <c r="O5549" s="370" cm="1">
        <f t="array" ref="O5549">+_xlfn.SWITCH(MONTH(C5549),1,1,2,1,3,1,4,2,5,2,6,3,7,3,8,3,9,3,10,2,11,2,12,1,2)</f>
        <v>1</v>
      </c>
      <c r="P5549" s="43"/>
    </row>
    <row r="5550" spans="1:16" ht="18" x14ac:dyDescent="0.35">
      <c r="A5550" s="9"/>
      <c r="C5550" s="393"/>
      <c r="E5550" s="394"/>
      <c r="F5550" s="394">
        <v>0.45200000000000001</v>
      </c>
      <c r="G5550" s="394"/>
      <c r="H5550" s="8" t="s">
        <v>235</v>
      </c>
      <c r="I5550" s="368">
        <f t="shared" si="259"/>
        <v>0</v>
      </c>
      <c r="J5550" s="365">
        <f t="shared" si="258"/>
        <v>0</v>
      </c>
      <c r="K5550" s="369">
        <f t="shared" si="260"/>
        <v>6</v>
      </c>
      <c r="L5550" s="369">
        <f>+IF((C5550&gt;='Resultats - informe'!$E$16)*(C5550&lt;='Resultats - informe'!$G$16),1,0)</f>
        <v>1</v>
      </c>
      <c r="M5550" s="369" cm="1">
        <f t="array" ref="M5550">+_xlfn.IFS((C5550&gt;='Resultats - informe'!$D$26)*(C5550&lt;='Resultats - informe'!$E$26),0,(C5550&gt;='Resultats - informe'!$D$27)*(C5550&lt;='Resultats - informe'!$E$27),0,(C5550&gt;='Resultats - informe'!$D$28)*(C5550&lt;='Resultats - informe'!$E$28),0,(C5550&gt;='Resultats - informe'!$D$29)*(C5550&lt;='Resultats - informe'!$E$29),0,1,1)</f>
        <v>0</v>
      </c>
      <c r="N5550" s="366">
        <f>+VLOOKUP(D5550,'Resultats - informe'!$Y$18:$AG$42,'Introducció dades consum'!K5550+1,0)</f>
        <v>0</v>
      </c>
      <c r="O5550" s="370" cm="1">
        <f t="array" ref="O5550">+_xlfn.SWITCH(MONTH(C5550),1,1,2,1,3,1,4,2,5,2,6,3,7,3,8,3,9,3,10,2,11,2,12,1,2)</f>
        <v>1</v>
      </c>
      <c r="P5550" s="43"/>
    </row>
    <row r="5551" spans="1:16" ht="18" x14ac:dyDescent="0.35">
      <c r="A5551" s="9"/>
      <c r="C5551" s="393"/>
      <c r="E5551" s="394"/>
      <c r="F5551" s="394">
        <v>0.45200000000000001</v>
      </c>
      <c r="G5551" s="394"/>
      <c r="H5551" s="8" t="s">
        <v>235</v>
      </c>
      <c r="I5551" s="368">
        <f t="shared" si="259"/>
        <v>0</v>
      </c>
      <c r="J5551" s="365">
        <f t="shared" si="258"/>
        <v>0</v>
      </c>
      <c r="K5551" s="369">
        <f t="shared" si="260"/>
        <v>6</v>
      </c>
      <c r="L5551" s="369">
        <f>+IF((C5551&gt;='Resultats - informe'!$E$16)*(C5551&lt;='Resultats - informe'!$G$16),1,0)</f>
        <v>1</v>
      </c>
      <c r="M5551" s="369" cm="1">
        <f t="array" ref="M5551">+_xlfn.IFS((C5551&gt;='Resultats - informe'!$D$26)*(C5551&lt;='Resultats - informe'!$E$26),0,(C5551&gt;='Resultats - informe'!$D$27)*(C5551&lt;='Resultats - informe'!$E$27),0,(C5551&gt;='Resultats - informe'!$D$28)*(C5551&lt;='Resultats - informe'!$E$28),0,(C5551&gt;='Resultats - informe'!$D$29)*(C5551&lt;='Resultats - informe'!$E$29),0,1,1)</f>
        <v>0</v>
      </c>
      <c r="N5551" s="366">
        <f>+VLOOKUP(D5551,'Resultats - informe'!$Y$18:$AG$42,'Introducció dades consum'!K5551+1,0)</f>
        <v>0</v>
      </c>
      <c r="O5551" s="370" cm="1">
        <f t="array" ref="O5551">+_xlfn.SWITCH(MONTH(C5551),1,1,2,1,3,1,4,2,5,2,6,3,7,3,8,3,9,3,10,2,11,2,12,1,2)</f>
        <v>1</v>
      </c>
      <c r="P5551" s="43"/>
    </row>
    <row r="5552" spans="1:16" ht="18" x14ac:dyDescent="0.35">
      <c r="A5552" s="9"/>
      <c r="C5552" s="393"/>
      <c r="E5552" s="394"/>
      <c r="F5552" s="394">
        <v>0.45200000000000001</v>
      </c>
      <c r="G5552" s="394"/>
      <c r="H5552" s="8" t="s">
        <v>235</v>
      </c>
      <c r="I5552" s="368">
        <f t="shared" si="259"/>
        <v>0</v>
      </c>
      <c r="J5552" s="365">
        <f t="shared" si="258"/>
        <v>0</v>
      </c>
      <c r="K5552" s="369">
        <f t="shared" si="260"/>
        <v>6</v>
      </c>
      <c r="L5552" s="369">
        <f>+IF((C5552&gt;='Resultats - informe'!$E$16)*(C5552&lt;='Resultats - informe'!$G$16),1,0)</f>
        <v>1</v>
      </c>
      <c r="M5552" s="369" cm="1">
        <f t="array" ref="M5552">+_xlfn.IFS((C5552&gt;='Resultats - informe'!$D$26)*(C5552&lt;='Resultats - informe'!$E$26),0,(C5552&gt;='Resultats - informe'!$D$27)*(C5552&lt;='Resultats - informe'!$E$27),0,(C5552&gt;='Resultats - informe'!$D$28)*(C5552&lt;='Resultats - informe'!$E$28),0,(C5552&gt;='Resultats - informe'!$D$29)*(C5552&lt;='Resultats - informe'!$E$29),0,1,1)</f>
        <v>0</v>
      </c>
      <c r="N5552" s="366">
        <f>+VLOOKUP(D5552,'Resultats - informe'!$Y$18:$AG$42,'Introducció dades consum'!K5552+1,0)</f>
        <v>0</v>
      </c>
      <c r="O5552" s="370" cm="1">
        <f t="array" ref="O5552">+_xlfn.SWITCH(MONTH(C5552),1,1,2,1,3,1,4,2,5,2,6,3,7,3,8,3,9,3,10,2,11,2,12,1,2)</f>
        <v>1</v>
      </c>
      <c r="P5552" s="43"/>
    </row>
    <row r="5553" spans="1:16" ht="18" x14ac:dyDescent="0.35">
      <c r="A5553" s="9"/>
      <c r="C5553" s="393"/>
      <c r="E5553" s="394"/>
      <c r="F5553" s="394">
        <v>0.45</v>
      </c>
      <c r="G5553" s="394"/>
      <c r="H5553" s="8" t="s">
        <v>235</v>
      </c>
      <c r="I5553" s="368">
        <f t="shared" si="259"/>
        <v>0</v>
      </c>
      <c r="J5553" s="365">
        <f t="shared" si="258"/>
        <v>0</v>
      </c>
      <c r="K5553" s="369">
        <f t="shared" si="260"/>
        <v>6</v>
      </c>
      <c r="L5553" s="369">
        <f>+IF((C5553&gt;='Resultats - informe'!$E$16)*(C5553&lt;='Resultats - informe'!$G$16),1,0)</f>
        <v>1</v>
      </c>
      <c r="M5553" s="369" cm="1">
        <f t="array" ref="M5553">+_xlfn.IFS((C5553&gt;='Resultats - informe'!$D$26)*(C5553&lt;='Resultats - informe'!$E$26),0,(C5553&gt;='Resultats - informe'!$D$27)*(C5553&lt;='Resultats - informe'!$E$27),0,(C5553&gt;='Resultats - informe'!$D$28)*(C5553&lt;='Resultats - informe'!$E$28),0,(C5553&gt;='Resultats - informe'!$D$29)*(C5553&lt;='Resultats - informe'!$E$29),0,1,1)</f>
        <v>0</v>
      </c>
      <c r="N5553" s="366">
        <f>+VLOOKUP(D5553,'Resultats - informe'!$Y$18:$AG$42,'Introducció dades consum'!K5553+1,0)</f>
        <v>0</v>
      </c>
      <c r="O5553" s="370" cm="1">
        <f t="array" ref="O5553">+_xlfn.SWITCH(MONTH(C5553),1,1,2,1,3,1,4,2,5,2,6,3,7,3,8,3,9,3,10,2,11,2,12,1,2)</f>
        <v>1</v>
      </c>
      <c r="P5553" s="43"/>
    </row>
    <row r="5554" spans="1:16" ht="18" x14ac:dyDescent="0.35">
      <c r="A5554" s="9"/>
      <c r="C5554" s="393"/>
      <c r="E5554" s="394"/>
      <c r="F5554" s="394">
        <v>0.45200000000000001</v>
      </c>
      <c r="G5554" s="394"/>
      <c r="H5554" s="8" t="s">
        <v>235</v>
      </c>
      <c r="I5554" s="368">
        <f t="shared" si="259"/>
        <v>0</v>
      </c>
      <c r="J5554" s="365">
        <f t="shared" si="258"/>
        <v>0</v>
      </c>
      <c r="K5554" s="369">
        <f t="shared" si="260"/>
        <v>6</v>
      </c>
      <c r="L5554" s="369">
        <f>+IF((C5554&gt;='Resultats - informe'!$E$16)*(C5554&lt;='Resultats - informe'!$G$16),1,0)</f>
        <v>1</v>
      </c>
      <c r="M5554" s="369" cm="1">
        <f t="array" ref="M5554">+_xlfn.IFS((C5554&gt;='Resultats - informe'!$D$26)*(C5554&lt;='Resultats - informe'!$E$26),0,(C5554&gt;='Resultats - informe'!$D$27)*(C5554&lt;='Resultats - informe'!$E$27),0,(C5554&gt;='Resultats - informe'!$D$28)*(C5554&lt;='Resultats - informe'!$E$28),0,(C5554&gt;='Resultats - informe'!$D$29)*(C5554&lt;='Resultats - informe'!$E$29),0,1,1)</f>
        <v>0</v>
      </c>
      <c r="N5554" s="366">
        <f>+VLOOKUP(D5554,'Resultats - informe'!$Y$18:$AG$42,'Introducció dades consum'!K5554+1,0)</f>
        <v>0</v>
      </c>
      <c r="O5554" s="370" cm="1">
        <f t="array" ref="O5554">+_xlfn.SWITCH(MONTH(C5554),1,1,2,1,3,1,4,2,5,2,6,3,7,3,8,3,9,3,10,2,11,2,12,1,2)</f>
        <v>1</v>
      </c>
      <c r="P5554" s="43"/>
    </row>
    <row r="5555" spans="1:16" ht="18" x14ac:dyDescent="0.35">
      <c r="A5555" s="9"/>
      <c r="C5555" s="393"/>
      <c r="E5555" s="394"/>
      <c r="F5555" s="394">
        <v>0.44700000000000001</v>
      </c>
      <c r="G5555" s="394"/>
      <c r="H5555" s="8" t="s">
        <v>235</v>
      </c>
      <c r="I5555" s="368">
        <f t="shared" si="259"/>
        <v>0</v>
      </c>
      <c r="J5555" s="365">
        <f t="shared" si="258"/>
        <v>0</v>
      </c>
      <c r="K5555" s="369">
        <f t="shared" si="260"/>
        <v>6</v>
      </c>
      <c r="L5555" s="369">
        <f>+IF((C5555&gt;='Resultats - informe'!$E$16)*(C5555&lt;='Resultats - informe'!$G$16),1,0)</f>
        <v>1</v>
      </c>
      <c r="M5555" s="369" cm="1">
        <f t="array" ref="M5555">+_xlfn.IFS((C5555&gt;='Resultats - informe'!$D$26)*(C5555&lt;='Resultats - informe'!$E$26),0,(C5555&gt;='Resultats - informe'!$D$27)*(C5555&lt;='Resultats - informe'!$E$27),0,(C5555&gt;='Resultats - informe'!$D$28)*(C5555&lt;='Resultats - informe'!$E$28),0,(C5555&gt;='Resultats - informe'!$D$29)*(C5555&lt;='Resultats - informe'!$E$29),0,1,1)</f>
        <v>0</v>
      </c>
      <c r="N5555" s="366">
        <f>+VLOOKUP(D5555,'Resultats - informe'!$Y$18:$AG$42,'Introducció dades consum'!K5555+1,0)</f>
        <v>0</v>
      </c>
      <c r="O5555" s="370" cm="1">
        <f t="array" ref="O5555">+_xlfn.SWITCH(MONTH(C5555),1,1,2,1,3,1,4,2,5,2,6,3,7,3,8,3,9,3,10,2,11,2,12,1,2)</f>
        <v>1</v>
      </c>
      <c r="P5555" s="43"/>
    </row>
    <row r="5556" spans="1:16" ht="18" x14ac:dyDescent="0.35">
      <c r="A5556" s="9"/>
      <c r="C5556" s="393"/>
      <c r="E5556" s="394"/>
      <c r="F5556" s="394">
        <v>1.073</v>
      </c>
      <c r="G5556" s="394"/>
      <c r="H5556" s="8" t="s">
        <v>235</v>
      </c>
      <c r="I5556" s="368">
        <f t="shared" si="259"/>
        <v>0</v>
      </c>
      <c r="J5556" s="365">
        <f t="shared" si="258"/>
        <v>0</v>
      </c>
      <c r="K5556" s="369">
        <f t="shared" si="260"/>
        <v>6</v>
      </c>
      <c r="L5556" s="369">
        <f>+IF((C5556&gt;='Resultats - informe'!$E$16)*(C5556&lt;='Resultats - informe'!$G$16),1,0)</f>
        <v>1</v>
      </c>
      <c r="M5556" s="369" cm="1">
        <f t="array" ref="M5556">+_xlfn.IFS((C5556&gt;='Resultats - informe'!$D$26)*(C5556&lt;='Resultats - informe'!$E$26),0,(C5556&gt;='Resultats - informe'!$D$27)*(C5556&lt;='Resultats - informe'!$E$27),0,(C5556&gt;='Resultats - informe'!$D$28)*(C5556&lt;='Resultats - informe'!$E$28),0,(C5556&gt;='Resultats - informe'!$D$29)*(C5556&lt;='Resultats - informe'!$E$29),0,1,1)</f>
        <v>0</v>
      </c>
      <c r="N5556" s="366">
        <f>+VLOOKUP(D5556,'Resultats - informe'!$Y$18:$AG$42,'Introducció dades consum'!K5556+1,0)</f>
        <v>0</v>
      </c>
      <c r="O5556" s="370" cm="1">
        <f t="array" ref="O5556">+_xlfn.SWITCH(MONTH(C5556),1,1,2,1,3,1,4,2,5,2,6,3,7,3,8,3,9,3,10,2,11,2,12,1,2)</f>
        <v>1</v>
      </c>
      <c r="P5556" s="43"/>
    </row>
    <row r="5557" spans="1:16" ht="18" x14ac:dyDescent="0.35">
      <c r="A5557" s="9"/>
      <c r="C5557" s="393"/>
      <c r="E5557" s="394"/>
      <c r="F5557" s="394">
        <v>0.91200000000000003</v>
      </c>
      <c r="G5557" s="394"/>
      <c r="H5557" s="8" t="s">
        <v>235</v>
      </c>
      <c r="I5557" s="368">
        <f t="shared" si="259"/>
        <v>0</v>
      </c>
      <c r="J5557" s="365">
        <f t="shared" si="258"/>
        <v>0</v>
      </c>
      <c r="K5557" s="369">
        <f t="shared" si="260"/>
        <v>6</v>
      </c>
      <c r="L5557" s="369">
        <f>+IF((C5557&gt;='Resultats - informe'!$E$16)*(C5557&lt;='Resultats - informe'!$G$16),1,0)</f>
        <v>1</v>
      </c>
      <c r="M5557" s="369" cm="1">
        <f t="array" ref="M5557">+_xlfn.IFS((C5557&gt;='Resultats - informe'!$D$26)*(C5557&lt;='Resultats - informe'!$E$26),0,(C5557&gt;='Resultats - informe'!$D$27)*(C5557&lt;='Resultats - informe'!$E$27),0,(C5557&gt;='Resultats - informe'!$D$28)*(C5557&lt;='Resultats - informe'!$E$28),0,(C5557&gt;='Resultats - informe'!$D$29)*(C5557&lt;='Resultats - informe'!$E$29),0,1,1)</f>
        <v>0</v>
      </c>
      <c r="N5557" s="366">
        <f>+VLOOKUP(D5557,'Resultats - informe'!$Y$18:$AG$42,'Introducció dades consum'!K5557+1,0)</f>
        <v>0</v>
      </c>
      <c r="O5557" s="370" cm="1">
        <f t="array" ref="O5557">+_xlfn.SWITCH(MONTH(C5557),1,1,2,1,3,1,4,2,5,2,6,3,7,3,8,3,9,3,10,2,11,2,12,1,2)</f>
        <v>1</v>
      </c>
      <c r="P5557" s="43"/>
    </row>
    <row r="5558" spans="1:16" ht="18" x14ac:dyDescent="0.35">
      <c r="A5558" s="9"/>
      <c r="C5558" s="393"/>
      <c r="E5558" s="394"/>
      <c r="F5558" s="394">
        <v>1.571</v>
      </c>
      <c r="G5558" s="394"/>
      <c r="H5558" s="8" t="s">
        <v>235</v>
      </c>
      <c r="I5558" s="368">
        <f t="shared" si="259"/>
        <v>0</v>
      </c>
      <c r="J5558" s="365">
        <f t="shared" si="258"/>
        <v>0</v>
      </c>
      <c r="K5558" s="369">
        <f t="shared" si="260"/>
        <v>6</v>
      </c>
      <c r="L5558" s="369">
        <f>+IF((C5558&gt;='Resultats - informe'!$E$16)*(C5558&lt;='Resultats - informe'!$G$16),1,0)</f>
        <v>1</v>
      </c>
      <c r="M5558" s="369" cm="1">
        <f t="array" ref="M5558">+_xlfn.IFS((C5558&gt;='Resultats - informe'!$D$26)*(C5558&lt;='Resultats - informe'!$E$26),0,(C5558&gt;='Resultats - informe'!$D$27)*(C5558&lt;='Resultats - informe'!$E$27),0,(C5558&gt;='Resultats - informe'!$D$28)*(C5558&lt;='Resultats - informe'!$E$28),0,(C5558&gt;='Resultats - informe'!$D$29)*(C5558&lt;='Resultats - informe'!$E$29),0,1,1)</f>
        <v>0</v>
      </c>
      <c r="N5558" s="366">
        <f>+VLOOKUP(D5558,'Resultats - informe'!$Y$18:$AG$42,'Introducció dades consum'!K5558+1,0)</f>
        <v>0</v>
      </c>
      <c r="O5558" s="370" cm="1">
        <f t="array" ref="O5558">+_xlfn.SWITCH(MONTH(C5558),1,1,2,1,3,1,4,2,5,2,6,3,7,3,8,3,9,3,10,2,11,2,12,1,2)</f>
        <v>1</v>
      </c>
      <c r="P5558" s="43"/>
    </row>
    <row r="5559" spans="1:16" ht="18" x14ac:dyDescent="0.35">
      <c r="A5559" s="9"/>
      <c r="C5559" s="393"/>
      <c r="E5559" s="394"/>
      <c r="F5559" s="394">
        <v>1.724</v>
      </c>
      <c r="G5559" s="394"/>
      <c r="H5559" s="8" t="s">
        <v>235</v>
      </c>
      <c r="I5559" s="368">
        <f t="shared" si="259"/>
        <v>0</v>
      </c>
      <c r="J5559" s="365">
        <f t="shared" si="258"/>
        <v>0</v>
      </c>
      <c r="K5559" s="369">
        <f t="shared" si="260"/>
        <v>6</v>
      </c>
      <c r="L5559" s="369">
        <f>+IF((C5559&gt;='Resultats - informe'!$E$16)*(C5559&lt;='Resultats - informe'!$G$16),1,0)</f>
        <v>1</v>
      </c>
      <c r="M5559" s="369" cm="1">
        <f t="array" ref="M5559">+_xlfn.IFS((C5559&gt;='Resultats - informe'!$D$26)*(C5559&lt;='Resultats - informe'!$E$26),0,(C5559&gt;='Resultats - informe'!$D$27)*(C5559&lt;='Resultats - informe'!$E$27),0,(C5559&gt;='Resultats - informe'!$D$28)*(C5559&lt;='Resultats - informe'!$E$28),0,(C5559&gt;='Resultats - informe'!$D$29)*(C5559&lt;='Resultats - informe'!$E$29),0,1,1)</f>
        <v>0</v>
      </c>
      <c r="N5559" s="366">
        <f>+VLOOKUP(D5559,'Resultats - informe'!$Y$18:$AG$42,'Introducció dades consum'!K5559+1,0)</f>
        <v>0</v>
      </c>
      <c r="O5559" s="370" cm="1">
        <f t="array" ref="O5559">+_xlfn.SWITCH(MONTH(C5559),1,1,2,1,3,1,4,2,5,2,6,3,7,3,8,3,9,3,10,2,11,2,12,1,2)</f>
        <v>1</v>
      </c>
      <c r="P5559" s="43"/>
    </row>
    <row r="5560" spans="1:16" ht="18" x14ac:dyDescent="0.35">
      <c r="A5560" s="9"/>
      <c r="C5560" s="393"/>
      <c r="E5560" s="394"/>
      <c r="F5560" s="394">
        <v>1.5820000000000001</v>
      </c>
      <c r="G5560" s="394"/>
      <c r="H5560" s="8" t="s">
        <v>235</v>
      </c>
      <c r="I5560" s="368">
        <f t="shared" si="259"/>
        <v>0</v>
      </c>
      <c r="J5560" s="365">
        <f t="shared" si="258"/>
        <v>0</v>
      </c>
      <c r="K5560" s="369">
        <f t="shared" si="260"/>
        <v>6</v>
      </c>
      <c r="L5560" s="369">
        <f>+IF((C5560&gt;='Resultats - informe'!$E$16)*(C5560&lt;='Resultats - informe'!$G$16),1,0)</f>
        <v>1</v>
      </c>
      <c r="M5560" s="369" cm="1">
        <f t="array" ref="M5560">+_xlfn.IFS((C5560&gt;='Resultats - informe'!$D$26)*(C5560&lt;='Resultats - informe'!$E$26),0,(C5560&gt;='Resultats - informe'!$D$27)*(C5560&lt;='Resultats - informe'!$E$27),0,(C5560&gt;='Resultats - informe'!$D$28)*(C5560&lt;='Resultats - informe'!$E$28),0,(C5560&gt;='Resultats - informe'!$D$29)*(C5560&lt;='Resultats - informe'!$E$29),0,1,1)</f>
        <v>0</v>
      </c>
      <c r="N5560" s="366">
        <f>+VLOOKUP(D5560,'Resultats - informe'!$Y$18:$AG$42,'Introducció dades consum'!K5560+1,0)</f>
        <v>0</v>
      </c>
      <c r="O5560" s="370" cm="1">
        <f t="array" ref="O5560">+_xlfn.SWITCH(MONTH(C5560),1,1,2,1,3,1,4,2,5,2,6,3,7,3,8,3,9,3,10,2,11,2,12,1,2)</f>
        <v>1</v>
      </c>
      <c r="P5560" s="43"/>
    </row>
    <row r="5561" spans="1:16" ht="18" x14ac:dyDescent="0.35">
      <c r="A5561" s="9"/>
      <c r="C5561" s="393"/>
      <c r="E5561" s="394"/>
      <c r="F5561" s="394">
        <v>1.825</v>
      </c>
      <c r="G5561" s="394"/>
      <c r="H5561" s="8" t="s">
        <v>235</v>
      </c>
      <c r="I5561" s="368">
        <f t="shared" si="259"/>
        <v>0</v>
      </c>
      <c r="J5561" s="365">
        <f t="shared" si="258"/>
        <v>0</v>
      </c>
      <c r="K5561" s="369">
        <f t="shared" si="260"/>
        <v>6</v>
      </c>
      <c r="L5561" s="369">
        <f>+IF((C5561&gt;='Resultats - informe'!$E$16)*(C5561&lt;='Resultats - informe'!$G$16),1,0)</f>
        <v>1</v>
      </c>
      <c r="M5561" s="369" cm="1">
        <f t="array" ref="M5561">+_xlfn.IFS((C5561&gt;='Resultats - informe'!$D$26)*(C5561&lt;='Resultats - informe'!$E$26),0,(C5561&gt;='Resultats - informe'!$D$27)*(C5561&lt;='Resultats - informe'!$E$27),0,(C5561&gt;='Resultats - informe'!$D$28)*(C5561&lt;='Resultats - informe'!$E$28),0,(C5561&gt;='Resultats - informe'!$D$29)*(C5561&lt;='Resultats - informe'!$E$29),0,1,1)</f>
        <v>0</v>
      </c>
      <c r="N5561" s="366">
        <f>+VLOOKUP(D5561,'Resultats - informe'!$Y$18:$AG$42,'Introducció dades consum'!K5561+1,0)</f>
        <v>0</v>
      </c>
      <c r="O5561" s="370" cm="1">
        <f t="array" ref="O5561">+_xlfn.SWITCH(MONTH(C5561),1,1,2,1,3,1,4,2,5,2,6,3,7,3,8,3,9,3,10,2,11,2,12,1,2)</f>
        <v>1</v>
      </c>
      <c r="P5561" s="43"/>
    </row>
    <row r="5562" spans="1:16" ht="18" x14ac:dyDescent="0.35">
      <c r="A5562" s="9"/>
      <c r="C5562" s="393"/>
      <c r="E5562" s="394"/>
      <c r="F5562" s="394">
        <v>1.1539999999999999</v>
      </c>
      <c r="G5562" s="394"/>
      <c r="H5562" s="8" t="s">
        <v>235</v>
      </c>
      <c r="I5562" s="368">
        <f t="shared" si="259"/>
        <v>0</v>
      </c>
      <c r="J5562" s="365">
        <f t="shared" si="258"/>
        <v>0</v>
      </c>
      <c r="K5562" s="369">
        <f t="shared" si="260"/>
        <v>6</v>
      </c>
      <c r="L5562" s="369">
        <f>+IF((C5562&gt;='Resultats - informe'!$E$16)*(C5562&lt;='Resultats - informe'!$G$16),1,0)</f>
        <v>1</v>
      </c>
      <c r="M5562" s="369" cm="1">
        <f t="array" ref="M5562">+_xlfn.IFS((C5562&gt;='Resultats - informe'!$D$26)*(C5562&lt;='Resultats - informe'!$E$26),0,(C5562&gt;='Resultats - informe'!$D$27)*(C5562&lt;='Resultats - informe'!$E$27),0,(C5562&gt;='Resultats - informe'!$D$28)*(C5562&lt;='Resultats - informe'!$E$28),0,(C5562&gt;='Resultats - informe'!$D$29)*(C5562&lt;='Resultats - informe'!$E$29),0,1,1)</f>
        <v>0</v>
      </c>
      <c r="N5562" s="366">
        <f>+VLOOKUP(D5562,'Resultats - informe'!$Y$18:$AG$42,'Introducció dades consum'!K5562+1,0)</f>
        <v>0</v>
      </c>
      <c r="O5562" s="370" cm="1">
        <f t="array" ref="O5562">+_xlfn.SWITCH(MONTH(C5562),1,1,2,1,3,1,4,2,5,2,6,3,7,3,8,3,9,3,10,2,11,2,12,1,2)</f>
        <v>1</v>
      </c>
      <c r="P5562" s="43"/>
    </row>
    <row r="5563" spans="1:16" ht="18" x14ac:dyDescent="0.35">
      <c r="A5563" s="9"/>
      <c r="C5563" s="393"/>
      <c r="E5563" s="394"/>
      <c r="F5563" s="394">
        <v>1.6850000000000001</v>
      </c>
      <c r="G5563" s="394"/>
      <c r="H5563" s="8" t="s">
        <v>235</v>
      </c>
      <c r="I5563" s="368">
        <f t="shared" si="259"/>
        <v>0</v>
      </c>
      <c r="J5563" s="365">
        <f t="shared" ref="J5563:J5626" si="261">+C5563</f>
        <v>0</v>
      </c>
      <c r="K5563" s="369">
        <f t="shared" si="260"/>
        <v>6</v>
      </c>
      <c r="L5563" s="369">
        <f>+IF((C5563&gt;='Resultats - informe'!$E$16)*(C5563&lt;='Resultats - informe'!$G$16),1,0)</f>
        <v>1</v>
      </c>
      <c r="M5563" s="369" cm="1">
        <f t="array" ref="M5563">+_xlfn.IFS((C5563&gt;='Resultats - informe'!$D$26)*(C5563&lt;='Resultats - informe'!$E$26),0,(C5563&gt;='Resultats - informe'!$D$27)*(C5563&lt;='Resultats - informe'!$E$27),0,(C5563&gt;='Resultats - informe'!$D$28)*(C5563&lt;='Resultats - informe'!$E$28),0,(C5563&gt;='Resultats - informe'!$D$29)*(C5563&lt;='Resultats - informe'!$E$29),0,1,1)</f>
        <v>0</v>
      </c>
      <c r="N5563" s="366">
        <f>+VLOOKUP(D5563,'Resultats - informe'!$Y$18:$AG$42,'Introducció dades consum'!K5563+1,0)</f>
        <v>0</v>
      </c>
      <c r="O5563" s="370" cm="1">
        <f t="array" ref="O5563">+_xlfn.SWITCH(MONTH(C5563),1,1,2,1,3,1,4,2,5,2,6,3,7,3,8,3,9,3,10,2,11,2,12,1,2)</f>
        <v>1</v>
      </c>
      <c r="P5563" s="43"/>
    </row>
    <row r="5564" spans="1:16" ht="18" x14ac:dyDescent="0.35">
      <c r="A5564" s="9"/>
      <c r="C5564" s="393"/>
      <c r="E5564" s="394"/>
      <c r="F5564" s="394">
        <v>1.726</v>
      </c>
      <c r="G5564" s="394"/>
      <c r="H5564" s="8" t="s">
        <v>235</v>
      </c>
      <c r="I5564" s="368">
        <f t="shared" si="259"/>
        <v>0</v>
      </c>
      <c r="J5564" s="365">
        <f t="shared" si="261"/>
        <v>0</v>
      </c>
      <c r="K5564" s="369">
        <f t="shared" si="260"/>
        <v>6</v>
      </c>
      <c r="L5564" s="369">
        <f>+IF((C5564&gt;='Resultats - informe'!$E$16)*(C5564&lt;='Resultats - informe'!$G$16),1,0)</f>
        <v>1</v>
      </c>
      <c r="M5564" s="369" cm="1">
        <f t="array" ref="M5564">+_xlfn.IFS((C5564&gt;='Resultats - informe'!$D$26)*(C5564&lt;='Resultats - informe'!$E$26),0,(C5564&gt;='Resultats - informe'!$D$27)*(C5564&lt;='Resultats - informe'!$E$27),0,(C5564&gt;='Resultats - informe'!$D$28)*(C5564&lt;='Resultats - informe'!$E$28),0,(C5564&gt;='Resultats - informe'!$D$29)*(C5564&lt;='Resultats - informe'!$E$29),0,1,1)</f>
        <v>0</v>
      </c>
      <c r="N5564" s="366">
        <f>+VLOOKUP(D5564,'Resultats - informe'!$Y$18:$AG$42,'Introducció dades consum'!K5564+1,0)</f>
        <v>0</v>
      </c>
      <c r="O5564" s="370" cm="1">
        <f t="array" ref="O5564">+_xlfn.SWITCH(MONTH(C5564),1,1,2,1,3,1,4,2,5,2,6,3,7,3,8,3,9,3,10,2,11,2,12,1,2)</f>
        <v>1</v>
      </c>
      <c r="P5564" s="43"/>
    </row>
    <row r="5565" spans="1:16" ht="18" x14ac:dyDescent="0.35">
      <c r="A5565" s="9"/>
      <c r="C5565" s="393"/>
      <c r="E5565" s="394"/>
      <c r="F5565" s="394">
        <v>1.42</v>
      </c>
      <c r="G5565" s="394"/>
      <c r="H5565" s="8" t="s">
        <v>235</v>
      </c>
      <c r="I5565" s="368">
        <f t="shared" si="259"/>
        <v>0</v>
      </c>
      <c r="J5565" s="365">
        <f t="shared" si="261"/>
        <v>0</v>
      </c>
      <c r="K5565" s="369">
        <f t="shared" si="260"/>
        <v>6</v>
      </c>
      <c r="L5565" s="369">
        <f>+IF((C5565&gt;='Resultats - informe'!$E$16)*(C5565&lt;='Resultats - informe'!$G$16),1,0)</f>
        <v>1</v>
      </c>
      <c r="M5565" s="369" cm="1">
        <f t="array" ref="M5565">+_xlfn.IFS((C5565&gt;='Resultats - informe'!$D$26)*(C5565&lt;='Resultats - informe'!$E$26),0,(C5565&gt;='Resultats - informe'!$D$27)*(C5565&lt;='Resultats - informe'!$E$27),0,(C5565&gt;='Resultats - informe'!$D$28)*(C5565&lt;='Resultats - informe'!$E$28),0,(C5565&gt;='Resultats - informe'!$D$29)*(C5565&lt;='Resultats - informe'!$E$29),0,1,1)</f>
        <v>0</v>
      </c>
      <c r="N5565" s="366">
        <f>+VLOOKUP(D5565,'Resultats - informe'!$Y$18:$AG$42,'Introducció dades consum'!K5565+1,0)</f>
        <v>0</v>
      </c>
      <c r="O5565" s="370" cm="1">
        <f t="array" ref="O5565">+_xlfn.SWITCH(MONTH(C5565),1,1,2,1,3,1,4,2,5,2,6,3,7,3,8,3,9,3,10,2,11,2,12,1,2)</f>
        <v>1</v>
      </c>
      <c r="P5565" s="43"/>
    </row>
    <row r="5566" spans="1:16" ht="18" x14ac:dyDescent="0.35">
      <c r="A5566" s="9"/>
      <c r="C5566" s="393"/>
      <c r="E5566" s="394"/>
      <c r="F5566" s="394">
        <v>2.5760000000000001</v>
      </c>
      <c r="G5566" s="394"/>
      <c r="H5566" s="8" t="s">
        <v>235</v>
      </c>
      <c r="I5566" s="368">
        <f t="shared" si="259"/>
        <v>0</v>
      </c>
      <c r="J5566" s="365">
        <f t="shared" si="261"/>
        <v>0</v>
      </c>
      <c r="K5566" s="369">
        <f t="shared" si="260"/>
        <v>6</v>
      </c>
      <c r="L5566" s="369">
        <f>+IF((C5566&gt;='Resultats - informe'!$E$16)*(C5566&lt;='Resultats - informe'!$G$16),1,0)</f>
        <v>1</v>
      </c>
      <c r="M5566" s="369" cm="1">
        <f t="array" ref="M5566">+_xlfn.IFS((C5566&gt;='Resultats - informe'!$D$26)*(C5566&lt;='Resultats - informe'!$E$26),0,(C5566&gt;='Resultats - informe'!$D$27)*(C5566&lt;='Resultats - informe'!$E$27),0,(C5566&gt;='Resultats - informe'!$D$28)*(C5566&lt;='Resultats - informe'!$E$28),0,(C5566&gt;='Resultats - informe'!$D$29)*(C5566&lt;='Resultats - informe'!$E$29),0,1,1)</f>
        <v>0</v>
      </c>
      <c r="N5566" s="366">
        <f>+VLOOKUP(D5566,'Resultats - informe'!$Y$18:$AG$42,'Introducció dades consum'!K5566+1,0)</f>
        <v>0</v>
      </c>
      <c r="O5566" s="370" cm="1">
        <f t="array" ref="O5566">+_xlfn.SWITCH(MONTH(C5566),1,1,2,1,3,1,4,2,5,2,6,3,7,3,8,3,9,3,10,2,11,2,12,1,2)</f>
        <v>1</v>
      </c>
      <c r="P5566" s="43"/>
    </row>
    <row r="5567" spans="1:16" ht="18" x14ac:dyDescent="0.35">
      <c r="A5567" s="9"/>
      <c r="C5567" s="393"/>
      <c r="E5567" s="394"/>
      <c r="F5567" s="394">
        <v>2.58</v>
      </c>
      <c r="G5567" s="394"/>
      <c r="H5567" s="8" t="s">
        <v>235</v>
      </c>
      <c r="I5567" s="368">
        <f t="shared" si="259"/>
        <v>0</v>
      </c>
      <c r="J5567" s="365">
        <f t="shared" si="261"/>
        <v>0</v>
      </c>
      <c r="K5567" s="369">
        <f t="shared" si="260"/>
        <v>6</v>
      </c>
      <c r="L5567" s="369">
        <f>+IF((C5567&gt;='Resultats - informe'!$E$16)*(C5567&lt;='Resultats - informe'!$G$16),1,0)</f>
        <v>1</v>
      </c>
      <c r="M5567" s="369" cm="1">
        <f t="array" ref="M5567">+_xlfn.IFS((C5567&gt;='Resultats - informe'!$D$26)*(C5567&lt;='Resultats - informe'!$E$26),0,(C5567&gt;='Resultats - informe'!$D$27)*(C5567&lt;='Resultats - informe'!$E$27),0,(C5567&gt;='Resultats - informe'!$D$28)*(C5567&lt;='Resultats - informe'!$E$28),0,(C5567&gt;='Resultats - informe'!$D$29)*(C5567&lt;='Resultats - informe'!$E$29),0,1,1)</f>
        <v>0</v>
      </c>
      <c r="N5567" s="366">
        <f>+VLOOKUP(D5567,'Resultats - informe'!$Y$18:$AG$42,'Introducció dades consum'!K5567+1,0)</f>
        <v>0</v>
      </c>
      <c r="O5567" s="370" cm="1">
        <f t="array" ref="O5567">+_xlfn.SWITCH(MONTH(C5567),1,1,2,1,3,1,4,2,5,2,6,3,7,3,8,3,9,3,10,2,11,2,12,1,2)</f>
        <v>1</v>
      </c>
      <c r="P5567" s="43"/>
    </row>
    <row r="5568" spans="1:16" ht="18" x14ac:dyDescent="0.35">
      <c r="A5568" s="9"/>
      <c r="C5568" s="393"/>
      <c r="E5568" s="394"/>
      <c r="F5568" s="394">
        <v>2.2759999999999998</v>
      </c>
      <c r="G5568" s="394"/>
      <c r="H5568" s="8" t="s">
        <v>235</v>
      </c>
      <c r="I5568" s="368">
        <f t="shared" si="259"/>
        <v>0</v>
      </c>
      <c r="J5568" s="365">
        <f t="shared" si="261"/>
        <v>0</v>
      </c>
      <c r="K5568" s="369">
        <f t="shared" si="260"/>
        <v>6</v>
      </c>
      <c r="L5568" s="369">
        <f>+IF((C5568&gt;='Resultats - informe'!$E$16)*(C5568&lt;='Resultats - informe'!$G$16),1,0)</f>
        <v>1</v>
      </c>
      <c r="M5568" s="369" cm="1">
        <f t="array" ref="M5568">+_xlfn.IFS((C5568&gt;='Resultats - informe'!$D$26)*(C5568&lt;='Resultats - informe'!$E$26),0,(C5568&gt;='Resultats - informe'!$D$27)*(C5568&lt;='Resultats - informe'!$E$27),0,(C5568&gt;='Resultats - informe'!$D$28)*(C5568&lt;='Resultats - informe'!$E$28),0,(C5568&gt;='Resultats - informe'!$D$29)*(C5568&lt;='Resultats - informe'!$E$29),0,1,1)</f>
        <v>0</v>
      </c>
      <c r="N5568" s="366">
        <f>+VLOOKUP(D5568,'Resultats - informe'!$Y$18:$AG$42,'Introducció dades consum'!K5568+1,0)</f>
        <v>0</v>
      </c>
      <c r="O5568" s="370" cm="1">
        <f t="array" ref="O5568">+_xlfn.SWITCH(MONTH(C5568),1,1,2,1,3,1,4,2,5,2,6,3,7,3,8,3,9,3,10,2,11,2,12,1,2)</f>
        <v>1</v>
      </c>
      <c r="P5568" s="43"/>
    </row>
    <row r="5569" spans="1:16" ht="18" x14ac:dyDescent="0.35">
      <c r="A5569" s="9"/>
      <c r="C5569" s="393"/>
      <c r="E5569" s="394"/>
      <c r="F5569" s="394">
        <v>2.0990000000000002</v>
      </c>
      <c r="G5569" s="394"/>
      <c r="H5569" s="8" t="s">
        <v>235</v>
      </c>
      <c r="I5569" s="368">
        <f t="shared" si="259"/>
        <v>0</v>
      </c>
      <c r="J5569" s="365">
        <f t="shared" si="261"/>
        <v>0</v>
      </c>
      <c r="K5569" s="369">
        <f t="shared" si="260"/>
        <v>6</v>
      </c>
      <c r="L5569" s="369">
        <f>+IF((C5569&gt;='Resultats - informe'!$E$16)*(C5569&lt;='Resultats - informe'!$G$16),1,0)</f>
        <v>1</v>
      </c>
      <c r="M5569" s="369" cm="1">
        <f t="array" ref="M5569">+_xlfn.IFS((C5569&gt;='Resultats - informe'!$D$26)*(C5569&lt;='Resultats - informe'!$E$26),0,(C5569&gt;='Resultats - informe'!$D$27)*(C5569&lt;='Resultats - informe'!$E$27),0,(C5569&gt;='Resultats - informe'!$D$28)*(C5569&lt;='Resultats - informe'!$E$28),0,(C5569&gt;='Resultats - informe'!$D$29)*(C5569&lt;='Resultats - informe'!$E$29),0,1,1)</f>
        <v>0</v>
      </c>
      <c r="N5569" s="366">
        <f>+VLOOKUP(D5569,'Resultats - informe'!$Y$18:$AG$42,'Introducció dades consum'!K5569+1,0)</f>
        <v>0</v>
      </c>
      <c r="O5569" s="370" cm="1">
        <f t="array" ref="O5569">+_xlfn.SWITCH(MONTH(C5569),1,1,2,1,3,1,4,2,5,2,6,3,7,3,8,3,9,3,10,2,11,2,12,1,2)</f>
        <v>1</v>
      </c>
      <c r="P5569" s="43"/>
    </row>
    <row r="5570" spans="1:16" ht="18" x14ac:dyDescent="0.35">
      <c r="A5570" s="9"/>
      <c r="C5570" s="393"/>
      <c r="E5570" s="394"/>
      <c r="F5570" s="394">
        <v>1.3660000000000001</v>
      </c>
      <c r="G5570" s="394"/>
      <c r="H5570" s="8" t="s">
        <v>235</v>
      </c>
      <c r="I5570" s="368">
        <f t="shared" si="259"/>
        <v>0</v>
      </c>
      <c r="J5570" s="365">
        <f t="shared" si="261"/>
        <v>0</v>
      </c>
      <c r="K5570" s="369">
        <f t="shared" si="260"/>
        <v>6</v>
      </c>
      <c r="L5570" s="369">
        <f>+IF((C5570&gt;='Resultats - informe'!$E$16)*(C5570&lt;='Resultats - informe'!$G$16),1,0)</f>
        <v>1</v>
      </c>
      <c r="M5570" s="369" cm="1">
        <f t="array" ref="M5570">+_xlfn.IFS((C5570&gt;='Resultats - informe'!$D$26)*(C5570&lt;='Resultats - informe'!$E$26),0,(C5570&gt;='Resultats - informe'!$D$27)*(C5570&lt;='Resultats - informe'!$E$27),0,(C5570&gt;='Resultats - informe'!$D$28)*(C5570&lt;='Resultats - informe'!$E$28),0,(C5570&gt;='Resultats - informe'!$D$29)*(C5570&lt;='Resultats - informe'!$E$29),0,1,1)</f>
        <v>0</v>
      </c>
      <c r="N5570" s="366">
        <f>+VLOOKUP(D5570,'Resultats - informe'!$Y$18:$AG$42,'Introducció dades consum'!K5570+1,0)</f>
        <v>0</v>
      </c>
      <c r="O5570" s="370" cm="1">
        <f t="array" ref="O5570">+_xlfn.SWITCH(MONTH(C5570),1,1,2,1,3,1,4,2,5,2,6,3,7,3,8,3,9,3,10,2,11,2,12,1,2)</f>
        <v>1</v>
      </c>
      <c r="P5570" s="43"/>
    </row>
    <row r="5571" spans="1:16" ht="18" x14ac:dyDescent="0.35">
      <c r="A5571" s="9"/>
      <c r="C5571" s="393"/>
      <c r="E5571" s="394"/>
      <c r="F5571" s="394">
        <v>1.3640000000000001</v>
      </c>
      <c r="G5571" s="394"/>
      <c r="H5571" s="8" t="s">
        <v>235</v>
      </c>
      <c r="I5571" s="368">
        <f t="shared" si="259"/>
        <v>0</v>
      </c>
      <c r="J5571" s="365">
        <f t="shared" si="261"/>
        <v>0</v>
      </c>
      <c r="K5571" s="369">
        <f t="shared" si="260"/>
        <v>6</v>
      </c>
      <c r="L5571" s="369">
        <f>+IF((C5571&gt;='Resultats - informe'!$E$16)*(C5571&lt;='Resultats - informe'!$G$16),1,0)</f>
        <v>1</v>
      </c>
      <c r="M5571" s="369" cm="1">
        <f t="array" ref="M5571">+_xlfn.IFS((C5571&gt;='Resultats - informe'!$D$26)*(C5571&lt;='Resultats - informe'!$E$26),0,(C5571&gt;='Resultats - informe'!$D$27)*(C5571&lt;='Resultats - informe'!$E$27),0,(C5571&gt;='Resultats - informe'!$D$28)*(C5571&lt;='Resultats - informe'!$E$28),0,(C5571&gt;='Resultats - informe'!$D$29)*(C5571&lt;='Resultats - informe'!$E$29),0,1,1)</f>
        <v>0</v>
      </c>
      <c r="N5571" s="366">
        <f>+VLOOKUP(D5571,'Resultats - informe'!$Y$18:$AG$42,'Introducció dades consum'!K5571+1,0)</f>
        <v>0</v>
      </c>
      <c r="O5571" s="370" cm="1">
        <f t="array" ref="O5571">+_xlfn.SWITCH(MONTH(C5571),1,1,2,1,3,1,4,2,5,2,6,3,7,3,8,3,9,3,10,2,11,2,12,1,2)</f>
        <v>1</v>
      </c>
      <c r="P5571" s="43"/>
    </row>
    <row r="5572" spans="1:16" ht="18" x14ac:dyDescent="0.35">
      <c r="A5572" s="9"/>
      <c r="C5572" s="393"/>
      <c r="E5572" s="394"/>
      <c r="F5572" s="394">
        <v>6.8000000000000005E-2</v>
      </c>
      <c r="G5572" s="394"/>
      <c r="H5572" s="8" t="s">
        <v>235</v>
      </c>
      <c r="I5572" s="368">
        <f t="shared" si="259"/>
        <v>0</v>
      </c>
      <c r="J5572" s="365">
        <f t="shared" si="261"/>
        <v>0</v>
      </c>
      <c r="K5572" s="369">
        <f t="shared" si="260"/>
        <v>6</v>
      </c>
      <c r="L5572" s="369">
        <f>+IF((C5572&gt;='Resultats - informe'!$E$16)*(C5572&lt;='Resultats - informe'!$G$16),1,0)</f>
        <v>1</v>
      </c>
      <c r="M5572" s="369" cm="1">
        <f t="array" ref="M5572">+_xlfn.IFS((C5572&gt;='Resultats - informe'!$D$26)*(C5572&lt;='Resultats - informe'!$E$26),0,(C5572&gt;='Resultats - informe'!$D$27)*(C5572&lt;='Resultats - informe'!$E$27),0,(C5572&gt;='Resultats - informe'!$D$28)*(C5572&lt;='Resultats - informe'!$E$28),0,(C5572&gt;='Resultats - informe'!$D$29)*(C5572&lt;='Resultats - informe'!$E$29),0,1,1)</f>
        <v>0</v>
      </c>
      <c r="N5572" s="366">
        <f>+VLOOKUP(D5572,'Resultats - informe'!$Y$18:$AG$42,'Introducció dades consum'!K5572+1,0)</f>
        <v>0</v>
      </c>
      <c r="O5572" s="370" cm="1">
        <f t="array" ref="O5572">+_xlfn.SWITCH(MONTH(C5572),1,1,2,1,3,1,4,2,5,2,6,3,7,3,8,3,9,3,10,2,11,2,12,1,2)</f>
        <v>1</v>
      </c>
      <c r="P5572" s="43"/>
    </row>
    <row r="5573" spans="1:16" ht="18" x14ac:dyDescent="0.35">
      <c r="A5573" s="9"/>
      <c r="C5573" s="393"/>
      <c r="E5573" s="394"/>
      <c r="F5573" s="394">
        <v>0.443</v>
      </c>
      <c r="G5573" s="394"/>
      <c r="H5573" s="8" t="s">
        <v>235</v>
      </c>
      <c r="I5573" s="368">
        <f t="shared" si="259"/>
        <v>0</v>
      </c>
      <c r="J5573" s="365">
        <f t="shared" si="261"/>
        <v>0</v>
      </c>
      <c r="K5573" s="369">
        <f t="shared" si="260"/>
        <v>6</v>
      </c>
      <c r="L5573" s="369">
        <f>+IF((C5573&gt;='Resultats - informe'!$E$16)*(C5573&lt;='Resultats - informe'!$G$16),1,0)</f>
        <v>1</v>
      </c>
      <c r="M5573" s="369" cm="1">
        <f t="array" ref="M5573">+_xlfn.IFS((C5573&gt;='Resultats - informe'!$D$26)*(C5573&lt;='Resultats - informe'!$E$26),0,(C5573&gt;='Resultats - informe'!$D$27)*(C5573&lt;='Resultats - informe'!$E$27),0,(C5573&gt;='Resultats - informe'!$D$28)*(C5573&lt;='Resultats - informe'!$E$28),0,(C5573&gt;='Resultats - informe'!$D$29)*(C5573&lt;='Resultats - informe'!$E$29),0,1,1)</f>
        <v>0</v>
      </c>
      <c r="N5573" s="366">
        <f>+VLOOKUP(D5573,'Resultats - informe'!$Y$18:$AG$42,'Introducció dades consum'!K5573+1,0)</f>
        <v>0</v>
      </c>
      <c r="O5573" s="370" cm="1">
        <f t="array" ref="O5573">+_xlfn.SWITCH(MONTH(C5573),1,1,2,1,3,1,4,2,5,2,6,3,7,3,8,3,9,3,10,2,11,2,12,1,2)</f>
        <v>1</v>
      </c>
      <c r="P5573" s="43"/>
    </row>
    <row r="5574" spans="1:16" ht="18" x14ac:dyDescent="0.35">
      <c r="A5574" s="9"/>
      <c r="C5574" s="393"/>
      <c r="E5574" s="394"/>
      <c r="F5574" s="394">
        <v>0.44500000000000001</v>
      </c>
      <c r="G5574" s="394"/>
      <c r="H5574" s="8" t="s">
        <v>235</v>
      </c>
      <c r="I5574" s="368">
        <f t="shared" ref="I5574:I5637" si="262">+E5574+G5574</f>
        <v>0</v>
      </c>
      <c r="J5574" s="365">
        <f t="shared" si="261"/>
        <v>0</v>
      </c>
      <c r="K5574" s="369">
        <f t="shared" ref="K5574:K5637" si="263">+WEEKDAY(C5574,2)</f>
        <v>6</v>
      </c>
      <c r="L5574" s="369">
        <f>+IF((C5574&gt;='Resultats - informe'!$E$16)*(C5574&lt;='Resultats - informe'!$G$16),1,0)</f>
        <v>1</v>
      </c>
      <c r="M5574" s="369" cm="1">
        <f t="array" ref="M5574">+_xlfn.IFS((C5574&gt;='Resultats - informe'!$D$26)*(C5574&lt;='Resultats - informe'!$E$26),0,(C5574&gt;='Resultats - informe'!$D$27)*(C5574&lt;='Resultats - informe'!$E$27),0,(C5574&gt;='Resultats - informe'!$D$28)*(C5574&lt;='Resultats - informe'!$E$28),0,(C5574&gt;='Resultats - informe'!$D$29)*(C5574&lt;='Resultats - informe'!$E$29),0,1,1)</f>
        <v>0</v>
      </c>
      <c r="N5574" s="366">
        <f>+VLOOKUP(D5574,'Resultats - informe'!$Y$18:$AG$42,'Introducció dades consum'!K5574+1,0)</f>
        <v>0</v>
      </c>
      <c r="O5574" s="370" cm="1">
        <f t="array" ref="O5574">+_xlfn.SWITCH(MONTH(C5574),1,1,2,1,3,1,4,2,5,2,6,3,7,3,8,3,9,3,10,2,11,2,12,1,2)</f>
        <v>1</v>
      </c>
      <c r="P5574" s="43"/>
    </row>
    <row r="5575" spans="1:16" ht="18" x14ac:dyDescent="0.35">
      <c r="A5575" s="9"/>
      <c r="C5575" s="393"/>
      <c r="E5575" s="394"/>
      <c r="F5575" s="394">
        <v>0.44900000000000001</v>
      </c>
      <c r="G5575" s="394"/>
      <c r="H5575" s="8" t="s">
        <v>235</v>
      </c>
      <c r="I5575" s="368">
        <f t="shared" si="262"/>
        <v>0</v>
      </c>
      <c r="J5575" s="365">
        <f t="shared" si="261"/>
        <v>0</v>
      </c>
      <c r="K5575" s="369">
        <f t="shared" si="263"/>
        <v>6</v>
      </c>
      <c r="L5575" s="369">
        <f>+IF((C5575&gt;='Resultats - informe'!$E$16)*(C5575&lt;='Resultats - informe'!$G$16),1,0)</f>
        <v>1</v>
      </c>
      <c r="M5575" s="369" cm="1">
        <f t="array" ref="M5575">+_xlfn.IFS((C5575&gt;='Resultats - informe'!$D$26)*(C5575&lt;='Resultats - informe'!$E$26),0,(C5575&gt;='Resultats - informe'!$D$27)*(C5575&lt;='Resultats - informe'!$E$27),0,(C5575&gt;='Resultats - informe'!$D$28)*(C5575&lt;='Resultats - informe'!$E$28),0,(C5575&gt;='Resultats - informe'!$D$29)*(C5575&lt;='Resultats - informe'!$E$29),0,1,1)</f>
        <v>0</v>
      </c>
      <c r="N5575" s="366">
        <f>+VLOOKUP(D5575,'Resultats - informe'!$Y$18:$AG$42,'Introducció dades consum'!K5575+1,0)</f>
        <v>0</v>
      </c>
      <c r="O5575" s="370" cm="1">
        <f t="array" ref="O5575">+_xlfn.SWITCH(MONTH(C5575),1,1,2,1,3,1,4,2,5,2,6,3,7,3,8,3,9,3,10,2,11,2,12,1,2)</f>
        <v>1</v>
      </c>
      <c r="P5575" s="43"/>
    </row>
    <row r="5576" spans="1:16" ht="18" x14ac:dyDescent="0.35">
      <c r="A5576" s="9"/>
      <c r="C5576" s="393"/>
      <c r="E5576" s="394"/>
      <c r="F5576" s="394">
        <v>0.44800000000000001</v>
      </c>
      <c r="G5576" s="394"/>
      <c r="H5576" s="8" t="s">
        <v>235</v>
      </c>
      <c r="I5576" s="368">
        <f t="shared" si="262"/>
        <v>0</v>
      </c>
      <c r="J5576" s="365">
        <f t="shared" si="261"/>
        <v>0</v>
      </c>
      <c r="K5576" s="369">
        <f t="shared" si="263"/>
        <v>6</v>
      </c>
      <c r="L5576" s="369">
        <f>+IF((C5576&gt;='Resultats - informe'!$E$16)*(C5576&lt;='Resultats - informe'!$G$16),1,0)</f>
        <v>1</v>
      </c>
      <c r="M5576" s="369" cm="1">
        <f t="array" ref="M5576">+_xlfn.IFS((C5576&gt;='Resultats - informe'!$D$26)*(C5576&lt;='Resultats - informe'!$E$26),0,(C5576&gt;='Resultats - informe'!$D$27)*(C5576&lt;='Resultats - informe'!$E$27),0,(C5576&gt;='Resultats - informe'!$D$28)*(C5576&lt;='Resultats - informe'!$E$28),0,(C5576&gt;='Resultats - informe'!$D$29)*(C5576&lt;='Resultats - informe'!$E$29),0,1,1)</f>
        <v>0</v>
      </c>
      <c r="N5576" s="366">
        <f>+VLOOKUP(D5576,'Resultats - informe'!$Y$18:$AG$42,'Introducció dades consum'!K5576+1,0)</f>
        <v>0</v>
      </c>
      <c r="O5576" s="370" cm="1">
        <f t="array" ref="O5576">+_xlfn.SWITCH(MONTH(C5576),1,1,2,1,3,1,4,2,5,2,6,3,7,3,8,3,9,3,10,2,11,2,12,1,2)</f>
        <v>1</v>
      </c>
      <c r="P5576" s="43"/>
    </row>
    <row r="5577" spans="1:16" ht="18" x14ac:dyDescent="0.35">
      <c r="A5577" s="9"/>
      <c r="C5577" s="393"/>
      <c r="E5577" s="394"/>
      <c r="F5577" s="394">
        <v>0.44700000000000001</v>
      </c>
      <c r="G5577" s="394"/>
      <c r="H5577" s="8" t="s">
        <v>235</v>
      </c>
      <c r="I5577" s="368">
        <f t="shared" si="262"/>
        <v>0</v>
      </c>
      <c r="J5577" s="365">
        <f t="shared" si="261"/>
        <v>0</v>
      </c>
      <c r="K5577" s="369">
        <f t="shared" si="263"/>
        <v>6</v>
      </c>
      <c r="L5577" s="369">
        <f>+IF((C5577&gt;='Resultats - informe'!$E$16)*(C5577&lt;='Resultats - informe'!$G$16),1,0)</f>
        <v>1</v>
      </c>
      <c r="M5577" s="369" cm="1">
        <f t="array" ref="M5577">+_xlfn.IFS((C5577&gt;='Resultats - informe'!$D$26)*(C5577&lt;='Resultats - informe'!$E$26),0,(C5577&gt;='Resultats - informe'!$D$27)*(C5577&lt;='Resultats - informe'!$E$27),0,(C5577&gt;='Resultats - informe'!$D$28)*(C5577&lt;='Resultats - informe'!$E$28),0,(C5577&gt;='Resultats - informe'!$D$29)*(C5577&lt;='Resultats - informe'!$E$29),0,1,1)</f>
        <v>0</v>
      </c>
      <c r="N5577" s="366">
        <f>+VLOOKUP(D5577,'Resultats - informe'!$Y$18:$AG$42,'Introducció dades consum'!K5577+1,0)</f>
        <v>0</v>
      </c>
      <c r="O5577" s="370" cm="1">
        <f t="array" ref="O5577">+_xlfn.SWITCH(MONTH(C5577),1,1,2,1,3,1,4,2,5,2,6,3,7,3,8,3,9,3,10,2,11,2,12,1,2)</f>
        <v>1</v>
      </c>
      <c r="P5577" s="43"/>
    </row>
    <row r="5578" spans="1:16" ht="18" x14ac:dyDescent="0.35">
      <c r="A5578" s="9"/>
      <c r="C5578" s="393"/>
      <c r="E5578" s="394"/>
      <c r="F5578" s="394">
        <v>0.45200000000000001</v>
      </c>
      <c r="G5578" s="394"/>
      <c r="H5578" s="8" t="s">
        <v>235</v>
      </c>
      <c r="I5578" s="368">
        <f t="shared" si="262"/>
        <v>0</v>
      </c>
      <c r="J5578" s="365">
        <f t="shared" si="261"/>
        <v>0</v>
      </c>
      <c r="K5578" s="369">
        <f t="shared" si="263"/>
        <v>6</v>
      </c>
      <c r="L5578" s="369">
        <f>+IF((C5578&gt;='Resultats - informe'!$E$16)*(C5578&lt;='Resultats - informe'!$G$16),1,0)</f>
        <v>1</v>
      </c>
      <c r="M5578" s="369" cm="1">
        <f t="array" ref="M5578">+_xlfn.IFS((C5578&gt;='Resultats - informe'!$D$26)*(C5578&lt;='Resultats - informe'!$E$26),0,(C5578&gt;='Resultats - informe'!$D$27)*(C5578&lt;='Resultats - informe'!$E$27),0,(C5578&gt;='Resultats - informe'!$D$28)*(C5578&lt;='Resultats - informe'!$E$28),0,(C5578&gt;='Resultats - informe'!$D$29)*(C5578&lt;='Resultats - informe'!$E$29),0,1,1)</f>
        <v>0</v>
      </c>
      <c r="N5578" s="366">
        <f>+VLOOKUP(D5578,'Resultats - informe'!$Y$18:$AG$42,'Introducció dades consum'!K5578+1,0)</f>
        <v>0</v>
      </c>
      <c r="O5578" s="370" cm="1">
        <f t="array" ref="O5578">+_xlfn.SWITCH(MONTH(C5578),1,1,2,1,3,1,4,2,5,2,6,3,7,3,8,3,9,3,10,2,11,2,12,1,2)</f>
        <v>1</v>
      </c>
      <c r="P5578" s="43"/>
    </row>
    <row r="5579" spans="1:16" ht="18" x14ac:dyDescent="0.35">
      <c r="A5579" s="9"/>
      <c r="C5579" s="393"/>
      <c r="E5579" s="394"/>
      <c r="F5579" s="394">
        <v>0.35699999999999998</v>
      </c>
      <c r="G5579" s="394"/>
      <c r="H5579" s="8" t="s">
        <v>235</v>
      </c>
      <c r="I5579" s="368">
        <f t="shared" si="262"/>
        <v>0</v>
      </c>
      <c r="J5579" s="365">
        <f t="shared" si="261"/>
        <v>0</v>
      </c>
      <c r="K5579" s="369">
        <f t="shared" si="263"/>
        <v>6</v>
      </c>
      <c r="L5579" s="369">
        <f>+IF((C5579&gt;='Resultats - informe'!$E$16)*(C5579&lt;='Resultats - informe'!$G$16),1,0)</f>
        <v>1</v>
      </c>
      <c r="M5579" s="369" cm="1">
        <f t="array" ref="M5579">+_xlfn.IFS((C5579&gt;='Resultats - informe'!$D$26)*(C5579&lt;='Resultats - informe'!$E$26),0,(C5579&gt;='Resultats - informe'!$D$27)*(C5579&lt;='Resultats - informe'!$E$27),0,(C5579&gt;='Resultats - informe'!$D$28)*(C5579&lt;='Resultats - informe'!$E$28),0,(C5579&gt;='Resultats - informe'!$D$29)*(C5579&lt;='Resultats - informe'!$E$29),0,1,1)</f>
        <v>0</v>
      </c>
      <c r="N5579" s="366">
        <f>+VLOOKUP(D5579,'Resultats - informe'!$Y$18:$AG$42,'Introducció dades consum'!K5579+1,0)</f>
        <v>0</v>
      </c>
      <c r="O5579" s="370" cm="1">
        <f t="array" ref="O5579">+_xlfn.SWITCH(MONTH(C5579),1,1,2,1,3,1,4,2,5,2,6,3,7,3,8,3,9,3,10,2,11,2,12,1,2)</f>
        <v>1</v>
      </c>
      <c r="P5579" s="43"/>
    </row>
    <row r="5580" spans="1:16" ht="18" x14ac:dyDescent="0.35">
      <c r="A5580" s="9"/>
      <c r="C5580" s="393"/>
      <c r="E5580" s="394"/>
      <c r="F5580" s="394">
        <v>0.94399999999999995</v>
      </c>
      <c r="G5580" s="394"/>
      <c r="H5580" s="8" t="s">
        <v>235</v>
      </c>
      <c r="I5580" s="368">
        <f t="shared" si="262"/>
        <v>0</v>
      </c>
      <c r="J5580" s="365">
        <f t="shared" si="261"/>
        <v>0</v>
      </c>
      <c r="K5580" s="369">
        <f t="shared" si="263"/>
        <v>6</v>
      </c>
      <c r="L5580" s="369">
        <f>+IF((C5580&gt;='Resultats - informe'!$E$16)*(C5580&lt;='Resultats - informe'!$G$16),1,0)</f>
        <v>1</v>
      </c>
      <c r="M5580" s="369" cm="1">
        <f t="array" ref="M5580">+_xlfn.IFS((C5580&gt;='Resultats - informe'!$D$26)*(C5580&lt;='Resultats - informe'!$E$26),0,(C5580&gt;='Resultats - informe'!$D$27)*(C5580&lt;='Resultats - informe'!$E$27),0,(C5580&gt;='Resultats - informe'!$D$28)*(C5580&lt;='Resultats - informe'!$E$28),0,(C5580&gt;='Resultats - informe'!$D$29)*(C5580&lt;='Resultats - informe'!$E$29),0,1,1)</f>
        <v>0</v>
      </c>
      <c r="N5580" s="366">
        <f>+VLOOKUP(D5580,'Resultats - informe'!$Y$18:$AG$42,'Introducció dades consum'!K5580+1,0)</f>
        <v>0</v>
      </c>
      <c r="O5580" s="370" cm="1">
        <f t="array" ref="O5580">+_xlfn.SWITCH(MONTH(C5580),1,1,2,1,3,1,4,2,5,2,6,3,7,3,8,3,9,3,10,2,11,2,12,1,2)</f>
        <v>1</v>
      </c>
      <c r="P5580" s="43"/>
    </row>
    <row r="5581" spans="1:16" ht="18" x14ac:dyDescent="0.35">
      <c r="A5581" s="9"/>
      <c r="C5581" s="393"/>
      <c r="E5581" s="394"/>
      <c r="F5581" s="394">
        <v>0.98199999999999998</v>
      </c>
      <c r="G5581" s="394"/>
      <c r="H5581" s="8" t="s">
        <v>235</v>
      </c>
      <c r="I5581" s="368">
        <f t="shared" si="262"/>
        <v>0</v>
      </c>
      <c r="J5581" s="365">
        <f t="shared" si="261"/>
        <v>0</v>
      </c>
      <c r="K5581" s="369">
        <f t="shared" si="263"/>
        <v>6</v>
      </c>
      <c r="L5581" s="369">
        <f>+IF((C5581&gt;='Resultats - informe'!$E$16)*(C5581&lt;='Resultats - informe'!$G$16),1,0)</f>
        <v>1</v>
      </c>
      <c r="M5581" s="369" cm="1">
        <f t="array" ref="M5581">+_xlfn.IFS((C5581&gt;='Resultats - informe'!$D$26)*(C5581&lt;='Resultats - informe'!$E$26),0,(C5581&gt;='Resultats - informe'!$D$27)*(C5581&lt;='Resultats - informe'!$E$27),0,(C5581&gt;='Resultats - informe'!$D$28)*(C5581&lt;='Resultats - informe'!$E$28),0,(C5581&gt;='Resultats - informe'!$D$29)*(C5581&lt;='Resultats - informe'!$E$29),0,1,1)</f>
        <v>0</v>
      </c>
      <c r="N5581" s="366">
        <f>+VLOOKUP(D5581,'Resultats - informe'!$Y$18:$AG$42,'Introducció dades consum'!K5581+1,0)</f>
        <v>0</v>
      </c>
      <c r="O5581" s="370" cm="1">
        <f t="array" ref="O5581">+_xlfn.SWITCH(MONTH(C5581),1,1,2,1,3,1,4,2,5,2,6,3,7,3,8,3,9,3,10,2,11,2,12,1,2)</f>
        <v>1</v>
      </c>
      <c r="P5581" s="43"/>
    </row>
    <row r="5582" spans="1:16" ht="18" x14ac:dyDescent="0.35">
      <c r="A5582" s="9"/>
      <c r="C5582" s="393"/>
      <c r="E5582" s="394"/>
      <c r="F5582" s="394">
        <v>1.7729999999999999</v>
      </c>
      <c r="G5582" s="394"/>
      <c r="H5582" s="8" t="s">
        <v>235</v>
      </c>
      <c r="I5582" s="368">
        <f t="shared" si="262"/>
        <v>0</v>
      </c>
      <c r="J5582" s="365">
        <f t="shared" si="261"/>
        <v>0</v>
      </c>
      <c r="K5582" s="369">
        <f t="shared" si="263"/>
        <v>6</v>
      </c>
      <c r="L5582" s="369">
        <f>+IF((C5582&gt;='Resultats - informe'!$E$16)*(C5582&lt;='Resultats - informe'!$G$16),1,0)</f>
        <v>1</v>
      </c>
      <c r="M5582" s="369" cm="1">
        <f t="array" ref="M5582">+_xlfn.IFS((C5582&gt;='Resultats - informe'!$D$26)*(C5582&lt;='Resultats - informe'!$E$26),0,(C5582&gt;='Resultats - informe'!$D$27)*(C5582&lt;='Resultats - informe'!$E$27),0,(C5582&gt;='Resultats - informe'!$D$28)*(C5582&lt;='Resultats - informe'!$E$28),0,(C5582&gt;='Resultats - informe'!$D$29)*(C5582&lt;='Resultats - informe'!$E$29),0,1,1)</f>
        <v>0</v>
      </c>
      <c r="N5582" s="366">
        <f>+VLOOKUP(D5582,'Resultats - informe'!$Y$18:$AG$42,'Introducció dades consum'!K5582+1,0)</f>
        <v>0</v>
      </c>
      <c r="O5582" s="370" cm="1">
        <f t="array" ref="O5582">+_xlfn.SWITCH(MONTH(C5582),1,1,2,1,3,1,4,2,5,2,6,3,7,3,8,3,9,3,10,2,11,2,12,1,2)</f>
        <v>1</v>
      </c>
      <c r="P5582" s="43"/>
    </row>
    <row r="5583" spans="1:16" ht="18" x14ac:dyDescent="0.35">
      <c r="A5583" s="9"/>
      <c r="C5583" s="393"/>
      <c r="E5583" s="394"/>
      <c r="F5583" s="394">
        <v>1.5429999999999999</v>
      </c>
      <c r="G5583" s="394"/>
      <c r="H5583" s="8" t="s">
        <v>235</v>
      </c>
      <c r="I5583" s="368">
        <f t="shared" si="262"/>
        <v>0</v>
      </c>
      <c r="J5583" s="365">
        <f t="shared" si="261"/>
        <v>0</v>
      </c>
      <c r="K5583" s="369">
        <f t="shared" si="263"/>
        <v>6</v>
      </c>
      <c r="L5583" s="369">
        <f>+IF((C5583&gt;='Resultats - informe'!$E$16)*(C5583&lt;='Resultats - informe'!$G$16),1,0)</f>
        <v>1</v>
      </c>
      <c r="M5583" s="369" cm="1">
        <f t="array" ref="M5583">+_xlfn.IFS((C5583&gt;='Resultats - informe'!$D$26)*(C5583&lt;='Resultats - informe'!$E$26),0,(C5583&gt;='Resultats - informe'!$D$27)*(C5583&lt;='Resultats - informe'!$E$27),0,(C5583&gt;='Resultats - informe'!$D$28)*(C5583&lt;='Resultats - informe'!$E$28),0,(C5583&gt;='Resultats - informe'!$D$29)*(C5583&lt;='Resultats - informe'!$E$29),0,1,1)</f>
        <v>0</v>
      </c>
      <c r="N5583" s="366">
        <f>+VLOOKUP(D5583,'Resultats - informe'!$Y$18:$AG$42,'Introducció dades consum'!K5583+1,0)</f>
        <v>0</v>
      </c>
      <c r="O5583" s="370" cm="1">
        <f t="array" ref="O5583">+_xlfn.SWITCH(MONTH(C5583),1,1,2,1,3,1,4,2,5,2,6,3,7,3,8,3,9,3,10,2,11,2,12,1,2)</f>
        <v>1</v>
      </c>
      <c r="P5583" s="43"/>
    </row>
    <row r="5584" spans="1:16" ht="18" x14ac:dyDescent="0.35">
      <c r="A5584" s="9"/>
      <c r="C5584" s="393"/>
      <c r="E5584" s="394"/>
      <c r="F5584" s="394">
        <v>1.853</v>
      </c>
      <c r="G5584" s="394"/>
      <c r="H5584" s="8" t="s">
        <v>235</v>
      </c>
      <c r="I5584" s="368">
        <f t="shared" si="262"/>
        <v>0</v>
      </c>
      <c r="J5584" s="365">
        <f t="shared" si="261"/>
        <v>0</v>
      </c>
      <c r="K5584" s="369">
        <f t="shared" si="263"/>
        <v>6</v>
      </c>
      <c r="L5584" s="369">
        <f>+IF((C5584&gt;='Resultats - informe'!$E$16)*(C5584&lt;='Resultats - informe'!$G$16),1,0)</f>
        <v>1</v>
      </c>
      <c r="M5584" s="369" cm="1">
        <f t="array" ref="M5584">+_xlfn.IFS((C5584&gt;='Resultats - informe'!$D$26)*(C5584&lt;='Resultats - informe'!$E$26),0,(C5584&gt;='Resultats - informe'!$D$27)*(C5584&lt;='Resultats - informe'!$E$27),0,(C5584&gt;='Resultats - informe'!$D$28)*(C5584&lt;='Resultats - informe'!$E$28),0,(C5584&gt;='Resultats - informe'!$D$29)*(C5584&lt;='Resultats - informe'!$E$29),0,1,1)</f>
        <v>0</v>
      </c>
      <c r="N5584" s="366">
        <f>+VLOOKUP(D5584,'Resultats - informe'!$Y$18:$AG$42,'Introducció dades consum'!K5584+1,0)</f>
        <v>0</v>
      </c>
      <c r="O5584" s="370" cm="1">
        <f t="array" ref="O5584">+_xlfn.SWITCH(MONTH(C5584),1,1,2,1,3,1,4,2,5,2,6,3,7,3,8,3,9,3,10,2,11,2,12,1,2)</f>
        <v>1</v>
      </c>
      <c r="P5584" s="43"/>
    </row>
    <row r="5585" spans="1:16" ht="18" x14ac:dyDescent="0.35">
      <c r="A5585" s="9"/>
      <c r="C5585" s="393"/>
      <c r="E5585" s="394"/>
      <c r="F5585" s="394">
        <v>1.7709999999999999</v>
      </c>
      <c r="G5585" s="394"/>
      <c r="H5585" s="8" t="s">
        <v>235</v>
      </c>
      <c r="I5585" s="368">
        <f t="shared" si="262"/>
        <v>0</v>
      </c>
      <c r="J5585" s="365">
        <f t="shared" si="261"/>
        <v>0</v>
      </c>
      <c r="K5585" s="369">
        <f t="shared" si="263"/>
        <v>6</v>
      </c>
      <c r="L5585" s="369">
        <f>+IF((C5585&gt;='Resultats - informe'!$E$16)*(C5585&lt;='Resultats - informe'!$G$16),1,0)</f>
        <v>1</v>
      </c>
      <c r="M5585" s="369" cm="1">
        <f t="array" ref="M5585">+_xlfn.IFS((C5585&gt;='Resultats - informe'!$D$26)*(C5585&lt;='Resultats - informe'!$E$26),0,(C5585&gt;='Resultats - informe'!$D$27)*(C5585&lt;='Resultats - informe'!$E$27),0,(C5585&gt;='Resultats - informe'!$D$28)*(C5585&lt;='Resultats - informe'!$E$28),0,(C5585&gt;='Resultats - informe'!$D$29)*(C5585&lt;='Resultats - informe'!$E$29),0,1,1)</f>
        <v>0</v>
      </c>
      <c r="N5585" s="366">
        <f>+VLOOKUP(D5585,'Resultats - informe'!$Y$18:$AG$42,'Introducció dades consum'!K5585+1,0)</f>
        <v>0</v>
      </c>
      <c r="O5585" s="370" cm="1">
        <f t="array" ref="O5585">+_xlfn.SWITCH(MONTH(C5585),1,1,2,1,3,1,4,2,5,2,6,3,7,3,8,3,9,3,10,2,11,2,12,1,2)</f>
        <v>1</v>
      </c>
      <c r="P5585" s="43"/>
    </row>
    <row r="5586" spans="1:16" ht="18" x14ac:dyDescent="0.35">
      <c r="A5586" s="9"/>
      <c r="C5586" s="393"/>
      <c r="E5586" s="394"/>
      <c r="F5586" s="394">
        <v>1.1040000000000001</v>
      </c>
      <c r="G5586" s="394"/>
      <c r="H5586" s="8" t="s">
        <v>235</v>
      </c>
      <c r="I5586" s="368">
        <f t="shared" si="262"/>
        <v>0</v>
      </c>
      <c r="J5586" s="365">
        <f t="shared" si="261"/>
        <v>0</v>
      </c>
      <c r="K5586" s="369">
        <f t="shared" si="263"/>
        <v>6</v>
      </c>
      <c r="L5586" s="369">
        <f>+IF((C5586&gt;='Resultats - informe'!$E$16)*(C5586&lt;='Resultats - informe'!$G$16),1,0)</f>
        <v>1</v>
      </c>
      <c r="M5586" s="369" cm="1">
        <f t="array" ref="M5586">+_xlfn.IFS((C5586&gt;='Resultats - informe'!$D$26)*(C5586&lt;='Resultats - informe'!$E$26),0,(C5586&gt;='Resultats - informe'!$D$27)*(C5586&lt;='Resultats - informe'!$E$27),0,(C5586&gt;='Resultats - informe'!$D$28)*(C5586&lt;='Resultats - informe'!$E$28),0,(C5586&gt;='Resultats - informe'!$D$29)*(C5586&lt;='Resultats - informe'!$E$29),0,1,1)</f>
        <v>0</v>
      </c>
      <c r="N5586" s="366">
        <f>+VLOOKUP(D5586,'Resultats - informe'!$Y$18:$AG$42,'Introducció dades consum'!K5586+1,0)</f>
        <v>0</v>
      </c>
      <c r="O5586" s="370" cm="1">
        <f t="array" ref="O5586">+_xlfn.SWITCH(MONTH(C5586),1,1,2,1,3,1,4,2,5,2,6,3,7,3,8,3,9,3,10,2,11,2,12,1,2)</f>
        <v>1</v>
      </c>
      <c r="P5586" s="43"/>
    </row>
    <row r="5587" spans="1:16" ht="18" x14ac:dyDescent="0.35">
      <c r="A5587" s="9"/>
      <c r="C5587" s="393"/>
      <c r="E5587" s="394"/>
      <c r="F5587" s="394">
        <v>1.5760000000000001</v>
      </c>
      <c r="G5587" s="394"/>
      <c r="H5587" s="8" t="s">
        <v>235</v>
      </c>
      <c r="I5587" s="368">
        <f t="shared" si="262"/>
        <v>0</v>
      </c>
      <c r="J5587" s="365">
        <f t="shared" si="261"/>
        <v>0</v>
      </c>
      <c r="K5587" s="369">
        <f t="shared" si="263"/>
        <v>6</v>
      </c>
      <c r="L5587" s="369">
        <f>+IF((C5587&gt;='Resultats - informe'!$E$16)*(C5587&lt;='Resultats - informe'!$G$16),1,0)</f>
        <v>1</v>
      </c>
      <c r="M5587" s="369" cm="1">
        <f t="array" ref="M5587">+_xlfn.IFS((C5587&gt;='Resultats - informe'!$D$26)*(C5587&lt;='Resultats - informe'!$E$26),0,(C5587&gt;='Resultats - informe'!$D$27)*(C5587&lt;='Resultats - informe'!$E$27),0,(C5587&gt;='Resultats - informe'!$D$28)*(C5587&lt;='Resultats - informe'!$E$28),0,(C5587&gt;='Resultats - informe'!$D$29)*(C5587&lt;='Resultats - informe'!$E$29),0,1,1)</f>
        <v>0</v>
      </c>
      <c r="N5587" s="366">
        <f>+VLOOKUP(D5587,'Resultats - informe'!$Y$18:$AG$42,'Introducció dades consum'!K5587+1,0)</f>
        <v>0</v>
      </c>
      <c r="O5587" s="370" cm="1">
        <f t="array" ref="O5587">+_xlfn.SWITCH(MONTH(C5587),1,1,2,1,3,1,4,2,5,2,6,3,7,3,8,3,9,3,10,2,11,2,12,1,2)</f>
        <v>1</v>
      </c>
      <c r="P5587" s="43"/>
    </row>
    <row r="5588" spans="1:16" ht="18" x14ac:dyDescent="0.35">
      <c r="A5588" s="9"/>
      <c r="C5588" s="393"/>
      <c r="E5588" s="394"/>
      <c r="F5588" s="394">
        <v>1.841</v>
      </c>
      <c r="G5588" s="394"/>
      <c r="H5588" s="8" t="s">
        <v>235</v>
      </c>
      <c r="I5588" s="368">
        <f t="shared" si="262"/>
        <v>0</v>
      </c>
      <c r="J5588" s="365">
        <f t="shared" si="261"/>
        <v>0</v>
      </c>
      <c r="K5588" s="369">
        <f t="shared" si="263"/>
        <v>6</v>
      </c>
      <c r="L5588" s="369">
        <f>+IF((C5588&gt;='Resultats - informe'!$E$16)*(C5588&lt;='Resultats - informe'!$G$16),1,0)</f>
        <v>1</v>
      </c>
      <c r="M5588" s="369" cm="1">
        <f t="array" ref="M5588">+_xlfn.IFS((C5588&gt;='Resultats - informe'!$D$26)*(C5588&lt;='Resultats - informe'!$E$26),0,(C5588&gt;='Resultats - informe'!$D$27)*(C5588&lt;='Resultats - informe'!$E$27),0,(C5588&gt;='Resultats - informe'!$D$28)*(C5588&lt;='Resultats - informe'!$E$28),0,(C5588&gt;='Resultats - informe'!$D$29)*(C5588&lt;='Resultats - informe'!$E$29),0,1,1)</f>
        <v>0</v>
      </c>
      <c r="N5588" s="366">
        <f>+VLOOKUP(D5588,'Resultats - informe'!$Y$18:$AG$42,'Introducció dades consum'!K5588+1,0)</f>
        <v>0</v>
      </c>
      <c r="O5588" s="370" cm="1">
        <f t="array" ref="O5588">+_xlfn.SWITCH(MONTH(C5588),1,1,2,1,3,1,4,2,5,2,6,3,7,3,8,3,9,3,10,2,11,2,12,1,2)</f>
        <v>1</v>
      </c>
      <c r="P5588" s="43"/>
    </row>
    <row r="5589" spans="1:16" ht="18" x14ac:dyDescent="0.35">
      <c r="A5589" s="9"/>
      <c r="C5589" s="393"/>
      <c r="E5589" s="394"/>
      <c r="F5589" s="394">
        <v>1.835</v>
      </c>
      <c r="G5589" s="394"/>
      <c r="H5589" s="8" t="s">
        <v>235</v>
      </c>
      <c r="I5589" s="368">
        <f t="shared" si="262"/>
        <v>0</v>
      </c>
      <c r="J5589" s="365">
        <f t="shared" si="261"/>
        <v>0</v>
      </c>
      <c r="K5589" s="369">
        <f t="shared" si="263"/>
        <v>6</v>
      </c>
      <c r="L5589" s="369">
        <f>+IF((C5589&gt;='Resultats - informe'!$E$16)*(C5589&lt;='Resultats - informe'!$G$16),1,0)</f>
        <v>1</v>
      </c>
      <c r="M5589" s="369" cm="1">
        <f t="array" ref="M5589">+_xlfn.IFS((C5589&gt;='Resultats - informe'!$D$26)*(C5589&lt;='Resultats - informe'!$E$26),0,(C5589&gt;='Resultats - informe'!$D$27)*(C5589&lt;='Resultats - informe'!$E$27),0,(C5589&gt;='Resultats - informe'!$D$28)*(C5589&lt;='Resultats - informe'!$E$28),0,(C5589&gt;='Resultats - informe'!$D$29)*(C5589&lt;='Resultats - informe'!$E$29),0,1,1)</f>
        <v>0</v>
      </c>
      <c r="N5589" s="366">
        <f>+VLOOKUP(D5589,'Resultats - informe'!$Y$18:$AG$42,'Introducció dades consum'!K5589+1,0)</f>
        <v>0</v>
      </c>
      <c r="O5589" s="370" cm="1">
        <f t="array" ref="O5589">+_xlfn.SWITCH(MONTH(C5589),1,1,2,1,3,1,4,2,5,2,6,3,7,3,8,3,9,3,10,2,11,2,12,1,2)</f>
        <v>1</v>
      </c>
      <c r="P5589" s="43"/>
    </row>
    <row r="5590" spans="1:16" ht="18" x14ac:dyDescent="0.35">
      <c r="A5590" s="9"/>
      <c r="C5590" s="393"/>
      <c r="E5590" s="394"/>
      <c r="F5590" s="394">
        <v>2.5489999999999999</v>
      </c>
      <c r="G5590" s="394"/>
      <c r="H5590" s="8" t="s">
        <v>235</v>
      </c>
      <c r="I5590" s="368">
        <f t="shared" si="262"/>
        <v>0</v>
      </c>
      <c r="J5590" s="365">
        <f t="shared" si="261"/>
        <v>0</v>
      </c>
      <c r="K5590" s="369">
        <f t="shared" si="263"/>
        <v>6</v>
      </c>
      <c r="L5590" s="369">
        <f>+IF((C5590&gt;='Resultats - informe'!$E$16)*(C5590&lt;='Resultats - informe'!$G$16),1,0)</f>
        <v>1</v>
      </c>
      <c r="M5590" s="369" cm="1">
        <f t="array" ref="M5590">+_xlfn.IFS((C5590&gt;='Resultats - informe'!$D$26)*(C5590&lt;='Resultats - informe'!$E$26),0,(C5590&gt;='Resultats - informe'!$D$27)*(C5590&lt;='Resultats - informe'!$E$27),0,(C5590&gt;='Resultats - informe'!$D$28)*(C5590&lt;='Resultats - informe'!$E$28),0,(C5590&gt;='Resultats - informe'!$D$29)*(C5590&lt;='Resultats - informe'!$E$29),0,1,1)</f>
        <v>0</v>
      </c>
      <c r="N5590" s="366">
        <f>+VLOOKUP(D5590,'Resultats - informe'!$Y$18:$AG$42,'Introducció dades consum'!K5590+1,0)</f>
        <v>0</v>
      </c>
      <c r="O5590" s="370" cm="1">
        <f t="array" ref="O5590">+_xlfn.SWITCH(MONTH(C5590),1,1,2,1,3,1,4,2,5,2,6,3,7,3,8,3,9,3,10,2,11,2,12,1,2)</f>
        <v>1</v>
      </c>
      <c r="P5590" s="43"/>
    </row>
    <row r="5591" spans="1:16" ht="18" x14ac:dyDescent="0.35">
      <c r="A5591" s="9"/>
      <c r="C5591" s="393"/>
      <c r="E5591" s="394"/>
      <c r="F5591" s="394">
        <v>2.5790000000000002</v>
      </c>
      <c r="G5591" s="394"/>
      <c r="H5591" s="8" t="s">
        <v>235</v>
      </c>
      <c r="I5591" s="368">
        <f t="shared" si="262"/>
        <v>0</v>
      </c>
      <c r="J5591" s="365">
        <f t="shared" si="261"/>
        <v>0</v>
      </c>
      <c r="K5591" s="369">
        <f t="shared" si="263"/>
        <v>6</v>
      </c>
      <c r="L5591" s="369">
        <f>+IF((C5591&gt;='Resultats - informe'!$E$16)*(C5591&lt;='Resultats - informe'!$G$16),1,0)</f>
        <v>1</v>
      </c>
      <c r="M5591" s="369" cm="1">
        <f t="array" ref="M5591">+_xlfn.IFS((C5591&gt;='Resultats - informe'!$D$26)*(C5591&lt;='Resultats - informe'!$E$26),0,(C5591&gt;='Resultats - informe'!$D$27)*(C5591&lt;='Resultats - informe'!$E$27),0,(C5591&gt;='Resultats - informe'!$D$28)*(C5591&lt;='Resultats - informe'!$E$28),0,(C5591&gt;='Resultats - informe'!$D$29)*(C5591&lt;='Resultats - informe'!$E$29),0,1,1)</f>
        <v>0</v>
      </c>
      <c r="N5591" s="366">
        <f>+VLOOKUP(D5591,'Resultats - informe'!$Y$18:$AG$42,'Introducció dades consum'!K5591+1,0)</f>
        <v>0</v>
      </c>
      <c r="O5591" s="370" cm="1">
        <f t="array" ref="O5591">+_xlfn.SWITCH(MONTH(C5591),1,1,2,1,3,1,4,2,5,2,6,3,7,3,8,3,9,3,10,2,11,2,12,1,2)</f>
        <v>1</v>
      </c>
      <c r="P5591" s="43"/>
    </row>
    <row r="5592" spans="1:16" ht="18" x14ac:dyDescent="0.35">
      <c r="A5592" s="9"/>
      <c r="C5592" s="393"/>
      <c r="E5592" s="394"/>
      <c r="F5592" s="394">
        <v>2.58</v>
      </c>
      <c r="G5592" s="394"/>
      <c r="H5592" s="8" t="s">
        <v>235</v>
      </c>
      <c r="I5592" s="368">
        <f t="shared" si="262"/>
        <v>0</v>
      </c>
      <c r="J5592" s="365">
        <f t="shared" si="261"/>
        <v>0</v>
      </c>
      <c r="K5592" s="369">
        <f t="shared" si="263"/>
        <v>6</v>
      </c>
      <c r="L5592" s="369">
        <f>+IF((C5592&gt;='Resultats - informe'!$E$16)*(C5592&lt;='Resultats - informe'!$G$16),1,0)</f>
        <v>1</v>
      </c>
      <c r="M5592" s="369" cm="1">
        <f t="array" ref="M5592">+_xlfn.IFS((C5592&gt;='Resultats - informe'!$D$26)*(C5592&lt;='Resultats - informe'!$E$26),0,(C5592&gt;='Resultats - informe'!$D$27)*(C5592&lt;='Resultats - informe'!$E$27),0,(C5592&gt;='Resultats - informe'!$D$28)*(C5592&lt;='Resultats - informe'!$E$28),0,(C5592&gt;='Resultats - informe'!$D$29)*(C5592&lt;='Resultats - informe'!$E$29),0,1,1)</f>
        <v>0</v>
      </c>
      <c r="N5592" s="366">
        <f>+VLOOKUP(D5592,'Resultats - informe'!$Y$18:$AG$42,'Introducció dades consum'!K5592+1,0)</f>
        <v>0</v>
      </c>
      <c r="O5592" s="370" cm="1">
        <f t="array" ref="O5592">+_xlfn.SWITCH(MONTH(C5592),1,1,2,1,3,1,4,2,5,2,6,3,7,3,8,3,9,3,10,2,11,2,12,1,2)</f>
        <v>1</v>
      </c>
      <c r="P5592" s="43"/>
    </row>
    <row r="5593" spans="1:16" ht="18" x14ac:dyDescent="0.35">
      <c r="A5593" s="9"/>
      <c r="C5593" s="393"/>
      <c r="E5593" s="394"/>
      <c r="F5593" s="394">
        <v>2.1040000000000001</v>
      </c>
      <c r="G5593" s="394"/>
      <c r="H5593" s="8" t="s">
        <v>235</v>
      </c>
      <c r="I5593" s="368">
        <f t="shared" si="262"/>
        <v>0</v>
      </c>
      <c r="J5593" s="365">
        <f t="shared" si="261"/>
        <v>0</v>
      </c>
      <c r="K5593" s="369">
        <f t="shared" si="263"/>
        <v>6</v>
      </c>
      <c r="L5593" s="369">
        <f>+IF((C5593&gt;='Resultats - informe'!$E$16)*(C5593&lt;='Resultats - informe'!$G$16),1,0)</f>
        <v>1</v>
      </c>
      <c r="M5593" s="369" cm="1">
        <f t="array" ref="M5593">+_xlfn.IFS((C5593&gt;='Resultats - informe'!$D$26)*(C5593&lt;='Resultats - informe'!$E$26),0,(C5593&gt;='Resultats - informe'!$D$27)*(C5593&lt;='Resultats - informe'!$E$27),0,(C5593&gt;='Resultats - informe'!$D$28)*(C5593&lt;='Resultats - informe'!$E$28),0,(C5593&gt;='Resultats - informe'!$D$29)*(C5593&lt;='Resultats - informe'!$E$29),0,1,1)</f>
        <v>0</v>
      </c>
      <c r="N5593" s="366">
        <f>+VLOOKUP(D5593,'Resultats - informe'!$Y$18:$AG$42,'Introducció dades consum'!K5593+1,0)</f>
        <v>0</v>
      </c>
      <c r="O5593" s="370" cm="1">
        <f t="array" ref="O5593">+_xlfn.SWITCH(MONTH(C5593),1,1,2,1,3,1,4,2,5,2,6,3,7,3,8,3,9,3,10,2,11,2,12,1,2)</f>
        <v>1</v>
      </c>
      <c r="P5593" s="43"/>
    </row>
    <row r="5594" spans="1:16" ht="18" x14ac:dyDescent="0.35">
      <c r="A5594" s="9"/>
      <c r="C5594" s="393"/>
      <c r="E5594" s="394"/>
      <c r="F5594" s="394">
        <v>1.3660000000000001</v>
      </c>
      <c r="G5594" s="394"/>
      <c r="H5594" s="8" t="s">
        <v>235</v>
      </c>
      <c r="I5594" s="368">
        <f t="shared" si="262"/>
        <v>0</v>
      </c>
      <c r="J5594" s="365">
        <f t="shared" si="261"/>
        <v>0</v>
      </c>
      <c r="K5594" s="369">
        <f t="shared" si="263"/>
        <v>6</v>
      </c>
      <c r="L5594" s="369">
        <f>+IF((C5594&gt;='Resultats - informe'!$E$16)*(C5594&lt;='Resultats - informe'!$G$16),1,0)</f>
        <v>1</v>
      </c>
      <c r="M5594" s="369" cm="1">
        <f t="array" ref="M5594">+_xlfn.IFS((C5594&gt;='Resultats - informe'!$D$26)*(C5594&lt;='Resultats - informe'!$E$26),0,(C5594&gt;='Resultats - informe'!$D$27)*(C5594&lt;='Resultats - informe'!$E$27),0,(C5594&gt;='Resultats - informe'!$D$28)*(C5594&lt;='Resultats - informe'!$E$28),0,(C5594&gt;='Resultats - informe'!$D$29)*(C5594&lt;='Resultats - informe'!$E$29),0,1,1)</f>
        <v>0</v>
      </c>
      <c r="N5594" s="366">
        <f>+VLOOKUP(D5594,'Resultats - informe'!$Y$18:$AG$42,'Introducció dades consum'!K5594+1,0)</f>
        <v>0</v>
      </c>
      <c r="O5594" s="370" cm="1">
        <f t="array" ref="O5594">+_xlfn.SWITCH(MONTH(C5594),1,1,2,1,3,1,4,2,5,2,6,3,7,3,8,3,9,3,10,2,11,2,12,1,2)</f>
        <v>1</v>
      </c>
      <c r="P5594" s="43"/>
    </row>
    <row r="5595" spans="1:16" ht="18" x14ac:dyDescent="0.35">
      <c r="A5595" s="9"/>
      <c r="C5595" s="393"/>
      <c r="E5595" s="394"/>
      <c r="F5595" s="394">
        <v>1.365</v>
      </c>
      <c r="G5595" s="394"/>
      <c r="H5595" s="8" t="s">
        <v>235</v>
      </c>
      <c r="I5595" s="368">
        <f t="shared" si="262"/>
        <v>0</v>
      </c>
      <c r="J5595" s="365">
        <f t="shared" si="261"/>
        <v>0</v>
      </c>
      <c r="K5595" s="369">
        <f t="shared" si="263"/>
        <v>6</v>
      </c>
      <c r="L5595" s="369">
        <f>+IF((C5595&gt;='Resultats - informe'!$E$16)*(C5595&lt;='Resultats - informe'!$G$16),1,0)</f>
        <v>1</v>
      </c>
      <c r="M5595" s="369" cm="1">
        <f t="array" ref="M5595">+_xlfn.IFS((C5595&gt;='Resultats - informe'!$D$26)*(C5595&lt;='Resultats - informe'!$E$26),0,(C5595&gt;='Resultats - informe'!$D$27)*(C5595&lt;='Resultats - informe'!$E$27),0,(C5595&gt;='Resultats - informe'!$D$28)*(C5595&lt;='Resultats - informe'!$E$28),0,(C5595&gt;='Resultats - informe'!$D$29)*(C5595&lt;='Resultats - informe'!$E$29),0,1,1)</f>
        <v>0</v>
      </c>
      <c r="N5595" s="366">
        <f>+VLOOKUP(D5595,'Resultats - informe'!$Y$18:$AG$42,'Introducció dades consum'!K5595+1,0)</f>
        <v>0</v>
      </c>
      <c r="O5595" s="370" cm="1">
        <f t="array" ref="O5595">+_xlfn.SWITCH(MONTH(C5595),1,1,2,1,3,1,4,2,5,2,6,3,7,3,8,3,9,3,10,2,11,2,12,1,2)</f>
        <v>1</v>
      </c>
      <c r="P5595" s="43"/>
    </row>
    <row r="5596" spans="1:16" ht="18" x14ac:dyDescent="0.35">
      <c r="A5596" s="9"/>
      <c r="C5596" s="393"/>
      <c r="E5596" s="394"/>
      <c r="F5596" s="394">
        <v>7.6999999999999999E-2</v>
      </c>
      <c r="G5596" s="394"/>
      <c r="H5596" s="8" t="s">
        <v>235</v>
      </c>
      <c r="I5596" s="368">
        <f t="shared" si="262"/>
        <v>0</v>
      </c>
      <c r="J5596" s="365">
        <f t="shared" si="261"/>
        <v>0</v>
      </c>
      <c r="K5596" s="369">
        <f t="shared" si="263"/>
        <v>6</v>
      </c>
      <c r="L5596" s="369">
        <f>+IF((C5596&gt;='Resultats - informe'!$E$16)*(C5596&lt;='Resultats - informe'!$G$16),1,0)</f>
        <v>1</v>
      </c>
      <c r="M5596" s="369" cm="1">
        <f t="array" ref="M5596">+_xlfn.IFS((C5596&gt;='Resultats - informe'!$D$26)*(C5596&lt;='Resultats - informe'!$E$26),0,(C5596&gt;='Resultats - informe'!$D$27)*(C5596&lt;='Resultats - informe'!$E$27),0,(C5596&gt;='Resultats - informe'!$D$28)*(C5596&lt;='Resultats - informe'!$E$28),0,(C5596&gt;='Resultats - informe'!$D$29)*(C5596&lt;='Resultats - informe'!$E$29),0,1,1)</f>
        <v>0</v>
      </c>
      <c r="N5596" s="366">
        <f>+VLOOKUP(D5596,'Resultats - informe'!$Y$18:$AG$42,'Introducció dades consum'!K5596+1,0)</f>
        <v>0</v>
      </c>
      <c r="O5596" s="370" cm="1">
        <f t="array" ref="O5596">+_xlfn.SWITCH(MONTH(C5596),1,1,2,1,3,1,4,2,5,2,6,3,7,3,8,3,9,3,10,2,11,2,12,1,2)</f>
        <v>1</v>
      </c>
      <c r="P5596" s="43"/>
    </row>
    <row r="5597" spans="1:16" ht="18" x14ac:dyDescent="0.35">
      <c r="A5597" s="9"/>
      <c r="C5597" s="393"/>
      <c r="E5597" s="394"/>
      <c r="F5597" s="394">
        <v>0.44900000000000001</v>
      </c>
      <c r="G5597" s="394"/>
      <c r="H5597" s="8" t="s">
        <v>235</v>
      </c>
      <c r="I5597" s="368">
        <f t="shared" si="262"/>
        <v>0</v>
      </c>
      <c r="J5597" s="365">
        <f t="shared" si="261"/>
        <v>0</v>
      </c>
      <c r="K5597" s="369">
        <f t="shared" si="263"/>
        <v>6</v>
      </c>
      <c r="L5597" s="369">
        <f>+IF((C5597&gt;='Resultats - informe'!$E$16)*(C5597&lt;='Resultats - informe'!$G$16),1,0)</f>
        <v>1</v>
      </c>
      <c r="M5597" s="369" cm="1">
        <f t="array" ref="M5597">+_xlfn.IFS((C5597&gt;='Resultats - informe'!$D$26)*(C5597&lt;='Resultats - informe'!$E$26),0,(C5597&gt;='Resultats - informe'!$D$27)*(C5597&lt;='Resultats - informe'!$E$27),0,(C5597&gt;='Resultats - informe'!$D$28)*(C5597&lt;='Resultats - informe'!$E$28),0,(C5597&gt;='Resultats - informe'!$D$29)*(C5597&lt;='Resultats - informe'!$E$29),0,1,1)</f>
        <v>0</v>
      </c>
      <c r="N5597" s="366">
        <f>+VLOOKUP(D5597,'Resultats - informe'!$Y$18:$AG$42,'Introducció dades consum'!K5597+1,0)</f>
        <v>0</v>
      </c>
      <c r="O5597" s="370" cm="1">
        <f t="array" ref="O5597">+_xlfn.SWITCH(MONTH(C5597),1,1,2,1,3,1,4,2,5,2,6,3,7,3,8,3,9,3,10,2,11,2,12,1,2)</f>
        <v>1</v>
      </c>
      <c r="P5597" s="43"/>
    </row>
    <row r="5598" spans="1:16" ht="18" x14ac:dyDescent="0.35">
      <c r="A5598" s="9"/>
      <c r="C5598" s="393"/>
      <c r="E5598" s="394"/>
      <c r="F5598" s="394">
        <v>0.44900000000000001</v>
      </c>
      <c r="G5598" s="394"/>
      <c r="H5598" s="8" t="s">
        <v>235</v>
      </c>
      <c r="I5598" s="368">
        <f t="shared" si="262"/>
        <v>0</v>
      </c>
      <c r="J5598" s="365">
        <f t="shared" si="261"/>
        <v>0</v>
      </c>
      <c r="K5598" s="369">
        <f t="shared" si="263"/>
        <v>6</v>
      </c>
      <c r="L5598" s="369">
        <f>+IF((C5598&gt;='Resultats - informe'!$E$16)*(C5598&lt;='Resultats - informe'!$G$16),1,0)</f>
        <v>1</v>
      </c>
      <c r="M5598" s="369" cm="1">
        <f t="array" ref="M5598">+_xlfn.IFS((C5598&gt;='Resultats - informe'!$D$26)*(C5598&lt;='Resultats - informe'!$E$26),0,(C5598&gt;='Resultats - informe'!$D$27)*(C5598&lt;='Resultats - informe'!$E$27),0,(C5598&gt;='Resultats - informe'!$D$28)*(C5598&lt;='Resultats - informe'!$E$28),0,(C5598&gt;='Resultats - informe'!$D$29)*(C5598&lt;='Resultats - informe'!$E$29),0,1,1)</f>
        <v>0</v>
      </c>
      <c r="N5598" s="366">
        <f>+VLOOKUP(D5598,'Resultats - informe'!$Y$18:$AG$42,'Introducció dades consum'!K5598+1,0)</f>
        <v>0</v>
      </c>
      <c r="O5598" s="370" cm="1">
        <f t="array" ref="O5598">+_xlfn.SWITCH(MONTH(C5598),1,1,2,1,3,1,4,2,5,2,6,3,7,3,8,3,9,3,10,2,11,2,12,1,2)</f>
        <v>1</v>
      </c>
      <c r="P5598" s="43"/>
    </row>
    <row r="5599" spans="1:16" ht="18" x14ac:dyDescent="0.35">
      <c r="A5599" s="9"/>
      <c r="C5599" s="393"/>
      <c r="E5599" s="394"/>
      <c r="F5599" s="394">
        <v>0.44700000000000001</v>
      </c>
      <c r="G5599" s="394"/>
      <c r="H5599" s="8" t="s">
        <v>235</v>
      </c>
      <c r="I5599" s="368">
        <f t="shared" si="262"/>
        <v>0</v>
      </c>
      <c r="J5599" s="365">
        <f t="shared" si="261"/>
        <v>0</v>
      </c>
      <c r="K5599" s="369">
        <f t="shared" si="263"/>
        <v>6</v>
      </c>
      <c r="L5599" s="369">
        <f>+IF((C5599&gt;='Resultats - informe'!$E$16)*(C5599&lt;='Resultats - informe'!$G$16),1,0)</f>
        <v>1</v>
      </c>
      <c r="M5599" s="369" cm="1">
        <f t="array" ref="M5599">+_xlfn.IFS((C5599&gt;='Resultats - informe'!$D$26)*(C5599&lt;='Resultats - informe'!$E$26),0,(C5599&gt;='Resultats - informe'!$D$27)*(C5599&lt;='Resultats - informe'!$E$27),0,(C5599&gt;='Resultats - informe'!$D$28)*(C5599&lt;='Resultats - informe'!$E$28),0,(C5599&gt;='Resultats - informe'!$D$29)*(C5599&lt;='Resultats - informe'!$E$29),0,1,1)</f>
        <v>0</v>
      </c>
      <c r="N5599" s="366">
        <f>+VLOOKUP(D5599,'Resultats - informe'!$Y$18:$AG$42,'Introducció dades consum'!K5599+1,0)</f>
        <v>0</v>
      </c>
      <c r="O5599" s="370" cm="1">
        <f t="array" ref="O5599">+_xlfn.SWITCH(MONTH(C5599),1,1,2,1,3,1,4,2,5,2,6,3,7,3,8,3,9,3,10,2,11,2,12,1,2)</f>
        <v>1</v>
      </c>
      <c r="P5599" s="43"/>
    </row>
    <row r="5600" spans="1:16" ht="18" x14ac:dyDescent="0.35">
      <c r="A5600" s="9"/>
      <c r="C5600" s="393"/>
      <c r="E5600" s="394"/>
      <c r="F5600" s="394">
        <v>0.45100000000000001</v>
      </c>
      <c r="G5600" s="394"/>
      <c r="H5600" s="8" t="s">
        <v>235</v>
      </c>
      <c r="I5600" s="368">
        <f t="shared" si="262"/>
        <v>0</v>
      </c>
      <c r="J5600" s="365">
        <f t="shared" si="261"/>
        <v>0</v>
      </c>
      <c r="K5600" s="369">
        <f t="shared" si="263"/>
        <v>6</v>
      </c>
      <c r="L5600" s="369">
        <f>+IF((C5600&gt;='Resultats - informe'!$E$16)*(C5600&lt;='Resultats - informe'!$G$16),1,0)</f>
        <v>1</v>
      </c>
      <c r="M5600" s="369" cm="1">
        <f t="array" ref="M5600">+_xlfn.IFS((C5600&gt;='Resultats - informe'!$D$26)*(C5600&lt;='Resultats - informe'!$E$26),0,(C5600&gt;='Resultats - informe'!$D$27)*(C5600&lt;='Resultats - informe'!$E$27),0,(C5600&gt;='Resultats - informe'!$D$28)*(C5600&lt;='Resultats - informe'!$E$28),0,(C5600&gt;='Resultats - informe'!$D$29)*(C5600&lt;='Resultats - informe'!$E$29),0,1,1)</f>
        <v>0</v>
      </c>
      <c r="N5600" s="366">
        <f>+VLOOKUP(D5600,'Resultats - informe'!$Y$18:$AG$42,'Introducció dades consum'!K5600+1,0)</f>
        <v>0</v>
      </c>
      <c r="O5600" s="370" cm="1">
        <f t="array" ref="O5600">+_xlfn.SWITCH(MONTH(C5600),1,1,2,1,3,1,4,2,5,2,6,3,7,3,8,3,9,3,10,2,11,2,12,1,2)</f>
        <v>1</v>
      </c>
      <c r="P5600" s="43"/>
    </row>
    <row r="5601" spans="1:16" ht="18" x14ac:dyDescent="0.35">
      <c r="A5601" s="9"/>
      <c r="C5601" s="393"/>
      <c r="E5601" s="394"/>
      <c r="F5601" s="394">
        <v>0.45200000000000001</v>
      </c>
      <c r="G5601" s="394"/>
      <c r="H5601" s="8" t="s">
        <v>235</v>
      </c>
      <c r="I5601" s="368">
        <f t="shared" si="262"/>
        <v>0</v>
      </c>
      <c r="J5601" s="365">
        <f t="shared" si="261"/>
        <v>0</v>
      </c>
      <c r="K5601" s="369">
        <f t="shared" si="263"/>
        <v>6</v>
      </c>
      <c r="L5601" s="369">
        <f>+IF((C5601&gt;='Resultats - informe'!$E$16)*(C5601&lt;='Resultats - informe'!$G$16),1,0)</f>
        <v>1</v>
      </c>
      <c r="M5601" s="369" cm="1">
        <f t="array" ref="M5601">+_xlfn.IFS((C5601&gt;='Resultats - informe'!$D$26)*(C5601&lt;='Resultats - informe'!$E$26),0,(C5601&gt;='Resultats - informe'!$D$27)*(C5601&lt;='Resultats - informe'!$E$27),0,(C5601&gt;='Resultats - informe'!$D$28)*(C5601&lt;='Resultats - informe'!$E$28),0,(C5601&gt;='Resultats - informe'!$D$29)*(C5601&lt;='Resultats - informe'!$E$29),0,1,1)</f>
        <v>0</v>
      </c>
      <c r="N5601" s="366">
        <f>+VLOOKUP(D5601,'Resultats - informe'!$Y$18:$AG$42,'Introducció dades consum'!K5601+1,0)</f>
        <v>0</v>
      </c>
      <c r="O5601" s="370" cm="1">
        <f t="array" ref="O5601">+_xlfn.SWITCH(MONTH(C5601),1,1,2,1,3,1,4,2,5,2,6,3,7,3,8,3,9,3,10,2,11,2,12,1,2)</f>
        <v>1</v>
      </c>
      <c r="P5601" s="43"/>
    </row>
    <row r="5602" spans="1:16" ht="18" x14ac:dyDescent="0.35">
      <c r="A5602" s="9"/>
      <c r="C5602" s="393"/>
      <c r="E5602" s="394"/>
      <c r="F5602" s="394">
        <v>0.45600000000000002</v>
      </c>
      <c r="G5602" s="394"/>
      <c r="H5602" s="8" t="s">
        <v>235</v>
      </c>
      <c r="I5602" s="368">
        <f t="shared" si="262"/>
        <v>0</v>
      </c>
      <c r="J5602" s="365">
        <f t="shared" si="261"/>
        <v>0</v>
      </c>
      <c r="K5602" s="369">
        <f t="shared" si="263"/>
        <v>6</v>
      </c>
      <c r="L5602" s="369">
        <f>+IF((C5602&gt;='Resultats - informe'!$E$16)*(C5602&lt;='Resultats - informe'!$G$16),1,0)</f>
        <v>1</v>
      </c>
      <c r="M5602" s="369" cm="1">
        <f t="array" ref="M5602">+_xlfn.IFS((C5602&gt;='Resultats - informe'!$D$26)*(C5602&lt;='Resultats - informe'!$E$26),0,(C5602&gt;='Resultats - informe'!$D$27)*(C5602&lt;='Resultats - informe'!$E$27),0,(C5602&gt;='Resultats - informe'!$D$28)*(C5602&lt;='Resultats - informe'!$E$28),0,(C5602&gt;='Resultats - informe'!$D$29)*(C5602&lt;='Resultats - informe'!$E$29),0,1,1)</f>
        <v>0</v>
      </c>
      <c r="N5602" s="366">
        <f>+VLOOKUP(D5602,'Resultats - informe'!$Y$18:$AG$42,'Introducció dades consum'!K5602+1,0)</f>
        <v>0</v>
      </c>
      <c r="O5602" s="370" cm="1">
        <f t="array" ref="O5602">+_xlfn.SWITCH(MONTH(C5602),1,1,2,1,3,1,4,2,5,2,6,3,7,3,8,3,9,3,10,2,11,2,12,1,2)</f>
        <v>1</v>
      </c>
      <c r="P5602" s="43"/>
    </row>
    <row r="5603" spans="1:16" ht="18" x14ac:dyDescent="0.35">
      <c r="A5603" s="9"/>
      <c r="C5603" s="393"/>
      <c r="E5603" s="394"/>
      <c r="F5603" s="394">
        <v>0.45300000000000001</v>
      </c>
      <c r="G5603" s="394"/>
      <c r="H5603" s="8" t="s">
        <v>235</v>
      </c>
      <c r="I5603" s="368">
        <f t="shared" si="262"/>
        <v>0</v>
      </c>
      <c r="J5603" s="365">
        <f t="shared" si="261"/>
        <v>0</v>
      </c>
      <c r="K5603" s="369">
        <f t="shared" si="263"/>
        <v>6</v>
      </c>
      <c r="L5603" s="369">
        <f>+IF((C5603&gt;='Resultats - informe'!$E$16)*(C5603&lt;='Resultats - informe'!$G$16),1,0)</f>
        <v>1</v>
      </c>
      <c r="M5603" s="369" cm="1">
        <f t="array" ref="M5603">+_xlfn.IFS((C5603&gt;='Resultats - informe'!$D$26)*(C5603&lt;='Resultats - informe'!$E$26),0,(C5603&gt;='Resultats - informe'!$D$27)*(C5603&lt;='Resultats - informe'!$E$27),0,(C5603&gt;='Resultats - informe'!$D$28)*(C5603&lt;='Resultats - informe'!$E$28),0,(C5603&gt;='Resultats - informe'!$D$29)*(C5603&lt;='Resultats - informe'!$E$29),0,1,1)</f>
        <v>0</v>
      </c>
      <c r="N5603" s="366">
        <f>+VLOOKUP(D5603,'Resultats - informe'!$Y$18:$AG$42,'Introducció dades consum'!K5603+1,0)</f>
        <v>0</v>
      </c>
      <c r="O5603" s="370" cm="1">
        <f t="array" ref="O5603">+_xlfn.SWITCH(MONTH(C5603),1,1,2,1,3,1,4,2,5,2,6,3,7,3,8,3,9,3,10,2,11,2,12,1,2)</f>
        <v>1</v>
      </c>
      <c r="P5603" s="43"/>
    </row>
    <row r="5604" spans="1:16" ht="18" x14ac:dyDescent="0.35">
      <c r="A5604" s="9"/>
      <c r="C5604" s="393"/>
      <c r="E5604" s="394"/>
      <c r="F5604" s="394">
        <v>0.98299999999999998</v>
      </c>
      <c r="G5604" s="394"/>
      <c r="H5604" s="8" t="s">
        <v>235</v>
      </c>
      <c r="I5604" s="368">
        <f t="shared" si="262"/>
        <v>0</v>
      </c>
      <c r="J5604" s="365">
        <f t="shared" si="261"/>
        <v>0</v>
      </c>
      <c r="K5604" s="369">
        <f t="shared" si="263"/>
        <v>6</v>
      </c>
      <c r="L5604" s="369">
        <f>+IF((C5604&gt;='Resultats - informe'!$E$16)*(C5604&lt;='Resultats - informe'!$G$16),1,0)</f>
        <v>1</v>
      </c>
      <c r="M5604" s="369" cm="1">
        <f t="array" ref="M5604">+_xlfn.IFS((C5604&gt;='Resultats - informe'!$D$26)*(C5604&lt;='Resultats - informe'!$E$26),0,(C5604&gt;='Resultats - informe'!$D$27)*(C5604&lt;='Resultats - informe'!$E$27),0,(C5604&gt;='Resultats - informe'!$D$28)*(C5604&lt;='Resultats - informe'!$E$28),0,(C5604&gt;='Resultats - informe'!$D$29)*(C5604&lt;='Resultats - informe'!$E$29),0,1,1)</f>
        <v>0</v>
      </c>
      <c r="N5604" s="366">
        <f>+VLOOKUP(D5604,'Resultats - informe'!$Y$18:$AG$42,'Introducció dades consum'!K5604+1,0)</f>
        <v>0</v>
      </c>
      <c r="O5604" s="370" cm="1">
        <f t="array" ref="O5604">+_xlfn.SWITCH(MONTH(C5604),1,1,2,1,3,1,4,2,5,2,6,3,7,3,8,3,9,3,10,2,11,2,12,1,2)</f>
        <v>1</v>
      </c>
      <c r="P5604" s="43"/>
    </row>
    <row r="5605" spans="1:16" ht="18" x14ac:dyDescent="0.35">
      <c r="A5605" s="9"/>
      <c r="C5605" s="393"/>
      <c r="E5605" s="394"/>
      <c r="F5605" s="394">
        <v>0.93300000000000005</v>
      </c>
      <c r="G5605" s="394"/>
      <c r="H5605" s="8" t="s">
        <v>235</v>
      </c>
      <c r="I5605" s="368">
        <f t="shared" si="262"/>
        <v>0</v>
      </c>
      <c r="J5605" s="365">
        <f t="shared" si="261"/>
        <v>0</v>
      </c>
      <c r="K5605" s="369">
        <f t="shared" si="263"/>
        <v>6</v>
      </c>
      <c r="L5605" s="369">
        <f>+IF((C5605&gt;='Resultats - informe'!$E$16)*(C5605&lt;='Resultats - informe'!$G$16),1,0)</f>
        <v>1</v>
      </c>
      <c r="M5605" s="369" cm="1">
        <f t="array" ref="M5605">+_xlfn.IFS((C5605&gt;='Resultats - informe'!$D$26)*(C5605&lt;='Resultats - informe'!$E$26),0,(C5605&gt;='Resultats - informe'!$D$27)*(C5605&lt;='Resultats - informe'!$E$27),0,(C5605&gt;='Resultats - informe'!$D$28)*(C5605&lt;='Resultats - informe'!$E$28),0,(C5605&gt;='Resultats - informe'!$D$29)*(C5605&lt;='Resultats - informe'!$E$29),0,1,1)</f>
        <v>0</v>
      </c>
      <c r="N5605" s="366">
        <f>+VLOOKUP(D5605,'Resultats - informe'!$Y$18:$AG$42,'Introducció dades consum'!K5605+1,0)</f>
        <v>0</v>
      </c>
      <c r="O5605" s="370" cm="1">
        <f t="array" ref="O5605">+_xlfn.SWITCH(MONTH(C5605),1,1,2,1,3,1,4,2,5,2,6,3,7,3,8,3,9,3,10,2,11,2,12,1,2)</f>
        <v>1</v>
      </c>
      <c r="P5605" s="43"/>
    </row>
    <row r="5606" spans="1:16" ht="18" x14ac:dyDescent="0.35">
      <c r="A5606" s="9"/>
      <c r="C5606" s="393"/>
      <c r="E5606" s="394"/>
      <c r="F5606" s="394">
        <v>1.738</v>
      </c>
      <c r="G5606" s="394"/>
      <c r="H5606" s="8" t="s">
        <v>235</v>
      </c>
      <c r="I5606" s="368">
        <f t="shared" si="262"/>
        <v>0</v>
      </c>
      <c r="J5606" s="365">
        <f t="shared" si="261"/>
        <v>0</v>
      </c>
      <c r="K5606" s="369">
        <f t="shared" si="263"/>
        <v>6</v>
      </c>
      <c r="L5606" s="369">
        <f>+IF((C5606&gt;='Resultats - informe'!$E$16)*(C5606&lt;='Resultats - informe'!$G$16),1,0)</f>
        <v>1</v>
      </c>
      <c r="M5606" s="369" cm="1">
        <f t="array" ref="M5606">+_xlfn.IFS((C5606&gt;='Resultats - informe'!$D$26)*(C5606&lt;='Resultats - informe'!$E$26),0,(C5606&gt;='Resultats - informe'!$D$27)*(C5606&lt;='Resultats - informe'!$E$27),0,(C5606&gt;='Resultats - informe'!$D$28)*(C5606&lt;='Resultats - informe'!$E$28),0,(C5606&gt;='Resultats - informe'!$D$29)*(C5606&lt;='Resultats - informe'!$E$29),0,1,1)</f>
        <v>0</v>
      </c>
      <c r="N5606" s="366">
        <f>+VLOOKUP(D5606,'Resultats - informe'!$Y$18:$AG$42,'Introducció dades consum'!K5606+1,0)</f>
        <v>0</v>
      </c>
      <c r="O5606" s="370" cm="1">
        <f t="array" ref="O5606">+_xlfn.SWITCH(MONTH(C5606),1,1,2,1,3,1,4,2,5,2,6,3,7,3,8,3,9,3,10,2,11,2,12,1,2)</f>
        <v>1</v>
      </c>
      <c r="P5606" s="43"/>
    </row>
    <row r="5607" spans="1:16" ht="18" x14ac:dyDescent="0.35">
      <c r="A5607" s="9"/>
      <c r="C5607" s="393"/>
      <c r="E5607" s="394"/>
      <c r="F5607" s="394">
        <v>1.7589999999999999</v>
      </c>
      <c r="G5607" s="394"/>
      <c r="H5607" s="8" t="s">
        <v>235</v>
      </c>
      <c r="I5607" s="368">
        <f t="shared" si="262"/>
        <v>0</v>
      </c>
      <c r="J5607" s="365">
        <f t="shared" si="261"/>
        <v>0</v>
      </c>
      <c r="K5607" s="369">
        <f t="shared" si="263"/>
        <v>6</v>
      </c>
      <c r="L5607" s="369">
        <f>+IF((C5607&gt;='Resultats - informe'!$E$16)*(C5607&lt;='Resultats - informe'!$G$16),1,0)</f>
        <v>1</v>
      </c>
      <c r="M5607" s="369" cm="1">
        <f t="array" ref="M5607">+_xlfn.IFS((C5607&gt;='Resultats - informe'!$D$26)*(C5607&lt;='Resultats - informe'!$E$26),0,(C5607&gt;='Resultats - informe'!$D$27)*(C5607&lt;='Resultats - informe'!$E$27),0,(C5607&gt;='Resultats - informe'!$D$28)*(C5607&lt;='Resultats - informe'!$E$28),0,(C5607&gt;='Resultats - informe'!$D$29)*(C5607&lt;='Resultats - informe'!$E$29),0,1,1)</f>
        <v>0</v>
      </c>
      <c r="N5607" s="366">
        <f>+VLOOKUP(D5607,'Resultats - informe'!$Y$18:$AG$42,'Introducció dades consum'!K5607+1,0)</f>
        <v>0</v>
      </c>
      <c r="O5607" s="370" cm="1">
        <f t="array" ref="O5607">+_xlfn.SWITCH(MONTH(C5607),1,1,2,1,3,1,4,2,5,2,6,3,7,3,8,3,9,3,10,2,11,2,12,1,2)</f>
        <v>1</v>
      </c>
      <c r="P5607" s="43"/>
    </row>
    <row r="5608" spans="1:16" ht="18" x14ac:dyDescent="0.35">
      <c r="A5608" s="9"/>
      <c r="C5608" s="393"/>
      <c r="E5608" s="394"/>
      <c r="F5608" s="394">
        <v>1.7450000000000001</v>
      </c>
      <c r="G5608" s="394"/>
      <c r="H5608" s="8" t="s">
        <v>235</v>
      </c>
      <c r="I5608" s="368">
        <f t="shared" si="262"/>
        <v>0</v>
      </c>
      <c r="J5608" s="365">
        <f t="shared" si="261"/>
        <v>0</v>
      </c>
      <c r="K5608" s="369">
        <f t="shared" si="263"/>
        <v>6</v>
      </c>
      <c r="L5608" s="369">
        <f>+IF((C5608&gt;='Resultats - informe'!$E$16)*(C5608&lt;='Resultats - informe'!$G$16),1,0)</f>
        <v>1</v>
      </c>
      <c r="M5608" s="369" cm="1">
        <f t="array" ref="M5608">+_xlfn.IFS((C5608&gt;='Resultats - informe'!$D$26)*(C5608&lt;='Resultats - informe'!$E$26),0,(C5608&gt;='Resultats - informe'!$D$27)*(C5608&lt;='Resultats - informe'!$E$27),0,(C5608&gt;='Resultats - informe'!$D$28)*(C5608&lt;='Resultats - informe'!$E$28),0,(C5608&gt;='Resultats - informe'!$D$29)*(C5608&lt;='Resultats - informe'!$E$29),0,1,1)</f>
        <v>0</v>
      </c>
      <c r="N5608" s="366">
        <f>+VLOOKUP(D5608,'Resultats - informe'!$Y$18:$AG$42,'Introducció dades consum'!K5608+1,0)</f>
        <v>0</v>
      </c>
      <c r="O5608" s="370" cm="1">
        <f t="array" ref="O5608">+_xlfn.SWITCH(MONTH(C5608),1,1,2,1,3,1,4,2,5,2,6,3,7,3,8,3,9,3,10,2,11,2,12,1,2)</f>
        <v>1</v>
      </c>
      <c r="P5608" s="43"/>
    </row>
    <row r="5609" spans="1:16" ht="18" x14ac:dyDescent="0.35">
      <c r="A5609" s="9"/>
      <c r="C5609" s="393"/>
      <c r="E5609" s="394"/>
      <c r="F5609" s="394">
        <v>1.6639999999999999</v>
      </c>
      <c r="G5609" s="394"/>
      <c r="H5609" s="8" t="s">
        <v>235</v>
      </c>
      <c r="I5609" s="368">
        <f t="shared" si="262"/>
        <v>0</v>
      </c>
      <c r="J5609" s="365">
        <f t="shared" si="261"/>
        <v>0</v>
      </c>
      <c r="K5609" s="369">
        <f t="shared" si="263"/>
        <v>6</v>
      </c>
      <c r="L5609" s="369">
        <f>+IF((C5609&gt;='Resultats - informe'!$E$16)*(C5609&lt;='Resultats - informe'!$G$16),1,0)</f>
        <v>1</v>
      </c>
      <c r="M5609" s="369" cm="1">
        <f t="array" ref="M5609">+_xlfn.IFS((C5609&gt;='Resultats - informe'!$D$26)*(C5609&lt;='Resultats - informe'!$E$26),0,(C5609&gt;='Resultats - informe'!$D$27)*(C5609&lt;='Resultats - informe'!$E$27),0,(C5609&gt;='Resultats - informe'!$D$28)*(C5609&lt;='Resultats - informe'!$E$28),0,(C5609&gt;='Resultats - informe'!$D$29)*(C5609&lt;='Resultats - informe'!$E$29),0,1,1)</f>
        <v>0</v>
      </c>
      <c r="N5609" s="366">
        <f>+VLOOKUP(D5609,'Resultats - informe'!$Y$18:$AG$42,'Introducció dades consum'!K5609+1,0)</f>
        <v>0</v>
      </c>
      <c r="O5609" s="370" cm="1">
        <f t="array" ref="O5609">+_xlfn.SWITCH(MONTH(C5609),1,1,2,1,3,1,4,2,5,2,6,3,7,3,8,3,9,3,10,2,11,2,12,1,2)</f>
        <v>1</v>
      </c>
      <c r="P5609" s="43"/>
    </row>
    <row r="5610" spans="1:16" ht="18" x14ac:dyDescent="0.35">
      <c r="A5610" s="9"/>
      <c r="C5610" s="393"/>
      <c r="E5610" s="394"/>
      <c r="F5610" s="394">
        <v>1.21</v>
      </c>
      <c r="G5610" s="394"/>
      <c r="H5610" s="8" t="s">
        <v>235</v>
      </c>
      <c r="I5610" s="368">
        <f t="shared" si="262"/>
        <v>0</v>
      </c>
      <c r="J5610" s="365">
        <f t="shared" si="261"/>
        <v>0</v>
      </c>
      <c r="K5610" s="369">
        <f t="shared" si="263"/>
        <v>6</v>
      </c>
      <c r="L5610" s="369">
        <f>+IF((C5610&gt;='Resultats - informe'!$E$16)*(C5610&lt;='Resultats - informe'!$G$16),1,0)</f>
        <v>1</v>
      </c>
      <c r="M5610" s="369" cm="1">
        <f t="array" ref="M5610">+_xlfn.IFS((C5610&gt;='Resultats - informe'!$D$26)*(C5610&lt;='Resultats - informe'!$E$26),0,(C5610&gt;='Resultats - informe'!$D$27)*(C5610&lt;='Resultats - informe'!$E$27),0,(C5610&gt;='Resultats - informe'!$D$28)*(C5610&lt;='Resultats - informe'!$E$28),0,(C5610&gt;='Resultats - informe'!$D$29)*(C5610&lt;='Resultats - informe'!$E$29),0,1,1)</f>
        <v>0</v>
      </c>
      <c r="N5610" s="366">
        <f>+VLOOKUP(D5610,'Resultats - informe'!$Y$18:$AG$42,'Introducció dades consum'!K5610+1,0)</f>
        <v>0</v>
      </c>
      <c r="O5610" s="370" cm="1">
        <f t="array" ref="O5610">+_xlfn.SWITCH(MONTH(C5610),1,1,2,1,3,1,4,2,5,2,6,3,7,3,8,3,9,3,10,2,11,2,12,1,2)</f>
        <v>1</v>
      </c>
      <c r="P5610" s="43"/>
    </row>
    <row r="5611" spans="1:16" ht="18" x14ac:dyDescent="0.35">
      <c r="A5611" s="9"/>
      <c r="C5611" s="393"/>
      <c r="E5611" s="394"/>
      <c r="F5611" s="394">
        <v>1.8160000000000001</v>
      </c>
      <c r="G5611" s="394"/>
      <c r="H5611" s="8" t="s">
        <v>235</v>
      </c>
      <c r="I5611" s="368">
        <f t="shared" si="262"/>
        <v>0</v>
      </c>
      <c r="J5611" s="365">
        <f t="shared" si="261"/>
        <v>0</v>
      </c>
      <c r="K5611" s="369">
        <f t="shared" si="263"/>
        <v>6</v>
      </c>
      <c r="L5611" s="369">
        <f>+IF((C5611&gt;='Resultats - informe'!$E$16)*(C5611&lt;='Resultats - informe'!$G$16),1,0)</f>
        <v>1</v>
      </c>
      <c r="M5611" s="369" cm="1">
        <f t="array" ref="M5611">+_xlfn.IFS((C5611&gt;='Resultats - informe'!$D$26)*(C5611&lt;='Resultats - informe'!$E$26),0,(C5611&gt;='Resultats - informe'!$D$27)*(C5611&lt;='Resultats - informe'!$E$27),0,(C5611&gt;='Resultats - informe'!$D$28)*(C5611&lt;='Resultats - informe'!$E$28),0,(C5611&gt;='Resultats - informe'!$D$29)*(C5611&lt;='Resultats - informe'!$E$29),0,1,1)</f>
        <v>0</v>
      </c>
      <c r="N5611" s="366">
        <f>+VLOOKUP(D5611,'Resultats - informe'!$Y$18:$AG$42,'Introducció dades consum'!K5611+1,0)</f>
        <v>0</v>
      </c>
      <c r="O5611" s="370" cm="1">
        <f t="array" ref="O5611">+_xlfn.SWITCH(MONTH(C5611),1,1,2,1,3,1,4,2,5,2,6,3,7,3,8,3,9,3,10,2,11,2,12,1,2)</f>
        <v>1</v>
      </c>
      <c r="P5611" s="43"/>
    </row>
    <row r="5612" spans="1:16" ht="18" x14ac:dyDescent="0.35">
      <c r="A5612" s="9"/>
      <c r="C5612" s="393"/>
      <c r="E5612" s="394"/>
      <c r="F5612" s="394">
        <v>1.853</v>
      </c>
      <c r="G5612" s="394"/>
      <c r="H5612" s="8" t="s">
        <v>235</v>
      </c>
      <c r="I5612" s="368">
        <f t="shared" si="262"/>
        <v>0</v>
      </c>
      <c r="J5612" s="365">
        <f t="shared" si="261"/>
        <v>0</v>
      </c>
      <c r="K5612" s="369">
        <f t="shared" si="263"/>
        <v>6</v>
      </c>
      <c r="L5612" s="369">
        <f>+IF((C5612&gt;='Resultats - informe'!$E$16)*(C5612&lt;='Resultats - informe'!$G$16),1,0)</f>
        <v>1</v>
      </c>
      <c r="M5612" s="369" cm="1">
        <f t="array" ref="M5612">+_xlfn.IFS((C5612&gt;='Resultats - informe'!$D$26)*(C5612&lt;='Resultats - informe'!$E$26),0,(C5612&gt;='Resultats - informe'!$D$27)*(C5612&lt;='Resultats - informe'!$E$27),0,(C5612&gt;='Resultats - informe'!$D$28)*(C5612&lt;='Resultats - informe'!$E$28),0,(C5612&gt;='Resultats - informe'!$D$29)*(C5612&lt;='Resultats - informe'!$E$29),0,1,1)</f>
        <v>0</v>
      </c>
      <c r="N5612" s="366">
        <f>+VLOOKUP(D5612,'Resultats - informe'!$Y$18:$AG$42,'Introducció dades consum'!K5612+1,0)</f>
        <v>0</v>
      </c>
      <c r="O5612" s="370" cm="1">
        <f t="array" ref="O5612">+_xlfn.SWITCH(MONTH(C5612),1,1,2,1,3,1,4,2,5,2,6,3,7,3,8,3,9,3,10,2,11,2,12,1,2)</f>
        <v>1</v>
      </c>
      <c r="P5612" s="43"/>
    </row>
    <row r="5613" spans="1:16" ht="18" x14ac:dyDescent="0.35">
      <c r="A5613" s="9"/>
      <c r="C5613" s="393"/>
      <c r="E5613" s="394"/>
      <c r="F5613" s="394">
        <v>1.6830000000000001</v>
      </c>
      <c r="G5613" s="394"/>
      <c r="H5613" s="8" t="s">
        <v>235</v>
      </c>
      <c r="I5613" s="368">
        <f t="shared" si="262"/>
        <v>0</v>
      </c>
      <c r="J5613" s="365">
        <f t="shared" si="261"/>
        <v>0</v>
      </c>
      <c r="K5613" s="369">
        <f t="shared" si="263"/>
        <v>6</v>
      </c>
      <c r="L5613" s="369">
        <f>+IF((C5613&gt;='Resultats - informe'!$E$16)*(C5613&lt;='Resultats - informe'!$G$16),1,0)</f>
        <v>1</v>
      </c>
      <c r="M5613" s="369" cm="1">
        <f t="array" ref="M5613">+_xlfn.IFS((C5613&gt;='Resultats - informe'!$D$26)*(C5613&lt;='Resultats - informe'!$E$26),0,(C5613&gt;='Resultats - informe'!$D$27)*(C5613&lt;='Resultats - informe'!$E$27),0,(C5613&gt;='Resultats - informe'!$D$28)*(C5613&lt;='Resultats - informe'!$E$28),0,(C5613&gt;='Resultats - informe'!$D$29)*(C5613&lt;='Resultats - informe'!$E$29),0,1,1)</f>
        <v>0</v>
      </c>
      <c r="N5613" s="366">
        <f>+VLOOKUP(D5613,'Resultats - informe'!$Y$18:$AG$42,'Introducció dades consum'!K5613+1,0)</f>
        <v>0</v>
      </c>
      <c r="O5613" s="370" cm="1">
        <f t="array" ref="O5613">+_xlfn.SWITCH(MONTH(C5613),1,1,2,1,3,1,4,2,5,2,6,3,7,3,8,3,9,3,10,2,11,2,12,1,2)</f>
        <v>1</v>
      </c>
      <c r="P5613" s="43"/>
    </row>
    <row r="5614" spans="1:16" ht="18" x14ac:dyDescent="0.35">
      <c r="A5614" s="9"/>
      <c r="C5614" s="393"/>
      <c r="E5614" s="394"/>
      <c r="F5614" s="394">
        <v>2.59</v>
      </c>
      <c r="G5614" s="394"/>
      <c r="H5614" s="8" t="s">
        <v>235</v>
      </c>
      <c r="I5614" s="368">
        <f t="shared" si="262"/>
        <v>0</v>
      </c>
      <c r="J5614" s="365">
        <f t="shared" si="261"/>
        <v>0</v>
      </c>
      <c r="K5614" s="369">
        <f t="shared" si="263"/>
        <v>6</v>
      </c>
      <c r="L5614" s="369">
        <f>+IF((C5614&gt;='Resultats - informe'!$E$16)*(C5614&lt;='Resultats - informe'!$G$16),1,0)</f>
        <v>1</v>
      </c>
      <c r="M5614" s="369" cm="1">
        <f t="array" ref="M5614">+_xlfn.IFS((C5614&gt;='Resultats - informe'!$D$26)*(C5614&lt;='Resultats - informe'!$E$26),0,(C5614&gt;='Resultats - informe'!$D$27)*(C5614&lt;='Resultats - informe'!$E$27),0,(C5614&gt;='Resultats - informe'!$D$28)*(C5614&lt;='Resultats - informe'!$E$28),0,(C5614&gt;='Resultats - informe'!$D$29)*(C5614&lt;='Resultats - informe'!$E$29),0,1,1)</f>
        <v>0</v>
      </c>
      <c r="N5614" s="366">
        <f>+VLOOKUP(D5614,'Resultats - informe'!$Y$18:$AG$42,'Introducció dades consum'!K5614+1,0)</f>
        <v>0</v>
      </c>
      <c r="O5614" s="370" cm="1">
        <f t="array" ref="O5614">+_xlfn.SWITCH(MONTH(C5614),1,1,2,1,3,1,4,2,5,2,6,3,7,3,8,3,9,3,10,2,11,2,12,1,2)</f>
        <v>1</v>
      </c>
      <c r="P5614" s="43"/>
    </row>
    <row r="5615" spans="1:16" ht="18" x14ac:dyDescent="0.35">
      <c r="A5615" s="9"/>
      <c r="C5615" s="393"/>
      <c r="E5615" s="394"/>
      <c r="F5615" s="394">
        <v>2.5830000000000002</v>
      </c>
      <c r="G5615" s="394"/>
      <c r="H5615" s="8" t="s">
        <v>235</v>
      </c>
      <c r="I5615" s="368">
        <f t="shared" si="262"/>
        <v>0</v>
      </c>
      <c r="J5615" s="365">
        <f t="shared" si="261"/>
        <v>0</v>
      </c>
      <c r="K5615" s="369">
        <f t="shared" si="263"/>
        <v>6</v>
      </c>
      <c r="L5615" s="369">
        <f>+IF((C5615&gt;='Resultats - informe'!$E$16)*(C5615&lt;='Resultats - informe'!$G$16),1,0)</f>
        <v>1</v>
      </c>
      <c r="M5615" s="369" cm="1">
        <f t="array" ref="M5615">+_xlfn.IFS((C5615&gt;='Resultats - informe'!$D$26)*(C5615&lt;='Resultats - informe'!$E$26),0,(C5615&gt;='Resultats - informe'!$D$27)*(C5615&lt;='Resultats - informe'!$E$27),0,(C5615&gt;='Resultats - informe'!$D$28)*(C5615&lt;='Resultats - informe'!$E$28),0,(C5615&gt;='Resultats - informe'!$D$29)*(C5615&lt;='Resultats - informe'!$E$29),0,1,1)</f>
        <v>0</v>
      </c>
      <c r="N5615" s="366">
        <f>+VLOOKUP(D5615,'Resultats - informe'!$Y$18:$AG$42,'Introducció dades consum'!K5615+1,0)</f>
        <v>0</v>
      </c>
      <c r="O5615" s="370" cm="1">
        <f t="array" ref="O5615">+_xlfn.SWITCH(MONTH(C5615),1,1,2,1,3,1,4,2,5,2,6,3,7,3,8,3,9,3,10,2,11,2,12,1,2)</f>
        <v>1</v>
      </c>
      <c r="P5615" s="43"/>
    </row>
    <row r="5616" spans="1:16" ht="18" x14ac:dyDescent="0.35">
      <c r="A5616" s="9"/>
      <c r="C5616" s="393"/>
      <c r="E5616" s="394"/>
      <c r="F5616" s="394">
        <v>2.5129999999999999</v>
      </c>
      <c r="G5616" s="394"/>
      <c r="H5616" s="8" t="s">
        <v>235</v>
      </c>
      <c r="I5616" s="368">
        <f t="shared" si="262"/>
        <v>0</v>
      </c>
      <c r="J5616" s="365">
        <f t="shared" si="261"/>
        <v>0</v>
      </c>
      <c r="K5616" s="369">
        <f t="shared" si="263"/>
        <v>6</v>
      </c>
      <c r="L5616" s="369">
        <f>+IF((C5616&gt;='Resultats - informe'!$E$16)*(C5616&lt;='Resultats - informe'!$G$16),1,0)</f>
        <v>1</v>
      </c>
      <c r="M5616" s="369" cm="1">
        <f t="array" ref="M5616">+_xlfn.IFS((C5616&gt;='Resultats - informe'!$D$26)*(C5616&lt;='Resultats - informe'!$E$26),0,(C5616&gt;='Resultats - informe'!$D$27)*(C5616&lt;='Resultats - informe'!$E$27),0,(C5616&gt;='Resultats - informe'!$D$28)*(C5616&lt;='Resultats - informe'!$E$28),0,(C5616&gt;='Resultats - informe'!$D$29)*(C5616&lt;='Resultats - informe'!$E$29),0,1,1)</f>
        <v>0</v>
      </c>
      <c r="N5616" s="366">
        <f>+VLOOKUP(D5616,'Resultats - informe'!$Y$18:$AG$42,'Introducció dades consum'!K5616+1,0)</f>
        <v>0</v>
      </c>
      <c r="O5616" s="370" cm="1">
        <f t="array" ref="O5616">+_xlfn.SWITCH(MONTH(C5616),1,1,2,1,3,1,4,2,5,2,6,3,7,3,8,3,9,3,10,2,11,2,12,1,2)</f>
        <v>1</v>
      </c>
      <c r="P5616" s="43"/>
    </row>
    <row r="5617" spans="1:16" ht="18" x14ac:dyDescent="0.35">
      <c r="A5617" s="9"/>
      <c r="C5617" s="393"/>
      <c r="E5617" s="394"/>
      <c r="F5617" s="394">
        <v>2.0990000000000002</v>
      </c>
      <c r="G5617" s="394"/>
      <c r="H5617" s="8" t="s">
        <v>235</v>
      </c>
      <c r="I5617" s="368">
        <f t="shared" si="262"/>
        <v>0</v>
      </c>
      <c r="J5617" s="365">
        <f t="shared" si="261"/>
        <v>0</v>
      </c>
      <c r="K5617" s="369">
        <f t="shared" si="263"/>
        <v>6</v>
      </c>
      <c r="L5617" s="369">
        <f>+IF((C5617&gt;='Resultats - informe'!$E$16)*(C5617&lt;='Resultats - informe'!$G$16),1,0)</f>
        <v>1</v>
      </c>
      <c r="M5617" s="369" cm="1">
        <f t="array" ref="M5617">+_xlfn.IFS((C5617&gt;='Resultats - informe'!$D$26)*(C5617&lt;='Resultats - informe'!$E$26),0,(C5617&gt;='Resultats - informe'!$D$27)*(C5617&lt;='Resultats - informe'!$E$27),0,(C5617&gt;='Resultats - informe'!$D$28)*(C5617&lt;='Resultats - informe'!$E$28),0,(C5617&gt;='Resultats - informe'!$D$29)*(C5617&lt;='Resultats - informe'!$E$29),0,1,1)</f>
        <v>0</v>
      </c>
      <c r="N5617" s="366">
        <f>+VLOOKUP(D5617,'Resultats - informe'!$Y$18:$AG$42,'Introducció dades consum'!K5617+1,0)</f>
        <v>0</v>
      </c>
      <c r="O5617" s="370" cm="1">
        <f t="array" ref="O5617">+_xlfn.SWITCH(MONTH(C5617),1,1,2,1,3,1,4,2,5,2,6,3,7,3,8,3,9,3,10,2,11,2,12,1,2)</f>
        <v>1</v>
      </c>
      <c r="P5617" s="43"/>
    </row>
    <row r="5618" spans="1:16" ht="18" x14ac:dyDescent="0.35">
      <c r="A5618" s="9"/>
      <c r="C5618" s="393"/>
      <c r="E5618" s="394"/>
      <c r="F5618" s="394">
        <v>1.3720000000000001</v>
      </c>
      <c r="G5618" s="394"/>
      <c r="H5618" s="8" t="s">
        <v>235</v>
      </c>
      <c r="I5618" s="368">
        <f t="shared" si="262"/>
        <v>0</v>
      </c>
      <c r="J5618" s="365">
        <f t="shared" si="261"/>
        <v>0</v>
      </c>
      <c r="K5618" s="369">
        <f t="shared" si="263"/>
        <v>6</v>
      </c>
      <c r="L5618" s="369">
        <f>+IF((C5618&gt;='Resultats - informe'!$E$16)*(C5618&lt;='Resultats - informe'!$G$16),1,0)</f>
        <v>1</v>
      </c>
      <c r="M5618" s="369" cm="1">
        <f t="array" ref="M5618">+_xlfn.IFS((C5618&gt;='Resultats - informe'!$D$26)*(C5618&lt;='Resultats - informe'!$E$26),0,(C5618&gt;='Resultats - informe'!$D$27)*(C5618&lt;='Resultats - informe'!$E$27),0,(C5618&gt;='Resultats - informe'!$D$28)*(C5618&lt;='Resultats - informe'!$E$28),0,(C5618&gt;='Resultats - informe'!$D$29)*(C5618&lt;='Resultats - informe'!$E$29),0,1,1)</f>
        <v>0</v>
      </c>
      <c r="N5618" s="366">
        <f>+VLOOKUP(D5618,'Resultats - informe'!$Y$18:$AG$42,'Introducció dades consum'!K5618+1,0)</f>
        <v>0</v>
      </c>
      <c r="O5618" s="370" cm="1">
        <f t="array" ref="O5618">+_xlfn.SWITCH(MONTH(C5618),1,1,2,1,3,1,4,2,5,2,6,3,7,3,8,3,9,3,10,2,11,2,12,1,2)</f>
        <v>1</v>
      </c>
      <c r="P5618" s="43"/>
    </row>
    <row r="5619" spans="1:16" ht="18" x14ac:dyDescent="0.35">
      <c r="A5619" s="9"/>
      <c r="C5619" s="393"/>
      <c r="E5619" s="394"/>
      <c r="F5619" s="394">
        <v>1.37</v>
      </c>
      <c r="G5619" s="394"/>
      <c r="H5619" s="8" t="s">
        <v>235</v>
      </c>
      <c r="I5619" s="368">
        <f t="shared" si="262"/>
        <v>0</v>
      </c>
      <c r="J5619" s="365">
        <f t="shared" si="261"/>
        <v>0</v>
      </c>
      <c r="K5619" s="369">
        <f t="shared" si="263"/>
        <v>6</v>
      </c>
      <c r="L5619" s="369">
        <f>+IF((C5619&gt;='Resultats - informe'!$E$16)*(C5619&lt;='Resultats - informe'!$G$16),1,0)</f>
        <v>1</v>
      </c>
      <c r="M5619" s="369" cm="1">
        <f t="array" ref="M5619">+_xlfn.IFS((C5619&gt;='Resultats - informe'!$D$26)*(C5619&lt;='Resultats - informe'!$E$26),0,(C5619&gt;='Resultats - informe'!$D$27)*(C5619&lt;='Resultats - informe'!$E$27),0,(C5619&gt;='Resultats - informe'!$D$28)*(C5619&lt;='Resultats - informe'!$E$28),0,(C5619&gt;='Resultats - informe'!$D$29)*(C5619&lt;='Resultats - informe'!$E$29),0,1,1)</f>
        <v>0</v>
      </c>
      <c r="N5619" s="366">
        <f>+VLOOKUP(D5619,'Resultats - informe'!$Y$18:$AG$42,'Introducció dades consum'!K5619+1,0)</f>
        <v>0</v>
      </c>
      <c r="O5619" s="370" cm="1">
        <f t="array" ref="O5619">+_xlfn.SWITCH(MONTH(C5619),1,1,2,1,3,1,4,2,5,2,6,3,7,3,8,3,9,3,10,2,11,2,12,1,2)</f>
        <v>1</v>
      </c>
      <c r="P5619" s="43"/>
    </row>
    <row r="5620" spans="1:16" ht="18" x14ac:dyDescent="0.35">
      <c r="A5620" s="9"/>
      <c r="C5620" s="393"/>
      <c r="E5620" s="394"/>
      <c r="F5620" s="394">
        <v>7.2999999999999995E-2</v>
      </c>
      <c r="G5620" s="394"/>
      <c r="H5620" s="8" t="s">
        <v>235</v>
      </c>
      <c r="I5620" s="368">
        <f t="shared" si="262"/>
        <v>0</v>
      </c>
      <c r="J5620" s="365">
        <f t="shared" si="261"/>
        <v>0</v>
      </c>
      <c r="K5620" s="369">
        <f t="shared" si="263"/>
        <v>6</v>
      </c>
      <c r="L5620" s="369">
        <f>+IF((C5620&gt;='Resultats - informe'!$E$16)*(C5620&lt;='Resultats - informe'!$G$16),1,0)</f>
        <v>1</v>
      </c>
      <c r="M5620" s="369" cm="1">
        <f t="array" ref="M5620">+_xlfn.IFS((C5620&gt;='Resultats - informe'!$D$26)*(C5620&lt;='Resultats - informe'!$E$26),0,(C5620&gt;='Resultats - informe'!$D$27)*(C5620&lt;='Resultats - informe'!$E$27),0,(C5620&gt;='Resultats - informe'!$D$28)*(C5620&lt;='Resultats - informe'!$E$28),0,(C5620&gt;='Resultats - informe'!$D$29)*(C5620&lt;='Resultats - informe'!$E$29),0,1,1)</f>
        <v>0</v>
      </c>
      <c r="N5620" s="366">
        <f>+VLOOKUP(D5620,'Resultats - informe'!$Y$18:$AG$42,'Introducció dades consum'!K5620+1,0)</f>
        <v>0</v>
      </c>
      <c r="O5620" s="370" cm="1">
        <f t="array" ref="O5620">+_xlfn.SWITCH(MONTH(C5620),1,1,2,1,3,1,4,2,5,2,6,3,7,3,8,3,9,3,10,2,11,2,12,1,2)</f>
        <v>1</v>
      </c>
      <c r="P5620" s="43"/>
    </row>
    <row r="5621" spans="1:16" ht="18" x14ac:dyDescent="0.35">
      <c r="A5621" s="9"/>
      <c r="C5621" s="393"/>
      <c r="E5621" s="394"/>
      <c r="F5621" s="394">
        <v>0.44800000000000001</v>
      </c>
      <c r="G5621" s="394"/>
      <c r="H5621" s="8" t="s">
        <v>235</v>
      </c>
      <c r="I5621" s="368">
        <f t="shared" si="262"/>
        <v>0</v>
      </c>
      <c r="J5621" s="365">
        <f t="shared" si="261"/>
        <v>0</v>
      </c>
      <c r="K5621" s="369">
        <f t="shared" si="263"/>
        <v>6</v>
      </c>
      <c r="L5621" s="369">
        <f>+IF((C5621&gt;='Resultats - informe'!$E$16)*(C5621&lt;='Resultats - informe'!$G$16),1,0)</f>
        <v>1</v>
      </c>
      <c r="M5621" s="369" cm="1">
        <f t="array" ref="M5621">+_xlfn.IFS((C5621&gt;='Resultats - informe'!$D$26)*(C5621&lt;='Resultats - informe'!$E$26),0,(C5621&gt;='Resultats - informe'!$D$27)*(C5621&lt;='Resultats - informe'!$E$27),0,(C5621&gt;='Resultats - informe'!$D$28)*(C5621&lt;='Resultats - informe'!$E$28),0,(C5621&gt;='Resultats - informe'!$D$29)*(C5621&lt;='Resultats - informe'!$E$29),0,1,1)</f>
        <v>0</v>
      </c>
      <c r="N5621" s="366">
        <f>+VLOOKUP(D5621,'Resultats - informe'!$Y$18:$AG$42,'Introducció dades consum'!K5621+1,0)</f>
        <v>0</v>
      </c>
      <c r="O5621" s="370" cm="1">
        <f t="array" ref="O5621">+_xlfn.SWITCH(MONTH(C5621),1,1,2,1,3,1,4,2,5,2,6,3,7,3,8,3,9,3,10,2,11,2,12,1,2)</f>
        <v>1</v>
      </c>
      <c r="P5621" s="43"/>
    </row>
    <row r="5622" spans="1:16" ht="18" x14ac:dyDescent="0.35">
      <c r="A5622" s="9"/>
      <c r="C5622" s="393"/>
      <c r="E5622" s="394"/>
      <c r="F5622" s="394">
        <v>0.45100000000000001</v>
      </c>
      <c r="G5622" s="394"/>
      <c r="H5622" s="8" t="s">
        <v>235</v>
      </c>
      <c r="I5622" s="368">
        <f t="shared" si="262"/>
        <v>0</v>
      </c>
      <c r="J5622" s="365">
        <f t="shared" si="261"/>
        <v>0</v>
      </c>
      <c r="K5622" s="369">
        <f t="shared" si="263"/>
        <v>6</v>
      </c>
      <c r="L5622" s="369">
        <f>+IF((C5622&gt;='Resultats - informe'!$E$16)*(C5622&lt;='Resultats - informe'!$G$16),1,0)</f>
        <v>1</v>
      </c>
      <c r="M5622" s="369" cm="1">
        <f t="array" ref="M5622">+_xlfn.IFS((C5622&gt;='Resultats - informe'!$D$26)*(C5622&lt;='Resultats - informe'!$E$26),0,(C5622&gt;='Resultats - informe'!$D$27)*(C5622&lt;='Resultats - informe'!$E$27),0,(C5622&gt;='Resultats - informe'!$D$28)*(C5622&lt;='Resultats - informe'!$E$28),0,(C5622&gt;='Resultats - informe'!$D$29)*(C5622&lt;='Resultats - informe'!$E$29),0,1,1)</f>
        <v>0</v>
      </c>
      <c r="N5622" s="366">
        <f>+VLOOKUP(D5622,'Resultats - informe'!$Y$18:$AG$42,'Introducció dades consum'!K5622+1,0)</f>
        <v>0</v>
      </c>
      <c r="O5622" s="370" cm="1">
        <f t="array" ref="O5622">+_xlfn.SWITCH(MONTH(C5622),1,1,2,1,3,1,4,2,5,2,6,3,7,3,8,3,9,3,10,2,11,2,12,1,2)</f>
        <v>1</v>
      </c>
      <c r="P5622" s="43"/>
    </row>
    <row r="5623" spans="1:16" ht="18" x14ac:dyDescent="0.35">
      <c r="A5623" s="9"/>
      <c r="C5623" s="393"/>
      <c r="E5623" s="394"/>
      <c r="F5623" s="394">
        <v>0.45400000000000001</v>
      </c>
      <c r="G5623" s="394"/>
      <c r="H5623" s="8" t="s">
        <v>235</v>
      </c>
      <c r="I5623" s="368">
        <f t="shared" si="262"/>
        <v>0</v>
      </c>
      <c r="J5623" s="365">
        <f t="shared" si="261"/>
        <v>0</v>
      </c>
      <c r="K5623" s="369">
        <f t="shared" si="263"/>
        <v>6</v>
      </c>
      <c r="L5623" s="369">
        <f>+IF((C5623&gt;='Resultats - informe'!$E$16)*(C5623&lt;='Resultats - informe'!$G$16),1,0)</f>
        <v>1</v>
      </c>
      <c r="M5623" s="369" cm="1">
        <f t="array" ref="M5623">+_xlfn.IFS((C5623&gt;='Resultats - informe'!$D$26)*(C5623&lt;='Resultats - informe'!$E$26),0,(C5623&gt;='Resultats - informe'!$D$27)*(C5623&lt;='Resultats - informe'!$E$27),0,(C5623&gt;='Resultats - informe'!$D$28)*(C5623&lt;='Resultats - informe'!$E$28),0,(C5623&gt;='Resultats - informe'!$D$29)*(C5623&lt;='Resultats - informe'!$E$29),0,1,1)</f>
        <v>0</v>
      </c>
      <c r="N5623" s="366">
        <f>+VLOOKUP(D5623,'Resultats - informe'!$Y$18:$AG$42,'Introducció dades consum'!K5623+1,0)</f>
        <v>0</v>
      </c>
      <c r="O5623" s="370" cm="1">
        <f t="array" ref="O5623">+_xlfn.SWITCH(MONTH(C5623),1,1,2,1,3,1,4,2,5,2,6,3,7,3,8,3,9,3,10,2,11,2,12,1,2)</f>
        <v>1</v>
      </c>
      <c r="P5623" s="43"/>
    </row>
    <row r="5624" spans="1:16" ht="18" x14ac:dyDescent="0.35">
      <c r="A5624" s="9"/>
      <c r="C5624" s="393"/>
      <c r="E5624" s="394"/>
      <c r="F5624" s="394">
        <v>0.45300000000000001</v>
      </c>
      <c r="G5624" s="394"/>
      <c r="H5624" s="8" t="s">
        <v>235</v>
      </c>
      <c r="I5624" s="368">
        <f t="shared" si="262"/>
        <v>0</v>
      </c>
      <c r="J5624" s="365">
        <f t="shared" si="261"/>
        <v>0</v>
      </c>
      <c r="K5624" s="369">
        <f t="shared" si="263"/>
        <v>6</v>
      </c>
      <c r="L5624" s="369">
        <f>+IF((C5624&gt;='Resultats - informe'!$E$16)*(C5624&lt;='Resultats - informe'!$G$16),1,0)</f>
        <v>1</v>
      </c>
      <c r="M5624" s="369" cm="1">
        <f t="array" ref="M5624">+_xlfn.IFS((C5624&gt;='Resultats - informe'!$D$26)*(C5624&lt;='Resultats - informe'!$E$26),0,(C5624&gt;='Resultats - informe'!$D$27)*(C5624&lt;='Resultats - informe'!$E$27),0,(C5624&gt;='Resultats - informe'!$D$28)*(C5624&lt;='Resultats - informe'!$E$28),0,(C5624&gt;='Resultats - informe'!$D$29)*(C5624&lt;='Resultats - informe'!$E$29),0,1,1)</f>
        <v>0</v>
      </c>
      <c r="N5624" s="366">
        <f>+VLOOKUP(D5624,'Resultats - informe'!$Y$18:$AG$42,'Introducció dades consum'!K5624+1,0)</f>
        <v>0</v>
      </c>
      <c r="O5624" s="370" cm="1">
        <f t="array" ref="O5624">+_xlfn.SWITCH(MONTH(C5624),1,1,2,1,3,1,4,2,5,2,6,3,7,3,8,3,9,3,10,2,11,2,12,1,2)</f>
        <v>1</v>
      </c>
      <c r="P5624" s="43"/>
    </row>
    <row r="5625" spans="1:16" ht="18" x14ac:dyDescent="0.35">
      <c r="A5625" s="9"/>
      <c r="C5625" s="393"/>
      <c r="E5625" s="394"/>
      <c r="F5625" s="394">
        <v>0.45100000000000001</v>
      </c>
      <c r="G5625" s="394"/>
      <c r="H5625" s="8" t="s">
        <v>235</v>
      </c>
      <c r="I5625" s="368">
        <f t="shared" si="262"/>
        <v>0</v>
      </c>
      <c r="J5625" s="365">
        <f t="shared" si="261"/>
        <v>0</v>
      </c>
      <c r="K5625" s="369">
        <f t="shared" si="263"/>
        <v>6</v>
      </c>
      <c r="L5625" s="369">
        <f>+IF((C5625&gt;='Resultats - informe'!$E$16)*(C5625&lt;='Resultats - informe'!$G$16),1,0)</f>
        <v>1</v>
      </c>
      <c r="M5625" s="369" cm="1">
        <f t="array" ref="M5625">+_xlfn.IFS((C5625&gt;='Resultats - informe'!$D$26)*(C5625&lt;='Resultats - informe'!$E$26),0,(C5625&gt;='Resultats - informe'!$D$27)*(C5625&lt;='Resultats - informe'!$E$27),0,(C5625&gt;='Resultats - informe'!$D$28)*(C5625&lt;='Resultats - informe'!$E$28),0,(C5625&gt;='Resultats - informe'!$D$29)*(C5625&lt;='Resultats - informe'!$E$29),0,1,1)</f>
        <v>0</v>
      </c>
      <c r="N5625" s="366">
        <f>+VLOOKUP(D5625,'Resultats - informe'!$Y$18:$AG$42,'Introducció dades consum'!K5625+1,0)</f>
        <v>0</v>
      </c>
      <c r="O5625" s="370" cm="1">
        <f t="array" ref="O5625">+_xlfn.SWITCH(MONTH(C5625),1,1,2,1,3,1,4,2,5,2,6,3,7,3,8,3,9,3,10,2,11,2,12,1,2)</f>
        <v>1</v>
      </c>
      <c r="P5625" s="43"/>
    </row>
    <row r="5626" spans="1:16" ht="18" x14ac:dyDescent="0.35">
      <c r="A5626" s="9"/>
      <c r="C5626" s="393"/>
      <c r="E5626" s="394"/>
      <c r="F5626" s="394">
        <v>0.44</v>
      </c>
      <c r="G5626" s="394"/>
      <c r="H5626" s="8" t="s">
        <v>235</v>
      </c>
      <c r="I5626" s="368">
        <f t="shared" si="262"/>
        <v>0</v>
      </c>
      <c r="J5626" s="365">
        <f t="shared" si="261"/>
        <v>0</v>
      </c>
      <c r="K5626" s="369">
        <f t="shared" si="263"/>
        <v>6</v>
      </c>
      <c r="L5626" s="369">
        <f>+IF((C5626&gt;='Resultats - informe'!$E$16)*(C5626&lt;='Resultats - informe'!$G$16),1,0)</f>
        <v>1</v>
      </c>
      <c r="M5626" s="369" cm="1">
        <f t="array" ref="M5626">+_xlfn.IFS((C5626&gt;='Resultats - informe'!$D$26)*(C5626&lt;='Resultats - informe'!$E$26),0,(C5626&gt;='Resultats - informe'!$D$27)*(C5626&lt;='Resultats - informe'!$E$27),0,(C5626&gt;='Resultats - informe'!$D$28)*(C5626&lt;='Resultats - informe'!$E$28),0,(C5626&gt;='Resultats - informe'!$D$29)*(C5626&lt;='Resultats - informe'!$E$29),0,1,1)</f>
        <v>0</v>
      </c>
      <c r="N5626" s="366">
        <f>+VLOOKUP(D5626,'Resultats - informe'!$Y$18:$AG$42,'Introducció dades consum'!K5626+1,0)</f>
        <v>0</v>
      </c>
      <c r="O5626" s="370" cm="1">
        <f t="array" ref="O5626">+_xlfn.SWITCH(MONTH(C5626),1,1,2,1,3,1,4,2,5,2,6,3,7,3,8,3,9,3,10,2,11,2,12,1,2)</f>
        <v>1</v>
      </c>
      <c r="P5626" s="43"/>
    </row>
    <row r="5627" spans="1:16" ht="18" x14ac:dyDescent="0.35">
      <c r="A5627" s="9"/>
      <c r="C5627" s="393"/>
      <c r="E5627" s="394"/>
      <c r="F5627" s="394">
        <v>0.45600000000000002</v>
      </c>
      <c r="G5627" s="394"/>
      <c r="H5627" s="8" t="s">
        <v>235</v>
      </c>
      <c r="I5627" s="368">
        <f t="shared" si="262"/>
        <v>0</v>
      </c>
      <c r="J5627" s="365">
        <f t="shared" ref="J5627:J5690" si="264">+C5627</f>
        <v>0</v>
      </c>
      <c r="K5627" s="369">
        <f t="shared" si="263"/>
        <v>6</v>
      </c>
      <c r="L5627" s="369">
        <f>+IF((C5627&gt;='Resultats - informe'!$E$16)*(C5627&lt;='Resultats - informe'!$G$16),1,0)</f>
        <v>1</v>
      </c>
      <c r="M5627" s="369" cm="1">
        <f t="array" ref="M5627">+_xlfn.IFS((C5627&gt;='Resultats - informe'!$D$26)*(C5627&lt;='Resultats - informe'!$E$26),0,(C5627&gt;='Resultats - informe'!$D$27)*(C5627&lt;='Resultats - informe'!$E$27),0,(C5627&gt;='Resultats - informe'!$D$28)*(C5627&lt;='Resultats - informe'!$E$28),0,(C5627&gt;='Resultats - informe'!$D$29)*(C5627&lt;='Resultats - informe'!$E$29),0,1,1)</f>
        <v>0</v>
      </c>
      <c r="N5627" s="366">
        <f>+VLOOKUP(D5627,'Resultats - informe'!$Y$18:$AG$42,'Introducció dades consum'!K5627+1,0)</f>
        <v>0</v>
      </c>
      <c r="O5627" s="370" cm="1">
        <f t="array" ref="O5627">+_xlfn.SWITCH(MONTH(C5627),1,1,2,1,3,1,4,2,5,2,6,3,7,3,8,3,9,3,10,2,11,2,12,1,2)</f>
        <v>1</v>
      </c>
      <c r="P5627" s="43"/>
    </row>
    <row r="5628" spans="1:16" ht="18" x14ac:dyDescent="0.35">
      <c r="A5628" s="9"/>
      <c r="C5628" s="393"/>
      <c r="E5628" s="394"/>
      <c r="F5628" s="394">
        <v>0.434</v>
      </c>
      <c r="G5628" s="394"/>
      <c r="H5628" s="8" t="s">
        <v>235</v>
      </c>
      <c r="I5628" s="368">
        <f t="shared" si="262"/>
        <v>0</v>
      </c>
      <c r="J5628" s="365">
        <f t="shared" si="264"/>
        <v>0</v>
      </c>
      <c r="K5628" s="369">
        <f t="shared" si="263"/>
        <v>6</v>
      </c>
      <c r="L5628" s="369">
        <f>+IF((C5628&gt;='Resultats - informe'!$E$16)*(C5628&lt;='Resultats - informe'!$G$16),1,0)</f>
        <v>1</v>
      </c>
      <c r="M5628" s="369" cm="1">
        <f t="array" ref="M5628">+_xlfn.IFS((C5628&gt;='Resultats - informe'!$D$26)*(C5628&lt;='Resultats - informe'!$E$26),0,(C5628&gt;='Resultats - informe'!$D$27)*(C5628&lt;='Resultats - informe'!$E$27),0,(C5628&gt;='Resultats - informe'!$D$28)*(C5628&lt;='Resultats - informe'!$E$28),0,(C5628&gt;='Resultats - informe'!$D$29)*(C5628&lt;='Resultats - informe'!$E$29),0,1,1)</f>
        <v>0</v>
      </c>
      <c r="N5628" s="366">
        <f>+VLOOKUP(D5628,'Resultats - informe'!$Y$18:$AG$42,'Introducció dades consum'!K5628+1,0)</f>
        <v>0</v>
      </c>
      <c r="O5628" s="370" cm="1">
        <f t="array" ref="O5628">+_xlfn.SWITCH(MONTH(C5628),1,1,2,1,3,1,4,2,5,2,6,3,7,3,8,3,9,3,10,2,11,2,12,1,2)</f>
        <v>1</v>
      </c>
      <c r="P5628" s="43"/>
    </row>
    <row r="5629" spans="1:16" ht="18" x14ac:dyDescent="0.35">
      <c r="A5629" s="9"/>
      <c r="C5629" s="393"/>
      <c r="E5629" s="394"/>
      <c r="F5629" s="394">
        <v>0</v>
      </c>
      <c r="G5629" s="394"/>
      <c r="H5629" s="8" t="s">
        <v>235</v>
      </c>
      <c r="I5629" s="368">
        <f t="shared" si="262"/>
        <v>0</v>
      </c>
      <c r="J5629" s="365">
        <f t="shared" si="264"/>
        <v>0</v>
      </c>
      <c r="K5629" s="369">
        <f t="shared" si="263"/>
        <v>6</v>
      </c>
      <c r="L5629" s="369">
        <f>+IF((C5629&gt;='Resultats - informe'!$E$16)*(C5629&lt;='Resultats - informe'!$G$16),1,0)</f>
        <v>1</v>
      </c>
      <c r="M5629" s="369" cm="1">
        <f t="array" ref="M5629">+_xlfn.IFS((C5629&gt;='Resultats - informe'!$D$26)*(C5629&lt;='Resultats - informe'!$E$26),0,(C5629&gt;='Resultats - informe'!$D$27)*(C5629&lt;='Resultats - informe'!$E$27),0,(C5629&gt;='Resultats - informe'!$D$28)*(C5629&lt;='Resultats - informe'!$E$28),0,(C5629&gt;='Resultats - informe'!$D$29)*(C5629&lt;='Resultats - informe'!$E$29),0,1,1)</f>
        <v>0</v>
      </c>
      <c r="N5629" s="366">
        <f>+VLOOKUP(D5629,'Resultats - informe'!$Y$18:$AG$42,'Introducció dades consum'!K5629+1,0)</f>
        <v>0</v>
      </c>
      <c r="O5629" s="370" cm="1">
        <f t="array" ref="O5629">+_xlfn.SWITCH(MONTH(C5629),1,1,2,1,3,1,4,2,5,2,6,3,7,3,8,3,9,3,10,2,11,2,12,1,2)</f>
        <v>1</v>
      </c>
      <c r="P5629" s="43"/>
    </row>
    <row r="5630" spans="1:16" ht="18" x14ac:dyDescent="0.35">
      <c r="A5630" s="9"/>
      <c r="C5630" s="393"/>
      <c r="E5630" s="394"/>
      <c r="F5630" s="394">
        <v>0</v>
      </c>
      <c r="G5630" s="394"/>
      <c r="H5630" s="8" t="s">
        <v>235</v>
      </c>
      <c r="I5630" s="368">
        <f t="shared" si="262"/>
        <v>0</v>
      </c>
      <c r="J5630" s="365">
        <f t="shared" si="264"/>
        <v>0</v>
      </c>
      <c r="K5630" s="369">
        <f t="shared" si="263"/>
        <v>6</v>
      </c>
      <c r="L5630" s="369">
        <f>+IF((C5630&gt;='Resultats - informe'!$E$16)*(C5630&lt;='Resultats - informe'!$G$16),1,0)</f>
        <v>1</v>
      </c>
      <c r="M5630" s="369" cm="1">
        <f t="array" ref="M5630">+_xlfn.IFS((C5630&gt;='Resultats - informe'!$D$26)*(C5630&lt;='Resultats - informe'!$E$26),0,(C5630&gt;='Resultats - informe'!$D$27)*(C5630&lt;='Resultats - informe'!$E$27),0,(C5630&gt;='Resultats - informe'!$D$28)*(C5630&lt;='Resultats - informe'!$E$28),0,(C5630&gt;='Resultats - informe'!$D$29)*(C5630&lt;='Resultats - informe'!$E$29),0,1,1)</f>
        <v>0</v>
      </c>
      <c r="N5630" s="366">
        <f>+VLOOKUP(D5630,'Resultats - informe'!$Y$18:$AG$42,'Introducció dades consum'!K5630+1,0)</f>
        <v>0</v>
      </c>
      <c r="O5630" s="370" cm="1">
        <f t="array" ref="O5630">+_xlfn.SWITCH(MONTH(C5630),1,1,2,1,3,1,4,2,5,2,6,3,7,3,8,3,9,3,10,2,11,2,12,1,2)</f>
        <v>1</v>
      </c>
      <c r="P5630" s="43"/>
    </row>
    <row r="5631" spans="1:16" ht="18" x14ac:dyDescent="0.35">
      <c r="A5631" s="9"/>
      <c r="C5631" s="393"/>
      <c r="E5631" s="394"/>
      <c r="F5631" s="394">
        <v>0</v>
      </c>
      <c r="G5631" s="394"/>
      <c r="H5631" s="8" t="s">
        <v>235</v>
      </c>
      <c r="I5631" s="368">
        <f t="shared" si="262"/>
        <v>0</v>
      </c>
      <c r="J5631" s="365">
        <f t="shared" si="264"/>
        <v>0</v>
      </c>
      <c r="K5631" s="369">
        <f t="shared" si="263"/>
        <v>6</v>
      </c>
      <c r="L5631" s="369">
        <f>+IF((C5631&gt;='Resultats - informe'!$E$16)*(C5631&lt;='Resultats - informe'!$G$16),1,0)</f>
        <v>1</v>
      </c>
      <c r="M5631" s="369" cm="1">
        <f t="array" ref="M5631">+_xlfn.IFS((C5631&gt;='Resultats - informe'!$D$26)*(C5631&lt;='Resultats - informe'!$E$26),0,(C5631&gt;='Resultats - informe'!$D$27)*(C5631&lt;='Resultats - informe'!$E$27),0,(C5631&gt;='Resultats - informe'!$D$28)*(C5631&lt;='Resultats - informe'!$E$28),0,(C5631&gt;='Resultats - informe'!$D$29)*(C5631&lt;='Resultats - informe'!$E$29),0,1,1)</f>
        <v>0</v>
      </c>
      <c r="N5631" s="366">
        <f>+VLOOKUP(D5631,'Resultats - informe'!$Y$18:$AG$42,'Introducció dades consum'!K5631+1,0)</f>
        <v>0</v>
      </c>
      <c r="O5631" s="370" cm="1">
        <f t="array" ref="O5631">+_xlfn.SWITCH(MONTH(C5631),1,1,2,1,3,1,4,2,5,2,6,3,7,3,8,3,9,3,10,2,11,2,12,1,2)</f>
        <v>1</v>
      </c>
      <c r="P5631" s="43"/>
    </row>
    <row r="5632" spans="1:16" ht="18" x14ac:dyDescent="0.35">
      <c r="A5632" s="9"/>
      <c r="C5632" s="393"/>
      <c r="E5632" s="394"/>
      <c r="F5632" s="394">
        <v>0</v>
      </c>
      <c r="G5632" s="394"/>
      <c r="H5632" s="8" t="s">
        <v>235</v>
      </c>
      <c r="I5632" s="368">
        <f t="shared" si="262"/>
        <v>0</v>
      </c>
      <c r="J5632" s="365">
        <f t="shared" si="264"/>
        <v>0</v>
      </c>
      <c r="K5632" s="369">
        <f t="shared" si="263"/>
        <v>6</v>
      </c>
      <c r="L5632" s="369">
        <f>+IF((C5632&gt;='Resultats - informe'!$E$16)*(C5632&lt;='Resultats - informe'!$G$16),1,0)</f>
        <v>1</v>
      </c>
      <c r="M5632" s="369" cm="1">
        <f t="array" ref="M5632">+_xlfn.IFS((C5632&gt;='Resultats - informe'!$D$26)*(C5632&lt;='Resultats - informe'!$E$26),0,(C5632&gt;='Resultats - informe'!$D$27)*(C5632&lt;='Resultats - informe'!$E$27),0,(C5632&gt;='Resultats - informe'!$D$28)*(C5632&lt;='Resultats - informe'!$E$28),0,(C5632&gt;='Resultats - informe'!$D$29)*(C5632&lt;='Resultats - informe'!$E$29),0,1,1)</f>
        <v>0</v>
      </c>
      <c r="N5632" s="366">
        <f>+VLOOKUP(D5632,'Resultats - informe'!$Y$18:$AG$42,'Introducció dades consum'!K5632+1,0)</f>
        <v>0</v>
      </c>
      <c r="O5632" s="370" cm="1">
        <f t="array" ref="O5632">+_xlfn.SWITCH(MONTH(C5632),1,1,2,1,3,1,4,2,5,2,6,3,7,3,8,3,9,3,10,2,11,2,12,1,2)</f>
        <v>1</v>
      </c>
      <c r="P5632" s="43"/>
    </row>
    <row r="5633" spans="1:16" ht="18" x14ac:dyDescent="0.35">
      <c r="A5633" s="9"/>
      <c r="C5633" s="393"/>
      <c r="E5633" s="394"/>
      <c r="F5633" s="394">
        <v>0.215</v>
      </c>
      <c r="G5633" s="394"/>
      <c r="H5633" s="8" t="s">
        <v>235</v>
      </c>
      <c r="I5633" s="368">
        <f t="shared" si="262"/>
        <v>0</v>
      </c>
      <c r="J5633" s="365">
        <f t="shared" si="264"/>
        <v>0</v>
      </c>
      <c r="K5633" s="369">
        <f t="shared" si="263"/>
        <v>6</v>
      </c>
      <c r="L5633" s="369">
        <f>+IF((C5633&gt;='Resultats - informe'!$E$16)*(C5633&lt;='Resultats - informe'!$G$16),1,0)</f>
        <v>1</v>
      </c>
      <c r="M5633" s="369" cm="1">
        <f t="array" ref="M5633">+_xlfn.IFS((C5633&gt;='Resultats - informe'!$D$26)*(C5633&lt;='Resultats - informe'!$E$26),0,(C5633&gt;='Resultats - informe'!$D$27)*(C5633&lt;='Resultats - informe'!$E$27),0,(C5633&gt;='Resultats - informe'!$D$28)*(C5633&lt;='Resultats - informe'!$E$28),0,(C5633&gt;='Resultats - informe'!$D$29)*(C5633&lt;='Resultats - informe'!$E$29),0,1,1)</f>
        <v>0</v>
      </c>
      <c r="N5633" s="366">
        <f>+VLOOKUP(D5633,'Resultats - informe'!$Y$18:$AG$42,'Introducció dades consum'!K5633+1,0)</f>
        <v>0</v>
      </c>
      <c r="O5633" s="370" cm="1">
        <f t="array" ref="O5633">+_xlfn.SWITCH(MONTH(C5633),1,1,2,1,3,1,4,2,5,2,6,3,7,3,8,3,9,3,10,2,11,2,12,1,2)</f>
        <v>1</v>
      </c>
      <c r="P5633" s="43"/>
    </row>
    <row r="5634" spans="1:16" ht="18" x14ac:dyDescent="0.35">
      <c r="A5634" s="9"/>
      <c r="C5634" s="393"/>
      <c r="E5634" s="394"/>
      <c r="F5634" s="394">
        <v>0.441</v>
      </c>
      <c r="G5634" s="394"/>
      <c r="H5634" s="8" t="s">
        <v>235</v>
      </c>
      <c r="I5634" s="368">
        <f t="shared" si="262"/>
        <v>0</v>
      </c>
      <c r="J5634" s="365">
        <f t="shared" si="264"/>
        <v>0</v>
      </c>
      <c r="K5634" s="369">
        <f t="shared" si="263"/>
        <v>6</v>
      </c>
      <c r="L5634" s="369">
        <f>+IF((C5634&gt;='Resultats - informe'!$E$16)*(C5634&lt;='Resultats - informe'!$G$16),1,0)</f>
        <v>1</v>
      </c>
      <c r="M5634" s="369" cm="1">
        <f t="array" ref="M5634">+_xlfn.IFS((C5634&gt;='Resultats - informe'!$D$26)*(C5634&lt;='Resultats - informe'!$E$26),0,(C5634&gt;='Resultats - informe'!$D$27)*(C5634&lt;='Resultats - informe'!$E$27),0,(C5634&gt;='Resultats - informe'!$D$28)*(C5634&lt;='Resultats - informe'!$E$28),0,(C5634&gt;='Resultats - informe'!$D$29)*(C5634&lt;='Resultats - informe'!$E$29),0,1,1)</f>
        <v>0</v>
      </c>
      <c r="N5634" s="366">
        <f>+VLOOKUP(D5634,'Resultats - informe'!$Y$18:$AG$42,'Introducció dades consum'!K5634+1,0)</f>
        <v>0</v>
      </c>
      <c r="O5634" s="370" cm="1">
        <f t="array" ref="O5634">+_xlfn.SWITCH(MONTH(C5634),1,1,2,1,3,1,4,2,5,2,6,3,7,3,8,3,9,3,10,2,11,2,12,1,2)</f>
        <v>1</v>
      </c>
      <c r="P5634" s="43"/>
    </row>
    <row r="5635" spans="1:16" ht="18" x14ac:dyDescent="0.35">
      <c r="A5635" s="9"/>
      <c r="C5635" s="393"/>
      <c r="E5635" s="394"/>
      <c r="F5635" s="394">
        <v>0.45900000000000002</v>
      </c>
      <c r="G5635" s="394"/>
      <c r="H5635" s="8" t="s">
        <v>235</v>
      </c>
      <c r="I5635" s="368">
        <f t="shared" si="262"/>
        <v>0</v>
      </c>
      <c r="J5635" s="365">
        <f t="shared" si="264"/>
        <v>0</v>
      </c>
      <c r="K5635" s="369">
        <f t="shared" si="263"/>
        <v>6</v>
      </c>
      <c r="L5635" s="369">
        <f>+IF((C5635&gt;='Resultats - informe'!$E$16)*(C5635&lt;='Resultats - informe'!$G$16),1,0)</f>
        <v>1</v>
      </c>
      <c r="M5635" s="369" cm="1">
        <f t="array" ref="M5635">+_xlfn.IFS((C5635&gt;='Resultats - informe'!$D$26)*(C5635&lt;='Resultats - informe'!$E$26),0,(C5635&gt;='Resultats - informe'!$D$27)*(C5635&lt;='Resultats - informe'!$E$27),0,(C5635&gt;='Resultats - informe'!$D$28)*(C5635&lt;='Resultats - informe'!$E$28),0,(C5635&gt;='Resultats - informe'!$D$29)*(C5635&lt;='Resultats - informe'!$E$29),0,1,1)</f>
        <v>0</v>
      </c>
      <c r="N5635" s="366">
        <f>+VLOOKUP(D5635,'Resultats - informe'!$Y$18:$AG$42,'Introducció dades consum'!K5635+1,0)</f>
        <v>0</v>
      </c>
      <c r="O5635" s="370" cm="1">
        <f t="array" ref="O5635">+_xlfn.SWITCH(MONTH(C5635),1,1,2,1,3,1,4,2,5,2,6,3,7,3,8,3,9,3,10,2,11,2,12,1,2)</f>
        <v>1</v>
      </c>
      <c r="P5635" s="43"/>
    </row>
    <row r="5636" spans="1:16" ht="18" x14ac:dyDescent="0.35">
      <c r="A5636" s="9"/>
      <c r="C5636" s="393"/>
      <c r="E5636" s="394"/>
      <c r="F5636" s="394">
        <v>0.45600000000000002</v>
      </c>
      <c r="G5636" s="394"/>
      <c r="H5636" s="8" t="s">
        <v>235</v>
      </c>
      <c r="I5636" s="368">
        <f t="shared" si="262"/>
        <v>0</v>
      </c>
      <c r="J5636" s="365">
        <f t="shared" si="264"/>
        <v>0</v>
      </c>
      <c r="K5636" s="369">
        <f t="shared" si="263"/>
        <v>6</v>
      </c>
      <c r="L5636" s="369">
        <f>+IF((C5636&gt;='Resultats - informe'!$E$16)*(C5636&lt;='Resultats - informe'!$G$16),1,0)</f>
        <v>1</v>
      </c>
      <c r="M5636" s="369" cm="1">
        <f t="array" ref="M5636">+_xlfn.IFS((C5636&gt;='Resultats - informe'!$D$26)*(C5636&lt;='Resultats - informe'!$E$26),0,(C5636&gt;='Resultats - informe'!$D$27)*(C5636&lt;='Resultats - informe'!$E$27),0,(C5636&gt;='Resultats - informe'!$D$28)*(C5636&lt;='Resultats - informe'!$E$28),0,(C5636&gt;='Resultats - informe'!$D$29)*(C5636&lt;='Resultats - informe'!$E$29),0,1,1)</f>
        <v>0</v>
      </c>
      <c r="N5636" s="366">
        <f>+VLOOKUP(D5636,'Resultats - informe'!$Y$18:$AG$42,'Introducció dades consum'!K5636+1,0)</f>
        <v>0</v>
      </c>
      <c r="O5636" s="370" cm="1">
        <f t="array" ref="O5636">+_xlfn.SWITCH(MONTH(C5636),1,1,2,1,3,1,4,2,5,2,6,3,7,3,8,3,9,3,10,2,11,2,12,1,2)</f>
        <v>1</v>
      </c>
      <c r="P5636" s="43"/>
    </row>
    <row r="5637" spans="1:16" ht="18" x14ac:dyDescent="0.35">
      <c r="A5637" s="9"/>
      <c r="C5637" s="393"/>
      <c r="E5637" s="394"/>
      <c r="F5637" s="394">
        <v>0.45700000000000002</v>
      </c>
      <c r="G5637" s="394"/>
      <c r="H5637" s="8" t="s">
        <v>235</v>
      </c>
      <c r="I5637" s="368">
        <f t="shared" si="262"/>
        <v>0</v>
      </c>
      <c r="J5637" s="365">
        <f t="shared" si="264"/>
        <v>0</v>
      </c>
      <c r="K5637" s="369">
        <f t="shared" si="263"/>
        <v>6</v>
      </c>
      <c r="L5637" s="369">
        <f>+IF((C5637&gt;='Resultats - informe'!$E$16)*(C5637&lt;='Resultats - informe'!$G$16),1,0)</f>
        <v>1</v>
      </c>
      <c r="M5637" s="369" cm="1">
        <f t="array" ref="M5637">+_xlfn.IFS((C5637&gt;='Resultats - informe'!$D$26)*(C5637&lt;='Resultats - informe'!$E$26),0,(C5637&gt;='Resultats - informe'!$D$27)*(C5637&lt;='Resultats - informe'!$E$27),0,(C5637&gt;='Resultats - informe'!$D$28)*(C5637&lt;='Resultats - informe'!$E$28),0,(C5637&gt;='Resultats - informe'!$D$29)*(C5637&lt;='Resultats - informe'!$E$29),0,1,1)</f>
        <v>0</v>
      </c>
      <c r="N5637" s="366">
        <f>+VLOOKUP(D5637,'Resultats - informe'!$Y$18:$AG$42,'Introducció dades consum'!K5637+1,0)</f>
        <v>0</v>
      </c>
      <c r="O5637" s="370" cm="1">
        <f t="array" ref="O5637">+_xlfn.SWITCH(MONTH(C5637),1,1,2,1,3,1,4,2,5,2,6,3,7,3,8,3,9,3,10,2,11,2,12,1,2)</f>
        <v>1</v>
      </c>
      <c r="P5637" s="43"/>
    </row>
    <row r="5638" spans="1:16" ht="18" x14ac:dyDescent="0.35">
      <c r="A5638" s="9"/>
      <c r="C5638" s="393"/>
      <c r="E5638" s="394"/>
      <c r="F5638" s="394">
        <v>0.45200000000000001</v>
      </c>
      <c r="G5638" s="394"/>
      <c r="H5638" s="8" t="s">
        <v>235</v>
      </c>
      <c r="I5638" s="368">
        <f t="shared" ref="I5638:I5701" si="265">+E5638+G5638</f>
        <v>0</v>
      </c>
      <c r="J5638" s="365">
        <f t="shared" si="264"/>
        <v>0</v>
      </c>
      <c r="K5638" s="369">
        <f t="shared" ref="K5638:K5701" si="266">+WEEKDAY(C5638,2)</f>
        <v>6</v>
      </c>
      <c r="L5638" s="369">
        <f>+IF((C5638&gt;='Resultats - informe'!$E$16)*(C5638&lt;='Resultats - informe'!$G$16),1,0)</f>
        <v>1</v>
      </c>
      <c r="M5638" s="369" cm="1">
        <f t="array" ref="M5638">+_xlfn.IFS((C5638&gt;='Resultats - informe'!$D$26)*(C5638&lt;='Resultats - informe'!$E$26),0,(C5638&gt;='Resultats - informe'!$D$27)*(C5638&lt;='Resultats - informe'!$E$27),0,(C5638&gt;='Resultats - informe'!$D$28)*(C5638&lt;='Resultats - informe'!$E$28),0,(C5638&gt;='Resultats - informe'!$D$29)*(C5638&lt;='Resultats - informe'!$E$29),0,1,1)</f>
        <v>0</v>
      </c>
      <c r="N5638" s="366">
        <f>+VLOOKUP(D5638,'Resultats - informe'!$Y$18:$AG$42,'Introducció dades consum'!K5638+1,0)</f>
        <v>0</v>
      </c>
      <c r="O5638" s="370" cm="1">
        <f t="array" ref="O5638">+_xlfn.SWITCH(MONTH(C5638),1,1,2,1,3,1,4,2,5,2,6,3,7,3,8,3,9,3,10,2,11,2,12,1,2)</f>
        <v>1</v>
      </c>
      <c r="P5638" s="43"/>
    </row>
    <row r="5639" spans="1:16" ht="18" x14ac:dyDescent="0.35">
      <c r="A5639" s="9"/>
      <c r="C5639" s="393"/>
      <c r="E5639" s="394"/>
      <c r="F5639" s="394">
        <v>0.45400000000000001</v>
      </c>
      <c r="G5639" s="394"/>
      <c r="H5639" s="8" t="s">
        <v>235</v>
      </c>
      <c r="I5639" s="368">
        <f t="shared" si="265"/>
        <v>0</v>
      </c>
      <c r="J5639" s="365">
        <f t="shared" si="264"/>
        <v>0</v>
      </c>
      <c r="K5639" s="369">
        <f t="shared" si="266"/>
        <v>6</v>
      </c>
      <c r="L5639" s="369">
        <f>+IF((C5639&gt;='Resultats - informe'!$E$16)*(C5639&lt;='Resultats - informe'!$G$16),1,0)</f>
        <v>1</v>
      </c>
      <c r="M5639" s="369" cm="1">
        <f t="array" ref="M5639">+_xlfn.IFS((C5639&gt;='Resultats - informe'!$D$26)*(C5639&lt;='Resultats - informe'!$E$26),0,(C5639&gt;='Resultats - informe'!$D$27)*(C5639&lt;='Resultats - informe'!$E$27),0,(C5639&gt;='Resultats - informe'!$D$28)*(C5639&lt;='Resultats - informe'!$E$28),0,(C5639&gt;='Resultats - informe'!$D$29)*(C5639&lt;='Resultats - informe'!$E$29),0,1,1)</f>
        <v>0</v>
      </c>
      <c r="N5639" s="366">
        <f>+VLOOKUP(D5639,'Resultats - informe'!$Y$18:$AG$42,'Introducció dades consum'!K5639+1,0)</f>
        <v>0</v>
      </c>
      <c r="O5639" s="370" cm="1">
        <f t="array" ref="O5639">+_xlfn.SWITCH(MONTH(C5639),1,1,2,1,3,1,4,2,5,2,6,3,7,3,8,3,9,3,10,2,11,2,12,1,2)</f>
        <v>1</v>
      </c>
      <c r="P5639" s="43"/>
    </row>
    <row r="5640" spans="1:16" ht="18" x14ac:dyDescent="0.35">
      <c r="A5640" s="9"/>
      <c r="C5640" s="393"/>
      <c r="E5640" s="394"/>
      <c r="F5640" s="394">
        <v>0.45700000000000002</v>
      </c>
      <c r="G5640" s="394"/>
      <c r="H5640" s="8" t="s">
        <v>235</v>
      </c>
      <c r="I5640" s="368">
        <f t="shared" si="265"/>
        <v>0</v>
      </c>
      <c r="J5640" s="365">
        <f t="shared" si="264"/>
        <v>0</v>
      </c>
      <c r="K5640" s="369">
        <f t="shared" si="266"/>
        <v>6</v>
      </c>
      <c r="L5640" s="369">
        <f>+IF((C5640&gt;='Resultats - informe'!$E$16)*(C5640&lt;='Resultats - informe'!$G$16),1,0)</f>
        <v>1</v>
      </c>
      <c r="M5640" s="369" cm="1">
        <f t="array" ref="M5640">+_xlfn.IFS((C5640&gt;='Resultats - informe'!$D$26)*(C5640&lt;='Resultats - informe'!$E$26),0,(C5640&gt;='Resultats - informe'!$D$27)*(C5640&lt;='Resultats - informe'!$E$27),0,(C5640&gt;='Resultats - informe'!$D$28)*(C5640&lt;='Resultats - informe'!$E$28),0,(C5640&gt;='Resultats - informe'!$D$29)*(C5640&lt;='Resultats - informe'!$E$29),0,1,1)</f>
        <v>0</v>
      </c>
      <c r="N5640" s="366">
        <f>+VLOOKUP(D5640,'Resultats - informe'!$Y$18:$AG$42,'Introducció dades consum'!K5640+1,0)</f>
        <v>0</v>
      </c>
      <c r="O5640" s="370" cm="1">
        <f t="array" ref="O5640">+_xlfn.SWITCH(MONTH(C5640),1,1,2,1,3,1,4,2,5,2,6,3,7,3,8,3,9,3,10,2,11,2,12,1,2)</f>
        <v>1</v>
      </c>
      <c r="P5640" s="43"/>
    </row>
    <row r="5641" spans="1:16" ht="18" x14ac:dyDescent="0.35">
      <c r="A5641" s="9"/>
      <c r="C5641" s="393"/>
      <c r="E5641" s="394"/>
      <c r="F5641" s="394">
        <v>0</v>
      </c>
      <c r="G5641" s="394"/>
      <c r="H5641" s="8" t="s">
        <v>235</v>
      </c>
      <c r="I5641" s="368">
        <f t="shared" si="265"/>
        <v>0</v>
      </c>
      <c r="J5641" s="365">
        <f t="shared" si="264"/>
        <v>0</v>
      </c>
      <c r="K5641" s="369">
        <f t="shared" si="266"/>
        <v>6</v>
      </c>
      <c r="L5641" s="369">
        <f>+IF((C5641&gt;='Resultats - informe'!$E$16)*(C5641&lt;='Resultats - informe'!$G$16),1,0)</f>
        <v>1</v>
      </c>
      <c r="M5641" s="369" cm="1">
        <f t="array" ref="M5641">+_xlfn.IFS((C5641&gt;='Resultats - informe'!$D$26)*(C5641&lt;='Resultats - informe'!$E$26),0,(C5641&gt;='Resultats - informe'!$D$27)*(C5641&lt;='Resultats - informe'!$E$27),0,(C5641&gt;='Resultats - informe'!$D$28)*(C5641&lt;='Resultats - informe'!$E$28),0,(C5641&gt;='Resultats - informe'!$D$29)*(C5641&lt;='Resultats - informe'!$E$29),0,1,1)</f>
        <v>0</v>
      </c>
      <c r="N5641" s="366">
        <f>+VLOOKUP(D5641,'Resultats - informe'!$Y$18:$AG$42,'Introducció dades consum'!K5641+1,0)</f>
        <v>0</v>
      </c>
      <c r="O5641" s="370" cm="1">
        <f t="array" ref="O5641">+_xlfn.SWITCH(MONTH(C5641),1,1,2,1,3,1,4,2,5,2,6,3,7,3,8,3,9,3,10,2,11,2,12,1,2)</f>
        <v>1</v>
      </c>
      <c r="P5641" s="43"/>
    </row>
    <row r="5642" spans="1:16" ht="18" x14ac:dyDescent="0.35">
      <c r="A5642" s="9"/>
      <c r="C5642" s="393"/>
      <c r="E5642" s="394"/>
      <c r="F5642" s="394">
        <v>0</v>
      </c>
      <c r="G5642" s="394"/>
      <c r="H5642" s="8" t="s">
        <v>235</v>
      </c>
      <c r="I5642" s="368">
        <f t="shared" si="265"/>
        <v>0</v>
      </c>
      <c r="J5642" s="365">
        <f t="shared" si="264"/>
        <v>0</v>
      </c>
      <c r="K5642" s="369">
        <f t="shared" si="266"/>
        <v>6</v>
      </c>
      <c r="L5642" s="369">
        <f>+IF((C5642&gt;='Resultats - informe'!$E$16)*(C5642&lt;='Resultats - informe'!$G$16),1,0)</f>
        <v>1</v>
      </c>
      <c r="M5642" s="369" cm="1">
        <f t="array" ref="M5642">+_xlfn.IFS((C5642&gt;='Resultats - informe'!$D$26)*(C5642&lt;='Resultats - informe'!$E$26),0,(C5642&gt;='Resultats - informe'!$D$27)*(C5642&lt;='Resultats - informe'!$E$27),0,(C5642&gt;='Resultats - informe'!$D$28)*(C5642&lt;='Resultats - informe'!$E$28),0,(C5642&gt;='Resultats - informe'!$D$29)*(C5642&lt;='Resultats - informe'!$E$29),0,1,1)</f>
        <v>0</v>
      </c>
      <c r="N5642" s="366">
        <f>+VLOOKUP(D5642,'Resultats - informe'!$Y$18:$AG$42,'Introducció dades consum'!K5642+1,0)</f>
        <v>0</v>
      </c>
      <c r="O5642" s="370" cm="1">
        <f t="array" ref="O5642">+_xlfn.SWITCH(MONTH(C5642),1,1,2,1,3,1,4,2,5,2,6,3,7,3,8,3,9,3,10,2,11,2,12,1,2)</f>
        <v>1</v>
      </c>
      <c r="P5642" s="43"/>
    </row>
    <row r="5643" spans="1:16" ht="18" x14ac:dyDescent="0.35">
      <c r="A5643" s="9"/>
      <c r="C5643" s="393"/>
      <c r="E5643" s="394"/>
      <c r="F5643" s="394">
        <v>0</v>
      </c>
      <c r="G5643" s="394"/>
      <c r="H5643" s="8" t="s">
        <v>235</v>
      </c>
      <c r="I5643" s="368">
        <f t="shared" si="265"/>
        <v>0</v>
      </c>
      <c r="J5643" s="365">
        <f t="shared" si="264"/>
        <v>0</v>
      </c>
      <c r="K5643" s="369">
        <f t="shared" si="266"/>
        <v>6</v>
      </c>
      <c r="L5643" s="369">
        <f>+IF((C5643&gt;='Resultats - informe'!$E$16)*(C5643&lt;='Resultats - informe'!$G$16),1,0)</f>
        <v>1</v>
      </c>
      <c r="M5643" s="369" cm="1">
        <f t="array" ref="M5643">+_xlfn.IFS((C5643&gt;='Resultats - informe'!$D$26)*(C5643&lt;='Resultats - informe'!$E$26),0,(C5643&gt;='Resultats - informe'!$D$27)*(C5643&lt;='Resultats - informe'!$E$27),0,(C5643&gt;='Resultats - informe'!$D$28)*(C5643&lt;='Resultats - informe'!$E$28),0,(C5643&gt;='Resultats - informe'!$D$29)*(C5643&lt;='Resultats - informe'!$E$29),0,1,1)</f>
        <v>0</v>
      </c>
      <c r="N5643" s="366">
        <f>+VLOOKUP(D5643,'Resultats - informe'!$Y$18:$AG$42,'Introducció dades consum'!K5643+1,0)</f>
        <v>0</v>
      </c>
      <c r="O5643" s="370" cm="1">
        <f t="array" ref="O5643">+_xlfn.SWITCH(MONTH(C5643),1,1,2,1,3,1,4,2,5,2,6,3,7,3,8,3,9,3,10,2,11,2,12,1,2)</f>
        <v>1</v>
      </c>
      <c r="P5643" s="43"/>
    </row>
    <row r="5644" spans="1:16" ht="18" x14ac:dyDescent="0.35">
      <c r="A5644" s="9"/>
      <c r="C5644" s="393"/>
      <c r="E5644" s="394"/>
      <c r="F5644" s="394">
        <v>7.8E-2</v>
      </c>
      <c r="G5644" s="394"/>
      <c r="H5644" s="8" t="s">
        <v>235</v>
      </c>
      <c r="I5644" s="368">
        <f t="shared" si="265"/>
        <v>0</v>
      </c>
      <c r="J5644" s="365">
        <f t="shared" si="264"/>
        <v>0</v>
      </c>
      <c r="K5644" s="369">
        <f t="shared" si="266"/>
        <v>6</v>
      </c>
      <c r="L5644" s="369">
        <f>+IF((C5644&gt;='Resultats - informe'!$E$16)*(C5644&lt;='Resultats - informe'!$G$16),1,0)</f>
        <v>1</v>
      </c>
      <c r="M5644" s="369" cm="1">
        <f t="array" ref="M5644">+_xlfn.IFS((C5644&gt;='Resultats - informe'!$D$26)*(C5644&lt;='Resultats - informe'!$E$26),0,(C5644&gt;='Resultats - informe'!$D$27)*(C5644&lt;='Resultats - informe'!$E$27),0,(C5644&gt;='Resultats - informe'!$D$28)*(C5644&lt;='Resultats - informe'!$E$28),0,(C5644&gt;='Resultats - informe'!$D$29)*(C5644&lt;='Resultats - informe'!$E$29),0,1,1)</f>
        <v>0</v>
      </c>
      <c r="N5644" s="366">
        <f>+VLOOKUP(D5644,'Resultats - informe'!$Y$18:$AG$42,'Introducció dades consum'!K5644+1,0)</f>
        <v>0</v>
      </c>
      <c r="O5644" s="370" cm="1">
        <f t="array" ref="O5644">+_xlfn.SWITCH(MONTH(C5644),1,1,2,1,3,1,4,2,5,2,6,3,7,3,8,3,9,3,10,2,11,2,12,1,2)</f>
        <v>1</v>
      </c>
      <c r="P5644" s="43"/>
    </row>
    <row r="5645" spans="1:16" ht="18" x14ac:dyDescent="0.35">
      <c r="A5645" s="9"/>
      <c r="C5645" s="393"/>
      <c r="E5645" s="394"/>
      <c r="F5645" s="394">
        <v>0.45400000000000001</v>
      </c>
      <c r="G5645" s="394"/>
      <c r="H5645" s="8" t="s">
        <v>235</v>
      </c>
      <c r="I5645" s="368">
        <f t="shared" si="265"/>
        <v>0</v>
      </c>
      <c r="J5645" s="365">
        <f t="shared" si="264"/>
        <v>0</v>
      </c>
      <c r="K5645" s="369">
        <f t="shared" si="266"/>
        <v>6</v>
      </c>
      <c r="L5645" s="369">
        <f>+IF((C5645&gt;='Resultats - informe'!$E$16)*(C5645&lt;='Resultats - informe'!$G$16),1,0)</f>
        <v>1</v>
      </c>
      <c r="M5645" s="369" cm="1">
        <f t="array" ref="M5645">+_xlfn.IFS((C5645&gt;='Resultats - informe'!$D$26)*(C5645&lt;='Resultats - informe'!$E$26),0,(C5645&gt;='Resultats - informe'!$D$27)*(C5645&lt;='Resultats - informe'!$E$27),0,(C5645&gt;='Resultats - informe'!$D$28)*(C5645&lt;='Resultats - informe'!$E$28),0,(C5645&gt;='Resultats - informe'!$D$29)*(C5645&lt;='Resultats - informe'!$E$29),0,1,1)</f>
        <v>0</v>
      </c>
      <c r="N5645" s="366">
        <f>+VLOOKUP(D5645,'Resultats - informe'!$Y$18:$AG$42,'Introducció dades consum'!K5645+1,0)</f>
        <v>0</v>
      </c>
      <c r="O5645" s="370" cm="1">
        <f t="array" ref="O5645">+_xlfn.SWITCH(MONTH(C5645),1,1,2,1,3,1,4,2,5,2,6,3,7,3,8,3,9,3,10,2,11,2,12,1,2)</f>
        <v>1</v>
      </c>
      <c r="P5645" s="43"/>
    </row>
    <row r="5646" spans="1:16" ht="18" x14ac:dyDescent="0.35">
      <c r="A5646" s="9"/>
      <c r="C5646" s="393"/>
      <c r="E5646" s="394"/>
      <c r="F5646" s="394">
        <v>0.45400000000000001</v>
      </c>
      <c r="G5646" s="394"/>
      <c r="H5646" s="8" t="s">
        <v>235</v>
      </c>
      <c r="I5646" s="368">
        <f t="shared" si="265"/>
        <v>0</v>
      </c>
      <c r="J5646" s="365">
        <f t="shared" si="264"/>
        <v>0</v>
      </c>
      <c r="K5646" s="369">
        <f t="shared" si="266"/>
        <v>6</v>
      </c>
      <c r="L5646" s="369">
        <f>+IF((C5646&gt;='Resultats - informe'!$E$16)*(C5646&lt;='Resultats - informe'!$G$16),1,0)</f>
        <v>1</v>
      </c>
      <c r="M5646" s="369" cm="1">
        <f t="array" ref="M5646">+_xlfn.IFS((C5646&gt;='Resultats - informe'!$D$26)*(C5646&lt;='Resultats - informe'!$E$26),0,(C5646&gt;='Resultats - informe'!$D$27)*(C5646&lt;='Resultats - informe'!$E$27),0,(C5646&gt;='Resultats - informe'!$D$28)*(C5646&lt;='Resultats - informe'!$E$28),0,(C5646&gt;='Resultats - informe'!$D$29)*(C5646&lt;='Resultats - informe'!$E$29),0,1,1)</f>
        <v>0</v>
      </c>
      <c r="N5646" s="366">
        <f>+VLOOKUP(D5646,'Resultats - informe'!$Y$18:$AG$42,'Introducció dades consum'!K5646+1,0)</f>
        <v>0</v>
      </c>
      <c r="O5646" s="370" cm="1">
        <f t="array" ref="O5646">+_xlfn.SWITCH(MONTH(C5646),1,1,2,1,3,1,4,2,5,2,6,3,7,3,8,3,9,3,10,2,11,2,12,1,2)</f>
        <v>1</v>
      </c>
      <c r="P5646" s="43"/>
    </row>
    <row r="5647" spans="1:16" ht="18" x14ac:dyDescent="0.35">
      <c r="A5647" s="9"/>
      <c r="C5647" s="393"/>
      <c r="E5647" s="394"/>
      <c r="F5647" s="394">
        <v>0.45400000000000001</v>
      </c>
      <c r="G5647" s="394"/>
      <c r="H5647" s="8" t="s">
        <v>235</v>
      </c>
      <c r="I5647" s="368">
        <f t="shared" si="265"/>
        <v>0</v>
      </c>
      <c r="J5647" s="365">
        <f t="shared" si="264"/>
        <v>0</v>
      </c>
      <c r="K5647" s="369">
        <f t="shared" si="266"/>
        <v>6</v>
      </c>
      <c r="L5647" s="369">
        <f>+IF((C5647&gt;='Resultats - informe'!$E$16)*(C5647&lt;='Resultats - informe'!$G$16),1,0)</f>
        <v>1</v>
      </c>
      <c r="M5647" s="369" cm="1">
        <f t="array" ref="M5647">+_xlfn.IFS((C5647&gt;='Resultats - informe'!$D$26)*(C5647&lt;='Resultats - informe'!$E$26),0,(C5647&gt;='Resultats - informe'!$D$27)*(C5647&lt;='Resultats - informe'!$E$27),0,(C5647&gt;='Resultats - informe'!$D$28)*(C5647&lt;='Resultats - informe'!$E$28),0,(C5647&gt;='Resultats - informe'!$D$29)*(C5647&lt;='Resultats - informe'!$E$29),0,1,1)</f>
        <v>0</v>
      </c>
      <c r="N5647" s="366">
        <f>+VLOOKUP(D5647,'Resultats - informe'!$Y$18:$AG$42,'Introducció dades consum'!K5647+1,0)</f>
        <v>0</v>
      </c>
      <c r="O5647" s="370" cm="1">
        <f t="array" ref="O5647">+_xlfn.SWITCH(MONTH(C5647),1,1,2,1,3,1,4,2,5,2,6,3,7,3,8,3,9,3,10,2,11,2,12,1,2)</f>
        <v>1</v>
      </c>
      <c r="P5647" s="43"/>
    </row>
    <row r="5648" spans="1:16" ht="18" x14ac:dyDescent="0.35">
      <c r="A5648" s="9"/>
      <c r="C5648" s="393"/>
      <c r="E5648" s="394"/>
      <c r="F5648" s="394">
        <v>0.45300000000000001</v>
      </c>
      <c r="G5648" s="394"/>
      <c r="H5648" s="8" t="s">
        <v>235</v>
      </c>
      <c r="I5648" s="368">
        <f t="shared" si="265"/>
        <v>0</v>
      </c>
      <c r="J5648" s="365">
        <f t="shared" si="264"/>
        <v>0</v>
      </c>
      <c r="K5648" s="369">
        <f t="shared" si="266"/>
        <v>6</v>
      </c>
      <c r="L5648" s="369">
        <f>+IF((C5648&gt;='Resultats - informe'!$E$16)*(C5648&lt;='Resultats - informe'!$G$16),1,0)</f>
        <v>1</v>
      </c>
      <c r="M5648" s="369" cm="1">
        <f t="array" ref="M5648">+_xlfn.IFS((C5648&gt;='Resultats - informe'!$D$26)*(C5648&lt;='Resultats - informe'!$E$26),0,(C5648&gt;='Resultats - informe'!$D$27)*(C5648&lt;='Resultats - informe'!$E$27),0,(C5648&gt;='Resultats - informe'!$D$28)*(C5648&lt;='Resultats - informe'!$E$28),0,(C5648&gt;='Resultats - informe'!$D$29)*(C5648&lt;='Resultats - informe'!$E$29),0,1,1)</f>
        <v>0</v>
      </c>
      <c r="N5648" s="366">
        <f>+VLOOKUP(D5648,'Resultats - informe'!$Y$18:$AG$42,'Introducció dades consum'!K5648+1,0)</f>
        <v>0</v>
      </c>
      <c r="O5648" s="370" cm="1">
        <f t="array" ref="O5648">+_xlfn.SWITCH(MONTH(C5648),1,1,2,1,3,1,4,2,5,2,6,3,7,3,8,3,9,3,10,2,11,2,12,1,2)</f>
        <v>1</v>
      </c>
      <c r="P5648" s="43"/>
    </row>
    <row r="5649" spans="1:16" ht="18" x14ac:dyDescent="0.35">
      <c r="A5649" s="9"/>
      <c r="C5649" s="393"/>
      <c r="E5649" s="394"/>
      <c r="F5649" s="394">
        <v>0.44900000000000001</v>
      </c>
      <c r="G5649" s="394"/>
      <c r="H5649" s="8" t="s">
        <v>235</v>
      </c>
      <c r="I5649" s="368">
        <f t="shared" si="265"/>
        <v>0</v>
      </c>
      <c r="J5649" s="365">
        <f t="shared" si="264"/>
        <v>0</v>
      </c>
      <c r="K5649" s="369">
        <f t="shared" si="266"/>
        <v>6</v>
      </c>
      <c r="L5649" s="369">
        <f>+IF((C5649&gt;='Resultats - informe'!$E$16)*(C5649&lt;='Resultats - informe'!$G$16),1,0)</f>
        <v>1</v>
      </c>
      <c r="M5649" s="369" cm="1">
        <f t="array" ref="M5649">+_xlfn.IFS((C5649&gt;='Resultats - informe'!$D$26)*(C5649&lt;='Resultats - informe'!$E$26),0,(C5649&gt;='Resultats - informe'!$D$27)*(C5649&lt;='Resultats - informe'!$E$27),0,(C5649&gt;='Resultats - informe'!$D$28)*(C5649&lt;='Resultats - informe'!$E$28),0,(C5649&gt;='Resultats - informe'!$D$29)*(C5649&lt;='Resultats - informe'!$E$29),0,1,1)</f>
        <v>0</v>
      </c>
      <c r="N5649" s="366">
        <f>+VLOOKUP(D5649,'Resultats - informe'!$Y$18:$AG$42,'Introducció dades consum'!K5649+1,0)</f>
        <v>0</v>
      </c>
      <c r="O5649" s="370" cm="1">
        <f t="array" ref="O5649">+_xlfn.SWITCH(MONTH(C5649),1,1,2,1,3,1,4,2,5,2,6,3,7,3,8,3,9,3,10,2,11,2,12,1,2)</f>
        <v>1</v>
      </c>
      <c r="P5649" s="43"/>
    </row>
    <row r="5650" spans="1:16" ht="18" x14ac:dyDescent="0.35">
      <c r="A5650" s="9"/>
      <c r="C5650" s="393"/>
      <c r="E5650" s="394"/>
      <c r="F5650" s="394">
        <v>0.45500000000000002</v>
      </c>
      <c r="G5650" s="394"/>
      <c r="H5650" s="8" t="s">
        <v>235</v>
      </c>
      <c r="I5650" s="368">
        <f t="shared" si="265"/>
        <v>0</v>
      </c>
      <c r="J5650" s="365">
        <f t="shared" si="264"/>
        <v>0</v>
      </c>
      <c r="K5650" s="369">
        <f t="shared" si="266"/>
        <v>6</v>
      </c>
      <c r="L5650" s="369">
        <f>+IF((C5650&gt;='Resultats - informe'!$E$16)*(C5650&lt;='Resultats - informe'!$G$16),1,0)</f>
        <v>1</v>
      </c>
      <c r="M5650" s="369" cm="1">
        <f t="array" ref="M5650">+_xlfn.IFS((C5650&gt;='Resultats - informe'!$D$26)*(C5650&lt;='Resultats - informe'!$E$26),0,(C5650&gt;='Resultats - informe'!$D$27)*(C5650&lt;='Resultats - informe'!$E$27),0,(C5650&gt;='Resultats - informe'!$D$28)*(C5650&lt;='Resultats - informe'!$E$28),0,(C5650&gt;='Resultats - informe'!$D$29)*(C5650&lt;='Resultats - informe'!$E$29),0,1,1)</f>
        <v>0</v>
      </c>
      <c r="N5650" s="366">
        <f>+VLOOKUP(D5650,'Resultats - informe'!$Y$18:$AG$42,'Introducció dades consum'!K5650+1,0)</f>
        <v>0</v>
      </c>
      <c r="O5650" s="370" cm="1">
        <f t="array" ref="O5650">+_xlfn.SWITCH(MONTH(C5650),1,1,2,1,3,1,4,2,5,2,6,3,7,3,8,3,9,3,10,2,11,2,12,1,2)</f>
        <v>1</v>
      </c>
      <c r="P5650" s="43"/>
    </row>
    <row r="5651" spans="1:16" ht="18" x14ac:dyDescent="0.35">
      <c r="A5651" s="9"/>
      <c r="C5651" s="393"/>
      <c r="E5651" s="394"/>
      <c r="F5651" s="394">
        <v>0.45500000000000002</v>
      </c>
      <c r="G5651" s="394"/>
      <c r="H5651" s="8" t="s">
        <v>235</v>
      </c>
      <c r="I5651" s="368">
        <f t="shared" si="265"/>
        <v>0</v>
      </c>
      <c r="J5651" s="365">
        <f t="shared" si="264"/>
        <v>0</v>
      </c>
      <c r="K5651" s="369">
        <f t="shared" si="266"/>
        <v>6</v>
      </c>
      <c r="L5651" s="369">
        <f>+IF((C5651&gt;='Resultats - informe'!$E$16)*(C5651&lt;='Resultats - informe'!$G$16),1,0)</f>
        <v>1</v>
      </c>
      <c r="M5651" s="369" cm="1">
        <f t="array" ref="M5651">+_xlfn.IFS((C5651&gt;='Resultats - informe'!$D$26)*(C5651&lt;='Resultats - informe'!$E$26),0,(C5651&gt;='Resultats - informe'!$D$27)*(C5651&lt;='Resultats - informe'!$E$27),0,(C5651&gt;='Resultats - informe'!$D$28)*(C5651&lt;='Resultats - informe'!$E$28),0,(C5651&gt;='Resultats - informe'!$D$29)*(C5651&lt;='Resultats - informe'!$E$29),0,1,1)</f>
        <v>0</v>
      </c>
      <c r="N5651" s="366">
        <f>+VLOOKUP(D5651,'Resultats - informe'!$Y$18:$AG$42,'Introducció dades consum'!K5651+1,0)</f>
        <v>0</v>
      </c>
      <c r="O5651" s="370" cm="1">
        <f t="array" ref="O5651">+_xlfn.SWITCH(MONTH(C5651),1,1,2,1,3,1,4,2,5,2,6,3,7,3,8,3,9,3,10,2,11,2,12,1,2)</f>
        <v>1</v>
      </c>
      <c r="P5651" s="43"/>
    </row>
    <row r="5652" spans="1:16" ht="18" x14ac:dyDescent="0.35">
      <c r="A5652" s="9"/>
      <c r="C5652" s="393"/>
      <c r="E5652" s="394"/>
      <c r="F5652" s="394">
        <v>0.45600000000000002</v>
      </c>
      <c r="G5652" s="394"/>
      <c r="H5652" s="8" t="s">
        <v>235</v>
      </c>
      <c r="I5652" s="368">
        <f t="shared" si="265"/>
        <v>0</v>
      </c>
      <c r="J5652" s="365">
        <f t="shared" si="264"/>
        <v>0</v>
      </c>
      <c r="K5652" s="369">
        <f t="shared" si="266"/>
        <v>6</v>
      </c>
      <c r="L5652" s="369">
        <f>+IF((C5652&gt;='Resultats - informe'!$E$16)*(C5652&lt;='Resultats - informe'!$G$16),1,0)</f>
        <v>1</v>
      </c>
      <c r="M5652" s="369" cm="1">
        <f t="array" ref="M5652">+_xlfn.IFS((C5652&gt;='Resultats - informe'!$D$26)*(C5652&lt;='Resultats - informe'!$E$26),0,(C5652&gt;='Resultats - informe'!$D$27)*(C5652&lt;='Resultats - informe'!$E$27),0,(C5652&gt;='Resultats - informe'!$D$28)*(C5652&lt;='Resultats - informe'!$E$28),0,(C5652&gt;='Resultats - informe'!$D$29)*(C5652&lt;='Resultats - informe'!$E$29),0,1,1)</f>
        <v>0</v>
      </c>
      <c r="N5652" s="366">
        <f>+VLOOKUP(D5652,'Resultats - informe'!$Y$18:$AG$42,'Introducció dades consum'!K5652+1,0)</f>
        <v>0</v>
      </c>
      <c r="O5652" s="370" cm="1">
        <f t="array" ref="O5652">+_xlfn.SWITCH(MONTH(C5652),1,1,2,1,3,1,4,2,5,2,6,3,7,3,8,3,9,3,10,2,11,2,12,1,2)</f>
        <v>1</v>
      </c>
      <c r="P5652" s="43"/>
    </row>
    <row r="5653" spans="1:16" ht="18" x14ac:dyDescent="0.35">
      <c r="A5653" s="9"/>
      <c r="C5653" s="393"/>
      <c r="E5653" s="394"/>
      <c r="F5653" s="394">
        <v>0.45900000000000002</v>
      </c>
      <c r="G5653" s="394"/>
      <c r="H5653" s="8" t="s">
        <v>235</v>
      </c>
      <c r="I5653" s="368">
        <f t="shared" si="265"/>
        <v>0</v>
      </c>
      <c r="J5653" s="365">
        <f t="shared" si="264"/>
        <v>0</v>
      </c>
      <c r="K5653" s="369">
        <f t="shared" si="266"/>
        <v>6</v>
      </c>
      <c r="L5653" s="369">
        <f>+IF((C5653&gt;='Resultats - informe'!$E$16)*(C5653&lt;='Resultats - informe'!$G$16),1,0)</f>
        <v>1</v>
      </c>
      <c r="M5653" s="369" cm="1">
        <f t="array" ref="M5653">+_xlfn.IFS((C5653&gt;='Resultats - informe'!$D$26)*(C5653&lt;='Resultats - informe'!$E$26),0,(C5653&gt;='Resultats - informe'!$D$27)*(C5653&lt;='Resultats - informe'!$E$27),0,(C5653&gt;='Resultats - informe'!$D$28)*(C5653&lt;='Resultats - informe'!$E$28),0,(C5653&gt;='Resultats - informe'!$D$29)*(C5653&lt;='Resultats - informe'!$E$29),0,1,1)</f>
        <v>0</v>
      </c>
      <c r="N5653" s="366">
        <f>+VLOOKUP(D5653,'Resultats - informe'!$Y$18:$AG$42,'Introducció dades consum'!K5653+1,0)</f>
        <v>0</v>
      </c>
      <c r="O5653" s="370" cm="1">
        <f t="array" ref="O5653">+_xlfn.SWITCH(MONTH(C5653),1,1,2,1,3,1,4,2,5,2,6,3,7,3,8,3,9,3,10,2,11,2,12,1,2)</f>
        <v>1</v>
      </c>
      <c r="P5653" s="43"/>
    </row>
    <row r="5654" spans="1:16" ht="18" x14ac:dyDescent="0.35">
      <c r="A5654" s="9"/>
      <c r="C5654" s="393"/>
      <c r="E5654" s="394"/>
      <c r="F5654" s="394">
        <v>0.46</v>
      </c>
      <c r="G5654" s="394"/>
      <c r="H5654" s="8" t="s">
        <v>235</v>
      </c>
      <c r="I5654" s="368">
        <f t="shared" si="265"/>
        <v>0</v>
      </c>
      <c r="J5654" s="365">
        <f t="shared" si="264"/>
        <v>0</v>
      </c>
      <c r="K5654" s="369">
        <f t="shared" si="266"/>
        <v>6</v>
      </c>
      <c r="L5654" s="369">
        <f>+IF((C5654&gt;='Resultats - informe'!$E$16)*(C5654&lt;='Resultats - informe'!$G$16),1,0)</f>
        <v>1</v>
      </c>
      <c r="M5654" s="369" cm="1">
        <f t="array" ref="M5654">+_xlfn.IFS((C5654&gt;='Resultats - informe'!$D$26)*(C5654&lt;='Resultats - informe'!$E$26),0,(C5654&gt;='Resultats - informe'!$D$27)*(C5654&lt;='Resultats - informe'!$E$27),0,(C5654&gt;='Resultats - informe'!$D$28)*(C5654&lt;='Resultats - informe'!$E$28),0,(C5654&gt;='Resultats - informe'!$D$29)*(C5654&lt;='Resultats - informe'!$E$29),0,1,1)</f>
        <v>0</v>
      </c>
      <c r="N5654" s="366">
        <f>+VLOOKUP(D5654,'Resultats - informe'!$Y$18:$AG$42,'Introducció dades consum'!K5654+1,0)</f>
        <v>0</v>
      </c>
      <c r="O5654" s="370" cm="1">
        <f t="array" ref="O5654">+_xlfn.SWITCH(MONTH(C5654),1,1,2,1,3,1,4,2,5,2,6,3,7,3,8,3,9,3,10,2,11,2,12,1,2)</f>
        <v>1</v>
      </c>
      <c r="P5654" s="43"/>
    </row>
    <row r="5655" spans="1:16" ht="18" x14ac:dyDescent="0.35">
      <c r="A5655" s="9"/>
      <c r="C5655" s="393"/>
      <c r="E5655" s="394"/>
      <c r="F5655" s="394">
        <v>0.45900000000000002</v>
      </c>
      <c r="G5655" s="394"/>
      <c r="H5655" s="8" t="s">
        <v>235</v>
      </c>
      <c r="I5655" s="368">
        <f t="shared" si="265"/>
        <v>0</v>
      </c>
      <c r="J5655" s="365">
        <f t="shared" si="264"/>
        <v>0</v>
      </c>
      <c r="K5655" s="369">
        <f t="shared" si="266"/>
        <v>6</v>
      </c>
      <c r="L5655" s="369">
        <f>+IF((C5655&gt;='Resultats - informe'!$E$16)*(C5655&lt;='Resultats - informe'!$G$16),1,0)</f>
        <v>1</v>
      </c>
      <c r="M5655" s="369" cm="1">
        <f t="array" ref="M5655">+_xlfn.IFS((C5655&gt;='Resultats - informe'!$D$26)*(C5655&lt;='Resultats - informe'!$E$26),0,(C5655&gt;='Resultats - informe'!$D$27)*(C5655&lt;='Resultats - informe'!$E$27),0,(C5655&gt;='Resultats - informe'!$D$28)*(C5655&lt;='Resultats - informe'!$E$28),0,(C5655&gt;='Resultats - informe'!$D$29)*(C5655&lt;='Resultats - informe'!$E$29),0,1,1)</f>
        <v>0</v>
      </c>
      <c r="N5655" s="366">
        <f>+VLOOKUP(D5655,'Resultats - informe'!$Y$18:$AG$42,'Introducció dades consum'!K5655+1,0)</f>
        <v>0</v>
      </c>
      <c r="O5655" s="370" cm="1">
        <f t="array" ref="O5655">+_xlfn.SWITCH(MONTH(C5655),1,1,2,1,3,1,4,2,5,2,6,3,7,3,8,3,9,3,10,2,11,2,12,1,2)</f>
        <v>1</v>
      </c>
      <c r="P5655" s="43"/>
    </row>
    <row r="5656" spans="1:16" ht="18" x14ac:dyDescent="0.35">
      <c r="A5656" s="9"/>
      <c r="C5656" s="393"/>
      <c r="E5656" s="394"/>
      <c r="F5656" s="394">
        <v>0.45900000000000002</v>
      </c>
      <c r="G5656" s="394"/>
      <c r="H5656" s="8" t="s">
        <v>235</v>
      </c>
      <c r="I5656" s="368">
        <f t="shared" si="265"/>
        <v>0</v>
      </c>
      <c r="J5656" s="365">
        <f t="shared" si="264"/>
        <v>0</v>
      </c>
      <c r="K5656" s="369">
        <f t="shared" si="266"/>
        <v>6</v>
      </c>
      <c r="L5656" s="369">
        <f>+IF((C5656&gt;='Resultats - informe'!$E$16)*(C5656&lt;='Resultats - informe'!$G$16),1,0)</f>
        <v>1</v>
      </c>
      <c r="M5656" s="369" cm="1">
        <f t="array" ref="M5656">+_xlfn.IFS((C5656&gt;='Resultats - informe'!$D$26)*(C5656&lt;='Resultats - informe'!$E$26),0,(C5656&gt;='Resultats - informe'!$D$27)*(C5656&lt;='Resultats - informe'!$E$27),0,(C5656&gt;='Resultats - informe'!$D$28)*(C5656&lt;='Resultats - informe'!$E$28),0,(C5656&gt;='Resultats - informe'!$D$29)*(C5656&lt;='Resultats - informe'!$E$29),0,1,1)</f>
        <v>0</v>
      </c>
      <c r="N5656" s="366">
        <f>+VLOOKUP(D5656,'Resultats - informe'!$Y$18:$AG$42,'Introducció dades consum'!K5656+1,0)</f>
        <v>0</v>
      </c>
      <c r="O5656" s="370" cm="1">
        <f t="array" ref="O5656">+_xlfn.SWITCH(MONTH(C5656),1,1,2,1,3,1,4,2,5,2,6,3,7,3,8,3,9,3,10,2,11,2,12,1,2)</f>
        <v>1</v>
      </c>
      <c r="P5656" s="43"/>
    </row>
    <row r="5657" spans="1:16" ht="18" x14ac:dyDescent="0.35">
      <c r="A5657" s="9"/>
      <c r="C5657" s="393"/>
      <c r="E5657" s="394"/>
      <c r="F5657" s="394">
        <v>0.46</v>
      </c>
      <c r="G5657" s="394"/>
      <c r="H5657" s="8" t="s">
        <v>235</v>
      </c>
      <c r="I5657" s="368">
        <f t="shared" si="265"/>
        <v>0</v>
      </c>
      <c r="J5657" s="365">
        <f t="shared" si="264"/>
        <v>0</v>
      </c>
      <c r="K5657" s="369">
        <f t="shared" si="266"/>
        <v>6</v>
      </c>
      <c r="L5657" s="369">
        <f>+IF((C5657&gt;='Resultats - informe'!$E$16)*(C5657&lt;='Resultats - informe'!$G$16),1,0)</f>
        <v>1</v>
      </c>
      <c r="M5657" s="369" cm="1">
        <f t="array" ref="M5657">+_xlfn.IFS((C5657&gt;='Resultats - informe'!$D$26)*(C5657&lt;='Resultats - informe'!$E$26),0,(C5657&gt;='Resultats - informe'!$D$27)*(C5657&lt;='Resultats - informe'!$E$27),0,(C5657&gt;='Resultats - informe'!$D$28)*(C5657&lt;='Resultats - informe'!$E$28),0,(C5657&gt;='Resultats - informe'!$D$29)*(C5657&lt;='Resultats - informe'!$E$29),0,1,1)</f>
        <v>0</v>
      </c>
      <c r="N5657" s="366">
        <f>+VLOOKUP(D5657,'Resultats - informe'!$Y$18:$AG$42,'Introducció dades consum'!K5657+1,0)</f>
        <v>0</v>
      </c>
      <c r="O5657" s="370" cm="1">
        <f t="array" ref="O5657">+_xlfn.SWITCH(MONTH(C5657),1,1,2,1,3,1,4,2,5,2,6,3,7,3,8,3,9,3,10,2,11,2,12,1,2)</f>
        <v>1</v>
      </c>
      <c r="P5657" s="43"/>
    </row>
    <row r="5658" spans="1:16" ht="18" x14ac:dyDescent="0.35">
      <c r="A5658" s="9"/>
      <c r="C5658" s="393"/>
      <c r="E5658" s="394"/>
      <c r="F5658" s="394">
        <v>0.45900000000000002</v>
      </c>
      <c r="G5658" s="394"/>
      <c r="H5658" s="8" t="s">
        <v>235</v>
      </c>
      <c r="I5658" s="368">
        <f t="shared" si="265"/>
        <v>0</v>
      </c>
      <c r="J5658" s="365">
        <f t="shared" si="264"/>
        <v>0</v>
      </c>
      <c r="K5658" s="369">
        <f t="shared" si="266"/>
        <v>6</v>
      </c>
      <c r="L5658" s="369">
        <f>+IF((C5658&gt;='Resultats - informe'!$E$16)*(C5658&lt;='Resultats - informe'!$G$16),1,0)</f>
        <v>1</v>
      </c>
      <c r="M5658" s="369" cm="1">
        <f t="array" ref="M5658">+_xlfn.IFS((C5658&gt;='Resultats - informe'!$D$26)*(C5658&lt;='Resultats - informe'!$E$26),0,(C5658&gt;='Resultats - informe'!$D$27)*(C5658&lt;='Resultats - informe'!$E$27),0,(C5658&gt;='Resultats - informe'!$D$28)*(C5658&lt;='Resultats - informe'!$E$28),0,(C5658&gt;='Resultats - informe'!$D$29)*(C5658&lt;='Resultats - informe'!$E$29),0,1,1)</f>
        <v>0</v>
      </c>
      <c r="N5658" s="366">
        <f>+VLOOKUP(D5658,'Resultats - informe'!$Y$18:$AG$42,'Introducció dades consum'!K5658+1,0)</f>
        <v>0</v>
      </c>
      <c r="O5658" s="370" cm="1">
        <f t="array" ref="O5658">+_xlfn.SWITCH(MONTH(C5658),1,1,2,1,3,1,4,2,5,2,6,3,7,3,8,3,9,3,10,2,11,2,12,1,2)</f>
        <v>1</v>
      </c>
      <c r="P5658" s="43"/>
    </row>
    <row r="5659" spans="1:16" ht="18" x14ac:dyDescent="0.35">
      <c r="A5659" s="9"/>
      <c r="C5659" s="393"/>
      <c r="E5659" s="394"/>
      <c r="F5659" s="394">
        <v>0.45800000000000002</v>
      </c>
      <c r="G5659" s="394"/>
      <c r="H5659" s="8" t="s">
        <v>235</v>
      </c>
      <c r="I5659" s="368">
        <f t="shared" si="265"/>
        <v>0</v>
      </c>
      <c r="J5659" s="365">
        <f t="shared" si="264"/>
        <v>0</v>
      </c>
      <c r="K5659" s="369">
        <f t="shared" si="266"/>
        <v>6</v>
      </c>
      <c r="L5659" s="369">
        <f>+IF((C5659&gt;='Resultats - informe'!$E$16)*(C5659&lt;='Resultats - informe'!$G$16),1,0)</f>
        <v>1</v>
      </c>
      <c r="M5659" s="369" cm="1">
        <f t="array" ref="M5659">+_xlfn.IFS((C5659&gt;='Resultats - informe'!$D$26)*(C5659&lt;='Resultats - informe'!$E$26),0,(C5659&gt;='Resultats - informe'!$D$27)*(C5659&lt;='Resultats - informe'!$E$27),0,(C5659&gt;='Resultats - informe'!$D$28)*(C5659&lt;='Resultats - informe'!$E$28),0,(C5659&gt;='Resultats - informe'!$D$29)*(C5659&lt;='Resultats - informe'!$E$29),0,1,1)</f>
        <v>0</v>
      </c>
      <c r="N5659" s="366">
        <f>+VLOOKUP(D5659,'Resultats - informe'!$Y$18:$AG$42,'Introducció dades consum'!K5659+1,0)</f>
        <v>0</v>
      </c>
      <c r="O5659" s="370" cm="1">
        <f t="array" ref="O5659">+_xlfn.SWITCH(MONTH(C5659),1,1,2,1,3,1,4,2,5,2,6,3,7,3,8,3,9,3,10,2,11,2,12,1,2)</f>
        <v>1</v>
      </c>
      <c r="P5659" s="43"/>
    </row>
    <row r="5660" spans="1:16" ht="18" x14ac:dyDescent="0.35">
      <c r="A5660" s="9"/>
      <c r="C5660" s="393"/>
      <c r="E5660" s="394"/>
      <c r="F5660" s="394">
        <v>0.45700000000000002</v>
      </c>
      <c r="G5660" s="394"/>
      <c r="H5660" s="8" t="s">
        <v>235</v>
      </c>
      <c r="I5660" s="368">
        <f t="shared" si="265"/>
        <v>0</v>
      </c>
      <c r="J5660" s="365">
        <f t="shared" si="264"/>
        <v>0</v>
      </c>
      <c r="K5660" s="369">
        <f t="shared" si="266"/>
        <v>6</v>
      </c>
      <c r="L5660" s="369">
        <f>+IF((C5660&gt;='Resultats - informe'!$E$16)*(C5660&lt;='Resultats - informe'!$G$16),1,0)</f>
        <v>1</v>
      </c>
      <c r="M5660" s="369" cm="1">
        <f t="array" ref="M5660">+_xlfn.IFS((C5660&gt;='Resultats - informe'!$D$26)*(C5660&lt;='Resultats - informe'!$E$26),0,(C5660&gt;='Resultats - informe'!$D$27)*(C5660&lt;='Resultats - informe'!$E$27),0,(C5660&gt;='Resultats - informe'!$D$28)*(C5660&lt;='Resultats - informe'!$E$28),0,(C5660&gt;='Resultats - informe'!$D$29)*(C5660&lt;='Resultats - informe'!$E$29),0,1,1)</f>
        <v>0</v>
      </c>
      <c r="N5660" s="366">
        <f>+VLOOKUP(D5660,'Resultats - informe'!$Y$18:$AG$42,'Introducció dades consum'!K5660+1,0)</f>
        <v>0</v>
      </c>
      <c r="O5660" s="370" cm="1">
        <f t="array" ref="O5660">+_xlfn.SWITCH(MONTH(C5660),1,1,2,1,3,1,4,2,5,2,6,3,7,3,8,3,9,3,10,2,11,2,12,1,2)</f>
        <v>1</v>
      </c>
      <c r="P5660" s="43"/>
    </row>
    <row r="5661" spans="1:16" ht="18" x14ac:dyDescent="0.35">
      <c r="A5661" s="9"/>
      <c r="C5661" s="393"/>
      <c r="E5661" s="394"/>
      <c r="F5661" s="394">
        <v>0.45200000000000001</v>
      </c>
      <c r="G5661" s="394"/>
      <c r="H5661" s="8" t="s">
        <v>235</v>
      </c>
      <c r="I5661" s="368">
        <f t="shared" si="265"/>
        <v>0</v>
      </c>
      <c r="J5661" s="365">
        <f t="shared" si="264"/>
        <v>0</v>
      </c>
      <c r="K5661" s="369">
        <f t="shared" si="266"/>
        <v>6</v>
      </c>
      <c r="L5661" s="369">
        <f>+IF((C5661&gt;='Resultats - informe'!$E$16)*(C5661&lt;='Resultats - informe'!$G$16),1,0)</f>
        <v>1</v>
      </c>
      <c r="M5661" s="369" cm="1">
        <f t="array" ref="M5661">+_xlfn.IFS((C5661&gt;='Resultats - informe'!$D$26)*(C5661&lt;='Resultats - informe'!$E$26),0,(C5661&gt;='Resultats - informe'!$D$27)*(C5661&lt;='Resultats - informe'!$E$27),0,(C5661&gt;='Resultats - informe'!$D$28)*(C5661&lt;='Resultats - informe'!$E$28),0,(C5661&gt;='Resultats - informe'!$D$29)*(C5661&lt;='Resultats - informe'!$E$29),0,1,1)</f>
        <v>0</v>
      </c>
      <c r="N5661" s="366">
        <f>+VLOOKUP(D5661,'Resultats - informe'!$Y$18:$AG$42,'Introducció dades consum'!K5661+1,0)</f>
        <v>0</v>
      </c>
      <c r="O5661" s="370" cm="1">
        <f t="array" ref="O5661">+_xlfn.SWITCH(MONTH(C5661),1,1,2,1,3,1,4,2,5,2,6,3,7,3,8,3,9,3,10,2,11,2,12,1,2)</f>
        <v>1</v>
      </c>
      <c r="P5661" s="43"/>
    </row>
    <row r="5662" spans="1:16" ht="18" x14ac:dyDescent="0.35">
      <c r="A5662" s="9"/>
      <c r="C5662" s="393"/>
      <c r="E5662" s="394"/>
      <c r="F5662" s="394">
        <v>0.45100000000000001</v>
      </c>
      <c r="G5662" s="394"/>
      <c r="H5662" s="8" t="s">
        <v>235</v>
      </c>
      <c r="I5662" s="368">
        <f t="shared" si="265"/>
        <v>0</v>
      </c>
      <c r="J5662" s="365">
        <f t="shared" si="264"/>
        <v>0</v>
      </c>
      <c r="K5662" s="369">
        <f t="shared" si="266"/>
        <v>6</v>
      </c>
      <c r="L5662" s="369">
        <f>+IF((C5662&gt;='Resultats - informe'!$E$16)*(C5662&lt;='Resultats - informe'!$G$16),1,0)</f>
        <v>1</v>
      </c>
      <c r="M5662" s="369" cm="1">
        <f t="array" ref="M5662">+_xlfn.IFS((C5662&gt;='Resultats - informe'!$D$26)*(C5662&lt;='Resultats - informe'!$E$26),0,(C5662&gt;='Resultats - informe'!$D$27)*(C5662&lt;='Resultats - informe'!$E$27),0,(C5662&gt;='Resultats - informe'!$D$28)*(C5662&lt;='Resultats - informe'!$E$28),0,(C5662&gt;='Resultats - informe'!$D$29)*(C5662&lt;='Resultats - informe'!$E$29),0,1,1)</f>
        <v>0</v>
      </c>
      <c r="N5662" s="366">
        <f>+VLOOKUP(D5662,'Resultats - informe'!$Y$18:$AG$42,'Introducció dades consum'!K5662+1,0)</f>
        <v>0</v>
      </c>
      <c r="O5662" s="370" cm="1">
        <f t="array" ref="O5662">+_xlfn.SWITCH(MONTH(C5662),1,1,2,1,3,1,4,2,5,2,6,3,7,3,8,3,9,3,10,2,11,2,12,1,2)</f>
        <v>1</v>
      </c>
      <c r="P5662" s="43"/>
    </row>
    <row r="5663" spans="1:16" ht="18" x14ac:dyDescent="0.35">
      <c r="A5663" s="9"/>
      <c r="C5663" s="393"/>
      <c r="E5663" s="394"/>
      <c r="F5663" s="394">
        <v>0.45200000000000001</v>
      </c>
      <c r="G5663" s="394"/>
      <c r="H5663" s="8" t="s">
        <v>235</v>
      </c>
      <c r="I5663" s="368">
        <f t="shared" si="265"/>
        <v>0</v>
      </c>
      <c r="J5663" s="365">
        <f t="shared" si="264"/>
        <v>0</v>
      </c>
      <c r="K5663" s="369">
        <f t="shared" si="266"/>
        <v>6</v>
      </c>
      <c r="L5663" s="369">
        <f>+IF((C5663&gt;='Resultats - informe'!$E$16)*(C5663&lt;='Resultats - informe'!$G$16),1,0)</f>
        <v>1</v>
      </c>
      <c r="M5663" s="369" cm="1">
        <f t="array" ref="M5663">+_xlfn.IFS((C5663&gt;='Resultats - informe'!$D$26)*(C5663&lt;='Resultats - informe'!$E$26),0,(C5663&gt;='Resultats - informe'!$D$27)*(C5663&lt;='Resultats - informe'!$E$27),0,(C5663&gt;='Resultats - informe'!$D$28)*(C5663&lt;='Resultats - informe'!$E$28),0,(C5663&gt;='Resultats - informe'!$D$29)*(C5663&lt;='Resultats - informe'!$E$29),0,1,1)</f>
        <v>0</v>
      </c>
      <c r="N5663" s="366">
        <f>+VLOOKUP(D5663,'Resultats - informe'!$Y$18:$AG$42,'Introducció dades consum'!K5663+1,0)</f>
        <v>0</v>
      </c>
      <c r="O5663" s="370" cm="1">
        <f t="array" ref="O5663">+_xlfn.SWITCH(MONTH(C5663),1,1,2,1,3,1,4,2,5,2,6,3,7,3,8,3,9,3,10,2,11,2,12,1,2)</f>
        <v>1</v>
      </c>
      <c r="P5663" s="43"/>
    </row>
    <row r="5664" spans="1:16" ht="18" x14ac:dyDescent="0.35">
      <c r="A5664" s="9"/>
      <c r="C5664" s="393"/>
      <c r="E5664" s="394"/>
      <c r="F5664" s="394">
        <v>0.27400000000000002</v>
      </c>
      <c r="G5664" s="394"/>
      <c r="H5664" s="8" t="s">
        <v>235</v>
      </c>
      <c r="I5664" s="368">
        <f t="shared" si="265"/>
        <v>0</v>
      </c>
      <c r="J5664" s="365">
        <f t="shared" si="264"/>
        <v>0</v>
      </c>
      <c r="K5664" s="369">
        <f t="shared" si="266"/>
        <v>6</v>
      </c>
      <c r="L5664" s="369">
        <f>+IF((C5664&gt;='Resultats - informe'!$E$16)*(C5664&lt;='Resultats - informe'!$G$16),1,0)</f>
        <v>1</v>
      </c>
      <c r="M5664" s="369" cm="1">
        <f t="array" ref="M5664">+_xlfn.IFS((C5664&gt;='Resultats - informe'!$D$26)*(C5664&lt;='Resultats - informe'!$E$26),0,(C5664&gt;='Resultats - informe'!$D$27)*(C5664&lt;='Resultats - informe'!$E$27),0,(C5664&gt;='Resultats - informe'!$D$28)*(C5664&lt;='Resultats - informe'!$E$28),0,(C5664&gt;='Resultats - informe'!$D$29)*(C5664&lt;='Resultats - informe'!$E$29),0,1,1)</f>
        <v>0</v>
      </c>
      <c r="N5664" s="366">
        <f>+VLOOKUP(D5664,'Resultats - informe'!$Y$18:$AG$42,'Introducció dades consum'!K5664+1,0)</f>
        <v>0</v>
      </c>
      <c r="O5664" s="370" cm="1">
        <f t="array" ref="O5664">+_xlfn.SWITCH(MONTH(C5664),1,1,2,1,3,1,4,2,5,2,6,3,7,3,8,3,9,3,10,2,11,2,12,1,2)</f>
        <v>1</v>
      </c>
      <c r="P5664" s="43"/>
    </row>
    <row r="5665" spans="1:16" ht="18" x14ac:dyDescent="0.35">
      <c r="A5665" s="9"/>
      <c r="C5665" s="393"/>
      <c r="E5665" s="394"/>
      <c r="F5665" s="394">
        <v>0</v>
      </c>
      <c r="G5665" s="394"/>
      <c r="H5665" s="8" t="s">
        <v>235</v>
      </c>
      <c r="I5665" s="368">
        <f t="shared" si="265"/>
        <v>0</v>
      </c>
      <c r="J5665" s="365">
        <f t="shared" si="264"/>
        <v>0</v>
      </c>
      <c r="K5665" s="369">
        <f t="shared" si="266"/>
        <v>6</v>
      </c>
      <c r="L5665" s="369">
        <f>+IF((C5665&gt;='Resultats - informe'!$E$16)*(C5665&lt;='Resultats - informe'!$G$16),1,0)</f>
        <v>1</v>
      </c>
      <c r="M5665" s="369" cm="1">
        <f t="array" ref="M5665">+_xlfn.IFS((C5665&gt;='Resultats - informe'!$D$26)*(C5665&lt;='Resultats - informe'!$E$26),0,(C5665&gt;='Resultats - informe'!$D$27)*(C5665&lt;='Resultats - informe'!$E$27),0,(C5665&gt;='Resultats - informe'!$D$28)*(C5665&lt;='Resultats - informe'!$E$28),0,(C5665&gt;='Resultats - informe'!$D$29)*(C5665&lt;='Resultats - informe'!$E$29),0,1,1)</f>
        <v>0</v>
      </c>
      <c r="N5665" s="366">
        <f>+VLOOKUP(D5665,'Resultats - informe'!$Y$18:$AG$42,'Introducció dades consum'!K5665+1,0)</f>
        <v>0</v>
      </c>
      <c r="O5665" s="370" cm="1">
        <f t="array" ref="O5665">+_xlfn.SWITCH(MONTH(C5665),1,1,2,1,3,1,4,2,5,2,6,3,7,3,8,3,9,3,10,2,11,2,12,1,2)</f>
        <v>1</v>
      </c>
      <c r="P5665" s="43"/>
    </row>
    <row r="5666" spans="1:16" ht="18" x14ac:dyDescent="0.35">
      <c r="A5666" s="9"/>
      <c r="C5666" s="393"/>
      <c r="E5666" s="394"/>
      <c r="F5666" s="394">
        <v>0</v>
      </c>
      <c r="G5666" s="394"/>
      <c r="H5666" s="8" t="s">
        <v>235</v>
      </c>
      <c r="I5666" s="368">
        <f t="shared" si="265"/>
        <v>0</v>
      </c>
      <c r="J5666" s="365">
        <f t="shared" si="264"/>
        <v>0</v>
      </c>
      <c r="K5666" s="369">
        <f t="shared" si="266"/>
        <v>6</v>
      </c>
      <c r="L5666" s="369">
        <f>+IF((C5666&gt;='Resultats - informe'!$E$16)*(C5666&lt;='Resultats - informe'!$G$16),1,0)</f>
        <v>1</v>
      </c>
      <c r="M5666" s="369" cm="1">
        <f t="array" ref="M5666">+_xlfn.IFS((C5666&gt;='Resultats - informe'!$D$26)*(C5666&lt;='Resultats - informe'!$E$26),0,(C5666&gt;='Resultats - informe'!$D$27)*(C5666&lt;='Resultats - informe'!$E$27),0,(C5666&gt;='Resultats - informe'!$D$28)*(C5666&lt;='Resultats - informe'!$E$28),0,(C5666&gt;='Resultats - informe'!$D$29)*(C5666&lt;='Resultats - informe'!$E$29),0,1,1)</f>
        <v>0</v>
      </c>
      <c r="N5666" s="366">
        <f>+VLOOKUP(D5666,'Resultats - informe'!$Y$18:$AG$42,'Introducció dades consum'!K5666+1,0)</f>
        <v>0</v>
      </c>
      <c r="O5666" s="370" cm="1">
        <f t="array" ref="O5666">+_xlfn.SWITCH(MONTH(C5666),1,1,2,1,3,1,4,2,5,2,6,3,7,3,8,3,9,3,10,2,11,2,12,1,2)</f>
        <v>1</v>
      </c>
      <c r="P5666" s="43"/>
    </row>
    <row r="5667" spans="1:16" ht="18" x14ac:dyDescent="0.35">
      <c r="A5667" s="9"/>
      <c r="C5667" s="393"/>
      <c r="E5667" s="394"/>
      <c r="F5667" s="394">
        <v>0</v>
      </c>
      <c r="G5667" s="394"/>
      <c r="H5667" s="8" t="s">
        <v>235</v>
      </c>
      <c r="I5667" s="368">
        <f t="shared" si="265"/>
        <v>0</v>
      </c>
      <c r="J5667" s="365">
        <f t="shared" si="264"/>
        <v>0</v>
      </c>
      <c r="K5667" s="369">
        <f t="shared" si="266"/>
        <v>6</v>
      </c>
      <c r="L5667" s="369">
        <f>+IF((C5667&gt;='Resultats - informe'!$E$16)*(C5667&lt;='Resultats - informe'!$G$16),1,0)</f>
        <v>1</v>
      </c>
      <c r="M5667" s="369" cm="1">
        <f t="array" ref="M5667">+_xlfn.IFS((C5667&gt;='Resultats - informe'!$D$26)*(C5667&lt;='Resultats - informe'!$E$26),0,(C5667&gt;='Resultats - informe'!$D$27)*(C5667&lt;='Resultats - informe'!$E$27),0,(C5667&gt;='Resultats - informe'!$D$28)*(C5667&lt;='Resultats - informe'!$E$28),0,(C5667&gt;='Resultats - informe'!$D$29)*(C5667&lt;='Resultats - informe'!$E$29),0,1,1)</f>
        <v>0</v>
      </c>
      <c r="N5667" s="366">
        <f>+VLOOKUP(D5667,'Resultats - informe'!$Y$18:$AG$42,'Introducció dades consum'!K5667+1,0)</f>
        <v>0</v>
      </c>
      <c r="O5667" s="370" cm="1">
        <f t="array" ref="O5667">+_xlfn.SWITCH(MONTH(C5667),1,1,2,1,3,1,4,2,5,2,6,3,7,3,8,3,9,3,10,2,11,2,12,1,2)</f>
        <v>1</v>
      </c>
      <c r="P5667" s="43"/>
    </row>
    <row r="5668" spans="1:16" ht="18" x14ac:dyDescent="0.35">
      <c r="A5668" s="9"/>
      <c r="C5668" s="393"/>
      <c r="E5668" s="394"/>
      <c r="F5668" s="394">
        <v>6.9000000000000006E-2</v>
      </c>
      <c r="G5668" s="394"/>
      <c r="H5668" s="8" t="s">
        <v>235</v>
      </c>
      <c r="I5668" s="368">
        <f t="shared" si="265"/>
        <v>0</v>
      </c>
      <c r="J5668" s="365">
        <f t="shared" si="264"/>
        <v>0</v>
      </c>
      <c r="K5668" s="369">
        <f t="shared" si="266"/>
        <v>6</v>
      </c>
      <c r="L5668" s="369">
        <f>+IF((C5668&gt;='Resultats - informe'!$E$16)*(C5668&lt;='Resultats - informe'!$G$16),1,0)</f>
        <v>1</v>
      </c>
      <c r="M5668" s="369" cm="1">
        <f t="array" ref="M5668">+_xlfn.IFS((C5668&gt;='Resultats - informe'!$D$26)*(C5668&lt;='Resultats - informe'!$E$26),0,(C5668&gt;='Resultats - informe'!$D$27)*(C5668&lt;='Resultats - informe'!$E$27),0,(C5668&gt;='Resultats - informe'!$D$28)*(C5668&lt;='Resultats - informe'!$E$28),0,(C5668&gt;='Resultats - informe'!$D$29)*(C5668&lt;='Resultats - informe'!$E$29),0,1,1)</f>
        <v>0</v>
      </c>
      <c r="N5668" s="366">
        <f>+VLOOKUP(D5668,'Resultats - informe'!$Y$18:$AG$42,'Introducció dades consum'!K5668+1,0)</f>
        <v>0</v>
      </c>
      <c r="O5668" s="370" cm="1">
        <f t="array" ref="O5668">+_xlfn.SWITCH(MONTH(C5668),1,1,2,1,3,1,4,2,5,2,6,3,7,3,8,3,9,3,10,2,11,2,12,1,2)</f>
        <v>1</v>
      </c>
      <c r="P5668" s="43"/>
    </row>
    <row r="5669" spans="1:16" ht="18" x14ac:dyDescent="0.35">
      <c r="A5669" s="9"/>
      <c r="C5669" s="393"/>
      <c r="E5669" s="394"/>
      <c r="F5669" s="394">
        <v>0.44800000000000001</v>
      </c>
      <c r="G5669" s="394"/>
      <c r="H5669" s="8" t="s">
        <v>235</v>
      </c>
      <c r="I5669" s="368">
        <f t="shared" si="265"/>
        <v>0</v>
      </c>
      <c r="J5669" s="365">
        <f t="shared" si="264"/>
        <v>0</v>
      </c>
      <c r="K5669" s="369">
        <f t="shared" si="266"/>
        <v>6</v>
      </c>
      <c r="L5669" s="369">
        <f>+IF((C5669&gt;='Resultats - informe'!$E$16)*(C5669&lt;='Resultats - informe'!$G$16),1,0)</f>
        <v>1</v>
      </c>
      <c r="M5669" s="369" cm="1">
        <f t="array" ref="M5669">+_xlfn.IFS((C5669&gt;='Resultats - informe'!$D$26)*(C5669&lt;='Resultats - informe'!$E$26),0,(C5669&gt;='Resultats - informe'!$D$27)*(C5669&lt;='Resultats - informe'!$E$27),0,(C5669&gt;='Resultats - informe'!$D$28)*(C5669&lt;='Resultats - informe'!$E$28),0,(C5669&gt;='Resultats - informe'!$D$29)*(C5669&lt;='Resultats - informe'!$E$29),0,1,1)</f>
        <v>0</v>
      </c>
      <c r="N5669" s="366">
        <f>+VLOOKUP(D5669,'Resultats - informe'!$Y$18:$AG$42,'Introducció dades consum'!K5669+1,0)</f>
        <v>0</v>
      </c>
      <c r="O5669" s="370" cm="1">
        <f t="array" ref="O5669">+_xlfn.SWITCH(MONTH(C5669),1,1,2,1,3,1,4,2,5,2,6,3,7,3,8,3,9,3,10,2,11,2,12,1,2)</f>
        <v>1</v>
      </c>
      <c r="P5669" s="43"/>
    </row>
    <row r="5670" spans="1:16" ht="18" x14ac:dyDescent="0.35">
      <c r="A5670" s="9"/>
      <c r="C5670" s="393"/>
      <c r="E5670" s="394"/>
      <c r="F5670" s="394">
        <v>0.45200000000000001</v>
      </c>
      <c r="G5670" s="394"/>
      <c r="H5670" s="8" t="s">
        <v>235</v>
      </c>
      <c r="I5670" s="368">
        <f t="shared" si="265"/>
        <v>0</v>
      </c>
      <c r="J5670" s="365">
        <f t="shared" si="264"/>
        <v>0</v>
      </c>
      <c r="K5670" s="369">
        <f t="shared" si="266"/>
        <v>6</v>
      </c>
      <c r="L5670" s="369">
        <f>+IF((C5670&gt;='Resultats - informe'!$E$16)*(C5670&lt;='Resultats - informe'!$G$16),1,0)</f>
        <v>1</v>
      </c>
      <c r="M5670" s="369" cm="1">
        <f t="array" ref="M5670">+_xlfn.IFS((C5670&gt;='Resultats - informe'!$D$26)*(C5670&lt;='Resultats - informe'!$E$26),0,(C5670&gt;='Resultats - informe'!$D$27)*(C5670&lt;='Resultats - informe'!$E$27),0,(C5670&gt;='Resultats - informe'!$D$28)*(C5670&lt;='Resultats - informe'!$E$28),0,(C5670&gt;='Resultats - informe'!$D$29)*(C5670&lt;='Resultats - informe'!$E$29),0,1,1)</f>
        <v>0</v>
      </c>
      <c r="N5670" s="366">
        <f>+VLOOKUP(D5670,'Resultats - informe'!$Y$18:$AG$42,'Introducció dades consum'!K5670+1,0)</f>
        <v>0</v>
      </c>
      <c r="O5670" s="370" cm="1">
        <f t="array" ref="O5670">+_xlfn.SWITCH(MONTH(C5670),1,1,2,1,3,1,4,2,5,2,6,3,7,3,8,3,9,3,10,2,11,2,12,1,2)</f>
        <v>1</v>
      </c>
      <c r="P5670" s="43"/>
    </row>
    <row r="5671" spans="1:16" ht="18" x14ac:dyDescent="0.35">
      <c r="A5671" s="9"/>
      <c r="C5671" s="393"/>
      <c r="E5671" s="394"/>
      <c r="F5671" s="394">
        <v>0.45300000000000001</v>
      </c>
      <c r="G5671" s="394"/>
      <c r="H5671" s="8" t="s">
        <v>235</v>
      </c>
      <c r="I5671" s="368">
        <f t="shared" si="265"/>
        <v>0</v>
      </c>
      <c r="J5671" s="365">
        <f t="shared" si="264"/>
        <v>0</v>
      </c>
      <c r="K5671" s="369">
        <f t="shared" si="266"/>
        <v>6</v>
      </c>
      <c r="L5671" s="369">
        <f>+IF((C5671&gt;='Resultats - informe'!$E$16)*(C5671&lt;='Resultats - informe'!$G$16),1,0)</f>
        <v>1</v>
      </c>
      <c r="M5671" s="369" cm="1">
        <f t="array" ref="M5671">+_xlfn.IFS((C5671&gt;='Resultats - informe'!$D$26)*(C5671&lt;='Resultats - informe'!$E$26),0,(C5671&gt;='Resultats - informe'!$D$27)*(C5671&lt;='Resultats - informe'!$E$27),0,(C5671&gt;='Resultats - informe'!$D$28)*(C5671&lt;='Resultats - informe'!$E$28),0,(C5671&gt;='Resultats - informe'!$D$29)*(C5671&lt;='Resultats - informe'!$E$29),0,1,1)</f>
        <v>0</v>
      </c>
      <c r="N5671" s="366">
        <f>+VLOOKUP(D5671,'Resultats - informe'!$Y$18:$AG$42,'Introducció dades consum'!K5671+1,0)</f>
        <v>0</v>
      </c>
      <c r="O5671" s="370" cm="1">
        <f t="array" ref="O5671">+_xlfn.SWITCH(MONTH(C5671),1,1,2,1,3,1,4,2,5,2,6,3,7,3,8,3,9,3,10,2,11,2,12,1,2)</f>
        <v>1</v>
      </c>
      <c r="P5671" s="43"/>
    </row>
    <row r="5672" spans="1:16" ht="18" x14ac:dyDescent="0.35">
      <c r="A5672" s="9"/>
      <c r="C5672" s="393"/>
      <c r="E5672" s="394"/>
      <c r="F5672" s="394">
        <v>0.45300000000000001</v>
      </c>
      <c r="G5672" s="394"/>
      <c r="H5672" s="8" t="s">
        <v>235</v>
      </c>
      <c r="I5672" s="368">
        <f t="shared" si="265"/>
        <v>0</v>
      </c>
      <c r="J5672" s="365">
        <f t="shared" si="264"/>
        <v>0</v>
      </c>
      <c r="K5672" s="369">
        <f t="shared" si="266"/>
        <v>6</v>
      </c>
      <c r="L5672" s="369">
        <f>+IF((C5672&gt;='Resultats - informe'!$E$16)*(C5672&lt;='Resultats - informe'!$G$16),1,0)</f>
        <v>1</v>
      </c>
      <c r="M5672" s="369" cm="1">
        <f t="array" ref="M5672">+_xlfn.IFS((C5672&gt;='Resultats - informe'!$D$26)*(C5672&lt;='Resultats - informe'!$E$26),0,(C5672&gt;='Resultats - informe'!$D$27)*(C5672&lt;='Resultats - informe'!$E$27),0,(C5672&gt;='Resultats - informe'!$D$28)*(C5672&lt;='Resultats - informe'!$E$28),0,(C5672&gt;='Resultats - informe'!$D$29)*(C5672&lt;='Resultats - informe'!$E$29),0,1,1)</f>
        <v>0</v>
      </c>
      <c r="N5672" s="366">
        <f>+VLOOKUP(D5672,'Resultats - informe'!$Y$18:$AG$42,'Introducció dades consum'!K5672+1,0)</f>
        <v>0</v>
      </c>
      <c r="O5672" s="370" cm="1">
        <f t="array" ref="O5672">+_xlfn.SWITCH(MONTH(C5672),1,1,2,1,3,1,4,2,5,2,6,3,7,3,8,3,9,3,10,2,11,2,12,1,2)</f>
        <v>1</v>
      </c>
      <c r="P5672" s="43"/>
    </row>
    <row r="5673" spans="1:16" ht="18" x14ac:dyDescent="0.35">
      <c r="A5673" s="9"/>
      <c r="C5673" s="393"/>
      <c r="E5673" s="394"/>
      <c r="F5673" s="394">
        <v>0.45200000000000001</v>
      </c>
      <c r="G5673" s="394"/>
      <c r="H5673" s="8" t="s">
        <v>235</v>
      </c>
      <c r="I5673" s="368">
        <f t="shared" si="265"/>
        <v>0</v>
      </c>
      <c r="J5673" s="365">
        <f t="shared" si="264"/>
        <v>0</v>
      </c>
      <c r="K5673" s="369">
        <f t="shared" si="266"/>
        <v>6</v>
      </c>
      <c r="L5673" s="369">
        <f>+IF((C5673&gt;='Resultats - informe'!$E$16)*(C5673&lt;='Resultats - informe'!$G$16),1,0)</f>
        <v>1</v>
      </c>
      <c r="M5673" s="369" cm="1">
        <f t="array" ref="M5673">+_xlfn.IFS((C5673&gt;='Resultats - informe'!$D$26)*(C5673&lt;='Resultats - informe'!$E$26),0,(C5673&gt;='Resultats - informe'!$D$27)*(C5673&lt;='Resultats - informe'!$E$27),0,(C5673&gt;='Resultats - informe'!$D$28)*(C5673&lt;='Resultats - informe'!$E$28),0,(C5673&gt;='Resultats - informe'!$D$29)*(C5673&lt;='Resultats - informe'!$E$29),0,1,1)</f>
        <v>0</v>
      </c>
      <c r="N5673" s="366">
        <f>+VLOOKUP(D5673,'Resultats - informe'!$Y$18:$AG$42,'Introducció dades consum'!K5673+1,0)</f>
        <v>0</v>
      </c>
      <c r="O5673" s="370" cm="1">
        <f t="array" ref="O5673">+_xlfn.SWITCH(MONTH(C5673),1,1,2,1,3,1,4,2,5,2,6,3,7,3,8,3,9,3,10,2,11,2,12,1,2)</f>
        <v>1</v>
      </c>
      <c r="P5673" s="43"/>
    </row>
    <row r="5674" spans="1:16" ht="18" x14ac:dyDescent="0.35">
      <c r="A5674" s="9"/>
      <c r="C5674" s="393"/>
      <c r="E5674" s="394"/>
      <c r="F5674" s="394">
        <v>0.45500000000000002</v>
      </c>
      <c r="G5674" s="394"/>
      <c r="H5674" s="8" t="s">
        <v>235</v>
      </c>
      <c r="I5674" s="368">
        <f t="shared" si="265"/>
        <v>0</v>
      </c>
      <c r="J5674" s="365">
        <f t="shared" si="264"/>
        <v>0</v>
      </c>
      <c r="K5674" s="369">
        <f t="shared" si="266"/>
        <v>6</v>
      </c>
      <c r="L5674" s="369">
        <f>+IF((C5674&gt;='Resultats - informe'!$E$16)*(C5674&lt;='Resultats - informe'!$G$16),1,0)</f>
        <v>1</v>
      </c>
      <c r="M5674" s="369" cm="1">
        <f t="array" ref="M5674">+_xlfn.IFS((C5674&gt;='Resultats - informe'!$D$26)*(C5674&lt;='Resultats - informe'!$E$26),0,(C5674&gt;='Resultats - informe'!$D$27)*(C5674&lt;='Resultats - informe'!$E$27),0,(C5674&gt;='Resultats - informe'!$D$28)*(C5674&lt;='Resultats - informe'!$E$28),0,(C5674&gt;='Resultats - informe'!$D$29)*(C5674&lt;='Resultats - informe'!$E$29),0,1,1)</f>
        <v>0</v>
      </c>
      <c r="N5674" s="366">
        <f>+VLOOKUP(D5674,'Resultats - informe'!$Y$18:$AG$42,'Introducció dades consum'!K5674+1,0)</f>
        <v>0</v>
      </c>
      <c r="O5674" s="370" cm="1">
        <f t="array" ref="O5674">+_xlfn.SWITCH(MONTH(C5674),1,1,2,1,3,1,4,2,5,2,6,3,7,3,8,3,9,3,10,2,11,2,12,1,2)</f>
        <v>1</v>
      </c>
      <c r="P5674" s="43"/>
    </row>
    <row r="5675" spans="1:16" ht="18" x14ac:dyDescent="0.35">
      <c r="A5675" s="9"/>
      <c r="C5675" s="393"/>
      <c r="E5675" s="394"/>
      <c r="F5675" s="394">
        <v>0.437</v>
      </c>
      <c r="G5675" s="394"/>
      <c r="H5675" s="8" t="s">
        <v>235</v>
      </c>
      <c r="I5675" s="368">
        <f t="shared" si="265"/>
        <v>0</v>
      </c>
      <c r="J5675" s="365">
        <f t="shared" si="264"/>
        <v>0</v>
      </c>
      <c r="K5675" s="369">
        <f t="shared" si="266"/>
        <v>6</v>
      </c>
      <c r="L5675" s="369">
        <f>+IF((C5675&gt;='Resultats - informe'!$E$16)*(C5675&lt;='Resultats - informe'!$G$16),1,0)</f>
        <v>1</v>
      </c>
      <c r="M5675" s="369" cm="1">
        <f t="array" ref="M5675">+_xlfn.IFS((C5675&gt;='Resultats - informe'!$D$26)*(C5675&lt;='Resultats - informe'!$E$26),0,(C5675&gt;='Resultats - informe'!$D$27)*(C5675&lt;='Resultats - informe'!$E$27),0,(C5675&gt;='Resultats - informe'!$D$28)*(C5675&lt;='Resultats - informe'!$E$28),0,(C5675&gt;='Resultats - informe'!$D$29)*(C5675&lt;='Resultats - informe'!$E$29),0,1,1)</f>
        <v>0</v>
      </c>
      <c r="N5675" s="366">
        <f>+VLOOKUP(D5675,'Resultats - informe'!$Y$18:$AG$42,'Introducció dades consum'!K5675+1,0)</f>
        <v>0</v>
      </c>
      <c r="O5675" s="370" cm="1">
        <f t="array" ref="O5675">+_xlfn.SWITCH(MONTH(C5675),1,1,2,1,3,1,4,2,5,2,6,3,7,3,8,3,9,3,10,2,11,2,12,1,2)</f>
        <v>1</v>
      </c>
      <c r="P5675" s="43"/>
    </row>
    <row r="5676" spans="1:16" ht="18" x14ac:dyDescent="0.35">
      <c r="A5676" s="9"/>
      <c r="C5676" s="393"/>
      <c r="E5676" s="394"/>
      <c r="F5676" s="394">
        <v>1.0289999999999999</v>
      </c>
      <c r="G5676" s="394"/>
      <c r="H5676" s="8" t="s">
        <v>235</v>
      </c>
      <c r="I5676" s="368">
        <f t="shared" si="265"/>
        <v>0</v>
      </c>
      <c r="J5676" s="365">
        <f t="shared" si="264"/>
        <v>0</v>
      </c>
      <c r="K5676" s="369">
        <f t="shared" si="266"/>
        <v>6</v>
      </c>
      <c r="L5676" s="369">
        <f>+IF((C5676&gt;='Resultats - informe'!$E$16)*(C5676&lt;='Resultats - informe'!$G$16),1,0)</f>
        <v>1</v>
      </c>
      <c r="M5676" s="369" cm="1">
        <f t="array" ref="M5676">+_xlfn.IFS((C5676&gt;='Resultats - informe'!$D$26)*(C5676&lt;='Resultats - informe'!$E$26),0,(C5676&gt;='Resultats - informe'!$D$27)*(C5676&lt;='Resultats - informe'!$E$27),0,(C5676&gt;='Resultats - informe'!$D$28)*(C5676&lt;='Resultats - informe'!$E$28),0,(C5676&gt;='Resultats - informe'!$D$29)*(C5676&lt;='Resultats - informe'!$E$29),0,1,1)</f>
        <v>0</v>
      </c>
      <c r="N5676" s="366">
        <f>+VLOOKUP(D5676,'Resultats - informe'!$Y$18:$AG$42,'Introducció dades consum'!K5676+1,0)</f>
        <v>0</v>
      </c>
      <c r="O5676" s="370" cm="1">
        <f t="array" ref="O5676">+_xlfn.SWITCH(MONTH(C5676),1,1,2,1,3,1,4,2,5,2,6,3,7,3,8,3,9,3,10,2,11,2,12,1,2)</f>
        <v>1</v>
      </c>
      <c r="P5676" s="43"/>
    </row>
    <row r="5677" spans="1:16" ht="18" x14ac:dyDescent="0.35">
      <c r="A5677" s="9"/>
      <c r="C5677" s="393"/>
      <c r="E5677" s="394"/>
      <c r="F5677" s="394">
        <v>0.751</v>
      </c>
      <c r="G5677" s="394"/>
      <c r="H5677" s="8" t="s">
        <v>235</v>
      </c>
      <c r="I5677" s="368">
        <f t="shared" si="265"/>
        <v>0</v>
      </c>
      <c r="J5677" s="365">
        <f t="shared" si="264"/>
        <v>0</v>
      </c>
      <c r="K5677" s="369">
        <f t="shared" si="266"/>
        <v>6</v>
      </c>
      <c r="L5677" s="369">
        <f>+IF((C5677&gt;='Resultats - informe'!$E$16)*(C5677&lt;='Resultats - informe'!$G$16),1,0)</f>
        <v>1</v>
      </c>
      <c r="M5677" s="369" cm="1">
        <f t="array" ref="M5677">+_xlfn.IFS((C5677&gt;='Resultats - informe'!$D$26)*(C5677&lt;='Resultats - informe'!$E$26),0,(C5677&gt;='Resultats - informe'!$D$27)*(C5677&lt;='Resultats - informe'!$E$27),0,(C5677&gt;='Resultats - informe'!$D$28)*(C5677&lt;='Resultats - informe'!$E$28),0,(C5677&gt;='Resultats - informe'!$D$29)*(C5677&lt;='Resultats - informe'!$E$29),0,1,1)</f>
        <v>0</v>
      </c>
      <c r="N5677" s="366">
        <f>+VLOOKUP(D5677,'Resultats - informe'!$Y$18:$AG$42,'Introducció dades consum'!K5677+1,0)</f>
        <v>0</v>
      </c>
      <c r="O5677" s="370" cm="1">
        <f t="array" ref="O5677">+_xlfn.SWITCH(MONTH(C5677),1,1,2,1,3,1,4,2,5,2,6,3,7,3,8,3,9,3,10,2,11,2,12,1,2)</f>
        <v>1</v>
      </c>
      <c r="P5677" s="43"/>
    </row>
    <row r="5678" spans="1:16" ht="18" x14ac:dyDescent="0.35">
      <c r="A5678" s="9"/>
      <c r="C5678" s="393"/>
      <c r="E5678" s="394"/>
      <c r="F5678" s="394">
        <v>1.4</v>
      </c>
      <c r="G5678" s="394"/>
      <c r="H5678" s="8" t="s">
        <v>235</v>
      </c>
      <c r="I5678" s="368">
        <f t="shared" si="265"/>
        <v>0</v>
      </c>
      <c r="J5678" s="365">
        <f t="shared" si="264"/>
        <v>0</v>
      </c>
      <c r="K5678" s="369">
        <f t="shared" si="266"/>
        <v>6</v>
      </c>
      <c r="L5678" s="369">
        <f>+IF((C5678&gt;='Resultats - informe'!$E$16)*(C5678&lt;='Resultats - informe'!$G$16),1,0)</f>
        <v>1</v>
      </c>
      <c r="M5678" s="369" cm="1">
        <f t="array" ref="M5678">+_xlfn.IFS((C5678&gt;='Resultats - informe'!$D$26)*(C5678&lt;='Resultats - informe'!$E$26),0,(C5678&gt;='Resultats - informe'!$D$27)*(C5678&lt;='Resultats - informe'!$E$27),0,(C5678&gt;='Resultats - informe'!$D$28)*(C5678&lt;='Resultats - informe'!$E$28),0,(C5678&gt;='Resultats - informe'!$D$29)*(C5678&lt;='Resultats - informe'!$E$29),0,1,1)</f>
        <v>0</v>
      </c>
      <c r="N5678" s="366">
        <f>+VLOOKUP(D5678,'Resultats - informe'!$Y$18:$AG$42,'Introducció dades consum'!K5678+1,0)</f>
        <v>0</v>
      </c>
      <c r="O5678" s="370" cm="1">
        <f t="array" ref="O5678">+_xlfn.SWITCH(MONTH(C5678),1,1,2,1,3,1,4,2,5,2,6,3,7,3,8,3,9,3,10,2,11,2,12,1,2)</f>
        <v>1</v>
      </c>
      <c r="P5678" s="43"/>
    </row>
    <row r="5679" spans="1:16" ht="18" x14ac:dyDescent="0.35">
      <c r="A5679" s="9"/>
      <c r="C5679" s="393"/>
      <c r="E5679" s="394"/>
      <c r="F5679" s="394">
        <v>1.5229999999999999</v>
      </c>
      <c r="G5679" s="394"/>
      <c r="H5679" s="8" t="s">
        <v>235</v>
      </c>
      <c r="I5679" s="368">
        <f t="shared" si="265"/>
        <v>0</v>
      </c>
      <c r="J5679" s="365">
        <f t="shared" si="264"/>
        <v>0</v>
      </c>
      <c r="K5679" s="369">
        <f t="shared" si="266"/>
        <v>6</v>
      </c>
      <c r="L5679" s="369">
        <f>+IF((C5679&gt;='Resultats - informe'!$E$16)*(C5679&lt;='Resultats - informe'!$G$16),1,0)</f>
        <v>1</v>
      </c>
      <c r="M5679" s="369" cm="1">
        <f t="array" ref="M5679">+_xlfn.IFS((C5679&gt;='Resultats - informe'!$D$26)*(C5679&lt;='Resultats - informe'!$E$26),0,(C5679&gt;='Resultats - informe'!$D$27)*(C5679&lt;='Resultats - informe'!$E$27),0,(C5679&gt;='Resultats - informe'!$D$28)*(C5679&lt;='Resultats - informe'!$E$28),0,(C5679&gt;='Resultats - informe'!$D$29)*(C5679&lt;='Resultats - informe'!$E$29),0,1,1)</f>
        <v>0</v>
      </c>
      <c r="N5679" s="366">
        <f>+VLOOKUP(D5679,'Resultats - informe'!$Y$18:$AG$42,'Introducció dades consum'!K5679+1,0)</f>
        <v>0</v>
      </c>
      <c r="O5679" s="370" cm="1">
        <f t="array" ref="O5679">+_xlfn.SWITCH(MONTH(C5679),1,1,2,1,3,1,4,2,5,2,6,3,7,3,8,3,9,3,10,2,11,2,12,1,2)</f>
        <v>1</v>
      </c>
      <c r="P5679" s="43"/>
    </row>
    <row r="5680" spans="1:16" ht="18" x14ac:dyDescent="0.35">
      <c r="A5680" s="9"/>
      <c r="C5680" s="393"/>
      <c r="E5680" s="394"/>
      <c r="F5680" s="394">
        <v>1.649</v>
      </c>
      <c r="G5680" s="394"/>
      <c r="H5680" s="8" t="s">
        <v>235</v>
      </c>
      <c r="I5680" s="368">
        <f t="shared" si="265"/>
        <v>0</v>
      </c>
      <c r="J5680" s="365">
        <f t="shared" si="264"/>
        <v>0</v>
      </c>
      <c r="K5680" s="369">
        <f t="shared" si="266"/>
        <v>6</v>
      </c>
      <c r="L5680" s="369">
        <f>+IF((C5680&gt;='Resultats - informe'!$E$16)*(C5680&lt;='Resultats - informe'!$G$16),1,0)</f>
        <v>1</v>
      </c>
      <c r="M5680" s="369" cm="1">
        <f t="array" ref="M5680">+_xlfn.IFS((C5680&gt;='Resultats - informe'!$D$26)*(C5680&lt;='Resultats - informe'!$E$26),0,(C5680&gt;='Resultats - informe'!$D$27)*(C5680&lt;='Resultats - informe'!$E$27),0,(C5680&gt;='Resultats - informe'!$D$28)*(C5680&lt;='Resultats - informe'!$E$28),0,(C5680&gt;='Resultats - informe'!$D$29)*(C5680&lt;='Resultats - informe'!$E$29),0,1,1)</f>
        <v>0</v>
      </c>
      <c r="N5680" s="366">
        <f>+VLOOKUP(D5680,'Resultats - informe'!$Y$18:$AG$42,'Introducció dades consum'!K5680+1,0)</f>
        <v>0</v>
      </c>
      <c r="O5680" s="370" cm="1">
        <f t="array" ref="O5680">+_xlfn.SWITCH(MONTH(C5680),1,1,2,1,3,1,4,2,5,2,6,3,7,3,8,3,9,3,10,2,11,2,12,1,2)</f>
        <v>1</v>
      </c>
      <c r="P5680" s="43"/>
    </row>
    <row r="5681" spans="1:16" ht="18" x14ac:dyDescent="0.35">
      <c r="A5681" s="9"/>
      <c r="C5681" s="393"/>
      <c r="E5681" s="394"/>
      <c r="F5681" s="394">
        <v>1.647</v>
      </c>
      <c r="G5681" s="394"/>
      <c r="H5681" s="8" t="s">
        <v>235</v>
      </c>
      <c r="I5681" s="368">
        <f t="shared" si="265"/>
        <v>0</v>
      </c>
      <c r="J5681" s="365">
        <f t="shared" si="264"/>
        <v>0</v>
      </c>
      <c r="K5681" s="369">
        <f t="shared" si="266"/>
        <v>6</v>
      </c>
      <c r="L5681" s="369">
        <f>+IF((C5681&gt;='Resultats - informe'!$E$16)*(C5681&lt;='Resultats - informe'!$G$16),1,0)</f>
        <v>1</v>
      </c>
      <c r="M5681" s="369" cm="1">
        <f t="array" ref="M5681">+_xlfn.IFS((C5681&gt;='Resultats - informe'!$D$26)*(C5681&lt;='Resultats - informe'!$E$26),0,(C5681&gt;='Resultats - informe'!$D$27)*(C5681&lt;='Resultats - informe'!$E$27),0,(C5681&gt;='Resultats - informe'!$D$28)*(C5681&lt;='Resultats - informe'!$E$28),0,(C5681&gt;='Resultats - informe'!$D$29)*(C5681&lt;='Resultats - informe'!$E$29),0,1,1)</f>
        <v>0</v>
      </c>
      <c r="N5681" s="366">
        <f>+VLOOKUP(D5681,'Resultats - informe'!$Y$18:$AG$42,'Introducció dades consum'!K5681+1,0)</f>
        <v>0</v>
      </c>
      <c r="O5681" s="370" cm="1">
        <f t="array" ref="O5681">+_xlfn.SWITCH(MONTH(C5681),1,1,2,1,3,1,4,2,5,2,6,3,7,3,8,3,9,3,10,2,11,2,12,1,2)</f>
        <v>1</v>
      </c>
      <c r="P5681" s="43"/>
    </row>
    <row r="5682" spans="1:16" ht="18" x14ac:dyDescent="0.35">
      <c r="A5682" s="9"/>
      <c r="C5682" s="393"/>
      <c r="E5682" s="394"/>
      <c r="F5682" s="394">
        <v>0.94799999999999995</v>
      </c>
      <c r="G5682" s="394"/>
      <c r="H5682" s="8" t="s">
        <v>235</v>
      </c>
      <c r="I5682" s="368">
        <f t="shared" si="265"/>
        <v>0</v>
      </c>
      <c r="J5682" s="365">
        <f t="shared" si="264"/>
        <v>0</v>
      </c>
      <c r="K5682" s="369">
        <f t="shared" si="266"/>
        <v>6</v>
      </c>
      <c r="L5682" s="369">
        <f>+IF((C5682&gt;='Resultats - informe'!$E$16)*(C5682&lt;='Resultats - informe'!$G$16),1,0)</f>
        <v>1</v>
      </c>
      <c r="M5682" s="369" cm="1">
        <f t="array" ref="M5682">+_xlfn.IFS((C5682&gt;='Resultats - informe'!$D$26)*(C5682&lt;='Resultats - informe'!$E$26),0,(C5682&gt;='Resultats - informe'!$D$27)*(C5682&lt;='Resultats - informe'!$E$27),0,(C5682&gt;='Resultats - informe'!$D$28)*(C5682&lt;='Resultats - informe'!$E$28),0,(C5682&gt;='Resultats - informe'!$D$29)*(C5682&lt;='Resultats - informe'!$E$29),0,1,1)</f>
        <v>0</v>
      </c>
      <c r="N5682" s="366">
        <f>+VLOOKUP(D5682,'Resultats - informe'!$Y$18:$AG$42,'Introducció dades consum'!K5682+1,0)</f>
        <v>0</v>
      </c>
      <c r="O5682" s="370" cm="1">
        <f t="array" ref="O5682">+_xlfn.SWITCH(MONTH(C5682),1,1,2,1,3,1,4,2,5,2,6,3,7,3,8,3,9,3,10,2,11,2,12,1,2)</f>
        <v>1</v>
      </c>
      <c r="P5682" s="43"/>
    </row>
    <row r="5683" spans="1:16" ht="18" x14ac:dyDescent="0.35">
      <c r="A5683" s="9"/>
      <c r="C5683" s="393"/>
      <c r="E5683" s="394"/>
      <c r="F5683" s="394">
        <v>1.456</v>
      </c>
      <c r="G5683" s="394"/>
      <c r="H5683" s="8" t="s">
        <v>235</v>
      </c>
      <c r="I5683" s="368">
        <f t="shared" si="265"/>
        <v>0</v>
      </c>
      <c r="J5683" s="365">
        <f t="shared" si="264"/>
        <v>0</v>
      </c>
      <c r="K5683" s="369">
        <f t="shared" si="266"/>
        <v>6</v>
      </c>
      <c r="L5683" s="369">
        <f>+IF((C5683&gt;='Resultats - informe'!$E$16)*(C5683&lt;='Resultats - informe'!$G$16),1,0)</f>
        <v>1</v>
      </c>
      <c r="M5683" s="369" cm="1">
        <f t="array" ref="M5683">+_xlfn.IFS((C5683&gt;='Resultats - informe'!$D$26)*(C5683&lt;='Resultats - informe'!$E$26),0,(C5683&gt;='Resultats - informe'!$D$27)*(C5683&lt;='Resultats - informe'!$E$27),0,(C5683&gt;='Resultats - informe'!$D$28)*(C5683&lt;='Resultats - informe'!$E$28),0,(C5683&gt;='Resultats - informe'!$D$29)*(C5683&lt;='Resultats - informe'!$E$29),0,1,1)</f>
        <v>0</v>
      </c>
      <c r="N5683" s="366">
        <f>+VLOOKUP(D5683,'Resultats - informe'!$Y$18:$AG$42,'Introducció dades consum'!K5683+1,0)</f>
        <v>0</v>
      </c>
      <c r="O5683" s="370" cm="1">
        <f t="array" ref="O5683">+_xlfn.SWITCH(MONTH(C5683),1,1,2,1,3,1,4,2,5,2,6,3,7,3,8,3,9,3,10,2,11,2,12,1,2)</f>
        <v>1</v>
      </c>
      <c r="P5683" s="43"/>
    </row>
    <row r="5684" spans="1:16" ht="18" x14ac:dyDescent="0.35">
      <c r="A5684" s="9"/>
      <c r="C5684" s="393"/>
      <c r="E5684" s="394"/>
      <c r="F5684" s="394">
        <v>1.3839999999999999</v>
      </c>
      <c r="G5684" s="394"/>
      <c r="H5684" s="8" t="s">
        <v>235</v>
      </c>
      <c r="I5684" s="368">
        <f t="shared" si="265"/>
        <v>0</v>
      </c>
      <c r="J5684" s="365">
        <f t="shared" si="264"/>
        <v>0</v>
      </c>
      <c r="K5684" s="369">
        <f t="shared" si="266"/>
        <v>6</v>
      </c>
      <c r="L5684" s="369">
        <f>+IF((C5684&gt;='Resultats - informe'!$E$16)*(C5684&lt;='Resultats - informe'!$G$16),1,0)</f>
        <v>1</v>
      </c>
      <c r="M5684" s="369" cm="1">
        <f t="array" ref="M5684">+_xlfn.IFS((C5684&gt;='Resultats - informe'!$D$26)*(C5684&lt;='Resultats - informe'!$E$26),0,(C5684&gt;='Resultats - informe'!$D$27)*(C5684&lt;='Resultats - informe'!$E$27),0,(C5684&gt;='Resultats - informe'!$D$28)*(C5684&lt;='Resultats - informe'!$E$28),0,(C5684&gt;='Resultats - informe'!$D$29)*(C5684&lt;='Resultats - informe'!$E$29),0,1,1)</f>
        <v>0</v>
      </c>
      <c r="N5684" s="366">
        <f>+VLOOKUP(D5684,'Resultats - informe'!$Y$18:$AG$42,'Introducció dades consum'!K5684+1,0)</f>
        <v>0</v>
      </c>
      <c r="O5684" s="370" cm="1">
        <f t="array" ref="O5684">+_xlfn.SWITCH(MONTH(C5684),1,1,2,1,3,1,4,2,5,2,6,3,7,3,8,3,9,3,10,2,11,2,12,1,2)</f>
        <v>1</v>
      </c>
      <c r="P5684" s="43"/>
    </row>
    <row r="5685" spans="1:16" ht="18" x14ac:dyDescent="0.35">
      <c r="A5685" s="9"/>
      <c r="C5685" s="393"/>
      <c r="E5685" s="394"/>
      <c r="F5685" s="394">
        <v>1.05</v>
      </c>
      <c r="G5685" s="394"/>
      <c r="H5685" s="8" t="s">
        <v>235</v>
      </c>
      <c r="I5685" s="368">
        <f t="shared" si="265"/>
        <v>0</v>
      </c>
      <c r="J5685" s="365">
        <f t="shared" si="264"/>
        <v>0</v>
      </c>
      <c r="K5685" s="369">
        <f t="shared" si="266"/>
        <v>6</v>
      </c>
      <c r="L5685" s="369">
        <f>+IF((C5685&gt;='Resultats - informe'!$E$16)*(C5685&lt;='Resultats - informe'!$G$16),1,0)</f>
        <v>1</v>
      </c>
      <c r="M5685" s="369" cm="1">
        <f t="array" ref="M5685">+_xlfn.IFS((C5685&gt;='Resultats - informe'!$D$26)*(C5685&lt;='Resultats - informe'!$E$26),0,(C5685&gt;='Resultats - informe'!$D$27)*(C5685&lt;='Resultats - informe'!$E$27),0,(C5685&gt;='Resultats - informe'!$D$28)*(C5685&lt;='Resultats - informe'!$E$28),0,(C5685&gt;='Resultats - informe'!$D$29)*(C5685&lt;='Resultats - informe'!$E$29),0,1,1)</f>
        <v>0</v>
      </c>
      <c r="N5685" s="366">
        <f>+VLOOKUP(D5685,'Resultats - informe'!$Y$18:$AG$42,'Introducció dades consum'!K5685+1,0)</f>
        <v>0</v>
      </c>
      <c r="O5685" s="370" cm="1">
        <f t="array" ref="O5685">+_xlfn.SWITCH(MONTH(C5685),1,1,2,1,3,1,4,2,5,2,6,3,7,3,8,3,9,3,10,2,11,2,12,1,2)</f>
        <v>1</v>
      </c>
      <c r="P5685" s="43"/>
    </row>
    <row r="5686" spans="1:16" ht="18" x14ac:dyDescent="0.35">
      <c r="A5686" s="9"/>
      <c r="C5686" s="393"/>
      <c r="E5686" s="394"/>
      <c r="F5686" s="394">
        <v>2.2759999999999998</v>
      </c>
      <c r="G5686" s="394"/>
      <c r="H5686" s="8" t="s">
        <v>235</v>
      </c>
      <c r="I5686" s="368">
        <f t="shared" si="265"/>
        <v>0</v>
      </c>
      <c r="J5686" s="365">
        <f t="shared" si="264"/>
        <v>0</v>
      </c>
      <c r="K5686" s="369">
        <f t="shared" si="266"/>
        <v>6</v>
      </c>
      <c r="L5686" s="369">
        <f>+IF((C5686&gt;='Resultats - informe'!$E$16)*(C5686&lt;='Resultats - informe'!$G$16),1,0)</f>
        <v>1</v>
      </c>
      <c r="M5686" s="369" cm="1">
        <f t="array" ref="M5686">+_xlfn.IFS((C5686&gt;='Resultats - informe'!$D$26)*(C5686&lt;='Resultats - informe'!$E$26),0,(C5686&gt;='Resultats - informe'!$D$27)*(C5686&lt;='Resultats - informe'!$E$27),0,(C5686&gt;='Resultats - informe'!$D$28)*(C5686&lt;='Resultats - informe'!$E$28),0,(C5686&gt;='Resultats - informe'!$D$29)*(C5686&lt;='Resultats - informe'!$E$29),0,1,1)</f>
        <v>0</v>
      </c>
      <c r="N5686" s="366">
        <f>+VLOOKUP(D5686,'Resultats - informe'!$Y$18:$AG$42,'Introducció dades consum'!K5686+1,0)</f>
        <v>0</v>
      </c>
      <c r="O5686" s="370" cm="1">
        <f t="array" ref="O5686">+_xlfn.SWITCH(MONTH(C5686),1,1,2,1,3,1,4,2,5,2,6,3,7,3,8,3,9,3,10,2,11,2,12,1,2)</f>
        <v>1</v>
      </c>
      <c r="P5686" s="43"/>
    </row>
    <row r="5687" spans="1:16" ht="18" x14ac:dyDescent="0.35">
      <c r="A5687" s="9"/>
      <c r="C5687" s="393"/>
      <c r="E5687" s="394"/>
      <c r="F5687" s="394">
        <v>2.2909999999999999</v>
      </c>
      <c r="G5687" s="394"/>
      <c r="H5687" s="8" t="s">
        <v>235</v>
      </c>
      <c r="I5687" s="368">
        <f t="shared" si="265"/>
        <v>0</v>
      </c>
      <c r="J5687" s="365">
        <f t="shared" si="264"/>
        <v>0</v>
      </c>
      <c r="K5687" s="369">
        <f t="shared" si="266"/>
        <v>6</v>
      </c>
      <c r="L5687" s="369">
        <f>+IF((C5687&gt;='Resultats - informe'!$E$16)*(C5687&lt;='Resultats - informe'!$G$16),1,0)</f>
        <v>1</v>
      </c>
      <c r="M5687" s="369" cm="1">
        <f t="array" ref="M5687">+_xlfn.IFS((C5687&gt;='Resultats - informe'!$D$26)*(C5687&lt;='Resultats - informe'!$E$26),0,(C5687&gt;='Resultats - informe'!$D$27)*(C5687&lt;='Resultats - informe'!$E$27),0,(C5687&gt;='Resultats - informe'!$D$28)*(C5687&lt;='Resultats - informe'!$E$28),0,(C5687&gt;='Resultats - informe'!$D$29)*(C5687&lt;='Resultats - informe'!$E$29),0,1,1)</f>
        <v>0</v>
      </c>
      <c r="N5687" s="366">
        <f>+VLOOKUP(D5687,'Resultats - informe'!$Y$18:$AG$42,'Introducció dades consum'!K5687+1,0)</f>
        <v>0</v>
      </c>
      <c r="O5687" s="370" cm="1">
        <f t="array" ref="O5687">+_xlfn.SWITCH(MONTH(C5687),1,1,2,1,3,1,4,2,5,2,6,3,7,3,8,3,9,3,10,2,11,2,12,1,2)</f>
        <v>1</v>
      </c>
      <c r="P5687" s="43"/>
    </row>
    <row r="5688" spans="1:16" ht="18" x14ac:dyDescent="0.35">
      <c r="A5688" s="9"/>
      <c r="C5688" s="393"/>
      <c r="E5688" s="394"/>
      <c r="F5688" s="394">
        <v>2.266</v>
      </c>
      <c r="G5688" s="394"/>
      <c r="H5688" s="8" t="s">
        <v>235</v>
      </c>
      <c r="I5688" s="368">
        <f t="shared" si="265"/>
        <v>0</v>
      </c>
      <c r="J5688" s="365">
        <f t="shared" si="264"/>
        <v>0</v>
      </c>
      <c r="K5688" s="369">
        <f t="shared" si="266"/>
        <v>6</v>
      </c>
      <c r="L5688" s="369">
        <f>+IF((C5688&gt;='Resultats - informe'!$E$16)*(C5688&lt;='Resultats - informe'!$G$16),1,0)</f>
        <v>1</v>
      </c>
      <c r="M5688" s="369" cm="1">
        <f t="array" ref="M5688">+_xlfn.IFS((C5688&gt;='Resultats - informe'!$D$26)*(C5688&lt;='Resultats - informe'!$E$26),0,(C5688&gt;='Resultats - informe'!$D$27)*(C5688&lt;='Resultats - informe'!$E$27),0,(C5688&gt;='Resultats - informe'!$D$28)*(C5688&lt;='Resultats - informe'!$E$28),0,(C5688&gt;='Resultats - informe'!$D$29)*(C5688&lt;='Resultats - informe'!$E$29),0,1,1)</f>
        <v>0</v>
      </c>
      <c r="N5688" s="366">
        <f>+VLOOKUP(D5688,'Resultats - informe'!$Y$18:$AG$42,'Introducció dades consum'!K5688+1,0)</f>
        <v>0</v>
      </c>
      <c r="O5688" s="370" cm="1">
        <f t="array" ref="O5688">+_xlfn.SWITCH(MONTH(C5688),1,1,2,1,3,1,4,2,5,2,6,3,7,3,8,3,9,3,10,2,11,2,12,1,2)</f>
        <v>1</v>
      </c>
      <c r="P5688" s="43"/>
    </row>
    <row r="5689" spans="1:16" ht="18" x14ac:dyDescent="0.35">
      <c r="A5689" s="9"/>
      <c r="C5689" s="393"/>
      <c r="E5689" s="394"/>
      <c r="F5689" s="394">
        <v>2.0910000000000002</v>
      </c>
      <c r="G5689" s="394"/>
      <c r="H5689" s="8" t="s">
        <v>235</v>
      </c>
      <c r="I5689" s="368">
        <f t="shared" si="265"/>
        <v>0</v>
      </c>
      <c r="J5689" s="365">
        <f t="shared" si="264"/>
        <v>0</v>
      </c>
      <c r="K5689" s="369">
        <f t="shared" si="266"/>
        <v>6</v>
      </c>
      <c r="L5689" s="369">
        <f>+IF((C5689&gt;='Resultats - informe'!$E$16)*(C5689&lt;='Resultats - informe'!$G$16),1,0)</f>
        <v>1</v>
      </c>
      <c r="M5689" s="369" cm="1">
        <f t="array" ref="M5689">+_xlfn.IFS((C5689&gt;='Resultats - informe'!$D$26)*(C5689&lt;='Resultats - informe'!$E$26),0,(C5689&gt;='Resultats - informe'!$D$27)*(C5689&lt;='Resultats - informe'!$E$27),0,(C5689&gt;='Resultats - informe'!$D$28)*(C5689&lt;='Resultats - informe'!$E$28),0,(C5689&gt;='Resultats - informe'!$D$29)*(C5689&lt;='Resultats - informe'!$E$29),0,1,1)</f>
        <v>0</v>
      </c>
      <c r="N5689" s="366">
        <f>+VLOOKUP(D5689,'Resultats - informe'!$Y$18:$AG$42,'Introducció dades consum'!K5689+1,0)</f>
        <v>0</v>
      </c>
      <c r="O5689" s="370" cm="1">
        <f t="array" ref="O5689">+_xlfn.SWITCH(MONTH(C5689),1,1,2,1,3,1,4,2,5,2,6,3,7,3,8,3,9,3,10,2,11,2,12,1,2)</f>
        <v>1</v>
      </c>
      <c r="P5689" s="43"/>
    </row>
    <row r="5690" spans="1:16" ht="18" x14ac:dyDescent="0.35">
      <c r="A5690" s="9"/>
      <c r="C5690" s="393"/>
      <c r="E5690" s="394"/>
      <c r="F5690" s="394">
        <v>1.36</v>
      </c>
      <c r="G5690" s="394"/>
      <c r="H5690" s="8" t="s">
        <v>235</v>
      </c>
      <c r="I5690" s="368">
        <f t="shared" si="265"/>
        <v>0</v>
      </c>
      <c r="J5690" s="365">
        <f t="shared" si="264"/>
        <v>0</v>
      </c>
      <c r="K5690" s="369">
        <f t="shared" si="266"/>
        <v>6</v>
      </c>
      <c r="L5690" s="369">
        <f>+IF((C5690&gt;='Resultats - informe'!$E$16)*(C5690&lt;='Resultats - informe'!$G$16),1,0)</f>
        <v>1</v>
      </c>
      <c r="M5690" s="369" cm="1">
        <f t="array" ref="M5690">+_xlfn.IFS((C5690&gt;='Resultats - informe'!$D$26)*(C5690&lt;='Resultats - informe'!$E$26),0,(C5690&gt;='Resultats - informe'!$D$27)*(C5690&lt;='Resultats - informe'!$E$27),0,(C5690&gt;='Resultats - informe'!$D$28)*(C5690&lt;='Resultats - informe'!$E$28),0,(C5690&gt;='Resultats - informe'!$D$29)*(C5690&lt;='Resultats - informe'!$E$29),0,1,1)</f>
        <v>0</v>
      </c>
      <c r="N5690" s="366">
        <f>+VLOOKUP(D5690,'Resultats - informe'!$Y$18:$AG$42,'Introducció dades consum'!K5690+1,0)</f>
        <v>0</v>
      </c>
      <c r="O5690" s="370" cm="1">
        <f t="array" ref="O5690">+_xlfn.SWITCH(MONTH(C5690),1,1,2,1,3,1,4,2,5,2,6,3,7,3,8,3,9,3,10,2,11,2,12,1,2)</f>
        <v>1</v>
      </c>
      <c r="P5690" s="43"/>
    </row>
    <row r="5691" spans="1:16" ht="18" x14ac:dyDescent="0.35">
      <c r="A5691" s="9"/>
      <c r="C5691" s="393"/>
      <c r="E5691" s="394"/>
      <c r="F5691" s="394">
        <v>1.36</v>
      </c>
      <c r="G5691" s="394"/>
      <c r="H5691" s="8" t="s">
        <v>235</v>
      </c>
      <c r="I5691" s="368">
        <f t="shared" si="265"/>
        <v>0</v>
      </c>
      <c r="J5691" s="365">
        <f t="shared" ref="J5691:J5754" si="267">+C5691</f>
        <v>0</v>
      </c>
      <c r="K5691" s="369">
        <f t="shared" si="266"/>
        <v>6</v>
      </c>
      <c r="L5691" s="369">
        <f>+IF((C5691&gt;='Resultats - informe'!$E$16)*(C5691&lt;='Resultats - informe'!$G$16),1,0)</f>
        <v>1</v>
      </c>
      <c r="M5691" s="369" cm="1">
        <f t="array" ref="M5691">+_xlfn.IFS((C5691&gt;='Resultats - informe'!$D$26)*(C5691&lt;='Resultats - informe'!$E$26),0,(C5691&gt;='Resultats - informe'!$D$27)*(C5691&lt;='Resultats - informe'!$E$27),0,(C5691&gt;='Resultats - informe'!$D$28)*(C5691&lt;='Resultats - informe'!$E$28),0,(C5691&gt;='Resultats - informe'!$D$29)*(C5691&lt;='Resultats - informe'!$E$29),0,1,1)</f>
        <v>0</v>
      </c>
      <c r="N5691" s="366">
        <f>+VLOOKUP(D5691,'Resultats - informe'!$Y$18:$AG$42,'Introducció dades consum'!K5691+1,0)</f>
        <v>0</v>
      </c>
      <c r="O5691" s="370" cm="1">
        <f t="array" ref="O5691">+_xlfn.SWITCH(MONTH(C5691),1,1,2,1,3,1,4,2,5,2,6,3,7,3,8,3,9,3,10,2,11,2,12,1,2)</f>
        <v>1</v>
      </c>
      <c r="P5691" s="43"/>
    </row>
    <row r="5692" spans="1:16" ht="18" x14ac:dyDescent="0.35">
      <c r="A5692" s="9"/>
      <c r="C5692" s="393"/>
      <c r="E5692" s="394"/>
      <c r="F5692" s="394">
        <v>6.2E-2</v>
      </c>
      <c r="G5692" s="394"/>
      <c r="H5692" s="8" t="s">
        <v>235</v>
      </c>
      <c r="I5692" s="368">
        <f t="shared" si="265"/>
        <v>0</v>
      </c>
      <c r="J5692" s="365">
        <f t="shared" si="267"/>
        <v>0</v>
      </c>
      <c r="K5692" s="369">
        <f t="shared" si="266"/>
        <v>6</v>
      </c>
      <c r="L5692" s="369">
        <f>+IF((C5692&gt;='Resultats - informe'!$E$16)*(C5692&lt;='Resultats - informe'!$G$16),1,0)</f>
        <v>1</v>
      </c>
      <c r="M5692" s="369" cm="1">
        <f t="array" ref="M5692">+_xlfn.IFS((C5692&gt;='Resultats - informe'!$D$26)*(C5692&lt;='Resultats - informe'!$E$26),0,(C5692&gt;='Resultats - informe'!$D$27)*(C5692&lt;='Resultats - informe'!$E$27),0,(C5692&gt;='Resultats - informe'!$D$28)*(C5692&lt;='Resultats - informe'!$E$28),0,(C5692&gt;='Resultats - informe'!$D$29)*(C5692&lt;='Resultats - informe'!$E$29),0,1,1)</f>
        <v>0</v>
      </c>
      <c r="N5692" s="366">
        <f>+VLOOKUP(D5692,'Resultats - informe'!$Y$18:$AG$42,'Introducció dades consum'!K5692+1,0)</f>
        <v>0</v>
      </c>
      <c r="O5692" s="370" cm="1">
        <f t="array" ref="O5692">+_xlfn.SWITCH(MONTH(C5692),1,1,2,1,3,1,4,2,5,2,6,3,7,3,8,3,9,3,10,2,11,2,12,1,2)</f>
        <v>1</v>
      </c>
      <c r="P5692" s="43"/>
    </row>
    <row r="5693" spans="1:16" ht="18" x14ac:dyDescent="0.35">
      <c r="A5693" s="9"/>
      <c r="C5693" s="393"/>
      <c r="E5693" s="394"/>
      <c r="F5693" s="394">
        <v>0.44900000000000001</v>
      </c>
      <c r="G5693" s="394"/>
      <c r="H5693" s="8" t="s">
        <v>235</v>
      </c>
      <c r="I5693" s="368">
        <f t="shared" si="265"/>
        <v>0</v>
      </c>
      <c r="J5693" s="365">
        <f t="shared" si="267"/>
        <v>0</v>
      </c>
      <c r="K5693" s="369">
        <f t="shared" si="266"/>
        <v>6</v>
      </c>
      <c r="L5693" s="369">
        <f>+IF((C5693&gt;='Resultats - informe'!$E$16)*(C5693&lt;='Resultats - informe'!$G$16),1,0)</f>
        <v>1</v>
      </c>
      <c r="M5693" s="369" cm="1">
        <f t="array" ref="M5693">+_xlfn.IFS((C5693&gt;='Resultats - informe'!$D$26)*(C5693&lt;='Resultats - informe'!$E$26),0,(C5693&gt;='Resultats - informe'!$D$27)*(C5693&lt;='Resultats - informe'!$E$27),0,(C5693&gt;='Resultats - informe'!$D$28)*(C5693&lt;='Resultats - informe'!$E$28),0,(C5693&gt;='Resultats - informe'!$D$29)*(C5693&lt;='Resultats - informe'!$E$29),0,1,1)</f>
        <v>0</v>
      </c>
      <c r="N5693" s="366">
        <f>+VLOOKUP(D5693,'Resultats - informe'!$Y$18:$AG$42,'Introducció dades consum'!K5693+1,0)</f>
        <v>0</v>
      </c>
      <c r="O5693" s="370" cm="1">
        <f t="array" ref="O5693">+_xlfn.SWITCH(MONTH(C5693),1,1,2,1,3,1,4,2,5,2,6,3,7,3,8,3,9,3,10,2,11,2,12,1,2)</f>
        <v>1</v>
      </c>
      <c r="P5693" s="43"/>
    </row>
    <row r="5694" spans="1:16" ht="18" x14ac:dyDescent="0.35">
      <c r="A5694" s="9"/>
      <c r="C5694" s="393"/>
      <c r="E5694" s="394"/>
      <c r="F5694" s="394">
        <v>0.44700000000000001</v>
      </c>
      <c r="G5694" s="394"/>
      <c r="H5694" s="8" t="s">
        <v>235</v>
      </c>
      <c r="I5694" s="368">
        <f t="shared" si="265"/>
        <v>0</v>
      </c>
      <c r="J5694" s="365">
        <f t="shared" si="267"/>
        <v>0</v>
      </c>
      <c r="K5694" s="369">
        <f t="shared" si="266"/>
        <v>6</v>
      </c>
      <c r="L5694" s="369">
        <f>+IF((C5694&gt;='Resultats - informe'!$E$16)*(C5694&lt;='Resultats - informe'!$G$16),1,0)</f>
        <v>1</v>
      </c>
      <c r="M5694" s="369" cm="1">
        <f t="array" ref="M5694">+_xlfn.IFS((C5694&gt;='Resultats - informe'!$D$26)*(C5694&lt;='Resultats - informe'!$E$26),0,(C5694&gt;='Resultats - informe'!$D$27)*(C5694&lt;='Resultats - informe'!$E$27),0,(C5694&gt;='Resultats - informe'!$D$28)*(C5694&lt;='Resultats - informe'!$E$28),0,(C5694&gt;='Resultats - informe'!$D$29)*(C5694&lt;='Resultats - informe'!$E$29),0,1,1)</f>
        <v>0</v>
      </c>
      <c r="N5694" s="366">
        <f>+VLOOKUP(D5694,'Resultats - informe'!$Y$18:$AG$42,'Introducció dades consum'!K5694+1,0)</f>
        <v>0</v>
      </c>
      <c r="O5694" s="370" cm="1">
        <f t="array" ref="O5694">+_xlfn.SWITCH(MONTH(C5694),1,1,2,1,3,1,4,2,5,2,6,3,7,3,8,3,9,3,10,2,11,2,12,1,2)</f>
        <v>1</v>
      </c>
      <c r="P5694" s="43"/>
    </row>
    <row r="5695" spans="1:16" ht="18" x14ac:dyDescent="0.35">
      <c r="A5695" s="9"/>
      <c r="C5695" s="393"/>
      <c r="E5695" s="394"/>
      <c r="F5695" s="394">
        <v>0.44700000000000001</v>
      </c>
      <c r="G5695" s="394"/>
      <c r="H5695" s="8" t="s">
        <v>235</v>
      </c>
      <c r="I5695" s="368">
        <f t="shared" si="265"/>
        <v>0</v>
      </c>
      <c r="J5695" s="365">
        <f t="shared" si="267"/>
        <v>0</v>
      </c>
      <c r="K5695" s="369">
        <f t="shared" si="266"/>
        <v>6</v>
      </c>
      <c r="L5695" s="369">
        <f>+IF((C5695&gt;='Resultats - informe'!$E$16)*(C5695&lt;='Resultats - informe'!$G$16),1,0)</f>
        <v>1</v>
      </c>
      <c r="M5695" s="369" cm="1">
        <f t="array" ref="M5695">+_xlfn.IFS((C5695&gt;='Resultats - informe'!$D$26)*(C5695&lt;='Resultats - informe'!$E$26),0,(C5695&gt;='Resultats - informe'!$D$27)*(C5695&lt;='Resultats - informe'!$E$27),0,(C5695&gt;='Resultats - informe'!$D$28)*(C5695&lt;='Resultats - informe'!$E$28),0,(C5695&gt;='Resultats - informe'!$D$29)*(C5695&lt;='Resultats - informe'!$E$29),0,1,1)</f>
        <v>0</v>
      </c>
      <c r="N5695" s="366">
        <f>+VLOOKUP(D5695,'Resultats - informe'!$Y$18:$AG$42,'Introducció dades consum'!K5695+1,0)</f>
        <v>0</v>
      </c>
      <c r="O5695" s="370" cm="1">
        <f t="array" ref="O5695">+_xlfn.SWITCH(MONTH(C5695),1,1,2,1,3,1,4,2,5,2,6,3,7,3,8,3,9,3,10,2,11,2,12,1,2)</f>
        <v>1</v>
      </c>
      <c r="P5695" s="43"/>
    </row>
    <row r="5696" spans="1:16" ht="18" x14ac:dyDescent="0.35">
      <c r="A5696" s="9"/>
      <c r="C5696" s="393"/>
      <c r="E5696" s="394"/>
      <c r="F5696" s="394">
        <v>0.44400000000000001</v>
      </c>
      <c r="G5696" s="394"/>
      <c r="H5696" s="8" t="s">
        <v>235</v>
      </c>
      <c r="I5696" s="368">
        <f t="shared" si="265"/>
        <v>0</v>
      </c>
      <c r="J5696" s="365">
        <f t="shared" si="267"/>
        <v>0</v>
      </c>
      <c r="K5696" s="369">
        <f t="shared" si="266"/>
        <v>6</v>
      </c>
      <c r="L5696" s="369">
        <f>+IF((C5696&gt;='Resultats - informe'!$E$16)*(C5696&lt;='Resultats - informe'!$G$16),1,0)</f>
        <v>1</v>
      </c>
      <c r="M5696" s="369" cm="1">
        <f t="array" ref="M5696">+_xlfn.IFS((C5696&gt;='Resultats - informe'!$D$26)*(C5696&lt;='Resultats - informe'!$E$26),0,(C5696&gt;='Resultats - informe'!$D$27)*(C5696&lt;='Resultats - informe'!$E$27),0,(C5696&gt;='Resultats - informe'!$D$28)*(C5696&lt;='Resultats - informe'!$E$28),0,(C5696&gt;='Resultats - informe'!$D$29)*(C5696&lt;='Resultats - informe'!$E$29),0,1,1)</f>
        <v>0</v>
      </c>
      <c r="N5696" s="366">
        <f>+VLOOKUP(D5696,'Resultats - informe'!$Y$18:$AG$42,'Introducció dades consum'!K5696+1,0)</f>
        <v>0</v>
      </c>
      <c r="O5696" s="370" cm="1">
        <f t="array" ref="O5696">+_xlfn.SWITCH(MONTH(C5696),1,1,2,1,3,1,4,2,5,2,6,3,7,3,8,3,9,3,10,2,11,2,12,1,2)</f>
        <v>1</v>
      </c>
      <c r="P5696" s="43"/>
    </row>
    <row r="5697" spans="1:16" ht="18" x14ac:dyDescent="0.35">
      <c r="A5697" s="9"/>
      <c r="C5697" s="393"/>
      <c r="E5697" s="394"/>
      <c r="F5697" s="394">
        <v>0.44700000000000001</v>
      </c>
      <c r="G5697" s="394"/>
      <c r="H5697" s="8" t="s">
        <v>235</v>
      </c>
      <c r="I5697" s="368">
        <f t="shared" si="265"/>
        <v>0</v>
      </c>
      <c r="J5697" s="365">
        <f t="shared" si="267"/>
        <v>0</v>
      </c>
      <c r="K5697" s="369">
        <f t="shared" si="266"/>
        <v>6</v>
      </c>
      <c r="L5697" s="369">
        <f>+IF((C5697&gt;='Resultats - informe'!$E$16)*(C5697&lt;='Resultats - informe'!$G$16),1,0)</f>
        <v>1</v>
      </c>
      <c r="M5697" s="369" cm="1">
        <f t="array" ref="M5697">+_xlfn.IFS((C5697&gt;='Resultats - informe'!$D$26)*(C5697&lt;='Resultats - informe'!$E$26),0,(C5697&gt;='Resultats - informe'!$D$27)*(C5697&lt;='Resultats - informe'!$E$27),0,(C5697&gt;='Resultats - informe'!$D$28)*(C5697&lt;='Resultats - informe'!$E$28),0,(C5697&gt;='Resultats - informe'!$D$29)*(C5697&lt;='Resultats - informe'!$E$29),0,1,1)</f>
        <v>0</v>
      </c>
      <c r="N5697" s="366">
        <f>+VLOOKUP(D5697,'Resultats - informe'!$Y$18:$AG$42,'Introducció dades consum'!K5697+1,0)</f>
        <v>0</v>
      </c>
      <c r="O5697" s="370" cm="1">
        <f t="array" ref="O5697">+_xlfn.SWITCH(MONTH(C5697),1,1,2,1,3,1,4,2,5,2,6,3,7,3,8,3,9,3,10,2,11,2,12,1,2)</f>
        <v>1</v>
      </c>
      <c r="P5697" s="43"/>
    </row>
    <row r="5698" spans="1:16" ht="18" x14ac:dyDescent="0.35">
      <c r="A5698" s="9"/>
      <c r="C5698" s="393"/>
      <c r="E5698" s="394"/>
      <c r="F5698" s="394">
        <v>0.44700000000000001</v>
      </c>
      <c r="G5698" s="394"/>
      <c r="H5698" s="8" t="s">
        <v>235</v>
      </c>
      <c r="I5698" s="368">
        <f t="shared" si="265"/>
        <v>0</v>
      </c>
      <c r="J5698" s="365">
        <f t="shared" si="267"/>
        <v>0</v>
      </c>
      <c r="K5698" s="369">
        <f t="shared" si="266"/>
        <v>6</v>
      </c>
      <c r="L5698" s="369">
        <f>+IF((C5698&gt;='Resultats - informe'!$E$16)*(C5698&lt;='Resultats - informe'!$G$16),1,0)</f>
        <v>1</v>
      </c>
      <c r="M5698" s="369" cm="1">
        <f t="array" ref="M5698">+_xlfn.IFS((C5698&gt;='Resultats - informe'!$D$26)*(C5698&lt;='Resultats - informe'!$E$26),0,(C5698&gt;='Resultats - informe'!$D$27)*(C5698&lt;='Resultats - informe'!$E$27),0,(C5698&gt;='Resultats - informe'!$D$28)*(C5698&lt;='Resultats - informe'!$E$28),0,(C5698&gt;='Resultats - informe'!$D$29)*(C5698&lt;='Resultats - informe'!$E$29),0,1,1)</f>
        <v>0</v>
      </c>
      <c r="N5698" s="366">
        <f>+VLOOKUP(D5698,'Resultats - informe'!$Y$18:$AG$42,'Introducció dades consum'!K5698+1,0)</f>
        <v>0</v>
      </c>
      <c r="O5698" s="370" cm="1">
        <f t="array" ref="O5698">+_xlfn.SWITCH(MONTH(C5698),1,1,2,1,3,1,4,2,5,2,6,3,7,3,8,3,9,3,10,2,11,2,12,1,2)</f>
        <v>1</v>
      </c>
      <c r="P5698" s="43"/>
    </row>
    <row r="5699" spans="1:16" ht="18" x14ac:dyDescent="0.35">
      <c r="A5699" s="9"/>
      <c r="C5699" s="393"/>
      <c r="E5699" s="394"/>
      <c r="F5699" s="394">
        <v>0.432</v>
      </c>
      <c r="G5699" s="394"/>
      <c r="H5699" s="8" t="s">
        <v>235</v>
      </c>
      <c r="I5699" s="368">
        <f t="shared" si="265"/>
        <v>0</v>
      </c>
      <c r="J5699" s="365">
        <f t="shared" si="267"/>
        <v>0</v>
      </c>
      <c r="K5699" s="369">
        <f t="shared" si="266"/>
        <v>6</v>
      </c>
      <c r="L5699" s="369">
        <f>+IF((C5699&gt;='Resultats - informe'!$E$16)*(C5699&lt;='Resultats - informe'!$G$16),1,0)</f>
        <v>1</v>
      </c>
      <c r="M5699" s="369" cm="1">
        <f t="array" ref="M5699">+_xlfn.IFS((C5699&gt;='Resultats - informe'!$D$26)*(C5699&lt;='Resultats - informe'!$E$26),0,(C5699&gt;='Resultats - informe'!$D$27)*(C5699&lt;='Resultats - informe'!$E$27),0,(C5699&gt;='Resultats - informe'!$D$28)*(C5699&lt;='Resultats - informe'!$E$28),0,(C5699&gt;='Resultats - informe'!$D$29)*(C5699&lt;='Resultats - informe'!$E$29),0,1,1)</f>
        <v>0</v>
      </c>
      <c r="N5699" s="366">
        <f>+VLOOKUP(D5699,'Resultats - informe'!$Y$18:$AG$42,'Introducció dades consum'!K5699+1,0)</f>
        <v>0</v>
      </c>
      <c r="O5699" s="370" cm="1">
        <f t="array" ref="O5699">+_xlfn.SWITCH(MONTH(C5699),1,1,2,1,3,1,4,2,5,2,6,3,7,3,8,3,9,3,10,2,11,2,12,1,2)</f>
        <v>1</v>
      </c>
      <c r="P5699" s="43"/>
    </row>
    <row r="5700" spans="1:16" ht="18" x14ac:dyDescent="0.35">
      <c r="A5700" s="9"/>
      <c r="C5700" s="393"/>
      <c r="E5700" s="394"/>
      <c r="F5700" s="394">
        <v>0.875</v>
      </c>
      <c r="G5700" s="394"/>
      <c r="H5700" s="8" t="s">
        <v>235</v>
      </c>
      <c r="I5700" s="368">
        <f t="shared" si="265"/>
        <v>0</v>
      </c>
      <c r="J5700" s="365">
        <f t="shared" si="267"/>
        <v>0</v>
      </c>
      <c r="K5700" s="369">
        <f t="shared" si="266"/>
        <v>6</v>
      </c>
      <c r="L5700" s="369">
        <f>+IF((C5700&gt;='Resultats - informe'!$E$16)*(C5700&lt;='Resultats - informe'!$G$16),1,0)</f>
        <v>1</v>
      </c>
      <c r="M5700" s="369" cm="1">
        <f t="array" ref="M5700">+_xlfn.IFS((C5700&gt;='Resultats - informe'!$D$26)*(C5700&lt;='Resultats - informe'!$E$26),0,(C5700&gt;='Resultats - informe'!$D$27)*(C5700&lt;='Resultats - informe'!$E$27),0,(C5700&gt;='Resultats - informe'!$D$28)*(C5700&lt;='Resultats - informe'!$E$28),0,(C5700&gt;='Resultats - informe'!$D$29)*(C5700&lt;='Resultats - informe'!$E$29),0,1,1)</f>
        <v>0</v>
      </c>
      <c r="N5700" s="366">
        <f>+VLOOKUP(D5700,'Resultats - informe'!$Y$18:$AG$42,'Introducció dades consum'!K5700+1,0)</f>
        <v>0</v>
      </c>
      <c r="O5700" s="370" cm="1">
        <f t="array" ref="O5700">+_xlfn.SWITCH(MONTH(C5700),1,1,2,1,3,1,4,2,5,2,6,3,7,3,8,3,9,3,10,2,11,2,12,1,2)</f>
        <v>1</v>
      </c>
      <c r="P5700" s="43"/>
    </row>
    <row r="5701" spans="1:16" ht="18" x14ac:dyDescent="0.35">
      <c r="A5701" s="9"/>
      <c r="C5701" s="393"/>
      <c r="E5701" s="394"/>
      <c r="F5701" s="394">
        <v>0.68700000000000006</v>
      </c>
      <c r="G5701" s="394"/>
      <c r="H5701" s="8" t="s">
        <v>235</v>
      </c>
      <c r="I5701" s="368">
        <f t="shared" si="265"/>
        <v>0</v>
      </c>
      <c r="J5701" s="365">
        <f t="shared" si="267"/>
        <v>0</v>
      </c>
      <c r="K5701" s="369">
        <f t="shared" si="266"/>
        <v>6</v>
      </c>
      <c r="L5701" s="369">
        <f>+IF((C5701&gt;='Resultats - informe'!$E$16)*(C5701&lt;='Resultats - informe'!$G$16),1,0)</f>
        <v>1</v>
      </c>
      <c r="M5701" s="369" cm="1">
        <f t="array" ref="M5701">+_xlfn.IFS((C5701&gt;='Resultats - informe'!$D$26)*(C5701&lt;='Resultats - informe'!$E$26),0,(C5701&gt;='Resultats - informe'!$D$27)*(C5701&lt;='Resultats - informe'!$E$27),0,(C5701&gt;='Resultats - informe'!$D$28)*(C5701&lt;='Resultats - informe'!$E$28),0,(C5701&gt;='Resultats - informe'!$D$29)*(C5701&lt;='Resultats - informe'!$E$29),0,1,1)</f>
        <v>0</v>
      </c>
      <c r="N5701" s="366">
        <f>+VLOOKUP(D5701,'Resultats - informe'!$Y$18:$AG$42,'Introducció dades consum'!K5701+1,0)</f>
        <v>0</v>
      </c>
      <c r="O5701" s="370" cm="1">
        <f t="array" ref="O5701">+_xlfn.SWITCH(MONTH(C5701),1,1,2,1,3,1,4,2,5,2,6,3,7,3,8,3,9,3,10,2,11,2,12,1,2)</f>
        <v>1</v>
      </c>
      <c r="P5701" s="43"/>
    </row>
    <row r="5702" spans="1:16" ht="18" x14ac:dyDescent="0.35">
      <c r="A5702" s="9"/>
      <c r="C5702" s="393"/>
      <c r="E5702" s="394"/>
      <c r="F5702" s="394">
        <v>1.256</v>
      </c>
      <c r="G5702" s="394"/>
      <c r="H5702" s="8" t="s">
        <v>235</v>
      </c>
      <c r="I5702" s="368">
        <f t="shared" ref="I5702:I5765" si="268">+E5702+G5702</f>
        <v>0</v>
      </c>
      <c r="J5702" s="365">
        <f t="shared" si="267"/>
        <v>0</v>
      </c>
      <c r="K5702" s="369">
        <f t="shared" ref="K5702:K5765" si="269">+WEEKDAY(C5702,2)</f>
        <v>6</v>
      </c>
      <c r="L5702" s="369">
        <f>+IF((C5702&gt;='Resultats - informe'!$E$16)*(C5702&lt;='Resultats - informe'!$G$16),1,0)</f>
        <v>1</v>
      </c>
      <c r="M5702" s="369" cm="1">
        <f t="array" ref="M5702">+_xlfn.IFS((C5702&gt;='Resultats - informe'!$D$26)*(C5702&lt;='Resultats - informe'!$E$26),0,(C5702&gt;='Resultats - informe'!$D$27)*(C5702&lt;='Resultats - informe'!$E$27),0,(C5702&gt;='Resultats - informe'!$D$28)*(C5702&lt;='Resultats - informe'!$E$28),0,(C5702&gt;='Resultats - informe'!$D$29)*(C5702&lt;='Resultats - informe'!$E$29),0,1,1)</f>
        <v>0</v>
      </c>
      <c r="N5702" s="366">
        <f>+VLOOKUP(D5702,'Resultats - informe'!$Y$18:$AG$42,'Introducció dades consum'!K5702+1,0)</f>
        <v>0</v>
      </c>
      <c r="O5702" s="370" cm="1">
        <f t="array" ref="O5702">+_xlfn.SWITCH(MONTH(C5702),1,1,2,1,3,1,4,2,5,2,6,3,7,3,8,3,9,3,10,2,11,2,12,1,2)</f>
        <v>1</v>
      </c>
      <c r="P5702" s="43"/>
    </row>
    <row r="5703" spans="1:16" ht="18" x14ac:dyDescent="0.35">
      <c r="A5703" s="9"/>
      <c r="C5703" s="393"/>
      <c r="E5703" s="394"/>
      <c r="F5703" s="394">
        <v>1.385</v>
      </c>
      <c r="G5703" s="394"/>
      <c r="H5703" s="8" t="s">
        <v>235</v>
      </c>
      <c r="I5703" s="368">
        <f t="shared" si="268"/>
        <v>0</v>
      </c>
      <c r="J5703" s="365">
        <f t="shared" si="267"/>
        <v>0</v>
      </c>
      <c r="K5703" s="369">
        <f t="shared" si="269"/>
        <v>6</v>
      </c>
      <c r="L5703" s="369">
        <f>+IF((C5703&gt;='Resultats - informe'!$E$16)*(C5703&lt;='Resultats - informe'!$G$16),1,0)</f>
        <v>1</v>
      </c>
      <c r="M5703" s="369" cm="1">
        <f t="array" ref="M5703">+_xlfn.IFS((C5703&gt;='Resultats - informe'!$D$26)*(C5703&lt;='Resultats - informe'!$E$26),0,(C5703&gt;='Resultats - informe'!$D$27)*(C5703&lt;='Resultats - informe'!$E$27),0,(C5703&gt;='Resultats - informe'!$D$28)*(C5703&lt;='Resultats - informe'!$E$28),0,(C5703&gt;='Resultats - informe'!$D$29)*(C5703&lt;='Resultats - informe'!$E$29),0,1,1)</f>
        <v>0</v>
      </c>
      <c r="N5703" s="366">
        <f>+VLOOKUP(D5703,'Resultats - informe'!$Y$18:$AG$42,'Introducció dades consum'!K5703+1,0)</f>
        <v>0</v>
      </c>
      <c r="O5703" s="370" cm="1">
        <f t="array" ref="O5703">+_xlfn.SWITCH(MONTH(C5703),1,1,2,1,3,1,4,2,5,2,6,3,7,3,8,3,9,3,10,2,11,2,12,1,2)</f>
        <v>1</v>
      </c>
      <c r="P5703" s="43"/>
    </row>
    <row r="5704" spans="1:16" ht="18" x14ac:dyDescent="0.35">
      <c r="A5704" s="9"/>
      <c r="C5704" s="393"/>
      <c r="E5704" s="394"/>
      <c r="F5704" s="394">
        <v>1.393</v>
      </c>
      <c r="G5704" s="394"/>
      <c r="H5704" s="8" t="s">
        <v>235</v>
      </c>
      <c r="I5704" s="368">
        <f t="shared" si="268"/>
        <v>0</v>
      </c>
      <c r="J5704" s="365">
        <f t="shared" si="267"/>
        <v>0</v>
      </c>
      <c r="K5704" s="369">
        <f t="shared" si="269"/>
        <v>6</v>
      </c>
      <c r="L5704" s="369">
        <f>+IF((C5704&gt;='Resultats - informe'!$E$16)*(C5704&lt;='Resultats - informe'!$G$16),1,0)</f>
        <v>1</v>
      </c>
      <c r="M5704" s="369" cm="1">
        <f t="array" ref="M5704">+_xlfn.IFS((C5704&gt;='Resultats - informe'!$D$26)*(C5704&lt;='Resultats - informe'!$E$26),0,(C5704&gt;='Resultats - informe'!$D$27)*(C5704&lt;='Resultats - informe'!$E$27),0,(C5704&gt;='Resultats - informe'!$D$28)*(C5704&lt;='Resultats - informe'!$E$28),0,(C5704&gt;='Resultats - informe'!$D$29)*(C5704&lt;='Resultats - informe'!$E$29),0,1,1)</f>
        <v>0</v>
      </c>
      <c r="N5704" s="366">
        <f>+VLOOKUP(D5704,'Resultats - informe'!$Y$18:$AG$42,'Introducció dades consum'!K5704+1,0)</f>
        <v>0</v>
      </c>
      <c r="O5704" s="370" cm="1">
        <f t="array" ref="O5704">+_xlfn.SWITCH(MONTH(C5704),1,1,2,1,3,1,4,2,5,2,6,3,7,3,8,3,9,3,10,2,11,2,12,1,2)</f>
        <v>1</v>
      </c>
      <c r="P5704" s="43"/>
    </row>
    <row r="5705" spans="1:16" ht="18" x14ac:dyDescent="0.35">
      <c r="A5705" s="9"/>
      <c r="C5705" s="393"/>
      <c r="E5705" s="394"/>
      <c r="F5705" s="394">
        <v>1.2430000000000001</v>
      </c>
      <c r="G5705" s="394"/>
      <c r="H5705" s="8" t="s">
        <v>235</v>
      </c>
      <c r="I5705" s="368">
        <f t="shared" si="268"/>
        <v>0</v>
      </c>
      <c r="J5705" s="365">
        <f t="shared" si="267"/>
        <v>0</v>
      </c>
      <c r="K5705" s="369">
        <f t="shared" si="269"/>
        <v>6</v>
      </c>
      <c r="L5705" s="369">
        <f>+IF((C5705&gt;='Resultats - informe'!$E$16)*(C5705&lt;='Resultats - informe'!$G$16),1,0)</f>
        <v>1</v>
      </c>
      <c r="M5705" s="369" cm="1">
        <f t="array" ref="M5705">+_xlfn.IFS((C5705&gt;='Resultats - informe'!$D$26)*(C5705&lt;='Resultats - informe'!$E$26),0,(C5705&gt;='Resultats - informe'!$D$27)*(C5705&lt;='Resultats - informe'!$E$27),0,(C5705&gt;='Resultats - informe'!$D$28)*(C5705&lt;='Resultats - informe'!$E$28),0,(C5705&gt;='Resultats - informe'!$D$29)*(C5705&lt;='Resultats - informe'!$E$29),0,1,1)</f>
        <v>0</v>
      </c>
      <c r="N5705" s="366">
        <f>+VLOOKUP(D5705,'Resultats - informe'!$Y$18:$AG$42,'Introducció dades consum'!K5705+1,0)</f>
        <v>0</v>
      </c>
      <c r="O5705" s="370" cm="1">
        <f t="array" ref="O5705">+_xlfn.SWITCH(MONTH(C5705),1,1,2,1,3,1,4,2,5,2,6,3,7,3,8,3,9,3,10,2,11,2,12,1,2)</f>
        <v>1</v>
      </c>
      <c r="P5705" s="43"/>
    </row>
    <row r="5706" spans="1:16" ht="18" x14ac:dyDescent="0.35">
      <c r="A5706" s="9"/>
      <c r="C5706" s="393"/>
      <c r="E5706" s="394"/>
      <c r="F5706" s="394">
        <v>0.65300000000000002</v>
      </c>
      <c r="G5706" s="394"/>
      <c r="H5706" s="8" t="s">
        <v>235</v>
      </c>
      <c r="I5706" s="368">
        <f t="shared" si="268"/>
        <v>0</v>
      </c>
      <c r="J5706" s="365">
        <f t="shared" si="267"/>
        <v>0</v>
      </c>
      <c r="K5706" s="369">
        <f t="shared" si="269"/>
        <v>6</v>
      </c>
      <c r="L5706" s="369">
        <f>+IF((C5706&gt;='Resultats - informe'!$E$16)*(C5706&lt;='Resultats - informe'!$G$16),1,0)</f>
        <v>1</v>
      </c>
      <c r="M5706" s="369" cm="1">
        <f t="array" ref="M5706">+_xlfn.IFS((C5706&gt;='Resultats - informe'!$D$26)*(C5706&lt;='Resultats - informe'!$E$26),0,(C5706&gt;='Resultats - informe'!$D$27)*(C5706&lt;='Resultats - informe'!$E$27),0,(C5706&gt;='Resultats - informe'!$D$28)*(C5706&lt;='Resultats - informe'!$E$28),0,(C5706&gt;='Resultats - informe'!$D$29)*(C5706&lt;='Resultats - informe'!$E$29),0,1,1)</f>
        <v>0</v>
      </c>
      <c r="N5706" s="366">
        <f>+VLOOKUP(D5706,'Resultats - informe'!$Y$18:$AG$42,'Introducció dades consum'!K5706+1,0)</f>
        <v>0</v>
      </c>
      <c r="O5706" s="370" cm="1">
        <f t="array" ref="O5706">+_xlfn.SWITCH(MONTH(C5706),1,1,2,1,3,1,4,2,5,2,6,3,7,3,8,3,9,3,10,2,11,2,12,1,2)</f>
        <v>1</v>
      </c>
      <c r="P5706" s="43"/>
    </row>
    <row r="5707" spans="1:16" ht="18" x14ac:dyDescent="0.35">
      <c r="A5707" s="9"/>
      <c r="C5707" s="393"/>
      <c r="E5707" s="394"/>
      <c r="F5707" s="394">
        <v>1.514</v>
      </c>
      <c r="G5707" s="394"/>
      <c r="H5707" s="8" t="s">
        <v>235</v>
      </c>
      <c r="I5707" s="368">
        <f t="shared" si="268"/>
        <v>0</v>
      </c>
      <c r="J5707" s="365">
        <f t="shared" si="267"/>
        <v>0</v>
      </c>
      <c r="K5707" s="369">
        <f t="shared" si="269"/>
        <v>6</v>
      </c>
      <c r="L5707" s="369">
        <f>+IF((C5707&gt;='Resultats - informe'!$E$16)*(C5707&lt;='Resultats - informe'!$G$16),1,0)</f>
        <v>1</v>
      </c>
      <c r="M5707" s="369" cm="1">
        <f t="array" ref="M5707">+_xlfn.IFS((C5707&gt;='Resultats - informe'!$D$26)*(C5707&lt;='Resultats - informe'!$E$26),0,(C5707&gt;='Resultats - informe'!$D$27)*(C5707&lt;='Resultats - informe'!$E$27),0,(C5707&gt;='Resultats - informe'!$D$28)*(C5707&lt;='Resultats - informe'!$E$28),0,(C5707&gt;='Resultats - informe'!$D$29)*(C5707&lt;='Resultats - informe'!$E$29),0,1,1)</f>
        <v>0</v>
      </c>
      <c r="N5707" s="366">
        <f>+VLOOKUP(D5707,'Resultats - informe'!$Y$18:$AG$42,'Introducció dades consum'!K5707+1,0)</f>
        <v>0</v>
      </c>
      <c r="O5707" s="370" cm="1">
        <f t="array" ref="O5707">+_xlfn.SWITCH(MONTH(C5707),1,1,2,1,3,1,4,2,5,2,6,3,7,3,8,3,9,3,10,2,11,2,12,1,2)</f>
        <v>1</v>
      </c>
      <c r="P5707" s="43"/>
    </row>
    <row r="5708" spans="1:16" ht="18" x14ac:dyDescent="0.35">
      <c r="A5708" s="9"/>
      <c r="C5708" s="393"/>
      <c r="E5708" s="394"/>
      <c r="F5708" s="394">
        <v>1.4350000000000001</v>
      </c>
      <c r="G5708" s="394"/>
      <c r="H5708" s="8" t="s">
        <v>235</v>
      </c>
      <c r="I5708" s="368">
        <f t="shared" si="268"/>
        <v>0</v>
      </c>
      <c r="J5708" s="365">
        <f t="shared" si="267"/>
        <v>0</v>
      </c>
      <c r="K5708" s="369">
        <f t="shared" si="269"/>
        <v>6</v>
      </c>
      <c r="L5708" s="369">
        <f>+IF((C5708&gt;='Resultats - informe'!$E$16)*(C5708&lt;='Resultats - informe'!$G$16),1,0)</f>
        <v>1</v>
      </c>
      <c r="M5708" s="369" cm="1">
        <f t="array" ref="M5708">+_xlfn.IFS((C5708&gt;='Resultats - informe'!$D$26)*(C5708&lt;='Resultats - informe'!$E$26),0,(C5708&gt;='Resultats - informe'!$D$27)*(C5708&lt;='Resultats - informe'!$E$27),0,(C5708&gt;='Resultats - informe'!$D$28)*(C5708&lt;='Resultats - informe'!$E$28),0,(C5708&gt;='Resultats - informe'!$D$29)*(C5708&lt;='Resultats - informe'!$E$29),0,1,1)</f>
        <v>0</v>
      </c>
      <c r="N5708" s="366">
        <f>+VLOOKUP(D5708,'Resultats - informe'!$Y$18:$AG$42,'Introducció dades consum'!K5708+1,0)</f>
        <v>0</v>
      </c>
      <c r="O5708" s="370" cm="1">
        <f t="array" ref="O5708">+_xlfn.SWITCH(MONTH(C5708),1,1,2,1,3,1,4,2,5,2,6,3,7,3,8,3,9,3,10,2,11,2,12,1,2)</f>
        <v>1</v>
      </c>
      <c r="P5708" s="43"/>
    </row>
    <row r="5709" spans="1:16" ht="18" x14ac:dyDescent="0.35">
      <c r="A5709" s="9"/>
      <c r="C5709" s="393"/>
      <c r="E5709" s="394"/>
      <c r="F5709" s="394">
        <v>1.3140000000000001</v>
      </c>
      <c r="G5709" s="394"/>
      <c r="H5709" s="8" t="s">
        <v>235</v>
      </c>
      <c r="I5709" s="368">
        <f t="shared" si="268"/>
        <v>0</v>
      </c>
      <c r="J5709" s="365">
        <f t="shared" si="267"/>
        <v>0</v>
      </c>
      <c r="K5709" s="369">
        <f t="shared" si="269"/>
        <v>6</v>
      </c>
      <c r="L5709" s="369">
        <f>+IF((C5709&gt;='Resultats - informe'!$E$16)*(C5709&lt;='Resultats - informe'!$G$16),1,0)</f>
        <v>1</v>
      </c>
      <c r="M5709" s="369" cm="1">
        <f t="array" ref="M5709">+_xlfn.IFS((C5709&gt;='Resultats - informe'!$D$26)*(C5709&lt;='Resultats - informe'!$E$26),0,(C5709&gt;='Resultats - informe'!$D$27)*(C5709&lt;='Resultats - informe'!$E$27),0,(C5709&gt;='Resultats - informe'!$D$28)*(C5709&lt;='Resultats - informe'!$E$28),0,(C5709&gt;='Resultats - informe'!$D$29)*(C5709&lt;='Resultats - informe'!$E$29),0,1,1)</f>
        <v>0</v>
      </c>
      <c r="N5709" s="366">
        <f>+VLOOKUP(D5709,'Resultats - informe'!$Y$18:$AG$42,'Introducció dades consum'!K5709+1,0)</f>
        <v>0</v>
      </c>
      <c r="O5709" s="370" cm="1">
        <f t="array" ref="O5709">+_xlfn.SWITCH(MONTH(C5709),1,1,2,1,3,1,4,2,5,2,6,3,7,3,8,3,9,3,10,2,11,2,12,1,2)</f>
        <v>1</v>
      </c>
      <c r="P5709" s="43"/>
    </row>
    <row r="5710" spans="1:16" ht="18" x14ac:dyDescent="0.35">
      <c r="A5710" s="9"/>
      <c r="C5710" s="393"/>
      <c r="E5710" s="394"/>
      <c r="F5710" s="394">
        <v>2.3130000000000002</v>
      </c>
      <c r="G5710" s="394"/>
      <c r="H5710" s="8" t="s">
        <v>235</v>
      </c>
      <c r="I5710" s="368">
        <f t="shared" si="268"/>
        <v>0</v>
      </c>
      <c r="J5710" s="365">
        <f t="shared" si="267"/>
        <v>0</v>
      </c>
      <c r="K5710" s="369">
        <f t="shared" si="269"/>
        <v>6</v>
      </c>
      <c r="L5710" s="369">
        <f>+IF((C5710&gt;='Resultats - informe'!$E$16)*(C5710&lt;='Resultats - informe'!$G$16),1,0)</f>
        <v>1</v>
      </c>
      <c r="M5710" s="369" cm="1">
        <f t="array" ref="M5710">+_xlfn.IFS((C5710&gt;='Resultats - informe'!$D$26)*(C5710&lt;='Resultats - informe'!$E$26),0,(C5710&gt;='Resultats - informe'!$D$27)*(C5710&lt;='Resultats - informe'!$E$27),0,(C5710&gt;='Resultats - informe'!$D$28)*(C5710&lt;='Resultats - informe'!$E$28),0,(C5710&gt;='Resultats - informe'!$D$29)*(C5710&lt;='Resultats - informe'!$E$29),0,1,1)</f>
        <v>0</v>
      </c>
      <c r="N5710" s="366">
        <f>+VLOOKUP(D5710,'Resultats - informe'!$Y$18:$AG$42,'Introducció dades consum'!K5710+1,0)</f>
        <v>0</v>
      </c>
      <c r="O5710" s="370" cm="1">
        <f t="array" ref="O5710">+_xlfn.SWITCH(MONTH(C5710),1,1,2,1,3,1,4,2,5,2,6,3,7,3,8,3,9,3,10,2,11,2,12,1,2)</f>
        <v>1</v>
      </c>
      <c r="P5710" s="43"/>
    </row>
    <row r="5711" spans="1:16" ht="18" x14ac:dyDescent="0.35">
      <c r="A5711" s="9"/>
      <c r="C5711" s="393"/>
      <c r="E5711" s="394"/>
      <c r="F5711" s="394">
        <v>2.516</v>
      </c>
      <c r="G5711" s="394"/>
      <c r="H5711" s="8" t="s">
        <v>235</v>
      </c>
      <c r="I5711" s="368">
        <f t="shared" si="268"/>
        <v>0</v>
      </c>
      <c r="J5711" s="365">
        <f t="shared" si="267"/>
        <v>0</v>
      </c>
      <c r="K5711" s="369">
        <f t="shared" si="269"/>
        <v>6</v>
      </c>
      <c r="L5711" s="369">
        <f>+IF((C5711&gt;='Resultats - informe'!$E$16)*(C5711&lt;='Resultats - informe'!$G$16),1,0)</f>
        <v>1</v>
      </c>
      <c r="M5711" s="369" cm="1">
        <f t="array" ref="M5711">+_xlfn.IFS((C5711&gt;='Resultats - informe'!$D$26)*(C5711&lt;='Resultats - informe'!$E$26),0,(C5711&gt;='Resultats - informe'!$D$27)*(C5711&lt;='Resultats - informe'!$E$27),0,(C5711&gt;='Resultats - informe'!$D$28)*(C5711&lt;='Resultats - informe'!$E$28),0,(C5711&gt;='Resultats - informe'!$D$29)*(C5711&lt;='Resultats - informe'!$E$29),0,1,1)</f>
        <v>0</v>
      </c>
      <c r="N5711" s="366">
        <f>+VLOOKUP(D5711,'Resultats - informe'!$Y$18:$AG$42,'Introducció dades consum'!K5711+1,0)</f>
        <v>0</v>
      </c>
      <c r="O5711" s="370" cm="1">
        <f t="array" ref="O5711">+_xlfn.SWITCH(MONTH(C5711),1,1,2,1,3,1,4,2,5,2,6,3,7,3,8,3,9,3,10,2,11,2,12,1,2)</f>
        <v>1</v>
      </c>
      <c r="P5711" s="43"/>
    </row>
    <row r="5712" spans="1:16" ht="18" x14ac:dyDescent="0.35">
      <c r="A5712" s="9"/>
      <c r="C5712" s="393"/>
      <c r="E5712" s="394"/>
      <c r="F5712" s="394">
        <v>2.415</v>
      </c>
      <c r="G5712" s="394"/>
      <c r="H5712" s="8" t="s">
        <v>235</v>
      </c>
      <c r="I5712" s="368">
        <f t="shared" si="268"/>
        <v>0</v>
      </c>
      <c r="J5712" s="365">
        <f t="shared" si="267"/>
        <v>0</v>
      </c>
      <c r="K5712" s="369">
        <f t="shared" si="269"/>
        <v>6</v>
      </c>
      <c r="L5712" s="369">
        <f>+IF((C5712&gt;='Resultats - informe'!$E$16)*(C5712&lt;='Resultats - informe'!$G$16),1,0)</f>
        <v>1</v>
      </c>
      <c r="M5712" s="369" cm="1">
        <f t="array" ref="M5712">+_xlfn.IFS((C5712&gt;='Resultats - informe'!$D$26)*(C5712&lt;='Resultats - informe'!$E$26),0,(C5712&gt;='Resultats - informe'!$D$27)*(C5712&lt;='Resultats - informe'!$E$27),0,(C5712&gt;='Resultats - informe'!$D$28)*(C5712&lt;='Resultats - informe'!$E$28),0,(C5712&gt;='Resultats - informe'!$D$29)*(C5712&lt;='Resultats - informe'!$E$29),0,1,1)</f>
        <v>0</v>
      </c>
      <c r="N5712" s="366">
        <f>+VLOOKUP(D5712,'Resultats - informe'!$Y$18:$AG$42,'Introducció dades consum'!K5712+1,0)</f>
        <v>0</v>
      </c>
      <c r="O5712" s="370" cm="1">
        <f t="array" ref="O5712">+_xlfn.SWITCH(MONTH(C5712),1,1,2,1,3,1,4,2,5,2,6,3,7,3,8,3,9,3,10,2,11,2,12,1,2)</f>
        <v>1</v>
      </c>
      <c r="P5712" s="43"/>
    </row>
    <row r="5713" spans="1:16" ht="18" x14ac:dyDescent="0.35">
      <c r="A5713" s="9"/>
      <c r="C5713" s="393"/>
      <c r="E5713" s="394"/>
      <c r="F5713" s="394">
        <v>2.0680000000000001</v>
      </c>
      <c r="G5713" s="394"/>
      <c r="H5713" s="8" t="s">
        <v>235</v>
      </c>
      <c r="I5713" s="368">
        <f t="shared" si="268"/>
        <v>0</v>
      </c>
      <c r="J5713" s="365">
        <f t="shared" si="267"/>
        <v>0</v>
      </c>
      <c r="K5713" s="369">
        <f t="shared" si="269"/>
        <v>6</v>
      </c>
      <c r="L5713" s="369">
        <f>+IF((C5713&gt;='Resultats - informe'!$E$16)*(C5713&lt;='Resultats - informe'!$G$16),1,0)</f>
        <v>1</v>
      </c>
      <c r="M5713" s="369" cm="1">
        <f t="array" ref="M5713">+_xlfn.IFS((C5713&gt;='Resultats - informe'!$D$26)*(C5713&lt;='Resultats - informe'!$E$26),0,(C5713&gt;='Resultats - informe'!$D$27)*(C5713&lt;='Resultats - informe'!$E$27),0,(C5713&gt;='Resultats - informe'!$D$28)*(C5713&lt;='Resultats - informe'!$E$28),0,(C5713&gt;='Resultats - informe'!$D$29)*(C5713&lt;='Resultats - informe'!$E$29),0,1,1)</f>
        <v>0</v>
      </c>
      <c r="N5713" s="366">
        <f>+VLOOKUP(D5713,'Resultats - informe'!$Y$18:$AG$42,'Introducció dades consum'!K5713+1,0)</f>
        <v>0</v>
      </c>
      <c r="O5713" s="370" cm="1">
        <f t="array" ref="O5713">+_xlfn.SWITCH(MONTH(C5713),1,1,2,1,3,1,4,2,5,2,6,3,7,3,8,3,9,3,10,2,11,2,12,1,2)</f>
        <v>1</v>
      </c>
      <c r="P5713" s="43"/>
    </row>
    <row r="5714" spans="1:16" ht="18" x14ac:dyDescent="0.35">
      <c r="A5714" s="9"/>
      <c r="C5714" s="393"/>
      <c r="E5714" s="394"/>
      <c r="F5714" s="394">
        <v>1.3360000000000001</v>
      </c>
      <c r="G5714" s="394"/>
      <c r="H5714" s="8" t="s">
        <v>235</v>
      </c>
      <c r="I5714" s="368">
        <f t="shared" si="268"/>
        <v>0</v>
      </c>
      <c r="J5714" s="365">
        <f t="shared" si="267"/>
        <v>0</v>
      </c>
      <c r="K5714" s="369">
        <f t="shared" si="269"/>
        <v>6</v>
      </c>
      <c r="L5714" s="369">
        <f>+IF((C5714&gt;='Resultats - informe'!$E$16)*(C5714&lt;='Resultats - informe'!$G$16),1,0)</f>
        <v>1</v>
      </c>
      <c r="M5714" s="369" cm="1">
        <f t="array" ref="M5714">+_xlfn.IFS((C5714&gt;='Resultats - informe'!$D$26)*(C5714&lt;='Resultats - informe'!$E$26),0,(C5714&gt;='Resultats - informe'!$D$27)*(C5714&lt;='Resultats - informe'!$E$27),0,(C5714&gt;='Resultats - informe'!$D$28)*(C5714&lt;='Resultats - informe'!$E$28),0,(C5714&gt;='Resultats - informe'!$D$29)*(C5714&lt;='Resultats - informe'!$E$29),0,1,1)</f>
        <v>0</v>
      </c>
      <c r="N5714" s="366">
        <f>+VLOOKUP(D5714,'Resultats - informe'!$Y$18:$AG$42,'Introducció dades consum'!K5714+1,0)</f>
        <v>0</v>
      </c>
      <c r="O5714" s="370" cm="1">
        <f t="array" ref="O5714">+_xlfn.SWITCH(MONTH(C5714),1,1,2,1,3,1,4,2,5,2,6,3,7,3,8,3,9,3,10,2,11,2,12,1,2)</f>
        <v>1</v>
      </c>
      <c r="P5714" s="43"/>
    </row>
    <row r="5715" spans="1:16" ht="18" x14ac:dyDescent="0.35">
      <c r="A5715" s="9"/>
      <c r="C5715" s="393"/>
      <c r="E5715" s="394"/>
      <c r="F5715" s="394">
        <v>1.3340000000000001</v>
      </c>
      <c r="G5715" s="394"/>
      <c r="H5715" s="8" t="s">
        <v>235</v>
      </c>
      <c r="I5715" s="368">
        <f t="shared" si="268"/>
        <v>0</v>
      </c>
      <c r="J5715" s="365">
        <f t="shared" si="267"/>
        <v>0</v>
      </c>
      <c r="K5715" s="369">
        <f t="shared" si="269"/>
        <v>6</v>
      </c>
      <c r="L5715" s="369">
        <f>+IF((C5715&gt;='Resultats - informe'!$E$16)*(C5715&lt;='Resultats - informe'!$G$16),1,0)</f>
        <v>1</v>
      </c>
      <c r="M5715" s="369" cm="1">
        <f t="array" ref="M5715">+_xlfn.IFS((C5715&gt;='Resultats - informe'!$D$26)*(C5715&lt;='Resultats - informe'!$E$26),0,(C5715&gt;='Resultats - informe'!$D$27)*(C5715&lt;='Resultats - informe'!$E$27),0,(C5715&gt;='Resultats - informe'!$D$28)*(C5715&lt;='Resultats - informe'!$E$28),0,(C5715&gt;='Resultats - informe'!$D$29)*(C5715&lt;='Resultats - informe'!$E$29),0,1,1)</f>
        <v>0</v>
      </c>
      <c r="N5715" s="366">
        <f>+VLOOKUP(D5715,'Resultats - informe'!$Y$18:$AG$42,'Introducció dades consum'!K5715+1,0)</f>
        <v>0</v>
      </c>
      <c r="O5715" s="370" cm="1">
        <f t="array" ref="O5715">+_xlfn.SWITCH(MONTH(C5715),1,1,2,1,3,1,4,2,5,2,6,3,7,3,8,3,9,3,10,2,11,2,12,1,2)</f>
        <v>1</v>
      </c>
      <c r="P5715" s="43"/>
    </row>
    <row r="5716" spans="1:16" ht="18" x14ac:dyDescent="0.35">
      <c r="A5716" s="9"/>
      <c r="C5716" s="393"/>
      <c r="E5716" s="394"/>
      <c r="F5716" s="394">
        <v>3.2000000000000001E-2</v>
      </c>
      <c r="G5716" s="394"/>
      <c r="H5716" s="8" t="s">
        <v>235</v>
      </c>
      <c r="I5716" s="368">
        <f t="shared" si="268"/>
        <v>0</v>
      </c>
      <c r="J5716" s="365">
        <f t="shared" si="267"/>
        <v>0</v>
      </c>
      <c r="K5716" s="369">
        <f t="shared" si="269"/>
        <v>6</v>
      </c>
      <c r="L5716" s="369">
        <f>+IF((C5716&gt;='Resultats - informe'!$E$16)*(C5716&lt;='Resultats - informe'!$G$16),1,0)</f>
        <v>1</v>
      </c>
      <c r="M5716" s="369" cm="1">
        <f t="array" ref="M5716">+_xlfn.IFS((C5716&gt;='Resultats - informe'!$D$26)*(C5716&lt;='Resultats - informe'!$E$26),0,(C5716&gt;='Resultats - informe'!$D$27)*(C5716&lt;='Resultats - informe'!$E$27),0,(C5716&gt;='Resultats - informe'!$D$28)*(C5716&lt;='Resultats - informe'!$E$28),0,(C5716&gt;='Resultats - informe'!$D$29)*(C5716&lt;='Resultats - informe'!$E$29),0,1,1)</f>
        <v>0</v>
      </c>
      <c r="N5716" s="366">
        <f>+VLOOKUP(D5716,'Resultats - informe'!$Y$18:$AG$42,'Introducció dades consum'!K5716+1,0)</f>
        <v>0</v>
      </c>
      <c r="O5716" s="370" cm="1">
        <f t="array" ref="O5716">+_xlfn.SWITCH(MONTH(C5716),1,1,2,1,3,1,4,2,5,2,6,3,7,3,8,3,9,3,10,2,11,2,12,1,2)</f>
        <v>1</v>
      </c>
      <c r="P5716" s="43"/>
    </row>
    <row r="5717" spans="1:16" ht="18" x14ac:dyDescent="0.35">
      <c r="A5717" s="9"/>
      <c r="C5717" s="393"/>
      <c r="E5717" s="394"/>
      <c r="F5717" s="394">
        <v>0.41399999999999998</v>
      </c>
      <c r="G5717" s="394"/>
      <c r="H5717" s="8" t="s">
        <v>235</v>
      </c>
      <c r="I5717" s="368">
        <f t="shared" si="268"/>
        <v>0</v>
      </c>
      <c r="J5717" s="365">
        <f t="shared" si="267"/>
        <v>0</v>
      </c>
      <c r="K5717" s="369">
        <f t="shared" si="269"/>
        <v>6</v>
      </c>
      <c r="L5717" s="369">
        <f>+IF((C5717&gt;='Resultats - informe'!$E$16)*(C5717&lt;='Resultats - informe'!$G$16),1,0)</f>
        <v>1</v>
      </c>
      <c r="M5717" s="369" cm="1">
        <f t="array" ref="M5717">+_xlfn.IFS((C5717&gt;='Resultats - informe'!$D$26)*(C5717&lt;='Resultats - informe'!$E$26),0,(C5717&gt;='Resultats - informe'!$D$27)*(C5717&lt;='Resultats - informe'!$E$27),0,(C5717&gt;='Resultats - informe'!$D$28)*(C5717&lt;='Resultats - informe'!$E$28),0,(C5717&gt;='Resultats - informe'!$D$29)*(C5717&lt;='Resultats - informe'!$E$29),0,1,1)</f>
        <v>0</v>
      </c>
      <c r="N5717" s="366">
        <f>+VLOOKUP(D5717,'Resultats - informe'!$Y$18:$AG$42,'Introducció dades consum'!K5717+1,0)</f>
        <v>0</v>
      </c>
      <c r="O5717" s="370" cm="1">
        <f t="array" ref="O5717">+_xlfn.SWITCH(MONTH(C5717),1,1,2,1,3,1,4,2,5,2,6,3,7,3,8,3,9,3,10,2,11,2,12,1,2)</f>
        <v>1</v>
      </c>
      <c r="P5717" s="43"/>
    </row>
    <row r="5718" spans="1:16" ht="18" x14ac:dyDescent="0.35">
      <c r="A5718" s="9"/>
      <c r="C5718" s="393"/>
      <c r="E5718" s="394"/>
      <c r="F5718" s="394">
        <v>0.42</v>
      </c>
      <c r="G5718" s="394"/>
      <c r="H5718" s="8" t="s">
        <v>235</v>
      </c>
      <c r="I5718" s="368">
        <f t="shared" si="268"/>
        <v>0</v>
      </c>
      <c r="J5718" s="365">
        <f t="shared" si="267"/>
        <v>0</v>
      </c>
      <c r="K5718" s="369">
        <f t="shared" si="269"/>
        <v>6</v>
      </c>
      <c r="L5718" s="369">
        <f>+IF((C5718&gt;='Resultats - informe'!$E$16)*(C5718&lt;='Resultats - informe'!$G$16),1,0)</f>
        <v>1</v>
      </c>
      <c r="M5718" s="369" cm="1">
        <f t="array" ref="M5718">+_xlfn.IFS((C5718&gt;='Resultats - informe'!$D$26)*(C5718&lt;='Resultats - informe'!$E$26),0,(C5718&gt;='Resultats - informe'!$D$27)*(C5718&lt;='Resultats - informe'!$E$27),0,(C5718&gt;='Resultats - informe'!$D$28)*(C5718&lt;='Resultats - informe'!$E$28),0,(C5718&gt;='Resultats - informe'!$D$29)*(C5718&lt;='Resultats - informe'!$E$29),0,1,1)</f>
        <v>0</v>
      </c>
      <c r="N5718" s="366">
        <f>+VLOOKUP(D5718,'Resultats - informe'!$Y$18:$AG$42,'Introducció dades consum'!K5718+1,0)</f>
        <v>0</v>
      </c>
      <c r="O5718" s="370" cm="1">
        <f t="array" ref="O5718">+_xlfn.SWITCH(MONTH(C5718),1,1,2,1,3,1,4,2,5,2,6,3,7,3,8,3,9,3,10,2,11,2,12,1,2)</f>
        <v>1</v>
      </c>
      <c r="P5718" s="43"/>
    </row>
    <row r="5719" spans="1:16" ht="18" x14ac:dyDescent="0.35">
      <c r="A5719" s="9"/>
      <c r="C5719" s="393"/>
      <c r="E5719" s="394"/>
      <c r="F5719" s="394">
        <v>0.41899999999999998</v>
      </c>
      <c r="G5719" s="394"/>
      <c r="H5719" s="8" t="s">
        <v>235</v>
      </c>
      <c r="I5719" s="368">
        <f t="shared" si="268"/>
        <v>0</v>
      </c>
      <c r="J5719" s="365">
        <f t="shared" si="267"/>
        <v>0</v>
      </c>
      <c r="K5719" s="369">
        <f t="shared" si="269"/>
        <v>6</v>
      </c>
      <c r="L5719" s="369">
        <f>+IF((C5719&gt;='Resultats - informe'!$E$16)*(C5719&lt;='Resultats - informe'!$G$16),1,0)</f>
        <v>1</v>
      </c>
      <c r="M5719" s="369" cm="1">
        <f t="array" ref="M5719">+_xlfn.IFS((C5719&gt;='Resultats - informe'!$D$26)*(C5719&lt;='Resultats - informe'!$E$26),0,(C5719&gt;='Resultats - informe'!$D$27)*(C5719&lt;='Resultats - informe'!$E$27),0,(C5719&gt;='Resultats - informe'!$D$28)*(C5719&lt;='Resultats - informe'!$E$28),0,(C5719&gt;='Resultats - informe'!$D$29)*(C5719&lt;='Resultats - informe'!$E$29),0,1,1)</f>
        <v>0</v>
      </c>
      <c r="N5719" s="366">
        <f>+VLOOKUP(D5719,'Resultats - informe'!$Y$18:$AG$42,'Introducció dades consum'!K5719+1,0)</f>
        <v>0</v>
      </c>
      <c r="O5719" s="370" cm="1">
        <f t="array" ref="O5719">+_xlfn.SWITCH(MONTH(C5719),1,1,2,1,3,1,4,2,5,2,6,3,7,3,8,3,9,3,10,2,11,2,12,1,2)</f>
        <v>1</v>
      </c>
      <c r="P5719" s="43"/>
    </row>
    <row r="5720" spans="1:16" ht="18" x14ac:dyDescent="0.35">
      <c r="A5720" s="9"/>
      <c r="C5720" s="393"/>
      <c r="E5720" s="394"/>
      <c r="F5720" s="394">
        <v>0.41699999999999998</v>
      </c>
      <c r="G5720" s="394"/>
      <c r="H5720" s="8" t="s">
        <v>235</v>
      </c>
      <c r="I5720" s="368">
        <f t="shared" si="268"/>
        <v>0</v>
      </c>
      <c r="J5720" s="365">
        <f t="shared" si="267"/>
        <v>0</v>
      </c>
      <c r="K5720" s="369">
        <f t="shared" si="269"/>
        <v>6</v>
      </c>
      <c r="L5720" s="369">
        <f>+IF((C5720&gt;='Resultats - informe'!$E$16)*(C5720&lt;='Resultats - informe'!$G$16),1,0)</f>
        <v>1</v>
      </c>
      <c r="M5720" s="369" cm="1">
        <f t="array" ref="M5720">+_xlfn.IFS((C5720&gt;='Resultats - informe'!$D$26)*(C5720&lt;='Resultats - informe'!$E$26),0,(C5720&gt;='Resultats - informe'!$D$27)*(C5720&lt;='Resultats - informe'!$E$27),0,(C5720&gt;='Resultats - informe'!$D$28)*(C5720&lt;='Resultats - informe'!$E$28),0,(C5720&gt;='Resultats - informe'!$D$29)*(C5720&lt;='Resultats - informe'!$E$29),0,1,1)</f>
        <v>0</v>
      </c>
      <c r="N5720" s="366">
        <f>+VLOOKUP(D5720,'Resultats - informe'!$Y$18:$AG$42,'Introducció dades consum'!K5720+1,0)</f>
        <v>0</v>
      </c>
      <c r="O5720" s="370" cm="1">
        <f t="array" ref="O5720">+_xlfn.SWITCH(MONTH(C5720),1,1,2,1,3,1,4,2,5,2,6,3,7,3,8,3,9,3,10,2,11,2,12,1,2)</f>
        <v>1</v>
      </c>
      <c r="P5720" s="43"/>
    </row>
    <row r="5721" spans="1:16" ht="18" x14ac:dyDescent="0.35">
      <c r="A5721" s="9"/>
      <c r="C5721" s="393"/>
      <c r="E5721" s="394"/>
      <c r="F5721" s="394">
        <v>0.41699999999999998</v>
      </c>
      <c r="G5721" s="394"/>
      <c r="H5721" s="8" t="s">
        <v>235</v>
      </c>
      <c r="I5721" s="368">
        <f t="shared" si="268"/>
        <v>0</v>
      </c>
      <c r="J5721" s="365">
        <f t="shared" si="267"/>
        <v>0</v>
      </c>
      <c r="K5721" s="369">
        <f t="shared" si="269"/>
        <v>6</v>
      </c>
      <c r="L5721" s="369">
        <f>+IF((C5721&gt;='Resultats - informe'!$E$16)*(C5721&lt;='Resultats - informe'!$G$16),1,0)</f>
        <v>1</v>
      </c>
      <c r="M5721" s="369" cm="1">
        <f t="array" ref="M5721">+_xlfn.IFS((C5721&gt;='Resultats - informe'!$D$26)*(C5721&lt;='Resultats - informe'!$E$26),0,(C5721&gt;='Resultats - informe'!$D$27)*(C5721&lt;='Resultats - informe'!$E$27),0,(C5721&gt;='Resultats - informe'!$D$28)*(C5721&lt;='Resultats - informe'!$E$28),0,(C5721&gt;='Resultats - informe'!$D$29)*(C5721&lt;='Resultats - informe'!$E$29),0,1,1)</f>
        <v>0</v>
      </c>
      <c r="N5721" s="366">
        <f>+VLOOKUP(D5721,'Resultats - informe'!$Y$18:$AG$42,'Introducció dades consum'!K5721+1,0)</f>
        <v>0</v>
      </c>
      <c r="O5721" s="370" cm="1">
        <f t="array" ref="O5721">+_xlfn.SWITCH(MONTH(C5721),1,1,2,1,3,1,4,2,5,2,6,3,7,3,8,3,9,3,10,2,11,2,12,1,2)</f>
        <v>1</v>
      </c>
      <c r="P5721" s="43"/>
    </row>
    <row r="5722" spans="1:16" ht="18" x14ac:dyDescent="0.35">
      <c r="A5722" s="9"/>
      <c r="C5722" s="393"/>
      <c r="E5722" s="394"/>
      <c r="F5722" s="394">
        <v>0.42199999999999999</v>
      </c>
      <c r="G5722" s="394"/>
      <c r="H5722" s="8" t="s">
        <v>235</v>
      </c>
      <c r="I5722" s="368">
        <f t="shared" si="268"/>
        <v>0</v>
      </c>
      <c r="J5722" s="365">
        <f t="shared" si="267"/>
        <v>0</v>
      </c>
      <c r="K5722" s="369">
        <f t="shared" si="269"/>
        <v>6</v>
      </c>
      <c r="L5722" s="369">
        <f>+IF((C5722&gt;='Resultats - informe'!$E$16)*(C5722&lt;='Resultats - informe'!$G$16),1,0)</f>
        <v>1</v>
      </c>
      <c r="M5722" s="369" cm="1">
        <f t="array" ref="M5722">+_xlfn.IFS((C5722&gt;='Resultats - informe'!$D$26)*(C5722&lt;='Resultats - informe'!$E$26),0,(C5722&gt;='Resultats - informe'!$D$27)*(C5722&lt;='Resultats - informe'!$E$27),0,(C5722&gt;='Resultats - informe'!$D$28)*(C5722&lt;='Resultats - informe'!$E$28),0,(C5722&gt;='Resultats - informe'!$D$29)*(C5722&lt;='Resultats - informe'!$E$29),0,1,1)</f>
        <v>0</v>
      </c>
      <c r="N5722" s="366">
        <f>+VLOOKUP(D5722,'Resultats - informe'!$Y$18:$AG$42,'Introducció dades consum'!K5722+1,0)</f>
        <v>0</v>
      </c>
      <c r="O5722" s="370" cm="1">
        <f t="array" ref="O5722">+_xlfn.SWITCH(MONTH(C5722),1,1,2,1,3,1,4,2,5,2,6,3,7,3,8,3,9,3,10,2,11,2,12,1,2)</f>
        <v>1</v>
      </c>
      <c r="P5722" s="43"/>
    </row>
    <row r="5723" spans="1:16" ht="18" x14ac:dyDescent="0.35">
      <c r="A5723" s="9"/>
      <c r="C5723" s="393"/>
      <c r="E5723" s="394"/>
      <c r="F5723" s="394">
        <v>0.36599999999999999</v>
      </c>
      <c r="G5723" s="394"/>
      <c r="H5723" s="8" t="s">
        <v>235</v>
      </c>
      <c r="I5723" s="368">
        <f t="shared" si="268"/>
        <v>0</v>
      </c>
      <c r="J5723" s="365">
        <f t="shared" si="267"/>
        <v>0</v>
      </c>
      <c r="K5723" s="369">
        <f t="shared" si="269"/>
        <v>6</v>
      </c>
      <c r="L5723" s="369">
        <f>+IF((C5723&gt;='Resultats - informe'!$E$16)*(C5723&lt;='Resultats - informe'!$G$16),1,0)</f>
        <v>1</v>
      </c>
      <c r="M5723" s="369" cm="1">
        <f t="array" ref="M5723">+_xlfn.IFS((C5723&gt;='Resultats - informe'!$D$26)*(C5723&lt;='Resultats - informe'!$E$26),0,(C5723&gt;='Resultats - informe'!$D$27)*(C5723&lt;='Resultats - informe'!$E$27),0,(C5723&gt;='Resultats - informe'!$D$28)*(C5723&lt;='Resultats - informe'!$E$28),0,(C5723&gt;='Resultats - informe'!$D$29)*(C5723&lt;='Resultats - informe'!$E$29),0,1,1)</f>
        <v>0</v>
      </c>
      <c r="N5723" s="366">
        <f>+VLOOKUP(D5723,'Resultats - informe'!$Y$18:$AG$42,'Introducció dades consum'!K5723+1,0)</f>
        <v>0</v>
      </c>
      <c r="O5723" s="370" cm="1">
        <f t="array" ref="O5723">+_xlfn.SWITCH(MONTH(C5723),1,1,2,1,3,1,4,2,5,2,6,3,7,3,8,3,9,3,10,2,11,2,12,1,2)</f>
        <v>1</v>
      </c>
      <c r="P5723" s="43"/>
    </row>
    <row r="5724" spans="1:16" ht="18" x14ac:dyDescent="0.35">
      <c r="A5724" s="9"/>
      <c r="C5724" s="393"/>
      <c r="E5724" s="394"/>
      <c r="F5724" s="394">
        <v>0.95399999999999996</v>
      </c>
      <c r="G5724" s="394"/>
      <c r="H5724" s="8" t="s">
        <v>235</v>
      </c>
      <c r="I5724" s="368">
        <f t="shared" si="268"/>
        <v>0</v>
      </c>
      <c r="J5724" s="365">
        <f t="shared" si="267"/>
        <v>0</v>
      </c>
      <c r="K5724" s="369">
        <f t="shared" si="269"/>
        <v>6</v>
      </c>
      <c r="L5724" s="369">
        <f>+IF((C5724&gt;='Resultats - informe'!$E$16)*(C5724&lt;='Resultats - informe'!$G$16),1,0)</f>
        <v>1</v>
      </c>
      <c r="M5724" s="369" cm="1">
        <f t="array" ref="M5724">+_xlfn.IFS((C5724&gt;='Resultats - informe'!$D$26)*(C5724&lt;='Resultats - informe'!$E$26),0,(C5724&gt;='Resultats - informe'!$D$27)*(C5724&lt;='Resultats - informe'!$E$27),0,(C5724&gt;='Resultats - informe'!$D$28)*(C5724&lt;='Resultats - informe'!$E$28),0,(C5724&gt;='Resultats - informe'!$D$29)*(C5724&lt;='Resultats - informe'!$E$29),0,1,1)</f>
        <v>0</v>
      </c>
      <c r="N5724" s="366">
        <f>+VLOOKUP(D5724,'Resultats - informe'!$Y$18:$AG$42,'Introducció dades consum'!K5724+1,0)</f>
        <v>0</v>
      </c>
      <c r="O5724" s="370" cm="1">
        <f t="array" ref="O5724">+_xlfn.SWITCH(MONTH(C5724),1,1,2,1,3,1,4,2,5,2,6,3,7,3,8,3,9,3,10,2,11,2,12,1,2)</f>
        <v>1</v>
      </c>
      <c r="P5724" s="43"/>
    </row>
    <row r="5725" spans="1:16" ht="18" x14ac:dyDescent="0.35">
      <c r="A5725" s="9"/>
      <c r="C5725" s="393"/>
      <c r="E5725" s="394"/>
      <c r="F5725" s="394">
        <v>0.61499999999999999</v>
      </c>
      <c r="G5725" s="394"/>
      <c r="H5725" s="8" t="s">
        <v>235</v>
      </c>
      <c r="I5725" s="368">
        <f t="shared" si="268"/>
        <v>0</v>
      </c>
      <c r="J5725" s="365">
        <f t="shared" si="267"/>
        <v>0</v>
      </c>
      <c r="K5725" s="369">
        <f t="shared" si="269"/>
        <v>6</v>
      </c>
      <c r="L5725" s="369">
        <f>+IF((C5725&gt;='Resultats - informe'!$E$16)*(C5725&lt;='Resultats - informe'!$G$16),1,0)</f>
        <v>1</v>
      </c>
      <c r="M5725" s="369" cm="1">
        <f t="array" ref="M5725">+_xlfn.IFS((C5725&gt;='Resultats - informe'!$D$26)*(C5725&lt;='Resultats - informe'!$E$26),0,(C5725&gt;='Resultats - informe'!$D$27)*(C5725&lt;='Resultats - informe'!$E$27),0,(C5725&gt;='Resultats - informe'!$D$28)*(C5725&lt;='Resultats - informe'!$E$28),0,(C5725&gt;='Resultats - informe'!$D$29)*(C5725&lt;='Resultats - informe'!$E$29),0,1,1)</f>
        <v>0</v>
      </c>
      <c r="N5725" s="366">
        <f>+VLOOKUP(D5725,'Resultats - informe'!$Y$18:$AG$42,'Introducció dades consum'!K5725+1,0)</f>
        <v>0</v>
      </c>
      <c r="O5725" s="370" cm="1">
        <f t="array" ref="O5725">+_xlfn.SWITCH(MONTH(C5725),1,1,2,1,3,1,4,2,5,2,6,3,7,3,8,3,9,3,10,2,11,2,12,1,2)</f>
        <v>1</v>
      </c>
      <c r="P5725" s="43"/>
    </row>
    <row r="5726" spans="1:16" ht="18" x14ac:dyDescent="0.35">
      <c r="A5726" s="9"/>
      <c r="C5726" s="393"/>
      <c r="E5726" s="394"/>
      <c r="F5726" s="394">
        <v>1.34</v>
      </c>
      <c r="G5726" s="394"/>
      <c r="H5726" s="8" t="s">
        <v>235</v>
      </c>
      <c r="I5726" s="368">
        <f t="shared" si="268"/>
        <v>0</v>
      </c>
      <c r="J5726" s="365">
        <f t="shared" si="267"/>
        <v>0</v>
      </c>
      <c r="K5726" s="369">
        <f t="shared" si="269"/>
        <v>6</v>
      </c>
      <c r="L5726" s="369">
        <f>+IF((C5726&gt;='Resultats - informe'!$E$16)*(C5726&lt;='Resultats - informe'!$G$16),1,0)</f>
        <v>1</v>
      </c>
      <c r="M5726" s="369" cm="1">
        <f t="array" ref="M5726">+_xlfn.IFS((C5726&gt;='Resultats - informe'!$D$26)*(C5726&lt;='Resultats - informe'!$E$26),0,(C5726&gt;='Resultats - informe'!$D$27)*(C5726&lt;='Resultats - informe'!$E$27),0,(C5726&gt;='Resultats - informe'!$D$28)*(C5726&lt;='Resultats - informe'!$E$28),0,(C5726&gt;='Resultats - informe'!$D$29)*(C5726&lt;='Resultats - informe'!$E$29),0,1,1)</f>
        <v>0</v>
      </c>
      <c r="N5726" s="366">
        <f>+VLOOKUP(D5726,'Resultats - informe'!$Y$18:$AG$42,'Introducció dades consum'!K5726+1,0)</f>
        <v>0</v>
      </c>
      <c r="O5726" s="370" cm="1">
        <f t="array" ref="O5726">+_xlfn.SWITCH(MONTH(C5726),1,1,2,1,3,1,4,2,5,2,6,3,7,3,8,3,9,3,10,2,11,2,12,1,2)</f>
        <v>1</v>
      </c>
      <c r="P5726" s="43"/>
    </row>
    <row r="5727" spans="1:16" ht="18" x14ac:dyDescent="0.35">
      <c r="A5727" s="9"/>
      <c r="C5727" s="393"/>
      <c r="E5727" s="394"/>
      <c r="F5727" s="394">
        <v>1.4079999999999999</v>
      </c>
      <c r="G5727" s="394"/>
      <c r="H5727" s="8" t="s">
        <v>235</v>
      </c>
      <c r="I5727" s="368">
        <f t="shared" si="268"/>
        <v>0</v>
      </c>
      <c r="J5727" s="365">
        <f t="shared" si="267"/>
        <v>0</v>
      </c>
      <c r="K5727" s="369">
        <f t="shared" si="269"/>
        <v>6</v>
      </c>
      <c r="L5727" s="369">
        <f>+IF((C5727&gt;='Resultats - informe'!$E$16)*(C5727&lt;='Resultats - informe'!$G$16),1,0)</f>
        <v>1</v>
      </c>
      <c r="M5727" s="369" cm="1">
        <f t="array" ref="M5727">+_xlfn.IFS((C5727&gt;='Resultats - informe'!$D$26)*(C5727&lt;='Resultats - informe'!$E$26),0,(C5727&gt;='Resultats - informe'!$D$27)*(C5727&lt;='Resultats - informe'!$E$27),0,(C5727&gt;='Resultats - informe'!$D$28)*(C5727&lt;='Resultats - informe'!$E$28),0,(C5727&gt;='Resultats - informe'!$D$29)*(C5727&lt;='Resultats - informe'!$E$29),0,1,1)</f>
        <v>0</v>
      </c>
      <c r="N5727" s="366">
        <f>+VLOOKUP(D5727,'Resultats - informe'!$Y$18:$AG$42,'Introducció dades consum'!K5727+1,0)</f>
        <v>0</v>
      </c>
      <c r="O5727" s="370" cm="1">
        <f t="array" ref="O5727">+_xlfn.SWITCH(MONTH(C5727),1,1,2,1,3,1,4,2,5,2,6,3,7,3,8,3,9,3,10,2,11,2,12,1,2)</f>
        <v>1</v>
      </c>
      <c r="P5727" s="43"/>
    </row>
    <row r="5728" spans="1:16" ht="18" x14ac:dyDescent="0.35">
      <c r="A5728" s="9"/>
      <c r="C5728" s="393"/>
      <c r="E5728" s="394"/>
      <c r="F5728" s="394">
        <v>1.27</v>
      </c>
      <c r="G5728" s="394"/>
      <c r="H5728" s="8" t="s">
        <v>235</v>
      </c>
      <c r="I5728" s="368">
        <f t="shared" si="268"/>
        <v>0</v>
      </c>
      <c r="J5728" s="365">
        <f t="shared" si="267"/>
        <v>0</v>
      </c>
      <c r="K5728" s="369">
        <f t="shared" si="269"/>
        <v>6</v>
      </c>
      <c r="L5728" s="369">
        <f>+IF((C5728&gt;='Resultats - informe'!$E$16)*(C5728&lt;='Resultats - informe'!$G$16),1,0)</f>
        <v>1</v>
      </c>
      <c r="M5728" s="369" cm="1">
        <f t="array" ref="M5728">+_xlfn.IFS((C5728&gt;='Resultats - informe'!$D$26)*(C5728&lt;='Resultats - informe'!$E$26),0,(C5728&gt;='Resultats - informe'!$D$27)*(C5728&lt;='Resultats - informe'!$E$27),0,(C5728&gt;='Resultats - informe'!$D$28)*(C5728&lt;='Resultats - informe'!$E$28),0,(C5728&gt;='Resultats - informe'!$D$29)*(C5728&lt;='Resultats - informe'!$E$29),0,1,1)</f>
        <v>0</v>
      </c>
      <c r="N5728" s="366">
        <f>+VLOOKUP(D5728,'Resultats - informe'!$Y$18:$AG$42,'Introducció dades consum'!K5728+1,0)</f>
        <v>0</v>
      </c>
      <c r="O5728" s="370" cm="1">
        <f t="array" ref="O5728">+_xlfn.SWITCH(MONTH(C5728),1,1,2,1,3,1,4,2,5,2,6,3,7,3,8,3,9,3,10,2,11,2,12,1,2)</f>
        <v>1</v>
      </c>
      <c r="P5728" s="43"/>
    </row>
    <row r="5729" spans="1:16" ht="18" x14ac:dyDescent="0.35">
      <c r="A5729" s="9"/>
      <c r="C5729" s="393"/>
      <c r="E5729" s="394"/>
      <c r="F5729" s="394">
        <v>1.5429999999999999</v>
      </c>
      <c r="G5729" s="394"/>
      <c r="H5729" s="8" t="s">
        <v>235</v>
      </c>
      <c r="I5729" s="368">
        <f t="shared" si="268"/>
        <v>0</v>
      </c>
      <c r="J5729" s="365">
        <f t="shared" si="267"/>
        <v>0</v>
      </c>
      <c r="K5729" s="369">
        <f t="shared" si="269"/>
        <v>6</v>
      </c>
      <c r="L5729" s="369">
        <f>+IF((C5729&gt;='Resultats - informe'!$E$16)*(C5729&lt;='Resultats - informe'!$G$16),1,0)</f>
        <v>1</v>
      </c>
      <c r="M5729" s="369" cm="1">
        <f t="array" ref="M5729">+_xlfn.IFS((C5729&gt;='Resultats - informe'!$D$26)*(C5729&lt;='Resultats - informe'!$E$26),0,(C5729&gt;='Resultats - informe'!$D$27)*(C5729&lt;='Resultats - informe'!$E$27),0,(C5729&gt;='Resultats - informe'!$D$28)*(C5729&lt;='Resultats - informe'!$E$28),0,(C5729&gt;='Resultats - informe'!$D$29)*(C5729&lt;='Resultats - informe'!$E$29),0,1,1)</f>
        <v>0</v>
      </c>
      <c r="N5729" s="366">
        <f>+VLOOKUP(D5729,'Resultats - informe'!$Y$18:$AG$42,'Introducció dades consum'!K5729+1,0)</f>
        <v>0</v>
      </c>
      <c r="O5729" s="370" cm="1">
        <f t="array" ref="O5729">+_xlfn.SWITCH(MONTH(C5729),1,1,2,1,3,1,4,2,5,2,6,3,7,3,8,3,9,3,10,2,11,2,12,1,2)</f>
        <v>1</v>
      </c>
      <c r="P5729" s="43"/>
    </row>
    <row r="5730" spans="1:16" ht="18" x14ac:dyDescent="0.35">
      <c r="A5730" s="9"/>
      <c r="C5730" s="393"/>
      <c r="E5730" s="394"/>
      <c r="F5730" s="394">
        <v>0.91500000000000004</v>
      </c>
      <c r="G5730" s="394"/>
      <c r="H5730" s="8" t="s">
        <v>235</v>
      </c>
      <c r="I5730" s="368">
        <f t="shared" si="268"/>
        <v>0</v>
      </c>
      <c r="J5730" s="365">
        <f t="shared" si="267"/>
        <v>0</v>
      </c>
      <c r="K5730" s="369">
        <f t="shared" si="269"/>
        <v>6</v>
      </c>
      <c r="L5730" s="369">
        <f>+IF((C5730&gt;='Resultats - informe'!$E$16)*(C5730&lt;='Resultats - informe'!$G$16),1,0)</f>
        <v>1</v>
      </c>
      <c r="M5730" s="369" cm="1">
        <f t="array" ref="M5730">+_xlfn.IFS((C5730&gt;='Resultats - informe'!$D$26)*(C5730&lt;='Resultats - informe'!$E$26),0,(C5730&gt;='Resultats - informe'!$D$27)*(C5730&lt;='Resultats - informe'!$E$27),0,(C5730&gt;='Resultats - informe'!$D$28)*(C5730&lt;='Resultats - informe'!$E$28),0,(C5730&gt;='Resultats - informe'!$D$29)*(C5730&lt;='Resultats - informe'!$E$29),0,1,1)</f>
        <v>0</v>
      </c>
      <c r="N5730" s="366">
        <f>+VLOOKUP(D5730,'Resultats - informe'!$Y$18:$AG$42,'Introducció dades consum'!K5730+1,0)</f>
        <v>0</v>
      </c>
      <c r="O5730" s="370" cm="1">
        <f t="array" ref="O5730">+_xlfn.SWITCH(MONTH(C5730),1,1,2,1,3,1,4,2,5,2,6,3,7,3,8,3,9,3,10,2,11,2,12,1,2)</f>
        <v>1</v>
      </c>
      <c r="P5730" s="43"/>
    </row>
    <row r="5731" spans="1:16" ht="18" x14ac:dyDescent="0.35">
      <c r="A5731" s="9"/>
      <c r="C5731" s="393"/>
      <c r="E5731" s="394"/>
      <c r="F5731" s="394">
        <v>1.569</v>
      </c>
      <c r="G5731" s="394"/>
      <c r="H5731" s="8" t="s">
        <v>235</v>
      </c>
      <c r="I5731" s="368">
        <f t="shared" si="268"/>
        <v>0</v>
      </c>
      <c r="J5731" s="365">
        <f t="shared" si="267"/>
        <v>0</v>
      </c>
      <c r="K5731" s="369">
        <f t="shared" si="269"/>
        <v>6</v>
      </c>
      <c r="L5731" s="369">
        <f>+IF((C5731&gt;='Resultats - informe'!$E$16)*(C5731&lt;='Resultats - informe'!$G$16),1,0)</f>
        <v>1</v>
      </c>
      <c r="M5731" s="369" cm="1">
        <f t="array" ref="M5731">+_xlfn.IFS((C5731&gt;='Resultats - informe'!$D$26)*(C5731&lt;='Resultats - informe'!$E$26),0,(C5731&gt;='Resultats - informe'!$D$27)*(C5731&lt;='Resultats - informe'!$E$27),0,(C5731&gt;='Resultats - informe'!$D$28)*(C5731&lt;='Resultats - informe'!$E$28),0,(C5731&gt;='Resultats - informe'!$D$29)*(C5731&lt;='Resultats - informe'!$E$29),0,1,1)</f>
        <v>0</v>
      </c>
      <c r="N5731" s="366">
        <f>+VLOOKUP(D5731,'Resultats - informe'!$Y$18:$AG$42,'Introducció dades consum'!K5731+1,0)</f>
        <v>0</v>
      </c>
      <c r="O5731" s="370" cm="1">
        <f t="array" ref="O5731">+_xlfn.SWITCH(MONTH(C5731),1,1,2,1,3,1,4,2,5,2,6,3,7,3,8,3,9,3,10,2,11,2,12,1,2)</f>
        <v>1</v>
      </c>
      <c r="P5731" s="43"/>
    </row>
    <row r="5732" spans="1:16" ht="18" x14ac:dyDescent="0.35">
      <c r="A5732" s="9"/>
      <c r="C5732" s="393"/>
      <c r="E5732" s="394"/>
      <c r="F5732" s="394">
        <v>1.766</v>
      </c>
      <c r="G5732" s="394"/>
      <c r="H5732" s="8" t="s">
        <v>235</v>
      </c>
      <c r="I5732" s="368">
        <f t="shared" si="268"/>
        <v>0</v>
      </c>
      <c r="J5732" s="365">
        <f t="shared" si="267"/>
        <v>0</v>
      </c>
      <c r="K5732" s="369">
        <f t="shared" si="269"/>
        <v>6</v>
      </c>
      <c r="L5732" s="369">
        <f>+IF((C5732&gt;='Resultats - informe'!$E$16)*(C5732&lt;='Resultats - informe'!$G$16),1,0)</f>
        <v>1</v>
      </c>
      <c r="M5732" s="369" cm="1">
        <f t="array" ref="M5732">+_xlfn.IFS((C5732&gt;='Resultats - informe'!$D$26)*(C5732&lt;='Resultats - informe'!$E$26),0,(C5732&gt;='Resultats - informe'!$D$27)*(C5732&lt;='Resultats - informe'!$E$27),0,(C5732&gt;='Resultats - informe'!$D$28)*(C5732&lt;='Resultats - informe'!$E$28),0,(C5732&gt;='Resultats - informe'!$D$29)*(C5732&lt;='Resultats - informe'!$E$29),0,1,1)</f>
        <v>0</v>
      </c>
      <c r="N5732" s="366">
        <f>+VLOOKUP(D5732,'Resultats - informe'!$Y$18:$AG$42,'Introducció dades consum'!K5732+1,0)</f>
        <v>0</v>
      </c>
      <c r="O5732" s="370" cm="1">
        <f t="array" ref="O5732">+_xlfn.SWITCH(MONTH(C5732),1,1,2,1,3,1,4,2,5,2,6,3,7,3,8,3,9,3,10,2,11,2,12,1,2)</f>
        <v>1</v>
      </c>
      <c r="P5732" s="43"/>
    </row>
    <row r="5733" spans="1:16" ht="18" x14ac:dyDescent="0.35">
      <c r="A5733" s="9"/>
      <c r="C5733" s="393"/>
      <c r="E5733" s="394"/>
      <c r="F5733" s="394">
        <v>1.7689999999999999</v>
      </c>
      <c r="G5733" s="394"/>
      <c r="H5733" s="8" t="s">
        <v>235</v>
      </c>
      <c r="I5733" s="368">
        <f t="shared" si="268"/>
        <v>0</v>
      </c>
      <c r="J5733" s="365">
        <f t="shared" si="267"/>
        <v>0</v>
      </c>
      <c r="K5733" s="369">
        <f t="shared" si="269"/>
        <v>6</v>
      </c>
      <c r="L5733" s="369">
        <f>+IF((C5733&gt;='Resultats - informe'!$E$16)*(C5733&lt;='Resultats - informe'!$G$16),1,0)</f>
        <v>1</v>
      </c>
      <c r="M5733" s="369" cm="1">
        <f t="array" ref="M5733">+_xlfn.IFS((C5733&gt;='Resultats - informe'!$D$26)*(C5733&lt;='Resultats - informe'!$E$26),0,(C5733&gt;='Resultats - informe'!$D$27)*(C5733&lt;='Resultats - informe'!$E$27),0,(C5733&gt;='Resultats - informe'!$D$28)*(C5733&lt;='Resultats - informe'!$E$28),0,(C5733&gt;='Resultats - informe'!$D$29)*(C5733&lt;='Resultats - informe'!$E$29),0,1,1)</f>
        <v>0</v>
      </c>
      <c r="N5733" s="366">
        <f>+VLOOKUP(D5733,'Resultats - informe'!$Y$18:$AG$42,'Introducció dades consum'!K5733+1,0)</f>
        <v>0</v>
      </c>
      <c r="O5733" s="370" cm="1">
        <f t="array" ref="O5733">+_xlfn.SWITCH(MONTH(C5733),1,1,2,1,3,1,4,2,5,2,6,3,7,3,8,3,9,3,10,2,11,2,12,1,2)</f>
        <v>1</v>
      </c>
      <c r="P5733" s="43"/>
    </row>
    <row r="5734" spans="1:16" ht="18" x14ac:dyDescent="0.35">
      <c r="A5734" s="9"/>
      <c r="C5734" s="393"/>
      <c r="E5734" s="394"/>
      <c r="F5734" s="394">
        <v>2.548</v>
      </c>
      <c r="G5734" s="394"/>
      <c r="H5734" s="8" t="s">
        <v>235</v>
      </c>
      <c r="I5734" s="368">
        <f t="shared" si="268"/>
        <v>0</v>
      </c>
      <c r="J5734" s="365">
        <f t="shared" si="267"/>
        <v>0</v>
      </c>
      <c r="K5734" s="369">
        <f t="shared" si="269"/>
        <v>6</v>
      </c>
      <c r="L5734" s="369">
        <f>+IF((C5734&gt;='Resultats - informe'!$E$16)*(C5734&lt;='Resultats - informe'!$G$16),1,0)</f>
        <v>1</v>
      </c>
      <c r="M5734" s="369" cm="1">
        <f t="array" ref="M5734">+_xlfn.IFS((C5734&gt;='Resultats - informe'!$D$26)*(C5734&lt;='Resultats - informe'!$E$26),0,(C5734&gt;='Resultats - informe'!$D$27)*(C5734&lt;='Resultats - informe'!$E$27),0,(C5734&gt;='Resultats - informe'!$D$28)*(C5734&lt;='Resultats - informe'!$E$28),0,(C5734&gt;='Resultats - informe'!$D$29)*(C5734&lt;='Resultats - informe'!$E$29),0,1,1)</f>
        <v>0</v>
      </c>
      <c r="N5734" s="366">
        <f>+VLOOKUP(D5734,'Resultats - informe'!$Y$18:$AG$42,'Introducció dades consum'!K5734+1,0)</f>
        <v>0</v>
      </c>
      <c r="O5734" s="370" cm="1">
        <f t="array" ref="O5734">+_xlfn.SWITCH(MONTH(C5734),1,1,2,1,3,1,4,2,5,2,6,3,7,3,8,3,9,3,10,2,11,2,12,1,2)</f>
        <v>1</v>
      </c>
      <c r="P5734" s="43"/>
    </row>
    <row r="5735" spans="1:16" ht="18" x14ac:dyDescent="0.35">
      <c r="A5735" s="9"/>
      <c r="C5735" s="393"/>
      <c r="E5735" s="394"/>
      <c r="F5735" s="394">
        <v>2.5499999999999998</v>
      </c>
      <c r="G5735" s="394"/>
      <c r="H5735" s="8" t="s">
        <v>235</v>
      </c>
      <c r="I5735" s="368">
        <f t="shared" si="268"/>
        <v>0</v>
      </c>
      <c r="J5735" s="365">
        <f t="shared" si="267"/>
        <v>0</v>
      </c>
      <c r="K5735" s="369">
        <f t="shared" si="269"/>
        <v>6</v>
      </c>
      <c r="L5735" s="369">
        <f>+IF((C5735&gt;='Resultats - informe'!$E$16)*(C5735&lt;='Resultats - informe'!$G$16),1,0)</f>
        <v>1</v>
      </c>
      <c r="M5735" s="369" cm="1">
        <f t="array" ref="M5735">+_xlfn.IFS((C5735&gt;='Resultats - informe'!$D$26)*(C5735&lt;='Resultats - informe'!$E$26),0,(C5735&gt;='Resultats - informe'!$D$27)*(C5735&lt;='Resultats - informe'!$E$27),0,(C5735&gt;='Resultats - informe'!$D$28)*(C5735&lt;='Resultats - informe'!$E$28),0,(C5735&gt;='Resultats - informe'!$D$29)*(C5735&lt;='Resultats - informe'!$E$29),0,1,1)</f>
        <v>0</v>
      </c>
      <c r="N5735" s="366">
        <f>+VLOOKUP(D5735,'Resultats - informe'!$Y$18:$AG$42,'Introducció dades consum'!K5735+1,0)</f>
        <v>0</v>
      </c>
      <c r="O5735" s="370" cm="1">
        <f t="array" ref="O5735">+_xlfn.SWITCH(MONTH(C5735),1,1,2,1,3,1,4,2,5,2,6,3,7,3,8,3,9,3,10,2,11,2,12,1,2)</f>
        <v>1</v>
      </c>
      <c r="P5735" s="43"/>
    </row>
    <row r="5736" spans="1:16" ht="18" x14ac:dyDescent="0.35">
      <c r="A5736" s="9"/>
      <c r="C5736" s="393"/>
      <c r="E5736" s="394"/>
      <c r="F5736" s="394">
        <v>2.27</v>
      </c>
      <c r="G5736" s="394"/>
      <c r="H5736" s="8" t="s">
        <v>235</v>
      </c>
      <c r="I5736" s="368">
        <f t="shared" si="268"/>
        <v>0</v>
      </c>
      <c r="J5736" s="365">
        <f t="shared" si="267"/>
        <v>0</v>
      </c>
      <c r="K5736" s="369">
        <f t="shared" si="269"/>
        <v>6</v>
      </c>
      <c r="L5736" s="369">
        <f>+IF((C5736&gt;='Resultats - informe'!$E$16)*(C5736&lt;='Resultats - informe'!$G$16),1,0)</f>
        <v>1</v>
      </c>
      <c r="M5736" s="369" cm="1">
        <f t="array" ref="M5736">+_xlfn.IFS((C5736&gt;='Resultats - informe'!$D$26)*(C5736&lt;='Resultats - informe'!$E$26),0,(C5736&gt;='Resultats - informe'!$D$27)*(C5736&lt;='Resultats - informe'!$E$27),0,(C5736&gt;='Resultats - informe'!$D$28)*(C5736&lt;='Resultats - informe'!$E$28),0,(C5736&gt;='Resultats - informe'!$D$29)*(C5736&lt;='Resultats - informe'!$E$29),0,1,1)</f>
        <v>0</v>
      </c>
      <c r="N5736" s="366">
        <f>+VLOOKUP(D5736,'Resultats - informe'!$Y$18:$AG$42,'Introducció dades consum'!K5736+1,0)</f>
        <v>0</v>
      </c>
      <c r="O5736" s="370" cm="1">
        <f t="array" ref="O5736">+_xlfn.SWITCH(MONTH(C5736),1,1,2,1,3,1,4,2,5,2,6,3,7,3,8,3,9,3,10,2,11,2,12,1,2)</f>
        <v>1</v>
      </c>
      <c r="P5736" s="43"/>
    </row>
    <row r="5737" spans="1:16" ht="18" x14ac:dyDescent="0.35">
      <c r="A5737" s="9"/>
      <c r="C5737" s="393"/>
      <c r="E5737" s="394"/>
      <c r="F5737" s="394">
        <v>2.0670000000000002</v>
      </c>
      <c r="G5737" s="394"/>
      <c r="H5737" s="8" t="s">
        <v>235</v>
      </c>
      <c r="I5737" s="368">
        <f t="shared" si="268"/>
        <v>0</v>
      </c>
      <c r="J5737" s="365">
        <f t="shared" si="267"/>
        <v>0</v>
      </c>
      <c r="K5737" s="369">
        <f t="shared" si="269"/>
        <v>6</v>
      </c>
      <c r="L5737" s="369">
        <f>+IF((C5737&gt;='Resultats - informe'!$E$16)*(C5737&lt;='Resultats - informe'!$G$16),1,0)</f>
        <v>1</v>
      </c>
      <c r="M5737" s="369" cm="1">
        <f t="array" ref="M5737">+_xlfn.IFS((C5737&gt;='Resultats - informe'!$D$26)*(C5737&lt;='Resultats - informe'!$E$26),0,(C5737&gt;='Resultats - informe'!$D$27)*(C5737&lt;='Resultats - informe'!$E$27),0,(C5737&gt;='Resultats - informe'!$D$28)*(C5737&lt;='Resultats - informe'!$E$28),0,(C5737&gt;='Resultats - informe'!$D$29)*(C5737&lt;='Resultats - informe'!$E$29),0,1,1)</f>
        <v>0</v>
      </c>
      <c r="N5737" s="366">
        <f>+VLOOKUP(D5737,'Resultats - informe'!$Y$18:$AG$42,'Introducció dades consum'!K5737+1,0)</f>
        <v>0</v>
      </c>
      <c r="O5737" s="370" cm="1">
        <f t="array" ref="O5737">+_xlfn.SWITCH(MONTH(C5737),1,1,2,1,3,1,4,2,5,2,6,3,7,3,8,3,9,3,10,2,11,2,12,1,2)</f>
        <v>1</v>
      </c>
      <c r="P5737" s="43"/>
    </row>
    <row r="5738" spans="1:16" ht="18" x14ac:dyDescent="0.35">
      <c r="A5738" s="9"/>
      <c r="C5738" s="393"/>
      <c r="E5738" s="394"/>
      <c r="F5738" s="394">
        <v>1.33</v>
      </c>
      <c r="G5738" s="394"/>
      <c r="H5738" s="8" t="s">
        <v>235</v>
      </c>
      <c r="I5738" s="368">
        <f t="shared" si="268"/>
        <v>0</v>
      </c>
      <c r="J5738" s="365">
        <f t="shared" si="267"/>
        <v>0</v>
      </c>
      <c r="K5738" s="369">
        <f t="shared" si="269"/>
        <v>6</v>
      </c>
      <c r="L5738" s="369">
        <f>+IF((C5738&gt;='Resultats - informe'!$E$16)*(C5738&lt;='Resultats - informe'!$G$16),1,0)</f>
        <v>1</v>
      </c>
      <c r="M5738" s="369" cm="1">
        <f t="array" ref="M5738">+_xlfn.IFS((C5738&gt;='Resultats - informe'!$D$26)*(C5738&lt;='Resultats - informe'!$E$26),0,(C5738&gt;='Resultats - informe'!$D$27)*(C5738&lt;='Resultats - informe'!$E$27),0,(C5738&gt;='Resultats - informe'!$D$28)*(C5738&lt;='Resultats - informe'!$E$28),0,(C5738&gt;='Resultats - informe'!$D$29)*(C5738&lt;='Resultats - informe'!$E$29),0,1,1)</f>
        <v>0</v>
      </c>
      <c r="N5738" s="366">
        <f>+VLOOKUP(D5738,'Resultats - informe'!$Y$18:$AG$42,'Introducció dades consum'!K5738+1,0)</f>
        <v>0</v>
      </c>
      <c r="O5738" s="370" cm="1">
        <f t="array" ref="O5738">+_xlfn.SWITCH(MONTH(C5738),1,1,2,1,3,1,4,2,5,2,6,3,7,3,8,3,9,3,10,2,11,2,12,1,2)</f>
        <v>1</v>
      </c>
      <c r="P5738" s="43"/>
    </row>
    <row r="5739" spans="1:16" ht="18" x14ac:dyDescent="0.35">
      <c r="A5739" s="9"/>
      <c r="C5739" s="393"/>
      <c r="E5739" s="394"/>
      <c r="F5739" s="394">
        <v>1.3340000000000001</v>
      </c>
      <c r="G5739" s="394"/>
      <c r="H5739" s="8" t="s">
        <v>235</v>
      </c>
      <c r="I5739" s="368">
        <f t="shared" si="268"/>
        <v>0</v>
      </c>
      <c r="J5739" s="365">
        <f t="shared" si="267"/>
        <v>0</v>
      </c>
      <c r="K5739" s="369">
        <f t="shared" si="269"/>
        <v>6</v>
      </c>
      <c r="L5739" s="369">
        <f>+IF((C5739&gt;='Resultats - informe'!$E$16)*(C5739&lt;='Resultats - informe'!$G$16),1,0)</f>
        <v>1</v>
      </c>
      <c r="M5739" s="369" cm="1">
        <f t="array" ref="M5739">+_xlfn.IFS((C5739&gt;='Resultats - informe'!$D$26)*(C5739&lt;='Resultats - informe'!$E$26),0,(C5739&gt;='Resultats - informe'!$D$27)*(C5739&lt;='Resultats - informe'!$E$27),0,(C5739&gt;='Resultats - informe'!$D$28)*(C5739&lt;='Resultats - informe'!$E$28),0,(C5739&gt;='Resultats - informe'!$D$29)*(C5739&lt;='Resultats - informe'!$E$29),0,1,1)</f>
        <v>0</v>
      </c>
      <c r="N5739" s="366">
        <f>+VLOOKUP(D5739,'Resultats - informe'!$Y$18:$AG$42,'Introducció dades consum'!K5739+1,0)</f>
        <v>0</v>
      </c>
      <c r="O5739" s="370" cm="1">
        <f t="array" ref="O5739">+_xlfn.SWITCH(MONTH(C5739),1,1,2,1,3,1,4,2,5,2,6,3,7,3,8,3,9,3,10,2,11,2,12,1,2)</f>
        <v>1</v>
      </c>
      <c r="P5739" s="43"/>
    </row>
    <row r="5740" spans="1:16" ht="18" x14ac:dyDescent="0.35">
      <c r="A5740" s="9"/>
      <c r="C5740" s="393"/>
      <c r="E5740" s="394"/>
      <c r="F5740" s="394">
        <v>3.2000000000000001E-2</v>
      </c>
      <c r="G5740" s="394"/>
      <c r="H5740" s="8" t="s">
        <v>235</v>
      </c>
      <c r="I5740" s="368">
        <f t="shared" si="268"/>
        <v>0</v>
      </c>
      <c r="J5740" s="365">
        <f t="shared" si="267"/>
        <v>0</v>
      </c>
      <c r="K5740" s="369">
        <f t="shared" si="269"/>
        <v>6</v>
      </c>
      <c r="L5740" s="369">
        <f>+IF((C5740&gt;='Resultats - informe'!$E$16)*(C5740&lt;='Resultats - informe'!$G$16),1,0)</f>
        <v>1</v>
      </c>
      <c r="M5740" s="369" cm="1">
        <f t="array" ref="M5740">+_xlfn.IFS((C5740&gt;='Resultats - informe'!$D$26)*(C5740&lt;='Resultats - informe'!$E$26),0,(C5740&gt;='Resultats - informe'!$D$27)*(C5740&lt;='Resultats - informe'!$E$27),0,(C5740&gt;='Resultats - informe'!$D$28)*(C5740&lt;='Resultats - informe'!$E$28),0,(C5740&gt;='Resultats - informe'!$D$29)*(C5740&lt;='Resultats - informe'!$E$29),0,1,1)</f>
        <v>0</v>
      </c>
      <c r="N5740" s="366">
        <f>+VLOOKUP(D5740,'Resultats - informe'!$Y$18:$AG$42,'Introducció dades consum'!K5740+1,0)</f>
        <v>0</v>
      </c>
      <c r="O5740" s="370" cm="1">
        <f t="array" ref="O5740">+_xlfn.SWITCH(MONTH(C5740),1,1,2,1,3,1,4,2,5,2,6,3,7,3,8,3,9,3,10,2,11,2,12,1,2)</f>
        <v>1</v>
      </c>
      <c r="P5740" s="43"/>
    </row>
    <row r="5741" spans="1:16" ht="18" x14ac:dyDescent="0.35">
      <c r="A5741" s="9"/>
      <c r="C5741" s="393"/>
      <c r="E5741" s="394"/>
      <c r="F5741" s="394">
        <v>0.41899999999999998</v>
      </c>
      <c r="G5741" s="394"/>
      <c r="H5741" s="8" t="s">
        <v>235</v>
      </c>
      <c r="I5741" s="368">
        <f t="shared" si="268"/>
        <v>0</v>
      </c>
      <c r="J5741" s="365">
        <f t="shared" si="267"/>
        <v>0</v>
      </c>
      <c r="K5741" s="369">
        <f t="shared" si="269"/>
        <v>6</v>
      </c>
      <c r="L5741" s="369">
        <f>+IF((C5741&gt;='Resultats - informe'!$E$16)*(C5741&lt;='Resultats - informe'!$G$16),1,0)</f>
        <v>1</v>
      </c>
      <c r="M5741" s="369" cm="1">
        <f t="array" ref="M5741">+_xlfn.IFS((C5741&gt;='Resultats - informe'!$D$26)*(C5741&lt;='Resultats - informe'!$E$26),0,(C5741&gt;='Resultats - informe'!$D$27)*(C5741&lt;='Resultats - informe'!$E$27),0,(C5741&gt;='Resultats - informe'!$D$28)*(C5741&lt;='Resultats - informe'!$E$28),0,(C5741&gt;='Resultats - informe'!$D$29)*(C5741&lt;='Resultats - informe'!$E$29),0,1,1)</f>
        <v>0</v>
      </c>
      <c r="N5741" s="366">
        <f>+VLOOKUP(D5741,'Resultats - informe'!$Y$18:$AG$42,'Introducció dades consum'!K5741+1,0)</f>
        <v>0</v>
      </c>
      <c r="O5741" s="370" cm="1">
        <f t="array" ref="O5741">+_xlfn.SWITCH(MONTH(C5741),1,1,2,1,3,1,4,2,5,2,6,3,7,3,8,3,9,3,10,2,11,2,12,1,2)</f>
        <v>1</v>
      </c>
      <c r="P5741" s="43"/>
    </row>
    <row r="5742" spans="1:16" ht="18" x14ac:dyDescent="0.35">
      <c r="A5742" s="9"/>
      <c r="C5742" s="393"/>
      <c r="E5742" s="394"/>
      <c r="F5742" s="394">
        <v>0.41799999999999998</v>
      </c>
      <c r="G5742" s="394"/>
      <c r="H5742" s="8" t="s">
        <v>235</v>
      </c>
      <c r="I5742" s="368">
        <f t="shared" si="268"/>
        <v>0</v>
      </c>
      <c r="J5742" s="365">
        <f t="shared" si="267"/>
        <v>0</v>
      </c>
      <c r="K5742" s="369">
        <f t="shared" si="269"/>
        <v>6</v>
      </c>
      <c r="L5742" s="369">
        <f>+IF((C5742&gt;='Resultats - informe'!$E$16)*(C5742&lt;='Resultats - informe'!$G$16),1,0)</f>
        <v>1</v>
      </c>
      <c r="M5742" s="369" cm="1">
        <f t="array" ref="M5742">+_xlfn.IFS((C5742&gt;='Resultats - informe'!$D$26)*(C5742&lt;='Resultats - informe'!$E$26),0,(C5742&gt;='Resultats - informe'!$D$27)*(C5742&lt;='Resultats - informe'!$E$27),0,(C5742&gt;='Resultats - informe'!$D$28)*(C5742&lt;='Resultats - informe'!$E$28),0,(C5742&gt;='Resultats - informe'!$D$29)*(C5742&lt;='Resultats - informe'!$E$29),0,1,1)</f>
        <v>0</v>
      </c>
      <c r="N5742" s="366">
        <f>+VLOOKUP(D5742,'Resultats - informe'!$Y$18:$AG$42,'Introducció dades consum'!K5742+1,0)</f>
        <v>0</v>
      </c>
      <c r="O5742" s="370" cm="1">
        <f t="array" ref="O5742">+_xlfn.SWITCH(MONTH(C5742),1,1,2,1,3,1,4,2,5,2,6,3,7,3,8,3,9,3,10,2,11,2,12,1,2)</f>
        <v>1</v>
      </c>
      <c r="P5742" s="43"/>
    </row>
    <row r="5743" spans="1:16" ht="18" x14ac:dyDescent="0.35">
      <c r="A5743" s="9"/>
      <c r="C5743" s="393"/>
      <c r="E5743" s="394"/>
      <c r="F5743" s="394">
        <v>0.41899999999999998</v>
      </c>
      <c r="G5743" s="394"/>
      <c r="H5743" s="8" t="s">
        <v>235</v>
      </c>
      <c r="I5743" s="368">
        <f t="shared" si="268"/>
        <v>0</v>
      </c>
      <c r="J5743" s="365">
        <f t="shared" si="267"/>
        <v>0</v>
      </c>
      <c r="K5743" s="369">
        <f t="shared" si="269"/>
        <v>6</v>
      </c>
      <c r="L5743" s="369">
        <f>+IF((C5743&gt;='Resultats - informe'!$E$16)*(C5743&lt;='Resultats - informe'!$G$16),1,0)</f>
        <v>1</v>
      </c>
      <c r="M5743" s="369" cm="1">
        <f t="array" ref="M5743">+_xlfn.IFS((C5743&gt;='Resultats - informe'!$D$26)*(C5743&lt;='Resultats - informe'!$E$26),0,(C5743&gt;='Resultats - informe'!$D$27)*(C5743&lt;='Resultats - informe'!$E$27),0,(C5743&gt;='Resultats - informe'!$D$28)*(C5743&lt;='Resultats - informe'!$E$28),0,(C5743&gt;='Resultats - informe'!$D$29)*(C5743&lt;='Resultats - informe'!$E$29),0,1,1)</f>
        <v>0</v>
      </c>
      <c r="N5743" s="366">
        <f>+VLOOKUP(D5743,'Resultats - informe'!$Y$18:$AG$42,'Introducció dades consum'!K5743+1,0)</f>
        <v>0</v>
      </c>
      <c r="O5743" s="370" cm="1">
        <f t="array" ref="O5743">+_xlfn.SWITCH(MONTH(C5743),1,1,2,1,3,1,4,2,5,2,6,3,7,3,8,3,9,3,10,2,11,2,12,1,2)</f>
        <v>1</v>
      </c>
      <c r="P5743" s="43"/>
    </row>
    <row r="5744" spans="1:16" ht="18" x14ac:dyDescent="0.35">
      <c r="A5744" s="9"/>
      <c r="C5744" s="393"/>
      <c r="E5744" s="394"/>
      <c r="F5744" s="394">
        <v>0.41899999999999998</v>
      </c>
      <c r="G5744" s="394"/>
      <c r="H5744" s="8" t="s">
        <v>235</v>
      </c>
      <c r="I5744" s="368">
        <f t="shared" si="268"/>
        <v>0</v>
      </c>
      <c r="J5744" s="365">
        <f t="shared" si="267"/>
        <v>0</v>
      </c>
      <c r="K5744" s="369">
        <f t="shared" si="269"/>
        <v>6</v>
      </c>
      <c r="L5744" s="369">
        <f>+IF((C5744&gt;='Resultats - informe'!$E$16)*(C5744&lt;='Resultats - informe'!$G$16),1,0)</f>
        <v>1</v>
      </c>
      <c r="M5744" s="369" cm="1">
        <f t="array" ref="M5744">+_xlfn.IFS((C5744&gt;='Resultats - informe'!$D$26)*(C5744&lt;='Resultats - informe'!$E$26),0,(C5744&gt;='Resultats - informe'!$D$27)*(C5744&lt;='Resultats - informe'!$E$27),0,(C5744&gt;='Resultats - informe'!$D$28)*(C5744&lt;='Resultats - informe'!$E$28),0,(C5744&gt;='Resultats - informe'!$D$29)*(C5744&lt;='Resultats - informe'!$E$29),0,1,1)</f>
        <v>0</v>
      </c>
      <c r="N5744" s="366">
        <f>+VLOOKUP(D5744,'Resultats - informe'!$Y$18:$AG$42,'Introducció dades consum'!K5744+1,0)</f>
        <v>0</v>
      </c>
      <c r="O5744" s="370" cm="1">
        <f t="array" ref="O5744">+_xlfn.SWITCH(MONTH(C5744),1,1,2,1,3,1,4,2,5,2,6,3,7,3,8,3,9,3,10,2,11,2,12,1,2)</f>
        <v>1</v>
      </c>
      <c r="P5744" s="43"/>
    </row>
    <row r="5745" spans="1:16" ht="18" x14ac:dyDescent="0.35">
      <c r="A5745" s="9"/>
      <c r="C5745" s="393"/>
      <c r="E5745" s="394"/>
      <c r="F5745" s="394">
        <v>0.41799999999999998</v>
      </c>
      <c r="G5745" s="394"/>
      <c r="H5745" s="8" t="s">
        <v>235</v>
      </c>
      <c r="I5745" s="368">
        <f t="shared" si="268"/>
        <v>0</v>
      </c>
      <c r="J5745" s="365">
        <f t="shared" si="267"/>
        <v>0</v>
      </c>
      <c r="K5745" s="369">
        <f t="shared" si="269"/>
        <v>6</v>
      </c>
      <c r="L5745" s="369">
        <f>+IF((C5745&gt;='Resultats - informe'!$E$16)*(C5745&lt;='Resultats - informe'!$G$16),1,0)</f>
        <v>1</v>
      </c>
      <c r="M5745" s="369" cm="1">
        <f t="array" ref="M5745">+_xlfn.IFS((C5745&gt;='Resultats - informe'!$D$26)*(C5745&lt;='Resultats - informe'!$E$26),0,(C5745&gt;='Resultats - informe'!$D$27)*(C5745&lt;='Resultats - informe'!$E$27),0,(C5745&gt;='Resultats - informe'!$D$28)*(C5745&lt;='Resultats - informe'!$E$28),0,(C5745&gt;='Resultats - informe'!$D$29)*(C5745&lt;='Resultats - informe'!$E$29),0,1,1)</f>
        <v>0</v>
      </c>
      <c r="N5745" s="366">
        <f>+VLOOKUP(D5745,'Resultats - informe'!$Y$18:$AG$42,'Introducció dades consum'!K5745+1,0)</f>
        <v>0</v>
      </c>
      <c r="O5745" s="370" cm="1">
        <f t="array" ref="O5745">+_xlfn.SWITCH(MONTH(C5745),1,1,2,1,3,1,4,2,5,2,6,3,7,3,8,3,9,3,10,2,11,2,12,1,2)</f>
        <v>1</v>
      </c>
      <c r="P5745" s="43"/>
    </row>
    <row r="5746" spans="1:16" ht="18" x14ac:dyDescent="0.35">
      <c r="A5746" s="9"/>
      <c r="C5746" s="393"/>
      <c r="E5746" s="394"/>
      <c r="F5746" s="394">
        <v>0.42099999999999999</v>
      </c>
      <c r="G5746" s="394"/>
      <c r="H5746" s="8" t="s">
        <v>235</v>
      </c>
      <c r="I5746" s="368">
        <f t="shared" si="268"/>
        <v>0</v>
      </c>
      <c r="J5746" s="365">
        <f t="shared" si="267"/>
        <v>0</v>
      </c>
      <c r="K5746" s="369">
        <f t="shared" si="269"/>
        <v>6</v>
      </c>
      <c r="L5746" s="369">
        <f>+IF((C5746&gt;='Resultats - informe'!$E$16)*(C5746&lt;='Resultats - informe'!$G$16),1,0)</f>
        <v>1</v>
      </c>
      <c r="M5746" s="369" cm="1">
        <f t="array" ref="M5746">+_xlfn.IFS((C5746&gt;='Resultats - informe'!$D$26)*(C5746&lt;='Resultats - informe'!$E$26),0,(C5746&gt;='Resultats - informe'!$D$27)*(C5746&lt;='Resultats - informe'!$E$27),0,(C5746&gt;='Resultats - informe'!$D$28)*(C5746&lt;='Resultats - informe'!$E$28),0,(C5746&gt;='Resultats - informe'!$D$29)*(C5746&lt;='Resultats - informe'!$E$29),0,1,1)</f>
        <v>0</v>
      </c>
      <c r="N5746" s="366">
        <f>+VLOOKUP(D5746,'Resultats - informe'!$Y$18:$AG$42,'Introducció dades consum'!K5746+1,0)</f>
        <v>0</v>
      </c>
      <c r="O5746" s="370" cm="1">
        <f t="array" ref="O5746">+_xlfn.SWITCH(MONTH(C5746),1,1,2,1,3,1,4,2,5,2,6,3,7,3,8,3,9,3,10,2,11,2,12,1,2)</f>
        <v>1</v>
      </c>
      <c r="P5746" s="43"/>
    </row>
    <row r="5747" spans="1:16" ht="18" x14ac:dyDescent="0.35">
      <c r="A5747" s="9"/>
      <c r="C5747" s="393"/>
      <c r="E5747" s="394"/>
      <c r="F5747" s="394">
        <v>0.41099999999999998</v>
      </c>
      <c r="G5747" s="394"/>
      <c r="H5747" s="8" t="s">
        <v>235</v>
      </c>
      <c r="I5747" s="368">
        <f t="shared" si="268"/>
        <v>0</v>
      </c>
      <c r="J5747" s="365">
        <f t="shared" si="267"/>
        <v>0</v>
      </c>
      <c r="K5747" s="369">
        <f t="shared" si="269"/>
        <v>6</v>
      </c>
      <c r="L5747" s="369">
        <f>+IF((C5747&gt;='Resultats - informe'!$E$16)*(C5747&lt;='Resultats - informe'!$G$16),1,0)</f>
        <v>1</v>
      </c>
      <c r="M5747" s="369" cm="1">
        <f t="array" ref="M5747">+_xlfn.IFS((C5747&gt;='Resultats - informe'!$D$26)*(C5747&lt;='Resultats - informe'!$E$26),0,(C5747&gt;='Resultats - informe'!$D$27)*(C5747&lt;='Resultats - informe'!$E$27),0,(C5747&gt;='Resultats - informe'!$D$28)*(C5747&lt;='Resultats - informe'!$E$28),0,(C5747&gt;='Resultats - informe'!$D$29)*(C5747&lt;='Resultats - informe'!$E$29),0,1,1)</f>
        <v>0</v>
      </c>
      <c r="N5747" s="366">
        <f>+VLOOKUP(D5747,'Resultats - informe'!$Y$18:$AG$42,'Introducció dades consum'!K5747+1,0)</f>
        <v>0</v>
      </c>
      <c r="O5747" s="370" cm="1">
        <f t="array" ref="O5747">+_xlfn.SWITCH(MONTH(C5747),1,1,2,1,3,1,4,2,5,2,6,3,7,3,8,3,9,3,10,2,11,2,12,1,2)</f>
        <v>1</v>
      </c>
      <c r="P5747" s="43"/>
    </row>
    <row r="5748" spans="1:16" ht="18" x14ac:dyDescent="0.35">
      <c r="A5748" s="9"/>
      <c r="C5748" s="393"/>
      <c r="E5748" s="394"/>
      <c r="F5748" s="394">
        <v>0.91800000000000004</v>
      </c>
      <c r="G5748" s="394"/>
      <c r="H5748" s="8" t="s">
        <v>235</v>
      </c>
      <c r="I5748" s="368">
        <f t="shared" si="268"/>
        <v>0</v>
      </c>
      <c r="J5748" s="365">
        <f t="shared" si="267"/>
        <v>0</v>
      </c>
      <c r="K5748" s="369">
        <f t="shared" si="269"/>
        <v>6</v>
      </c>
      <c r="L5748" s="369">
        <f>+IF((C5748&gt;='Resultats - informe'!$E$16)*(C5748&lt;='Resultats - informe'!$G$16),1,0)</f>
        <v>1</v>
      </c>
      <c r="M5748" s="369" cm="1">
        <f t="array" ref="M5748">+_xlfn.IFS((C5748&gt;='Resultats - informe'!$D$26)*(C5748&lt;='Resultats - informe'!$E$26),0,(C5748&gt;='Resultats - informe'!$D$27)*(C5748&lt;='Resultats - informe'!$E$27),0,(C5748&gt;='Resultats - informe'!$D$28)*(C5748&lt;='Resultats - informe'!$E$28),0,(C5748&gt;='Resultats - informe'!$D$29)*(C5748&lt;='Resultats - informe'!$E$29),0,1,1)</f>
        <v>0</v>
      </c>
      <c r="N5748" s="366">
        <f>+VLOOKUP(D5748,'Resultats - informe'!$Y$18:$AG$42,'Introducció dades consum'!K5748+1,0)</f>
        <v>0</v>
      </c>
      <c r="O5748" s="370" cm="1">
        <f t="array" ref="O5748">+_xlfn.SWITCH(MONTH(C5748),1,1,2,1,3,1,4,2,5,2,6,3,7,3,8,3,9,3,10,2,11,2,12,1,2)</f>
        <v>1</v>
      </c>
      <c r="P5748" s="43"/>
    </row>
    <row r="5749" spans="1:16" ht="18" x14ac:dyDescent="0.35">
      <c r="A5749" s="9"/>
      <c r="C5749" s="393"/>
      <c r="E5749" s="394"/>
      <c r="F5749" s="394">
        <v>0.73599999999999999</v>
      </c>
      <c r="G5749" s="394"/>
      <c r="H5749" s="8" t="s">
        <v>235</v>
      </c>
      <c r="I5749" s="368">
        <f t="shared" si="268"/>
        <v>0</v>
      </c>
      <c r="J5749" s="365">
        <f t="shared" si="267"/>
        <v>0</v>
      </c>
      <c r="K5749" s="369">
        <f t="shared" si="269"/>
        <v>6</v>
      </c>
      <c r="L5749" s="369">
        <f>+IF((C5749&gt;='Resultats - informe'!$E$16)*(C5749&lt;='Resultats - informe'!$G$16),1,0)</f>
        <v>1</v>
      </c>
      <c r="M5749" s="369" cm="1">
        <f t="array" ref="M5749">+_xlfn.IFS((C5749&gt;='Resultats - informe'!$D$26)*(C5749&lt;='Resultats - informe'!$E$26),0,(C5749&gt;='Resultats - informe'!$D$27)*(C5749&lt;='Resultats - informe'!$E$27),0,(C5749&gt;='Resultats - informe'!$D$28)*(C5749&lt;='Resultats - informe'!$E$28),0,(C5749&gt;='Resultats - informe'!$D$29)*(C5749&lt;='Resultats - informe'!$E$29),0,1,1)</f>
        <v>0</v>
      </c>
      <c r="N5749" s="366">
        <f>+VLOOKUP(D5749,'Resultats - informe'!$Y$18:$AG$42,'Introducció dades consum'!K5749+1,0)</f>
        <v>0</v>
      </c>
      <c r="O5749" s="370" cm="1">
        <f t="array" ref="O5749">+_xlfn.SWITCH(MONTH(C5749),1,1,2,1,3,1,4,2,5,2,6,3,7,3,8,3,9,3,10,2,11,2,12,1,2)</f>
        <v>1</v>
      </c>
      <c r="P5749" s="43"/>
    </row>
    <row r="5750" spans="1:16" ht="18" x14ac:dyDescent="0.35">
      <c r="A5750" s="9"/>
      <c r="C5750" s="393"/>
      <c r="E5750" s="394"/>
      <c r="F5750" s="394">
        <v>1.373</v>
      </c>
      <c r="G5750" s="394"/>
      <c r="H5750" s="8" t="s">
        <v>235</v>
      </c>
      <c r="I5750" s="368">
        <f t="shared" si="268"/>
        <v>0</v>
      </c>
      <c r="J5750" s="365">
        <f t="shared" si="267"/>
        <v>0</v>
      </c>
      <c r="K5750" s="369">
        <f t="shared" si="269"/>
        <v>6</v>
      </c>
      <c r="L5750" s="369">
        <f>+IF((C5750&gt;='Resultats - informe'!$E$16)*(C5750&lt;='Resultats - informe'!$G$16),1,0)</f>
        <v>1</v>
      </c>
      <c r="M5750" s="369" cm="1">
        <f t="array" ref="M5750">+_xlfn.IFS((C5750&gt;='Resultats - informe'!$D$26)*(C5750&lt;='Resultats - informe'!$E$26),0,(C5750&gt;='Resultats - informe'!$D$27)*(C5750&lt;='Resultats - informe'!$E$27),0,(C5750&gt;='Resultats - informe'!$D$28)*(C5750&lt;='Resultats - informe'!$E$28),0,(C5750&gt;='Resultats - informe'!$D$29)*(C5750&lt;='Resultats - informe'!$E$29),0,1,1)</f>
        <v>0</v>
      </c>
      <c r="N5750" s="366">
        <f>+VLOOKUP(D5750,'Resultats - informe'!$Y$18:$AG$42,'Introducció dades consum'!K5750+1,0)</f>
        <v>0</v>
      </c>
      <c r="O5750" s="370" cm="1">
        <f t="array" ref="O5750">+_xlfn.SWITCH(MONTH(C5750),1,1,2,1,3,1,4,2,5,2,6,3,7,3,8,3,9,3,10,2,11,2,12,1,2)</f>
        <v>1</v>
      </c>
      <c r="P5750" s="43"/>
    </row>
    <row r="5751" spans="1:16" ht="18" x14ac:dyDescent="0.35">
      <c r="A5751" s="9"/>
      <c r="C5751" s="393"/>
      <c r="E5751" s="394"/>
      <c r="F5751" s="394">
        <v>1.4350000000000001</v>
      </c>
      <c r="G5751" s="394"/>
      <c r="H5751" s="8" t="s">
        <v>235</v>
      </c>
      <c r="I5751" s="368">
        <f t="shared" si="268"/>
        <v>0</v>
      </c>
      <c r="J5751" s="365">
        <f t="shared" si="267"/>
        <v>0</v>
      </c>
      <c r="K5751" s="369">
        <f t="shared" si="269"/>
        <v>6</v>
      </c>
      <c r="L5751" s="369">
        <f>+IF((C5751&gt;='Resultats - informe'!$E$16)*(C5751&lt;='Resultats - informe'!$G$16),1,0)</f>
        <v>1</v>
      </c>
      <c r="M5751" s="369" cm="1">
        <f t="array" ref="M5751">+_xlfn.IFS((C5751&gt;='Resultats - informe'!$D$26)*(C5751&lt;='Resultats - informe'!$E$26),0,(C5751&gt;='Resultats - informe'!$D$27)*(C5751&lt;='Resultats - informe'!$E$27),0,(C5751&gt;='Resultats - informe'!$D$28)*(C5751&lt;='Resultats - informe'!$E$28),0,(C5751&gt;='Resultats - informe'!$D$29)*(C5751&lt;='Resultats - informe'!$E$29),0,1,1)</f>
        <v>0</v>
      </c>
      <c r="N5751" s="366">
        <f>+VLOOKUP(D5751,'Resultats - informe'!$Y$18:$AG$42,'Introducció dades consum'!K5751+1,0)</f>
        <v>0</v>
      </c>
      <c r="O5751" s="370" cm="1">
        <f t="array" ref="O5751">+_xlfn.SWITCH(MONTH(C5751),1,1,2,1,3,1,4,2,5,2,6,3,7,3,8,3,9,3,10,2,11,2,12,1,2)</f>
        <v>1</v>
      </c>
      <c r="P5751" s="43"/>
    </row>
    <row r="5752" spans="1:16" ht="18" x14ac:dyDescent="0.35">
      <c r="A5752" s="9"/>
      <c r="C5752" s="393"/>
      <c r="E5752" s="394"/>
      <c r="F5752" s="394">
        <v>1.2929999999999999</v>
      </c>
      <c r="G5752" s="394"/>
      <c r="H5752" s="8" t="s">
        <v>235</v>
      </c>
      <c r="I5752" s="368">
        <f t="shared" si="268"/>
        <v>0</v>
      </c>
      <c r="J5752" s="365">
        <f t="shared" si="267"/>
        <v>0</v>
      </c>
      <c r="K5752" s="369">
        <f t="shared" si="269"/>
        <v>6</v>
      </c>
      <c r="L5752" s="369">
        <f>+IF((C5752&gt;='Resultats - informe'!$E$16)*(C5752&lt;='Resultats - informe'!$G$16),1,0)</f>
        <v>1</v>
      </c>
      <c r="M5752" s="369" cm="1">
        <f t="array" ref="M5752">+_xlfn.IFS((C5752&gt;='Resultats - informe'!$D$26)*(C5752&lt;='Resultats - informe'!$E$26),0,(C5752&gt;='Resultats - informe'!$D$27)*(C5752&lt;='Resultats - informe'!$E$27),0,(C5752&gt;='Resultats - informe'!$D$28)*(C5752&lt;='Resultats - informe'!$E$28),0,(C5752&gt;='Resultats - informe'!$D$29)*(C5752&lt;='Resultats - informe'!$E$29),0,1,1)</f>
        <v>0</v>
      </c>
      <c r="N5752" s="366">
        <f>+VLOOKUP(D5752,'Resultats - informe'!$Y$18:$AG$42,'Introducció dades consum'!K5752+1,0)</f>
        <v>0</v>
      </c>
      <c r="O5752" s="370" cm="1">
        <f t="array" ref="O5752">+_xlfn.SWITCH(MONTH(C5752),1,1,2,1,3,1,4,2,5,2,6,3,7,3,8,3,9,3,10,2,11,2,12,1,2)</f>
        <v>1</v>
      </c>
      <c r="P5752" s="43"/>
    </row>
    <row r="5753" spans="1:16" ht="18" x14ac:dyDescent="0.35">
      <c r="A5753" s="9"/>
      <c r="C5753" s="393"/>
      <c r="E5753" s="394"/>
      <c r="F5753" s="394">
        <v>1.548</v>
      </c>
      <c r="G5753" s="394"/>
      <c r="H5753" s="8" t="s">
        <v>235</v>
      </c>
      <c r="I5753" s="368">
        <f t="shared" si="268"/>
        <v>0</v>
      </c>
      <c r="J5753" s="365">
        <f t="shared" si="267"/>
        <v>0</v>
      </c>
      <c r="K5753" s="369">
        <f t="shared" si="269"/>
        <v>6</v>
      </c>
      <c r="L5753" s="369">
        <f>+IF((C5753&gt;='Resultats - informe'!$E$16)*(C5753&lt;='Resultats - informe'!$G$16),1,0)</f>
        <v>1</v>
      </c>
      <c r="M5753" s="369" cm="1">
        <f t="array" ref="M5753">+_xlfn.IFS((C5753&gt;='Resultats - informe'!$D$26)*(C5753&lt;='Resultats - informe'!$E$26),0,(C5753&gt;='Resultats - informe'!$D$27)*(C5753&lt;='Resultats - informe'!$E$27),0,(C5753&gt;='Resultats - informe'!$D$28)*(C5753&lt;='Resultats - informe'!$E$28),0,(C5753&gt;='Resultats - informe'!$D$29)*(C5753&lt;='Resultats - informe'!$E$29),0,1,1)</f>
        <v>0</v>
      </c>
      <c r="N5753" s="366">
        <f>+VLOOKUP(D5753,'Resultats - informe'!$Y$18:$AG$42,'Introducció dades consum'!K5753+1,0)</f>
        <v>0</v>
      </c>
      <c r="O5753" s="370" cm="1">
        <f t="array" ref="O5753">+_xlfn.SWITCH(MONTH(C5753),1,1,2,1,3,1,4,2,5,2,6,3,7,3,8,3,9,3,10,2,11,2,12,1,2)</f>
        <v>1</v>
      </c>
      <c r="P5753" s="43"/>
    </row>
    <row r="5754" spans="1:16" ht="18" x14ac:dyDescent="0.35">
      <c r="A5754" s="9"/>
      <c r="C5754" s="393"/>
      <c r="E5754" s="394"/>
      <c r="F5754" s="394">
        <v>0.84399999999999997</v>
      </c>
      <c r="G5754" s="394"/>
      <c r="H5754" s="8" t="s">
        <v>235</v>
      </c>
      <c r="I5754" s="368">
        <f t="shared" si="268"/>
        <v>0</v>
      </c>
      <c r="J5754" s="365">
        <f t="shared" si="267"/>
        <v>0</v>
      </c>
      <c r="K5754" s="369">
        <f t="shared" si="269"/>
        <v>6</v>
      </c>
      <c r="L5754" s="369">
        <f>+IF((C5754&gt;='Resultats - informe'!$E$16)*(C5754&lt;='Resultats - informe'!$G$16),1,0)</f>
        <v>1</v>
      </c>
      <c r="M5754" s="369" cm="1">
        <f t="array" ref="M5754">+_xlfn.IFS((C5754&gt;='Resultats - informe'!$D$26)*(C5754&lt;='Resultats - informe'!$E$26),0,(C5754&gt;='Resultats - informe'!$D$27)*(C5754&lt;='Resultats - informe'!$E$27),0,(C5754&gt;='Resultats - informe'!$D$28)*(C5754&lt;='Resultats - informe'!$E$28),0,(C5754&gt;='Resultats - informe'!$D$29)*(C5754&lt;='Resultats - informe'!$E$29),0,1,1)</f>
        <v>0</v>
      </c>
      <c r="N5754" s="366">
        <f>+VLOOKUP(D5754,'Resultats - informe'!$Y$18:$AG$42,'Introducció dades consum'!K5754+1,0)</f>
        <v>0</v>
      </c>
      <c r="O5754" s="370" cm="1">
        <f t="array" ref="O5754">+_xlfn.SWITCH(MONTH(C5754),1,1,2,1,3,1,4,2,5,2,6,3,7,3,8,3,9,3,10,2,11,2,12,1,2)</f>
        <v>1</v>
      </c>
      <c r="P5754" s="43"/>
    </row>
    <row r="5755" spans="1:16" ht="18" x14ac:dyDescent="0.35">
      <c r="A5755" s="9"/>
      <c r="C5755" s="393"/>
      <c r="E5755" s="394"/>
      <c r="F5755" s="394">
        <v>1.671</v>
      </c>
      <c r="G5755" s="394"/>
      <c r="H5755" s="8" t="s">
        <v>235</v>
      </c>
      <c r="I5755" s="368">
        <f t="shared" si="268"/>
        <v>0</v>
      </c>
      <c r="J5755" s="365">
        <f t="shared" ref="J5755:J5818" si="270">+C5755</f>
        <v>0</v>
      </c>
      <c r="K5755" s="369">
        <f t="shared" si="269"/>
        <v>6</v>
      </c>
      <c r="L5755" s="369">
        <f>+IF((C5755&gt;='Resultats - informe'!$E$16)*(C5755&lt;='Resultats - informe'!$G$16),1,0)</f>
        <v>1</v>
      </c>
      <c r="M5755" s="369" cm="1">
        <f t="array" ref="M5755">+_xlfn.IFS((C5755&gt;='Resultats - informe'!$D$26)*(C5755&lt;='Resultats - informe'!$E$26),0,(C5755&gt;='Resultats - informe'!$D$27)*(C5755&lt;='Resultats - informe'!$E$27),0,(C5755&gt;='Resultats - informe'!$D$28)*(C5755&lt;='Resultats - informe'!$E$28),0,(C5755&gt;='Resultats - informe'!$D$29)*(C5755&lt;='Resultats - informe'!$E$29),0,1,1)</f>
        <v>0</v>
      </c>
      <c r="N5755" s="366">
        <f>+VLOOKUP(D5755,'Resultats - informe'!$Y$18:$AG$42,'Introducció dades consum'!K5755+1,0)</f>
        <v>0</v>
      </c>
      <c r="O5755" s="370" cm="1">
        <f t="array" ref="O5755">+_xlfn.SWITCH(MONTH(C5755),1,1,2,1,3,1,4,2,5,2,6,3,7,3,8,3,9,3,10,2,11,2,12,1,2)</f>
        <v>1</v>
      </c>
      <c r="P5755" s="43"/>
    </row>
    <row r="5756" spans="1:16" ht="18" x14ac:dyDescent="0.35">
      <c r="A5756" s="9"/>
      <c r="C5756" s="393"/>
      <c r="E5756" s="394"/>
      <c r="F5756" s="394">
        <v>1.734</v>
      </c>
      <c r="G5756" s="394"/>
      <c r="H5756" s="8" t="s">
        <v>235</v>
      </c>
      <c r="I5756" s="368">
        <f t="shared" si="268"/>
        <v>0</v>
      </c>
      <c r="J5756" s="365">
        <f t="shared" si="270"/>
        <v>0</v>
      </c>
      <c r="K5756" s="369">
        <f t="shared" si="269"/>
        <v>6</v>
      </c>
      <c r="L5756" s="369">
        <f>+IF((C5756&gt;='Resultats - informe'!$E$16)*(C5756&lt;='Resultats - informe'!$G$16),1,0)</f>
        <v>1</v>
      </c>
      <c r="M5756" s="369" cm="1">
        <f t="array" ref="M5756">+_xlfn.IFS((C5756&gt;='Resultats - informe'!$D$26)*(C5756&lt;='Resultats - informe'!$E$26),0,(C5756&gt;='Resultats - informe'!$D$27)*(C5756&lt;='Resultats - informe'!$E$27),0,(C5756&gt;='Resultats - informe'!$D$28)*(C5756&lt;='Resultats - informe'!$E$28),0,(C5756&gt;='Resultats - informe'!$D$29)*(C5756&lt;='Resultats - informe'!$E$29),0,1,1)</f>
        <v>0</v>
      </c>
      <c r="N5756" s="366">
        <f>+VLOOKUP(D5756,'Resultats - informe'!$Y$18:$AG$42,'Introducció dades consum'!K5756+1,0)</f>
        <v>0</v>
      </c>
      <c r="O5756" s="370" cm="1">
        <f t="array" ref="O5756">+_xlfn.SWITCH(MONTH(C5756),1,1,2,1,3,1,4,2,5,2,6,3,7,3,8,3,9,3,10,2,11,2,12,1,2)</f>
        <v>1</v>
      </c>
      <c r="P5756" s="43"/>
    </row>
    <row r="5757" spans="1:16" ht="18" x14ac:dyDescent="0.35">
      <c r="A5757" s="9"/>
      <c r="C5757" s="393"/>
      <c r="E5757" s="394"/>
      <c r="F5757" s="394">
        <v>1.613</v>
      </c>
      <c r="G5757" s="394"/>
      <c r="H5757" s="8" t="s">
        <v>235</v>
      </c>
      <c r="I5757" s="368">
        <f t="shared" si="268"/>
        <v>0</v>
      </c>
      <c r="J5757" s="365">
        <f t="shared" si="270"/>
        <v>0</v>
      </c>
      <c r="K5757" s="369">
        <f t="shared" si="269"/>
        <v>6</v>
      </c>
      <c r="L5757" s="369">
        <f>+IF((C5757&gt;='Resultats - informe'!$E$16)*(C5757&lt;='Resultats - informe'!$G$16),1,0)</f>
        <v>1</v>
      </c>
      <c r="M5757" s="369" cm="1">
        <f t="array" ref="M5757">+_xlfn.IFS((C5757&gt;='Resultats - informe'!$D$26)*(C5757&lt;='Resultats - informe'!$E$26),0,(C5757&gt;='Resultats - informe'!$D$27)*(C5757&lt;='Resultats - informe'!$E$27),0,(C5757&gt;='Resultats - informe'!$D$28)*(C5757&lt;='Resultats - informe'!$E$28),0,(C5757&gt;='Resultats - informe'!$D$29)*(C5757&lt;='Resultats - informe'!$E$29),0,1,1)</f>
        <v>0</v>
      </c>
      <c r="N5757" s="366">
        <f>+VLOOKUP(D5757,'Resultats - informe'!$Y$18:$AG$42,'Introducció dades consum'!K5757+1,0)</f>
        <v>0</v>
      </c>
      <c r="O5757" s="370" cm="1">
        <f t="array" ref="O5757">+_xlfn.SWITCH(MONTH(C5757),1,1,2,1,3,1,4,2,5,2,6,3,7,3,8,3,9,3,10,2,11,2,12,1,2)</f>
        <v>1</v>
      </c>
      <c r="P5757" s="43"/>
    </row>
    <row r="5758" spans="1:16" ht="18" x14ac:dyDescent="0.35">
      <c r="A5758" s="9"/>
      <c r="C5758" s="393"/>
      <c r="E5758" s="394"/>
      <c r="F5758" s="394">
        <v>2.34</v>
      </c>
      <c r="G5758" s="394"/>
      <c r="H5758" s="8" t="s">
        <v>235</v>
      </c>
      <c r="I5758" s="368">
        <f t="shared" si="268"/>
        <v>0</v>
      </c>
      <c r="J5758" s="365">
        <f t="shared" si="270"/>
        <v>0</v>
      </c>
      <c r="K5758" s="369">
        <f t="shared" si="269"/>
        <v>6</v>
      </c>
      <c r="L5758" s="369">
        <f>+IF((C5758&gt;='Resultats - informe'!$E$16)*(C5758&lt;='Resultats - informe'!$G$16),1,0)</f>
        <v>1</v>
      </c>
      <c r="M5758" s="369" cm="1">
        <f t="array" ref="M5758">+_xlfn.IFS((C5758&gt;='Resultats - informe'!$D$26)*(C5758&lt;='Resultats - informe'!$E$26),0,(C5758&gt;='Resultats - informe'!$D$27)*(C5758&lt;='Resultats - informe'!$E$27),0,(C5758&gt;='Resultats - informe'!$D$28)*(C5758&lt;='Resultats - informe'!$E$28),0,(C5758&gt;='Resultats - informe'!$D$29)*(C5758&lt;='Resultats - informe'!$E$29),0,1,1)</f>
        <v>0</v>
      </c>
      <c r="N5758" s="366">
        <f>+VLOOKUP(D5758,'Resultats - informe'!$Y$18:$AG$42,'Introducció dades consum'!K5758+1,0)</f>
        <v>0</v>
      </c>
      <c r="O5758" s="370" cm="1">
        <f t="array" ref="O5758">+_xlfn.SWITCH(MONTH(C5758),1,1,2,1,3,1,4,2,5,2,6,3,7,3,8,3,9,3,10,2,11,2,12,1,2)</f>
        <v>1</v>
      </c>
      <c r="P5758" s="43"/>
    </row>
    <row r="5759" spans="1:16" ht="18" x14ac:dyDescent="0.35">
      <c r="A5759" s="9"/>
      <c r="C5759" s="393"/>
      <c r="E5759" s="394"/>
      <c r="F5759" s="394">
        <v>1.962</v>
      </c>
      <c r="G5759" s="394"/>
      <c r="H5759" s="8" t="s">
        <v>235</v>
      </c>
      <c r="I5759" s="368">
        <f t="shared" si="268"/>
        <v>0</v>
      </c>
      <c r="J5759" s="365">
        <f t="shared" si="270"/>
        <v>0</v>
      </c>
      <c r="K5759" s="369">
        <f t="shared" si="269"/>
        <v>6</v>
      </c>
      <c r="L5759" s="369">
        <f>+IF((C5759&gt;='Resultats - informe'!$E$16)*(C5759&lt;='Resultats - informe'!$G$16),1,0)</f>
        <v>1</v>
      </c>
      <c r="M5759" s="369" cm="1">
        <f t="array" ref="M5759">+_xlfn.IFS((C5759&gt;='Resultats - informe'!$D$26)*(C5759&lt;='Resultats - informe'!$E$26),0,(C5759&gt;='Resultats - informe'!$D$27)*(C5759&lt;='Resultats - informe'!$E$27),0,(C5759&gt;='Resultats - informe'!$D$28)*(C5759&lt;='Resultats - informe'!$E$28),0,(C5759&gt;='Resultats - informe'!$D$29)*(C5759&lt;='Resultats - informe'!$E$29),0,1,1)</f>
        <v>0</v>
      </c>
      <c r="N5759" s="366">
        <f>+VLOOKUP(D5759,'Resultats - informe'!$Y$18:$AG$42,'Introducció dades consum'!K5759+1,0)</f>
        <v>0</v>
      </c>
      <c r="O5759" s="370" cm="1">
        <f t="array" ref="O5759">+_xlfn.SWITCH(MONTH(C5759),1,1,2,1,3,1,4,2,5,2,6,3,7,3,8,3,9,3,10,2,11,2,12,1,2)</f>
        <v>1</v>
      </c>
      <c r="P5759" s="43"/>
    </row>
    <row r="5760" spans="1:16" ht="18" x14ac:dyDescent="0.35">
      <c r="A5760" s="9"/>
      <c r="C5760" s="393"/>
      <c r="E5760" s="394"/>
      <c r="F5760" s="394">
        <v>1.972</v>
      </c>
      <c r="G5760" s="394"/>
      <c r="H5760" s="8" t="s">
        <v>235</v>
      </c>
      <c r="I5760" s="368">
        <f t="shared" si="268"/>
        <v>0</v>
      </c>
      <c r="J5760" s="365">
        <f t="shared" si="270"/>
        <v>0</v>
      </c>
      <c r="K5760" s="369">
        <f t="shared" si="269"/>
        <v>6</v>
      </c>
      <c r="L5760" s="369">
        <f>+IF((C5760&gt;='Resultats - informe'!$E$16)*(C5760&lt;='Resultats - informe'!$G$16),1,0)</f>
        <v>1</v>
      </c>
      <c r="M5760" s="369" cm="1">
        <f t="array" ref="M5760">+_xlfn.IFS((C5760&gt;='Resultats - informe'!$D$26)*(C5760&lt;='Resultats - informe'!$E$26),0,(C5760&gt;='Resultats - informe'!$D$27)*(C5760&lt;='Resultats - informe'!$E$27),0,(C5760&gt;='Resultats - informe'!$D$28)*(C5760&lt;='Resultats - informe'!$E$28),0,(C5760&gt;='Resultats - informe'!$D$29)*(C5760&lt;='Resultats - informe'!$E$29),0,1,1)</f>
        <v>0</v>
      </c>
      <c r="N5760" s="366">
        <f>+VLOOKUP(D5760,'Resultats - informe'!$Y$18:$AG$42,'Introducció dades consum'!K5760+1,0)</f>
        <v>0</v>
      </c>
      <c r="O5760" s="370" cm="1">
        <f t="array" ref="O5760">+_xlfn.SWITCH(MONTH(C5760),1,1,2,1,3,1,4,2,5,2,6,3,7,3,8,3,9,3,10,2,11,2,12,1,2)</f>
        <v>1</v>
      </c>
      <c r="P5760" s="43"/>
    </row>
    <row r="5761" spans="1:16" ht="18" x14ac:dyDescent="0.35">
      <c r="A5761" s="9"/>
      <c r="C5761" s="393"/>
      <c r="E5761" s="394"/>
      <c r="F5761" s="394">
        <v>2.036</v>
      </c>
      <c r="G5761" s="394"/>
      <c r="H5761" s="8" t="s">
        <v>235</v>
      </c>
      <c r="I5761" s="368">
        <f t="shared" si="268"/>
        <v>0</v>
      </c>
      <c r="J5761" s="365">
        <f t="shared" si="270"/>
        <v>0</v>
      </c>
      <c r="K5761" s="369">
        <f t="shared" si="269"/>
        <v>6</v>
      </c>
      <c r="L5761" s="369">
        <f>+IF((C5761&gt;='Resultats - informe'!$E$16)*(C5761&lt;='Resultats - informe'!$G$16),1,0)</f>
        <v>1</v>
      </c>
      <c r="M5761" s="369" cm="1">
        <f t="array" ref="M5761">+_xlfn.IFS((C5761&gt;='Resultats - informe'!$D$26)*(C5761&lt;='Resultats - informe'!$E$26),0,(C5761&gt;='Resultats - informe'!$D$27)*(C5761&lt;='Resultats - informe'!$E$27),0,(C5761&gt;='Resultats - informe'!$D$28)*(C5761&lt;='Resultats - informe'!$E$28),0,(C5761&gt;='Resultats - informe'!$D$29)*(C5761&lt;='Resultats - informe'!$E$29),0,1,1)</f>
        <v>0</v>
      </c>
      <c r="N5761" s="366">
        <f>+VLOOKUP(D5761,'Resultats - informe'!$Y$18:$AG$42,'Introducció dades consum'!K5761+1,0)</f>
        <v>0</v>
      </c>
      <c r="O5761" s="370" cm="1">
        <f t="array" ref="O5761">+_xlfn.SWITCH(MONTH(C5761),1,1,2,1,3,1,4,2,5,2,6,3,7,3,8,3,9,3,10,2,11,2,12,1,2)</f>
        <v>1</v>
      </c>
      <c r="P5761" s="43"/>
    </row>
    <row r="5762" spans="1:16" ht="18" x14ac:dyDescent="0.35">
      <c r="A5762" s="9"/>
      <c r="C5762" s="393"/>
      <c r="E5762" s="394"/>
      <c r="F5762" s="394">
        <v>1.306</v>
      </c>
      <c r="G5762" s="394"/>
      <c r="H5762" s="8" t="s">
        <v>235</v>
      </c>
      <c r="I5762" s="368">
        <f t="shared" si="268"/>
        <v>0</v>
      </c>
      <c r="J5762" s="365">
        <f t="shared" si="270"/>
        <v>0</v>
      </c>
      <c r="K5762" s="369">
        <f t="shared" si="269"/>
        <v>6</v>
      </c>
      <c r="L5762" s="369">
        <f>+IF((C5762&gt;='Resultats - informe'!$E$16)*(C5762&lt;='Resultats - informe'!$G$16),1,0)</f>
        <v>1</v>
      </c>
      <c r="M5762" s="369" cm="1">
        <f t="array" ref="M5762">+_xlfn.IFS((C5762&gt;='Resultats - informe'!$D$26)*(C5762&lt;='Resultats - informe'!$E$26),0,(C5762&gt;='Resultats - informe'!$D$27)*(C5762&lt;='Resultats - informe'!$E$27),0,(C5762&gt;='Resultats - informe'!$D$28)*(C5762&lt;='Resultats - informe'!$E$28),0,(C5762&gt;='Resultats - informe'!$D$29)*(C5762&lt;='Resultats - informe'!$E$29),0,1,1)</f>
        <v>0</v>
      </c>
      <c r="N5762" s="366">
        <f>+VLOOKUP(D5762,'Resultats - informe'!$Y$18:$AG$42,'Introducció dades consum'!K5762+1,0)</f>
        <v>0</v>
      </c>
      <c r="O5762" s="370" cm="1">
        <f t="array" ref="O5762">+_xlfn.SWITCH(MONTH(C5762),1,1,2,1,3,1,4,2,5,2,6,3,7,3,8,3,9,3,10,2,11,2,12,1,2)</f>
        <v>1</v>
      </c>
      <c r="P5762" s="43"/>
    </row>
    <row r="5763" spans="1:16" ht="18" x14ac:dyDescent="0.35">
      <c r="A5763" s="9"/>
      <c r="C5763" s="393"/>
      <c r="E5763" s="394"/>
      <c r="F5763" s="394">
        <v>1.31</v>
      </c>
      <c r="G5763" s="394"/>
      <c r="H5763" s="8" t="s">
        <v>235</v>
      </c>
      <c r="I5763" s="368">
        <f t="shared" si="268"/>
        <v>0</v>
      </c>
      <c r="J5763" s="365">
        <f t="shared" si="270"/>
        <v>0</v>
      </c>
      <c r="K5763" s="369">
        <f t="shared" si="269"/>
        <v>6</v>
      </c>
      <c r="L5763" s="369">
        <f>+IF((C5763&gt;='Resultats - informe'!$E$16)*(C5763&lt;='Resultats - informe'!$G$16),1,0)</f>
        <v>1</v>
      </c>
      <c r="M5763" s="369" cm="1">
        <f t="array" ref="M5763">+_xlfn.IFS((C5763&gt;='Resultats - informe'!$D$26)*(C5763&lt;='Resultats - informe'!$E$26),0,(C5763&gt;='Resultats - informe'!$D$27)*(C5763&lt;='Resultats - informe'!$E$27),0,(C5763&gt;='Resultats - informe'!$D$28)*(C5763&lt;='Resultats - informe'!$E$28),0,(C5763&gt;='Resultats - informe'!$D$29)*(C5763&lt;='Resultats - informe'!$E$29),0,1,1)</f>
        <v>0</v>
      </c>
      <c r="N5763" s="366">
        <f>+VLOOKUP(D5763,'Resultats - informe'!$Y$18:$AG$42,'Introducció dades consum'!K5763+1,0)</f>
        <v>0</v>
      </c>
      <c r="O5763" s="370" cm="1">
        <f t="array" ref="O5763">+_xlfn.SWITCH(MONTH(C5763),1,1,2,1,3,1,4,2,5,2,6,3,7,3,8,3,9,3,10,2,11,2,12,1,2)</f>
        <v>1</v>
      </c>
      <c r="P5763" s="43"/>
    </row>
    <row r="5764" spans="1:16" ht="18" x14ac:dyDescent="0.35">
      <c r="A5764" s="9"/>
      <c r="C5764" s="393"/>
      <c r="E5764" s="394"/>
      <c r="F5764" s="394">
        <v>7.0000000000000001E-3</v>
      </c>
      <c r="G5764" s="394"/>
      <c r="H5764" s="8" t="s">
        <v>235</v>
      </c>
      <c r="I5764" s="368">
        <f t="shared" si="268"/>
        <v>0</v>
      </c>
      <c r="J5764" s="365">
        <f t="shared" si="270"/>
        <v>0</v>
      </c>
      <c r="K5764" s="369">
        <f t="shared" si="269"/>
        <v>6</v>
      </c>
      <c r="L5764" s="369">
        <f>+IF((C5764&gt;='Resultats - informe'!$E$16)*(C5764&lt;='Resultats - informe'!$G$16),1,0)</f>
        <v>1</v>
      </c>
      <c r="M5764" s="369" cm="1">
        <f t="array" ref="M5764">+_xlfn.IFS((C5764&gt;='Resultats - informe'!$D$26)*(C5764&lt;='Resultats - informe'!$E$26),0,(C5764&gt;='Resultats - informe'!$D$27)*(C5764&lt;='Resultats - informe'!$E$27),0,(C5764&gt;='Resultats - informe'!$D$28)*(C5764&lt;='Resultats - informe'!$E$28),0,(C5764&gt;='Resultats - informe'!$D$29)*(C5764&lt;='Resultats - informe'!$E$29),0,1,1)</f>
        <v>0</v>
      </c>
      <c r="N5764" s="366">
        <f>+VLOOKUP(D5764,'Resultats - informe'!$Y$18:$AG$42,'Introducció dades consum'!K5764+1,0)</f>
        <v>0</v>
      </c>
      <c r="O5764" s="370" cm="1">
        <f t="array" ref="O5764">+_xlfn.SWITCH(MONTH(C5764),1,1,2,1,3,1,4,2,5,2,6,3,7,3,8,3,9,3,10,2,11,2,12,1,2)</f>
        <v>1</v>
      </c>
      <c r="P5764" s="43"/>
    </row>
    <row r="5765" spans="1:16" ht="18" x14ac:dyDescent="0.35">
      <c r="A5765" s="9"/>
      <c r="C5765" s="393"/>
      <c r="E5765" s="394"/>
      <c r="F5765" s="394">
        <v>0.38300000000000001</v>
      </c>
      <c r="G5765" s="394"/>
      <c r="H5765" s="8" t="s">
        <v>235</v>
      </c>
      <c r="I5765" s="368">
        <f t="shared" si="268"/>
        <v>0</v>
      </c>
      <c r="J5765" s="365">
        <f t="shared" si="270"/>
        <v>0</v>
      </c>
      <c r="K5765" s="369">
        <f t="shared" si="269"/>
        <v>6</v>
      </c>
      <c r="L5765" s="369">
        <f>+IF((C5765&gt;='Resultats - informe'!$E$16)*(C5765&lt;='Resultats - informe'!$G$16),1,0)</f>
        <v>1</v>
      </c>
      <c r="M5765" s="369" cm="1">
        <f t="array" ref="M5765">+_xlfn.IFS((C5765&gt;='Resultats - informe'!$D$26)*(C5765&lt;='Resultats - informe'!$E$26),0,(C5765&gt;='Resultats - informe'!$D$27)*(C5765&lt;='Resultats - informe'!$E$27),0,(C5765&gt;='Resultats - informe'!$D$28)*(C5765&lt;='Resultats - informe'!$E$28),0,(C5765&gt;='Resultats - informe'!$D$29)*(C5765&lt;='Resultats - informe'!$E$29),0,1,1)</f>
        <v>0</v>
      </c>
      <c r="N5765" s="366">
        <f>+VLOOKUP(D5765,'Resultats - informe'!$Y$18:$AG$42,'Introducció dades consum'!K5765+1,0)</f>
        <v>0</v>
      </c>
      <c r="O5765" s="370" cm="1">
        <f t="array" ref="O5765">+_xlfn.SWITCH(MONTH(C5765),1,1,2,1,3,1,4,2,5,2,6,3,7,3,8,3,9,3,10,2,11,2,12,1,2)</f>
        <v>1</v>
      </c>
      <c r="P5765" s="43"/>
    </row>
    <row r="5766" spans="1:16" ht="18" x14ac:dyDescent="0.35">
      <c r="A5766" s="9"/>
      <c r="C5766" s="393"/>
      <c r="E5766" s="394"/>
      <c r="F5766" s="394">
        <v>0.39100000000000001</v>
      </c>
      <c r="G5766" s="394"/>
      <c r="H5766" s="8" t="s">
        <v>235</v>
      </c>
      <c r="I5766" s="368">
        <f t="shared" ref="I5766:I5829" si="271">+E5766+G5766</f>
        <v>0</v>
      </c>
      <c r="J5766" s="365">
        <f t="shared" si="270"/>
        <v>0</v>
      </c>
      <c r="K5766" s="369">
        <f t="shared" ref="K5766:K5829" si="272">+WEEKDAY(C5766,2)</f>
        <v>6</v>
      </c>
      <c r="L5766" s="369">
        <f>+IF((C5766&gt;='Resultats - informe'!$E$16)*(C5766&lt;='Resultats - informe'!$G$16),1,0)</f>
        <v>1</v>
      </c>
      <c r="M5766" s="369" cm="1">
        <f t="array" ref="M5766">+_xlfn.IFS((C5766&gt;='Resultats - informe'!$D$26)*(C5766&lt;='Resultats - informe'!$E$26),0,(C5766&gt;='Resultats - informe'!$D$27)*(C5766&lt;='Resultats - informe'!$E$27),0,(C5766&gt;='Resultats - informe'!$D$28)*(C5766&lt;='Resultats - informe'!$E$28),0,(C5766&gt;='Resultats - informe'!$D$29)*(C5766&lt;='Resultats - informe'!$E$29),0,1,1)</f>
        <v>0</v>
      </c>
      <c r="N5766" s="366">
        <f>+VLOOKUP(D5766,'Resultats - informe'!$Y$18:$AG$42,'Introducció dades consum'!K5766+1,0)</f>
        <v>0</v>
      </c>
      <c r="O5766" s="370" cm="1">
        <f t="array" ref="O5766">+_xlfn.SWITCH(MONTH(C5766),1,1,2,1,3,1,4,2,5,2,6,3,7,3,8,3,9,3,10,2,11,2,12,1,2)</f>
        <v>1</v>
      </c>
      <c r="P5766" s="43"/>
    </row>
    <row r="5767" spans="1:16" ht="18" x14ac:dyDescent="0.35">
      <c r="A5767" s="9"/>
      <c r="C5767" s="393"/>
      <c r="E5767" s="394"/>
      <c r="F5767" s="394">
        <v>0.39500000000000002</v>
      </c>
      <c r="G5767" s="394"/>
      <c r="H5767" s="8" t="s">
        <v>235</v>
      </c>
      <c r="I5767" s="368">
        <f t="shared" si="271"/>
        <v>0</v>
      </c>
      <c r="J5767" s="365">
        <f t="shared" si="270"/>
        <v>0</v>
      </c>
      <c r="K5767" s="369">
        <f t="shared" si="272"/>
        <v>6</v>
      </c>
      <c r="L5767" s="369">
        <f>+IF((C5767&gt;='Resultats - informe'!$E$16)*(C5767&lt;='Resultats - informe'!$G$16),1,0)</f>
        <v>1</v>
      </c>
      <c r="M5767" s="369" cm="1">
        <f t="array" ref="M5767">+_xlfn.IFS((C5767&gt;='Resultats - informe'!$D$26)*(C5767&lt;='Resultats - informe'!$E$26),0,(C5767&gt;='Resultats - informe'!$D$27)*(C5767&lt;='Resultats - informe'!$E$27),0,(C5767&gt;='Resultats - informe'!$D$28)*(C5767&lt;='Resultats - informe'!$E$28),0,(C5767&gt;='Resultats - informe'!$D$29)*(C5767&lt;='Resultats - informe'!$E$29),0,1,1)</f>
        <v>0</v>
      </c>
      <c r="N5767" s="366">
        <f>+VLOOKUP(D5767,'Resultats - informe'!$Y$18:$AG$42,'Introducció dades consum'!K5767+1,0)</f>
        <v>0</v>
      </c>
      <c r="O5767" s="370" cm="1">
        <f t="array" ref="O5767">+_xlfn.SWITCH(MONTH(C5767),1,1,2,1,3,1,4,2,5,2,6,3,7,3,8,3,9,3,10,2,11,2,12,1,2)</f>
        <v>1</v>
      </c>
      <c r="P5767" s="43"/>
    </row>
    <row r="5768" spans="1:16" ht="18" x14ac:dyDescent="0.35">
      <c r="A5768" s="9"/>
      <c r="C5768" s="393"/>
      <c r="E5768" s="394"/>
      <c r="F5768" s="394">
        <v>0.38600000000000001</v>
      </c>
      <c r="G5768" s="394"/>
      <c r="H5768" s="8" t="s">
        <v>235</v>
      </c>
      <c r="I5768" s="368">
        <f t="shared" si="271"/>
        <v>0</v>
      </c>
      <c r="J5768" s="365">
        <f t="shared" si="270"/>
        <v>0</v>
      </c>
      <c r="K5768" s="369">
        <f t="shared" si="272"/>
        <v>6</v>
      </c>
      <c r="L5768" s="369">
        <f>+IF((C5768&gt;='Resultats - informe'!$E$16)*(C5768&lt;='Resultats - informe'!$G$16),1,0)</f>
        <v>1</v>
      </c>
      <c r="M5768" s="369" cm="1">
        <f t="array" ref="M5768">+_xlfn.IFS((C5768&gt;='Resultats - informe'!$D$26)*(C5768&lt;='Resultats - informe'!$E$26),0,(C5768&gt;='Resultats - informe'!$D$27)*(C5768&lt;='Resultats - informe'!$E$27),0,(C5768&gt;='Resultats - informe'!$D$28)*(C5768&lt;='Resultats - informe'!$E$28),0,(C5768&gt;='Resultats - informe'!$D$29)*(C5768&lt;='Resultats - informe'!$E$29),0,1,1)</f>
        <v>0</v>
      </c>
      <c r="N5768" s="366">
        <f>+VLOOKUP(D5768,'Resultats - informe'!$Y$18:$AG$42,'Introducció dades consum'!K5768+1,0)</f>
        <v>0</v>
      </c>
      <c r="O5768" s="370" cm="1">
        <f t="array" ref="O5768">+_xlfn.SWITCH(MONTH(C5768),1,1,2,1,3,1,4,2,5,2,6,3,7,3,8,3,9,3,10,2,11,2,12,1,2)</f>
        <v>1</v>
      </c>
      <c r="P5768" s="43"/>
    </row>
    <row r="5769" spans="1:16" ht="18" x14ac:dyDescent="0.35">
      <c r="A5769" s="9"/>
      <c r="C5769" s="393"/>
      <c r="E5769" s="394"/>
      <c r="F5769" s="394">
        <v>0.39600000000000002</v>
      </c>
      <c r="G5769" s="394"/>
      <c r="H5769" s="8" t="s">
        <v>235</v>
      </c>
      <c r="I5769" s="368">
        <f t="shared" si="271"/>
        <v>0</v>
      </c>
      <c r="J5769" s="365">
        <f t="shared" si="270"/>
        <v>0</v>
      </c>
      <c r="K5769" s="369">
        <f t="shared" si="272"/>
        <v>6</v>
      </c>
      <c r="L5769" s="369">
        <f>+IF((C5769&gt;='Resultats - informe'!$E$16)*(C5769&lt;='Resultats - informe'!$G$16),1,0)</f>
        <v>1</v>
      </c>
      <c r="M5769" s="369" cm="1">
        <f t="array" ref="M5769">+_xlfn.IFS((C5769&gt;='Resultats - informe'!$D$26)*(C5769&lt;='Resultats - informe'!$E$26),0,(C5769&gt;='Resultats - informe'!$D$27)*(C5769&lt;='Resultats - informe'!$E$27),0,(C5769&gt;='Resultats - informe'!$D$28)*(C5769&lt;='Resultats - informe'!$E$28),0,(C5769&gt;='Resultats - informe'!$D$29)*(C5769&lt;='Resultats - informe'!$E$29),0,1,1)</f>
        <v>0</v>
      </c>
      <c r="N5769" s="366">
        <f>+VLOOKUP(D5769,'Resultats - informe'!$Y$18:$AG$42,'Introducció dades consum'!K5769+1,0)</f>
        <v>0</v>
      </c>
      <c r="O5769" s="370" cm="1">
        <f t="array" ref="O5769">+_xlfn.SWITCH(MONTH(C5769),1,1,2,1,3,1,4,2,5,2,6,3,7,3,8,3,9,3,10,2,11,2,12,1,2)</f>
        <v>1</v>
      </c>
      <c r="P5769" s="43"/>
    </row>
    <row r="5770" spans="1:16" ht="18" x14ac:dyDescent="0.35">
      <c r="A5770" s="9"/>
      <c r="C5770" s="393"/>
      <c r="E5770" s="394"/>
      <c r="F5770" s="394">
        <v>0.39900000000000002</v>
      </c>
      <c r="G5770" s="394"/>
      <c r="H5770" s="8" t="s">
        <v>235</v>
      </c>
      <c r="I5770" s="368">
        <f t="shared" si="271"/>
        <v>0</v>
      </c>
      <c r="J5770" s="365">
        <f t="shared" si="270"/>
        <v>0</v>
      </c>
      <c r="K5770" s="369">
        <f t="shared" si="272"/>
        <v>6</v>
      </c>
      <c r="L5770" s="369">
        <f>+IF((C5770&gt;='Resultats - informe'!$E$16)*(C5770&lt;='Resultats - informe'!$G$16),1,0)</f>
        <v>1</v>
      </c>
      <c r="M5770" s="369" cm="1">
        <f t="array" ref="M5770">+_xlfn.IFS((C5770&gt;='Resultats - informe'!$D$26)*(C5770&lt;='Resultats - informe'!$E$26),0,(C5770&gt;='Resultats - informe'!$D$27)*(C5770&lt;='Resultats - informe'!$E$27),0,(C5770&gt;='Resultats - informe'!$D$28)*(C5770&lt;='Resultats - informe'!$E$28),0,(C5770&gt;='Resultats - informe'!$D$29)*(C5770&lt;='Resultats - informe'!$E$29),0,1,1)</f>
        <v>0</v>
      </c>
      <c r="N5770" s="366">
        <f>+VLOOKUP(D5770,'Resultats - informe'!$Y$18:$AG$42,'Introducció dades consum'!K5770+1,0)</f>
        <v>0</v>
      </c>
      <c r="O5770" s="370" cm="1">
        <f t="array" ref="O5770">+_xlfn.SWITCH(MONTH(C5770),1,1,2,1,3,1,4,2,5,2,6,3,7,3,8,3,9,3,10,2,11,2,12,1,2)</f>
        <v>1</v>
      </c>
      <c r="P5770" s="43"/>
    </row>
    <row r="5771" spans="1:16" ht="18" x14ac:dyDescent="0.35">
      <c r="A5771" s="9"/>
      <c r="C5771" s="393"/>
      <c r="E5771" s="394"/>
      <c r="F5771" s="394">
        <v>0.39700000000000002</v>
      </c>
      <c r="G5771" s="394"/>
      <c r="H5771" s="8" t="s">
        <v>235</v>
      </c>
      <c r="I5771" s="368">
        <f t="shared" si="271"/>
        <v>0</v>
      </c>
      <c r="J5771" s="365">
        <f t="shared" si="270"/>
        <v>0</v>
      </c>
      <c r="K5771" s="369">
        <f t="shared" si="272"/>
        <v>6</v>
      </c>
      <c r="L5771" s="369">
        <f>+IF((C5771&gt;='Resultats - informe'!$E$16)*(C5771&lt;='Resultats - informe'!$G$16),1,0)</f>
        <v>1</v>
      </c>
      <c r="M5771" s="369" cm="1">
        <f t="array" ref="M5771">+_xlfn.IFS((C5771&gt;='Resultats - informe'!$D$26)*(C5771&lt;='Resultats - informe'!$E$26),0,(C5771&gt;='Resultats - informe'!$D$27)*(C5771&lt;='Resultats - informe'!$E$27),0,(C5771&gt;='Resultats - informe'!$D$28)*(C5771&lt;='Resultats - informe'!$E$28),0,(C5771&gt;='Resultats - informe'!$D$29)*(C5771&lt;='Resultats - informe'!$E$29),0,1,1)</f>
        <v>0</v>
      </c>
      <c r="N5771" s="366">
        <f>+VLOOKUP(D5771,'Resultats - informe'!$Y$18:$AG$42,'Introducció dades consum'!K5771+1,0)</f>
        <v>0</v>
      </c>
      <c r="O5771" s="370" cm="1">
        <f t="array" ref="O5771">+_xlfn.SWITCH(MONTH(C5771),1,1,2,1,3,1,4,2,5,2,6,3,7,3,8,3,9,3,10,2,11,2,12,1,2)</f>
        <v>1</v>
      </c>
      <c r="P5771" s="43"/>
    </row>
    <row r="5772" spans="1:16" ht="18" x14ac:dyDescent="0.35">
      <c r="A5772" s="9"/>
      <c r="C5772" s="393"/>
      <c r="E5772" s="394"/>
      <c r="F5772" s="394">
        <v>0.96899999999999997</v>
      </c>
      <c r="G5772" s="394"/>
      <c r="H5772" s="8" t="s">
        <v>235</v>
      </c>
      <c r="I5772" s="368">
        <f t="shared" si="271"/>
        <v>0</v>
      </c>
      <c r="J5772" s="365">
        <f t="shared" si="270"/>
        <v>0</v>
      </c>
      <c r="K5772" s="369">
        <f t="shared" si="272"/>
        <v>6</v>
      </c>
      <c r="L5772" s="369">
        <f>+IF((C5772&gt;='Resultats - informe'!$E$16)*(C5772&lt;='Resultats - informe'!$G$16),1,0)</f>
        <v>1</v>
      </c>
      <c r="M5772" s="369" cm="1">
        <f t="array" ref="M5772">+_xlfn.IFS((C5772&gt;='Resultats - informe'!$D$26)*(C5772&lt;='Resultats - informe'!$E$26),0,(C5772&gt;='Resultats - informe'!$D$27)*(C5772&lt;='Resultats - informe'!$E$27),0,(C5772&gt;='Resultats - informe'!$D$28)*(C5772&lt;='Resultats - informe'!$E$28),0,(C5772&gt;='Resultats - informe'!$D$29)*(C5772&lt;='Resultats - informe'!$E$29),0,1,1)</f>
        <v>0</v>
      </c>
      <c r="N5772" s="366">
        <f>+VLOOKUP(D5772,'Resultats - informe'!$Y$18:$AG$42,'Introducció dades consum'!K5772+1,0)</f>
        <v>0</v>
      </c>
      <c r="O5772" s="370" cm="1">
        <f t="array" ref="O5772">+_xlfn.SWITCH(MONTH(C5772),1,1,2,1,3,1,4,2,5,2,6,3,7,3,8,3,9,3,10,2,11,2,12,1,2)</f>
        <v>1</v>
      </c>
      <c r="P5772" s="43"/>
    </row>
    <row r="5773" spans="1:16" ht="18" x14ac:dyDescent="0.35">
      <c r="A5773" s="9"/>
      <c r="C5773" s="393"/>
      <c r="E5773" s="394"/>
      <c r="F5773" s="394">
        <v>0.63700000000000001</v>
      </c>
      <c r="G5773" s="394"/>
      <c r="H5773" s="8" t="s">
        <v>235</v>
      </c>
      <c r="I5773" s="368">
        <f t="shared" si="271"/>
        <v>0</v>
      </c>
      <c r="J5773" s="365">
        <f t="shared" si="270"/>
        <v>0</v>
      </c>
      <c r="K5773" s="369">
        <f t="shared" si="272"/>
        <v>6</v>
      </c>
      <c r="L5773" s="369">
        <f>+IF((C5773&gt;='Resultats - informe'!$E$16)*(C5773&lt;='Resultats - informe'!$G$16),1,0)</f>
        <v>1</v>
      </c>
      <c r="M5773" s="369" cm="1">
        <f t="array" ref="M5773">+_xlfn.IFS((C5773&gt;='Resultats - informe'!$D$26)*(C5773&lt;='Resultats - informe'!$E$26),0,(C5773&gt;='Resultats - informe'!$D$27)*(C5773&lt;='Resultats - informe'!$E$27),0,(C5773&gt;='Resultats - informe'!$D$28)*(C5773&lt;='Resultats - informe'!$E$28),0,(C5773&gt;='Resultats - informe'!$D$29)*(C5773&lt;='Resultats - informe'!$E$29),0,1,1)</f>
        <v>0</v>
      </c>
      <c r="N5773" s="366">
        <f>+VLOOKUP(D5773,'Resultats - informe'!$Y$18:$AG$42,'Introducció dades consum'!K5773+1,0)</f>
        <v>0</v>
      </c>
      <c r="O5773" s="370" cm="1">
        <f t="array" ref="O5773">+_xlfn.SWITCH(MONTH(C5773),1,1,2,1,3,1,4,2,5,2,6,3,7,3,8,3,9,3,10,2,11,2,12,1,2)</f>
        <v>1</v>
      </c>
      <c r="P5773" s="43"/>
    </row>
    <row r="5774" spans="1:16" ht="18" x14ac:dyDescent="0.35">
      <c r="A5774" s="9"/>
      <c r="C5774" s="393"/>
      <c r="E5774" s="394"/>
      <c r="F5774" s="394">
        <v>1.363</v>
      </c>
      <c r="G5774" s="394"/>
      <c r="H5774" s="8" t="s">
        <v>235</v>
      </c>
      <c r="I5774" s="368">
        <f t="shared" si="271"/>
        <v>0</v>
      </c>
      <c r="J5774" s="365">
        <f t="shared" si="270"/>
        <v>0</v>
      </c>
      <c r="K5774" s="369">
        <f t="shared" si="272"/>
        <v>6</v>
      </c>
      <c r="L5774" s="369">
        <f>+IF((C5774&gt;='Resultats - informe'!$E$16)*(C5774&lt;='Resultats - informe'!$G$16),1,0)</f>
        <v>1</v>
      </c>
      <c r="M5774" s="369" cm="1">
        <f t="array" ref="M5774">+_xlfn.IFS((C5774&gt;='Resultats - informe'!$D$26)*(C5774&lt;='Resultats - informe'!$E$26),0,(C5774&gt;='Resultats - informe'!$D$27)*(C5774&lt;='Resultats - informe'!$E$27),0,(C5774&gt;='Resultats - informe'!$D$28)*(C5774&lt;='Resultats - informe'!$E$28),0,(C5774&gt;='Resultats - informe'!$D$29)*(C5774&lt;='Resultats - informe'!$E$29),0,1,1)</f>
        <v>0</v>
      </c>
      <c r="N5774" s="366">
        <f>+VLOOKUP(D5774,'Resultats - informe'!$Y$18:$AG$42,'Introducció dades consum'!K5774+1,0)</f>
        <v>0</v>
      </c>
      <c r="O5774" s="370" cm="1">
        <f t="array" ref="O5774">+_xlfn.SWITCH(MONTH(C5774),1,1,2,1,3,1,4,2,5,2,6,3,7,3,8,3,9,3,10,2,11,2,12,1,2)</f>
        <v>1</v>
      </c>
      <c r="P5774" s="43"/>
    </row>
    <row r="5775" spans="1:16" ht="18" x14ac:dyDescent="0.35">
      <c r="A5775" s="9"/>
      <c r="C5775" s="393"/>
      <c r="E5775" s="394"/>
      <c r="F5775" s="394">
        <v>1.454</v>
      </c>
      <c r="G5775" s="394"/>
      <c r="H5775" s="8" t="s">
        <v>235</v>
      </c>
      <c r="I5775" s="368">
        <f t="shared" si="271"/>
        <v>0</v>
      </c>
      <c r="J5775" s="365">
        <f t="shared" si="270"/>
        <v>0</v>
      </c>
      <c r="K5775" s="369">
        <f t="shared" si="272"/>
        <v>6</v>
      </c>
      <c r="L5775" s="369">
        <f>+IF((C5775&gt;='Resultats - informe'!$E$16)*(C5775&lt;='Resultats - informe'!$G$16),1,0)</f>
        <v>1</v>
      </c>
      <c r="M5775" s="369" cm="1">
        <f t="array" ref="M5775">+_xlfn.IFS((C5775&gt;='Resultats - informe'!$D$26)*(C5775&lt;='Resultats - informe'!$E$26),0,(C5775&gt;='Resultats - informe'!$D$27)*(C5775&lt;='Resultats - informe'!$E$27),0,(C5775&gt;='Resultats - informe'!$D$28)*(C5775&lt;='Resultats - informe'!$E$28),0,(C5775&gt;='Resultats - informe'!$D$29)*(C5775&lt;='Resultats - informe'!$E$29),0,1,1)</f>
        <v>0</v>
      </c>
      <c r="N5775" s="366">
        <f>+VLOOKUP(D5775,'Resultats - informe'!$Y$18:$AG$42,'Introducció dades consum'!K5775+1,0)</f>
        <v>0</v>
      </c>
      <c r="O5775" s="370" cm="1">
        <f t="array" ref="O5775">+_xlfn.SWITCH(MONTH(C5775),1,1,2,1,3,1,4,2,5,2,6,3,7,3,8,3,9,3,10,2,11,2,12,1,2)</f>
        <v>1</v>
      </c>
      <c r="P5775" s="43"/>
    </row>
    <row r="5776" spans="1:16" ht="18" x14ac:dyDescent="0.35">
      <c r="A5776" s="9"/>
      <c r="C5776" s="393"/>
      <c r="E5776" s="394"/>
      <c r="F5776" s="394">
        <v>1.6779999999999999</v>
      </c>
      <c r="G5776" s="394"/>
      <c r="H5776" s="8" t="s">
        <v>235</v>
      </c>
      <c r="I5776" s="368">
        <f t="shared" si="271"/>
        <v>0</v>
      </c>
      <c r="J5776" s="365">
        <f t="shared" si="270"/>
        <v>0</v>
      </c>
      <c r="K5776" s="369">
        <f t="shared" si="272"/>
        <v>6</v>
      </c>
      <c r="L5776" s="369">
        <f>+IF((C5776&gt;='Resultats - informe'!$E$16)*(C5776&lt;='Resultats - informe'!$G$16),1,0)</f>
        <v>1</v>
      </c>
      <c r="M5776" s="369" cm="1">
        <f t="array" ref="M5776">+_xlfn.IFS((C5776&gt;='Resultats - informe'!$D$26)*(C5776&lt;='Resultats - informe'!$E$26),0,(C5776&gt;='Resultats - informe'!$D$27)*(C5776&lt;='Resultats - informe'!$E$27),0,(C5776&gt;='Resultats - informe'!$D$28)*(C5776&lt;='Resultats - informe'!$E$28),0,(C5776&gt;='Resultats - informe'!$D$29)*(C5776&lt;='Resultats - informe'!$E$29),0,1,1)</f>
        <v>0</v>
      </c>
      <c r="N5776" s="366">
        <f>+VLOOKUP(D5776,'Resultats - informe'!$Y$18:$AG$42,'Introducció dades consum'!K5776+1,0)</f>
        <v>0</v>
      </c>
      <c r="O5776" s="370" cm="1">
        <f t="array" ref="O5776">+_xlfn.SWITCH(MONTH(C5776),1,1,2,1,3,1,4,2,5,2,6,3,7,3,8,3,9,3,10,2,11,2,12,1,2)</f>
        <v>1</v>
      </c>
      <c r="P5776" s="43"/>
    </row>
    <row r="5777" spans="1:16" ht="18" x14ac:dyDescent="0.35">
      <c r="A5777" s="9"/>
      <c r="C5777" s="393"/>
      <c r="E5777" s="394"/>
      <c r="F5777" s="394">
        <v>1.645</v>
      </c>
      <c r="G5777" s="394"/>
      <c r="H5777" s="8" t="s">
        <v>235</v>
      </c>
      <c r="I5777" s="368">
        <f t="shared" si="271"/>
        <v>0</v>
      </c>
      <c r="J5777" s="365">
        <f t="shared" si="270"/>
        <v>0</v>
      </c>
      <c r="K5777" s="369">
        <f t="shared" si="272"/>
        <v>6</v>
      </c>
      <c r="L5777" s="369">
        <f>+IF((C5777&gt;='Resultats - informe'!$E$16)*(C5777&lt;='Resultats - informe'!$G$16),1,0)</f>
        <v>1</v>
      </c>
      <c r="M5777" s="369" cm="1">
        <f t="array" ref="M5777">+_xlfn.IFS((C5777&gt;='Resultats - informe'!$D$26)*(C5777&lt;='Resultats - informe'!$E$26),0,(C5777&gt;='Resultats - informe'!$D$27)*(C5777&lt;='Resultats - informe'!$E$27),0,(C5777&gt;='Resultats - informe'!$D$28)*(C5777&lt;='Resultats - informe'!$E$28),0,(C5777&gt;='Resultats - informe'!$D$29)*(C5777&lt;='Resultats - informe'!$E$29),0,1,1)</f>
        <v>0</v>
      </c>
      <c r="N5777" s="366">
        <f>+VLOOKUP(D5777,'Resultats - informe'!$Y$18:$AG$42,'Introducció dades consum'!K5777+1,0)</f>
        <v>0</v>
      </c>
      <c r="O5777" s="370" cm="1">
        <f t="array" ref="O5777">+_xlfn.SWITCH(MONTH(C5777),1,1,2,1,3,1,4,2,5,2,6,3,7,3,8,3,9,3,10,2,11,2,12,1,2)</f>
        <v>1</v>
      </c>
      <c r="P5777" s="43"/>
    </row>
    <row r="5778" spans="1:16" ht="18" x14ac:dyDescent="0.35">
      <c r="A5778" s="9"/>
      <c r="C5778" s="393"/>
      <c r="E5778" s="394"/>
      <c r="F5778" s="394">
        <v>0.81399999999999995</v>
      </c>
      <c r="G5778" s="394"/>
      <c r="H5778" s="8" t="s">
        <v>235</v>
      </c>
      <c r="I5778" s="368">
        <f t="shared" si="271"/>
        <v>0</v>
      </c>
      <c r="J5778" s="365">
        <f t="shared" si="270"/>
        <v>0</v>
      </c>
      <c r="K5778" s="369">
        <f t="shared" si="272"/>
        <v>6</v>
      </c>
      <c r="L5778" s="369">
        <f>+IF((C5778&gt;='Resultats - informe'!$E$16)*(C5778&lt;='Resultats - informe'!$G$16),1,0)</f>
        <v>1</v>
      </c>
      <c r="M5778" s="369" cm="1">
        <f t="array" ref="M5778">+_xlfn.IFS((C5778&gt;='Resultats - informe'!$D$26)*(C5778&lt;='Resultats - informe'!$E$26),0,(C5778&gt;='Resultats - informe'!$D$27)*(C5778&lt;='Resultats - informe'!$E$27),0,(C5778&gt;='Resultats - informe'!$D$28)*(C5778&lt;='Resultats - informe'!$E$28),0,(C5778&gt;='Resultats - informe'!$D$29)*(C5778&lt;='Resultats - informe'!$E$29),0,1,1)</f>
        <v>0</v>
      </c>
      <c r="N5778" s="366">
        <f>+VLOOKUP(D5778,'Resultats - informe'!$Y$18:$AG$42,'Introducció dades consum'!K5778+1,0)</f>
        <v>0</v>
      </c>
      <c r="O5778" s="370" cm="1">
        <f t="array" ref="O5778">+_xlfn.SWITCH(MONTH(C5778),1,1,2,1,3,1,4,2,5,2,6,3,7,3,8,3,9,3,10,2,11,2,12,1,2)</f>
        <v>1</v>
      </c>
      <c r="P5778" s="43"/>
    </row>
    <row r="5779" spans="1:16" ht="18" x14ac:dyDescent="0.35">
      <c r="A5779" s="9"/>
      <c r="C5779" s="393"/>
      <c r="E5779" s="394"/>
      <c r="F5779" s="394">
        <v>1.8420000000000001</v>
      </c>
      <c r="G5779" s="394"/>
      <c r="H5779" s="8" t="s">
        <v>235</v>
      </c>
      <c r="I5779" s="368">
        <f t="shared" si="271"/>
        <v>0</v>
      </c>
      <c r="J5779" s="365">
        <f t="shared" si="270"/>
        <v>0</v>
      </c>
      <c r="K5779" s="369">
        <f t="shared" si="272"/>
        <v>6</v>
      </c>
      <c r="L5779" s="369">
        <f>+IF((C5779&gt;='Resultats - informe'!$E$16)*(C5779&lt;='Resultats - informe'!$G$16),1,0)</f>
        <v>1</v>
      </c>
      <c r="M5779" s="369" cm="1">
        <f t="array" ref="M5779">+_xlfn.IFS((C5779&gt;='Resultats - informe'!$D$26)*(C5779&lt;='Resultats - informe'!$E$26),0,(C5779&gt;='Resultats - informe'!$D$27)*(C5779&lt;='Resultats - informe'!$E$27),0,(C5779&gt;='Resultats - informe'!$D$28)*(C5779&lt;='Resultats - informe'!$E$28),0,(C5779&gt;='Resultats - informe'!$D$29)*(C5779&lt;='Resultats - informe'!$E$29),0,1,1)</f>
        <v>0</v>
      </c>
      <c r="N5779" s="366">
        <f>+VLOOKUP(D5779,'Resultats - informe'!$Y$18:$AG$42,'Introducció dades consum'!K5779+1,0)</f>
        <v>0</v>
      </c>
      <c r="O5779" s="370" cm="1">
        <f t="array" ref="O5779">+_xlfn.SWITCH(MONTH(C5779),1,1,2,1,3,1,4,2,5,2,6,3,7,3,8,3,9,3,10,2,11,2,12,1,2)</f>
        <v>1</v>
      </c>
      <c r="P5779" s="43"/>
    </row>
    <row r="5780" spans="1:16" ht="18" x14ac:dyDescent="0.35">
      <c r="A5780" s="9"/>
      <c r="C5780" s="393"/>
      <c r="E5780" s="394"/>
      <c r="F5780" s="394">
        <v>1.897</v>
      </c>
      <c r="G5780" s="394"/>
      <c r="H5780" s="8" t="s">
        <v>235</v>
      </c>
      <c r="I5780" s="368">
        <f t="shared" si="271"/>
        <v>0</v>
      </c>
      <c r="J5780" s="365">
        <f t="shared" si="270"/>
        <v>0</v>
      </c>
      <c r="K5780" s="369">
        <f t="shared" si="272"/>
        <v>6</v>
      </c>
      <c r="L5780" s="369">
        <f>+IF((C5780&gt;='Resultats - informe'!$E$16)*(C5780&lt;='Resultats - informe'!$G$16),1,0)</f>
        <v>1</v>
      </c>
      <c r="M5780" s="369" cm="1">
        <f t="array" ref="M5780">+_xlfn.IFS((C5780&gt;='Resultats - informe'!$D$26)*(C5780&lt;='Resultats - informe'!$E$26),0,(C5780&gt;='Resultats - informe'!$D$27)*(C5780&lt;='Resultats - informe'!$E$27),0,(C5780&gt;='Resultats - informe'!$D$28)*(C5780&lt;='Resultats - informe'!$E$28),0,(C5780&gt;='Resultats - informe'!$D$29)*(C5780&lt;='Resultats - informe'!$E$29),0,1,1)</f>
        <v>0</v>
      </c>
      <c r="N5780" s="366">
        <f>+VLOOKUP(D5780,'Resultats - informe'!$Y$18:$AG$42,'Introducció dades consum'!K5780+1,0)</f>
        <v>0</v>
      </c>
      <c r="O5780" s="370" cm="1">
        <f t="array" ref="O5780">+_xlfn.SWITCH(MONTH(C5780),1,1,2,1,3,1,4,2,5,2,6,3,7,3,8,3,9,3,10,2,11,2,12,1,2)</f>
        <v>1</v>
      </c>
      <c r="P5780" s="43"/>
    </row>
    <row r="5781" spans="1:16" ht="18" x14ac:dyDescent="0.35">
      <c r="A5781" s="9"/>
      <c r="C5781" s="393"/>
      <c r="E5781" s="394"/>
      <c r="F5781" s="394">
        <v>1.8240000000000001</v>
      </c>
      <c r="G5781" s="394"/>
      <c r="H5781" s="8" t="s">
        <v>235</v>
      </c>
      <c r="I5781" s="368">
        <f t="shared" si="271"/>
        <v>0</v>
      </c>
      <c r="J5781" s="365">
        <f t="shared" si="270"/>
        <v>0</v>
      </c>
      <c r="K5781" s="369">
        <f t="shared" si="272"/>
        <v>6</v>
      </c>
      <c r="L5781" s="369">
        <f>+IF((C5781&gt;='Resultats - informe'!$E$16)*(C5781&lt;='Resultats - informe'!$G$16),1,0)</f>
        <v>1</v>
      </c>
      <c r="M5781" s="369" cm="1">
        <f t="array" ref="M5781">+_xlfn.IFS((C5781&gt;='Resultats - informe'!$D$26)*(C5781&lt;='Resultats - informe'!$E$26),0,(C5781&gt;='Resultats - informe'!$D$27)*(C5781&lt;='Resultats - informe'!$E$27),0,(C5781&gt;='Resultats - informe'!$D$28)*(C5781&lt;='Resultats - informe'!$E$28),0,(C5781&gt;='Resultats - informe'!$D$29)*(C5781&lt;='Resultats - informe'!$E$29),0,1,1)</f>
        <v>0</v>
      </c>
      <c r="N5781" s="366">
        <f>+VLOOKUP(D5781,'Resultats - informe'!$Y$18:$AG$42,'Introducció dades consum'!K5781+1,0)</f>
        <v>0</v>
      </c>
      <c r="O5781" s="370" cm="1">
        <f t="array" ref="O5781">+_xlfn.SWITCH(MONTH(C5781),1,1,2,1,3,1,4,2,5,2,6,3,7,3,8,3,9,3,10,2,11,2,12,1,2)</f>
        <v>1</v>
      </c>
      <c r="P5781" s="43"/>
    </row>
    <row r="5782" spans="1:16" ht="18" x14ac:dyDescent="0.35">
      <c r="A5782" s="9"/>
      <c r="C5782" s="393"/>
      <c r="E5782" s="394"/>
      <c r="F5782" s="394">
        <v>2.621</v>
      </c>
      <c r="G5782" s="394"/>
      <c r="H5782" s="8" t="s">
        <v>235</v>
      </c>
      <c r="I5782" s="368">
        <f t="shared" si="271"/>
        <v>0</v>
      </c>
      <c r="J5782" s="365">
        <f t="shared" si="270"/>
        <v>0</v>
      </c>
      <c r="K5782" s="369">
        <f t="shared" si="272"/>
        <v>6</v>
      </c>
      <c r="L5782" s="369">
        <f>+IF((C5782&gt;='Resultats - informe'!$E$16)*(C5782&lt;='Resultats - informe'!$G$16),1,0)</f>
        <v>1</v>
      </c>
      <c r="M5782" s="369" cm="1">
        <f t="array" ref="M5782">+_xlfn.IFS((C5782&gt;='Resultats - informe'!$D$26)*(C5782&lt;='Resultats - informe'!$E$26),0,(C5782&gt;='Resultats - informe'!$D$27)*(C5782&lt;='Resultats - informe'!$E$27),0,(C5782&gt;='Resultats - informe'!$D$28)*(C5782&lt;='Resultats - informe'!$E$28),0,(C5782&gt;='Resultats - informe'!$D$29)*(C5782&lt;='Resultats - informe'!$E$29),0,1,1)</f>
        <v>0</v>
      </c>
      <c r="N5782" s="366">
        <f>+VLOOKUP(D5782,'Resultats - informe'!$Y$18:$AG$42,'Introducció dades consum'!K5782+1,0)</f>
        <v>0</v>
      </c>
      <c r="O5782" s="370" cm="1">
        <f t="array" ref="O5782">+_xlfn.SWITCH(MONTH(C5782),1,1,2,1,3,1,4,2,5,2,6,3,7,3,8,3,9,3,10,2,11,2,12,1,2)</f>
        <v>1</v>
      </c>
      <c r="P5782" s="43"/>
    </row>
    <row r="5783" spans="1:16" ht="18" x14ac:dyDescent="0.35">
      <c r="A5783" s="9"/>
      <c r="C5783" s="393"/>
      <c r="E5783" s="394"/>
      <c r="F5783" s="394">
        <v>2.6280000000000001</v>
      </c>
      <c r="G5783" s="394"/>
      <c r="H5783" s="8" t="s">
        <v>235</v>
      </c>
      <c r="I5783" s="368">
        <f t="shared" si="271"/>
        <v>0</v>
      </c>
      <c r="J5783" s="365">
        <f t="shared" si="270"/>
        <v>0</v>
      </c>
      <c r="K5783" s="369">
        <f t="shared" si="272"/>
        <v>6</v>
      </c>
      <c r="L5783" s="369">
        <f>+IF((C5783&gt;='Resultats - informe'!$E$16)*(C5783&lt;='Resultats - informe'!$G$16),1,0)</f>
        <v>1</v>
      </c>
      <c r="M5783" s="369" cm="1">
        <f t="array" ref="M5783">+_xlfn.IFS((C5783&gt;='Resultats - informe'!$D$26)*(C5783&lt;='Resultats - informe'!$E$26),0,(C5783&gt;='Resultats - informe'!$D$27)*(C5783&lt;='Resultats - informe'!$E$27),0,(C5783&gt;='Resultats - informe'!$D$28)*(C5783&lt;='Resultats - informe'!$E$28),0,(C5783&gt;='Resultats - informe'!$D$29)*(C5783&lt;='Resultats - informe'!$E$29),0,1,1)</f>
        <v>0</v>
      </c>
      <c r="N5783" s="366">
        <f>+VLOOKUP(D5783,'Resultats - informe'!$Y$18:$AG$42,'Introducció dades consum'!K5783+1,0)</f>
        <v>0</v>
      </c>
      <c r="O5783" s="370" cm="1">
        <f t="array" ref="O5783">+_xlfn.SWITCH(MONTH(C5783),1,1,2,1,3,1,4,2,5,2,6,3,7,3,8,3,9,3,10,2,11,2,12,1,2)</f>
        <v>1</v>
      </c>
      <c r="P5783" s="43"/>
    </row>
    <row r="5784" spans="1:16" ht="18" x14ac:dyDescent="0.35">
      <c r="A5784" s="9"/>
      <c r="C5784" s="393"/>
      <c r="E5784" s="394"/>
      <c r="F5784" s="394">
        <v>2.5550000000000002</v>
      </c>
      <c r="G5784" s="394"/>
      <c r="H5784" s="8" t="s">
        <v>235</v>
      </c>
      <c r="I5784" s="368">
        <f t="shared" si="271"/>
        <v>0</v>
      </c>
      <c r="J5784" s="365">
        <f t="shared" si="270"/>
        <v>0</v>
      </c>
      <c r="K5784" s="369">
        <f t="shared" si="272"/>
        <v>6</v>
      </c>
      <c r="L5784" s="369">
        <f>+IF((C5784&gt;='Resultats - informe'!$E$16)*(C5784&lt;='Resultats - informe'!$G$16),1,0)</f>
        <v>1</v>
      </c>
      <c r="M5784" s="369" cm="1">
        <f t="array" ref="M5784">+_xlfn.IFS((C5784&gt;='Resultats - informe'!$D$26)*(C5784&lt;='Resultats - informe'!$E$26),0,(C5784&gt;='Resultats - informe'!$D$27)*(C5784&lt;='Resultats - informe'!$E$27),0,(C5784&gt;='Resultats - informe'!$D$28)*(C5784&lt;='Resultats - informe'!$E$28),0,(C5784&gt;='Resultats - informe'!$D$29)*(C5784&lt;='Resultats - informe'!$E$29),0,1,1)</f>
        <v>0</v>
      </c>
      <c r="N5784" s="366">
        <f>+VLOOKUP(D5784,'Resultats - informe'!$Y$18:$AG$42,'Introducció dades consum'!K5784+1,0)</f>
        <v>0</v>
      </c>
      <c r="O5784" s="370" cm="1">
        <f t="array" ref="O5784">+_xlfn.SWITCH(MONTH(C5784),1,1,2,1,3,1,4,2,5,2,6,3,7,3,8,3,9,3,10,2,11,2,12,1,2)</f>
        <v>1</v>
      </c>
      <c r="P5784" s="43"/>
    </row>
    <row r="5785" spans="1:16" ht="18" x14ac:dyDescent="0.35">
      <c r="A5785" s="9"/>
      <c r="C5785" s="393"/>
      <c r="E5785" s="394"/>
      <c r="F5785" s="394">
        <v>2.1419999999999999</v>
      </c>
      <c r="G5785" s="394"/>
      <c r="H5785" s="8" t="s">
        <v>235</v>
      </c>
      <c r="I5785" s="368">
        <f t="shared" si="271"/>
        <v>0</v>
      </c>
      <c r="J5785" s="365">
        <f t="shared" si="270"/>
        <v>0</v>
      </c>
      <c r="K5785" s="369">
        <f t="shared" si="272"/>
        <v>6</v>
      </c>
      <c r="L5785" s="369">
        <f>+IF((C5785&gt;='Resultats - informe'!$E$16)*(C5785&lt;='Resultats - informe'!$G$16),1,0)</f>
        <v>1</v>
      </c>
      <c r="M5785" s="369" cm="1">
        <f t="array" ref="M5785">+_xlfn.IFS((C5785&gt;='Resultats - informe'!$D$26)*(C5785&lt;='Resultats - informe'!$E$26),0,(C5785&gt;='Resultats - informe'!$D$27)*(C5785&lt;='Resultats - informe'!$E$27),0,(C5785&gt;='Resultats - informe'!$D$28)*(C5785&lt;='Resultats - informe'!$E$28),0,(C5785&gt;='Resultats - informe'!$D$29)*(C5785&lt;='Resultats - informe'!$E$29),0,1,1)</f>
        <v>0</v>
      </c>
      <c r="N5785" s="366">
        <f>+VLOOKUP(D5785,'Resultats - informe'!$Y$18:$AG$42,'Introducció dades consum'!K5785+1,0)</f>
        <v>0</v>
      </c>
      <c r="O5785" s="370" cm="1">
        <f t="array" ref="O5785">+_xlfn.SWITCH(MONTH(C5785),1,1,2,1,3,1,4,2,5,2,6,3,7,3,8,3,9,3,10,2,11,2,12,1,2)</f>
        <v>1</v>
      </c>
      <c r="P5785" s="43"/>
    </row>
    <row r="5786" spans="1:16" ht="18" x14ac:dyDescent="0.35">
      <c r="A5786" s="9"/>
      <c r="C5786" s="393"/>
      <c r="E5786" s="394"/>
      <c r="F5786" s="394">
        <v>1.4119999999999999</v>
      </c>
      <c r="G5786" s="394"/>
      <c r="H5786" s="8" t="s">
        <v>235</v>
      </c>
      <c r="I5786" s="368">
        <f t="shared" si="271"/>
        <v>0</v>
      </c>
      <c r="J5786" s="365">
        <f t="shared" si="270"/>
        <v>0</v>
      </c>
      <c r="K5786" s="369">
        <f t="shared" si="272"/>
        <v>6</v>
      </c>
      <c r="L5786" s="369">
        <f>+IF((C5786&gt;='Resultats - informe'!$E$16)*(C5786&lt;='Resultats - informe'!$G$16),1,0)</f>
        <v>1</v>
      </c>
      <c r="M5786" s="369" cm="1">
        <f t="array" ref="M5786">+_xlfn.IFS((C5786&gt;='Resultats - informe'!$D$26)*(C5786&lt;='Resultats - informe'!$E$26),0,(C5786&gt;='Resultats - informe'!$D$27)*(C5786&lt;='Resultats - informe'!$E$27),0,(C5786&gt;='Resultats - informe'!$D$28)*(C5786&lt;='Resultats - informe'!$E$28),0,(C5786&gt;='Resultats - informe'!$D$29)*(C5786&lt;='Resultats - informe'!$E$29),0,1,1)</f>
        <v>0</v>
      </c>
      <c r="N5786" s="366">
        <f>+VLOOKUP(D5786,'Resultats - informe'!$Y$18:$AG$42,'Introducció dades consum'!K5786+1,0)</f>
        <v>0</v>
      </c>
      <c r="O5786" s="370" cm="1">
        <f t="array" ref="O5786">+_xlfn.SWITCH(MONTH(C5786),1,1,2,1,3,1,4,2,5,2,6,3,7,3,8,3,9,3,10,2,11,2,12,1,2)</f>
        <v>1</v>
      </c>
      <c r="P5786" s="43"/>
    </row>
    <row r="5787" spans="1:16" ht="18" x14ac:dyDescent="0.35">
      <c r="A5787" s="9"/>
      <c r="C5787" s="393"/>
      <c r="E5787" s="394"/>
      <c r="F5787" s="394">
        <v>1.4139999999999999</v>
      </c>
      <c r="G5787" s="394"/>
      <c r="H5787" s="8" t="s">
        <v>235</v>
      </c>
      <c r="I5787" s="368">
        <f t="shared" si="271"/>
        <v>0</v>
      </c>
      <c r="J5787" s="365">
        <f t="shared" si="270"/>
        <v>0</v>
      </c>
      <c r="K5787" s="369">
        <f t="shared" si="272"/>
        <v>6</v>
      </c>
      <c r="L5787" s="369">
        <f>+IF((C5787&gt;='Resultats - informe'!$E$16)*(C5787&lt;='Resultats - informe'!$G$16),1,0)</f>
        <v>1</v>
      </c>
      <c r="M5787" s="369" cm="1">
        <f t="array" ref="M5787">+_xlfn.IFS((C5787&gt;='Resultats - informe'!$D$26)*(C5787&lt;='Resultats - informe'!$E$26),0,(C5787&gt;='Resultats - informe'!$D$27)*(C5787&lt;='Resultats - informe'!$E$27),0,(C5787&gt;='Resultats - informe'!$D$28)*(C5787&lt;='Resultats - informe'!$E$28),0,(C5787&gt;='Resultats - informe'!$D$29)*(C5787&lt;='Resultats - informe'!$E$29),0,1,1)</f>
        <v>0</v>
      </c>
      <c r="N5787" s="366">
        <f>+VLOOKUP(D5787,'Resultats - informe'!$Y$18:$AG$42,'Introducció dades consum'!K5787+1,0)</f>
        <v>0</v>
      </c>
      <c r="O5787" s="370" cm="1">
        <f t="array" ref="O5787">+_xlfn.SWITCH(MONTH(C5787),1,1,2,1,3,1,4,2,5,2,6,3,7,3,8,3,9,3,10,2,11,2,12,1,2)</f>
        <v>1</v>
      </c>
      <c r="P5787" s="43"/>
    </row>
    <row r="5788" spans="1:16" ht="18" x14ac:dyDescent="0.35">
      <c r="A5788" s="9"/>
      <c r="C5788" s="393"/>
      <c r="E5788" s="394"/>
      <c r="F5788" s="394">
        <v>0.11700000000000001</v>
      </c>
      <c r="G5788" s="394"/>
      <c r="H5788" s="8" t="s">
        <v>235</v>
      </c>
      <c r="I5788" s="368">
        <f t="shared" si="271"/>
        <v>0</v>
      </c>
      <c r="J5788" s="365">
        <f t="shared" si="270"/>
        <v>0</v>
      </c>
      <c r="K5788" s="369">
        <f t="shared" si="272"/>
        <v>6</v>
      </c>
      <c r="L5788" s="369">
        <f>+IF((C5788&gt;='Resultats - informe'!$E$16)*(C5788&lt;='Resultats - informe'!$G$16),1,0)</f>
        <v>1</v>
      </c>
      <c r="M5788" s="369" cm="1">
        <f t="array" ref="M5788">+_xlfn.IFS((C5788&gt;='Resultats - informe'!$D$26)*(C5788&lt;='Resultats - informe'!$E$26),0,(C5788&gt;='Resultats - informe'!$D$27)*(C5788&lt;='Resultats - informe'!$E$27),0,(C5788&gt;='Resultats - informe'!$D$28)*(C5788&lt;='Resultats - informe'!$E$28),0,(C5788&gt;='Resultats - informe'!$D$29)*(C5788&lt;='Resultats - informe'!$E$29),0,1,1)</f>
        <v>0</v>
      </c>
      <c r="N5788" s="366">
        <f>+VLOOKUP(D5788,'Resultats - informe'!$Y$18:$AG$42,'Introducció dades consum'!K5788+1,0)</f>
        <v>0</v>
      </c>
      <c r="O5788" s="370" cm="1">
        <f t="array" ref="O5788">+_xlfn.SWITCH(MONTH(C5788),1,1,2,1,3,1,4,2,5,2,6,3,7,3,8,3,9,3,10,2,11,2,12,1,2)</f>
        <v>1</v>
      </c>
      <c r="P5788" s="43"/>
    </row>
    <row r="5789" spans="1:16" ht="18" x14ac:dyDescent="0.35">
      <c r="A5789" s="9"/>
      <c r="C5789" s="393"/>
      <c r="E5789" s="394"/>
      <c r="F5789" s="394">
        <v>0.5</v>
      </c>
      <c r="G5789" s="394"/>
      <c r="H5789" s="8" t="s">
        <v>235</v>
      </c>
      <c r="I5789" s="368">
        <f t="shared" si="271"/>
        <v>0</v>
      </c>
      <c r="J5789" s="365">
        <f t="shared" si="270"/>
        <v>0</v>
      </c>
      <c r="K5789" s="369">
        <f t="shared" si="272"/>
        <v>6</v>
      </c>
      <c r="L5789" s="369">
        <f>+IF((C5789&gt;='Resultats - informe'!$E$16)*(C5789&lt;='Resultats - informe'!$G$16),1,0)</f>
        <v>1</v>
      </c>
      <c r="M5789" s="369" cm="1">
        <f t="array" ref="M5789">+_xlfn.IFS((C5789&gt;='Resultats - informe'!$D$26)*(C5789&lt;='Resultats - informe'!$E$26),0,(C5789&gt;='Resultats - informe'!$D$27)*(C5789&lt;='Resultats - informe'!$E$27),0,(C5789&gt;='Resultats - informe'!$D$28)*(C5789&lt;='Resultats - informe'!$E$28),0,(C5789&gt;='Resultats - informe'!$D$29)*(C5789&lt;='Resultats - informe'!$E$29),0,1,1)</f>
        <v>0</v>
      </c>
      <c r="N5789" s="366">
        <f>+VLOOKUP(D5789,'Resultats - informe'!$Y$18:$AG$42,'Introducció dades consum'!K5789+1,0)</f>
        <v>0</v>
      </c>
      <c r="O5789" s="370" cm="1">
        <f t="array" ref="O5789">+_xlfn.SWITCH(MONTH(C5789),1,1,2,1,3,1,4,2,5,2,6,3,7,3,8,3,9,3,10,2,11,2,12,1,2)</f>
        <v>1</v>
      </c>
      <c r="P5789" s="43"/>
    </row>
    <row r="5790" spans="1:16" ht="18" x14ac:dyDescent="0.35">
      <c r="A5790" s="9"/>
      <c r="C5790" s="393"/>
      <c r="E5790" s="394"/>
      <c r="F5790" s="394">
        <v>0.5</v>
      </c>
      <c r="G5790" s="394"/>
      <c r="H5790" s="8" t="s">
        <v>235</v>
      </c>
      <c r="I5790" s="368">
        <f t="shared" si="271"/>
        <v>0</v>
      </c>
      <c r="J5790" s="365">
        <f t="shared" si="270"/>
        <v>0</v>
      </c>
      <c r="K5790" s="369">
        <f t="shared" si="272"/>
        <v>6</v>
      </c>
      <c r="L5790" s="369">
        <f>+IF((C5790&gt;='Resultats - informe'!$E$16)*(C5790&lt;='Resultats - informe'!$G$16),1,0)</f>
        <v>1</v>
      </c>
      <c r="M5790" s="369" cm="1">
        <f t="array" ref="M5790">+_xlfn.IFS((C5790&gt;='Resultats - informe'!$D$26)*(C5790&lt;='Resultats - informe'!$E$26),0,(C5790&gt;='Resultats - informe'!$D$27)*(C5790&lt;='Resultats - informe'!$E$27),0,(C5790&gt;='Resultats - informe'!$D$28)*(C5790&lt;='Resultats - informe'!$E$28),0,(C5790&gt;='Resultats - informe'!$D$29)*(C5790&lt;='Resultats - informe'!$E$29),0,1,1)</f>
        <v>0</v>
      </c>
      <c r="N5790" s="366">
        <f>+VLOOKUP(D5790,'Resultats - informe'!$Y$18:$AG$42,'Introducció dades consum'!K5790+1,0)</f>
        <v>0</v>
      </c>
      <c r="O5790" s="370" cm="1">
        <f t="array" ref="O5790">+_xlfn.SWITCH(MONTH(C5790),1,1,2,1,3,1,4,2,5,2,6,3,7,3,8,3,9,3,10,2,11,2,12,1,2)</f>
        <v>1</v>
      </c>
      <c r="P5790" s="43"/>
    </row>
    <row r="5791" spans="1:16" ht="18" x14ac:dyDescent="0.35">
      <c r="A5791" s="9"/>
      <c r="C5791" s="393"/>
      <c r="E5791" s="394"/>
      <c r="F5791" s="394">
        <v>0.5</v>
      </c>
      <c r="G5791" s="394"/>
      <c r="H5791" s="8" t="s">
        <v>235</v>
      </c>
      <c r="I5791" s="368">
        <f t="shared" si="271"/>
        <v>0</v>
      </c>
      <c r="J5791" s="365">
        <f t="shared" si="270"/>
        <v>0</v>
      </c>
      <c r="K5791" s="369">
        <f t="shared" si="272"/>
        <v>6</v>
      </c>
      <c r="L5791" s="369">
        <f>+IF((C5791&gt;='Resultats - informe'!$E$16)*(C5791&lt;='Resultats - informe'!$G$16),1,0)</f>
        <v>1</v>
      </c>
      <c r="M5791" s="369" cm="1">
        <f t="array" ref="M5791">+_xlfn.IFS((C5791&gt;='Resultats - informe'!$D$26)*(C5791&lt;='Resultats - informe'!$E$26),0,(C5791&gt;='Resultats - informe'!$D$27)*(C5791&lt;='Resultats - informe'!$E$27),0,(C5791&gt;='Resultats - informe'!$D$28)*(C5791&lt;='Resultats - informe'!$E$28),0,(C5791&gt;='Resultats - informe'!$D$29)*(C5791&lt;='Resultats - informe'!$E$29),0,1,1)</f>
        <v>0</v>
      </c>
      <c r="N5791" s="366">
        <f>+VLOOKUP(D5791,'Resultats - informe'!$Y$18:$AG$42,'Introducció dades consum'!K5791+1,0)</f>
        <v>0</v>
      </c>
      <c r="O5791" s="370" cm="1">
        <f t="array" ref="O5791">+_xlfn.SWITCH(MONTH(C5791),1,1,2,1,3,1,4,2,5,2,6,3,7,3,8,3,9,3,10,2,11,2,12,1,2)</f>
        <v>1</v>
      </c>
      <c r="P5791" s="43"/>
    </row>
    <row r="5792" spans="1:16" ht="18" x14ac:dyDescent="0.35">
      <c r="A5792" s="9"/>
      <c r="C5792" s="393"/>
      <c r="E5792" s="394"/>
      <c r="F5792" s="394">
        <v>0.5</v>
      </c>
      <c r="G5792" s="394"/>
      <c r="H5792" s="8" t="s">
        <v>235</v>
      </c>
      <c r="I5792" s="368">
        <f t="shared" si="271"/>
        <v>0</v>
      </c>
      <c r="J5792" s="365">
        <f t="shared" si="270"/>
        <v>0</v>
      </c>
      <c r="K5792" s="369">
        <f t="shared" si="272"/>
        <v>6</v>
      </c>
      <c r="L5792" s="369">
        <f>+IF((C5792&gt;='Resultats - informe'!$E$16)*(C5792&lt;='Resultats - informe'!$G$16),1,0)</f>
        <v>1</v>
      </c>
      <c r="M5792" s="369" cm="1">
        <f t="array" ref="M5792">+_xlfn.IFS((C5792&gt;='Resultats - informe'!$D$26)*(C5792&lt;='Resultats - informe'!$E$26),0,(C5792&gt;='Resultats - informe'!$D$27)*(C5792&lt;='Resultats - informe'!$E$27),0,(C5792&gt;='Resultats - informe'!$D$28)*(C5792&lt;='Resultats - informe'!$E$28),0,(C5792&gt;='Resultats - informe'!$D$29)*(C5792&lt;='Resultats - informe'!$E$29),0,1,1)</f>
        <v>0</v>
      </c>
      <c r="N5792" s="366">
        <f>+VLOOKUP(D5792,'Resultats - informe'!$Y$18:$AG$42,'Introducció dades consum'!K5792+1,0)</f>
        <v>0</v>
      </c>
      <c r="O5792" s="370" cm="1">
        <f t="array" ref="O5792">+_xlfn.SWITCH(MONTH(C5792),1,1,2,1,3,1,4,2,5,2,6,3,7,3,8,3,9,3,10,2,11,2,12,1,2)</f>
        <v>1</v>
      </c>
      <c r="P5792" s="43"/>
    </row>
    <row r="5793" spans="1:16" ht="18" x14ac:dyDescent="0.35">
      <c r="A5793" s="9"/>
      <c r="C5793" s="393"/>
      <c r="E5793" s="394"/>
      <c r="F5793" s="394">
        <v>0.498</v>
      </c>
      <c r="G5793" s="394"/>
      <c r="H5793" s="8" t="s">
        <v>235</v>
      </c>
      <c r="I5793" s="368">
        <f t="shared" si="271"/>
        <v>0</v>
      </c>
      <c r="J5793" s="365">
        <f t="shared" si="270"/>
        <v>0</v>
      </c>
      <c r="K5793" s="369">
        <f t="shared" si="272"/>
        <v>6</v>
      </c>
      <c r="L5793" s="369">
        <f>+IF((C5793&gt;='Resultats - informe'!$E$16)*(C5793&lt;='Resultats - informe'!$G$16),1,0)</f>
        <v>1</v>
      </c>
      <c r="M5793" s="369" cm="1">
        <f t="array" ref="M5793">+_xlfn.IFS((C5793&gt;='Resultats - informe'!$D$26)*(C5793&lt;='Resultats - informe'!$E$26),0,(C5793&gt;='Resultats - informe'!$D$27)*(C5793&lt;='Resultats - informe'!$E$27),0,(C5793&gt;='Resultats - informe'!$D$28)*(C5793&lt;='Resultats - informe'!$E$28),0,(C5793&gt;='Resultats - informe'!$D$29)*(C5793&lt;='Resultats - informe'!$E$29),0,1,1)</f>
        <v>0</v>
      </c>
      <c r="N5793" s="366">
        <f>+VLOOKUP(D5793,'Resultats - informe'!$Y$18:$AG$42,'Introducció dades consum'!K5793+1,0)</f>
        <v>0</v>
      </c>
      <c r="O5793" s="370" cm="1">
        <f t="array" ref="O5793">+_xlfn.SWITCH(MONTH(C5793),1,1,2,1,3,1,4,2,5,2,6,3,7,3,8,3,9,3,10,2,11,2,12,1,2)</f>
        <v>1</v>
      </c>
      <c r="P5793" s="43"/>
    </row>
    <row r="5794" spans="1:16" ht="18" x14ac:dyDescent="0.35">
      <c r="A5794" s="9"/>
      <c r="C5794" s="393"/>
      <c r="E5794" s="394"/>
      <c r="F5794" s="394">
        <v>0.5</v>
      </c>
      <c r="G5794" s="394"/>
      <c r="H5794" s="8" t="s">
        <v>235</v>
      </c>
      <c r="I5794" s="368">
        <f t="shared" si="271"/>
        <v>0</v>
      </c>
      <c r="J5794" s="365">
        <f t="shared" si="270"/>
        <v>0</v>
      </c>
      <c r="K5794" s="369">
        <f t="shared" si="272"/>
        <v>6</v>
      </c>
      <c r="L5794" s="369">
        <f>+IF((C5794&gt;='Resultats - informe'!$E$16)*(C5794&lt;='Resultats - informe'!$G$16),1,0)</f>
        <v>1</v>
      </c>
      <c r="M5794" s="369" cm="1">
        <f t="array" ref="M5794">+_xlfn.IFS((C5794&gt;='Resultats - informe'!$D$26)*(C5794&lt;='Resultats - informe'!$E$26),0,(C5794&gt;='Resultats - informe'!$D$27)*(C5794&lt;='Resultats - informe'!$E$27),0,(C5794&gt;='Resultats - informe'!$D$28)*(C5794&lt;='Resultats - informe'!$E$28),0,(C5794&gt;='Resultats - informe'!$D$29)*(C5794&lt;='Resultats - informe'!$E$29),0,1,1)</f>
        <v>0</v>
      </c>
      <c r="N5794" s="366">
        <f>+VLOOKUP(D5794,'Resultats - informe'!$Y$18:$AG$42,'Introducció dades consum'!K5794+1,0)</f>
        <v>0</v>
      </c>
      <c r="O5794" s="370" cm="1">
        <f t="array" ref="O5794">+_xlfn.SWITCH(MONTH(C5794),1,1,2,1,3,1,4,2,5,2,6,3,7,3,8,3,9,3,10,2,11,2,12,1,2)</f>
        <v>1</v>
      </c>
      <c r="P5794" s="43"/>
    </row>
    <row r="5795" spans="1:16" ht="18" x14ac:dyDescent="0.35">
      <c r="A5795" s="9"/>
      <c r="C5795" s="393"/>
      <c r="E5795" s="394"/>
      <c r="F5795" s="394">
        <v>0.504</v>
      </c>
      <c r="G5795" s="394"/>
      <c r="H5795" s="8" t="s">
        <v>235</v>
      </c>
      <c r="I5795" s="368">
        <f t="shared" si="271"/>
        <v>0</v>
      </c>
      <c r="J5795" s="365">
        <f t="shared" si="270"/>
        <v>0</v>
      </c>
      <c r="K5795" s="369">
        <f t="shared" si="272"/>
        <v>6</v>
      </c>
      <c r="L5795" s="369">
        <f>+IF((C5795&gt;='Resultats - informe'!$E$16)*(C5795&lt;='Resultats - informe'!$G$16),1,0)</f>
        <v>1</v>
      </c>
      <c r="M5795" s="369" cm="1">
        <f t="array" ref="M5795">+_xlfn.IFS((C5795&gt;='Resultats - informe'!$D$26)*(C5795&lt;='Resultats - informe'!$E$26),0,(C5795&gt;='Resultats - informe'!$D$27)*(C5795&lt;='Resultats - informe'!$E$27),0,(C5795&gt;='Resultats - informe'!$D$28)*(C5795&lt;='Resultats - informe'!$E$28),0,(C5795&gt;='Resultats - informe'!$D$29)*(C5795&lt;='Resultats - informe'!$E$29),0,1,1)</f>
        <v>0</v>
      </c>
      <c r="N5795" s="366">
        <f>+VLOOKUP(D5795,'Resultats - informe'!$Y$18:$AG$42,'Introducció dades consum'!K5795+1,0)</f>
        <v>0</v>
      </c>
      <c r="O5795" s="370" cm="1">
        <f t="array" ref="O5795">+_xlfn.SWITCH(MONTH(C5795),1,1,2,1,3,1,4,2,5,2,6,3,7,3,8,3,9,3,10,2,11,2,12,1,2)</f>
        <v>1</v>
      </c>
      <c r="P5795" s="43"/>
    </row>
    <row r="5796" spans="1:16" ht="18" x14ac:dyDescent="0.35">
      <c r="A5796" s="9"/>
      <c r="C5796" s="393"/>
      <c r="E5796" s="394"/>
      <c r="F5796" s="394">
        <v>0.50700000000000001</v>
      </c>
      <c r="G5796" s="394"/>
      <c r="H5796" s="8" t="s">
        <v>235</v>
      </c>
      <c r="I5796" s="368">
        <f t="shared" si="271"/>
        <v>0</v>
      </c>
      <c r="J5796" s="365">
        <f t="shared" si="270"/>
        <v>0</v>
      </c>
      <c r="K5796" s="369">
        <f t="shared" si="272"/>
        <v>6</v>
      </c>
      <c r="L5796" s="369">
        <f>+IF((C5796&gt;='Resultats - informe'!$E$16)*(C5796&lt;='Resultats - informe'!$G$16),1,0)</f>
        <v>1</v>
      </c>
      <c r="M5796" s="369" cm="1">
        <f t="array" ref="M5796">+_xlfn.IFS((C5796&gt;='Resultats - informe'!$D$26)*(C5796&lt;='Resultats - informe'!$E$26),0,(C5796&gt;='Resultats - informe'!$D$27)*(C5796&lt;='Resultats - informe'!$E$27),0,(C5796&gt;='Resultats - informe'!$D$28)*(C5796&lt;='Resultats - informe'!$E$28),0,(C5796&gt;='Resultats - informe'!$D$29)*(C5796&lt;='Resultats - informe'!$E$29),0,1,1)</f>
        <v>0</v>
      </c>
      <c r="N5796" s="366">
        <f>+VLOOKUP(D5796,'Resultats - informe'!$Y$18:$AG$42,'Introducció dades consum'!K5796+1,0)</f>
        <v>0</v>
      </c>
      <c r="O5796" s="370" cm="1">
        <f t="array" ref="O5796">+_xlfn.SWITCH(MONTH(C5796),1,1,2,1,3,1,4,2,5,2,6,3,7,3,8,3,9,3,10,2,11,2,12,1,2)</f>
        <v>1</v>
      </c>
      <c r="P5796" s="43"/>
    </row>
    <row r="5797" spans="1:16" ht="18" x14ac:dyDescent="0.35">
      <c r="A5797" s="9"/>
      <c r="C5797" s="393"/>
      <c r="E5797" s="394"/>
      <c r="F5797" s="394">
        <v>5.2999999999999999E-2</v>
      </c>
      <c r="G5797" s="394"/>
      <c r="H5797" s="8" t="s">
        <v>235</v>
      </c>
      <c r="I5797" s="368">
        <f t="shared" si="271"/>
        <v>0</v>
      </c>
      <c r="J5797" s="365">
        <f t="shared" si="270"/>
        <v>0</v>
      </c>
      <c r="K5797" s="369">
        <f t="shared" si="272"/>
        <v>6</v>
      </c>
      <c r="L5797" s="369">
        <f>+IF((C5797&gt;='Resultats - informe'!$E$16)*(C5797&lt;='Resultats - informe'!$G$16),1,0)</f>
        <v>1</v>
      </c>
      <c r="M5797" s="369" cm="1">
        <f t="array" ref="M5797">+_xlfn.IFS((C5797&gt;='Resultats - informe'!$D$26)*(C5797&lt;='Resultats - informe'!$E$26),0,(C5797&gt;='Resultats - informe'!$D$27)*(C5797&lt;='Resultats - informe'!$E$27),0,(C5797&gt;='Resultats - informe'!$D$28)*(C5797&lt;='Resultats - informe'!$E$28),0,(C5797&gt;='Resultats - informe'!$D$29)*(C5797&lt;='Resultats - informe'!$E$29),0,1,1)</f>
        <v>0</v>
      </c>
      <c r="N5797" s="366">
        <f>+VLOOKUP(D5797,'Resultats - informe'!$Y$18:$AG$42,'Introducció dades consum'!K5797+1,0)</f>
        <v>0</v>
      </c>
      <c r="O5797" s="370" cm="1">
        <f t="array" ref="O5797">+_xlfn.SWITCH(MONTH(C5797),1,1,2,1,3,1,4,2,5,2,6,3,7,3,8,3,9,3,10,2,11,2,12,1,2)</f>
        <v>1</v>
      </c>
      <c r="P5797" s="43"/>
    </row>
    <row r="5798" spans="1:16" ht="18" x14ac:dyDescent="0.35">
      <c r="A5798" s="9"/>
      <c r="C5798" s="393"/>
      <c r="E5798" s="394"/>
      <c r="F5798" s="394">
        <v>0</v>
      </c>
      <c r="G5798" s="394"/>
      <c r="H5798" s="8" t="s">
        <v>235</v>
      </c>
      <c r="I5798" s="368">
        <f t="shared" si="271"/>
        <v>0</v>
      </c>
      <c r="J5798" s="365">
        <f t="shared" si="270"/>
        <v>0</v>
      </c>
      <c r="K5798" s="369">
        <f t="shared" si="272"/>
        <v>6</v>
      </c>
      <c r="L5798" s="369">
        <f>+IF((C5798&gt;='Resultats - informe'!$E$16)*(C5798&lt;='Resultats - informe'!$G$16),1,0)</f>
        <v>1</v>
      </c>
      <c r="M5798" s="369" cm="1">
        <f t="array" ref="M5798">+_xlfn.IFS((C5798&gt;='Resultats - informe'!$D$26)*(C5798&lt;='Resultats - informe'!$E$26),0,(C5798&gt;='Resultats - informe'!$D$27)*(C5798&lt;='Resultats - informe'!$E$27),0,(C5798&gt;='Resultats - informe'!$D$28)*(C5798&lt;='Resultats - informe'!$E$28),0,(C5798&gt;='Resultats - informe'!$D$29)*(C5798&lt;='Resultats - informe'!$E$29),0,1,1)</f>
        <v>0</v>
      </c>
      <c r="N5798" s="366">
        <f>+VLOOKUP(D5798,'Resultats - informe'!$Y$18:$AG$42,'Introducció dades consum'!K5798+1,0)</f>
        <v>0</v>
      </c>
      <c r="O5798" s="370" cm="1">
        <f t="array" ref="O5798">+_xlfn.SWITCH(MONTH(C5798),1,1,2,1,3,1,4,2,5,2,6,3,7,3,8,3,9,3,10,2,11,2,12,1,2)</f>
        <v>1</v>
      </c>
      <c r="P5798" s="43"/>
    </row>
    <row r="5799" spans="1:16" ht="18" x14ac:dyDescent="0.35">
      <c r="A5799" s="9"/>
      <c r="C5799" s="393"/>
      <c r="E5799" s="394"/>
      <c r="F5799" s="394">
        <v>0</v>
      </c>
      <c r="G5799" s="394"/>
      <c r="H5799" s="8" t="s">
        <v>235</v>
      </c>
      <c r="I5799" s="368">
        <f t="shared" si="271"/>
        <v>0</v>
      </c>
      <c r="J5799" s="365">
        <f t="shared" si="270"/>
        <v>0</v>
      </c>
      <c r="K5799" s="369">
        <f t="shared" si="272"/>
        <v>6</v>
      </c>
      <c r="L5799" s="369">
        <f>+IF((C5799&gt;='Resultats - informe'!$E$16)*(C5799&lt;='Resultats - informe'!$G$16),1,0)</f>
        <v>1</v>
      </c>
      <c r="M5799" s="369" cm="1">
        <f t="array" ref="M5799">+_xlfn.IFS((C5799&gt;='Resultats - informe'!$D$26)*(C5799&lt;='Resultats - informe'!$E$26),0,(C5799&gt;='Resultats - informe'!$D$27)*(C5799&lt;='Resultats - informe'!$E$27),0,(C5799&gt;='Resultats - informe'!$D$28)*(C5799&lt;='Resultats - informe'!$E$28),0,(C5799&gt;='Resultats - informe'!$D$29)*(C5799&lt;='Resultats - informe'!$E$29),0,1,1)</f>
        <v>0</v>
      </c>
      <c r="N5799" s="366">
        <f>+VLOOKUP(D5799,'Resultats - informe'!$Y$18:$AG$42,'Introducció dades consum'!K5799+1,0)</f>
        <v>0</v>
      </c>
      <c r="O5799" s="370" cm="1">
        <f t="array" ref="O5799">+_xlfn.SWITCH(MONTH(C5799),1,1,2,1,3,1,4,2,5,2,6,3,7,3,8,3,9,3,10,2,11,2,12,1,2)</f>
        <v>1</v>
      </c>
      <c r="P5799" s="43"/>
    </row>
    <row r="5800" spans="1:16" ht="18" x14ac:dyDescent="0.35">
      <c r="A5800" s="9"/>
      <c r="C5800" s="393"/>
      <c r="E5800" s="394"/>
      <c r="F5800" s="394">
        <v>0</v>
      </c>
      <c r="G5800" s="394"/>
      <c r="H5800" s="8" t="s">
        <v>235</v>
      </c>
      <c r="I5800" s="368">
        <f t="shared" si="271"/>
        <v>0</v>
      </c>
      <c r="J5800" s="365">
        <f t="shared" si="270"/>
        <v>0</v>
      </c>
      <c r="K5800" s="369">
        <f t="shared" si="272"/>
        <v>6</v>
      </c>
      <c r="L5800" s="369">
        <f>+IF((C5800&gt;='Resultats - informe'!$E$16)*(C5800&lt;='Resultats - informe'!$G$16),1,0)</f>
        <v>1</v>
      </c>
      <c r="M5800" s="369" cm="1">
        <f t="array" ref="M5800">+_xlfn.IFS((C5800&gt;='Resultats - informe'!$D$26)*(C5800&lt;='Resultats - informe'!$E$26),0,(C5800&gt;='Resultats - informe'!$D$27)*(C5800&lt;='Resultats - informe'!$E$27),0,(C5800&gt;='Resultats - informe'!$D$28)*(C5800&lt;='Resultats - informe'!$E$28),0,(C5800&gt;='Resultats - informe'!$D$29)*(C5800&lt;='Resultats - informe'!$E$29),0,1,1)</f>
        <v>0</v>
      </c>
      <c r="N5800" s="366">
        <f>+VLOOKUP(D5800,'Resultats - informe'!$Y$18:$AG$42,'Introducció dades consum'!K5800+1,0)</f>
        <v>0</v>
      </c>
      <c r="O5800" s="370" cm="1">
        <f t="array" ref="O5800">+_xlfn.SWITCH(MONTH(C5800),1,1,2,1,3,1,4,2,5,2,6,3,7,3,8,3,9,3,10,2,11,2,12,1,2)</f>
        <v>1</v>
      </c>
      <c r="P5800" s="43"/>
    </row>
    <row r="5801" spans="1:16" ht="18" x14ac:dyDescent="0.35">
      <c r="A5801" s="9"/>
      <c r="C5801" s="393"/>
      <c r="E5801" s="394"/>
      <c r="F5801" s="394">
        <v>2.5999999999999999E-2</v>
      </c>
      <c r="G5801" s="394"/>
      <c r="H5801" s="8" t="s">
        <v>235</v>
      </c>
      <c r="I5801" s="368">
        <f t="shared" si="271"/>
        <v>0</v>
      </c>
      <c r="J5801" s="365">
        <f t="shared" si="270"/>
        <v>0</v>
      </c>
      <c r="K5801" s="369">
        <f t="shared" si="272"/>
        <v>6</v>
      </c>
      <c r="L5801" s="369">
        <f>+IF((C5801&gt;='Resultats - informe'!$E$16)*(C5801&lt;='Resultats - informe'!$G$16),1,0)</f>
        <v>1</v>
      </c>
      <c r="M5801" s="369" cm="1">
        <f t="array" ref="M5801">+_xlfn.IFS((C5801&gt;='Resultats - informe'!$D$26)*(C5801&lt;='Resultats - informe'!$E$26),0,(C5801&gt;='Resultats - informe'!$D$27)*(C5801&lt;='Resultats - informe'!$E$27),0,(C5801&gt;='Resultats - informe'!$D$28)*(C5801&lt;='Resultats - informe'!$E$28),0,(C5801&gt;='Resultats - informe'!$D$29)*(C5801&lt;='Resultats - informe'!$E$29),0,1,1)</f>
        <v>0</v>
      </c>
      <c r="N5801" s="366">
        <f>+VLOOKUP(D5801,'Resultats - informe'!$Y$18:$AG$42,'Introducció dades consum'!K5801+1,0)</f>
        <v>0</v>
      </c>
      <c r="O5801" s="370" cm="1">
        <f t="array" ref="O5801">+_xlfn.SWITCH(MONTH(C5801),1,1,2,1,3,1,4,2,5,2,6,3,7,3,8,3,9,3,10,2,11,2,12,1,2)</f>
        <v>1</v>
      </c>
      <c r="P5801" s="43"/>
    </row>
    <row r="5802" spans="1:16" ht="18" x14ac:dyDescent="0.35">
      <c r="A5802" s="9"/>
      <c r="C5802" s="393"/>
      <c r="E5802" s="394"/>
      <c r="F5802" s="394">
        <v>0.50600000000000001</v>
      </c>
      <c r="G5802" s="394"/>
      <c r="H5802" s="8" t="s">
        <v>235</v>
      </c>
      <c r="I5802" s="368">
        <f t="shared" si="271"/>
        <v>0</v>
      </c>
      <c r="J5802" s="365">
        <f t="shared" si="270"/>
        <v>0</v>
      </c>
      <c r="K5802" s="369">
        <f t="shared" si="272"/>
        <v>6</v>
      </c>
      <c r="L5802" s="369">
        <f>+IF((C5802&gt;='Resultats - informe'!$E$16)*(C5802&lt;='Resultats - informe'!$G$16),1,0)</f>
        <v>1</v>
      </c>
      <c r="M5802" s="369" cm="1">
        <f t="array" ref="M5802">+_xlfn.IFS((C5802&gt;='Resultats - informe'!$D$26)*(C5802&lt;='Resultats - informe'!$E$26),0,(C5802&gt;='Resultats - informe'!$D$27)*(C5802&lt;='Resultats - informe'!$E$27),0,(C5802&gt;='Resultats - informe'!$D$28)*(C5802&lt;='Resultats - informe'!$E$28),0,(C5802&gt;='Resultats - informe'!$D$29)*(C5802&lt;='Resultats - informe'!$E$29),0,1,1)</f>
        <v>0</v>
      </c>
      <c r="N5802" s="366">
        <f>+VLOOKUP(D5802,'Resultats - informe'!$Y$18:$AG$42,'Introducció dades consum'!K5802+1,0)</f>
        <v>0</v>
      </c>
      <c r="O5802" s="370" cm="1">
        <f t="array" ref="O5802">+_xlfn.SWITCH(MONTH(C5802),1,1,2,1,3,1,4,2,5,2,6,3,7,3,8,3,9,3,10,2,11,2,12,1,2)</f>
        <v>1</v>
      </c>
      <c r="P5802" s="43"/>
    </row>
    <row r="5803" spans="1:16" ht="18" x14ac:dyDescent="0.35">
      <c r="A5803" s="9"/>
      <c r="C5803" s="393"/>
      <c r="E5803" s="394"/>
      <c r="F5803" s="394">
        <v>0.505</v>
      </c>
      <c r="G5803" s="394"/>
      <c r="H5803" s="8" t="s">
        <v>235</v>
      </c>
      <c r="I5803" s="368">
        <f t="shared" si="271"/>
        <v>0</v>
      </c>
      <c r="J5803" s="365">
        <f t="shared" si="270"/>
        <v>0</v>
      </c>
      <c r="K5803" s="369">
        <f t="shared" si="272"/>
        <v>6</v>
      </c>
      <c r="L5803" s="369">
        <f>+IF((C5803&gt;='Resultats - informe'!$E$16)*(C5803&lt;='Resultats - informe'!$G$16),1,0)</f>
        <v>1</v>
      </c>
      <c r="M5803" s="369" cm="1">
        <f t="array" ref="M5803">+_xlfn.IFS((C5803&gt;='Resultats - informe'!$D$26)*(C5803&lt;='Resultats - informe'!$E$26),0,(C5803&gt;='Resultats - informe'!$D$27)*(C5803&lt;='Resultats - informe'!$E$27),0,(C5803&gt;='Resultats - informe'!$D$28)*(C5803&lt;='Resultats - informe'!$E$28),0,(C5803&gt;='Resultats - informe'!$D$29)*(C5803&lt;='Resultats - informe'!$E$29),0,1,1)</f>
        <v>0</v>
      </c>
      <c r="N5803" s="366">
        <f>+VLOOKUP(D5803,'Resultats - informe'!$Y$18:$AG$42,'Introducció dades consum'!K5803+1,0)</f>
        <v>0</v>
      </c>
      <c r="O5803" s="370" cm="1">
        <f t="array" ref="O5803">+_xlfn.SWITCH(MONTH(C5803),1,1,2,1,3,1,4,2,5,2,6,3,7,3,8,3,9,3,10,2,11,2,12,1,2)</f>
        <v>1</v>
      </c>
      <c r="P5803" s="43"/>
    </row>
    <row r="5804" spans="1:16" ht="18" x14ac:dyDescent="0.35">
      <c r="A5804" s="9"/>
      <c r="C5804" s="393"/>
      <c r="E5804" s="394"/>
      <c r="F5804" s="394">
        <v>0.503</v>
      </c>
      <c r="G5804" s="394"/>
      <c r="H5804" s="8" t="s">
        <v>235</v>
      </c>
      <c r="I5804" s="368">
        <f t="shared" si="271"/>
        <v>0</v>
      </c>
      <c r="J5804" s="365">
        <f t="shared" si="270"/>
        <v>0</v>
      </c>
      <c r="K5804" s="369">
        <f t="shared" si="272"/>
        <v>6</v>
      </c>
      <c r="L5804" s="369">
        <f>+IF((C5804&gt;='Resultats - informe'!$E$16)*(C5804&lt;='Resultats - informe'!$G$16),1,0)</f>
        <v>1</v>
      </c>
      <c r="M5804" s="369" cm="1">
        <f t="array" ref="M5804">+_xlfn.IFS((C5804&gt;='Resultats - informe'!$D$26)*(C5804&lt;='Resultats - informe'!$E$26),0,(C5804&gt;='Resultats - informe'!$D$27)*(C5804&lt;='Resultats - informe'!$E$27),0,(C5804&gt;='Resultats - informe'!$D$28)*(C5804&lt;='Resultats - informe'!$E$28),0,(C5804&gt;='Resultats - informe'!$D$29)*(C5804&lt;='Resultats - informe'!$E$29),0,1,1)</f>
        <v>0</v>
      </c>
      <c r="N5804" s="366">
        <f>+VLOOKUP(D5804,'Resultats - informe'!$Y$18:$AG$42,'Introducció dades consum'!K5804+1,0)</f>
        <v>0</v>
      </c>
      <c r="O5804" s="370" cm="1">
        <f t="array" ref="O5804">+_xlfn.SWITCH(MONTH(C5804),1,1,2,1,3,1,4,2,5,2,6,3,7,3,8,3,9,3,10,2,11,2,12,1,2)</f>
        <v>1</v>
      </c>
      <c r="P5804" s="43"/>
    </row>
    <row r="5805" spans="1:16" ht="18" x14ac:dyDescent="0.35">
      <c r="A5805" s="9"/>
      <c r="C5805" s="393"/>
      <c r="E5805" s="394"/>
      <c r="F5805" s="394">
        <v>0.502</v>
      </c>
      <c r="G5805" s="394"/>
      <c r="H5805" s="8" t="s">
        <v>235</v>
      </c>
      <c r="I5805" s="368">
        <f t="shared" si="271"/>
        <v>0</v>
      </c>
      <c r="J5805" s="365">
        <f t="shared" si="270"/>
        <v>0</v>
      </c>
      <c r="K5805" s="369">
        <f t="shared" si="272"/>
        <v>6</v>
      </c>
      <c r="L5805" s="369">
        <f>+IF((C5805&gt;='Resultats - informe'!$E$16)*(C5805&lt;='Resultats - informe'!$G$16),1,0)</f>
        <v>1</v>
      </c>
      <c r="M5805" s="369" cm="1">
        <f t="array" ref="M5805">+_xlfn.IFS((C5805&gt;='Resultats - informe'!$D$26)*(C5805&lt;='Resultats - informe'!$E$26),0,(C5805&gt;='Resultats - informe'!$D$27)*(C5805&lt;='Resultats - informe'!$E$27),0,(C5805&gt;='Resultats - informe'!$D$28)*(C5805&lt;='Resultats - informe'!$E$28),0,(C5805&gt;='Resultats - informe'!$D$29)*(C5805&lt;='Resultats - informe'!$E$29),0,1,1)</f>
        <v>0</v>
      </c>
      <c r="N5805" s="366">
        <f>+VLOOKUP(D5805,'Resultats - informe'!$Y$18:$AG$42,'Introducció dades consum'!K5805+1,0)</f>
        <v>0</v>
      </c>
      <c r="O5805" s="370" cm="1">
        <f t="array" ref="O5805">+_xlfn.SWITCH(MONTH(C5805),1,1,2,1,3,1,4,2,5,2,6,3,7,3,8,3,9,3,10,2,11,2,12,1,2)</f>
        <v>1</v>
      </c>
      <c r="P5805" s="43"/>
    </row>
    <row r="5806" spans="1:16" ht="18" x14ac:dyDescent="0.35">
      <c r="A5806" s="9"/>
      <c r="C5806" s="393"/>
      <c r="E5806" s="394"/>
      <c r="F5806" s="394">
        <v>0.502</v>
      </c>
      <c r="G5806" s="394"/>
      <c r="H5806" s="8" t="s">
        <v>235</v>
      </c>
      <c r="I5806" s="368">
        <f t="shared" si="271"/>
        <v>0</v>
      </c>
      <c r="J5806" s="365">
        <f t="shared" si="270"/>
        <v>0</v>
      </c>
      <c r="K5806" s="369">
        <f t="shared" si="272"/>
        <v>6</v>
      </c>
      <c r="L5806" s="369">
        <f>+IF((C5806&gt;='Resultats - informe'!$E$16)*(C5806&lt;='Resultats - informe'!$G$16),1,0)</f>
        <v>1</v>
      </c>
      <c r="M5806" s="369" cm="1">
        <f t="array" ref="M5806">+_xlfn.IFS((C5806&gt;='Resultats - informe'!$D$26)*(C5806&lt;='Resultats - informe'!$E$26),0,(C5806&gt;='Resultats - informe'!$D$27)*(C5806&lt;='Resultats - informe'!$E$27),0,(C5806&gt;='Resultats - informe'!$D$28)*(C5806&lt;='Resultats - informe'!$E$28),0,(C5806&gt;='Resultats - informe'!$D$29)*(C5806&lt;='Resultats - informe'!$E$29),0,1,1)</f>
        <v>0</v>
      </c>
      <c r="N5806" s="366">
        <f>+VLOOKUP(D5806,'Resultats - informe'!$Y$18:$AG$42,'Introducció dades consum'!K5806+1,0)</f>
        <v>0</v>
      </c>
      <c r="O5806" s="370" cm="1">
        <f t="array" ref="O5806">+_xlfn.SWITCH(MONTH(C5806),1,1,2,1,3,1,4,2,5,2,6,3,7,3,8,3,9,3,10,2,11,2,12,1,2)</f>
        <v>1</v>
      </c>
      <c r="P5806" s="43"/>
    </row>
    <row r="5807" spans="1:16" ht="18" x14ac:dyDescent="0.35">
      <c r="A5807" s="9"/>
      <c r="C5807" s="393"/>
      <c r="E5807" s="394"/>
      <c r="F5807" s="394">
        <v>0.5</v>
      </c>
      <c r="G5807" s="394"/>
      <c r="H5807" s="8" t="s">
        <v>235</v>
      </c>
      <c r="I5807" s="368">
        <f t="shared" si="271"/>
        <v>0</v>
      </c>
      <c r="J5807" s="365">
        <f t="shared" si="270"/>
        <v>0</v>
      </c>
      <c r="K5807" s="369">
        <f t="shared" si="272"/>
        <v>6</v>
      </c>
      <c r="L5807" s="369">
        <f>+IF((C5807&gt;='Resultats - informe'!$E$16)*(C5807&lt;='Resultats - informe'!$G$16),1,0)</f>
        <v>1</v>
      </c>
      <c r="M5807" s="369" cm="1">
        <f t="array" ref="M5807">+_xlfn.IFS((C5807&gt;='Resultats - informe'!$D$26)*(C5807&lt;='Resultats - informe'!$E$26),0,(C5807&gt;='Resultats - informe'!$D$27)*(C5807&lt;='Resultats - informe'!$E$27),0,(C5807&gt;='Resultats - informe'!$D$28)*(C5807&lt;='Resultats - informe'!$E$28),0,(C5807&gt;='Resultats - informe'!$D$29)*(C5807&lt;='Resultats - informe'!$E$29),0,1,1)</f>
        <v>0</v>
      </c>
      <c r="N5807" s="366">
        <f>+VLOOKUP(D5807,'Resultats - informe'!$Y$18:$AG$42,'Introducció dades consum'!K5807+1,0)</f>
        <v>0</v>
      </c>
      <c r="O5807" s="370" cm="1">
        <f t="array" ref="O5807">+_xlfn.SWITCH(MONTH(C5807),1,1,2,1,3,1,4,2,5,2,6,3,7,3,8,3,9,3,10,2,11,2,12,1,2)</f>
        <v>1</v>
      </c>
      <c r="P5807" s="43"/>
    </row>
    <row r="5808" spans="1:16" ht="18" x14ac:dyDescent="0.35">
      <c r="A5808" s="9"/>
      <c r="C5808" s="393"/>
      <c r="E5808" s="394"/>
      <c r="F5808" s="394">
        <v>0.35599999999999998</v>
      </c>
      <c r="G5808" s="394"/>
      <c r="H5808" s="8" t="s">
        <v>235</v>
      </c>
      <c r="I5808" s="368">
        <f t="shared" si="271"/>
        <v>0</v>
      </c>
      <c r="J5808" s="365">
        <f t="shared" si="270"/>
        <v>0</v>
      </c>
      <c r="K5808" s="369">
        <f t="shared" si="272"/>
        <v>6</v>
      </c>
      <c r="L5808" s="369">
        <f>+IF((C5808&gt;='Resultats - informe'!$E$16)*(C5808&lt;='Resultats - informe'!$G$16),1,0)</f>
        <v>1</v>
      </c>
      <c r="M5808" s="369" cm="1">
        <f t="array" ref="M5808">+_xlfn.IFS((C5808&gt;='Resultats - informe'!$D$26)*(C5808&lt;='Resultats - informe'!$E$26),0,(C5808&gt;='Resultats - informe'!$D$27)*(C5808&lt;='Resultats - informe'!$E$27),0,(C5808&gt;='Resultats - informe'!$D$28)*(C5808&lt;='Resultats - informe'!$E$28),0,(C5808&gt;='Resultats - informe'!$D$29)*(C5808&lt;='Resultats - informe'!$E$29),0,1,1)</f>
        <v>0</v>
      </c>
      <c r="N5808" s="366">
        <f>+VLOOKUP(D5808,'Resultats - informe'!$Y$18:$AG$42,'Introducció dades consum'!K5808+1,0)</f>
        <v>0</v>
      </c>
      <c r="O5808" s="370" cm="1">
        <f t="array" ref="O5808">+_xlfn.SWITCH(MONTH(C5808),1,1,2,1,3,1,4,2,5,2,6,3,7,3,8,3,9,3,10,2,11,2,12,1,2)</f>
        <v>1</v>
      </c>
      <c r="P5808" s="43"/>
    </row>
    <row r="5809" spans="1:16" ht="18" x14ac:dyDescent="0.35">
      <c r="A5809" s="9"/>
      <c r="C5809" s="393"/>
      <c r="E5809" s="394"/>
      <c r="F5809" s="394">
        <v>0</v>
      </c>
      <c r="G5809" s="394"/>
      <c r="H5809" s="8" t="s">
        <v>235</v>
      </c>
      <c r="I5809" s="368">
        <f t="shared" si="271"/>
        <v>0</v>
      </c>
      <c r="J5809" s="365">
        <f t="shared" si="270"/>
        <v>0</v>
      </c>
      <c r="K5809" s="369">
        <f t="shared" si="272"/>
        <v>6</v>
      </c>
      <c r="L5809" s="369">
        <f>+IF((C5809&gt;='Resultats - informe'!$E$16)*(C5809&lt;='Resultats - informe'!$G$16),1,0)</f>
        <v>1</v>
      </c>
      <c r="M5809" s="369" cm="1">
        <f t="array" ref="M5809">+_xlfn.IFS((C5809&gt;='Resultats - informe'!$D$26)*(C5809&lt;='Resultats - informe'!$E$26),0,(C5809&gt;='Resultats - informe'!$D$27)*(C5809&lt;='Resultats - informe'!$E$27),0,(C5809&gt;='Resultats - informe'!$D$28)*(C5809&lt;='Resultats - informe'!$E$28),0,(C5809&gt;='Resultats - informe'!$D$29)*(C5809&lt;='Resultats - informe'!$E$29),0,1,1)</f>
        <v>0</v>
      </c>
      <c r="N5809" s="366">
        <f>+VLOOKUP(D5809,'Resultats - informe'!$Y$18:$AG$42,'Introducció dades consum'!K5809+1,0)</f>
        <v>0</v>
      </c>
      <c r="O5809" s="370" cm="1">
        <f t="array" ref="O5809">+_xlfn.SWITCH(MONTH(C5809),1,1,2,1,3,1,4,2,5,2,6,3,7,3,8,3,9,3,10,2,11,2,12,1,2)</f>
        <v>1</v>
      </c>
      <c r="P5809" s="43"/>
    </row>
    <row r="5810" spans="1:16" ht="18" x14ac:dyDescent="0.35">
      <c r="A5810" s="9"/>
      <c r="C5810" s="393"/>
      <c r="E5810" s="394"/>
      <c r="F5810" s="394">
        <v>1.9E-2</v>
      </c>
      <c r="G5810" s="394"/>
      <c r="H5810" s="8" t="s">
        <v>235</v>
      </c>
      <c r="I5810" s="368">
        <f t="shared" si="271"/>
        <v>0</v>
      </c>
      <c r="J5810" s="365">
        <f t="shared" si="270"/>
        <v>0</v>
      </c>
      <c r="K5810" s="369">
        <f t="shared" si="272"/>
        <v>6</v>
      </c>
      <c r="L5810" s="369">
        <f>+IF((C5810&gt;='Resultats - informe'!$E$16)*(C5810&lt;='Resultats - informe'!$G$16),1,0)</f>
        <v>1</v>
      </c>
      <c r="M5810" s="369" cm="1">
        <f t="array" ref="M5810">+_xlfn.IFS((C5810&gt;='Resultats - informe'!$D$26)*(C5810&lt;='Resultats - informe'!$E$26),0,(C5810&gt;='Resultats - informe'!$D$27)*(C5810&lt;='Resultats - informe'!$E$27),0,(C5810&gt;='Resultats - informe'!$D$28)*(C5810&lt;='Resultats - informe'!$E$28),0,(C5810&gt;='Resultats - informe'!$D$29)*(C5810&lt;='Resultats - informe'!$E$29),0,1,1)</f>
        <v>0</v>
      </c>
      <c r="N5810" s="366">
        <f>+VLOOKUP(D5810,'Resultats - informe'!$Y$18:$AG$42,'Introducció dades consum'!K5810+1,0)</f>
        <v>0</v>
      </c>
      <c r="O5810" s="370" cm="1">
        <f t="array" ref="O5810">+_xlfn.SWITCH(MONTH(C5810),1,1,2,1,3,1,4,2,5,2,6,3,7,3,8,3,9,3,10,2,11,2,12,1,2)</f>
        <v>1</v>
      </c>
      <c r="P5810" s="43"/>
    </row>
    <row r="5811" spans="1:16" ht="18" x14ac:dyDescent="0.35">
      <c r="A5811" s="9"/>
      <c r="C5811" s="393"/>
      <c r="E5811" s="394"/>
      <c r="F5811" s="394">
        <v>1.7999999999999999E-2</v>
      </c>
      <c r="G5811" s="394"/>
      <c r="H5811" s="8" t="s">
        <v>235</v>
      </c>
      <c r="I5811" s="368">
        <f t="shared" si="271"/>
        <v>0</v>
      </c>
      <c r="J5811" s="365">
        <f t="shared" si="270"/>
        <v>0</v>
      </c>
      <c r="K5811" s="369">
        <f t="shared" si="272"/>
        <v>6</v>
      </c>
      <c r="L5811" s="369">
        <f>+IF((C5811&gt;='Resultats - informe'!$E$16)*(C5811&lt;='Resultats - informe'!$G$16),1,0)</f>
        <v>1</v>
      </c>
      <c r="M5811" s="369" cm="1">
        <f t="array" ref="M5811">+_xlfn.IFS((C5811&gt;='Resultats - informe'!$D$26)*(C5811&lt;='Resultats - informe'!$E$26),0,(C5811&gt;='Resultats - informe'!$D$27)*(C5811&lt;='Resultats - informe'!$E$27),0,(C5811&gt;='Resultats - informe'!$D$28)*(C5811&lt;='Resultats - informe'!$E$28),0,(C5811&gt;='Resultats - informe'!$D$29)*(C5811&lt;='Resultats - informe'!$E$29),0,1,1)</f>
        <v>0</v>
      </c>
      <c r="N5811" s="366">
        <f>+VLOOKUP(D5811,'Resultats - informe'!$Y$18:$AG$42,'Introducció dades consum'!K5811+1,0)</f>
        <v>0</v>
      </c>
      <c r="O5811" s="370" cm="1">
        <f t="array" ref="O5811">+_xlfn.SWITCH(MONTH(C5811),1,1,2,1,3,1,4,2,5,2,6,3,7,3,8,3,9,3,10,2,11,2,12,1,2)</f>
        <v>1</v>
      </c>
      <c r="P5811" s="43"/>
    </row>
    <row r="5812" spans="1:16" ht="18" x14ac:dyDescent="0.35">
      <c r="A5812" s="9"/>
      <c r="C5812" s="393"/>
      <c r="E5812" s="394"/>
      <c r="F5812" s="394">
        <v>0.11799999999999999</v>
      </c>
      <c r="G5812" s="394"/>
      <c r="H5812" s="8" t="s">
        <v>235</v>
      </c>
      <c r="I5812" s="368">
        <f t="shared" si="271"/>
        <v>0</v>
      </c>
      <c r="J5812" s="365">
        <f t="shared" si="270"/>
        <v>0</v>
      </c>
      <c r="K5812" s="369">
        <f t="shared" si="272"/>
        <v>6</v>
      </c>
      <c r="L5812" s="369">
        <f>+IF((C5812&gt;='Resultats - informe'!$E$16)*(C5812&lt;='Resultats - informe'!$G$16),1,0)</f>
        <v>1</v>
      </c>
      <c r="M5812" s="369" cm="1">
        <f t="array" ref="M5812">+_xlfn.IFS((C5812&gt;='Resultats - informe'!$D$26)*(C5812&lt;='Resultats - informe'!$E$26),0,(C5812&gt;='Resultats - informe'!$D$27)*(C5812&lt;='Resultats - informe'!$E$27),0,(C5812&gt;='Resultats - informe'!$D$28)*(C5812&lt;='Resultats - informe'!$E$28),0,(C5812&gt;='Resultats - informe'!$D$29)*(C5812&lt;='Resultats - informe'!$E$29),0,1,1)</f>
        <v>0</v>
      </c>
      <c r="N5812" s="366">
        <f>+VLOOKUP(D5812,'Resultats - informe'!$Y$18:$AG$42,'Introducció dades consum'!K5812+1,0)</f>
        <v>0</v>
      </c>
      <c r="O5812" s="370" cm="1">
        <f t="array" ref="O5812">+_xlfn.SWITCH(MONTH(C5812),1,1,2,1,3,1,4,2,5,2,6,3,7,3,8,3,9,3,10,2,11,2,12,1,2)</f>
        <v>1</v>
      </c>
      <c r="P5812" s="43"/>
    </row>
    <row r="5813" spans="1:16" ht="18" x14ac:dyDescent="0.35">
      <c r="A5813" s="9"/>
      <c r="C5813" s="393"/>
      <c r="E5813" s="394"/>
      <c r="F5813" s="394">
        <v>0.497</v>
      </c>
      <c r="G5813" s="394"/>
      <c r="H5813" s="8" t="s">
        <v>235</v>
      </c>
      <c r="I5813" s="368">
        <f t="shared" si="271"/>
        <v>0</v>
      </c>
      <c r="J5813" s="365">
        <f t="shared" si="270"/>
        <v>0</v>
      </c>
      <c r="K5813" s="369">
        <f t="shared" si="272"/>
        <v>6</v>
      </c>
      <c r="L5813" s="369">
        <f>+IF((C5813&gt;='Resultats - informe'!$E$16)*(C5813&lt;='Resultats - informe'!$G$16),1,0)</f>
        <v>1</v>
      </c>
      <c r="M5813" s="369" cm="1">
        <f t="array" ref="M5813">+_xlfn.IFS((C5813&gt;='Resultats - informe'!$D$26)*(C5813&lt;='Resultats - informe'!$E$26),0,(C5813&gt;='Resultats - informe'!$D$27)*(C5813&lt;='Resultats - informe'!$E$27),0,(C5813&gt;='Resultats - informe'!$D$28)*(C5813&lt;='Resultats - informe'!$E$28),0,(C5813&gt;='Resultats - informe'!$D$29)*(C5813&lt;='Resultats - informe'!$E$29),0,1,1)</f>
        <v>0</v>
      </c>
      <c r="N5813" s="366">
        <f>+VLOOKUP(D5813,'Resultats - informe'!$Y$18:$AG$42,'Introducció dades consum'!K5813+1,0)</f>
        <v>0</v>
      </c>
      <c r="O5813" s="370" cm="1">
        <f t="array" ref="O5813">+_xlfn.SWITCH(MONTH(C5813),1,1,2,1,3,1,4,2,5,2,6,3,7,3,8,3,9,3,10,2,11,2,12,1,2)</f>
        <v>1</v>
      </c>
      <c r="P5813" s="43"/>
    </row>
    <row r="5814" spans="1:16" ht="18" x14ac:dyDescent="0.35">
      <c r="A5814" s="9"/>
      <c r="C5814" s="393"/>
      <c r="E5814" s="394"/>
      <c r="F5814" s="394">
        <v>0.497</v>
      </c>
      <c r="G5814" s="394"/>
      <c r="H5814" s="8" t="s">
        <v>235</v>
      </c>
      <c r="I5814" s="368">
        <f t="shared" si="271"/>
        <v>0</v>
      </c>
      <c r="J5814" s="365">
        <f t="shared" si="270"/>
        <v>0</v>
      </c>
      <c r="K5814" s="369">
        <f t="shared" si="272"/>
        <v>6</v>
      </c>
      <c r="L5814" s="369">
        <f>+IF((C5814&gt;='Resultats - informe'!$E$16)*(C5814&lt;='Resultats - informe'!$G$16),1,0)</f>
        <v>1</v>
      </c>
      <c r="M5814" s="369" cm="1">
        <f t="array" ref="M5814">+_xlfn.IFS((C5814&gt;='Resultats - informe'!$D$26)*(C5814&lt;='Resultats - informe'!$E$26),0,(C5814&gt;='Resultats - informe'!$D$27)*(C5814&lt;='Resultats - informe'!$E$27),0,(C5814&gt;='Resultats - informe'!$D$28)*(C5814&lt;='Resultats - informe'!$E$28),0,(C5814&gt;='Resultats - informe'!$D$29)*(C5814&lt;='Resultats - informe'!$E$29),0,1,1)</f>
        <v>0</v>
      </c>
      <c r="N5814" s="366">
        <f>+VLOOKUP(D5814,'Resultats - informe'!$Y$18:$AG$42,'Introducció dades consum'!K5814+1,0)</f>
        <v>0</v>
      </c>
      <c r="O5814" s="370" cm="1">
        <f t="array" ref="O5814">+_xlfn.SWITCH(MONTH(C5814),1,1,2,1,3,1,4,2,5,2,6,3,7,3,8,3,9,3,10,2,11,2,12,1,2)</f>
        <v>1</v>
      </c>
      <c r="P5814" s="43"/>
    </row>
    <row r="5815" spans="1:16" ht="18" x14ac:dyDescent="0.35">
      <c r="A5815" s="9"/>
      <c r="C5815" s="393"/>
      <c r="E5815" s="394"/>
      <c r="F5815" s="394">
        <v>0.5</v>
      </c>
      <c r="G5815" s="394"/>
      <c r="H5815" s="8" t="s">
        <v>235</v>
      </c>
      <c r="I5815" s="368">
        <f t="shared" si="271"/>
        <v>0</v>
      </c>
      <c r="J5815" s="365">
        <f t="shared" si="270"/>
        <v>0</v>
      </c>
      <c r="K5815" s="369">
        <f t="shared" si="272"/>
        <v>6</v>
      </c>
      <c r="L5815" s="369">
        <f>+IF((C5815&gt;='Resultats - informe'!$E$16)*(C5815&lt;='Resultats - informe'!$G$16),1,0)</f>
        <v>1</v>
      </c>
      <c r="M5815" s="369" cm="1">
        <f t="array" ref="M5815">+_xlfn.IFS((C5815&gt;='Resultats - informe'!$D$26)*(C5815&lt;='Resultats - informe'!$E$26),0,(C5815&gt;='Resultats - informe'!$D$27)*(C5815&lt;='Resultats - informe'!$E$27),0,(C5815&gt;='Resultats - informe'!$D$28)*(C5815&lt;='Resultats - informe'!$E$28),0,(C5815&gt;='Resultats - informe'!$D$29)*(C5815&lt;='Resultats - informe'!$E$29),0,1,1)</f>
        <v>0</v>
      </c>
      <c r="N5815" s="366">
        <f>+VLOOKUP(D5815,'Resultats - informe'!$Y$18:$AG$42,'Introducció dades consum'!K5815+1,0)</f>
        <v>0</v>
      </c>
      <c r="O5815" s="370" cm="1">
        <f t="array" ref="O5815">+_xlfn.SWITCH(MONTH(C5815),1,1,2,1,3,1,4,2,5,2,6,3,7,3,8,3,9,3,10,2,11,2,12,1,2)</f>
        <v>1</v>
      </c>
      <c r="P5815" s="43"/>
    </row>
    <row r="5816" spans="1:16" ht="18" x14ac:dyDescent="0.35">
      <c r="A5816" s="9"/>
      <c r="C5816" s="393"/>
      <c r="E5816" s="394"/>
      <c r="F5816" s="394">
        <v>0.501</v>
      </c>
      <c r="G5816" s="394"/>
      <c r="H5816" s="8" t="s">
        <v>235</v>
      </c>
      <c r="I5816" s="368">
        <f t="shared" si="271"/>
        <v>0</v>
      </c>
      <c r="J5816" s="365">
        <f t="shared" si="270"/>
        <v>0</v>
      </c>
      <c r="K5816" s="369">
        <f t="shared" si="272"/>
        <v>6</v>
      </c>
      <c r="L5816" s="369">
        <f>+IF((C5816&gt;='Resultats - informe'!$E$16)*(C5816&lt;='Resultats - informe'!$G$16),1,0)</f>
        <v>1</v>
      </c>
      <c r="M5816" s="369" cm="1">
        <f t="array" ref="M5816">+_xlfn.IFS((C5816&gt;='Resultats - informe'!$D$26)*(C5816&lt;='Resultats - informe'!$E$26),0,(C5816&gt;='Resultats - informe'!$D$27)*(C5816&lt;='Resultats - informe'!$E$27),0,(C5816&gt;='Resultats - informe'!$D$28)*(C5816&lt;='Resultats - informe'!$E$28),0,(C5816&gt;='Resultats - informe'!$D$29)*(C5816&lt;='Resultats - informe'!$E$29),0,1,1)</f>
        <v>0</v>
      </c>
      <c r="N5816" s="366">
        <f>+VLOOKUP(D5816,'Resultats - informe'!$Y$18:$AG$42,'Introducció dades consum'!K5816+1,0)</f>
        <v>0</v>
      </c>
      <c r="O5816" s="370" cm="1">
        <f t="array" ref="O5816">+_xlfn.SWITCH(MONTH(C5816),1,1,2,1,3,1,4,2,5,2,6,3,7,3,8,3,9,3,10,2,11,2,12,1,2)</f>
        <v>1</v>
      </c>
      <c r="P5816" s="43"/>
    </row>
    <row r="5817" spans="1:16" ht="18" x14ac:dyDescent="0.35">
      <c r="A5817" s="9"/>
      <c r="C5817" s="393"/>
      <c r="E5817" s="394"/>
      <c r="F5817" s="394">
        <v>0.495</v>
      </c>
      <c r="G5817" s="394"/>
      <c r="H5817" s="8" t="s">
        <v>235</v>
      </c>
      <c r="I5817" s="368">
        <f t="shared" si="271"/>
        <v>0</v>
      </c>
      <c r="J5817" s="365">
        <f t="shared" si="270"/>
        <v>0</v>
      </c>
      <c r="K5817" s="369">
        <f t="shared" si="272"/>
        <v>6</v>
      </c>
      <c r="L5817" s="369">
        <f>+IF((C5817&gt;='Resultats - informe'!$E$16)*(C5817&lt;='Resultats - informe'!$G$16),1,0)</f>
        <v>1</v>
      </c>
      <c r="M5817" s="369" cm="1">
        <f t="array" ref="M5817">+_xlfn.IFS((C5817&gt;='Resultats - informe'!$D$26)*(C5817&lt;='Resultats - informe'!$E$26),0,(C5817&gt;='Resultats - informe'!$D$27)*(C5817&lt;='Resultats - informe'!$E$27),0,(C5817&gt;='Resultats - informe'!$D$28)*(C5817&lt;='Resultats - informe'!$E$28),0,(C5817&gt;='Resultats - informe'!$D$29)*(C5817&lt;='Resultats - informe'!$E$29),0,1,1)</f>
        <v>0</v>
      </c>
      <c r="N5817" s="366">
        <f>+VLOOKUP(D5817,'Resultats - informe'!$Y$18:$AG$42,'Introducció dades consum'!K5817+1,0)</f>
        <v>0</v>
      </c>
      <c r="O5817" s="370" cm="1">
        <f t="array" ref="O5817">+_xlfn.SWITCH(MONTH(C5817),1,1,2,1,3,1,4,2,5,2,6,3,7,3,8,3,9,3,10,2,11,2,12,1,2)</f>
        <v>1</v>
      </c>
      <c r="P5817" s="43"/>
    </row>
    <row r="5818" spans="1:16" ht="18" x14ac:dyDescent="0.35">
      <c r="A5818" s="9"/>
      <c r="C5818" s="393"/>
      <c r="E5818" s="394"/>
      <c r="F5818" s="394">
        <v>0.499</v>
      </c>
      <c r="G5818" s="394"/>
      <c r="H5818" s="8" t="s">
        <v>235</v>
      </c>
      <c r="I5818" s="368">
        <f t="shared" si="271"/>
        <v>0</v>
      </c>
      <c r="J5818" s="365">
        <f t="shared" si="270"/>
        <v>0</v>
      </c>
      <c r="K5818" s="369">
        <f t="shared" si="272"/>
        <v>6</v>
      </c>
      <c r="L5818" s="369">
        <f>+IF((C5818&gt;='Resultats - informe'!$E$16)*(C5818&lt;='Resultats - informe'!$G$16),1,0)</f>
        <v>1</v>
      </c>
      <c r="M5818" s="369" cm="1">
        <f t="array" ref="M5818">+_xlfn.IFS((C5818&gt;='Resultats - informe'!$D$26)*(C5818&lt;='Resultats - informe'!$E$26),0,(C5818&gt;='Resultats - informe'!$D$27)*(C5818&lt;='Resultats - informe'!$E$27),0,(C5818&gt;='Resultats - informe'!$D$28)*(C5818&lt;='Resultats - informe'!$E$28),0,(C5818&gt;='Resultats - informe'!$D$29)*(C5818&lt;='Resultats - informe'!$E$29),0,1,1)</f>
        <v>0</v>
      </c>
      <c r="N5818" s="366">
        <f>+VLOOKUP(D5818,'Resultats - informe'!$Y$18:$AG$42,'Introducció dades consum'!K5818+1,0)</f>
        <v>0</v>
      </c>
      <c r="O5818" s="370" cm="1">
        <f t="array" ref="O5818">+_xlfn.SWITCH(MONTH(C5818),1,1,2,1,3,1,4,2,5,2,6,3,7,3,8,3,9,3,10,2,11,2,12,1,2)</f>
        <v>1</v>
      </c>
      <c r="P5818" s="43"/>
    </row>
    <row r="5819" spans="1:16" ht="18" x14ac:dyDescent="0.35">
      <c r="A5819" s="9"/>
      <c r="C5819" s="393"/>
      <c r="E5819" s="394"/>
      <c r="F5819" s="394">
        <v>0.504</v>
      </c>
      <c r="G5819" s="394"/>
      <c r="H5819" s="8" t="s">
        <v>235</v>
      </c>
      <c r="I5819" s="368">
        <f t="shared" si="271"/>
        <v>0</v>
      </c>
      <c r="J5819" s="365">
        <f t="shared" ref="J5819:J5835" si="273">+C5819</f>
        <v>0</v>
      </c>
      <c r="K5819" s="369">
        <f t="shared" si="272"/>
        <v>6</v>
      </c>
      <c r="L5819" s="369">
        <f>+IF((C5819&gt;='Resultats - informe'!$E$16)*(C5819&lt;='Resultats - informe'!$G$16),1,0)</f>
        <v>1</v>
      </c>
      <c r="M5819" s="369" cm="1">
        <f t="array" ref="M5819">+_xlfn.IFS((C5819&gt;='Resultats - informe'!$D$26)*(C5819&lt;='Resultats - informe'!$E$26),0,(C5819&gt;='Resultats - informe'!$D$27)*(C5819&lt;='Resultats - informe'!$E$27),0,(C5819&gt;='Resultats - informe'!$D$28)*(C5819&lt;='Resultats - informe'!$E$28),0,(C5819&gt;='Resultats - informe'!$D$29)*(C5819&lt;='Resultats - informe'!$E$29),0,1,1)</f>
        <v>0</v>
      </c>
      <c r="N5819" s="366">
        <f>+VLOOKUP(D5819,'Resultats - informe'!$Y$18:$AG$42,'Introducció dades consum'!K5819+1,0)</f>
        <v>0</v>
      </c>
      <c r="O5819" s="370" cm="1">
        <f t="array" ref="O5819">+_xlfn.SWITCH(MONTH(C5819),1,1,2,1,3,1,4,2,5,2,6,3,7,3,8,3,9,3,10,2,11,2,12,1,2)</f>
        <v>1</v>
      </c>
      <c r="P5819" s="43"/>
    </row>
    <row r="5820" spans="1:16" ht="18" x14ac:dyDescent="0.35">
      <c r="A5820" s="9"/>
      <c r="C5820" s="393"/>
      <c r="E5820" s="394"/>
      <c r="F5820" s="394">
        <v>0.50600000000000001</v>
      </c>
      <c r="G5820" s="394"/>
      <c r="H5820" s="8" t="s">
        <v>235</v>
      </c>
      <c r="I5820" s="368">
        <f t="shared" si="271"/>
        <v>0</v>
      </c>
      <c r="J5820" s="365">
        <f t="shared" si="273"/>
        <v>0</v>
      </c>
      <c r="K5820" s="369">
        <f t="shared" si="272"/>
        <v>6</v>
      </c>
      <c r="L5820" s="369">
        <f>+IF((C5820&gt;='Resultats - informe'!$E$16)*(C5820&lt;='Resultats - informe'!$G$16),1,0)</f>
        <v>1</v>
      </c>
      <c r="M5820" s="369" cm="1">
        <f t="array" ref="M5820">+_xlfn.IFS((C5820&gt;='Resultats - informe'!$D$26)*(C5820&lt;='Resultats - informe'!$E$26),0,(C5820&gt;='Resultats - informe'!$D$27)*(C5820&lt;='Resultats - informe'!$E$27),0,(C5820&gt;='Resultats - informe'!$D$28)*(C5820&lt;='Resultats - informe'!$E$28),0,(C5820&gt;='Resultats - informe'!$D$29)*(C5820&lt;='Resultats - informe'!$E$29),0,1,1)</f>
        <v>0</v>
      </c>
      <c r="N5820" s="366">
        <f>+VLOOKUP(D5820,'Resultats - informe'!$Y$18:$AG$42,'Introducció dades consum'!K5820+1,0)</f>
        <v>0</v>
      </c>
      <c r="O5820" s="370" cm="1">
        <f t="array" ref="O5820">+_xlfn.SWITCH(MONTH(C5820),1,1,2,1,3,1,4,2,5,2,6,3,7,3,8,3,9,3,10,2,11,2,12,1,2)</f>
        <v>1</v>
      </c>
      <c r="P5820" s="43"/>
    </row>
    <row r="5821" spans="1:16" ht="18" x14ac:dyDescent="0.35">
      <c r="A5821" s="9"/>
      <c r="C5821" s="393"/>
      <c r="E5821" s="394"/>
      <c r="F5821" s="394">
        <v>0.50700000000000001</v>
      </c>
      <c r="G5821" s="394"/>
      <c r="H5821" s="8" t="s">
        <v>235</v>
      </c>
      <c r="I5821" s="368">
        <f t="shared" si="271"/>
        <v>0</v>
      </c>
      <c r="J5821" s="365">
        <f t="shared" si="273"/>
        <v>0</v>
      </c>
      <c r="K5821" s="369">
        <f t="shared" si="272"/>
        <v>6</v>
      </c>
      <c r="L5821" s="369">
        <f>+IF((C5821&gt;='Resultats - informe'!$E$16)*(C5821&lt;='Resultats - informe'!$G$16),1,0)</f>
        <v>1</v>
      </c>
      <c r="M5821" s="369" cm="1">
        <f t="array" ref="M5821">+_xlfn.IFS((C5821&gt;='Resultats - informe'!$D$26)*(C5821&lt;='Resultats - informe'!$E$26),0,(C5821&gt;='Resultats - informe'!$D$27)*(C5821&lt;='Resultats - informe'!$E$27),0,(C5821&gt;='Resultats - informe'!$D$28)*(C5821&lt;='Resultats - informe'!$E$28),0,(C5821&gt;='Resultats - informe'!$D$29)*(C5821&lt;='Resultats - informe'!$E$29),0,1,1)</f>
        <v>0</v>
      </c>
      <c r="N5821" s="366">
        <f>+VLOOKUP(D5821,'Resultats - informe'!$Y$18:$AG$42,'Introducció dades consum'!K5821+1,0)</f>
        <v>0</v>
      </c>
      <c r="O5821" s="370" cm="1">
        <f t="array" ref="O5821">+_xlfn.SWITCH(MONTH(C5821),1,1,2,1,3,1,4,2,5,2,6,3,7,3,8,3,9,3,10,2,11,2,12,1,2)</f>
        <v>1</v>
      </c>
      <c r="P5821" s="43"/>
    </row>
    <row r="5822" spans="1:16" ht="18" x14ac:dyDescent="0.35">
      <c r="A5822" s="9"/>
      <c r="C5822" s="393"/>
      <c r="E5822" s="394"/>
      <c r="F5822" s="394">
        <v>0.505</v>
      </c>
      <c r="G5822" s="394"/>
      <c r="H5822" s="8" t="s">
        <v>235</v>
      </c>
      <c r="I5822" s="368">
        <f t="shared" si="271"/>
        <v>0</v>
      </c>
      <c r="J5822" s="365">
        <f t="shared" si="273"/>
        <v>0</v>
      </c>
      <c r="K5822" s="369">
        <f t="shared" si="272"/>
        <v>6</v>
      </c>
      <c r="L5822" s="369">
        <f>+IF((C5822&gt;='Resultats - informe'!$E$16)*(C5822&lt;='Resultats - informe'!$G$16),1,0)</f>
        <v>1</v>
      </c>
      <c r="M5822" s="369" cm="1">
        <f t="array" ref="M5822">+_xlfn.IFS((C5822&gt;='Resultats - informe'!$D$26)*(C5822&lt;='Resultats - informe'!$E$26),0,(C5822&gt;='Resultats - informe'!$D$27)*(C5822&lt;='Resultats - informe'!$E$27),0,(C5822&gt;='Resultats - informe'!$D$28)*(C5822&lt;='Resultats - informe'!$E$28),0,(C5822&gt;='Resultats - informe'!$D$29)*(C5822&lt;='Resultats - informe'!$E$29),0,1,1)</f>
        <v>0</v>
      </c>
      <c r="N5822" s="366">
        <f>+VLOOKUP(D5822,'Resultats - informe'!$Y$18:$AG$42,'Introducció dades consum'!K5822+1,0)</f>
        <v>0</v>
      </c>
      <c r="O5822" s="370" cm="1">
        <f t="array" ref="O5822">+_xlfn.SWITCH(MONTH(C5822),1,1,2,1,3,1,4,2,5,2,6,3,7,3,8,3,9,3,10,2,11,2,12,1,2)</f>
        <v>1</v>
      </c>
      <c r="P5822" s="43"/>
    </row>
    <row r="5823" spans="1:16" ht="18" x14ac:dyDescent="0.35">
      <c r="A5823" s="9"/>
      <c r="C5823" s="393"/>
      <c r="E5823" s="394"/>
      <c r="F5823" s="394">
        <v>0.50600000000000001</v>
      </c>
      <c r="G5823" s="394"/>
      <c r="H5823" s="8" t="s">
        <v>235</v>
      </c>
      <c r="I5823" s="368">
        <f t="shared" si="271"/>
        <v>0</v>
      </c>
      <c r="J5823" s="365">
        <f t="shared" si="273"/>
        <v>0</v>
      </c>
      <c r="K5823" s="369">
        <f t="shared" si="272"/>
        <v>6</v>
      </c>
      <c r="L5823" s="369">
        <f>+IF((C5823&gt;='Resultats - informe'!$E$16)*(C5823&lt;='Resultats - informe'!$G$16),1,0)</f>
        <v>1</v>
      </c>
      <c r="M5823" s="369" cm="1">
        <f t="array" ref="M5823">+_xlfn.IFS((C5823&gt;='Resultats - informe'!$D$26)*(C5823&lt;='Resultats - informe'!$E$26),0,(C5823&gt;='Resultats - informe'!$D$27)*(C5823&lt;='Resultats - informe'!$E$27),0,(C5823&gt;='Resultats - informe'!$D$28)*(C5823&lt;='Resultats - informe'!$E$28),0,(C5823&gt;='Resultats - informe'!$D$29)*(C5823&lt;='Resultats - informe'!$E$29),0,1,1)</f>
        <v>0</v>
      </c>
      <c r="N5823" s="366">
        <f>+VLOOKUP(D5823,'Resultats - informe'!$Y$18:$AG$42,'Introducció dades consum'!K5823+1,0)</f>
        <v>0</v>
      </c>
      <c r="O5823" s="370" cm="1">
        <f t="array" ref="O5823">+_xlfn.SWITCH(MONTH(C5823),1,1,2,1,3,1,4,2,5,2,6,3,7,3,8,3,9,3,10,2,11,2,12,1,2)</f>
        <v>1</v>
      </c>
      <c r="P5823" s="43"/>
    </row>
    <row r="5824" spans="1:16" ht="18" x14ac:dyDescent="0.35">
      <c r="A5824" s="9"/>
      <c r="C5824" s="393"/>
      <c r="E5824" s="394"/>
      <c r="F5824" s="394">
        <v>0.50700000000000001</v>
      </c>
      <c r="G5824" s="394"/>
      <c r="H5824" s="8" t="s">
        <v>235</v>
      </c>
      <c r="I5824" s="368">
        <f t="shared" si="271"/>
        <v>0</v>
      </c>
      <c r="J5824" s="365">
        <f t="shared" si="273"/>
        <v>0</v>
      </c>
      <c r="K5824" s="369">
        <f t="shared" si="272"/>
        <v>6</v>
      </c>
      <c r="L5824" s="369">
        <f>+IF((C5824&gt;='Resultats - informe'!$E$16)*(C5824&lt;='Resultats - informe'!$G$16),1,0)</f>
        <v>1</v>
      </c>
      <c r="M5824" s="369" cm="1">
        <f t="array" ref="M5824">+_xlfn.IFS((C5824&gt;='Resultats - informe'!$D$26)*(C5824&lt;='Resultats - informe'!$E$26),0,(C5824&gt;='Resultats - informe'!$D$27)*(C5824&lt;='Resultats - informe'!$E$27),0,(C5824&gt;='Resultats - informe'!$D$28)*(C5824&lt;='Resultats - informe'!$E$28),0,(C5824&gt;='Resultats - informe'!$D$29)*(C5824&lt;='Resultats - informe'!$E$29),0,1,1)</f>
        <v>0</v>
      </c>
      <c r="N5824" s="366">
        <f>+VLOOKUP(D5824,'Resultats - informe'!$Y$18:$AG$42,'Introducció dades consum'!K5824+1,0)</f>
        <v>0</v>
      </c>
      <c r="O5824" s="370" cm="1">
        <f t="array" ref="O5824">+_xlfn.SWITCH(MONTH(C5824),1,1,2,1,3,1,4,2,5,2,6,3,7,3,8,3,9,3,10,2,11,2,12,1,2)</f>
        <v>1</v>
      </c>
      <c r="P5824" s="43"/>
    </row>
    <row r="5825" spans="1:16" ht="18" x14ac:dyDescent="0.35">
      <c r="A5825" s="9"/>
      <c r="C5825" s="393"/>
      <c r="E5825" s="394"/>
      <c r="F5825" s="394">
        <v>0.50600000000000001</v>
      </c>
      <c r="G5825" s="394"/>
      <c r="H5825" s="8" t="s">
        <v>235</v>
      </c>
      <c r="I5825" s="368">
        <f t="shared" si="271"/>
        <v>0</v>
      </c>
      <c r="J5825" s="365">
        <f t="shared" si="273"/>
        <v>0</v>
      </c>
      <c r="K5825" s="369">
        <f t="shared" si="272"/>
        <v>6</v>
      </c>
      <c r="L5825" s="369">
        <f>+IF((C5825&gt;='Resultats - informe'!$E$16)*(C5825&lt;='Resultats - informe'!$G$16),1,0)</f>
        <v>1</v>
      </c>
      <c r="M5825" s="369" cm="1">
        <f t="array" ref="M5825">+_xlfn.IFS((C5825&gt;='Resultats - informe'!$D$26)*(C5825&lt;='Resultats - informe'!$E$26),0,(C5825&gt;='Resultats - informe'!$D$27)*(C5825&lt;='Resultats - informe'!$E$27),0,(C5825&gt;='Resultats - informe'!$D$28)*(C5825&lt;='Resultats - informe'!$E$28),0,(C5825&gt;='Resultats - informe'!$D$29)*(C5825&lt;='Resultats - informe'!$E$29),0,1,1)</f>
        <v>0</v>
      </c>
      <c r="N5825" s="366">
        <f>+VLOOKUP(D5825,'Resultats - informe'!$Y$18:$AG$42,'Introducció dades consum'!K5825+1,0)</f>
        <v>0</v>
      </c>
      <c r="O5825" s="370" cm="1">
        <f t="array" ref="O5825">+_xlfn.SWITCH(MONTH(C5825),1,1,2,1,3,1,4,2,5,2,6,3,7,3,8,3,9,3,10,2,11,2,12,1,2)</f>
        <v>1</v>
      </c>
      <c r="P5825" s="43"/>
    </row>
    <row r="5826" spans="1:16" ht="18" x14ac:dyDescent="0.35">
      <c r="A5826" s="9"/>
      <c r="C5826" s="393"/>
      <c r="E5826" s="394"/>
      <c r="F5826" s="394">
        <v>0.50700000000000001</v>
      </c>
      <c r="G5826" s="394"/>
      <c r="H5826" s="8" t="s">
        <v>235</v>
      </c>
      <c r="I5826" s="368">
        <f t="shared" si="271"/>
        <v>0</v>
      </c>
      <c r="J5826" s="365">
        <f t="shared" si="273"/>
        <v>0</v>
      </c>
      <c r="K5826" s="369">
        <f t="shared" si="272"/>
        <v>6</v>
      </c>
      <c r="L5826" s="369">
        <f>+IF((C5826&gt;='Resultats - informe'!$E$16)*(C5826&lt;='Resultats - informe'!$G$16),1,0)</f>
        <v>1</v>
      </c>
      <c r="M5826" s="369" cm="1">
        <f t="array" ref="M5826">+_xlfn.IFS((C5826&gt;='Resultats - informe'!$D$26)*(C5826&lt;='Resultats - informe'!$E$26),0,(C5826&gt;='Resultats - informe'!$D$27)*(C5826&lt;='Resultats - informe'!$E$27),0,(C5826&gt;='Resultats - informe'!$D$28)*(C5826&lt;='Resultats - informe'!$E$28),0,(C5826&gt;='Resultats - informe'!$D$29)*(C5826&lt;='Resultats - informe'!$E$29),0,1,1)</f>
        <v>0</v>
      </c>
      <c r="N5826" s="366">
        <f>+VLOOKUP(D5826,'Resultats - informe'!$Y$18:$AG$42,'Introducció dades consum'!K5826+1,0)</f>
        <v>0</v>
      </c>
      <c r="O5826" s="370" cm="1">
        <f t="array" ref="O5826">+_xlfn.SWITCH(MONTH(C5826),1,1,2,1,3,1,4,2,5,2,6,3,7,3,8,3,9,3,10,2,11,2,12,1,2)</f>
        <v>1</v>
      </c>
      <c r="P5826" s="43"/>
    </row>
    <row r="5827" spans="1:16" ht="18" x14ac:dyDescent="0.35">
      <c r="A5827" s="9"/>
      <c r="C5827" s="393"/>
      <c r="E5827" s="394"/>
      <c r="F5827" s="394">
        <v>0.503</v>
      </c>
      <c r="G5827" s="394"/>
      <c r="H5827" s="8" t="s">
        <v>235</v>
      </c>
      <c r="I5827" s="368">
        <f t="shared" si="271"/>
        <v>0</v>
      </c>
      <c r="J5827" s="365">
        <f t="shared" si="273"/>
        <v>0</v>
      </c>
      <c r="K5827" s="369">
        <f t="shared" si="272"/>
        <v>6</v>
      </c>
      <c r="L5827" s="369">
        <f>+IF((C5827&gt;='Resultats - informe'!$E$16)*(C5827&lt;='Resultats - informe'!$G$16),1,0)</f>
        <v>1</v>
      </c>
      <c r="M5827" s="369" cm="1">
        <f t="array" ref="M5827">+_xlfn.IFS((C5827&gt;='Resultats - informe'!$D$26)*(C5827&lt;='Resultats - informe'!$E$26),0,(C5827&gt;='Resultats - informe'!$D$27)*(C5827&lt;='Resultats - informe'!$E$27),0,(C5827&gt;='Resultats - informe'!$D$28)*(C5827&lt;='Resultats - informe'!$E$28),0,(C5827&gt;='Resultats - informe'!$D$29)*(C5827&lt;='Resultats - informe'!$E$29),0,1,1)</f>
        <v>0</v>
      </c>
      <c r="N5827" s="366">
        <f>+VLOOKUP(D5827,'Resultats - informe'!$Y$18:$AG$42,'Introducció dades consum'!K5827+1,0)</f>
        <v>0</v>
      </c>
      <c r="O5827" s="370" cm="1">
        <f t="array" ref="O5827">+_xlfn.SWITCH(MONTH(C5827),1,1,2,1,3,1,4,2,5,2,6,3,7,3,8,3,9,3,10,2,11,2,12,1,2)</f>
        <v>1</v>
      </c>
      <c r="P5827" s="43"/>
    </row>
    <row r="5828" spans="1:16" ht="18" x14ac:dyDescent="0.35">
      <c r="A5828" s="9"/>
      <c r="C5828" s="393"/>
      <c r="E5828" s="394"/>
      <c r="F5828" s="394">
        <v>0.505</v>
      </c>
      <c r="G5828" s="394"/>
      <c r="H5828" s="8" t="s">
        <v>235</v>
      </c>
      <c r="I5828" s="368">
        <f t="shared" si="271"/>
        <v>0</v>
      </c>
      <c r="J5828" s="365">
        <f t="shared" si="273"/>
        <v>0</v>
      </c>
      <c r="K5828" s="369">
        <f t="shared" si="272"/>
        <v>6</v>
      </c>
      <c r="L5828" s="369">
        <f>+IF((C5828&gt;='Resultats - informe'!$E$16)*(C5828&lt;='Resultats - informe'!$G$16),1,0)</f>
        <v>1</v>
      </c>
      <c r="M5828" s="369" cm="1">
        <f t="array" ref="M5828">+_xlfn.IFS((C5828&gt;='Resultats - informe'!$D$26)*(C5828&lt;='Resultats - informe'!$E$26),0,(C5828&gt;='Resultats - informe'!$D$27)*(C5828&lt;='Resultats - informe'!$E$27),0,(C5828&gt;='Resultats - informe'!$D$28)*(C5828&lt;='Resultats - informe'!$E$28),0,(C5828&gt;='Resultats - informe'!$D$29)*(C5828&lt;='Resultats - informe'!$E$29),0,1,1)</f>
        <v>0</v>
      </c>
      <c r="N5828" s="366">
        <f>+VLOOKUP(D5828,'Resultats - informe'!$Y$18:$AG$42,'Introducció dades consum'!K5828+1,0)</f>
        <v>0</v>
      </c>
      <c r="O5828" s="370" cm="1">
        <f t="array" ref="O5828">+_xlfn.SWITCH(MONTH(C5828),1,1,2,1,3,1,4,2,5,2,6,3,7,3,8,3,9,3,10,2,11,2,12,1,2)</f>
        <v>1</v>
      </c>
      <c r="P5828" s="43"/>
    </row>
    <row r="5829" spans="1:16" ht="18" x14ac:dyDescent="0.35">
      <c r="A5829" s="9"/>
      <c r="C5829" s="393"/>
      <c r="E5829" s="394"/>
      <c r="F5829" s="394">
        <v>0.503</v>
      </c>
      <c r="G5829" s="394"/>
      <c r="H5829" s="8" t="s">
        <v>235</v>
      </c>
      <c r="I5829" s="368">
        <f t="shared" si="271"/>
        <v>0</v>
      </c>
      <c r="J5829" s="365">
        <f t="shared" si="273"/>
        <v>0</v>
      </c>
      <c r="K5829" s="369">
        <f t="shared" si="272"/>
        <v>6</v>
      </c>
      <c r="L5829" s="369">
        <f>+IF((C5829&gt;='Resultats - informe'!$E$16)*(C5829&lt;='Resultats - informe'!$G$16),1,0)</f>
        <v>1</v>
      </c>
      <c r="M5829" s="369" cm="1">
        <f t="array" ref="M5829">+_xlfn.IFS((C5829&gt;='Resultats - informe'!$D$26)*(C5829&lt;='Resultats - informe'!$E$26),0,(C5829&gt;='Resultats - informe'!$D$27)*(C5829&lt;='Resultats - informe'!$E$27),0,(C5829&gt;='Resultats - informe'!$D$28)*(C5829&lt;='Resultats - informe'!$E$28),0,(C5829&gt;='Resultats - informe'!$D$29)*(C5829&lt;='Resultats - informe'!$E$29),0,1,1)</f>
        <v>0</v>
      </c>
      <c r="N5829" s="366">
        <f>+VLOOKUP(D5829,'Resultats - informe'!$Y$18:$AG$42,'Introducció dades consum'!K5829+1,0)</f>
        <v>0</v>
      </c>
      <c r="O5829" s="370" cm="1">
        <f t="array" ref="O5829">+_xlfn.SWITCH(MONTH(C5829),1,1,2,1,3,1,4,2,5,2,6,3,7,3,8,3,9,3,10,2,11,2,12,1,2)</f>
        <v>1</v>
      </c>
      <c r="P5829" s="43"/>
    </row>
    <row r="5830" spans="1:16" ht="18" x14ac:dyDescent="0.35">
      <c r="A5830" s="9"/>
      <c r="C5830" s="393"/>
      <c r="E5830" s="394"/>
      <c r="F5830" s="394">
        <v>0.501</v>
      </c>
      <c r="G5830" s="394"/>
      <c r="H5830" s="8" t="s">
        <v>235</v>
      </c>
      <c r="I5830" s="368">
        <f t="shared" ref="I5830:I5835" si="274">+E5830+G5830</f>
        <v>0</v>
      </c>
      <c r="J5830" s="365">
        <f t="shared" si="273"/>
        <v>0</v>
      </c>
      <c r="K5830" s="369">
        <f t="shared" ref="K5830:K5835" si="275">+WEEKDAY(C5830,2)</f>
        <v>6</v>
      </c>
      <c r="L5830" s="369">
        <f>+IF((C5830&gt;='Resultats - informe'!$E$16)*(C5830&lt;='Resultats - informe'!$G$16),1,0)</f>
        <v>1</v>
      </c>
      <c r="M5830" s="369" cm="1">
        <f t="array" ref="M5830">+_xlfn.IFS((C5830&gt;='Resultats - informe'!$D$26)*(C5830&lt;='Resultats - informe'!$E$26),0,(C5830&gt;='Resultats - informe'!$D$27)*(C5830&lt;='Resultats - informe'!$E$27),0,(C5830&gt;='Resultats - informe'!$D$28)*(C5830&lt;='Resultats - informe'!$E$28),0,(C5830&gt;='Resultats - informe'!$D$29)*(C5830&lt;='Resultats - informe'!$E$29),0,1,1)</f>
        <v>0</v>
      </c>
      <c r="N5830" s="366">
        <f>+VLOOKUP(D5830,'Resultats - informe'!$Y$18:$AG$42,'Introducció dades consum'!K5830+1,0)</f>
        <v>0</v>
      </c>
      <c r="O5830" s="370" cm="1">
        <f t="array" ref="O5830">+_xlfn.SWITCH(MONTH(C5830),1,1,2,1,3,1,4,2,5,2,6,3,7,3,8,3,9,3,10,2,11,2,12,1,2)</f>
        <v>1</v>
      </c>
      <c r="P5830" s="43"/>
    </row>
    <row r="5831" spans="1:16" ht="18" x14ac:dyDescent="0.35">
      <c r="A5831" s="9"/>
      <c r="C5831" s="393"/>
      <c r="E5831" s="394"/>
      <c r="F5831" s="394">
        <v>0.502</v>
      </c>
      <c r="G5831" s="394"/>
      <c r="H5831" s="8" t="s">
        <v>235</v>
      </c>
      <c r="I5831" s="368">
        <f t="shared" si="274"/>
        <v>0</v>
      </c>
      <c r="J5831" s="365">
        <f t="shared" si="273"/>
        <v>0</v>
      </c>
      <c r="K5831" s="369">
        <f t="shared" si="275"/>
        <v>6</v>
      </c>
      <c r="L5831" s="369">
        <f>+IF((C5831&gt;='Resultats - informe'!$E$16)*(C5831&lt;='Resultats - informe'!$G$16),1,0)</f>
        <v>1</v>
      </c>
      <c r="M5831" s="369" cm="1">
        <f t="array" ref="M5831">+_xlfn.IFS((C5831&gt;='Resultats - informe'!$D$26)*(C5831&lt;='Resultats - informe'!$E$26),0,(C5831&gt;='Resultats - informe'!$D$27)*(C5831&lt;='Resultats - informe'!$E$27),0,(C5831&gt;='Resultats - informe'!$D$28)*(C5831&lt;='Resultats - informe'!$E$28),0,(C5831&gt;='Resultats - informe'!$D$29)*(C5831&lt;='Resultats - informe'!$E$29),0,1,1)</f>
        <v>0</v>
      </c>
      <c r="N5831" s="366">
        <f>+VLOOKUP(D5831,'Resultats - informe'!$Y$18:$AG$42,'Introducció dades consum'!K5831+1,0)</f>
        <v>0</v>
      </c>
      <c r="O5831" s="370" cm="1">
        <f t="array" ref="O5831">+_xlfn.SWITCH(MONTH(C5831),1,1,2,1,3,1,4,2,5,2,6,3,7,3,8,3,9,3,10,2,11,2,12,1,2)</f>
        <v>1</v>
      </c>
      <c r="P5831" s="43"/>
    </row>
    <row r="5832" spans="1:16" ht="18" x14ac:dyDescent="0.35">
      <c r="A5832" s="9"/>
      <c r="C5832" s="393"/>
      <c r="E5832" s="394"/>
      <c r="F5832" s="394">
        <v>0.311</v>
      </c>
      <c r="G5832" s="394"/>
      <c r="H5832" s="8" t="s">
        <v>235</v>
      </c>
      <c r="I5832" s="368">
        <f t="shared" si="274"/>
        <v>0</v>
      </c>
      <c r="J5832" s="365">
        <f t="shared" si="273"/>
        <v>0</v>
      </c>
      <c r="K5832" s="369">
        <f t="shared" si="275"/>
        <v>6</v>
      </c>
      <c r="L5832" s="369">
        <f>+IF((C5832&gt;='Resultats - informe'!$E$16)*(C5832&lt;='Resultats - informe'!$G$16),1,0)</f>
        <v>1</v>
      </c>
      <c r="M5832" s="369" cm="1">
        <f t="array" ref="M5832">+_xlfn.IFS((C5832&gt;='Resultats - informe'!$D$26)*(C5832&lt;='Resultats - informe'!$E$26),0,(C5832&gt;='Resultats - informe'!$D$27)*(C5832&lt;='Resultats - informe'!$E$27),0,(C5832&gt;='Resultats - informe'!$D$28)*(C5832&lt;='Resultats - informe'!$E$28),0,(C5832&gt;='Resultats - informe'!$D$29)*(C5832&lt;='Resultats - informe'!$E$29),0,1,1)</f>
        <v>0</v>
      </c>
      <c r="N5832" s="366">
        <f>+VLOOKUP(D5832,'Resultats - informe'!$Y$18:$AG$42,'Introducció dades consum'!K5832+1,0)</f>
        <v>0</v>
      </c>
      <c r="O5832" s="370" cm="1">
        <f t="array" ref="O5832">+_xlfn.SWITCH(MONTH(C5832),1,1,2,1,3,1,4,2,5,2,6,3,7,3,8,3,9,3,10,2,11,2,12,1,2)</f>
        <v>1</v>
      </c>
      <c r="P5832" s="43"/>
    </row>
    <row r="5833" spans="1:16" ht="18" x14ac:dyDescent="0.35">
      <c r="A5833" s="9"/>
      <c r="C5833" s="393"/>
      <c r="E5833" s="394"/>
      <c r="F5833" s="394">
        <v>1.0999999999999999E-2</v>
      </c>
      <c r="G5833" s="394"/>
      <c r="H5833" s="8" t="s">
        <v>235</v>
      </c>
      <c r="I5833" s="368">
        <f t="shared" si="274"/>
        <v>0</v>
      </c>
      <c r="J5833" s="365">
        <f t="shared" si="273"/>
        <v>0</v>
      </c>
      <c r="K5833" s="369">
        <f t="shared" si="275"/>
        <v>6</v>
      </c>
      <c r="L5833" s="369">
        <f>+IF((C5833&gt;='Resultats - informe'!$E$16)*(C5833&lt;='Resultats - informe'!$G$16),1,0)</f>
        <v>1</v>
      </c>
      <c r="M5833" s="369" cm="1">
        <f t="array" ref="M5833">+_xlfn.IFS((C5833&gt;='Resultats - informe'!$D$26)*(C5833&lt;='Resultats - informe'!$E$26),0,(C5833&gt;='Resultats - informe'!$D$27)*(C5833&lt;='Resultats - informe'!$E$27),0,(C5833&gt;='Resultats - informe'!$D$28)*(C5833&lt;='Resultats - informe'!$E$28),0,(C5833&gt;='Resultats - informe'!$D$29)*(C5833&lt;='Resultats - informe'!$E$29),0,1,1)</f>
        <v>0</v>
      </c>
      <c r="N5833" s="366">
        <f>+VLOOKUP(D5833,'Resultats - informe'!$Y$18:$AG$42,'Introducció dades consum'!K5833+1,0)</f>
        <v>0</v>
      </c>
      <c r="O5833" s="370" cm="1">
        <f t="array" ref="O5833">+_xlfn.SWITCH(MONTH(C5833),1,1,2,1,3,1,4,2,5,2,6,3,7,3,8,3,9,3,10,2,11,2,12,1,2)</f>
        <v>1</v>
      </c>
      <c r="P5833" s="43"/>
    </row>
    <row r="5834" spans="1:16" ht="18" x14ac:dyDescent="0.35">
      <c r="A5834" s="9"/>
      <c r="C5834" s="393"/>
      <c r="E5834" s="394"/>
      <c r="F5834" s="394">
        <v>1.7999999999999999E-2</v>
      </c>
      <c r="G5834" s="394"/>
      <c r="H5834" s="8" t="s">
        <v>235</v>
      </c>
      <c r="I5834" s="368">
        <f t="shared" si="274"/>
        <v>0</v>
      </c>
      <c r="J5834" s="365">
        <f t="shared" si="273"/>
        <v>0</v>
      </c>
      <c r="K5834" s="369">
        <f t="shared" si="275"/>
        <v>6</v>
      </c>
      <c r="L5834" s="369">
        <f>+IF((C5834&gt;='Resultats - informe'!$E$16)*(C5834&lt;='Resultats - informe'!$G$16),1,0)</f>
        <v>1</v>
      </c>
      <c r="M5834" s="369" cm="1">
        <f t="array" ref="M5834">+_xlfn.IFS((C5834&gt;='Resultats - informe'!$D$26)*(C5834&lt;='Resultats - informe'!$E$26),0,(C5834&gt;='Resultats - informe'!$D$27)*(C5834&lt;='Resultats - informe'!$E$27),0,(C5834&gt;='Resultats - informe'!$D$28)*(C5834&lt;='Resultats - informe'!$E$28),0,(C5834&gt;='Resultats - informe'!$D$29)*(C5834&lt;='Resultats - informe'!$E$29),0,1,1)</f>
        <v>0</v>
      </c>
      <c r="N5834" s="366">
        <f>+VLOOKUP(D5834,'Resultats - informe'!$Y$18:$AG$42,'Introducció dades consum'!K5834+1,0)</f>
        <v>0</v>
      </c>
      <c r="O5834" s="370" cm="1">
        <f t="array" ref="O5834">+_xlfn.SWITCH(MONTH(C5834),1,1,2,1,3,1,4,2,5,2,6,3,7,3,8,3,9,3,10,2,11,2,12,1,2)</f>
        <v>1</v>
      </c>
      <c r="P5834" s="43"/>
    </row>
    <row r="5835" spans="1:16" ht="18" x14ac:dyDescent="0.35">
      <c r="A5835" s="9"/>
      <c r="C5835" s="393"/>
      <c r="E5835" s="394"/>
      <c r="F5835" s="394">
        <v>1.9E-2</v>
      </c>
      <c r="G5835" s="394"/>
      <c r="H5835" s="8" t="s">
        <v>235</v>
      </c>
      <c r="I5835" s="368">
        <f t="shared" si="274"/>
        <v>0</v>
      </c>
      <c r="J5835" s="365">
        <f t="shared" si="273"/>
        <v>0</v>
      </c>
      <c r="K5835" s="369">
        <f t="shared" si="275"/>
        <v>6</v>
      </c>
      <c r="L5835" s="369">
        <f>+IF((C5835&gt;='Resultats - informe'!$E$16)*(C5835&lt;='Resultats - informe'!$G$16),1,0)</f>
        <v>1</v>
      </c>
      <c r="M5835" s="369" cm="1">
        <f t="array" ref="M5835">+_xlfn.IFS((C5835&gt;='Resultats - informe'!$D$26)*(C5835&lt;='Resultats - informe'!$E$26),0,(C5835&gt;='Resultats - informe'!$D$27)*(C5835&lt;='Resultats - informe'!$E$27),0,(C5835&gt;='Resultats - informe'!$D$28)*(C5835&lt;='Resultats - informe'!$E$28),0,(C5835&gt;='Resultats - informe'!$D$29)*(C5835&lt;='Resultats - informe'!$E$29),0,1,1)</f>
        <v>0</v>
      </c>
      <c r="N5835" s="366">
        <f>+VLOOKUP(D5835,'Resultats - informe'!$Y$18:$AG$42,'Introducció dades consum'!K5835+1,0)</f>
        <v>0</v>
      </c>
      <c r="O5835" s="370" cm="1">
        <f t="array" ref="O5835">+_xlfn.SWITCH(MONTH(C5835),1,1,2,1,3,1,4,2,5,2,6,3,7,3,8,3,9,3,10,2,11,2,12,1,2)</f>
        <v>1</v>
      </c>
      <c r="P5835" s="43"/>
    </row>
    <row r="5836" spans="1:16" ht="18" x14ac:dyDescent="0.35">
      <c r="A5836" s="9"/>
      <c r="C5836" s="393"/>
      <c r="E5836" s="394"/>
      <c r="F5836" s="394"/>
      <c r="G5836" s="394"/>
      <c r="I5836" s="368">
        <f t="shared" ref="I5836:I5841" si="276">+E5836+G5836</f>
        <v>0</v>
      </c>
      <c r="J5836" s="365">
        <f t="shared" ref="J5836:J5841" si="277">+C5836</f>
        <v>0</v>
      </c>
      <c r="K5836" s="369">
        <f t="shared" ref="K5836:K5841" si="278">+WEEKDAY(C5836,2)</f>
        <v>6</v>
      </c>
      <c r="L5836" s="369">
        <f>+IF((C5836&gt;='Resultats - informe'!$E$16)*(C5836&lt;='Resultats - informe'!$G$16),1,0)</f>
        <v>1</v>
      </c>
      <c r="M5836" s="369" cm="1">
        <f t="array" ref="M5836">+_xlfn.IFS((C5836&gt;='Resultats - informe'!$D$26)*(C5836&lt;='Resultats - informe'!$E$26),0,(C5836&gt;='Resultats - informe'!$D$27)*(C5836&lt;='Resultats - informe'!$E$27),0,(C5836&gt;='Resultats - informe'!$D$28)*(C5836&lt;='Resultats - informe'!$E$28),0,(C5836&gt;='Resultats - informe'!$D$29)*(C5836&lt;='Resultats - informe'!$E$29),0,1,1)</f>
        <v>0</v>
      </c>
      <c r="N5836" s="366">
        <f>+VLOOKUP(D5836,'Resultats - informe'!$Y$18:$AG$42,'Introducció dades consum'!K5836+1,0)</f>
        <v>0</v>
      </c>
      <c r="O5836" s="370" cm="1">
        <f t="array" ref="O5836">+_xlfn.SWITCH(MONTH(C5836),1,1,2,1,3,1,4,2,5,2,6,3,7,3,8,3,9,3,10,2,11,2,12,1,2)</f>
        <v>1</v>
      </c>
      <c r="P5836" s="43"/>
    </row>
    <row r="5837" spans="1:16" ht="18" x14ac:dyDescent="0.35">
      <c r="A5837" s="9"/>
      <c r="C5837" s="393"/>
      <c r="E5837" s="394"/>
      <c r="F5837" s="394"/>
      <c r="G5837" s="394"/>
      <c r="I5837" s="368">
        <f t="shared" si="276"/>
        <v>0</v>
      </c>
      <c r="J5837" s="365">
        <f t="shared" si="277"/>
        <v>0</v>
      </c>
      <c r="K5837" s="369">
        <f t="shared" si="278"/>
        <v>6</v>
      </c>
      <c r="L5837" s="369">
        <f>+IF((C5837&gt;='Resultats - informe'!$E$16)*(C5837&lt;='Resultats - informe'!$G$16),1,0)</f>
        <v>1</v>
      </c>
      <c r="M5837" s="369" cm="1">
        <f t="array" ref="M5837">+_xlfn.IFS((C5837&gt;='Resultats - informe'!$D$26)*(C5837&lt;='Resultats - informe'!$E$26),0,(C5837&gt;='Resultats - informe'!$D$27)*(C5837&lt;='Resultats - informe'!$E$27),0,(C5837&gt;='Resultats - informe'!$D$28)*(C5837&lt;='Resultats - informe'!$E$28),0,(C5837&gt;='Resultats - informe'!$D$29)*(C5837&lt;='Resultats - informe'!$E$29),0,1,1)</f>
        <v>0</v>
      </c>
      <c r="N5837" s="366">
        <f>+VLOOKUP(D5837,'Resultats - informe'!$Y$18:$AG$42,'Introducció dades consum'!K5837+1,0)</f>
        <v>0</v>
      </c>
      <c r="O5837" s="370" cm="1">
        <f t="array" ref="O5837">+_xlfn.SWITCH(MONTH(C5837),1,1,2,1,3,1,4,2,5,2,6,3,7,3,8,3,9,3,10,2,11,2,12,1,2)</f>
        <v>1</v>
      </c>
      <c r="P5837" s="43"/>
    </row>
    <row r="5838" spans="1:16" ht="18" x14ac:dyDescent="0.35">
      <c r="A5838" s="9"/>
      <c r="C5838" s="393"/>
      <c r="E5838" s="394"/>
      <c r="F5838" s="394"/>
      <c r="G5838" s="394"/>
      <c r="I5838" s="368">
        <f t="shared" si="276"/>
        <v>0</v>
      </c>
      <c r="J5838" s="365">
        <f t="shared" si="277"/>
        <v>0</v>
      </c>
      <c r="K5838" s="369">
        <f t="shared" si="278"/>
        <v>6</v>
      </c>
      <c r="L5838" s="369">
        <f>+IF((C5838&gt;='Resultats - informe'!$E$16)*(C5838&lt;='Resultats - informe'!$G$16),1,0)</f>
        <v>1</v>
      </c>
      <c r="M5838" s="369" cm="1">
        <f t="array" ref="M5838">+_xlfn.IFS((C5838&gt;='Resultats - informe'!$D$26)*(C5838&lt;='Resultats - informe'!$E$26),0,(C5838&gt;='Resultats - informe'!$D$27)*(C5838&lt;='Resultats - informe'!$E$27),0,(C5838&gt;='Resultats - informe'!$D$28)*(C5838&lt;='Resultats - informe'!$E$28),0,(C5838&gt;='Resultats - informe'!$D$29)*(C5838&lt;='Resultats - informe'!$E$29),0,1,1)</f>
        <v>0</v>
      </c>
      <c r="N5838" s="366">
        <f>+VLOOKUP(D5838,'Resultats - informe'!$Y$18:$AG$42,'Introducció dades consum'!K5838+1,0)</f>
        <v>0</v>
      </c>
      <c r="O5838" s="370" cm="1">
        <f t="array" ref="O5838">+_xlfn.SWITCH(MONTH(C5838),1,1,2,1,3,1,4,2,5,2,6,3,7,3,8,3,9,3,10,2,11,2,12,1,2)</f>
        <v>1</v>
      </c>
      <c r="P5838" s="43"/>
    </row>
    <row r="5839" spans="1:16" ht="18" x14ac:dyDescent="0.35">
      <c r="A5839" s="9"/>
      <c r="C5839" s="393"/>
      <c r="E5839" s="394"/>
      <c r="F5839" s="394"/>
      <c r="G5839" s="394"/>
      <c r="I5839" s="368">
        <f t="shared" si="276"/>
        <v>0</v>
      </c>
      <c r="J5839" s="365">
        <f t="shared" si="277"/>
        <v>0</v>
      </c>
      <c r="K5839" s="369">
        <f t="shared" si="278"/>
        <v>6</v>
      </c>
      <c r="L5839" s="369">
        <f>+IF((C5839&gt;='Resultats - informe'!$E$16)*(C5839&lt;='Resultats - informe'!$G$16),1,0)</f>
        <v>1</v>
      </c>
      <c r="M5839" s="369" cm="1">
        <f t="array" ref="M5839">+_xlfn.IFS((C5839&gt;='Resultats - informe'!$D$26)*(C5839&lt;='Resultats - informe'!$E$26),0,(C5839&gt;='Resultats - informe'!$D$27)*(C5839&lt;='Resultats - informe'!$E$27),0,(C5839&gt;='Resultats - informe'!$D$28)*(C5839&lt;='Resultats - informe'!$E$28),0,(C5839&gt;='Resultats - informe'!$D$29)*(C5839&lt;='Resultats - informe'!$E$29),0,1,1)</f>
        <v>0</v>
      </c>
      <c r="N5839" s="366">
        <f>+VLOOKUP(D5839,'Resultats - informe'!$Y$18:$AG$42,'Introducció dades consum'!K5839+1,0)</f>
        <v>0</v>
      </c>
      <c r="O5839" s="370" cm="1">
        <f t="array" ref="O5839">+_xlfn.SWITCH(MONTH(C5839),1,1,2,1,3,1,4,2,5,2,6,3,7,3,8,3,9,3,10,2,11,2,12,1,2)</f>
        <v>1</v>
      </c>
      <c r="P5839" s="43"/>
    </row>
    <row r="5840" spans="1:16" ht="18" x14ac:dyDescent="0.35">
      <c r="A5840" s="9"/>
      <c r="C5840" s="393"/>
      <c r="E5840" s="394"/>
      <c r="F5840" s="394"/>
      <c r="G5840" s="394"/>
      <c r="I5840" s="368">
        <f t="shared" si="276"/>
        <v>0</v>
      </c>
      <c r="J5840" s="365">
        <f t="shared" si="277"/>
        <v>0</v>
      </c>
      <c r="K5840" s="369">
        <f t="shared" si="278"/>
        <v>6</v>
      </c>
      <c r="L5840" s="369">
        <f>+IF((C5840&gt;='Resultats - informe'!$E$16)*(C5840&lt;='Resultats - informe'!$G$16),1,0)</f>
        <v>1</v>
      </c>
      <c r="M5840" s="369" cm="1">
        <f t="array" ref="M5840">+_xlfn.IFS((C5840&gt;='Resultats - informe'!$D$26)*(C5840&lt;='Resultats - informe'!$E$26),0,(C5840&gt;='Resultats - informe'!$D$27)*(C5840&lt;='Resultats - informe'!$E$27),0,(C5840&gt;='Resultats - informe'!$D$28)*(C5840&lt;='Resultats - informe'!$E$28),0,(C5840&gt;='Resultats - informe'!$D$29)*(C5840&lt;='Resultats - informe'!$E$29),0,1,1)</f>
        <v>0</v>
      </c>
      <c r="N5840" s="366">
        <f>+VLOOKUP(D5840,'Resultats - informe'!$Y$18:$AG$42,'Introducció dades consum'!K5840+1,0)</f>
        <v>0</v>
      </c>
      <c r="O5840" s="370" cm="1">
        <f t="array" ref="O5840">+_xlfn.SWITCH(MONTH(C5840),1,1,2,1,3,1,4,2,5,2,6,3,7,3,8,3,9,3,10,2,11,2,12,1,2)</f>
        <v>1</v>
      </c>
      <c r="P5840" s="43"/>
    </row>
    <row r="5841" spans="1:16" ht="18" x14ac:dyDescent="0.35">
      <c r="A5841" s="9"/>
      <c r="C5841" s="393"/>
      <c r="E5841" s="394"/>
      <c r="F5841" s="394"/>
      <c r="G5841" s="394"/>
      <c r="I5841" s="368">
        <f t="shared" si="276"/>
        <v>0</v>
      </c>
      <c r="J5841" s="365">
        <f t="shared" si="277"/>
        <v>0</v>
      </c>
      <c r="K5841" s="369">
        <f t="shared" si="278"/>
        <v>6</v>
      </c>
      <c r="L5841" s="369">
        <f>+IF((C5841&gt;='Resultats - informe'!$E$16)*(C5841&lt;='Resultats - informe'!$G$16),1,0)</f>
        <v>1</v>
      </c>
      <c r="M5841" s="369" cm="1">
        <f t="array" ref="M5841">+_xlfn.IFS((C5841&gt;='Resultats - informe'!$D$26)*(C5841&lt;='Resultats - informe'!$E$26),0,(C5841&gt;='Resultats - informe'!$D$27)*(C5841&lt;='Resultats - informe'!$E$27),0,(C5841&gt;='Resultats - informe'!$D$28)*(C5841&lt;='Resultats - informe'!$E$28),0,(C5841&gt;='Resultats - informe'!$D$29)*(C5841&lt;='Resultats - informe'!$E$29),0,1,1)</f>
        <v>0</v>
      </c>
      <c r="N5841" s="366">
        <f>+VLOOKUP(D5841,'Resultats - informe'!$Y$18:$AG$42,'Introducció dades consum'!K5841+1,0)</f>
        <v>0</v>
      </c>
      <c r="O5841" s="370" cm="1">
        <f t="array" ref="O5841">+_xlfn.SWITCH(MONTH(C5841),1,1,2,1,3,1,4,2,5,2,6,3,7,3,8,3,9,3,10,2,11,2,12,1,2)</f>
        <v>1</v>
      </c>
      <c r="P5841" s="43"/>
    </row>
    <row r="5842" spans="1:16" ht="18" x14ac:dyDescent="0.35">
      <c r="A5842" s="9"/>
      <c r="C5842" s="393"/>
      <c r="E5842" s="394"/>
      <c r="F5842" s="394"/>
      <c r="G5842" s="394"/>
      <c r="I5842" s="368">
        <f t="shared" ref="I5842:I5905" si="279">+E5842+G5842</f>
        <v>0</v>
      </c>
      <c r="J5842" s="365">
        <f t="shared" ref="J5842:J5905" si="280">+C5842</f>
        <v>0</v>
      </c>
      <c r="K5842" s="369">
        <f t="shared" ref="K5842:K5905" si="281">+WEEKDAY(C5842,2)</f>
        <v>6</v>
      </c>
      <c r="L5842" s="369">
        <f>+IF((C5842&gt;='Resultats - informe'!$E$16)*(C5842&lt;='Resultats - informe'!$G$16),1,0)</f>
        <v>1</v>
      </c>
      <c r="M5842" s="369" cm="1">
        <f t="array" ref="M5842">+_xlfn.IFS((C5842&gt;='Resultats - informe'!$D$26)*(C5842&lt;='Resultats - informe'!$E$26),0,(C5842&gt;='Resultats - informe'!$D$27)*(C5842&lt;='Resultats - informe'!$E$27),0,(C5842&gt;='Resultats - informe'!$D$28)*(C5842&lt;='Resultats - informe'!$E$28),0,(C5842&gt;='Resultats - informe'!$D$29)*(C5842&lt;='Resultats - informe'!$E$29),0,1,1)</f>
        <v>0</v>
      </c>
      <c r="N5842" s="366">
        <f>+VLOOKUP(D5842,'Resultats - informe'!$Y$18:$AG$42,'Introducció dades consum'!K5842+1,0)</f>
        <v>0</v>
      </c>
      <c r="O5842" s="370" cm="1">
        <f t="array" ref="O5842">+_xlfn.SWITCH(MONTH(C5842),1,1,2,1,3,1,4,2,5,2,6,3,7,3,8,3,9,3,10,2,11,2,12,1,2)</f>
        <v>1</v>
      </c>
      <c r="P5842" s="43"/>
    </row>
    <row r="5843" spans="1:16" ht="18" x14ac:dyDescent="0.35">
      <c r="A5843" s="9"/>
      <c r="C5843" s="393"/>
      <c r="E5843" s="394"/>
      <c r="F5843" s="394"/>
      <c r="G5843" s="394"/>
      <c r="I5843" s="368">
        <f t="shared" si="279"/>
        <v>0</v>
      </c>
      <c r="J5843" s="365">
        <f t="shared" si="280"/>
        <v>0</v>
      </c>
      <c r="K5843" s="369">
        <f t="shared" si="281"/>
        <v>6</v>
      </c>
      <c r="L5843" s="369">
        <f>+IF((C5843&gt;='Resultats - informe'!$E$16)*(C5843&lt;='Resultats - informe'!$G$16),1,0)</f>
        <v>1</v>
      </c>
      <c r="M5843" s="369" cm="1">
        <f t="array" ref="M5843">+_xlfn.IFS((C5843&gt;='Resultats - informe'!$D$26)*(C5843&lt;='Resultats - informe'!$E$26),0,(C5843&gt;='Resultats - informe'!$D$27)*(C5843&lt;='Resultats - informe'!$E$27),0,(C5843&gt;='Resultats - informe'!$D$28)*(C5843&lt;='Resultats - informe'!$E$28),0,(C5843&gt;='Resultats - informe'!$D$29)*(C5843&lt;='Resultats - informe'!$E$29),0,1,1)</f>
        <v>0</v>
      </c>
      <c r="N5843" s="366">
        <f>+VLOOKUP(D5843,'Resultats - informe'!$Y$18:$AG$42,'Introducció dades consum'!K5843+1,0)</f>
        <v>0</v>
      </c>
      <c r="O5843" s="370" cm="1">
        <f t="array" ref="O5843">+_xlfn.SWITCH(MONTH(C5843),1,1,2,1,3,1,4,2,5,2,6,3,7,3,8,3,9,3,10,2,11,2,12,1,2)</f>
        <v>1</v>
      </c>
      <c r="P5843" s="43"/>
    </row>
    <row r="5844" spans="1:16" ht="18" x14ac:dyDescent="0.35">
      <c r="A5844" s="9"/>
      <c r="C5844" s="393"/>
      <c r="E5844" s="394"/>
      <c r="F5844" s="394"/>
      <c r="G5844" s="394"/>
      <c r="I5844" s="368">
        <f t="shared" si="279"/>
        <v>0</v>
      </c>
      <c r="J5844" s="365">
        <f t="shared" si="280"/>
        <v>0</v>
      </c>
      <c r="K5844" s="369">
        <f t="shared" si="281"/>
        <v>6</v>
      </c>
      <c r="L5844" s="369">
        <f>+IF((C5844&gt;='Resultats - informe'!$E$16)*(C5844&lt;='Resultats - informe'!$G$16),1,0)</f>
        <v>1</v>
      </c>
      <c r="M5844" s="369" cm="1">
        <f t="array" ref="M5844">+_xlfn.IFS((C5844&gt;='Resultats - informe'!$D$26)*(C5844&lt;='Resultats - informe'!$E$26),0,(C5844&gt;='Resultats - informe'!$D$27)*(C5844&lt;='Resultats - informe'!$E$27),0,(C5844&gt;='Resultats - informe'!$D$28)*(C5844&lt;='Resultats - informe'!$E$28),0,(C5844&gt;='Resultats - informe'!$D$29)*(C5844&lt;='Resultats - informe'!$E$29),0,1,1)</f>
        <v>0</v>
      </c>
      <c r="N5844" s="366">
        <f>+VLOOKUP(D5844,'Resultats - informe'!$Y$18:$AG$42,'Introducció dades consum'!K5844+1,0)</f>
        <v>0</v>
      </c>
      <c r="O5844" s="370" cm="1">
        <f t="array" ref="O5844">+_xlfn.SWITCH(MONTH(C5844),1,1,2,1,3,1,4,2,5,2,6,3,7,3,8,3,9,3,10,2,11,2,12,1,2)</f>
        <v>1</v>
      </c>
      <c r="P5844" s="43"/>
    </row>
    <row r="5845" spans="1:16" ht="18" x14ac:dyDescent="0.35">
      <c r="A5845" s="9"/>
      <c r="C5845" s="393"/>
      <c r="E5845" s="394"/>
      <c r="F5845" s="394"/>
      <c r="G5845" s="394"/>
      <c r="I5845" s="368">
        <f t="shared" si="279"/>
        <v>0</v>
      </c>
      <c r="J5845" s="365">
        <f t="shared" si="280"/>
        <v>0</v>
      </c>
      <c r="K5845" s="369">
        <f t="shared" si="281"/>
        <v>6</v>
      </c>
      <c r="L5845" s="369">
        <f>+IF((C5845&gt;='Resultats - informe'!$E$16)*(C5845&lt;='Resultats - informe'!$G$16),1,0)</f>
        <v>1</v>
      </c>
      <c r="M5845" s="369" cm="1">
        <f t="array" ref="M5845">+_xlfn.IFS((C5845&gt;='Resultats - informe'!$D$26)*(C5845&lt;='Resultats - informe'!$E$26),0,(C5845&gt;='Resultats - informe'!$D$27)*(C5845&lt;='Resultats - informe'!$E$27),0,(C5845&gt;='Resultats - informe'!$D$28)*(C5845&lt;='Resultats - informe'!$E$28),0,(C5845&gt;='Resultats - informe'!$D$29)*(C5845&lt;='Resultats - informe'!$E$29),0,1,1)</f>
        <v>0</v>
      </c>
      <c r="N5845" s="366">
        <f>+VLOOKUP(D5845,'Resultats - informe'!$Y$18:$AG$42,'Introducció dades consum'!K5845+1,0)</f>
        <v>0</v>
      </c>
      <c r="O5845" s="370" cm="1">
        <f t="array" ref="O5845">+_xlfn.SWITCH(MONTH(C5845),1,1,2,1,3,1,4,2,5,2,6,3,7,3,8,3,9,3,10,2,11,2,12,1,2)</f>
        <v>1</v>
      </c>
      <c r="P5845" s="43"/>
    </row>
    <row r="5846" spans="1:16" ht="18" x14ac:dyDescent="0.35">
      <c r="A5846" s="9"/>
      <c r="C5846" s="393"/>
      <c r="E5846" s="394"/>
      <c r="F5846" s="394"/>
      <c r="G5846" s="394"/>
      <c r="I5846" s="368">
        <f t="shared" si="279"/>
        <v>0</v>
      </c>
      <c r="J5846" s="365">
        <f t="shared" si="280"/>
        <v>0</v>
      </c>
      <c r="K5846" s="369">
        <f t="shared" si="281"/>
        <v>6</v>
      </c>
      <c r="L5846" s="369">
        <f>+IF((C5846&gt;='Resultats - informe'!$E$16)*(C5846&lt;='Resultats - informe'!$G$16),1,0)</f>
        <v>1</v>
      </c>
      <c r="M5846" s="369" cm="1">
        <f t="array" ref="M5846">+_xlfn.IFS((C5846&gt;='Resultats - informe'!$D$26)*(C5846&lt;='Resultats - informe'!$E$26),0,(C5846&gt;='Resultats - informe'!$D$27)*(C5846&lt;='Resultats - informe'!$E$27),0,(C5846&gt;='Resultats - informe'!$D$28)*(C5846&lt;='Resultats - informe'!$E$28),0,(C5846&gt;='Resultats - informe'!$D$29)*(C5846&lt;='Resultats - informe'!$E$29),0,1,1)</f>
        <v>0</v>
      </c>
      <c r="N5846" s="366">
        <f>+VLOOKUP(D5846,'Resultats - informe'!$Y$18:$AG$42,'Introducció dades consum'!K5846+1,0)</f>
        <v>0</v>
      </c>
      <c r="O5846" s="370" cm="1">
        <f t="array" ref="O5846">+_xlfn.SWITCH(MONTH(C5846),1,1,2,1,3,1,4,2,5,2,6,3,7,3,8,3,9,3,10,2,11,2,12,1,2)</f>
        <v>1</v>
      </c>
      <c r="P5846" s="43"/>
    </row>
    <row r="5847" spans="1:16" ht="18" x14ac:dyDescent="0.35">
      <c r="A5847" s="9"/>
      <c r="C5847" s="393"/>
      <c r="E5847" s="394"/>
      <c r="F5847" s="394"/>
      <c r="G5847" s="394"/>
      <c r="I5847" s="368">
        <f t="shared" si="279"/>
        <v>0</v>
      </c>
      <c r="J5847" s="365">
        <f t="shared" si="280"/>
        <v>0</v>
      </c>
      <c r="K5847" s="369">
        <f t="shared" si="281"/>
        <v>6</v>
      </c>
      <c r="L5847" s="369">
        <f>+IF((C5847&gt;='Resultats - informe'!$E$16)*(C5847&lt;='Resultats - informe'!$G$16),1,0)</f>
        <v>1</v>
      </c>
      <c r="M5847" s="369" cm="1">
        <f t="array" ref="M5847">+_xlfn.IFS((C5847&gt;='Resultats - informe'!$D$26)*(C5847&lt;='Resultats - informe'!$E$26),0,(C5847&gt;='Resultats - informe'!$D$27)*(C5847&lt;='Resultats - informe'!$E$27),0,(C5847&gt;='Resultats - informe'!$D$28)*(C5847&lt;='Resultats - informe'!$E$28),0,(C5847&gt;='Resultats - informe'!$D$29)*(C5847&lt;='Resultats - informe'!$E$29),0,1,1)</f>
        <v>0</v>
      </c>
      <c r="N5847" s="366">
        <f>+VLOOKUP(D5847,'Resultats - informe'!$Y$18:$AG$42,'Introducció dades consum'!K5847+1,0)</f>
        <v>0</v>
      </c>
      <c r="O5847" s="370" cm="1">
        <f t="array" ref="O5847">+_xlfn.SWITCH(MONTH(C5847),1,1,2,1,3,1,4,2,5,2,6,3,7,3,8,3,9,3,10,2,11,2,12,1,2)</f>
        <v>1</v>
      </c>
      <c r="P5847" s="43"/>
    </row>
    <row r="5848" spans="1:16" ht="18" x14ac:dyDescent="0.35">
      <c r="A5848" s="9"/>
      <c r="C5848" s="393"/>
      <c r="E5848" s="394"/>
      <c r="F5848" s="394"/>
      <c r="G5848" s="394"/>
      <c r="I5848" s="368">
        <f t="shared" si="279"/>
        <v>0</v>
      </c>
      <c r="J5848" s="365">
        <f t="shared" si="280"/>
        <v>0</v>
      </c>
      <c r="K5848" s="369">
        <f t="shared" si="281"/>
        <v>6</v>
      </c>
      <c r="L5848" s="369">
        <f>+IF((C5848&gt;='Resultats - informe'!$E$16)*(C5848&lt;='Resultats - informe'!$G$16),1,0)</f>
        <v>1</v>
      </c>
      <c r="M5848" s="369" cm="1">
        <f t="array" ref="M5848">+_xlfn.IFS((C5848&gt;='Resultats - informe'!$D$26)*(C5848&lt;='Resultats - informe'!$E$26),0,(C5848&gt;='Resultats - informe'!$D$27)*(C5848&lt;='Resultats - informe'!$E$27),0,(C5848&gt;='Resultats - informe'!$D$28)*(C5848&lt;='Resultats - informe'!$E$28),0,(C5848&gt;='Resultats - informe'!$D$29)*(C5848&lt;='Resultats - informe'!$E$29),0,1,1)</f>
        <v>0</v>
      </c>
      <c r="N5848" s="366">
        <f>+VLOOKUP(D5848,'Resultats - informe'!$Y$18:$AG$42,'Introducció dades consum'!K5848+1,0)</f>
        <v>0</v>
      </c>
      <c r="O5848" s="370" cm="1">
        <f t="array" ref="O5848">+_xlfn.SWITCH(MONTH(C5848),1,1,2,1,3,1,4,2,5,2,6,3,7,3,8,3,9,3,10,2,11,2,12,1,2)</f>
        <v>1</v>
      </c>
      <c r="P5848" s="43"/>
    </row>
    <row r="5849" spans="1:16" ht="18" x14ac:dyDescent="0.35">
      <c r="A5849" s="9"/>
      <c r="C5849" s="393"/>
      <c r="E5849" s="394"/>
      <c r="F5849" s="394"/>
      <c r="G5849" s="394"/>
      <c r="I5849" s="368">
        <f t="shared" si="279"/>
        <v>0</v>
      </c>
      <c r="J5849" s="365">
        <f t="shared" si="280"/>
        <v>0</v>
      </c>
      <c r="K5849" s="369">
        <f t="shared" si="281"/>
        <v>6</v>
      </c>
      <c r="L5849" s="369">
        <f>+IF((C5849&gt;='Resultats - informe'!$E$16)*(C5849&lt;='Resultats - informe'!$G$16),1,0)</f>
        <v>1</v>
      </c>
      <c r="M5849" s="369" cm="1">
        <f t="array" ref="M5849">+_xlfn.IFS((C5849&gt;='Resultats - informe'!$D$26)*(C5849&lt;='Resultats - informe'!$E$26),0,(C5849&gt;='Resultats - informe'!$D$27)*(C5849&lt;='Resultats - informe'!$E$27),0,(C5849&gt;='Resultats - informe'!$D$28)*(C5849&lt;='Resultats - informe'!$E$28),0,(C5849&gt;='Resultats - informe'!$D$29)*(C5849&lt;='Resultats - informe'!$E$29),0,1,1)</f>
        <v>0</v>
      </c>
      <c r="N5849" s="366">
        <f>+VLOOKUP(D5849,'Resultats - informe'!$Y$18:$AG$42,'Introducció dades consum'!K5849+1,0)</f>
        <v>0</v>
      </c>
      <c r="O5849" s="370" cm="1">
        <f t="array" ref="O5849">+_xlfn.SWITCH(MONTH(C5849),1,1,2,1,3,1,4,2,5,2,6,3,7,3,8,3,9,3,10,2,11,2,12,1,2)</f>
        <v>1</v>
      </c>
      <c r="P5849" s="43"/>
    </row>
    <row r="5850" spans="1:16" ht="18" x14ac:dyDescent="0.35">
      <c r="A5850" s="9"/>
      <c r="C5850" s="393"/>
      <c r="E5850" s="394"/>
      <c r="F5850" s="394"/>
      <c r="G5850" s="394"/>
      <c r="I5850" s="368">
        <f t="shared" si="279"/>
        <v>0</v>
      </c>
      <c r="J5850" s="365">
        <f t="shared" si="280"/>
        <v>0</v>
      </c>
      <c r="K5850" s="369">
        <f t="shared" si="281"/>
        <v>6</v>
      </c>
      <c r="L5850" s="369">
        <f>+IF((C5850&gt;='Resultats - informe'!$E$16)*(C5850&lt;='Resultats - informe'!$G$16),1,0)</f>
        <v>1</v>
      </c>
      <c r="M5850" s="369" cm="1">
        <f t="array" ref="M5850">+_xlfn.IFS((C5850&gt;='Resultats - informe'!$D$26)*(C5850&lt;='Resultats - informe'!$E$26),0,(C5850&gt;='Resultats - informe'!$D$27)*(C5850&lt;='Resultats - informe'!$E$27),0,(C5850&gt;='Resultats - informe'!$D$28)*(C5850&lt;='Resultats - informe'!$E$28),0,(C5850&gt;='Resultats - informe'!$D$29)*(C5850&lt;='Resultats - informe'!$E$29),0,1,1)</f>
        <v>0</v>
      </c>
      <c r="N5850" s="366">
        <f>+VLOOKUP(D5850,'Resultats - informe'!$Y$18:$AG$42,'Introducció dades consum'!K5850+1,0)</f>
        <v>0</v>
      </c>
      <c r="O5850" s="370" cm="1">
        <f t="array" ref="O5850">+_xlfn.SWITCH(MONTH(C5850),1,1,2,1,3,1,4,2,5,2,6,3,7,3,8,3,9,3,10,2,11,2,12,1,2)</f>
        <v>1</v>
      </c>
      <c r="P5850" s="43"/>
    </row>
    <row r="5851" spans="1:16" ht="18" x14ac:dyDescent="0.35">
      <c r="A5851" s="9"/>
      <c r="C5851" s="393"/>
      <c r="E5851" s="394"/>
      <c r="F5851" s="394"/>
      <c r="G5851" s="394"/>
      <c r="I5851" s="368">
        <f t="shared" si="279"/>
        <v>0</v>
      </c>
      <c r="J5851" s="365">
        <f t="shared" si="280"/>
        <v>0</v>
      </c>
      <c r="K5851" s="369">
        <f t="shared" si="281"/>
        <v>6</v>
      </c>
      <c r="L5851" s="369">
        <f>+IF((C5851&gt;='Resultats - informe'!$E$16)*(C5851&lt;='Resultats - informe'!$G$16),1,0)</f>
        <v>1</v>
      </c>
      <c r="M5851" s="369" cm="1">
        <f t="array" ref="M5851">+_xlfn.IFS((C5851&gt;='Resultats - informe'!$D$26)*(C5851&lt;='Resultats - informe'!$E$26),0,(C5851&gt;='Resultats - informe'!$D$27)*(C5851&lt;='Resultats - informe'!$E$27),0,(C5851&gt;='Resultats - informe'!$D$28)*(C5851&lt;='Resultats - informe'!$E$28),0,(C5851&gt;='Resultats - informe'!$D$29)*(C5851&lt;='Resultats - informe'!$E$29),0,1,1)</f>
        <v>0</v>
      </c>
      <c r="N5851" s="366">
        <f>+VLOOKUP(D5851,'Resultats - informe'!$Y$18:$AG$42,'Introducció dades consum'!K5851+1,0)</f>
        <v>0</v>
      </c>
      <c r="O5851" s="370" cm="1">
        <f t="array" ref="O5851">+_xlfn.SWITCH(MONTH(C5851),1,1,2,1,3,1,4,2,5,2,6,3,7,3,8,3,9,3,10,2,11,2,12,1,2)</f>
        <v>1</v>
      </c>
      <c r="P5851" s="43"/>
    </row>
    <row r="5852" spans="1:16" ht="18" x14ac:dyDescent="0.35">
      <c r="A5852" s="9"/>
      <c r="C5852" s="393"/>
      <c r="E5852" s="394"/>
      <c r="F5852" s="394"/>
      <c r="G5852" s="394"/>
      <c r="I5852" s="368">
        <f t="shared" si="279"/>
        <v>0</v>
      </c>
      <c r="J5852" s="365">
        <f t="shared" si="280"/>
        <v>0</v>
      </c>
      <c r="K5852" s="369">
        <f t="shared" si="281"/>
        <v>6</v>
      </c>
      <c r="L5852" s="369">
        <f>+IF((C5852&gt;='Resultats - informe'!$E$16)*(C5852&lt;='Resultats - informe'!$G$16),1,0)</f>
        <v>1</v>
      </c>
      <c r="M5852" s="369" cm="1">
        <f t="array" ref="M5852">+_xlfn.IFS((C5852&gt;='Resultats - informe'!$D$26)*(C5852&lt;='Resultats - informe'!$E$26),0,(C5852&gt;='Resultats - informe'!$D$27)*(C5852&lt;='Resultats - informe'!$E$27),0,(C5852&gt;='Resultats - informe'!$D$28)*(C5852&lt;='Resultats - informe'!$E$28),0,(C5852&gt;='Resultats - informe'!$D$29)*(C5852&lt;='Resultats - informe'!$E$29),0,1,1)</f>
        <v>0</v>
      </c>
      <c r="N5852" s="366">
        <f>+VLOOKUP(D5852,'Resultats - informe'!$Y$18:$AG$42,'Introducció dades consum'!K5852+1,0)</f>
        <v>0</v>
      </c>
      <c r="O5852" s="370" cm="1">
        <f t="array" ref="O5852">+_xlfn.SWITCH(MONTH(C5852),1,1,2,1,3,1,4,2,5,2,6,3,7,3,8,3,9,3,10,2,11,2,12,1,2)</f>
        <v>1</v>
      </c>
      <c r="P5852" s="43"/>
    </row>
    <row r="5853" spans="1:16" ht="18" x14ac:dyDescent="0.35">
      <c r="A5853" s="9"/>
      <c r="C5853" s="393"/>
      <c r="E5853" s="394"/>
      <c r="F5853" s="394"/>
      <c r="G5853" s="394"/>
      <c r="I5853" s="368">
        <f t="shared" si="279"/>
        <v>0</v>
      </c>
      <c r="J5853" s="365">
        <f t="shared" si="280"/>
        <v>0</v>
      </c>
      <c r="K5853" s="369">
        <f t="shared" si="281"/>
        <v>6</v>
      </c>
      <c r="L5853" s="369">
        <f>+IF((C5853&gt;='Resultats - informe'!$E$16)*(C5853&lt;='Resultats - informe'!$G$16),1,0)</f>
        <v>1</v>
      </c>
      <c r="M5853" s="369" cm="1">
        <f t="array" ref="M5853">+_xlfn.IFS((C5853&gt;='Resultats - informe'!$D$26)*(C5853&lt;='Resultats - informe'!$E$26),0,(C5853&gt;='Resultats - informe'!$D$27)*(C5853&lt;='Resultats - informe'!$E$27),0,(C5853&gt;='Resultats - informe'!$D$28)*(C5853&lt;='Resultats - informe'!$E$28),0,(C5853&gt;='Resultats - informe'!$D$29)*(C5853&lt;='Resultats - informe'!$E$29),0,1,1)</f>
        <v>0</v>
      </c>
      <c r="N5853" s="366">
        <f>+VLOOKUP(D5853,'Resultats - informe'!$Y$18:$AG$42,'Introducció dades consum'!K5853+1,0)</f>
        <v>0</v>
      </c>
      <c r="O5853" s="370" cm="1">
        <f t="array" ref="O5853">+_xlfn.SWITCH(MONTH(C5853),1,1,2,1,3,1,4,2,5,2,6,3,7,3,8,3,9,3,10,2,11,2,12,1,2)</f>
        <v>1</v>
      </c>
      <c r="P5853" s="43"/>
    </row>
    <row r="5854" spans="1:16" ht="18" x14ac:dyDescent="0.35">
      <c r="A5854" s="9"/>
      <c r="C5854" s="393"/>
      <c r="E5854" s="394"/>
      <c r="F5854" s="394"/>
      <c r="G5854" s="394"/>
      <c r="I5854" s="368">
        <f t="shared" si="279"/>
        <v>0</v>
      </c>
      <c r="J5854" s="365">
        <f t="shared" si="280"/>
        <v>0</v>
      </c>
      <c r="K5854" s="369">
        <f t="shared" si="281"/>
        <v>6</v>
      </c>
      <c r="L5854" s="369">
        <f>+IF((C5854&gt;='Resultats - informe'!$E$16)*(C5854&lt;='Resultats - informe'!$G$16),1,0)</f>
        <v>1</v>
      </c>
      <c r="M5854" s="369" cm="1">
        <f t="array" ref="M5854">+_xlfn.IFS((C5854&gt;='Resultats - informe'!$D$26)*(C5854&lt;='Resultats - informe'!$E$26),0,(C5854&gt;='Resultats - informe'!$D$27)*(C5854&lt;='Resultats - informe'!$E$27),0,(C5854&gt;='Resultats - informe'!$D$28)*(C5854&lt;='Resultats - informe'!$E$28),0,(C5854&gt;='Resultats - informe'!$D$29)*(C5854&lt;='Resultats - informe'!$E$29),0,1,1)</f>
        <v>0</v>
      </c>
      <c r="N5854" s="366">
        <f>+VLOOKUP(D5854,'Resultats - informe'!$Y$18:$AG$42,'Introducció dades consum'!K5854+1,0)</f>
        <v>0</v>
      </c>
      <c r="O5854" s="370" cm="1">
        <f t="array" ref="O5854">+_xlfn.SWITCH(MONTH(C5854),1,1,2,1,3,1,4,2,5,2,6,3,7,3,8,3,9,3,10,2,11,2,12,1,2)</f>
        <v>1</v>
      </c>
      <c r="P5854" s="43"/>
    </row>
    <row r="5855" spans="1:16" ht="18" x14ac:dyDescent="0.35">
      <c r="A5855" s="9"/>
      <c r="C5855" s="393"/>
      <c r="E5855" s="394"/>
      <c r="F5855" s="394"/>
      <c r="G5855" s="394"/>
      <c r="I5855" s="368">
        <f t="shared" si="279"/>
        <v>0</v>
      </c>
      <c r="J5855" s="365">
        <f t="shared" si="280"/>
        <v>0</v>
      </c>
      <c r="K5855" s="369">
        <f t="shared" si="281"/>
        <v>6</v>
      </c>
      <c r="L5855" s="369">
        <f>+IF((C5855&gt;='Resultats - informe'!$E$16)*(C5855&lt;='Resultats - informe'!$G$16),1,0)</f>
        <v>1</v>
      </c>
      <c r="M5855" s="369" cm="1">
        <f t="array" ref="M5855">+_xlfn.IFS((C5855&gt;='Resultats - informe'!$D$26)*(C5855&lt;='Resultats - informe'!$E$26),0,(C5855&gt;='Resultats - informe'!$D$27)*(C5855&lt;='Resultats - informe'!$E$27),0,(C5855&gt;='Resultats - informe'!$D$28)*(C5855&lt;='Resultats - informe'!$E$28),0,(C5855&gt;='Resultats - informe'!$D$29)*(C5855&lt;='Resultats - informe'!$E$29),0,1,1)</f>
        <v>0</v>
      </c>
      <c r="N5855" s="366">
        <f>+VLOOKUP(D5855,'Resultats - informe'!$Y$18:$AG$42,'Introducció dades consum'!K5855+1,0)</f>
        <v>0</v>
      </c>
      <c r="O5855" s="370" cm="1">
        <f t="array" ref="O5855">+_xlfn.SWITCH(MONTH(C5855),1,1,2,1,3,1,4,2,5,2,6,3,7,3,8,3,9,3,10,2,11,2,12,1,2)</f>
        <v>1</v>
      </c>
      <c r="P5855" s="43"/>
    </row>
    <row r="5856" spans="1:16" ht="18" x14ac:dyDescent="0.35">
      <c r="A5856" s="9"/>
      <c r="C5856" s="393"/>
      <c r="E5856" s="394"/>
      <c r="F5856" s="394"/>
      <c r="G5856" s="394"/>
      <c r="I5856" s="368">
        <f t="shared" si="279"/>
        <v>0</v>
      </c>
      <c r="J5856" s="365">
        <f t="shared" si="280"/>
        <v>0</v>
      </c>
      <c r="K5856" s="369">
        <f t="shared" si="281"/>
        <v>6</v>
      </c>
      <c r="L5856" s="369">
        <f>+IF((C5856&gt;='Resultats - informe'!$E$16)*(C5856&lt;='Resultats - informe'!$G$16),1,0)</f>
        <v>1</v>
      </c>
      <c r="M5856" s="369" cm="1">
        <f t="array" ref="M5856">+_xlfn.IFS((C5856&gt;='Resultats - informe'!$D$26)*(C5856&lt;='Resultats - informe'!$E$26),0,(C5856&gt;='Resultats - informe'!$D$27)*(C5856&lt;='Resultats - informe'!$E$27),0,(C5856&gt;='Resultats - informe'!$D$28)*(C5856&lt;='Resultats - informe'!$E$28),0,(C5856&gt;='Resultats - informe'!$D$29)*(C5856&lt;='Resultats - informe'!$E$29),0,1,1)</f>
        <v>0</v>
      </c>
      <c r="N5856" s="366">
        <f>+VLOOKUP(D5856,'Resultats - informe'!$Y$18:$AG$42,'Introducció dades consum'!K5856+1,0)</f>
        <v>0</v>
      </c>
      <c r="O5856" s="370" cm="1">
        <f t="array" ref="O5856">+_xlfn.SWITCH(MONTH(C5856),1,1,2,1,3,1,4,2,5,2,6,3,7,3,8,3,9,3,10,2,11,2,12,1,2)</f>
        <v>1</v>
      </c>
      <c r="P5856" s="43"/>
    </row>
    <row r="5857" spans="1:16" ht="18" x14ac:dyDescent="0.35">
      <c r="A5857" s="9"/>
      <c r="C5857" s="393"/>
      <c r="E5857" s="394"/>
      <c r="F5857" s="394"/>
      <c r="G5857" s="394"/>
      <c r="I5857" s="368">
        <f t="shared" si="279"/>
        <v>0</v>
      </c>
      <c r="J5857" s="365">
        <f t="shared" si="280"/>
        <v>0</v>
      </c>
      <c r="K5857" s="369">
        <f t="shared" si="281"/>
        <v>6</v>
      </c>
      <c r="L5857" s="369">
        <f>+IF((C5857&gt;='Resultats - informe'!$E$16)*(C5857&lt;='Resultats - informe'!$G$16),1,0)</f>
        <v>1</v>
      </c>
      <c r="M5857" s="369" cm="1">
        <f t="array" ref="M5857">+_xlfn.IFS((C5857&gt;='Resultats - informe'!$D$26)*(C5857&lt;='Resultats - informe'!$E$26),0,(C5857&gt;='Resultats - informe'!$D$27)*(C5857&lt;='Resultats - informe'!$E$27),0,(C5857&gt;='Resultats - informe'!$D$28)*(C5857&lt;='Resultats - informe'!$E$28),0,(C5857&gt;='Resultats - informe'!$D$29)*(C5857&lt;='Resultats - informe'!$E$29),0,1,1)</f>
        <v>0</v>
      </c>
      <c r="N5857" s="366">
        <f>+VLOOKUP(D5857,'Resultats - informe'!$Y$18:$AG$42,'Introducció dades consum'!K5857+1,0)</f>
        <v>0</v>
      </c>
      <c r="O5857" s="370" cm="1">
        <f t="array" ref="O5857">+_xlfn.SWITCH(MONTH(C5857),1,1,2,1,3,1,4,2,5,2,6,3,7,3,8,3,9,3,10,2,11,2,12,1,2)</f>
        <v>1</v>
      </c>
      <c r="P5857" s="43"/>
    </row>
    <row r="5858" spans="1:16" ht="18" x14ac:dyDescent="0.35">
      <c r="A5858" s="9"/>
      <c r="C5858" s="393"/>
      <c r="E5858" s="394"/>
      <c r="F5858" s="394"/>
      <c r="G5858" s="394"/>
      <c r="I5858" s="368">
        <f t="shared" si="279"/>
        <v>0</v>
      </c>
      <c r="J5858" s="365">
        <f t="shared" si="280"/>
        <v>0</v>
      </c>
      <c r="K5858" s="369">
        <f t="shared" si="281"/>
        <v>6</v>
      </c>
      <c r="L5858" s="369">
        <f>+IF((C5858&gt;='Resultats - informe'!$E$16)*(C5858&lt;='Resultats - informe'!$G$16),1,0)</f>
        <v>1</v>
      </c>
      <c r="M5858" s="369" cm="1">
        <f t="array" ref="M5858">+_xlfn.IFS((C5858&gt;='Resultats - informe'!$D$26)*(C5858&lt;='Resultats - informe'!$E$26),0,(C5858&gt;='Resultats - informe'!$D$27)*(C5858&lt;='Resultats - informe'!$E$27),0,(C5858&gt;='Resultats - informe'!$D$28)*(C5858&lt;='Resultats - informe'!$E$28),0,(C5858&gt;='Resultats - informe'!$D$29)*(C5858&lt;='Resultats - informe'!$E$29),0,1,1)</f>
        <v>0</v>
      </c>
      <c r="N5858" s="366">
        <f>+VLOOKUP(D5858,'Resultats - informe'!$Y$18:$AG$42,'Introducció dades consum'!K5858+1,0)</f>
        <v>0</v>
      </c>
      <c r="O5858" s="370" cm="1">
        <f t="array" ref="O5858">+_xlfn.SWITCH(MONTH(C5858),1,1,2,1,3,1,4,2,5,2,6,3,7,3,8,3,9,3,10,2,11,2,12,1,2)</f>
        <v>1</v>
      </c>
      <c r="P5858" s="43"/>
    </row>
    <row r="5859" spans="1:16" ht="18" x14ac:dyDescent="0.35">
      <c r="A5859" s="9"/>
      <c r="C5859" s="393"/>
      <c r="E5859" s="394"/>
      <c r="F5859" s="394"/>
      <c r="G5859" s="394"/>
      <c r="I5859" s="368">
        <f t="shared" si="279"/>
        <v>0</v>
      </c>
      <c r="J5859" s="365">
        <f t="shared" si="280"/>
        <v>0</v>
      </c>
      <c r="K5859" s="369">
        <f t="shared" si="281"/>
        <v>6</v>
      </c>
      <c r="L5859" s="369">
        <f>+IF((C5859&gt;='Resultats - informe'!$E$16)*(C5859&lt;='Resultats - informe'!$G$16),1,0)</f>
        <v>1</v>
      </c>
      <c r="M5859" s="369" cm="1">
        <f t="array" ref="M5859">+_xlfn.IFS((C5859&gt;='Resultats - informe'!$D$26)*(C5859&lt;='Resultats - informe'!$E$26),0,(C5859&gt;='Resultats - informe'!$D$27)*(C5859&lt;='Resultats - informe'!$E$27),0,(C5859&gt;='Resultats - informe'!$D$28)*(C5859&lt;='Resultats - informe'!$E$28),0,(C5859&gt;='Resultats - informe'!$D$29)*(C5859&lt;='Resultats - informe'!$E$29),0,1,1)</f>
        <v>0</v>
      </c>
      <c r="N5859" s="366">
        <f>+VLOOKUP(D5859,'Resultats - informe'!$Y$18:$AG$42,'Introducció dades consum'!K5859+1,0)</f>
        <v>0</v>
      </c>
      <c r="O5859" s="370" cm="1">
        <f t="array" ref="O5859">+_xlfn.SWITCH(MONTH(C5859),1,1,2,1,3,1,4,2,5,2,6,3,7,3,8,3,9,3,10,2,11,2,12,1,2)</f>
        <v>1</v>
      </c>
      <c r="P5859" s="43"/>
    </row>
    <row r="5860" spans="1:16" ht="18" x14ac:dyDescent="0.35">
      <c r="A5860" s="9"/>
      <c r="C5860" s="393"/>
      <c r="E5860" s="394"/>
      <c r="F5860" s="394"/>
      <c r="G5860" s="394"/>
      <c r="I5860" s="368">
        <f t="shared" si="279"/>
        <v>0</v>
      </c>
      <c r="J5860" s="365">
        <f t="shared" si="280"/>
        <v>0</v>
      </c>
      <c r="K5860" s="369">
        <f t="shared" si="281"/>
        <v>6</v>
      </c>
      <c r="L5860" s="369">
        <f>+IF((C5860&gt;='Resultats - informe'!$E$16)*(C5860&lt;='Resultats - informe'!$G$16),1,0)</f>
        <v>1</v>
      </c>
      <c r="M5860" s="369" cm="1">
        <f t="array" ref="M5860">+_xlfn.IFS((C5860&gt;='Resultats - informe'!$D$26)*(C5860&lt;='Resultats - informe'!$E$26),0,(C5860&gt;='Resultats - informe'!$D$27)*(C5860&lt;='Resultats - informe'!$E$27),0,(C5860&gt;='Resultats - informe'!$D$28)*(C5860&lt;='Resultats - informe'!$E$28),0,(C5860&gt;='Resultats - informe'!$D$29)*(C5860&lt;='Resultats - informe'!$E$29),0,1,1)</f>
        <v>0</v>
      </c>
      <c r="N5860" s="366">
        <f>+VLOOKUP(D5860,'Resultats - informe'!$Y$18:$AG$42,'Introducció dades consum'!K5860+1,0)</f>
        <v>0</v>
      </c>
      <c r="O5860" s="370" cm="1">
        <f t="array" ref="O5860">+_xlfn.SWITCH(MONTH(C5860),1,1,2,1,3,1,4,2,5,2,6,3,7,3,8,3,9,3,10,2,11,2,12,1,2)</f>
        <v>1</v>
      </c>
      <c r="P5860" s="43"/>
    </row>
    <row r="5861" spans="1:16" ht="18" x14ac:dyDescent="0.35">
      <c r="A5861" s="9"/>
      <c r="C5861" s="393"/>
      <c r="E5861" s="394"/>
      <c r="F5861" s="394"/>
      <c r="G5861" s="394"/>
      <c r="I5861" s="368">
        <f t="shared" si="279"/>
        <v>0</v>
      </c>
      <c r="J5861" s="365">
        <f t="shared" si="280"/>
        <v>0</v>
      </c>
      <c r="K5861" s="369">
        <f t="shared" si="281"/>
        <v>6</v>
      </c>
      <c r="L5861" s="369">
        <f>+IF((C5861&gt;='Resultats - informe'!$E$16)*(C5861&lt;='Resultats - informe'!$G$16),1,0)</f>
        <v>1</v>
      </c>
      <c r="M5861" s="369" cm="1">
        <f t="array" ref="M5861">+_xlfn.IFS((C5861&gt;='Resultats - informe'!$D$26)*(C5861&lt;='Resultats - informe'!$E$26),0,(C5861&gt;='Resultats - informe'!$D$27)*(C5861&lt;='Resultats - informe'!$E$27),0,(C5861&gt;='Resultats - informe'!$D$28)*(C5861&lt;='Resultats - informe'!$E$28),0,(C5861&gt;='Resultats - informe'!$D$29)*(C5861&lt;='Resultats - informe'!$E$29),0,1,1)</f>
        <v>0</v>
      </c>
      <c r="N5861" s="366">
        <f>+VLOOKUP(D5861,'Resultats - informe'!$Y$18:$AG$42,'Introducció dades consum'!K5861+1,0)</f>
        <v>0</v>
      </c>
      <c r="O5861" s="370" cm="1">
        <f t="array" ref="O5861">+_xlfn.SWITCH(MONTH(C5861),1,1,2,1,3,1,4,2,5,2,6,3,7,3,8,3,9,3,10,2,11,2,12,1,2)</f>
        <v>1</v>
      </c>
      <c r="P5861" s="43"/>
    </row>
    <row r="5862" spans="1:16" ht="18" x14ac:dyDescent="0.35">
      <c r="A5862" s="9"/>
      <c r="C5862" s="393"/>
      <c r="E5862" s="394"/>
      <c r="F5862" s="394"/>
      <c r="G5862" s="394"/>
      <c r="I5862" s="368">
        <f t="shared" si="279"/>
        <v>0</v>
      </c>
      <c r="J5862" s="365">
        <f t="shared" si="280"/>
        <v>0</v>
      </c>
      <c r="K5862" s="369">
        <f t="shared" si="281"/>
        <v>6</v>
      </c>
      <c r="L5862" s="369">
        <f>+IF((C5862&gt;='Resultats - informe'!$E$16)*(C5862&lt;='Resultats - informe'!$G$16),1,0)</f>
        <v>1</v>
      </c>
      <c r="M5862" s="369" cm="1">
        <f t="array" ref="M5862">+_xlfn.IFS((C5862&gt;='Resultats - informe'!$D$26)*(C5862&lt;='Resultats - informe'!$E$26),0,(C5862&gt;='Resultats - informe'!$D$27)*(C5862&lt;='Resultats - informe'!$E$27),0,(C5862&gt;='Resultats - informe'!$D$28)*(C5862&lt;='Resultats - informe'!$E$28),0,(C5862&gt;='Resultats - informe'!$D$29)*(C5862&lt;='Resultats - informe'!$E$29),0,1,1)</f>
        <v>0</v>
      </c>
      <c r="N5862" s="366">
        <f>+VLOOKUP(D5862,'Resultats - informe'!$Y$18:$AG$42,'Introducció dades consum'!K5862+1,0)</f>
        <v>0</v>
      </c>
      <c r="O5862" s="370" cm="1">
        <f t="array" ref="O5862">+_xlfn.SWITCH(MONTH(C5862),1,1,2,1,3,1,4,2,5,2,6,3,7,3,8,3,9,3,10,2,11,2,12,1,2)</f>
        <v>1</v>
      </c>
      <c r="P5862" s="43"/>
    </row>
    <row r="5863" spans="1:16" ht="18" x14ac:dyDescent="0.35">
      <c r="A5863" s="9"/>
      <c r="C5863" s="393"/>
      <c r="E5863" s="394"/>
      <c r="F5863" s="394"/>
      <c r="G5863" s="394"/>
      <c r="I5863" s="368">
        <f t="shared" si="279"/>
        <v>0</v>
      </c>
      <c r="J5863" s="365">
        <f t="shared" si="280"/>
        <v>0</v>
      </c>
      <c r="K5863" s="369">
        <f t="shared" si="281"/>
        <v>6</v>
      </c>
      <c r="L5863" s="369">
        <f>+IF((C5863&gt;='Resultats - informe'!$E$16)*(C5863&lt;='Resultats - informe'!$G$16),1,0)</f>
        <v>1</v>
      </c>
      <c r="M5863" s="369" cm="1">
        <f t="array" ref="M5863">+_xlfn.IFS((C5863&gt;='Resultats - informe'!$D$26)*(C5863&lt;='Resultats - informe'!$E$26),0,(C5863&gt;='Resultats - informe'!$D$27)*(C5863&lt;='Resultats - informe'!$E$27),0,(C5863&gt;='Resultats - informe'!$D$28)*(C5863&lt;='Resultats - informe'!$E$28),0,(C5863&gt;='Resultats - informe'!$D$29)*(C5863&lt;='Resultats - informe'!$E$29),0,1,1)</f>
        <v>0</v>
      </c>
      <c r="N5863" s="366">
        <f>+VLOOKUP(D5863,'Resultats - informe'!$Y$18:$AG$42,'Introducció dades consum'!K5863+1,0)</f>
        <v>0</v>
      </c>
      <c r="O5863" s="370" cm="1">
        <f t="array" ref="O5863">+_xlfn.SWITCH(MONTH(C5863),1,1,2,1,3,1,4,2,5,2,6,3,7,3,8,3,9,3,10,2,11,2,12,1,2)</f>
        <v>1</v>
      </c>
      <c r="P5863" s="43"/>
    </row>
    <row r="5864" spans="1:16" ht="18" x14ac:dyDescent="0.35">
      <c r="A5864" s="9"/>
      <c r="C5864" s="393"/>
      <c r="E5864" s="394"/>
      <c r="F5864" s="394"/>
      <c r="G5864" s="394"/>
      <c r="I5864" s="368">
        <f t="shared" si="279"/>
        <v>0</v>
      </c>
      <c r="J5864" s="365">
        <f t="shared" si="280"/>
        <v>0</v>
      </c>
      <c r="K5864" s="369">
        <f t="shared" si="281"/>
        <v>6</v>
      </c>
      <c r="L5864" s="369">
        <f>+IF((C5864&gt;='Resultats - informe'!$E$16)*(C5864&lt;='Resultats - informe'!$G$16),1,0)</f>
        <v>1</v>
      </c>
      <c r="M5864" s="369" cm="1">
        <f t="array" ref="M5864">+_xlfn.IFS((C5864&gt;='Resultats - informe'!$D$26)*(C5864&lt;='Resultats - informe'!$E$26),0,(C5864&gt;='Resultats - informe'!$D$27)*(C5864&lt;='Resultats - informe'!$E$27),0,(C5864&gt;='Resultats - informe'!$D$28)*(C5864&lt;='Resultats - informe'!$E$28),0,(C5864&gt;='Resultats - informe'!$D$29)*(C5864&lt;='Resultats - informe'!$E$29),0,1,1)</f>
        <v>0</v>
      </c>
      <c r="N5864" s="366">
        <f>+VLOOKUP(D5864,'Resultats - informe'!$Y$18:$AG$42,'Introducció dades consum'!K5864+1,0)</f>
        <v>0</v>
      </c>
      <c r="O5864" s="370" cm="1">
        <f t="array" ref="O5864">+_xlfn.SWITCH(MONTH(C5864),1,1,2,1,3,1,4,2,5,2,6,3,7,3,8,3,9,3,10,2,11,2,12,1,2)</f>
        <v>1</v>
      </c>
      <c r="P5864" s="43"/>
    </row>
    <row r="5865" spans="1:16" ht="18" x14ac:dyDescent="0.35">
      <c r="A5865" s="9"/>
      <c r="C5865" s="393"/>
      <c r="E5865" s="394"/>
      <c r="F5865" s="394"/>
      <c r="G5865" s="394"/>
      <c r="I5865" s="368">
        <f t="shared" si="279"/>
        <v>0</v>
      </c>
      <c r="J5865" s="365">
        <f t="shared" si="280"/>
        <v>0</v>
      </c>
      <c r="K5865" s="369">
        <f t="shared" si="281"/>
        <v>6</v>
      </c>
      <c r="L5865" s="369">
        <f>+IF((C5865&gt;='Resultats - informe'!$E$16)*(C5865&lt;='Resultats - informe'!$G$16),1,0)</f>
        <v>1</v>
      </c>
      <c r="M5865" s="369" cm="1">
        <f t="array" ref="M5865">+_xlfn.IFS((C5865&gt;='Resultats - informe'!$D$26)*(C5865&lt;='Resultats - informe'!$E$26),0,(C5865&gt;='Resultats - informe'!$D$27)*(C5865&lt;='Resultats - informe'!$E$27),0,(C5865&gt;='Resultats - informe'!$D$28)*(C5865&lt;='Resultats - informe'!$E$28),0,(C5865&gt;='Resultats - informe'!$D$29)*(C5865&lt;='Resultats - informe'!$E$29),0,1,1)</f>
        <v>0</v>
      </c>
      <c r="N5865" s="366">
        <f>+VLOOKUP(D5865,'Resultats - informe'!$Y$18:$AG$42,'Introducció dades consum'!K5865+1,0)</f>
        <v>0</v>
      </c>
      <c r="O5865" s="370" cm="1">
        <f t="array" ref="O5865">+_xlfn.SWITCH(MONTH(C5865),1,1,2,1,3,1,4,2,5,2,6,3,7,3,8,3,9,3,10,2,11,2,12,1,2)</f>
        <v>1</v>
      </c>
      <c r="P5865" s="43"/>
    </row>
    <row r="5866" spans="1:16" ht="18" x14ac:dyDescent="0.35">
      <c r="A5866" s="9"/>
      <c r="C5866" s="393"/>
      <c r="E5866" s="394"/>
      <c r="F5866" s="394"/>
      <c r="G5866" s="394"/>
      <c r="I5866" s="368">
        <f t="shared" si="279"/>
        <v>0</v>
      </c>
      <c r="J5866" s="365">
        <f t="shared" si="280"/>
        <v>0</v>
      </c>
      <c r="K5866" s="369">
        <f t="shared" si="281"/>
        <v>6</v>
      </c>
      <c r="L5866" s="369">
        <f>+IF((C5866&gt;='Resultats - informe'!$E$16)*(C5866&lt;='Resultats - informe'!$G$16),1,0)</f>
        <v>1</v>
      </c>
      <c r="M5866" s="369" cm="1">
        <f t="array" ref="M5866">+_xlfn.IFS((C5866&gt;='Resultats - informe'!$D$26)*(C5866&lt;='Resultats - informe'!$E$26),0,(C5866&gt;='Resultats - informe'!$D$27)*(C5866&lt;='Resultats - informe'!$E$27),0,(C5866&gt;='Resultats - informe'!$D$28)*(C5866&lt;='Resultats - informe'!$E$28),0,(C5866&gt;='Resultats - informe'!$D$29)*(C5866&lt;='Resultats - informe'!$E$29),0,1,1)</f>
        <v>0</v>
      </c>
      <c r="N5866" s="366">
        <f>+VLOOKUP(D5866,'Resultats - informe'!$Y$18:$AG$42,'Introducció dades consum'!K5866+1,0)</f>
        <v>0</v>
      </c>
      <c r="O5866" s="370" cm="1">
        <f t="array" ref="O5866">+_xlfn.SWITCH(MONTH(C5866),1,1,2,1,3,1,4,2,5,2,6,3,7,3,8,3,9,3,10,2,11,2,12,1,2)</f>
        <v>1</v>
      </c>
      <c r="P5866" s="43"/>
    </row>
    <row r="5867" spans="1:16" ht="18" x14ac:dyDescent="0.35">
      <c r="A5867" s="9"/>
      <c r="C5867" s="393"/>
      <c r="E5867" s="394"/>
      <c r="F5867" s="394"/>
      <c r="G5867" s="394"/>
      <c r="I5867" s="368">
        <f t="shared" si="279"/>
        <v>0</v>
      </c>
      <c r="J5867" s="365">
        <f t="shared" si="280"/>
        <v>0</v>
      </c>
      <c r="K5867" s="369">
        <f t="shared" si="281"/>
        <v>6</v>
      </c>
      <c r="L5867" s="369">
        <f>+IF((C5867&gt;='Resultats - informe'!$E$16)*(C5867&lt;='Resultats - informe'!$G$16),1,0)</f>
        <v>1</v>
      </c>
      <c r="M5867" s="369" cm="1">
        <f t="array" ref="M5867">+_xlfn.IFS((C5867&gt;='Resultats - informe'!$D$26)*(C5867&lt;='Resultats - informe'!$E$26),0,(C5867&gt;='Resultats - informe'!$D$27)*(C5867&lt;='Resultats - informe'!$E$27),0,(C5867&gt;='Resultats - informe'!$D$28)*(C5867&lt;='Resultats - informe'!$E$28),0,(C5867&gt;='Resultats - informe'!$D$29)*(C5867&lt;='Resultats - informe'!$E$29),0,1,1)</f>
        <v>0</v>
      </c>
      <c r="N5867" s="366">
        <f>+VLOOKUP(D5867,'Resultats - informe'!$Y$18:$AG$42,'Introducció dades consum'!K5867+1,0)</f>
        <v>0</v>
      </c>
      <c r="O5867" s="370" cm="1">
        <f t="array" ref="O5867">+_xlfn.SWITCH(MONTH(C5867),1,1,2,1,3,1,4,2,5,2,6,3,7,3,8,3,9,3,10,2,11,2,12,1,2)</f>
        <v>1</v>
      </c>
      <c r="P5867" s="43"/>
    </row>
    <row r="5868" spans="1:16" ht="18" x14ac:dyDescent="0.35">
      <c r="A5868" s="9"/>
      <c r="C5868" s="393"/>
      <c r="E5868" s="394"/>
      <c r="F5868" s="394"/>
      <c r="G5868" s="394"/>
      <c r="I5868" s="368">
        <f t="shared" si="279"/>
        <v>0</v>
      </c>
      <c r="J5868" s="365">
        <f t="shared" si="280"/>
        <v>0</v>
      </c>
      <c r="K5868" s="369">
        <f t="shared" si="281"/>
        <v>6</v>
      </c>
      <c r="L5868" s="369">
        <f>+IF((C5868&gt;='Resultats - informe'!$E$16)*(C5868&lt;='Resultats - informe'!$G$16),1,0)</f>
        <v>1</v>
      </c>
      <c r="M5868" s="369" cm="1">
        <f t="array" ref="M5868">+_xlfn.IFS((C5868&gt;='Resultats - informe'!$D$26)*(C5868&lt;='Resultats - informe'!$E$26),0,(C5868&gt;='Resultats - informe'!$D$27)*(C5868&lt;='Resultats - informe'!$E$27),0,(C5868&gt;='Resultats - informe'!$D$28)*(C5868&lt;='Resultats - informe'!$E$28),0,(C5868&gt;='Resultats - informe'!$D$29)*(C5868&lt;='Resultats - informe'!$E$29),0,1,1)</f>
        <v>0</v>
      </c>
      <c r="N5868" s="366">
        <f>+VLOOKUP(D5868,'Resultats - informe'!$Y$18:$AG$42,'Introducció dades consum'!K5868+1,0)</f>
        <v>0</v>
      </c>
      <c r="O5868" s="370" cm="1">
        <f t="array" ref="O5868">+_xlfn.SWITCH(MONTH(C5868),1,1,2,1,3,1,4,2,5,2,6,3,7,3,8,3,9,3,10,2,11,2,12,1,2)</f>
        <v>1</v>
      </c>
      <c r="P5868" s="43"/>
    </row>
    <row r="5869" spans="1:16" ht="18" x14ac:dyDescent="0.35">
      <c r="A5869" s="9"/>
      <c r="C5869" s="393"/>
      <c r="E5869" s="394"/>
      <c r="F5869" s="394"/>
      <c r="G5869" s="394"/>
      <c r="I5869" s="368">
        <f t="shared" si="279"/>
        <v>0</v>
      </c>
      <c r="J5869" s="365">
        <f t="shared" si="280"/>
        <v>0</v>
      </c>
      <c r="K5869" s="369">
        <f t="shared" si="281"/>
        <v>6</v>
      </c>
      <c r="L5869" s="369">
        <f>+IF((C5869&gt;='Resultats - informe'!$E$16)*(C5869&lt;='Resultats - informe'!$G$16),1,0)</f>
        <v>1</v>
      </c>
      <c r="M5869" s="369" cm="1">
        <f t="array" ref="M5869">+_xlfn.IFS((C5869&gt;='Resultats - informe'!$D$26)*(C5869&lt;='Resultats - informe'!$E$26),0,(C5869&gt;='Resultats - informe'!$D$27)*(C5869&lt;='Resultats - informe'!$E$27),0,(C5869&gt;='Resultats - informe'!$D$28)*(C5869&lt;='Resultats - informe'!$E$28),0,(C5869&gt;='Resultats - informe'!$D$29)*(C5869&lt;='Resultats - informe'!$E$29),0,1,1)</f>
        <v>0</v>
      </c>
      <c r="N5869" s="366">
        <f>+VLOOKUP(D5869,'Resultats - informe'!$Y$18:$AG$42,'Introducció dades consum'!K5869+1,0)</f>
        <v>0</v>
      </c>
      <c r="O5869" s="370" cm="1">
        <f t="array" ref="O5869">+_xlfn.SWITCH(MONTH(C5869),1,1,2,1,3,1,4,2,5,2,6,3,7,3,8,3,9,3,10,2,11,2,12,1,2)</f>
        <v>1</v>
      </c>
      <c r="P5869" s="43"/>
    </row>
    <row r="5870" spans="1:16" ht="18" x14ac:dyDescent="0.35">
      <c r="A5870" s="9"/>
      <c r="C5870" s="393"/>
      <c r="E5870" s="394"/>
      <c r="F5870" s="394"/>
      <c r="G5870" s="394"/>
      <c r="I5870" s="368">
        <f t="shared" si="279"/>
        <v>0</v>
      </c>
      <c r="J5870" s="365">
        <f t="shared" si="280"/>
        <v>0</v>
      </c>
      <c r="K5870" s="369">
        <f t="shared" si="281"/>
        <v>6</v>
      </c>
      <c r="L5870" s="369">
        <f>+IF((C5870&gt;='Resultats - informe'!$E$16)*(C5870&lt;='Resultats - informe'!$G$16),1,0)</f>
        <v>1</v>
      </c>
      <c r="M5870" s="369" cm="1">
        <f t="array" ref="M5870">+_xlfn.IFS((C5870&gt;='Resultats - informe'!$D$26)*(C5870&lt;='Resultats - informe'!$E$26),0,(C5870&gt;='Resultats - informe'!$D$27)*(C5870&lt;='Resultats - informe'!$E$27),0,(C5870&gt;='Resultats - informe'!$D$28)*(C5870&lt;='Resultats - informe'!$E$28),0,(C5870&gt;='Resultats - informe'!$D$29)*(C5870&lt;='Resultats - informe'!$E$29),0,1,1)</f>
        <v>0</v>
      </c>
      <c r="N5870" s="366">
        <f>+VLOOKUP(D5870,'Resultats - informe'!$Y$18:$AG$42,'Introducció dades consum'!K5870+1,0)</f>
        <v>0</v>
      </c>
      <c r="O5870" s="370" cm="1">
        <f t="array" ref="O5870">+_xlfn.SWITCH(MONTH(C5870),1,1,2,1,3,1,4,2,5,2,6,3,7,3,8,3,9,3,10,2,11,2,12,1,2)</f>
        <v>1</v>
      </c>
      <c r="P5870" s="43"/>
    </row>
    <row r="5871" spans="1:16" ht="18" x14ac:dyDescent="0.35">
      <c r="A5871" s="9"/>
      <c r="C5871" s="393"/>
      <c r="E5871" s="394"/>
      <c r="F5871" s="394"/>
      <c r="G5871" s="394"/>
      <c r="I5871" s="368">
        <f t="shared" si="279"/>
        <v>0</v>
      </c>
      <c r="J5871" s="365">
        <f t="shared" si="280"/>
        <v>0</v>
      </c>
      <c r="K5871" s="369">
        <f t="shared" si="281"/>
        <v>6</v>
      </c>
      <c r="L5871" s="369">
        <f>+IF((C5871&gt;='Resultats - informe'!$E$16)*(C5871&lt;='Resultats - informe'!$G$16),1,0)</f>
        <v>1</v>
      </c>
      <c r="M5871" s="369" cm="1">
        <f t="array" ref="M5871">+_xlfn.IFS((C5871&gt;='Resultats - informe'!$D$26)*(C5871&lt;='Resultats - informe'!$E$26),0,(C5871&gt;='Resultats - informe'!$D$27)*(C5871&lt;='Resultats - informe'!$E$27),0,(C5871&gt;='Resultats - informe'!$D$28)*(C5871&lt;='Resultats - informe'!$E$28),0,(C5871&gt;='Resultats - informe'!$D$29)*(C5871&lt;='Resultats - informe'!$E$29),0,1,1)</f>
        <v>0</v>
      </c>
      <c r="N5871" s="366">
        <f>+VLOOKUP(D5871,'Resultats - informe'!$Y$18:$AG$42,'Introducció dades consum'!K5871+1,0)</f>
        <v>0</v>
      </c>
      <c r="O5871" s="370" cm="1">
        <f t="array" ref="O5871">+_xlfn.SWITCH(MONTH(C5871),1,1,2,1,3,1,4,2,5,2,6,3,7,3,8,3,9,3,10,2,11,2,12,1,2)</f>
        <v>1</v>
      </c>
      <c r="P5871" s="43"/>
    </row>
    <row r="5872" spans="1:16" ht="18" x14ac:dyDescent="0.35">
      <c r="A5872" s="9"/>
      <c r="C5872" s="393"/>
      <c r="E5872" s="394"/>
      <c r="F5872" s="394"/>
      <c r="G5872" s="394"/>
      <c r="I5872" s="368">
        <f t="shared" si="279"/>
        <v>0</v>
      </c>
      <c r="J5872" s="365">
        <f t="shared" si="280"/>
        <v>0</v>
      </c>
      <c r="K5872" s="369">
        <f t="shared" si="281"/>
        <v>6</v>
      </c>
      <c r="L5872" s="369">
        <f>+IF((C5872&gt;='Resultats - informe'!$E$16)*(C5872&lt;='Resultats - informe'!$G$16),1,0)</f>
        <v>1</v>
      </c>
      <c r="M5872" s="369" cm="1">
        <f t="array" ref="M5872">+_xlfn.IFS((C5872&gt;='Resultats - informe'!$D$26)*(C5872&lt;='Resultats - informe'!$E$26),0,(C5872&gt;='Resultats - informe'!$D$27)*(C5872&lt;='Resultats - informe'!$E$27),0,(C5872&gt;='Resultats - informe'!$D$28)*(C5872&lt;='Resultats - informe'!$E$28),0,(C5872&gt;='Resultats - informe'!$D$29)*(C5872&lt;='Resultats - informe'!$E$29),0,1,1)</f>
        <v>0</v>
      </c>
      <c r="N5872" s="366">
        <f>+VLOOKUP(D5872,'Resultats - informe'!$Y$18:$AG$42,'Introducció dades consum'!K5872+1,0)</f>
        <v>0</v>
      </c>
      <c r="O5872" s="370" cm="1">
        <f t="array" ref="O5872">+_xlfn.SWITCH(MONTH(C5872),1,1,2,1,3,1,4,2,5,2,6,3,7,3,8,3,9,3,10,2,11,2,12,1,2)</f>
        <v>1</v>
      </c>
      <c r="P5872" s="43"/>
    </row>
    <row r="5873" spans="1:16" ht="18" x14ac:dyDescent="0.35">
      <c r="A5873" s="9"/>
      <c r="C5873" s="393"/>
      <c r="E5873" s="394"/>
      <c r="F5873" s="394"/>
      <c r="G5873" s="394"/>
      <c r="I5873" s="368">
        <f t="shared" si="279"/>
        <v>0</v>
      </c>
      <c r="J5873" s="365">
        <f t="shared" si="280"/>
        <v>0</v>
      </c>
      <c r="K5873" s="369">
        <f t="shared" si="281"/>
        <v>6</v>
      </c>
      <c r="L5873" s="369">
        <f>+IF((C5873&gt;='Resultats - informe'!$E$16)*(C5873&lt;='Resultats - informe'!$G$16),1,0)</f>
        <v>1</v>
      </c>
      <c r="M5873" s="369" cm="1">
        <f t="array" ref="M5873">+_xlfn.IFS((C5873&gt;='Resultats - informe'!$D$26)*(C5873&lt;='Resultats - informe'!$E$26),0,(C5873&gt;='Resultats - informe'!$D$27)*(C5873&lt;='Resultats - informe'!$E$27),0,(C5873&gt;='Resultats - informe'!$D$28)*(C5873&lt;='Resultats - informe'!$E$28),0,(C5873&gt;='Resultats - informe'!$D$29)*(C5873&lt;='Resultats - informe'!$E$29),0,1,1)</f>
        <v>0</v>
      </c>
      <c r="N5873" s="366">
        <f>+VLOOKUP(D5873,'Resultats - informe'!$Y$18:$AG$42,'Introducció dades consum'!K5873+1,0)</f>
        <v>0</v>
      </c>
      <c r="O5873" s="370" cm="1">
        <f t="array" ref="O5873">+_xlfn.SWITCH(MONTH(C5873),1,1,2,1,3,1,4,2,5,2,6,3,7,3,8,3,9,3,10,2,11,2,12,1,2)</f>
        <v>1</v>
      </c>
      <c r="P5873" s="43"/>
    </row>
    <row r="5874" spans="1:16" ht="18" x14ac:dyDescent="0.35">
      <c r="A5874" s="9"/>
      <c r="C5874" s="393"/>
      <c r="E5874" s="394"/>
      <c r="F5874" s="394"/>
      <c r="G5874" s="394"/>
      <c r="I5874" s="368">
        <f t="shared" si="279"/>
        <v>0</v>
      </c>
      <c r="J5874" s="365">
        <f t="shared" si="280"/>
        <v>0</v>
      </c>
      <c r="K5874" s="369">
        <f t="shared" si="281"/>
        <v>6</v>
      </c>
      <c r="L5874" s="369">
        <f>+IF((C5874&gt;='Resultats - informe'!$E$16)*(C5874&lt;='Resultats - informe'!$G$16),1,0)</f>
        <v>1</v>
      </c>
      <c r="M5874" s="369" cm="1">
        <f t="array" ref="M5874">+_xlfn.IFS((C5874&gt;='Resultats - informe'!$D$26)*(C5874&lt;='Resultats - informe'!$E$26),0,(C5874&gt;='Resultats - informe'!$D$27)*(C5874&lt;='Resultats - informe'!$E$27),0,(C5874&gt;='Resultats - informe'!$D$28)*(C5874&lt;='Resultats - informe'!$E$28),0,(C5874&gt;='Resultats - informe'!$D$29)*(C5874&lt;='Resultats - informe'!$E$29),0,1,1)</f>
        <v>0</v>
      </c>
      <c r="N5874" s="366">
        <f>+VLOOKUP(D5874,'Resultats - informe'!$Y$18:$AG$42,'Introducció dades consum'!K5874+1,0)</f>
        <v>0</v>
      </c>
      <c r="O5874" s="370" cm="1">
        <f t="array" ref="O5874">+_xlfn.SWITCH(MONTH(C5874),1,1,2,1,3,1,4,2,5,2,6,3,7,3,8,3,9,3,10,2,11,2,12,1,2)</f>
        <v>1</v>
      </c>
      <c r="P5874" s="43"/>
    </row>
    <row r="5875" spans="1:16" ht="18" x14ac:dyDescent="0.35">
      <c r="A5875" s="9"/>
      <c r="C5875" s="393"/>
      <c r="E5875" s="394"/>
      <c r="F5875" s="394"/>
      <c r="G5875" s="394"/>
      <c r="I5875" s="368">
        <f t="shared" si="279"/>
        <v>0</v>
      </c>
      <c r="J5875" s="365">
        <f t="shared" si="280"/>
        <v>0</v>
      </c>
      <c r="K5875" s="369">
        <f t="shared" si="281"/>
        <v>6</v>
      </c>
      <c r="L5875" s="369">
        <f>+IF((C5875&gt;='Resultats - informe'!$E$16)*(C5875&lt;='Resultats - informe'!$G$16),1,0)</f>
        <v>1</v>
      </c>
      <c r="M5875" s="369" cm="1">
        <f t="array" ref="M5875">+_xlfn.IFS((C5875&gt;='Resultats - informe'!$D$26)*(C5875&lt;='Resultats - informe'!$E$26),0,(C5875&gt;='Resultats - informe'!$D$27)*(C5875&lt;='Resultats - informe'!$E$27),0,(C5875&gt;='Resultats - informe'!$D$28)*(C5875&lt;='Resultats - informe'!$E$28),0,(C5875&gt;='Resultats - informe'!$D$29)*(C5875&lt;='Resultats - informe'!$E$29),0,1,1)</f>
        <v>0</v>
      </c>
      <c r="N5875" s="366">
        <f>+VLOOKUP(D5875,'Resultats - informe'!$Y$18:$AG$42,'Introducció dades consum'!K5875+1,0)</f>
        <v>0</v>
      </c>
      <c r="O5875" s="370" cm="1">
        <f t="array" ref="O5875">+_xlfn.SWITCH(MONTH(C5875),1,1,2,1,3,1,4,2,5,2,6,3,7,3,8,3,9,3,10,2,11,2,12,1,2)</f>
        <v>1</v>
      </c>
      <c r="P5875" s="43"/>
    </row>
    <row r="5876" spans="1:16" ht="18" x14ac:dyDescent="0.35">
      <c r="A5876" s="9"/>
      <c r="C5876" s="393"/>
      <c r="E5876" s="394"/>
      <c r="F5876" s="394"/>
      <c r="G5876" s="394"/>
      <c r="I5876" s="368">
        <f t="shared" si="279"/>
        <v>0</v>
      </c>
      <c r="J5876" s="365">
        <f t="shared" si="280"/>
        <v>0</v>
      </c>
      <c r="K5876" s="369">
        <f t="shared" si="281"/>
        <v>6</v>
      </c>
      <c r="L5876" s="369">
        <f>+IF((C5876&gt;='Resultats - informe'!$E$16)*(C5876&lt;='Resultats - informe'!$G$16),1,0)</f>
        <v>1</v>
      </c>
      <c r="M5876" s="369" cm="1">
        <f t="array" ref="M5876">+_xlfn.IFS((C5876&gt;='Resultats - informe'!$D$26)*(C5876&lt;='Resultats - informe'!$E$26),0,(C5876&gt;='Resultats - informe'!$D$27)*(C5876&lt;='Resultats - informe'!$E$27),0,(C5876&gt;='Resultats - informe'!$D$28)*(C5876&lt;='Resultats - informe'!$E$28),0,(C5876&gt;='Resultats - informe'!$D$29)*(C5876&lt;='Resultats - informe'!$E$29),0,1,1)</f>
        <v>0</v>
      </c>
      <c r="N5876" s="366">
        <f>+VLOOKUP(D5876,'Resultats - informe'!$Y$18:$AG$42,'Introducció dades consum'!K5876+1,0)</f>
        <v>0</v>
      </c>
      <c r="O5876" s="370" cm="1">
        <f t="array" ref="O5876">+_xlfn.SWITCH(MONTH(C5876),1,1,2,1,3,1,4,2,5,2,6,3,7,3,8,3,9,3,10,2,11,2,12,1,2)</f>
        <v>1</v>
      </c>
      <c r="P5876" s="43"/>
    </row>
    <row r="5877" spans="1:16" ht="18" x14ac:dyDescent="0.35">
      <c r="A5877" s="9"/>
      <c r="C5877" s="393"/>
      <c r="E5877" s="394"/>
      <c r="F5877" s="394"/>
      <c r="G5877" s="394"/>
      <c r="I5877" s="368">
        <f t="shared" si="279"/>
        <v>0</v>
      </c>
      <c r="J5877" s="365">
        <f t="shared" si="280"/>
        <v>0</v>
      </c>
      <c r="K5877" s="369">
        <f t="shared" si="281"/>
        <v>6</v>
      </c>
      <c r="L5877" s="369">
        <f>+IF((C5877&gt;='Resultats - informe'!$E$16)*(C5877&lt;='Resultats - informe'!$G$16),1,0)</f>
        <v>1</v>
      </c>
      <c r="M5877" s="369" cm="1">
        <f t="array" ref="M5877">+_xlfn.IFS((C5877&gt;='Resultats - informe'!$D$26)*(C5877&lt;='Resultats - informe'!$E$26),0,(C5877&gt;='Resultats - informe'!$D$27)*(C5877&lt;='Resultats - informe'!$E$27),0,(C5877&gt;='Resultats - informe'!$D$28)*(C5877&lt;='Resultats - informe'!$E$28),0,(C5877&gt;='Resultats - informe'!$D$29)*(C5877&lt;='Resultats - informe'!$E$29),0,1,1)</f>
        <v>0</v>
      </c>
      <c r="N5877" s="366">
        <f>+VLOOKUP(D5877,'Resultats - informe'!$Y$18:$AG$42,'Introducció dades consum'!K5877+1,0)</f>
        <v>0</v>
      </c>
      <c r="O5877" s="370" cm="1">
        <f t="array" ref="O5877">+_xlfn.SWITCH(MONTH(C5877),1,1,2,1,3,1,4,2,5,2,6,3,7,3,8,3,9,3,10,2,11,2,12,1,2)</f>
        <v>1</v>
      </c>
      <c r="P5877" s="43"/>
    </row>
    <row r="5878" spans="1:16" ht="18" x14ac:dyDescent="0.35">
      <c r="A5878" s="9"/>
      <c r="C5878" s="393"/>
      <c r="E5878" s="394"/>
      <c r="F5878" s="394"/>
      <c r="G5878" s="394"/>
      <c r="I5878" s="368">
        <f t="shared" si="279"/>
        <v>0</v>
      </c>
      <c r="J5878" s="365">
        <f t="shared" si="280"/>
        <v>0</v>
      </c>
      <c r="K5878" s="369">
        <f t="shared" si="281"/>
        <v>6</v>
      </c>
      <c r="L5878" s="369">
        <f>+IF((C5878&gt;='Resultats - informe'!$E$16)*(C5878&lt;='Resultats - informe'!$G$16),1,0)</f>
        <v>1</v>
      </c>
      <c r="M5878" s="369" cm="1">
        <f t="array" ref="M5878">+_xlfn.IFS((C5878&gt;='Resultats - informe'!$D$26)*(C5878&lt;='Resultats - informe'!$E$26),0,(C5878&gt;='Resultats - informe'!$D$27)*(C5878&lt;='Resultats - informe'!$E$27),0,(C5878&gt;='Resultats - informe'!$D$28)*(C5878&lt;='Resultats - informe'!$E$28),0,(C5878&gt;='Resultats - informe'!$D$29)*(C5878&lt;='Resultats - informe'!$E$29),0,1,1)</f>
        <v>0</v>
      </c>
      <c r="N5878" s="366">
        <f>+VLOOKUP(D5878,'Resultats - informe'!$Y$18:$AG$42,'Introducció dades consum'!K5878+1,0)</f>
        <v>0</v>
      </c>
      <c r="O5878" s="370" cm="1">
        <f t="array" ref="O5878">+_xlfn.SWITCH(MONTH(C5878),1,1,2,1,3,1,4,2,5,2,6,3,7,3,8,3,9,3,10,2,11,2,12,1,2)</f>
        <v>1</v>
      </c>
      <c r="P5878" s="43"/>
    </row>
    <row r="5879" spans="1:16" ht="18" x14ac:dyDescent="0.35">
      <c r="A5879" s="9"/>
      <c r="C5879" s="393"/>
      <c r="E5879" s="394"/>
      <c r="F5879" s="394"/>
      <c r="G5879" s="394"/>
      <c r="I5879" s="368">
        <f t="shared" si="279"/>
        <v>0</v>
      </c>
      <c r="J5879" s="365">
        <f t="shared" si="280"/>
        <v>0</v>
      </c>
      <c r="K5879" s="369">
        <f t="shared" si="281"/>
        <v>6</v>
      </c>
      <c r="L5879" s="369">
        <f>+IF((C5879&gt;='Resultats - informe'!$E$16)*(C5879&lt;='Resultats - informe'!$G$16),1,0)</f>
        <v>1</v>
      </c>
      <c r="M5879" s="369" cm="1">
        <f t="array" ref="M5879">+_xlfn.IFS((C5879&gt;='Resultats - informe'!$D$26)*(C5879&lt;='Resultats - informe'!$E$26),0,(C5879&gt;='Resultats - informe'!$D$27)*(C5879&lt;='Resultats - informe'!$E$27),0,(C5879&gt;='Resultats - informe'!$D$28)*(C5879&lt;='Resultats - informe'!$E$28),0,(C5879&gt;='Resultats - informe'!$D$29)*(C5879&lt;='Resultats - informe'!$E$29),0,1,1)</f>
        <v>0</v>
      </c>
      <c r="N5879" s="366">
        <f>+VLOOKUP(D5879,'Resultats - informe'!$Y$18:$AG$42,'Introducció dades consum'!K5879+1,0)</f>
        <v>0</v>
      </c>
      <c r="O5879" s="370" cm="1">
        <f t="array" ref="O5879">+_xlfn.SWITCH(MONTH(C5879),1,1,2,1,3,1,4,2,5,2,6,3,7,3,8,3,9,3,10,2,11,2,12,1,2)</f>
        <v>1</v>
      </c>
      <c r="P5879" s="43"/>
    </row>
    <row r="5880" spans="1:16" ht="18" x14ac:dyDescent="0.35">
      <c r="A5880" s="9"/>
      <c r="C5880" s="393"/>
      <c r="E5880" s="394"/>
      <c r="F5880" s="394"/>
      <c r="G5880" s="394"/>
      <c r="I5880" s="368">
        <f t="shared" si="279"/>
        <v>0</v>
      </c>
      <c r="J5880" s="365">
        <f t="shared" si="280"/>
        <v>0</v>
      </c>
      <c r="K5880" s="369">
        <f t="shared" si="281"/>
        <v>6</v>
      </c>
      <c r="L5880" s="369">
        <f>+IF((C5880&gt;='Resultats - informe'!$E$16)*(C5880&lt;='Resultats - informe'!$G$16),1,0)</f>
        <v>1</v>
      </c>
      <c r="M5880" s="369" cm="1">
        <f t="array" ref="M5880">+_xlfn.IFS((C5880&gt;='Resultats - informe'!$D$26)*(C5880&lt;='Resultats - informe'!$E$26),0,(C5880&gt;='Resultats - informe'!$D$27)*(C5880&lt;='Resultats - informe'!$E$27),0,(C5880&gt;='Resultats - informe'!$D$28)*(C5880&lt;='Resultats - informe'!$E$28),0,(C5880&gt;='Resultats - informe'!$D$29)*(C5880&lt;='Resultats - informe'!$E$29),0,1,1)</f>
        <v>0</v>
      </c>
      <c r="N5880" s="366">
        <f>+VLOOKUP(D5880,'Resultats - informe'!$Y$18:$AG$42,'Introducció dades consum'!K5880+1,0)</f>
        <v>0</v>
      </c>
      <c r="O5880" s="370" cm="1">
        <f t="array" ref="O5880">+_xlfn.SWITCH(MONTH(C5880),1,1,2,1,3,1,4,2,5,2,6,3,7,3,8,3,9,3,10,2,11,2,12,1,2)</f>
        <v>1</v>
      </c>
      <c r="P5880" s="43"/>
    </row>
    <row r="5881" spans="1:16" ht="18" x14ac:dyDescent="0.35">
      <c r="A5881" s="9"/>
      <c r="C5881" s="393"/>
      <c r="E5881" s="394"/>
      <c r="F5881" s="394"/>
      <c r="G5881" s="394"/>
      <c r="I5881" s="368">
        <f t="shared" si="279"/>
        <v>0</v>
      </c>
      <c r="J5881" s="365">
        <f t="shared" si="280"/>
        <v>0</v>
      </c>
      <c r="K5881" s="369">
        <f t="shared" si="281"/>
        <v>6</v>
      </c>
      <c r="L5881" s="369">
        <f>+IF((C5881&gt;='Resultats - informe'!$E$16)*(C5881&lt;='Resultats - informe'!$G$16),1,0)</f>
        <v>1</v>
      </c>
      <c r="M5881" s="369" cm="1">
        <f t="array" ref="M5881">+_xlfn.IFS((C5881&gt;='Resultats - informe'!$D$26)*(C5881&lt;='Resultats - informe'!$E$26),0,(C5881&gt;='Resultats - informe'!$D$27)*(C5881&lt;='Resultats - informe'!$E$27),0,(C5881&gt;='Resultats - informe'!$D$28)*(C5881&lt;='Resultats - informe'!$E$28),0,(C5881&gt;='Resultats - informe'!$D$29)*(C5881&lt;='Resultats - informe'!$E$29),0,1,1)</f>
        <v>0</v>
      </c>
      <c r="N5881" s="366">
        <f>+VLOOKUP(D5881,'Resultats - informe'!$Y$18:$AG$42,'Introducció dades consum'!K5881+1,0)</f>
        <v>0</v>
      </c>
      <c r="O5881" s="370" cm="1">
        <f t="array" ref="O5881">+_xlfn.SWITCH(MONTH(C5881),1,1,2,1,3,1,4,2,5,2,6,3,7,3,8,3,9,3,10,2,11,2,12,1,2)</f>
        <v>1</v>
      </c>
      <c r="P5881" s="43"/>
    </row>
    <row r="5882" spans="1:16" ht="18" x14ac:dyDescent="0.35">
      <c r="A5882" s="9"/>
      <c r="C5882" s="393"/>
      <c r="E5882" s="394"/>
      <c r="F5882" s="394"/>
      <c r="G5882" s="394"/>
      <c r="I5882" s="368">
        <f t="shared" si="279"/>
        <v>0</v>
      </c>
      <c r="J5882" s="365">
        <f t="shared" si="280"/>
        <v>0</v>
      </c>
      <c r="K5882" s="369">
        <f t="shared" si="281"/>
        <v>6</v>
      </c>
      <c r="L5882" s="369">
        <f>+IF((C5882&gt;='Resultats - informe'!$E$16)*(C5882&lt;='Resultats - informe'!$G$16),1,0)</f>
        <v>1</v>
      </c>
      <c r="M5882" s="369" cm="1">
        <f t="array" ref="M5882">+_xlfn.IFS((C5882&gt;='Resultats - informe'!$D$26)*(C5882&lt;='Resultats - informe'!$E$26),0,(C5882&gt;='Resultats - informe'!$D$27)*(C5882&lt;='Resultats - informe'!$E$27),0,(C5882&gt;='Resultats - informe'!$D$28)*(C5882&lt;='Resultats - informe'!$E$28),0,(C5882&gt;='Resultats - informe'!$D$29)*(C5882&lt;='Resultats - informe'!$E$29),0,1,1)</f>
        <v>0</v>
      </c>
      <c r="N5882" s="366">
        <f>+VLOOKUP(D5882,'Resultats - informe'!$Y$18:$AG$42,'Introducció dades consum'!K5882+1,0)</f>
        <v>0</v>
      </c>
      <c r="O5882" s="370" cm="1">
        <f t="array" ref="O5882">+_xlfn.SWITCH(MONTH(C5882),1,1,2,1,3,1,4,2,5,2,6,3,7,3,8,3,9,3,10,2,11,2,12,1,2)</f>
        <v>1</v>
      </c>
      <c r="P5882" s="43"/>
    </row>
    <row r="5883" spans="1:16" ht="18" x14ac:dyDescent="0.35">
      <c r="A5883" s="9"/>
      <c r="C5883" s="393"/>
      <c r="E5883" s="394"/>
      <c r="F5883" s="394"/>
      <c r="G5883" s="394"/>
      <c r="I5883" s="368">
        <f t="shared" si="279"/>
        <v>0</v>
      </c>
      <c r="J5883" s="365">
        <f t="shared" si="280"/>
        <v>0</v>
      </c>
      <c r="K5883" s="369">
        <f t="shared" si="281"/>
        <v>6</v>
      </c>
      <c r="L5883" s="369">
        <f>+IF((C5883&gt;='Resultats - informe'!$E$16)*(C5883&lt;='Resultats - informe'!$G$16),1,0)</f>
        <v>1</v>
      </c>
      <c r="M5883" s="369" cm="1">
        <f t="array" ref="M5883">+_xlfn.IFS((C5883&gt;='Resultats - informe'!$D$26)*(C5883&lt;='Resultats - informe'!$E$26),0,(C5883&gt;='Resultats - informe'!$D$27)*(C5883&lt;='Resultats - informe'!$E$27),0,(C5883&gt;='Resultats - informe'!$D$28)*(C5883&lt;='Resultats - informe'!$E$28),0,(C5883&gt;='Resultats - informe'!$D$29)*(C5883&lt;='Resultats - informe'!$E$29),0,1,1)</f>
        <v>0</v>
      </c>
      <c r="N5883" s="366">
        <f>+VLOOKUP(D5883,'Resultats - informe'!$Y$18:$AG$42,'Introducció dades consum'!K5883+1,0)</f>
        <v>0</v>
      </c>
      <c r="O5883" s="370" cm="1">
        <f t="array" ref="O5883">+_xlfn.SWITCH(MONTH(C5883),1,1,2,1,3,1,4,2,5,2,6,3,7,3,8,3,9,3,10,2,11,2,12,1,2)</f>
        <v>1</v>
      </c>
      <c r="P5883" s="43"/>
    </row>
    <row r="5884" spans="1:16" ht="18" x14ac:dyDescent="0.35">
      <c r="A5884" s="9"/>
      <c r="C5884" s="393"/>
      <c r="E5884" s="394"/>
      <c r="F5884" s="394"/>
      <c r="G5884" s="394"/>
      <c r="I5884" s="368">
        <f t="shared" si="279"/>
        <v>0</v>
      </c>
      <c r="J5884" s="365">
        <f t="shared" si="280"/>
        <v>0</v>
      </c>
      <c r="K5884" s="369">
        <f t="shared" si="281"/>
        <v>6</v>
      </c>
      <c r="L5884" s="369">
        <f>+IF((C5884&gt;='Resultats - informe'!$E$16)*(C5884&lt;='Resultats - informe'!$G$16),1,0)</f>
        <v>1</v>
      </c>
      <c r="M5884" s="369" cm="1">
        <f t="array" ref="M5884">+_xlfn.IFS((C5884&gt;='Resultats - informe'!$D$26)*(C5884&lt;='Resultats - informe'!$E$26),0,(C5884&gt;='Resultats - informe'!$D$27)*(C5884&lt;='Resultats - informe'!$E$27),0,(C5884&gt;='Resultats - informe'!$D$28)*(C5884&lt;='Resultats - informe'!$E$28),0,(C5884&gt;='Resultats - informe'!$D$29)*(C5884&lt;='Resultats - informe'!$E$29),0,1,1)</f>
        <v>0</v>
      </c>
      <c r="N5884" s="366">
        <f>+VLOOKUP(D5884,'Resultats - informe'!$Y$18:$AG$42,'Introducció dades consum'!K5884+1,0)</f>
        <v>0</v>
      </c>
      <c r="O5884" s="370" cm="1">
        <f t="array" ref="O5884">+_xlfn.SWITCH(MONTH(C5884),1,1,2,1,3,1,4,2,5,2,6,3,7,3,8,3,9,3,10,2,11,2,12,1,2)</f>
        <v>1</v>
      </c>
      <c r="P5884" s="43"/>
    </row>
    <row r="5885" spans="1:16" ht="18" x14ac:dyDescent="0.35">
      <c r="A5885" s="9"/>
      <c r="C5885" s="393"/>
      <c r="E5885" s="394"/>
      <c r="F5885" s="394"/>
      <c r="G5885" s="394"/>
      <c r="I5885" s="368">
        <f t="shared" si="279"/>
        <v>0</v>
      </c>
      <c r="J5885" s="365">
        <f t="shared" si="280"/>
        <v>0</v>
      </c>
      <c r="K5885" s="369">
        <f t="shared" si="281"/>
        <v>6</v>
      </c>
      <c r="L5885" s="369">
        <f>+IF((C5885&gt;='Resultats - informe'!$E$16)*(C5885&lt;='Resultats - informe'!$G$16),1,0)</f>
        <v>1</v>
      </c>
      <c r="M5885" s="369" cm="1">
        <f t="array" ref="M5885">+_xlfn.IFS((C5885&gt;='Resultats - informe'!$D$26)*(C5885&lt;='Resultats - informe'!$E$26),0,(C5885&gt;='Resultats - informe'!$D$27)*(C5885&lt;='Resultats - informe'!$E$27),0,(C5885&gt;='Resultats - informe'!$D$28)*(C5885&lt;='Resultats - informe'!$E$28),0,(C5885&gt;='Resultats - informe'!$D$29)*(C5885&lt;='Resultats - informe'!$E$29),0,1,1)</f>
        <v>0</v>
      </c>
      <c r="N5885" s="366">
        <f>+VLOOKUP(D5885,'Resultats - informe'!$Y$18:$AG$42,'Introducció dades consum'!K5885+1,0)</f>
        <v>0</v>
      </c>
      <c r="O5885" s="370" cm="1">
        <f t="array" ref="O5885">+_xlfn.SWITCH(MONTH(C5885),1,1,2,1,3,1,4,2,5,2,6,3,7,3,8,3,9,3,10,2,11,2,12,1,2)</f>
        <v>1</v>
      </c>
      <c r="P5885" s="43"/>
    </row>
    <row r="5886" spans="1:16" ht="18" x14ac:dyDescent="0.35">
      <c r="A5886" s="9"/>
      <c r="C5886" s="393"/>
      <c r="E5886" s="394"/>
      <c r="F5886" s="394"/>
      <c r="G5886" s="394"/>
      <c r="I5886" s="368">
        <f t="shared" si="279"/>
        <v>0</v>
      </c>
      <c r="J5886" s="365">
        <f t="shared" si="280"/>
        <v>0</v>
      </c>
      <c r="K5886" s="369">
        <f t="shared" si="281"/>
        <v>6</v>
      </c>
      <c r="L5886" s="369">
        <f>+IF((C5886&gt;='Resultats - informe'!$E$16)*(C5886&lt;='Resultats - informe'!$G$16),1,0)</f>
        <v>1</v>
      </c>
      <c r="M5886" s="369" cm="1">
        <f t="array" ref="M5886">+_xlfn.IFS((C5886&gt;='Resultats - informe'!$D$26)*(C5886&lt;='Resultats - informe'!$E$26),0,(C5886&gt;='Resultats - informe'!$D$27)*(C5886&lt;='Resultats - informe'!$E$27),0,(C5886&gt;='Resultats - informe'!$D$28)*(C5886&lt;='Resultats - informe'!$E$28),0,(C5886&gt;='Resultats - informe'!$D$29)*(C5886&lt;='Resultats - informe'!$E$29),0,1,1)</f>
        <v>0</v>
      </c>
      <c r="N5886" s="366">
        <f>+VLOOKUP(D5886,'Resultats - informe'!$Y$18:$AG$42,'Introducció dades consum'!K5886+1,0)</f>
        <v>0</v>
      </c>
      <c r="O5886" s="370" cm="1">
        <f t="array" ref="O5886">+_xlfn.SWITCH(MONTH(C5886),1,1,2,1,3,1,4,2,5,2,6,3,7,3,8,3,9,3,10,2,11,2,12,1,2)</f>
        <v>1</v>
      </c>
      <c r="P5886" s="43"/>
    </row>
    <row r="5887" spans="1:16" ht="18" x14ac:dyDescent="0.35">
      <c r="A5887" s="9"/>
      <c r="C5887" s="393"/>
      <c r="E5887" s="394"/>
      <c r="F5887" s="394"/>
      <c r="G5887" s="394"/>
      <c r="I5887" s="368">
        <f t="shared" si="279"/>
        <v>0</v>
      </c>
      <c r="J5887" s="365">
        <f t="shared" si="280"/>
        <v>0</v>
      </c>
      <c r="K5887" s="369">
        <f t="shared" si="281"/>
        <v>6</v>
      </c>
      <c r="L5887" s="369">
        <f>+IF((C5887&gt;='Resultats - informe'!$E$16)*(C5887&lt;='Resultats - informe'!$G$16),1,0)</f>
        <v>1</v>
      </c>
      <c r="M5887" s="369" cm="1">
        <f t="array" ref="M5887">+_xlfn.IFS((C5887&gt;='Resultats - informe'!$D$26)*(C5887&lt;='Resultats - informe'!$E$26),0,(C5887&gt;='Resultats - informe'!$D$27)*(C5887&lt;='Resultats - informe'!$E$27),0,(C5887&gt;='Resultats - informe'!$D$28)*(C5887&lt;='Resultats - informe'!$E$28),0,(C5887&gt;='Resultats - informe'!$D$29)*(C5887&lt;='Resultats - informe'!$E$29),0,1,1)</f>
        <v>0</v>
      </c>
      <c r="N5887" s="366">
        <f>+VLOOKUP(D5887,'Resultats - informe'!$Y$18:$AG$42,'Introducció dades consum'!K5887+1,0)</f>
        <v>0</v>
      </c>
      <c r="O5887" s="370" cm="1">
        <f t="array" ref="O5887">+_xlfn.SWITCH(MONTH(C5887),1,1,2,1,3,1,4,2,5,2,6,3,7,3,8,3,9,3,10,2,11,2,12,1,2)</f>
        <v>1</v>
      </c>
      <c r="P5887" s="43"/>
    </row>
    <row r="5888" spans="1:16" ht="18" x14ac:dyDescent="0.35">
      <c r="A5888" s="9"/>
      <c r="C5888" s="393"/>
      <c r="E5888" s="394"/>
      <c r="F5888" s="394"/>
      <c r="G5888" s="394"/>
      <c r="I5888" s="368">
        <f t="shared" si="279"/>
        <v>0</v>
      </c>
      <c r="J5888" s="365">
        <f t="shared" si="280"/>
        <v>0</v>
      </c>
      <c r="K5888" s="369">
        <f t="shared" si="281"/>
        <v>6</v>
      </c>
      <c r="L5888" s="369">
        <f>+IF((C5888&gt;='Resultats - informe'!$E$16)*(C5888&lt;='Resultats - informe'!$G$16),1,0)</f>
        <v>1</v>
      </c>
      <c r="M5888" s="369" cm="1">
        <f t="array" ref="M5888">+_xlfn.IFS((C5888&gt;='Resultats - informe'!$D$26)*(C5888&lt;='Resultats - informe'!$E$26),0,(C5888&gt;='Resultats - informe'!$D$27)*(C5888&lt;='Resultats - informe'!$E$27),0,(C5888&gt;='Resultats - informe'!$D$28)*(C5888&lt;='Resultats - informe'!$E$28),0,(C5888&gt;='Resultats - informe'!$D$29)*(C5888&lt;='Resultats - informe'!$E$29),0,1,1)</f>
        <v>0</v>
      </c>
      <c r="N5888" s="366">
        <f>+VLOOKUP(D5888,'Resultats - informe'!$Y$18:$AG$42,'Introducció dades consum'!K5888+1,0)</f>
        <v>0</v>
      </c>
      <c r="O5888" s="370" cm="1">
        <f t="array" ref="O5888">+_xlfn.SWITCH(MONTH(C5888),1,1,2,1,3,1,4,2,5,2,6,3,7,3,8,3,9,3,10,2,11,2,12,1,2)</f>
        <v>1</v>
      </c>
      <c r="P5888" s="43"/>
    </row>
    <row r="5889" spans="1:16" ht="18" x14ac:dyDescent="0.35">
      <c r="A5889" s="9"/>
      <c r="C5889" s="393"/>
      <c r="E5889" s="394"/>
      <c r="F5889" s="394"/>
      <c r="G5889" s="394"/>
      <c r="I5889" s="368">
        <f t="shared" si="279"/>
        <v>0</v>
      </c>
      <c r="J5889" s="365">
        <f t="shared" si="280"/>
        <v>0</v>
      </c>
      <c r="K5889" s="369">
        <f t="shared" si="281"/>
        <v>6</v>
      </c>
      <c r="L5889" s="369">
        <f>+IF((C5889&gt;='Resultats - informe'!$E$16)*(C5889&lt;='Resultats - informe'!$G$16),1,0)</f>
        <v>1</v>
      </c>
      <c r="M5889" s="369" cm="1">
        <f t="array" ref="M5889">+_xlfn.IFS((C5889&gt;='Resultats - informe'!$D$26)*(C5889&lt;='Resultats - informe'!$E$26),0,(C5889&gt;='Resultats - informe'!$D$27)*(C5889&lt;='Resultats - informe'!$E$27),0,(C5889&gt;='Resultats - informe'!$D$28)*(C5889&lt;='Resultats - informe'!$E$28),0,(C5889&gt;='Resultats - informe'!$D$29)*(C5889&lt;='Resultats - informe'!$E$29),0,1,1)</f>
        <v>0</v>
      </c>
      <c r="N5889" s="366">
        <f>+VLOOKUP(D5889,'Resultats - informe'!$Y$18:$AG$42,'Introducció dades consum'!K5889+1,0)</f>
        <v>0</v>
      </c>
      <c r="O5889" s="370" cm="1">
        <f t="array" ref="O5889">+_xlfn.SWITCH(MONTH(C5889),1,1,2,1,3,1,4,2,5,2,6,3,7,3,8,3,9,3,10,2,11,2,12,1,2)</f>
        <v>1</v>
      </c>
      <c r="P5889" s="43"/>
    </row>
    <row r="5890" spans="1:16" ht="18" x14ac:dyDescent="0.35">
      <c r="A5890" s="9"/>
      <c r="C5890" s="393"/>
      <c r="E5890" s="394"/>
      <c r="F5890" s="394"/>
      <c r="G5890" s="394"/>
      <c r="I5890" s="368">
        <f t="shared" si="279"/>
        <v>0</v>
      </c>
      <c r="J5890" s="365">
        <f t="shared" si="280"/>
        <v>0</v>
      </c>
      <c r="K5890" s="369">
        <f t="shared" si="281"/>
        <v>6</v>
      </c>
      <c r="L5890" s="369">
        <f>+IF((C5890&gt;='Resultats - informe'!$E$16)*(C5890&lt;='Resultats - informe'!$G$16),1,0)</f>
        <v>1</v>
      </c>
      <c r="M5890" s="369" cm="1">
        <f t="array" ref="M5890">+_xlfn.IFS((C5890&gt;='Resultats - informe'!$D$26)*(C5890&lt;='Resultats - informe'!$E$26),0,(C5890&gt;='Resultats - informe'!$D$27)*(C5890&lt;='Resultats - informe'!$E$27),0,(C5890&gt;='Resultats - informe'!$D$28)*(C5890&lt;='Resultats - informe'!$E$28),0,(C5890&gt;='Resultats - informe'!$D$29)*(C5890&lt;='Resultats - informe'!$E$29),0,1,1)</f>
        <v>0</v>
      </c>
      <c r="N5890" s="366">
        <f>+VLOOKUP(D5890,'Resultats - informe'!$Y$18:$AG$42,'Introducció dades consum'!K5890+1,0)</f>
        <v>0</v>
      </c>
      <c r="O5890" s="370" cm="1">
        <f t="array" ref="O5890">+_xlfn.SWITCH(MONTH(C5890),1,1,2,1,3,1,4,2,5,2,6,3,7,3,8,3,9,3,10,2,11,2,12,1,2)</f>
        <v>1</v>
      </c>
      <c r="P5890" s="43"/>
    </row>
    <row r="5891" spans="1:16" ht="18" x14ac:dyDescent="0.35">
      <c r="A5891" s="9"/>
      <c r="C5891" s="393"/>
      <c r="E5891" s="394"/>
      <c r="F5891" s="394"/>
      <c r="G5891" s="394"/>
      <c r="I5891" s="368">
        <f t="shared" si="279"/>
        <v>0</v>
      </c>
      <c r="J5891" s="365">
        <f t="shared" si="280"/>
        <v>0</v>
      </c>
      <c r="K5891" s="369">
        <f t="shared" si="281"/>
        <v>6</v>
      </c>
      <c r="L5891" s="369">
        <f>+IF((C5891&gt;='Resultats - informe'!$E$16)*(C5891&lt;='Resultats - informe'!$G$16),1,0)</f>
        <v>1</v>
      </c>
      <c r="M5891" s="369" cm="1">
        <f t="array" ref="M5891">+_xlfn.IFS((C5891&gt;='Resultats - informe'!$D$26)*(C5891&lt;='Resultats - informe'!$E$26),0,(C5891&gt;='Resultats - informe'!$D$27)*(C5891&lt;='Resultats - informe'!$E$27),0,(C5891&gt;='Resultats - informe'!$D$28)*(C5891&lt;='Resultats - informe'!$E$28),0,(C5891&gt;='Resultats - informe'!$D$29)*(C5891&lt;='Resultats - informe'!$E$29),0,1,1)</f>
        <v>0</v>
      </c>
      <c r="N5891" s="366">
        <f>+VLOOKUP(D5891,'Resultats - informe'!$Y$18:$AG$42,'Introducció dades consum'!K5891+1,0)</f>
        <v>0</v>
      </c>
      <c r="O5891" s="370" cm="1">
        <f t="array" ref="O5891">+_xlfn.SWITCH(MONTH(C5891),1,1,2,1,3,1,4,2,5,2,6,3,7,3,8,3,9,3,10,2,11,2,12,1,2)</f>
        <v>1</v>
      </c>
      <c r="P5891" s="43"/>
    </row>
    <row r="5892" spans="1:16" ht="18" x14ac:dyDescent="0.35">
      <c r="A5892" s="9"/>
      <c r="C5892" s="393"/>
      <c r="E5892" s="394"/>
      <c r="F5892" s="394"/>
      <c r="G5892" s="394"/>
      <c r="I5892" s="368">
        <f t="shared" si="279"/>
        <v>0</v>
      </c>
      <c r="J5892" s="365">
        <f t="shared" si="280"/>
        <v>0</v>
      </c>
      <c r="K5892" s="369">
        <f t="shared" si="281"/>
        <v>6</v>
      </c>
      <c r="L5892" s="369">
        <f>+IF((C5892&gt;='Resultats - informe'!$E$16)*(C5892&lt;='Resultats - informe'!$G$16),1,0)</f>
        <v>1</v>
      </c>
      <c r="M5892" s="369" cm="1">
        <f t="array" ref="M5892">+_xlfn.IFS((C5892&gt;='Resultats - informe'!$D$26)*(C5892&lt;='Resultats - informe'!$E$26),0,(C5892&gt;='Resultats - informe'!$D$27)*(C5892&lt;='Resultats - informe'!$E$27),0,(C5892&gt;='Resultats - informe'!$D$28)*(C5892&lt;='Resultats - informe'!$E$28),0,(C5892&gt;='Resultats - informe'!$D$29)*(C5892&lt;='Resultats - informe'!$E$29),0,1,1)</f>
        <v>0</v>
      </c>
      <c r="N5892" s="366">
        <f>+VLOOKUP(D5892,'Resultats - informe'!$Y$18:$AG$42,'Introducció dades consum'!K5892+1,0)</f>
        <v>0</v>
      </c>
      <c r="O5892" s="370" cm="1">
        <f t="array" ref="O5892">+_xlfn.SWITCH(MONTH(C5892),1,1,2,1,3,1,4,2,5,2,6,3,7,3,8,3,9,3,10,2,11,2,12,1,2)</f>
        <v>1</v>
      </c>
      <c r="P5892" s="43"/>
    </row>
    <row r="5893" spans="1:16" ht="18" x14ac:dyDescent="0.35">
      <c r="A5893" s="9"/>
      <c r="C5893" s="393"/>
      <c r="E5893" s="394"/>
      <c r="F5893" s="394"/>
      <c r="G5893" s="394"/>
      <c r="I5893" s="368">
        <f t="shared" si="279"/>
        <v>0</v>
      </c>
      <c r="J5893" s="365">
        <f t="shared" si="280"/>
        <v>0</v>
      </c>
      <c r="K5893" s="369">
        <f t="shared" si="281"/>
        <v>6</v>
      </c>
      <c r="L5893" s="369">
        <f>+IF((C5893&gt;='Resultats - informe'!$E$16)*(C5893&lt;='Resultats - informe'!$G$16),1,0)</f>
        <v>1</v>
      </c>
      <c r="M5893" s="369" cm="1">
        <f t="array" ref="M5893">+_xlfn.IFS((C5893&gt;='Resultats - informe'!$D$26)*(C5893&lt;='Resultats - informe'!$E$26),0,(C5893&gt;='Resultats - informe'!$D$27)*(C5893&lt;='Resultats - informe'!$E$27),0,(C5893&gt;='Resultats - informe'!$D$28)*(C5893&lt;='Resultats - informe'!$E$28),0,(C5893&gt;='Resultats - informe'!$D$29)*(C5893&lt;='Resultats - informe'!$E$29),0,1,1)</f>
        <v>0</v>
      </c>
      <c r="N5893" s="366">
        <f>+VLOOKUP(D5893,'Resultats - informe'!$Y$18:$AG$42,'Introducció dades consum'!K5893+1,0)</f>
        <v>0</v>
      </c>
      <c r="O5893" s="370" cm="1">
        <f t="array" ref="O5893">+_xlfn.SWITCH(MONTH(C5893),1,1,2,1,3,1,4,2,5,2,6,3,7,3,8,3,9,3,10,2,11,2,12,1,2)</f>
        <v>1</v>
      </c>
      <c r="P5893" s="43"/>
    </row>
    <row r="5894" spans="1:16" ht="18" x14ac:dyDescent="0.35">
      <c r="A5894" s="9"/>
      <c r="C5894" s="393"/>
      <c r="E5894" s="394"/>
      <c r="F5894" s="394"/>
      <c r="G5894" s="394"/>
      <c r="I5894" s="368">
        <f t="shared" si="279"/>
        <v>0</v>
      </c>
      <c r="J5894" s="365">
        <f t="shared" si="280"/>
        <v>0</v>
      </c>
      <c r="K5894" s="369">
        <f t="shared" si="281"/>
        <v>6</v>
      </c>
      <c r="L5894" s="369">
        <f>+IF((C5894&gt;='Resultats - informe'!$E$16)*(C5894&lt;='Resultats - informe'!$G$16),1,0)</f>
        <v>1</v>
      </c>
      <c r="M5894" s="369" cm="1">
        <f t="array" ref="M5894">+_xlfn.IFS((C5894&gt;='Resultats - informe'!$D$26)*(C5894&lt;='Resultats - informe'!$E$26),0,(C5894&gt;='Resultats - informe'!$D$27)*(C5894&lt;='Resultats - informe'!$E$27),0,(C5894&gt;='Resultats - informe'!$D$28)*(C5894&lt;='Resultats - informe'!$E$28),0,(C5894&gt;='Resultats - informe'!$D$29)*(C5894&lt;='Resultats - informe'!$E$29),0,1,1)</f>
        <v>0</v>
      </c>
      <c r="N5894" s="366">
        <f>+VLOOKUP(D5894,'Resultats - informe'!$Y$18:$AG$42,'Introducció dades consum'!K5894+1,0)</f>
        <v>0</v>
      </c>
      <c r="O5894" s="370" cm="1">
        <f t="array" ref="O5894">+_xlfn.SWITCH(MONTH(C5894),1,1,2,1,3,1,4,2,5,2,6,3,7,3,8,3,9,3,10,2,11,2,12,1,2)</f>
        <v>1</v>
      </c>
      <c r="P5894" s="43"/>
    </row>
    <row r="5895" spans="1:16" ht="18" x14ac:dyDescent="0.35">
      <c r="A5895" s="9"/>
      <c r="C5895" s="393"/>
      <c r="E5895" s="394"/>
      <c r="F5895" s="394"/>
      <c r="G5895" s="394"/>
      <c r="I5895" s="368">
        <f t="shared" si="279"/>
        <v>0</v>
      </c>
      <c r="J5895" s="365">
        <f t="shared" si="280"/>
        <v>0</v>
      </c>
      <c r="K5895" s="369">
        <f t="shared" si="281"/>
        <v>6</v>
      </c>
      <c r="L5895" s="369">
        <f>+IF((C5895&gt;='Resultats - informe'!$E$16)*(C5895&lt;='Resultats - informe'!$G$16),1,0)</f>
        <v>1</v>
      </c>
      <c r="M5895" s="369" cm="1">
        <f t="array" ref="M5895">+_xlfn.IFS((C5895&gt;='Resultats - informe'!$D$26)*(C5895&lt;='Resultats - informe'!$E$26),0,(C5895&gt;='Resultats - informe'!$D$27)*(C5895&lt;='Resultats - informe'!$E$27),0,(C5895&gt;='Resultats - informe'!$D$28)*(C5895&lt;='Resultats - informe'!$E$28),0,(C5895&gt;='Resultats - informe'!$D$29)*(C5895&lt;='Resultats - informe'!$E$29),0,1,1)</f>
        <v>0</v>
      </c>
      <c r="N5895" s="366">
        <f>+VLOOKUP(D5895,'Resultats - informe'!$Y$18:$AG$42,'Introducció dades consum'!K5895+1,0)</f>
        <v>0</v>
      </c>
      <c r="O5895" s="370" cm="1">
        <f t="array" ref="O5895">+_xlfn.SWITCH(MONTH(C5895),1,1,2,1,3,1,4,2,5,2,6,3,7,3,8,3,9,3,10,2,11,2,12,1,2)</f>
        <v>1</v>
      </c>
      <c r="P5895" s="43"/>
    </row>
    <row r="5896" spans="1:16" ht="18" x14ac:dyDescent="0.35">
      <c r="A5896" s="9"/>
      <c r="C5896" s="393"/>
      <c r="E5896" s="394"/>
      <c r="F5896" s="394"/>
      <c r="G5896" s="394"/>
      <c r="I5896" s="368">
        <f t="shared" si="279"/>
        <v>0</v>
      </c>
      <c r="J5896" s="365">
        <f t="shared" si="280"/>
        <v>0</v>
      </c>
      <c r="K5896" s="369">
        <f t="shared" si="281"/>
        <v>6</v>
      </c>
      <c r="L5896" s="369">
        <f>+IF((C5896&gt;='Resultats - informe'!$E$16)*(C5896&lt;='Resultats - informe'!$G$16),1,0)</f>
        <v>1</v>
      </c>
      <c r="M5896" s="369" cm="1">
        <f t="array" ref="M5896">+_xlfn.IFS((C5896&gt;='Resultats - informe'!$D$26)*(C5896&lt;='Resultats - informe'!$E$26),0,(C5896&gt;='Resultats - informe'!$D$27)*(C5896&lt;='Resultats - informe'!$E$27),0,(C5896&gt;='Resultats - informe'!$D$28)*(C5896&lt;='Resultats - informe'!$E$28),0,(C5896&gt;='Resultats - informe'!$D$29)*(C5896&lt;='Resultats - informe'!$E$29),0,1,1)</f>
        <v>0</v>
      </c>
      <c r="N5896" s="366">
        <f>+VLOOKUP(D5896,'Resultats - informe'!$Y$18:$AG$42,'Introducció dades consum'!K5896+1,0)</f>
        <v>0</v>
      </c>
      <c r="O5896" s="370" cm="1">
        <f t="array" ref="O5896">+_xlfn.SWITCH(MONTH(C5896),1,1,2,1,3,1,4,2,5,2,6,3,7,3,8,3,9,3,10,2,11,2,12,1,2)</f>
        <v>1</v>
      </c>
      <c r="P5896" s="43"/>
    </row>
    <row r="5897" spans="1:16" ht="18" x14ac:dyDescent="0.35">
      <c r="A5897" s="9"/>
      <c r="C5897" s="393"/>
      <c r="E5897" s="394"/>
      <c r="F5897" s="394"/>
      <c r="G5897" s="394"/>
      <c r="I5897" s="368">
        <f t="shared" si="279"/>
        <v>0</v>
      </c>
      <c r="J5897" s="365">
        <f t="shared" si="280"/>
        <v>0</v>
      </c>
      <c r="K5897" s="369">
        <f t="shared" si="281"/>
        <v>6</v>
      </c>
      <c r="L5897" s="369">
        <f>+IF((C5897&gt;='Resultats - informe'!$E$16)*(C5897&lt;='Resultats - informe'!$G$16),1,0)</f>
        <v>1</v>
      </c>
      <c r="M5897" s="369" cm="1">
        <f t="array" ref="M5897">+_xlfn.IFS((C5897&gt;='Resultats - informe'!$D$26)*(C5897&lt;='Resultats - informe'!$E$26),0,(C5897&gt;='Resultats - informe'!$D$27)*(C5897&lt;='Resultats - informe'!$E$27),0,(C5897&gt;='Resultats - informe'!$D$28)*(C5897&lt;='Resultats - informe'!$E$28),0,(C5897&gt;='Resultats - informe'!$D$29)*(C5897&lt;='Resultats - informe'!$E$29),0,1,1)</f>
        <v>0</v>
      </c>
      <c r="N5897" s="366">
        <f>+VLOOKUP(D5897,'Resultats - informe'!$Y$18:$AG$42,'Introducció dades consum'!K5897+1,0)</f>
        <v>0</v>
      </c>
      <c r="O5897" s="370" cm="1">
        <f t="array" ref="O5897">+_xlfn.SWITCH(MONTH(C5897),1,1,2,1,3,1,4,2,5,2,6,3,7,3,8,3,9,3,10,2,11,2,12,1,2)</f>
        <v>1</v>
      </c>
      <c r="P5897" s="43"/>
    </row>
    <row r="5898" spans="1:16" ht="18" x14ac:dyDescent="0.35">
      <c r="A5898" s="9"/>
      <c r="C5898" s="393"/>
      <c r="E5898" s="394"/>
      <c r="F5898" s="394"/>
      <c r="G5898" s="394"/>
      <c r="I5898" s="368">
        <f t="shared" si="279"/>
        <v>0</v>
      </c>
      <c r="J5898" s="365">
        <f t="shared" si="280"/>
        <v>0</v>
      </c>
      <c r="K5898" s="369">
        <f t="shared" si="281"/>
        <v>6</v>
      </c>
      <c r="L5898" s="369">
        <f>+IF((C5898&gt;='Resultats - informe'!$E$16)*(C5898&lt;='Resultats - informe'!$G$16),1,0)</f>
        <v>1</v>
      </c>
      <c r="M5898" s="369" cm="1">
        <f t="array" ref="M5898">+_xlfn.IFS((C5898&gt;='Resultats - informe'!$D$26)*(C5898&lt;='Resultats - informe'!$E$26),0,(C5898&gt;='Resultats - informe'!$D$27)*(C5898&lt;='Resultats - informe'!$E$27),0,(C5898&gt;='Resultats - informe'!$D$28)*(C5898&lt;='Resultats - informe'!$E$28),0,(C5898&gt;='Resultats - informe'!$D$29)*(C5898&lt;='Resultats - informe'!$E$29),0,1,1)</f>
        <v>0</v>
      </c>
      <c r="N5898" s="366">
        <f>+VLOOKUP(D5898,'Resultats - informe'!$Y$18:$AG$42,'Introducció dades consum'!K5898+1,0)</f>
        <v>0</v>
      </c>
      <c r="O5898" s="370" cm="1">
        <f t="array" ref="O5898">+_xlfn.SWITCH(MONTH(C5898),1,1,2,1,3,1,4,2,5,2,6,3,7,3,8,3,9,3,10,2,11,2,12,1,2)</f>
        <v>1</v>
      </c>
      <c r="P5898" s="43"/>
    </row>
    <row r="5899" spans="1:16" ht="18" x14ac:dyDescent="0.35">
      <c r="A5899" s="9"/>
      <c r="C5899" s="393"/>
      <c r="E5899" s="394"/>
      <c r="F5899" s="394"/>
      <c r="G5899" s="394"/>
      <c r="I5899" s="368">
        <f t="shared" si="279"/>
        <v>0</v>
      </c>
      <c r="J5899" s="365">
        <f t="shared" si="280"/>
        <v>0</v>
      </c>
      <c r="K5899" s="369">
        <f t="shared" si="281"/>
        <v>6</v>
      </c>
      <c r="L5899" s="369">
        <f>+IF((C5899&gt;='Resultats - informe'!$E$16)*(C5899&lt;='Resultats - informe'!$G$16),1,0)</f>
        <v>1</v>
      </c>
      <c r="M5899" s="369" cm="1">
        <f t="array" ref="M5899">+_xlfn.IFS((C5899&gt;='Resultats - informe'!$D$26)*(C5899&lt;='Resultats - informe'!$E$26),0,(C5899&gt;='Resultats - informe'!$D$27)*(C5899&lt;='Resultats - informe'!$E$27),0,(C5899&gt;='Resultats - informe'!$D$28)*(C5899&lt;='Resultats - informe'!$E$28),0,(C5899&gt;='Resultats - informe'!$D$29)*(C5899&lt;='Resultats - informe'!$E$29),0,1,1)</f>
        <v>0</v>
      </c>
      <c r="N5899" s="366">
        <f>+VLOOKUP(D5899,'Resultats - informe'!$Y$18:$AG$42,'Introducció dades consum'!K5899+1,0)</f>
        <v>0</v>
      </c>
      <c r="O5899" s="370" cm="1">
        <f t="array" ref="O5899">+_xlfn.SWITCH(MONTH(C5899),1,1,2,1,3,1,4,2,5,2,6,3,7,3,8,3,9,3,10,2,11,2,12,1,2)</f>
        <v>1</v>
      </c>
      <c r="P5899" s="43"/>
    </row>
    <row r="5900" spans="1:16" ht="18" x14ac:dyDescent="0.35">
      <c r="A5900" s="9"/>
      <c r="C5900" s="393"/>
      <c r="E5900" s="394"/>
      <c r="F5900" s="394"/>
      <c r="G5900" s="394"/>
      <c r="I5900" s="368">
        <f t="shared" si="279"/>
        <v>0</v>
      </c>
      <c r="J5900" s="365">
        <f t="shared" si="280"/>
        <v>0</v>
      </c>
      <c r="K5900" s="369">
        <f t="shared" si="281"/>
        <v>6</v>
      </c>
      <c r="L5900" s="369">
        <f>+IF((C5900&gt;='Resultats - informe'!$E$16)*(C5900&lt;='Resultats - informe'!$G$16),1,0)</f>
        <v>1</v>
      </c>
      <c r="M5900" s="369" cm="1">
        <f t="array" ref="M5900">+_xlfn.IFS((C5900&gt;='Resultats - informe'!$D$26)*(C5900&lt;='Resultats - informe'!$E$26),0,(C5900&gt;='Resultats - informe'!$D$27)*(C5900&lt;='Resultats - informe'!$E$27),0,(C5900&gt;='Resultats - informe'!$D$28)*(C5900&lt;='Resultats - informe'!$E$28),0,(C5900&gt;='Resultats - informe'!$D$29)*(C5900&lt;='Resultats - informe'!$E$29),0,1,1)</f>
        <v>0</v>
      </c>
      <c r="N5900" s="366">
        <f>+VLOOKUP(D5900,'Resultats - informe'!$Y$18:$AG$42,'Introducció dades consum'!K5900+1,0)</f>
        <v>0</v>
      </c>
      <c r="O5900" s="370" cm="1">
        <f t="array" ref="O5900">+_xlfn.SWITCH(MONTH(C5900),1,1,2,1,3,1,4,2,5,2,6,3,7,3,8,3,9,3,10,2,11,2,12,1,2)</f>
        <v>1</v>
      </c>
      <c r="P5900" s="43"/>
    </row>
    <row r="5901" spans="1:16" ht="18" x14ac:dyDescent="0.35">
      <c r="A5901" s="9"/>
      <c r="C5901" s="393"/>
      <c r="E5901" s="394"/>
      <c r="F5901" s="394"/>
      <c r="G5901" s="394"/>
      <c r="I5901" s="368">
        <f t="shared" si="279"/>
        <v>0</v>
      </c>
      <c r="J5901" s="365">
        <f t="shared" si="280"/>
        <v>0</v>
      </c>
      <c r="K5901" s="369">
        <f t="shared" si="281"/>
        <v>6</v>
      </c>
      <c r="L5901" s="369">
        <f>+IF((C5901&gt;='Resultats - informe'!$E$16)*(C5901&lt;='Resultats - informe'!$G$16),1,0)</f>
        <v>1</v>
      </c>
      <c r="M5901" s="369" cm="1">
        <f t="array" ref="M5901">+_xlfn.IFS((C5901&gt;='Resultats - informe'!$D$26)*(C5901&lt;='Resultats - informe'!$E$26),0,(C5901&gt;='Resultats - informe'!$D$27)*(C5901&lt;='Resultats - informe'!$E$27),0,(C5901&gt;='Resultats - informe'!$D$28)*(C5901&lt;='Resultats - informe'!$E$28),0,(C5901&gt;='Resultats - informe'!$D$29)*(C5901&lt;='Resultats - informe'!$E$29),0,1,1)</f>
        <v>0</v>
      </c>
      <c r="N5901" s="366">
        <f>+VLOOKUP(D5901,'Resultats - informe'!$Y$18:$AG$42,'Introducció dades consum'!K5901+1,0)</f>
        <v>0</v>
      </c>
      <c r="O5901" s="370" cm="1">
        <f t="array" ref="O5901">+_xlfn.SWITCH(MONTH(C5901),1,1,2,1,3,1,4,2,5,2,6,3,7,3,8,3,9,3,10,2,11,2,12,1,2)</f>
        <v>1</v>
      </c>
      <c r="P5901" s="43"/>
    </row>
    <row r="5902" spans="1:16" ht="18" x14ac:dyDescent="0.35">
      <c r="A5902" s="9"/>
      <c r="C5902" s="393"/>
      <c r="E5902" s="394"/>
      <c r="F5902" s="394"/>
      <c r="G5902" s="394"/>
      <c r="I5902" s="368">
        <f t="shared" si="279"/>
        <v>0</v>
      </c>
      <c r="J5902" s="365">
        <f t="shared" si="280"/>
        <v>0</v>
      </c>
      <c r="K5902" s="369">
        <f t="shared" si="281"/>
        <v>6</v>
      </c>
      <c r="L5902" s="369">
        <f>+IF((C5902&gt;='Resultats - informe'!$E$16)*(C5902&lt;='Resultats - informe'!$G$16),1,0)</f>
        <v>1</v>
      </c>
      <c r="M5902" s="369" cm="1">
        <f t="array" ref="M5902">+_xlfn.IFS((C5902&gt;='Resultats - informe'!$D$26)*(C5902&lt;='Resultats - informe'!$E$26),0,(C5902&gt;='Resultats - informe'!$D$27)*(C5902&lt;='Resultats - informe'!$E$27),0,(C5902&gt;='Resultats - informe'!$D$28)*(C5902&lt;='Resultats - informe'!$E$28),0,(C5902&gt;='Resultats - informe'!$D$29)*(C5902&lt;='Resultats - informe'!$E$29),0,1,1)</f>
        <v>0</v>
      </c>
      <c r="N5902" s="366">
        <f>+VLOOKUP(D5902,'Resultats - informe'!$Y$18:$AG$42,'Introducció dades consum'!K5902+1,0)</f>
        <v>0</v>
      </c>
      <c r="O5902" s="370" cm="1">
        <f t="array" ref="O5902">+_xlfn.SWITCH(MONTH(C5902),1,1,2,1,3,1,4,2,5,2,6,3,7,3,8,3,9,3,10,2,11,2,12,1,2)</f>
        <v>1</v>
      </c>
      <c r="P5902" s="43"/>
    </row>
    <row r="5903" spans="1:16" ht="18" x14ac:dyDescent="0.35">
      <c r="A5903" s="9"/>
      <c r="C5903" s="393"/>
      <c r="E5903" s="394"/>
      <c r="F5903" s="394"/>
      <c r="G5903" s="394"/>
      <c r="I5903" s="368">
        <f t="shared" si="279"/>
        <v>0</v>
      </c>
      <c r="J5903" s="365">
        <f t="shared" si="280"/>
        <v>0</v>
      </c>
      <c r="K5903" s="369">
        <f t="shared" si="281"/>
        <v>6</v>
      </c>
      <c r="L5903" s="369">
        <f>+IF((C5903&gt;='Resultats - informe'!$E$16)*(C5903&lt;='Resultats - informe'!$G$16),1,0)</f>
        <v>1</v>
      </c>
      <c r="M5903" s="369" cm="1">
        <f t="array" ref="M5903">+_xlfn.IFS((C5903&gt;='Resultats - informe'!$D$26)*(C5903&lt;='Resultats - informe'!$E$26),0,(C5903&gt;='Resultats - informe'!$D$27)*(C5903&lt;='Resultats - informe'!$E$27),0,(C5903&gt;='Resultats - informe'!$D$28)*(C5903&lt;='Resultats - informe'!$E$28),0,(C5903&gt;='Resultats - informe'!$D$29)*(C5903&lt;='Resultats - informe'!$E$29),0,1,1)</f>
        <v>0</v>
      </c>
      <c r="N5903" s="366">
        <f>+VLOOKUP(D5903,'Resultats - informe'!$Y$18:$AG$42,'Introducció dades consum'!K5903+1,0)</f>
        <v>0</v>
      </c>
      <c r="O5903" s="370" cm="1">
        <f t="array" ref="O5903">+_xlfn.SWITCH(MONTH(C5903),1,1,2,1,3,1,4,2,5,2,6,3,7,3,8,3,9,3,10,2,11,2,12,1,2)</f>
        <v>1</v>
      </c>
      <c r="P5903" s="43"/>
    </row>
    <row r="5904" spans="1:16" ht="18" x14ac:dyDescent="0.35">
      <c r="A5904" s="9"/>
      <c r="C5904" s="393"/>
      <c r="E5904" s="394"/>
      <c r="F5904" s="394"/>
      <c r="G5904" s="394"/>
      <c r="I5904" s="368">
        <f t="shared" si="279"/>
        <v>0</v>
      </c>
      <c r="J5904" s="365">
        <f t="shared" si="280"/>
        <v>0</v>
      </c>
      <c r="K5904" s="369">
        <f t="shared" si="281"/>
        <v>6</v>
      </c>
      <c r="L5904" s="369">
        <f>+IF((C5904&gt;='Resultats - informe'!$E$16)*(C5904&lt;='Resultats - informe'!$G$16),1,0)</f>
        <v>1</v>
      </c>
      <c r="M5904" s="369" cm="1">
        <f t="array" ref="M5904">+_xlfn.IFS((C5904&gt;='Resultats - informe'!$D$26)*(C5904&lt;='Resultats - informe'!$E$26),0,(C5904&gt;='Resultats - informe'!$D$27)*(C5904&lt;='Resultats - informe'!$E$27),0,(C5904&gt;='Resultats - informe'!$D$28)*(C5904&lt;='Resultats - informe'!$E$28),0,(C5904&gt;='Resultats - informe'!$D$29)*(C5904&lt;='Resultats - informe'!$E$29),0,1,1)</f>
        <v>0</v>
      </c>
      <c r="N5904" s="366">
        <f>+VLOOKUP(D5904,'Resultats - informe'!$Y$18:$AG$42,'Introducció dades consum'!K5904+1,0)</f>
        <v>0</v>
      </c>
      <c r="O5904" s="370" cm="1">
        <f t="array" ref="O5904">+_xlfn.SWITCH(MONTH(C5904),1,1,2,1,3,1,4,2,5,2,6,3,7,3,8,3,9,3,10,2,11,2,12,1,2)</f>
        <v>1</v>
      </c>
      <c r="P5904" s="43"/>
    </row>
    <row r="5905" spans="1:16" ht="18" x14ac:dyDescent="0.35">
      <c r="A5905" s="9"/>
      <c r="C5905" s="393"/>
      <c r="E5905" s="394"/>
      <c r="F5905" s="394"/>
      <c r="G5905" s="394"/>
      <c r="I5905" s="368">
        <f t="shared" si="279"/>
        <v>0</v>
      </c>
      <c r="J5905" s="365">
        <f t="shared" si="280"/>
        <v>0</v>
      </c>
      <c r="K5905" s="369">
        <f t="shared" si="281"/>
        <v>6</v>
      </c>
      <c r="L5905" s="369">
        <f>+IF((C5905&gt;='Resultats - informe'!$E$16)*(C5905&lt;='Resultats - informe'!$G$16),1,0)</f>
        <v>1</v>
      </c>
      <c r="M5905" s="369" cm="1">
        <f t="array" ref="M5905">+_xlfn.IFS((C5905&gt;='Resultats - informe'!$D$26)*(C5905&lt;='Resultats - informe'!$E$26),0,(C5905&gt;='Resultats - informe'!$D$27)*(C5905&lt;='Resultats - informe'!$E$27),0,(C5905&gt;='Resultats - informe'!$D$28)*(C5905&lt;='Resultats - informe'!$E$28),0,(C5905&gt;='Resultats - informe'!$D$29)*(C5905&lt;='Resultats - informe'!$E$29),0,1,1)</f>
        <v>0</v>
      </c>
      <c r="N5905" s="366">
        <f>+VLOOKUP(D5905,'Resultats - informe'!$Y$18:$AG$42,'Introducció dades consum'!K5905+1,0)</f>
        <v>0</v>
      </c>
      <c r="O5905" s="370" cm="1">
        <f t="array" ref="O5905">+_xlfn.SWITCH(MONTH(C5905),1,1,2,1,3,1,4,2,5,2,6,3,7,3,8,3,9,3,10,2,11,2,12,1,2)</f>
        <v>1</v>
      </c>
      <c r="P5905" s="43"/>
    </row>
    <row r="5906" spans="1:16" ht="18" x14ac:dyDescent="0.35">
      <c r="A5906" s="9"/>
      <c r="C5906" s="393"/>
      <c r="E5906" s="394"/>
      <c r="F5906" s="394"/>
      <c r="G5906" s="394"/>
      <c r="I5906" s="368">
        <f t="shared" ref="I5906:I5969" si="282">+E5906+G5906</f>
        <v>0</v>
      </c>
      <c r="J5906" s="365">
        <f t="shared" ref="J5906:J5969" si="283">+C5906</f>
        <v>0</v>
      </c>
      <c r="K5906" s="369">
        <f t="shared" ref="K5906:K5969" si="284">+WEEKDAY(C5906,2)</f>
        <v>6</v>
      </c>
      <c r="L5906" s="369">
        <f>+IF((C5906&gt;='Resultats - informe'!$E$16)*(C5906&lt;='Resultats - informe'!$G$16),1,0)</f>
        <v>1</v>
      </c>
      <c r="M5906" s="369" cm="1">
        <f t="array" ref="M5906">+_xlfn.IFS((C5906&gt;='Resultats - informe'!$D$26)*(C5906&lt;='Resultats - informe'!$E$26),0,(C5906&gt;='Resultats - informe'!$D$27)*(C5906&lt;='Resultats - informe'!$E$27),0,(C5906&gt;='Resultats - informe'!$D$28)*(C5906&lt;='Resultats - informe'!$E$28),0,(C5906&gt;='Resultats - informe'!$D$29)*(C5906&lt;='Resultats - informe'!$E$29),0,1,1)</f>
        <v>0</v>
      </c>
      <c r="N5906" s="366">
        <f>+VLOOKUP(D5906,'Resultats - informe'!$Y$18:$AG$42,'Introducció dades consum'!K5906+1,0)</f>
        <v>0</v>
      </c>
      <c r="O5906" s="370" cm="1">
        <f t="array" ref="O5906">+_xlfn.SWITCH(MONTH(C5906),1,1,2,1,3,1,4,2,5,2,6,3,7,3,8,3,9,3,10,2,11,2,12,1,2)</f>
        <v>1</v>
      </c>
      <c r="P5906" s="43"/>
    </row>
    <row r="5907" spans="1:16" ht="18" x14ac:dyDescent="0.35">
      <c r="A5907" s="9"/>
      <c r="C5907" s="393"/>
      <c r="E5907" s="394"/>
      <c r="F5907" s="394"/>
      <c r="G5907" s="394"/>
      <c r="I5907" s="368">
        <f t="shared" si="282"/>
        <v>0</v>
      </c>
      <c r="J5907" s="365">
        <f t="shared" si="283"/>
        <v>0</v>
      </c>
      <c r="K5907" s="369">
        <f t="shared" si="284"/>
        <v>6</v>
      </c>
      <c r="L5907" s="369">
        <f>+IF((C5907&gt;='Resultats - informe'!$E$16)*(C5907&lt;='Resultats - informe'!$G$16),1,0)</f>
        <v>1</v>
      </c>
      <c r="M5907" s="369" cm="1">
        <f t="array" ref="M5907">+_xlfn.IFS((C5907&gt;='Resultats - informe'!$D$26)*(C5907&lt;='Resultats - informe'!$E$26),0,(C5907&gt;='Resultats - informe'!$D$27)*(C5907&lt;='Resultats - informe'!$E$27),0,(C5907&gt;='Resultats - informe'!$D$28)*(C5907&lt;='Resultats - informe'!$E$28),0,(C5907&gt;='Resultats - informe'!$D$29)*(C5907&lt;='Resultats - informe'!$E$29),0,1,1)</f>
        <v>0</v>
      </c>
      <c r="N5907" s="366">
        <f>+VLOOKUP(D5907,'Resultats - informe'!$Y$18:$AG$42,'Introducció dades consum'!K5907+1,0)</f>
        <v>0</v>
      </c>
      <c r="O5907" s="370" cm="1">
        <f t="array" ref="O5907">+_xlfn.SWITCH(MONTH(C5907),1,1,2,1,3,1,4,2,5,2,6,3,7,3,8,3,9,3,10,2,11,2,12,1,2)</f>
        <v>1</v>
      </c>
      <c r="P5907" s="43"/>
    </row>
    <row r="5908" spans="1:16" ht="18" x14ac:dyDescent="0.35">
      <c r="A5908" s="9"/>
      <c r="C5908" s="393"/>
      <c r="E5908" s="394"/>
      <c r="F5908" s="394"/>
      <c r="G5908" s="394"/>
      <c r="I5908" s="368">
        <f t="shared" si="282"/>
        <v>0</v>
      </c>
      <c r="J5908" s="365">
        <f t="shared" si="283"/>
        <v>0</v>
      </c>
      <c r="K5908" s="369">
        <f t="shared" si="284"/>
        <v>6</v>
      </c>
      <c r="L5908" s="369">
        <f>+IF((C5908&gt;='Resultats - informe'!$E$16)*(C5908&lt;='Resultats - informe'!$G$16),1,0)</f>
        <v>1</v>
      </c>
      <c r="M5908" s="369" cm="1">
        <f t="array" ref="M5908">+_xlfn.IFS((C5908&gt;='Resultats - informe'!$D$26)*(C5908&lt;='Resultats - informe'!$E$26),0,(C5908&gt;='Resultats - informe'!$D$27)*(C5908&lt;='Resultats - informe'!$E$27),0,(C5908&gt;='Resultats - informe'!$D$28)*(C5908&lt;='Resultats - informe'!$E$28),0,(C5908&gt;='Resultats - informe'!$D$29)*(C5908&lt;='Resultats - informe'!$E$29),0,1,1)</f>
        <v>0</v>
      </c>
      <c r="N5908" s="366">
        <f>+VLOOKUP(D5908,'Resultats - informe'!$Y$18:$AG$42,'Introducció dades consum'!K5908+1,0)</f>
        <v>0</v>
      </c>
      <c r="O5908" s="370" cm="1">
        <f t="array" ref="O5908">+_xlfn.SWITCH(MONTH(C5908),1,1,2,1,3,1,4,2,5,2,6,3,7,3,8,3,9,3,10,2,11,2,12,1,2)</f>
        <v>1</v>
      </c>
      <c r="P5908" s="43"/>
    </row>
    <row r="5909" spans="1:16" ht="18" x14ac:dyDescent="0.35">
      <c r="A5909" s="9"/>
      <c r="C5909" s="393"/>
      <c r="E5909" s="394"/>
      <c r="F5909" s="394"/>
      <c r="G5909" s="394"/>
      <c r="I5909" s="368">
        <f t="shared" si="282"/>
        <v>0</v>
      </c>
      <c r="J5909" s="365">
        <f t="shared" si="283"/>
        <v>0</v>
      </c>
      <c r="K5909" s="369">
        <f t="shared" si="284"/>
        <v>6</v>
      </c>
      <c r="L5909" s="369">
        <f>+IF((C5909&gt;='Resultats - informe'!$E$16)*(C5909&lt;='Resultats - informe'!$G$16),1,0)</f>
        <v>1</v>
      </c>
      <c r="M5909" s="369" cm="1">
        <f t="array" ref="M5909">+_xlfn.IFS((C5909&gt;='Resultats - informe'!$D$26)*(C5909&lt;='Resultats - informe'!$E$26),0,(C5909&gt;='Resultats - informe'!$D$27)*(C5909&lt;='Resultats - informe'!$E$27),0,(C5909&gt;='Resultats - informe'!$D$28)*(C5909&lt;='Resultats - informe'!$E$28),0,(C5909&gt;='Resultats - informe'!$D$29)*(C5909&lt;='Resultats - informe'!$E$29),0,1,1)</f>
        <v>0</v>
      </c>
      <c r="N5909" s="366">
        <f>+VLOOKUP(D5909,'Resultats - informe'!$Y$18:$AG$42,'Introducció dades consum'!K5909+1,0)</f>
        <v>0</v>
      </c>
      <c r="O5909" s="370" cm="1">
        <f t="array" ref="O5909">+_xlfn.SWITCH(MONTH(C5909),1,1,2,1,3,1,4,2,5,2,6,3,7,3,8,3,9,3,10,2,11,2,12,1,2)</f>
        <v>1</v>
      </c>
      <c r="P5909" s="43"/>
    </row>
    <row r="5910" spans="1:16" ht="18" x14ac:dyDescent="0.35">
      <c r="A5910" s="9"/>
      <c r="C5910" s="393"/>
      <c r="E5910" s="394"/>
      <c r="F5910" s="394"/>
      <c r="G5910" s="394"/>
      <c r="I5910" s="368">
        <f t="shared" si="282"/>
        <v>0</v>
      </c>
      <c r="J5910" s="365">
        <f t="shared" si="283"/>
        <v>0</v>
      </c>
      <c r="K5910" s="369">
        <f t="shared" si="284"/>
        <v>6</v>
      </c>
      <c r="L5910" s="369">
        <f>+IF((C5910&gt;='Resultats - informe'!$E$16)*(C5910&lt;='Resultats - informe'!$G$16),1,0)</f>
        <v>1</v>
      </c>
      <c r="M5910" s="369" cm="1">
        <f t="array" ref="M5910">+_xlfn.IFS((C5910&gt;='Resultats - informe'!$D$26)*(C5910&lt;='Resultats - informe'!$E$26),0,(C5910&gt;='Resultats - informe'!$D$27)*(C5910&lt;='Resultats - informe'!$E$27),0,(C5910&gt;='Resultats - informe'!$D$28)*(C5910&lt;='Resultats - informe'!$E$28),0,(C5910&gt;='Resultats - informe'!$D$29)*(C5910&lt;='Resultats - informe'!$E$29),0,1,1)</f>
        <v>0</v>
      </c>
      <c r="N5910" s="366">
        <f>+VLOOKUP(D5910,'Resultats - informe'!$Y$18:$AG$42,'Introducció dades consum'!K5910+1,0)</f>
        <v>0</v>
      </c>
      <c r="O5910" s="370" cm="1">
        <f t="array" ref="O5910">+_xlfn.SWITCH(MONTH(C5910),1,1,2,1,3,1,4,2,5,2,6,3,7,3,8,3,9,3,10,2,11,2,12,1,2)</f>
        <v>1</v>
      </c>
      <c r="P5910" s="43"/>
    </row>
    <row r="5911" spans="1:16" ht="18" x14ac:dyDescent="0.35">
      <c r="A5911" s="9"/>
      <c r="C5911" s="393"/>
      <c r="E5911" s="394"/>
      <c r="F5911" s="394"/>
      <c r="G5911" s="394"/>
      <c r="I5911" s="368">
        <f t="shared" si="282"/>
        <v>0</v>
      </c>
      <c r="J5911" s="365">
        <f t="shared" si="283"/>
        <v>0</v>
      </c>
      <c r="K5911" s="369">
        <f t="shared" si="284"/>
        <v>6</v>
      </c>
      <c r="L5911" s="369">
        <f>+IF((C5911&gt;='Resultats - informe'!$E$16)*(C5911&lt;='Resultats - informe'!$G$16),1,0)</f>
        <v>1</v>
      </c>
      <c r="M5911" s="369" cm="1">
        <f t="array" ref="M5911">+_xlfn.IFS((C5911&gt;='Resultats - informe'!$D$26)*(C5911&lt;='Resultats - informe'!$E$26),0,(C5911&gt;='Resultats - informe'!$D$27)*(C5911&lt;='Resultats - informe'!$E$27),0,(C5911&gt;='Resultats - informe'!$D$28)*(C5911&lt;='Resultats - informe'!$E$28),0,(C5911&gt;='Resultats - informe'!$D$29)*(C5911&lt;='Resultats - informe'!$E$29),0,1,1)</f>
        <v>0</v>
      </c>
      <c r="N5911" s="366">
        <f>+VLOOKUP(D5911,'Resultats - informe'!$Y$18:$AG$42,'Introducció dades consum'!K5911+1,0)</f>
        <v>0</v>
      </c>
      <c r="O5911" s="370" cm="1">
        <f t="array" ref="O5911">+_xlfn.SWITCH(MONTH(C5911),1,1,2,1,3,1,4,2,5,2,6,3,7,3,8,3,9,3,10,2,11,2,12,1,2)</f>
        <v>1</v>
      </c>
      <c r="P5911" s="43"/>
    </row>
    <row r="5912" spans="1:16" ht="18" x14ac:dyDescent="0.35">
      <c r="A5912" s="9"/>
      <c r="C5912" s="393"/>
      <c r="E5912" s="394"/>
      <c r="F5912" s="394"/>
      <c r="G5912" s="394"/>
      <c r="I5912" s="368">
        <f t="shared" si="282"/>
        <v>0</v>
      </c>
      <c r="J5912" s="365">
        <f t="shared" si="283"/>
        <v>0</v>
      </c>
      <c r="K5912" s="369">
        <f t="shared" si="284"/>
        <v>6</v>
      </c>
      <c r="L5912" s="369">
        <f>+IF((C5912&gt;='Resultats - informe'!$E$16)*(C5912&lt;='Resultats - informe'!$G$16),1,0)</f>
        <v>1</v>
      </c>
      <c r="M5912" s="369" cm="1">
        <f t="array" ref="M5912">+_xlfn.IFS((C5912&gt;='Resultats - informe'!$D$26)*(C5912&lt;='Resultats - informe'!$E$26),0,(C5912&gt;='Resultats - informe'!$D$27)*(C5912&lt;='Resultats - informe'!$E$27),0,(C5912&gt;='Resultats - informe'!$D$28)*(C5912&lt;='Resultats - informe'!$E$28),0,(C5912&gt;='Resultats - informe'!$D$29)*(C5912&lt;='Resultats - informe'!$E$29),0,1,1)</f>
        <v>0</v>
      </c>
      <c r="N5912" s="366">
        <f>+VLOOKUP(D5912,'Resultats - informe'!$Y$18:$AG$42,'Introducció dades consum'!K5912+1,0)</f>
        <v>0</v>
      </c>
      <c r="O5912" s="370" cm="1">
        <f t="array" ref="O5912">+_xlfn.SWITCH(MONTH(C5912),1,1,2,1,3,1,4,2,5,2,6,3,7,3,8,3,9,3,10,2,11,2,12,1,2)</f>
        <v>1</v>
      </c>
      <c r="P5912" s="43"/>
    </row>
    <row r="5913" spans="1:16" ht="18" x14ac:dyDescent="0.35">
      <c r="A5913" s="9"/>
      <c r="C5913" s="393"/>
      <c r="E5913" s="394"/>
      <c r="F5913" s="394"/>
      <c r="G5913" s="394"/>
      <c r="I5913" s="368">
        <f t="shared" si="282"/>
        <v>0</v>
      </c>
      <c r="J5913" s="365">
        <f t="shared" si="283"/>
        <v>0</v>
      </c>
      <c r="K5913" s="369">
        <f t="shared" si="284"/>
        <v>6</v>
      </c>
      <c r="L5913" s="369">
        <f>+IF((C5913&gt;='Resultats - informe'!$E$16)*(C5913&lt;='Resultats - informe'!$G$16),1,0)</f>
        <v>1</v>
      </c>
      <c r="M5913" s="369" cm="1">
        <f t="array" ref="M5913">+_xlfn.IFS((C5913&gt;='Resultats - informe'!$D$26)*(C5913&lt;='Resultats - informe'!$E$26),0,(C5913&gt;='Resultats - informe'!$D$27)*(C5913&lt;='Resultats - informe'!$E$27),0,(C5913&gt;='Resultats - informe'!$D$28)*(C5913&lt;='Resultats - informe'!$E$28),0,(C5913&gt;='Resultats - informe'!$D$29)*(C5913&lt;='Resultats - informe'!$E$29),0,1,1)</f>
        <v>0</v>
      </c>
      <c r="N5913" s="366">
        <f>+VLOOKUP(D5913,'Resultats - informe'!$Y$18:$AG$42,'Introducció dades consum'!K5913+1,0)</f>
        <v>0</v>
      </c>
      <c r="O5913" s="370" cm="1">
        <f t="array" ref="O5913">+_xlfn.SWITCH(MONTH(C5913),1,1,2,1,3,1,4,2,5,2,6,3,7,3,8,3,9,3,10,2,11,2,12,1,2)</f>
        <v>1</v>
      </c>
      <c r="P5913" s="43"/>
    </row>
    <row r="5914" spans="1:16" ht="18" x14ac:dyDescent="0.35">
      <c r="A5914" s="9"/>
      <c r="C5914" s="393"/>
      <c r="E5914" s="394"/>
      <c r="F5914" s="394"/>
      <c r="G5914" s="394"/>
      <c r="I5914" s="368">
        <f t="shared" si="282"/>
        <v>0</v>
      </c>
      <c r="J5914" s="365">
        <f t="shared" si="283"/>
        <v>0</v>
      </c>
      <c r="K5914" s="369">
        <f t="shared" si="284"/>
        <v>6</v>
      </c>
      <c r="L5914" s="369">
        <f>+IF((C5914&gt;='Resultats - informe'!$E$16)*(C5914&lt;='Resultats - informe'!$G$16),1,0)</f>
        <v>1</v>
      </c>
      <c r="M5914" s="369" cm="1">
        <f t="array" ref="M5914">+_xlfn.IFS((C5914&gt;='Resultats - informe'!$D$26)*(C5914&lt;='Resultats - informe'!$E$26),0,(C5914&gt;='Resultats - informe'!$D$27)*(C5914&lt;='Resultats - informe'!$E$27),0,(C5914&gt;='Resultats - informe'!$D$28)*(C5914&lt;='Resultats - informe'!$E$28),0,(C5914&gt;='Resultats - informe'!$D$29)*(C5914&lt;='Resultats - informe'!$E$29),0,1,1)</f>
        <v>0</v>
      </c>
      <c r="N5914" s="366">
        <f>+VLOOKUP(D5914,'Resultats - informe'!$Y$18:$AG$42,'Introducció dades consum'!K5914+1,0)</f>
        <v>0</v>
      </c>
      <c r="O5914" s="370" cm="1">
        <f t="array" ref="O5914">+_xlfn.SWITCH(MONTH(C5914),1,1,2,1,3,1,4,2,5,2,6,3,7,3,8,3,9,3,10,2,11,2,12,1,2)</f>
        <v>1</v>
      </c>
      <c r="P5914" s="43"/>
    </row>
    <row r="5915" spans="1:16" ht="18" x14ac:dyDescent="0.35">
      <c r="A5915" s="9"/>
      <c r="C5915" s="393"/>
      <c r="E5915" s="394"/>
      <c r="F5915" s="394"/>
      <c r="G5915" s="394"/>
      <c r="I5915" s="368">
        <f t="shared" si="282"/>
        <v>0</v>
      </c>
      <c r="J5915" s="365">
        <f t="shared" si="283"/>
        <v>0</v>
      </c>
      <c r="K5915" s="369">
        <f t="shared" si="284"/>
        <v>6</v>
      </c>
      <c r="L5915" s="369">
        <f>+IF((C5915&gt;='Resultats - informe'!$E$16)*(C5915&lt;='Resultats - informe'!$G$16),1,0)</f>
        <v>1</v>
      </c>
      <c r="M5915" s="369" cm="1">
        <f t="array" ref="M5915">+_xlfn.IFS((C5915&gt;='Resultats - informe'!$D$26)*(C5915&lt;='Resultats - informe'!$E$26),0,(C5915&gt;='Resultats - informe'!$D$27)*(C5915&lt;='Resultats - informe'!$E$27),0,(C5915&gt;='Resultats - informe'!$D$28)*(C5915&lt;='Resultats - informe'!$E$28),0,(C5915&gt;='Resultats - informe'!$D$29)*(C5915&lt;='Resultats - informe'!$E$29),0,1,1)</f>
        <v>0</v>
      </c>
      <c r="N5915" s="366">
        <f>+VLOOKUP(D5915,'Resultats - informe'!$Y$18:$AG$42,'Introducció dades consum'!K5915+1,0)</f>
        <v>0</v>
      </c>
      <c r="O5915" s="370" cm="1">
        <f t="array" ref="O5915">+_xlfn.SWITCH(MONTH(C5915),1,1,2,1,3,1,4,2,5,2,6,3,7,3,8,3,9,3,10,2,11,2,12,1,2)</f>
        <v>1</v>
      </c>
      <c r="P5915" s="43"/>
    </row>
    <row r="5916" spans="1:16" ht="18" x14ac:dyDescent="0.35">
      <c r="A5916" s="9"/>
      <c r="C5916" s="393"/>
      <c r="E5916" s="394"/>
      <c r="F5916" s="394"/>
      <c r="G5916" s="394"/>
      <c r="I5916" s="368">
        <f t="shared" si="282"/>
        <v>0</v>
      </c>
      <c r="J5916" s="365">
        <f t="shared" si="283"/>
        <v>0</v>
      </c>
      <c r="K5916" s="369">
        <f t="shared" si="284"/>
        <v>6</v>
      </c>
      <c r="L5916" s="369">
        <f>+IF((C5916&gt;='Resultats - informe'!$E$16)*(C5916&lt;='Resultats - informe'!$G$16),1,0)</f>
        <v>1</v>
      </c>
      <c r="M5916" s="369" cm="1">
        <f t="array" ref="M5916">+_xlfn.IFS((C5916&gt;='Resultats - informe'!$D$26)*(C5916&lt;='Resultats - informe'!$E$26),0,(C5916&gt;='Resultats - informe'!$D$27)*(C5916&lt;='Resultats - informe'!$E$27),0,(C5916&gt;='Resultats - informe'!$D$28)*(C5916&lt;='Resultats - informe'!$E$28),0,(C5916&gt;='Resultats - informe'!$D$29)*(C5916&lt;='Resultats - informe'!$E$29),0,1,1)</f>
        <v>0</v>
      </c>
      <c r="N5916" s="366">
        <f>+VLOOKUP(D5916,'Resultats - informe'!$Y$18:$AG$42,'Introducció dades consum'!K5916+1,0)</f>
        <v>0</v>
      </c>
      <c r="O5916" s="370" cm="1">
        <f t="array" ref="O5916">+_xlfn.SWITCH(MONTH(C5916),1,1,2,1,3,1,4,2,5,2,6,3,7,3,8,3,9,3,10,2,11,2,12,1,2)</f>
        <v>1</v>
      </c>
      <c r="P5916" s="43"/>
    </row>
    <row r="5917" spans="1:16" ht="18" x14ac:dyDescent="0.35">
      <c r="A5917" s="9"/>
      <c r="C5917" s="393"/>
      <c r="E5917" s="394"/>
      <c r="F5917" s="394"/>
      <c r="G5917" s="394"/>
      <c r="I5917" s="368">
        <f t="shared" si="282"/>
        <v>0</v>
      </c>
      <c r="J5917" s="365">
        <f t="shared" si="283"/>
        <v>0</v>
      </c>
      <c r="K5917" s="369">
        <f t="shared" si="284"/>
        <v>6</v>
      </c>
      <c r="L5917" s="369">
        <f>+IF((C5917&gt;='Resultats - informe'!$E$16)*(C5917&lt;='Resultats - informe'!$G$16),1,0)</f>
        <v>1</v>
      </c>
      <c r="M5917" s="369" cm="1">
        <f t="array" ref="M5917">+_xlfn.IFS((C5917&gt;='Resultats - informe'!$D$26)*(C5917&lt;='Resultats - informe'!$E$26),0,(C5917&gt;='Resultats - informe'!$D$27)*(C5917&lt;='Resultats - informe'!$E$27),0,(C5917&gt;='Resultats - informe'!$D$28)*(C5917&lt;='Resultats - informe'!$E$28),0,(C5917&gt;='Resultats - informe'!$D$29)*(C5917&lt;='Resultats - informe'!$E$29),0,1,1)</f>
        <v>0</v>
      </c>
      <c r="N5917" s="366">
        <f>+VLOOKUP(D5917,'Resultats - informe'!$Y$18:$AG$42,'Introducció dades consum'!K5917+1,0)</f>
        <v>0</v>
      </c>
      <c r="O5917" s="370" cm="1">
        <f t="array" ref="O5917">+_xlfn.SWITCH(MONTH(C5917),1,1,2,1,3,1,4,2,5,2,6,3,7,3,8,3,9,3,10,2,11,2,12,1,2)</f>
        <v>1</v>
      </c>
      <c r="P5917" s="43"/>
    </row>
    <row r="5918" spans="1:16" ht="18" x14ac:dyDescent="0.35">
      <c r="A5918" s="9"/>
      <c r="C5918" s="393"/>
      <c r="E5918" s="394"/>
      <c r="F5918" s="394"/>
      <c r="G5918" s="394"/>
      <c r="I5918" s="368">
        <f t="shared" si="282"/>
        <v>0</v>
      </c>
      <c r="J5918" s="365">
        <f t="shared" si="283"/>
        <v>0</v>
      </c>
      <c r="K5918" s="369">
        <f t="shared" si="284"/>
        <v>6</v>
      </c>
      <c r="L5918" s="369">
        <f>+IF((C5918&gt;='Resultats - informe'!$E$16)*(C5918&lt;='Resultats - informe'!$G$16),1,0)</f>
        <v>1</v>
      </c>
      <c r="M5918" s="369" cm="1">
        <f t="array" ref="M5918">+_xlfn.IFS((C5918&gt;='Resultats - informe'!$D$26)*(C5918&lt;='Resultats - informe'!$E$26),0,(C5918&gt;='Resultats - informe'!$D$27)*(C5918&lt;='Resultats - informe'!$E$27),0,(C5918&gt;='Resultats - informe'!$D$28)*(C5918&lt;='Resultats - informe'!$E$28),0,(C5918&gt;='Resultats - informe'!$D$29)*(C5918&lt;='Resultats - informe'!$E$29),0,1,1)</f>
        <v>0</v>
      </c>
      <c r="N5918" s="366">
        <f>+VLOOKUP(D5918,'Resultats - informe'!$Y$18:$AG$42,'Introducció dades consum'!K5918+1,0)</f>
        <v>0</v>
      </c>
      <c r="O5918" s="370" cm="1">
        <f t="array" ref="O5918">+_xlfn.SWITCH(MONTH(C5918),1,1,2,1,3,1,4,2,5,2,6,3,7,3,8,3,9,3,10,2,11,2,12,1,2)</f>
        <v>1</v>
      </c>
      <c r="P5918" s="43"/>
    </row>
    <row r="5919" spans="1:16" ht="18" x14ac:dyDescent="0.35">
      <c r="A5919" s="9"/>
      <c r="C5919" s="393"/>
      <c r="E5919" s="394"/>
      <c r="F5919" s="394"/>
      <c r="G5919" s="394"/>
      <c r="I5919" s="368">
        <f t="shared" si="282"/>
        <v>0</v>
      </c>
      <c r="J5919" s="365">
        <f t="shared" si="283"/>
        <v>0</v>
      </c>
      <c r="K5919" s="369">
        <f t="shared" si="284"/>
        <v>6</v>
      </c>
      <c r="L5919" s="369">
        <f>+IF((C5919&gt;='Resultats - informe'!$E$16)*(C5919&lt;='Resultats - informe'!$G$16),1,0)</f>
        <v>1</v>
      </c>
      <c r="M5919" s="369" cm="1">
        <f t="array" ref="M5919">+_xlfn.IFS((C5919&gt;='Resultats - informe'!$D$26)*(C5919&lt;='Resultats - informe'!$E$26),0,(C5919&gt;='Resultats - informe'!$D$27)*(C5919&lt;='Resultats - informe'!$E$27),0,(C5919&gt;='Resultats - informe'!$D$28)*(C5919&lt;='Resultats - informe'!$E$28),0,(C5919&gt;='Resultats - informe'!$D$29)*(C5919&lt;='Resultats - informe'!$E$29),0,1,1)</f>
        <v>0</v>
      </c>
      <c r="N5919" s="366">
        <f>+VLOOKUP(D5919,'Resultats - informe'!$Y$18:$AG$42,'Introducció dades consum'!K5919+1,0)</f>
        <v>0</v>
      </c>
      <c r="O5919" s="370" cm="1">
        <f t="array" ref="O5919">+_xlfn.SWITCH(MONTH(C5919),1,1,2,1,3,1,4,2,5,2,6,3,7,3,8,3,9,3,10,2,11,2,12,1,2)</f>
        <v>1</v>
      </c>
      <c r="P5919" s="43"/>
    </row>
    <row r="5920" spans="1:16" ht="18" x14ac:dyDescent="0.35">
      <c r="A5920" s="9"/>
      <c r="C5920" s="393"/>
      <c r="E5920" s="394"/>
      <c r="F5920" s="394"/>
      <c r="G5920" s="394"/>
      <c r="I5920" s="368">
        <f t="shared" si="282"/>
        <v>0</v>
      </c>
      <c r="J5920" s="365">
        <f t="shared" si="283"/>
        <v>0</v>
      </c>
      <c r="K5920" s="369">
        <f t="shared" si="284"/>
        <v>6</v>
      </c>
      <c r="L5920" s="369">
        <f>+IF((C5920&gt;='Resultats - informe'!$E$16)*(C5920&lt;='Resultats - informe'!$G$16),1,0)</f>
        <v>1</v>
      </c>
      <c r="M5920" s="369" cm="1">
        <f t="array" ref="M5920">+_xlfn.IFS((C5920&gt;='Resultats - informe'!$D$26)*(C5920&lt;='Resultats - informe'!$E$26),0,(C5920&gt;='Resultats - informe'!$D$27)*(C5920&lt;='Resultats - informe'!$E$27),0,(C5920&gt;='Resultats - informe'!$D$28)*(C5920&lt;='Resultats - informe'!$E$28),0,(C5920&gt;='Resultats - informe'!$D$29)*(C5920&lt;='Resultats - informe'!$E$29),0,1,1)</f>
        <v>0</v>
      </c>
      <c r="N5920" s="366">
        <f>+VLOOKUP(D5920,'Resultats - informe'!$Y$18:$AG$42,'Introducció dades consum'!K5920+1,0)</f>
        <v>0</v>
      </c>
      <c r="O5920" s="370" cm="1">
        <f t="array" ref="O5920">+_xlfn.SWITCH(MONTH(C5920),1,1,2,1,3,1,4,2,5,2,6,3,7,3,8,3,9,3,10,2,11,2,12,1,2)</f>
        <v>1</v>
      </c>
      <c r="P5920" s="43"/>
    </row>
    <row r="5921" spans="1:16" ht="18" x14ac:dyDescent="0.35">
      <c r="A5921" s="9"/>
      <c r="C5921" s="393"/>
      <c r="E5921" s="394"/>
      <c r="F5921" s="394"/>
      <c r="G5921" s="394"/>
      <c r="I5921" s="368">
        <f t="shared" si="282"/>
        <v>0</v>
      </c>
      <c r="J5921" s="365">
        <f t="shared" si="283"/>
        <v>0</v>
      </c>
      <c r="K5921" s="369">
        <f t="shared" si="284"/>
        <v>6</v>
      </c>
      <c r="L5921" s="369">
        <f>+IF((C5921&gt;='Resultats - informe'!$E$16)*(C5921&lt;='Resultats - informe'!$G$16),1,0)</f>
        <v>1</v>
      </c>
      <c r="M5921" s="369" cm="1">
        <f t="array" ref="M5921">+_xlfn.IFS((C5921&gt;='Resultats - informe'!$D$26)*(C5921&lt;='Resultats - informe'!$E$26),0,(C5921&gt;='Resultats - informe'!$D$27)*(C5921&lt;='Resultats - informe'!$E$27),0,(C5921&gt;='Resultats - informe'!$D$28)*(C5921&lt;='Resultats - informe'!$E$28),0,(C5921&gt;='Resultats - informe'!$D$29)*(C5921&lt;='Resultats - informe'!$E$29),0,1,1)</f>
        <v>0</v>
      </c>
      <c r="N5921" s="366">
        <f>+VLOOKUP(D5921,'Resultats - informe'!$Y$18:$AG$42,'Introducció dades consum'!K5921+1,0)</f>
        <v>0</v>
      </c>
      <c r="O5921" s="370" cm="1">
        <f t="array" ref="O5921">+_xlfn.SWITCH(MONTH(C5921),1,1,2,1,3,1,4,2,5,2,6,3,7,3,8,3,9,3,10,2,11,2,12,1,2)</f>
        <v>1</v>
      </c>
      <c r="P5921" s="43"/>
    </row>
    <row r="5922" spans="1:16" ht="18" x14ac:dyDescent="0.35">
      <c r="A5922" s="9"/>
      <c r="C5922" s="393"/>
      <c r="E5922" s="394"/>
      <c r="F5922" s="394"/>
      <c r="G5922" s="394"/>
      <c r="I5922" s="368">
        <f t="shared" si="282"/>
        <v>0</v>
      </c>
      <c r="J5922" s="365">
        <f t="shared" si="283"/>
        <v>0</v>
      </c>
      <c r="K5922" s="369">
        <f t="shared" si="284"/>
        <v>6</v>
      </c>
      <c r="L5922" s="369">
        <f>+IF((C5922&gt;='Resultats - informe'!$E$16)*(C5922&lt;='Resultats - informe'!$G$16),1,0)</f>
        <v>1</v>
      </c>
      <c r="M5922" s="369" cm="1">
        <f t="array" ref="M5922">+_xlfn.IFS((C5922&gt;='Resultats - informe'!$D$26)*(C5922&lt;='Resultats - informe'!$E$26),0,(C5922&gt;='Resultats - informe'!$D$27)*(C5922&lt;='Resultats - informe'!$E$27),0,(C5922&gt;='Resultats - informe'!$D$28)*(C5922&lt;='Resultats - informe'!$E$28),0,(C5922&gt;='Resultats - informe'!$D$29)*(C5922&lt;='Resultats - informe'!$E$29),0,1,1)</f>
        <v>0</v>
      </c>
      <c r="N5922" s="366">
        <f>+VLOOKUP(D5922,'Resultats - informe'!$Y$18:$AG$42,'Introducció dades consum'!K5922+1,0)</f>
        <v>0</v>
      </c>
      <c r="O5922" s="370" cm="1">
        <f t="array" ref="O5922">+_xlfn.SWITCH(MONTH(C5922),1,1,2,1,3,1,4,2,5,2,6,3,7,3,8,3,9,3,10,2,11,2,12,1,2)</f>
        <v>1</v>
      </c>
      <c r="P5922" s="43"/>
    </row>
    <row r="5923" spans="1:16" ht="18" x14ac:dyDescent="0.35">
      <c r="A5923" s="9"/>
      <c r="C5923" s="393"/>
      <c r="E5923" s="394"/>
      <c r="F5923" s="394"/>
      <c r="G5923" s="394"/>
      <c r="I5923" s="368">
        <f t="shared" si="282"/>
        <v>0</v>
      </c>
      <c r="J5923" s="365">
        <f t="shared" si="283"/>
        <v>0</v>
      </c>
      <c r="K5923" s="369">
        <f t="shared" si="284"/>
        <v>6</v>
      </c>
      <c r="L5923" s="369">
        <f>+IF((C5923&gt;='Resultats - informe'!$E$16)*(C5923&lt;='Resultats - informe'!$G$16),1,0)</f>
        <v>1</v>
      </c>
      <c r="M5923" s="369" cm="1">
        <f t="array" ref="M5923">+_xlfn.IFS((C5923&gt;='Resultats - informe'!$D$26)*(C5923&lt;='Resultats - informe'!$E$26),0,(C5923&gt;='Resultats - informe'!$D$27)*(C5923&lt;='Resultats - informe'!$E$27),0,(C5923&gt;='Resultats - informe'!$D$28)*(C5923&lt;='Resultats - informe'!$E$28),0,(C5923&gt;='Resultats - informe'!$D$29)*(C5923&lt;='Resultats - informe'!$E$29),0,1,1)</f>
        <v>0</v>
      </c>
      <c r="N5923" s="366">
        <f>+VLOOKUP(D5923,'Resultats - informe'!$Y$18:$AG$42,'Introducció dades consum'!K5923+1,0)</f>
        <v>0</v>
      </c>
      <c r="O5923" s="370" cm="1">
        <f t="array" ref="O5923">+_xlfn.SWITCH(MONTH(C5923),1,1,2,1,3,1,4,2,5,2,6,3,7,3,8,3,9,3,10,2,11,2,12,1,2)</f>
        <v>1</v>
      </c>
      <c r="P5923" s="43"/>
    </row>
    <row r="5924" spans="1:16" ht="18" x14ac:dyDescent="0.35">
      <c r="A5924" s="9"/>
      <c r="C5924" s="393"/>
      <c r="E5924" s="394"/>
      <c r="F5924" s="394"/>
      <c r="G5924" s="394"/>
      <c r="I5924" s="368">
        <f t="shared" si="282"/>
        <v>0</v>
      </c>
      <c r="J5924" s="365">
        <f t="shared" si="283"/>
        <v>0</v>
      </c>
      <c r="K5924" s="369">
        <f t="shared" si="284"/>
        <v>6</v>
      </c>
      <c r="L5924" s="369">
        <f>+IF((C5924&gt;='Resultats - informe'!$E$16)*(C5924&lt;='Resultats - informe'!$G$16),1,0)</f>
        <v>1</v>
      </c>
      <c r="M5924" s="369" cm="1">
        <f t="array" ref="M5924">+_xlfn.IFS((C5924&gt;='Resultats - informe'!$D$26)*(C5924&lt;='Resultats - informe'!$E$26),0,(C5924&gt;='Resultats - informe'!$D$27)*(C5924&lt;='Resultats - informe'!$E$27),0,(C5924&gt;='Resultats - informe'!$D$28)*(C5924&lt;='Resultats - informe'!$E$28),0,(C5924&gt;='Resultats - informe'!$D$29)*(C5924&lt;='Resultats - informe'!$E$29),0,1,1)</f>
        <v>0</v>
      </c>
      <c r="N5924" s="366">
        <f>+VLOOKUP(D5924,'Resultats - informe'!$Y$18:$AG$42,'Introducció dades consum'!K5924+1,0)</f>
        <v>0</v>
      </c>
      <c r="O5924" s="370" cm="1">
        <f t="array" ref="O5924">+_xlfn.SWITCH(MONTH(C5924),1,1,2,1,3,1,4,2,5,2,6,3,7,3,8,3,9,3,10,2,11,2,12,1,2)</f>
        <v>1</v>
      </c>
      <c r="P5924" s="43"/>
    </row>
    <row r="5925" spans="1:16" ht="18" x14ac:dyDescent="0.35">
      <c r="A5925" s="9"/>
      <c r="C5925" s="393"/>
      <c r="E5925" s="394"/>
      <c r="F5925" s="394"/>
      <c r="G5925" s="394"/>
      <c r="I5925" s="368">
        <f t="shared" si="282"/>
        <v>0</v>
      </c>
      <c r="J5925" s="365">
        <f t="shared" si="283"/>
        <v>0</v>
      </c>
      <c r="K5925" s="369">
        <f t="shared" si="284"/>
        <v>6</v>
      </c>
      <c r="L5925" s="369">
        <f>+IF((C5925&gt;='Resultats - informe'!$E$16)*(C5925&lt;='Resultats - informe'!$G$16),1,0)</f>
        <v>1</v>
      </c>
      <c r="M5925" s="369" cm="1">
        <f t="array" ref="M5925">+_xlfn.IFS((C5925&gt;='Resultats - informe'!$D$26)*(C5925&lt;='Resultats - informe'!$E$26),0,(C5925&gt;='Resultats - informe'!$D$27)*(C5925&lt;='Resultats - informe'!$E$27),0,(C5925&gt;='Resultats - informe'!$D$28)*(C5925&lt;='Resultats - informe'!$E$28),0,(C5925&gt;='Resultats - informe'!$D$29)*(C5925&lt;='Resultats - informe'!$E$29),0,1,1)</f>
        <v>0</v>
      </c>
      <c r="N5925" s="366">
        <f>+VLOOKUP(D5925,'Resultats - informe'!$Y$18:$AG$42,'Introducció dades consum'!K5925+1,0)</f>
        <v>0</v>
      </c>
      <c r="O5925" s="370" cm="1">
        <f t="array" ref="O5925">+_xlfn.SWITCH(MONTH(C5925),1,1,2,1,3,1,4,2,5,2,6,3,7,3,8,3,9,3,10,2,11,2,12,1,2)</f>
        <v>1</v>
      </c>
      <c r="P5925" s="43"/>
    </row>
    <row r="5926" spans="1:16" ht="18" x14ac:dyDescent="0.35">
      <c r="A5926" s="9"/>
      <c r="C5926" s="393"/>
      <c r="E5926" s="394"/>
      <c r="F5926" s="394"/>
      <c r="G5926" s="394"/>
      <c r="I5926" s="368">
        <f t="shared" si="282"/>
        <v>0</v>
      </c>
      <c r="J5926" s="365">
        <f t="shared" si="283"/>
        <v>0</v>
      </c>
      <c r="K5926" s="369">
        <f t="shared" si="284"/>
        <v>6</v>
      </c>
      <c r="L5926" s="369">
        <f>+IF((C5926&gt;='Resultats - informe'!$E$16)*(C5926&lt;='Resultats - informe'!$G$16),1,0)</f>
        <v>1</v>
      </c>
      <c r="M5926" s="369" cm="1">
        <f t="array" ref="M5926">+_xlfn.IFS((C5926&gt;='Resultats - informe'!$D$26)*(C5926&lt;='Resultats - informe'!$E$26),0,(C5926&gt;='Resultats - informe'!$D$27)*(C5926&lt;='Resultats - informe'!$E$27),0,(C5926&gt;='Resultats - informe'!$D$28)*(C5926&lt;='Resultats - informe'!$E$28),0,(C5926&gt;='Resultats - informe'!$D$29)*(C5926&lt;='Resultats - informe'!$E$29),0,1,1)</f>
        <v>0</v>
      </c>
      <c r="N5926" s="366">
        <f>+VLOOKUP(D5926,'Resultats - informe'!$Y$18:$AG$42,'Introducció dades consum'!K5926+1,0)</f>
        <v>0</v>
      </c>
      <c r="O5926" s="370" cm="1">
        <f t="array" ref="O5926">+_xlfn.SWITCH(MONTH(C5926),1,1,2,1,3,1,4,2,5,2,6,3,7,3,8,3,9,3,10,2,11,2,12,1,2)</f>
        <v>1</v>
      </c>
      <c r="P5926" s="43"/>
    </row>
    <row r="5927" spans="1:16" ht="18" x14ac:dyDescent="0.35">
      <c r="A5927" s="9"/>
      <c r="C5927" s="393"/>
      <c r="E5927" s="394"/>
      <c r="F5927" s="394"/>
      <c r="G5927" s="394"/>
      <c r="I5927" s="368">
        <f t="shared" si="282"/>
        <v>0</v>
      </c>
      <c r="J5927" s="365">
        <f t="shared" si="283"/>
        <v>0</v>
      </c>
      <c r="K5927" s="369">
        <f t="shared" si="284"/>
        <v>6</v>
      </c>
      <c r="L5927" s="369">
        <f>+IF((C5927&gt;='Resultats - informe'!$E$16)*(C5927&lt;='Resultats - informe'!$G$16),1,0)</f>
        <v>1</v>
      </c>
      <c r="M5927" s="369" cm="1">
        <f t="array" ref="M5927">+_xlfn.IFS((C5927&gt;='Resultats - informe'!$D$26)*(C5927&lt;='Resultats - informe'!$E$26),0,(C5927&gt;='Resultats - informe'!$D$27)*(C5927&lt;='Resultats - informe'!$E$27),0,(C5927&gt;='Resultats - informe'!$D$28)*(C5927&lt;='Resultats - informe'!$E$28),0,(C5927&gt;='Resultats - informe'!$D$29)*(C5927&lt;='Resultats - informe'!$E$29),0,1,1)</f>
        <v>0</v>
      </c>
      <c r="N5927" s="366">
        <f>+VLOOKUP(D5927,'Resultats - informe'!$Y$18:$AG$42,'Introducció dades consum'!K5927+1,0)</f>
        <v>0</v>
      </c>
      <c r="O5927" s="370" cm="1">
        <f t="array" ref="O5927">+_xlfn.SWITCH(MONTH(C5927),1,1,2,1,3,1,4,2,5,2,6,3,7,3,8,3,9,3,10,2,11,2,12,1,2)</f>
        <v>1</v>
      </c>
      <c r="P5927" s="43"/>
    </row>
    <row r="5928" spans="1:16" ht="18" x14ac:dyDescent="0.35">
      <c r="A5928" s="9"/>
      <c r="C5928" s="393"/>
      <c r="E5928" s="394"/>
      <c r="F5928" s="394"/>
      <c r="G5928" s="394"/>
      <c r="I5928" s="368">
        <f t="shared" si="282"/>
        <v>0</v>
      </c>
      <c r="J5928" s="365">
        <f t="shared" si="283"/>
        <v>0</v>
      </c>
      <c r="K5928" s="369">
        <f t="shared" si="284"/>
        <v>6</v>
      </c>
      <c r="L5928" s="369">
        <f>+IF((C5928&gt;='Resultats - informe'!$E$16)*(C5928&lt;='Resultats - informe'!$G$16),1,0)</f>
        <v>1</v>
      </c>
      <c r="M5928" s="369" cm="1">
        <f t="array" ref="M5928">+_xlfn.IFS((C5928&gt;='Resultats - informe'!$D$26)*(C5928&lt;='Resultats - informe'!$E$26),0,(C5928&gt;='Resultats - informe'!$D$27)*(C5928&lt;='Resultats - informe'!$E$27),0,(C5928&gt;='Resultats - informe'!$D$28)*(C5928&lt;='Resultats - informe'!$E$28),0,(C5928&gt;='Resultats - informe'!$D$29)*(C5928&lt;='Resultats - informe'!$E$29),0,1,1)</f>
        <v>0</v>
      </c>
      <c r="N5928" s="366">
        <f>+VLOOKUP(D5928,'Resultats - informe'!$Y$18:$AG$42,'Introducció dades consum'!K5928+1,0)</f>
        <v>0</v>
      </c>
      <c r="O5928" s="370" cm="1">
        <f t="array" ref="O5928">+_xlfn.SWITCH(MONTH(C5928),1,1,2,1,3,1,4,2,5,2,6,3,7,3,8,3,9,3,10,2,11,2,12,1,2)</f>
        <v>1</v>
      </c>
      <c r="P5928" s="43"/>
    </row>
    <row r="5929" spans="1:16" ht="18" x14ac:dyDescent="0.35">
      <c r="A5929" s="9"/>
      <c r="C5929" s="393"/>
      <c r="E5929" s="394"/>
      <c r="F5929" s="394"/>
      <c r="G5929" s="394"/>
      <c r="I5929" s="368">
        <f t="shared" si="282"/>
        <v>0</v>
      </c>
      <c r="J5929" s="365">
        <f t="shared" si="283"/>
        <v>0</v>
      </c>
      <c r="K5929" s="369">
        <f t="shared" si="284"/>
        <v>6</v>
      </c>
      <c r="L5929" s="369">
        <f>+IF((C5929&gt;='Resultats - informe'!$E$16)*(C5929&lt;='Resultats - informe'!$G$16),1,0)</f>
        <v>1</v>
      </c>
      <c r="M5929" s="369" cm="1">
        <f t="array" ref="M5929">+_xlfn.IFS((C5929&gt;='Resultats - informe'!$D$26)*(C5929&lt;='Resultats - informe'!$E$26),0,(C5929&gt;='Resultats - informe'!$D$27)*(C5929&lt;='Resultats - informe'!$E$27),0,(C5929&gt;='Resultats - informe'!$D$28)*(C5929&lt;='Resultats - informe'!$E$28),0,(C5929&gt;='Resultats - informe'!$D$29)*(C5929&lt;='Resultats - informe'!$E$29),0,1,1)</f>
        <v>0</v>
      </c>
      <c r="N5929" s="366">
        <f>+VLOOKUP(D5929,'Resultats - informe'!$Y$18:$AG$42,'Introducció dades consum'!K5929+1,0)</f>
        <v>0</v>
      </c>
      <c r="O5929" s="370" cm="1">
        <f t="array" ref="O5929">+_xlfn.SWITCH(MONTH(C5929),1,1,2,1,3,1,4,2,5,2,6,3,7,3,8,3,9,3,10,2,11,2,12,1,2)</f>
        <v>1</v>
      </c>
      <c r="P5929" s="43"/>
    </row>
    <row r="5930" spans="1:16" ht="18" x14ac:dyDescent="0.35">
      <c r="A5930" s="9"/>
      <c r="C5930" s="393"/>
      <c r="E5930" s="394"/>
      <c r="F5930" s="394"/>
      <c r="G5930" s="394"/>
      <c r="I5930" s="368">
        <f t="shared" si="282"/>
        <v>0</v>
      </c>
      <c r="J5930" s="365">
        <f t="shared" si="283"/>
        <v>0</v>
      </c>
      <c r="K5930" s="369">
        <f t="shared" si="284"/>
        <v>6</v>
      </c>
      <c r="L5930" s="369">
        <f>+IF((C5930&gt;='Resultats - informe'!$E$16)*(C5930&lt;='Resultats - informe'!$G$16),1,0)</f>
        <v>1</v>
      </c>
      <c r="M5930" s="369" cm="1">
        <f t="array" ref="M5930">+_xlfn.IFS((C5930&gt;='Resultats - informe'!$D$26)*(C5930&lt;='Resultats - informe'!$E$26),0,(C5930&gt;='Resultats - informe'!$D$27)*(C5930&lt;='Resultats - informe'!$E$27),0,(C5930&gt;='Resultats - informe'!$D$28)*(C5930&lt;='Resultats - informe'!$E$28),0,(C5930&gt;='Resultats - informe'!$D$29)*(C5930&lt;='Resultats - informe'!$E$29),0,1,1)</f>
        <v>0</v>
      </c>
      <c r="N5930" s="366">
        <f>+VLOOKUP(D5930,'Resultats - informe'!$Y$18:$AG$42,'Introducció dades consum'!K5930+1,0)</f>
        <v>0</v>
      </c>
      <c r="O5930" s="370" cm="1">
        <f t="array" ref="O5930">+_xlfn.SWITCH(MONTH(C5930),1,1,2,1,3,1,4,2,5,2,6,3,7,3,8,3,9,3,10,2,11,2,12,1,2)</f>
        <v>1</v>
      </c>
      <c r="P5930" s="43"/>
    </row>
    <row r="5931" spans="1:16" ht="18" x14ac:dyDescent="0.35">
      <c r="A5931" s="9"/>
      <c r="C5931" s="393"/>
      <c r="E5931" s="394"/>
      <c r="F5931" s="394"/>
      <c r="G5931" s="394"/>
      <c r="I5931" s="368">
        <f t="shared" si="282"/>
        <v>0</v>
      </c>
      <c r="J5931" s="365">
        <f t="shared" si="283"/>
        <v>0</v>
      </c>
      <c r="K5931" s="369">
        <f t="shared" si="284"/>
        <v>6</v>
      </c>
      <c r="L5931" s="369">
        <f>+IF((C5931&gt;='Resultats - informe'!$E$16)*(C5931&lt;='Resultats - informe'!$G$16),1,0)</f>
        <v>1</v>
      </c>
      <c r="M5931" s="369" cm="1">
        <f t="array" ref="M5931">+_xlfn.IFS((C5931&gt;='Resultats - informe'!$D$26)*(C5931&lt;='Resultats - informe'!$E$26),0,(C5931&gt;='Resultats - informe'!$D$27)*(C5931&lt;='Resultats - informe'!$E$27),0,(C5931&gt;='Resultats - informe'!$D$28)*(C5931&lt;='Resultats - informe'!$E$28),0,(C5931&gt;='Resultats - informe'!$D$29)*(C5931&lt;='Resultats - informe'!$E$29),0,1,1)</f>
        <v>0</v>
      </c>
      <c r="N5931" s="366">
        <f>+VLOOKUP(D5931,'Resultats - informe'!$Y$18:$AG$42,'Introducció dades consum'!K5931+1,0)</f>
        <v>0</v>
      </c>
      <c r="O5931" s="370" cm="1">
        <f t="array" ref="O5931">+_xlfn.SWITCH(MONTH(C5931),1,1,2,1,3,1,4,2,5,2,6,3,7,3,8,3,9,3,10,2,11,2,12,1,2)</f>
        <v>1</v>
      </c>
      <c r="P5931" s="43"/>
    </row>
    <row r="5932" spans="1:16" ht="18" x14ac:dyDescent="0.35">
      <c r="A5932" s="9"/>
      <c r="C5932" s="393"/>
      <c r="E5932" s="394"/>
      <c r="F5932" s="394"/>
      <c r="G5932" s="394"/>
      <c r="I5932" s="368">
        <f t="shared" si="282"/>
        <v>0</v>
      </c>
      <c r="J5932" s="365">
        <f t="shared" si="283"/>
        <v>0</v>
      </c>
      <c r="K5932" s="369">
        <f t="shared" si="284"/>
        <v>6</v>
      </c>
      <c r="L5932" s="369">
        <f>+IF((C5932&gt;='Resultats - informe'!$E$16)*(C5932&lt;='Resultats - informe'!$G$16),1,0)</f>
        <v>1</v>
      </c>
      <c r="M5932" s="369" cm="1">
        <f t="array" ref="M5932">+_xlfn.IFS((C5932&gt;='Resultats - informe'!$D$26)*(C5932&lt;='Resultats - informe'!$E$26),0,(C5932&gt;='Resultats - informe'!$D$27)*(C5932&lt;='Resultats - informe'!$E$27),0,(C5932&gt;='Resultats - informe'!$D$28)*(C5932&lt;='Resultats - informe'!$E$28),0,(C5932&gt;='Resultats - informe'!$D$29)*(C5932&lt;='Resultats - informe'!$E$29),0,1,1)</f>
        <v>0</v>
      </c>
      <c r="N5932" s="366">
        <f>+VLOOKUP(D5932,'Resultats - informe'!$Y$18:$AG$42,'Introducció dades consum'!K5932+1,0)</f>
        <v>0</v>
      </c>
      <c r="O5932" s="370" cm="1">
        <f t="array" ref="O5932">+_xlfn.SWITCH(MONTH(C5932),1,1,2,1,3,1,4,2,5,2,6,3,7,3,8,3,9,3,10,2,11,2,12,1,2)</f>
        <v>1</v>
      </c>
      <c r="P5932" s="43"/>
    </row>
    <row r="5933" spans="1:16" ht="18" x14ac:dyDescent="0.35">
      <c r="A5933" s="9"/>
      <c r="C5933" s="393"/>
      <c r="E5933" s="394"/>
      <c r="F5933" s="394"/>
      <c r="G5933" s="394"/>
      <c r="I5933" s="368">
        <f t="shared" si="282"/>
        <v>0</v>
      </c>
      <c r="J5933" s="365">
        <f t="shared" si="283"/>
        <v>0</v>
      </c>
      <c r="K5933" s="369">
        <f t="shared" si="284"/>
        <v>6</v>
      </c>
      <c r="L5933" s="369">
        <f>+IF((C5933&gt;='Resultats - informe'!$E$16)*(C5933&lt;='Resultats - informe'!$G$16),1,0)</f>
        <v>1</v>
      </c>
      <c r="M5933" s="369" cm="1">
        <f t="array" ref="M5933">+_xlfn.IFS((C5933&gt;='Resultats - informe'!$D$26)*(C5933&lt;='Resultats - informe'!$E$26),0,(C5933&gt;='Resultats - informe'!$D$27)*(C5933&lt;='Resultats - informe'!$E$27),0,(C5933&gt;='Resultats - informe'!$D$28)*(C5933&lt;='Resultats - informe'!$E$28),0,(C5933&gt;='Resultats - informe'!$D$29)*(C5933&lt;='Resultats - informe'!$E$29),0,1,1)</f>
        <v>0</v>
      </c>
      <c r="N5933" s="366">
        <f>+VLOOKUP(D5933,'Resultats - informe'!$Y$18:$AG$42,'Introducció dades consum'!K5933+1,0)</f>
        <v>0</v>
      </c>
      <c r="O5933" s="370" cm="1">
        <f t="array" ref="O5933">+_xlfn.SWITCH(MONTH(C5933),1,1,2,1,3,1,4,2,5,2,6,3,7,3,8,3,9,3,10,2,11,2,12,1,2)</f>
        <v>1</v>
      </c>
      <c r="P5933" s="43"/>
    </row>
    <row r="5934" spans="1:16" ht="18" x14ac:dyDescent="0.35">
      <c r="A5934" s="9"/>
      <c r="C5934" s="393"/>
      <c r="E5934" s="394"/>
      <c r="F5934" s="394"/>
      <c r="G5934" s="394"/>
      <c r="I5934" s="368">
        <f t="shared" si="282"/>
        <v>0</v>
      </c>
      <c r="J5934" s="365">
        <f t="shared" si="283"/>
        <v>0</v>
      </c>
      <c r="K5934" s="369">
        <f t="shared" si="284"/>
        <v>6</v>
      </c>
      <c r="L5934" s="369">
        <f>+IF((C5934&gt;='Resultats - informe'!$E$16)*(C5934&lt;='Resultats - informe'!$G$16),1,0)</f>
        <v>1</v>
      </c>
      <c r="M5934" s="369" cm="1">
        <f t="array" ref="M5934">+_xlfn.IFS((C5934&gt;='Resultats - informe'!$D$26)*(C5934&lt;='Resultats - informe'!$E$26),0,(C5934&gt;='Resultats - informe'!$D$27)*(C5934&lt;='Resultats - informe'!$E$27),0,(C5934&gt;='Resultats - informe'!$D$28)*(C5934&lt;='Resultats - informe'!$E$28),0,(C5934&gt;='Resultats - informe'!$D$29)*(C5934&lt;='Resultats - informe'!$E$29),0,1,1)</f>
        <v>0</v>
      </c>
      <c r="N5934" s="366">
        <f>+VLOOKUP(D5934,'Resultats - informe'!$Y$18:$AG$42,'Introducció dades consum'!K5934+1,0)</f>
        <v>0</v>
      </c>
      <c r="O5934" s="370" cm="1">
        <f t="array" ref="O5934">+_xlfn.SWITCH(MONTH(C5934),1,1,2,1,3,1,4,2,5,2,6,3,7,3,8,3,9,3,10,2,11,2,12,1,2)</f>
        <v>1</v>
      </c>
      <c r="P5934" s="43"/>
    </row>
    <row r="5935" spans="1:16" ht="18" x14ac:dyDescent="0.35">
      <c r="A5935" s="9"/>
      <c r="C5935" s="393"/>
      <c r="E5935" s="394"/>
      <c r="F5935" s="394"/>
      <c r="G5935" s="394"/>
      <c r="I5935" s="368">
        <f t="shared" si="282"/>
        <v>0</v>
      </c>
      <c r="J5935" s="365">
        <f t="shared" si="283"/>
        <v>0</v>
      </c>
      <c r="K5935" s="369">
        <f t="shared" si="284"/>
        <v>6</v>
      </c>
      <c r="L5935" s="369">
        <f>+IF((C5935&gt;='Resultats - informe'!$E$16)*(C5935&lt;='Resultats - informe'!$G$16),1,0)</f>
        <v>1</v>
      </c>
      <c r="M5935" s="369" cm="1">
        <f t="array" ref="M5935">+_xlfn.IFS((C5935&gt;='Resultats - informe'!$D$26)*(C5935&lt;='Resultats - informe'!$E$26),0,(C5935&gt;='Resultats - informe'!$D$27)*(C5935&lt;='Resultats - informe'!$E$27),0,(C5935&gt;='Resultats - informe'!$D$28)*(C5935&lt;='Resultats - informe'!$E$28),0,(C5935&gt;='Resultats - informe'!$D$29)*(C5935&lt;='Resultats - informe'!$E$29),0,1,1)</f>
        <v>0</v>
      </c>
      <c r="N5935" s="366">
        <f>+VLOOKUP(D5935,'Resultats - informe'!$Y$18:$AG$42,'Introducció dades consum'!K5935+1,0)</f>
        <v>0</v>
      </c>
      <c r="O5935" s="370" cm="1">
        <f t="array" ref="O5935">+_xlfn.SWITCH(MONTH(C5935),1,1,2,1,3,1,4,2,5,2,6,3,7,3,8,3,9,3,10,2,11,2,12,1,2)</f>
        <v>1</v>
      </c>
      <c r="P5935" s="43"/>
    </row>
    <row r="5936" spans="1:16" ht="18" x14ac:dyDescent="0.35">
      <c r="A5936" s="9"/>
      <c r="C5936" s="393"/>
      <c r="E5936" s="394"/>
      <c r="F5936" s="394"/>
      <c r="G5936" s="394"/>
      <c r="I5936" s="368">
        <f t="shared" si="282"/>
        <v>0</v>
      </c>
      <c r="J5936" s="365">
        <f t="shared" si="283"/>
        <v>0</v>
      </c>
      <c r="K5936" s="369">
        <f t="shared" si="284"/>
        <v>6</v>
      </c>
      <c r="L5936" s="369">
        <f>+IF((C5936&gt;='Resultats - informe'!$E$16)*(C5936&lt;='Resultats - informe'!$G$16),1,0)</f>
        <v>1</v>
      </c>
      <c r="M5936" s="369" cm="1">
        <f t="array" ref="M5936">+_xlfn.IFS((C5936&gt;='Resultats - informe'!$D$26)*(C5936&lt;='Resultats - informe'!$E$26),0,(C5936&gt;='Resultats - informe'!$D$27)*(C5936&lt;='Resultats - informe'!$E$27),0,(C5936&gt;='Resultats - informe'!$D$28)*(C5936&lt;='Resultats - informe'!$E$28),0,(C5936&gt;='Resultats - informe'!$D$29)*(C5936&lt;='Resultats - informe'!$E$29),0,1,1)</f>
        <v>0</v>
      </c>
      <c r="N5936" s="366">
        <f>+VLOOKUP(D5936,'Resultats - informe'!$Y$18:$AG$42,'Introducció dades consum'!K5936+1,0)</f>
        <v>0</v>
      </c>
      <c r="O5936" s="370" cm="1">
        <f t="array" ref="O5936">+_xlfn.SWITCH(MONTH(C5936),1,1,2,1,3,1,4,2,5,2,6,3,7,3,8,3,9,3,10,2,11,2,12,1,2)</f>
        <v>1</v>
      </c>
      <c r="P5936" s="43"/>
    </row>
    <row r="5937" spans="1:16" ht="18" x14ac:dyDescent="0.35">
      <c r="A5937" s="9"/>
      <c r="C5937" s="393"/>
      <c r="E5937" s="394"/>
      <c r="F5937" s="394"/>
      <c r="G5937" s="394"/>
      <c r="I5937" s="368">
        <f t="shared" si="282"/>
        <v>0</v>
      </c>
      <c r="J5937" s="365">
        <f t="shared" si="283"/>
        <v>0</v>
      </c>
      <c r="K5937" s="369">
        <f t="shared" si="284"/>
        <v>6</v>
      </c>
      <c r="L5937" s="369">
        <f>+IF((C5937&gt;='Resultats - informe'!$E$16)*(C5937&lt;='Resultats - informe'!$G$16),1,0)</f>
        <v>1</v>
      </c>
      <c r="M5937" s="369" cm="1">
        <f t="array" ref="M5937">+_xlfn.IFS((C5937&gt;='Resultats - informe'!$D$26)*(C5937&lt;='Resultats - informe'!$E$26),0,(C5937&gt;='Resultats - informe'!$D$27)*(C5937&lt;='Resultats - informe'!$E$27),0,(C5937&gt;='Resultats - informe'!$D$28)*(C5937&lt;='Resultats - informe'!$E$28),0,(C5937&gt;='Resultats - informe'!$D$29)*(C5937&lt;='Resultats - informe'!$E$29),0,1,1)</f>
        <v>0</v>
      </c>
      <c r="N5937" s="366">
        <f>+VLOOKUP(D5937,'Resultats - informe'!$Y$18:$AG$42,'Introducció dades consum'!K5937+1,0)</f>
        <v>0</v>
      </c>
      <c r="O5937" s="370" cm="1">
        <f t="array" ref="O5937">+_xlfn.SWITCH(MONTH(C5937),1,1,2,1,3,1,4,2,5,2,6,3,7,3,8,3,9,3,10,2,11,2,12,1,2)</f>
        <v>1</v>
      </c>
      <c r="P5937" s="43"/>
    </row>
    <row r="5938" spans="1:16" ht="18" x14ac:dyDescent="0.35">
      <c r="A5938" s="9"/>
      <c r="C5938" s="393"/>
      <c r="E5938" s="394"/>
      <c r="F5938" s="394"/>
      <c r="G5938" s="394"/>
      <c r="I5938" s="368">
        <f t="shared" si="282"/>
        <v>0</v>
      </c>
      <c r="J5938" s="365">
        <f t="shared" si="283"/>
        <v>0</v>
      </c>
      <c r="K5938" s="369">
        <f t="shared" si="284"/>
        <v>6</v>
      </c>
      <c r="L5938" s="369">
        <f>+IF((C5938&gt;='Resultats - informe'!$E$16)*(C5938&lt;='Resultats - informe'!$G$16),1,0)</f>
        <v>1</v>
      </c>
      <c r="M5938" s="369" cm="1">
        <f t="array" ref="M5938">+_xlfn.IFS((C5938&gt;='Resultats - informe'!$D$26)*(C5938&lt;='Resultats - informe'!$E$26),0,(C5938&gt;='Resultats - informe'!$D$27)*(C5938&lt;='Resultats - informe'!$E$27),0,(C5938&gt;='Resultats - informe'!$D$28)*(C5938&lt;='Resultats - informe'!$E$28),0,(C5938&gt;='Resultats - informe'!$D$29)*(C5938&lt;='Resultats - informe'!$E$29),0,1,1)</f>
        <v>0</v>
      </c>
      <c r="N5938" s="366">
        <f>+VLOOKUP(D5938,'Resultats - informe'!$Y$18:$AG$42,'Introducció dades consum'!K5938+1,0)</f>
        <v>0</v>
      </c>
      <c r="O5938" s="370" cm="1">
        <f t="array" ref="O5938">+_xlfn.SWITCH(MONTH(C5938),1,1,2,1,3,1,4,2,5,2,6,3,7,3,8,3,9,3,10,2,11,2,12,1,2)</f>
        <v>1</v>
      </c>
      <c r="P5938" s="43"/>
    </row>
    <row r="5939" spans="1:16" ht="18" x14ac:dyDescent="0.35">
      <c r="A5939" s="9"/>
      <c r="C5939" s="393"/>
      <c r="E5939" s="394"/>
      <c r="F5939" s="394"/>
      <c r="G5939" s="394"/>
      <c r="I5939" s="368">
        <f t="shared" si="282"/>
        <v>0</v>
      </c>
      <c r="J5939" s="365">
        <f t="shared" si="283"/>
        <v>0</v>
      </c>
      <c r="K5939" s="369">
        <f t="shared" si="284"/>
        <v>6</v>
      </c>
      <c r="L5939" s="369">
        <f>+IF((C5939&gt;='Resultats - informe'!$E$16)*(C5939&lt;='Resultats - informe'!$G$16),1,0)</f>
        <v>1</v>
      </c>
      <c r="M5939" s="369" cm="1">
        <f t="array" ref="M5939">+_xlfn.IFS((C5939&gt;='Resultats - informe'!$D$26)*(C5939&lt;='Resultats - informe'!$E$26),0,(C5939&gt;='Resultats - informe'!$D$27)*(C5939&lt;='Resultats - informe'!$E$27),0,(C5939&gt;='Resultats - informe'!$D$28)*(C5939&lt;='Resultats - informe'!$E$28),0,(C5939&gt;='Resultats - informe'!$D$29)*(C5939&lt;='Resultats - informe'!$E$29),0,1,1)</f>
        <v>0</v>
      </c>
      <c r="N5939" s="366">
        <f>+VLOOKUP(D5939,'Resultats - informe'!$Y$18:$AG$42,'Introducció dades consum'!K5939+1,0)</f>
        <v>0</v>
      </c>
      <c r="O5939" s="370" cm="1">
        <f t="array" ref="O5939">+_xlfn.SWITCH(MONTH(C5939),1,1,2,1,3,1,4,2,5,2,6,3,7,3,8,3,9,3,10,2,11,2,12,1,2)</f>
        <v>1</v>
      </c>
      <c r="P5939" s="43"/>
    </row>
    <row r="5940" spans="1:16" ht="18" x14ac:dyDescent="0.35">
      <c r="A5940" s="9"/>
      <c r="C5940" s="393"/>
      <c r="E5940" s="394"/>
      <c r="F5940" s="394"/>
      <c r="G5940" s="394"/>
      <c r="I5940" s="368">
        <f t="shared" si="282"/>
        <v>0</v>
      </c>
      <c r="J5940" s="365">
        <f t="shared" si="283"/>
        <v>0</v>
      </c>
      <c r="K5940" s="369">
        <f t="shared" si="284"/>
        <v>6</v>
      </c>
      <c r="L5940" s="369">
        <f>+IF((C5940&gt;='Resultats - informe'!$E$16)*(C5940&lt;='Resultats - informe'!$G$16),1,0)</f>
        <v>1</v>
      </c>
      <c r="M5940" s="369" cm="1">
        <f t="array" ref="M5940">+_xlfn.IFS((C5940&gt;='Resultats - informe'!$D$26)*(C5940&lt;='Resultats - informe'!$E$26),0,(C5940&gt;='Resultats - informe'!$D$27)*(C5940&lt;='Resultats - informe'!$E$27),0,(C5940&gt;='Resultats - informe'!$D$28)*(C5940&lt;='Resultats - informe'!$E$28),0,(C5940&gt;='Resultats - informe'!$D$29)*(C5940&lt;='Resultats - informe'!$E$29),0,1,1)</f>
        <v>0</v>
      </c>
      <c r="N5940" s="366">
        <f>+VLOOKUP(D5940,'Resultats - informe'!$Y$18:$AG$42,'Introducció dades consum'!K5940+1,0)</f>
        <v>0</v>
      </c>
      <c r="O5940" s="370" cm="1">
        <f t="array" ref="O5940">+_xlfn.SWITCH(MONTH(C5940),1,1,2,1,3,1,4,2,5,2,6,3,7,3,8,3,9,3,10,2,11,2,12,1,2)</f>
        <v>1</v>
      </c>
      <c r="P5940" s="43"/>
    </row>
    <row r="5941" spans="1:16" ht="18" x14ac:dyDescent="0.35">
      <c r="A5941" s="9"/>
      <c r="C5941" s="393"/>
      <c r="E5941" s="394"/>
      <c r="F5941" s="394"/>
      <c r="G5941" s="394"/>
      <c r="I5941" s="368">
        <f t="shared" si="282"/>
        <v>0</v>
      </c>
      <c r="J5941" s="365">
        <f t="shared" si="283"/>
        <v>0</v>
      </c>
      <c r="K5941" s="369">
        <f t="shared" si="284"/>
        <v>6</v>
      </c>
      <c r="L5941" s="369">
        <f>+IF((C5941&gt;='Resultats - informe'!$E$16)*(C5941&lt;='Resultats - informe'!$G$16),1,0)</f>
        <v>1</v>
      </c>
      <c r="M5941" s="369" cm="1">
        <f t="array" ref="M5941">+_xlfn.IFS((C5941&gt;='Resultats - informe'!$D$26)*(C5941&lt;='Resultats - informe'!$E$26),0,(C5941&gt;='Resultats - informe'!$D$27)*(C5941&lt;='Resultats - informe'!$E$27),0,(C5941&gt;='Resultats - informe'!$D$28)*(C5941&lt;='Resultats - informe'!$E$28),0,(C5941&gt;='Resultats - informe'!$D$29)*(C5941&lt;='Resultats - informe'!$E$29),0,1,1)</f>
        <v>0</v>
      </c>
      <c r="N5941" s="366">
        <f>+VLOOKUP(D5941,'Resultats - informe'!$Y$18:$AG$42,'Introducció dades consum'!K5941+1,0)</f>
        <v>0</v>
      </c>
      <c r="O5941" s="370" cm="1">
        <f t="array" ref="O5941">+_xlfn.SWITCH(MONTH(C5941),1,1,2,1,3,1,4,2,5,2,6,3,7,3,8,3,9,3,10,2,11,2,12,1,2)</f>
        <v>1</v>
      </c>
      <c r="P5941" s="43"/>
    </row>
    <row r="5942" spans="1:16" ht="18" x14ac:dyDescent="0.35">
      <c r="A5942" s="9"/>
      <c r="C5942" s="393"/>
      <c r="E5942" s="394"/>
      <c r="F5942" s="394"/>
      <c r="G5942" s="394"/>
      <c r="I5942" s="368">
        <f t="shared" si="282"/>
        <v>0</v>
      </c>
      <c r="J5942" s="365">
        <f t="shared" si="283"/>
        <v>0</v>
      </c>
      <c r="K5942" s="369">
        <f t="shared" si="284"/>
        <v>6</v>
      </c>
      <c r="L5942" s="369">
        <f>+IF((C5942&gt;='Resultats - informe'!$E$16)*(C5942&lt;='Resultats - informe'!$G$16),1,0)</f>
        <v>1</v>
      </c>
      <c r="M5942" s="369" cm="1">
        <f t="array" ref="M5942">+_xlfn.IFS((C5942&gt;='Resultats - informe'!$D$26)*(C5942&lt;='Resultats - informe'!$E$26),0,(C5942&gt;='Resultats - informe'!$D$27)*(C5942&lt;='Resultats - informe'!$E$27),0,(C5942&gt;='Resultats - informe'!$D$28)*(C5942&lt;='Resultats - informe'!$E$28),0,(C5942&gt;='Resultats - informe'!$D$29)*(C5942&lt;='Resultats - informe'!$E$29),0,1,1)</f>
        <v>0</v>
      </c>
      <c r="N5942" s="366">
        <f>+VLOOKUP(D5942,'Resultats - informe'!$Y$18:$AG$42,'Introducció dades consum'!K5942+1,0)</f>
        <v>0</v>
      </c>
      <c r="O5942" s="370" cm="1">
        <f t="array" ref="O5942">+_xlfn.SWITCH(MONTH(C5942),1,1,2,1,3,1,4,2,5,2,6,3,7,3,8,3,9,3,10,2,11,2,12,1,2)</f>
        <v>1</v>
      </c>
      <c r="P5942" s="43"/>
    </row>
    <row r="5943" spans="1:16" ht="18" x14ac:dyDescent="0.35">
      <c r="A5943" s="9"/>
      <c r="C5943" s="393"/>
      <c r="E5943" s="394"/>
      <c r="F5943" s="394"/>
      <c r="G5943" s="394"/>
      <c r="I5943" s="368">
        <f t="shared" si="282"/>
        <v>0</v>
      </c>
      <c r="J5943" s="365">
        <f t="shared" si="283"/>
        <v>0</v>
      </c>
      <c r="K5943" s="369">
        <f t="shared" si="284"/>
        <v>6</v>
      </c>
      <c r="L5943" s="369">
        <f>+IF((C5943&gt;='Resultats - informe'!$E$16)*(C5943&lt;='Resultats - informe'!$G$16),1,0)</f>
        <v>1</v>
      </c>
      <c r="M5943" s="369" cm="1">
        <f t="array" ref="M5943">+_xlfn.IFS((C5943&gt;='Resultats - informe'!$D$26)*(C5943&lt;='Resultats - informe'!$E$26),0,(C5943&gt;='Resultats - informe'!$D$27)*(C5943&lt;='Resultats - informe'!$E$27),0,(C5943&gt;='Resultats - informe'!$D$28)*(C5943&lt;='Resultats - informe'!$E$28),0,(C5943&gt;='Resultats - informe'!$D$29)*(C5943&lt;='Resultats - informe'!$E$29),0,1,1)</f>
        <v>0</v>
      </c>
      <c r="N5943" s="366">
        <f>+VLOOKUP(D5943,'Resultats - informe'!$Y$18:$AG$42,'Introducció dades consum'!K5943+1,0)</f>
        <v>0</v>
      </c>
      <c r="O5943" s="370" cm="1">
        <f t="array" ref="O5943">+_xlfn.SWITCH(MONTH(C5943),1,1,2,1,3,1,4,2,5,2,6,3,7,3,8,3,9,3,10,2,11,2,12,1,2)</f>
        <v>1</v>
      </c>
      <c r="P5943" s="43"/>
    </row>
    <row r="5944" spans="1:16" ht="18" x14ac:dyDescent="0.35">
      <c r="A5944" s="9"/>
      <c r="C5944" s="393"/>
      <c r="E5944" s="394"/>
      <c r="F5944" s="394"/>
      <c r="G5944" s="394"/>
      <c r="I5944" s="368">
        <f t="shared" si="282"/>
        <v>0</v>
      </c>
      <c r="J5944" s="365">
        <f t="shared" si="283"/>
        <v>0</v>
      </c>
      <c r="K5944" s="369">
        <f t="shared" si="284"/>
        <v>6</v>
      </c>
      <c r="L5944" s="369">
        <f>+IF((C5944&gt;='Resultats - informe'!$E$16)*(C5944&lt;='Resultats - informe'!$G$16),1,0)</f>
        <v>1</v>
      </c>
      <c r="M5944" s="369" cm="1">
        <f t="array" ref="M5944">+_xlfn.IFS((C5944&gt;='Resultats - informe'!$D$26)*(C5944&lt;='Resultats - informe'!$E$26),0,(C5944&gt;='Resultats - informe'!$D$27)*(C5944&lt;='Resultats - informe'!$E$27),0,(C5944&gt;='Resultats - informe'!$D$28)*(C5944&lt;='Resultats - informe'!$E$28),0,(C5944&gt;='Resultats - informe'!$D$29)*(C5944&lt;='Resultats - informe'!$E$29),0,1,1)</f>
        <v>0</v>
      </c>
      <c r="N5944" s="366">
        <f>+VLOOKUP(D5944,'Resultats - informe'!$Y$18:$AG$42,'Introducció dades consum'!K5944+1,0)</f>
        <v>0</v>
      </c>
      <c r="O5944" s="370" cm="1">
        <f t="array" ref="O5944">+_xlfn.SWITCH(MONTH(C5944),1,1,2,1,3,1,4,2,5,2,6,3,7,3,8,3,9,3,10,2,11,2,12,1,2)</f>
        <v>1</v>
      </c>
      <c r="P5944" s="43"/>
    </row>
    <row r="5945" spans="1:16" ht="18" x14ac:dyDescent="0.35">
      <c r="A5945" s="9"/>
      <c r="C5945" s="393"/>
      <c r="E5945" s="394"/>
      <c r="F5945" s="394"/>
      <c r="G5945" s="394"/>
      <c r="I5945" s="368">
        <f t="shared" si="282"/>
        <v>0</v>
      </c>
      <c r="J5945" s="365">
        <f t="shared" si="283"/>
        <v>0</v>
      </c>
      <c r="K5945" s="369">
        <f t="shared" si="284"/>
        <v>6</v>
      </c>
      <c r="L5945" s="369">
        <f>+IF((C5945&gt;='Resultats - informe'!$E$16)*(C5945&lt;='Resultats - informe'!$G$16),1,0)</f>
        <v>1</v>
      </c>
      <c r="M5945" s="369" cm="1">
        <f t="array" ref="M5945">+_xlfn.IFS((C5945&gt;='Resultats - informe'!$D$26)*(C5945&lt;='Resultats - informe'!$E$26),0,(C5945&gt;='Resultats - informe'!$D$27)*(C5945&lt;='Resultats - informe'!$E$27),0,(C5945&gt;='Resultats - informe'!$D$28)*(C5945&lt;='Resultats - informe'!$E$28),0,(C5945&gt;='Resultats - informe'!$D$29)*(C5945&lt;='Resultats - informe'!$E$29),0,1,1)</f>
        <v>0</v>
      </c>
      <c r="N5945" s="366">
        <f>+VLOOKUP(D5945,'Resultats - informe'!$Y$18:$AG$42,'Introducció dades consum'!K5945+1,0)</f>
        <v>0</v>
      </c>
      <c r="O5945" s="370" cm="1">
        <f t="array" ref="O5945">+_xlfn.SWITCH(MONTH(C5945),1,1,2,1,3,1,4,2,5,2,6,3,7,3,8,3,9,3,10,2,11,2,12,1,2)</f>
        <v>1</v>
      </c>
      <c r="P5945" s="43"/>
    </row>
    <row r="5946" spans="1:16" ht="18" x14ac:dyDescent="0.35">
      <c r="A5946" s="9"/>
      <c r="C5946" s="393"/>
      <c r="E5946" s="394"/>
      <c r="F5946" s="394"/>
      <c r="G5946" s="394"/>
      <c r="I5946" s="368">
        <f t="shared" si="282"/>
        <v>0</v>
      </c>
      <c r="J5946" s="365">
        <f t="shared" si="283"/>
        <v>0</v>
      </c>
      <c r="K5946" s="369">
        <f t="shared" si="284"/>
        <v>6</v>
      </c>
      <c r="L5946" s="369">
        <f>+IF((C5946&gt;='Resultats - informe'!$E$16)*(C5946&lt;='Resultats - informe'!$G$16),1,0)</f>
        <v>1</v>
      </c>
      <c r="M5946" s="369" cm="1">
        <f t="array" ref="M5946">+_xlfn.IFS((C5946&gt;='Resultats - informe'!$D$26)*(C5946&lt;='Resultats - informe'!$E$26),0,(C5946&gt;='Resultats - informe'!$D$27)*(C5946&lt;='Resultats - informe'!$E$27),0,(C5946&gt;='Resultats - informe'!$D$28)*(C5946&lt;='Resultats - informe'!$E$28),0,(C5946&gt;='Resultats - informe'!$D$29)*(C5946&lt;='Resultats - informe'!$E$29),0,1,1)</f>
        <v>0</v>
      </c>
      <c r="N5946" s="366">
        <f>+VLOOKUP(D5946,'Resultats - informe'!$Y$18:$AG$42,'Introducció dades consum'!K5946+1,0)</f>
        <v>0</v>
      </c>
      <c r="O5946" s="370" cm="1">
        <f t="array" ref="O5946">+_xlfn.SWITCH(MONTH(C5946),1,1,2,1,3,1,4,2,5,2,6,3,7,3,8,3,9,3,10,2,11,2,12,1,2)</f>
        <v>1</v>
      </c>
      <c r="P5946" s="43"/>
    </row>
    <row r="5947" spans="1:16" ht="18" x14ac:dyDescent="0.35">
      <c r="A5947" s="9"/>
      <c r="C5947" s="393"/>
      <c r="E5947" s="394"/>
      <c r="F5947" s="394"/>
      <c r="G5947" s="394"/>
      <c r="I5947" s="368">
        <f t="shared" si="282"/>
        <v>0</v>
      </c>
      <c r="J5947" s="365">
        <f t="shared" si="283"/>
        <v>0</v>
      </c>
      <c r="K5947" s="369">
        <f t="shared" si="284"/>
        <v>6</v>
      </c>
      <c r="L5947" s="369">
        <f>+IF((C5947&gt;='Resultats - informe'!$E$16)*(C5947&lt;='Resultats - informe'!$G$16),1,0)</f>
        <v>1</v>
      </c>
      <c r="M5947" s="369" cm="1">
        <f t="array" ref="M5947">+_xlfn.IFS((C5947&gt;='Resultats - informe'!$D$26)*(C5947&lt;='Resultats - informe'!$E$26),0,(C5947&gt;='Resultats - informe'!$D$27)*(C5947&lt;='Resultats - informe'!$E$27),0,(C5947&gt;='Resultats - informe'!$D$28)*(C5947&lt;='Resultats - informe'!$E$28),0,(C5947&gt;='Resultats - informe'!$D$29)*(C5947&lt;='Resultats - informe'!$E$29),0,1,1)</f>
        <v>0</v>
      </c>
      <c r="N5947" s="366">
        <f>+VLOOKUP(D5947,'Resultats - informe'!$Y$18:$AG$42,'Introducció dades consum'!K5947+1,0)</f>
        <v>0</v>
      </c>
      <c r="O5947" s="370" cm="1">
        <f t="array" ref="O5947">+_xlfn.SWITCH(MONTH(C5947),1,1,2,1,3,1,4,2,5,2,6,3,7,3,8,3,9,3,10,2,11,2,12,1,2)</f>
        <v>1</v>
      </c>
      <c r="P5947" s="43"/>
    </row>
    <row r="5948" spans="1:16" ht="18" x14ac:dyDescent="0.35">
      <c r="A5948" s="9"/>
      <c r="C5948" s="393"/>
      <c r="E5948" s="394"/>
      <c r="F5948" s="394"/>
      <c r="G5948" s="394"/>
      <c r="I5948" s="368">
        <f t="shared" si="282"/>
        <v>0</v>
      </c>
      <c r="J5948" s="365">
        <f t="shared" si="283"/>
        <v>0</v>
      </c>
      <c r="K5948" s="369">
        <f t="shared" si="284"/>
        <v>6</v>
      </c>
      <c r="L5948" s="369">
        <f>+IF((C5948&gt;='Resultats - informe'!$E$16)*(C5948&lt;='Resultats - informe'!$G$16),1,0)</f>
        <v>1</v>
      </c>
      <c r="M5948" s="369" cm="1">
        <f t="array" ref="M5948">+_xlfn.IFS((C5948&gt;='Resultats - informe'!$D$26)*(C5948&lt;='Resultats - informe'!$E$26),0,(C5948&gt;='Resultats - informe'!$D$27)*(C5948&lt;='Resultats - informe'!$E$27),0,(C5948&gt;='Resultats - informe'!$D$28)*(C5948&lt;='Resultats - informe'!$E$28),0,(C5948&gt;='Resultats - informe'!$D$29)*(C5948&lt;='Resultats - informe'!$E$29),0,1,1)</f>
        <v>0</v>
      </c>
      <c r="N5948" s="366">
        <f>+VLOOKUP(D5948,'Resultats - informe'!$Y$18:$AG$42,'Introducció dades consum'!K5948+1,0)</f>
        <v>0</v>
      </c>
      <c r="O5948" s="370" cm="1">
        <f t="array" ref="O5948">+_xlfn.SWITCH(MONTH(C5948),1,1,2,1,3,1,4,2,5,2,6,3,7,3,8,3,9,3,10,2,11,2,12,1,2)</f>
        <v>1</v>
      </c>
      <c r="P5948" s="43"/>
    </row>
    <row r="5949" spans="1:16" ht="18" x14ac:dyDescent="0.35">
      <c r="A5949" s="9"/>
      <c r="C5949" s="393"/>
      <c r="E5949" s="394"/>
      <c r="F5949" s="394"/>
      <c r="G5949" s="394"/>
      <c r="I5949" s="368">
        <f t="shared" si="282"/>
        <v>0</v>
      </c>
      <c r="J5949" s="365">
        <f t="shared" si="283"/>
        <v>0</v>
      </c>
      <c r="K5949" s="369">
        <f t="shared" si="284"/>
        <v>6</v>
      </c>
      <c r="L5949" s="369">
        <f>+IF((C5949&gt;='Resultats - informe'!$E$16)*(C5949&lt;='Resultats - informe'!$G$16),1,0)</f>
        <v>1</v>
      </c>
      <c r="M5949" s="369" cm="1">
        <f t="array" ref="M5949">+_xlfn.IFS((C5949&gt;='Resultats - informe'!$D$26)*(C5949&lt;='Resultats - informe'!$E$26),0,(C5949&gt;='Resultats - informe'!$D$27)*(C5949&lt;='Resultats - informe'!$E$27),0,(C5949&gt;='Resultats - informe'!$D$28)*(C5949&lt;='Resultats - informe'!$E$28),0,(C5949&gt;='Resultats - informe'!$D$29)*(C5949&lt;='Resultats - informe'!$E$29),0,1,1)</f>
        <v>0</v>
      </c>
      <c r="N5949" s="366">
        <f>+VLOOKUP(D5949,'Resultats - informe'!$Y$18:$AG$42,'Introducció dades consum'!K5949+1,0)</f>
        <v>0</v>
      </c>
      <c r="O5949" s="370" cm="1">
        <f t="array" ref="O5949">+_xlfn.SWITCH(MONTH(C5949),1,1,2,1,3,1,4,2,5,2,6,3,7,3,8,3,9,3,10,2,11,2,12,1,2)</f>
        <v>1</v>
      </c>
      <c r="P5949" s="43"/>
    </row>
    <row r="5950" spans="1:16" ht="18" x14ac:dyDescent="0.35">
      <c r="A5950" s="9"/>
      <c r="C5950" s="393"/>
      <c r="E5950" s="394"/>
      <c r="F5950" s="394"/>
      <c r="G5950" s="394"/>
      <c r="I5950" s="368">
        <f t="shared" si="282"/>
        <v>0</v>
      </c>
      <c r="J5950" s="365">
        <f t="shared" si="283"/>
        <v>0</v>
      </c>
      <c r="K5950" s="369">
        <f t="shared" si="284"/>
        <v>6</v>
      </c>
      <c r="L5950" s="369">
        <f>+IF((C5950&gt;='Resultats - informe'!$E$16)*(C5950&lt;='Resultats - informe'!$G$16),1,0)</f>
        <v>1</v>
      </c>
      <c r="M5950" s="369" cm="1">
        <f t="array" ref="M5950">+_xlfn.IFS((C5950&gt;='Resultats - informe'!$D$26)*(C5950&lt;='Resultats - informe'!$E$26),0,(C5950&gt;='Resultats - informe'!$D$27)*(C5950&lt;='Resultats - informe'!$E$27),0,(C5950&gt;='Resultats - informe'!$D$28)*(C5950&lt;='Resultats - informe'!$E$28),0,(C5950&gt;='Resultats - informe'!$D$29)*(C5950&lt;='Resultats - informe'!$E$29),0,1,1)</f>
        <v>0</v>
      </c>
      <c r="N5950" s="366">
        <f>+VLOOKUP(D5950,'Resultats - informe'!$Y$18:$AG$42,'Introducció dades consum'!K5950+1,0)</f>
        <v>0</v>
      </c>
      <c r="O5950" s="370" cm="1">
        <f t="array" ref="O5950">+_xlfn.SWITCH(MONTH(C5950),1,1,2,1,3,1,4,2,5,2,6,3,7,3,8,3,9,3,10,2,11,2,12,1,2)</f>
        <v>1</v>
      </c>
      <c r="P5950" s="43"/>
    </row>
    <row r="5951" spans="1:16" ht="18" x14ac:dyDescent="0.35">
      <c r="A5951" s="9"/>
      <c r="C5951" s="393"/>
      <c r="E5951" s="394"/>
      <c r="F5951" s="394"/>
      <c r="G5951" s="394"/>
      <c r="I5951" s="368">
        <f t="shared" si="282"/>
        <v>0</v>
      </c>
      <c r="J5951" s="365">
        <f t="shared" si="283"/>
        <v>0</v>
      </c>
      <c r="K5951" s="369">
        <f t="shared" si="284"/>
        <v>6</v>
      </c>
      <c r="L5951" s="369">
        <f>+IF((C5951&gt;='Resultats - informe'!$E$16)*(C5951&lt;='Resultats - informe'!$G$16),1,0)</f>
        <v>1</v>
      </c>
      <c r="M5951" s="369" cm="1">
        <f t="array" ref="M5951">+_xlfn.IFS((C5951&gt;='Resultats - informe'!$D$26)*(C5951&lt;='Resultats - informe'!$E$26),0,(C5951&gt;='Resultats - informe'!$D$27)*(C5951&lt;='Resultats - informe'!$E$27),0,(C5951&gt;='Resultats - informe'!$D$28)*(C5951&lt;='Resultats - informe'!$E$28),0,(C5951&gt;='Resultats - informe'!$D$29)*(C5951&lt;='Resultats - informe'!$E$29),0,1,1)</f>
        <v>0</v>
      </c>
      <c r="N5951" s="366">
        <f>+VLOOKUP(D5951,'Resultats - informe'!$Y$18:$AG$42,'Introducció dades consum'!K5951+1,0)</f>
        <v>0</v>
      </c>
      <c r="O5951" s="370" cm="1">
        <f t="array" ref="O5951">+_xlfn.SWITCH(MONTH(C5951),1,1,2,1,3,1,4,2,5,2,6,3,7,3,8,3,9,3,10,2,11,2,12,1,2)</f>
        <v>1</v>
      </c>
      <c r="P5951" s="43"/>
    </row>
    <row r="5952" spans="1:16" ht="18" x14ac:dyDescent="0.35">
      <c r="A5952" s="9"/>
      <c r="C5952" s="393"/>
      <c r="E5952" s="394"/>
      <c r="F5952" s="394"/>
      <c r="G5952" s="394"/>
      <c r="I5952" s="368">
        <f t="shared" si="282"/>
        <v>0</v>
      </c>
      <c r="J5952" s="365">
        <f t="shared" si="283"/>
        <v>0</v>
      </c>
      <c r="K5952" s="369">
        <f t="shared" si="284"/>
        <v>6</v>
      </c>
      <c r="L5952" s="369">
        <f>+IF((C5952&gt;='Resultats - informe'!$E$16)*(C5952&lt;='Resultats - informe'!$G$16),1,0)</f>
        <v>1</v>
      </c>
      <c r="M5952" s="369" cm="1">
        <f t="array" ref="M5952">+_xlfn.IFS((C5952&gt;='Resultats - informe'!$D$26)*(C5952&lt;='Resultats - informe'!$E$26),0,(C5952&gt;='Resultats - informe'!$D$27)*(C5952&lt;='Resultats - informe'!$E$27),0,(C5952&gt;='Resultats - informe'!$D$28)*(C5952&lt;='Resultats - informe'!$E$28),0,(C5952&gt;='Resultats - informe'!$D$29)*(C5952&lt;='Resultats - informe'!$E$29),0,1,1)</f>
        <v>0</v>
      </c>
      <c r="N5952" s="366">
        <f>+VLOOKUP(D5952,'Resultats - informe'!$Y$18:$AG$42,'Introducció dades consum'!K5952+1,0)</f>
        <v>0</v>
      </c>
      <c r="O5952" s="370" cm="1">
        <f t="array" ref="O5952">+_xlfn.SWITCH(MONTH(C5952),1,1,2,1,3,1,4,2,5,2,6,3,7,3,8,3,9,3,10,2,11,2,12,1,2)</f>
        <v>1</v>
      </c>
      <c r="P5952" s="43"/>
    </row>
    <row r="5953" spans="1:16" ht="18" x14ac:dyDescent="0.35">
      <c r="A5953" s="9"/>
      <c r="C5953" s="393"/>
      <c r="E5953" s="394"/>
      <c r="F5953" s="394"/>
      <c r="G5953" s="394"/>
      <c r="I5953" s="368">
        <f t="shared" si="282"/>
        <v>0</v>
      </c>
      <c r="J5953" s="365">
        <f t="shared" si="283"/>
        <v>0</v>
      </c>
      <c r="K5953" s="369">
        <f t="shared" si="284"/>
        <v>6</v>
      </c>
      <c r="L5953" s="369">
        <f>+IF((C5953&gt;='Resultats - informe'!$E$16)*(C5953&lt;='Resultats - informe'!$G$16),1,0)</f>
        <v>1</v>
      </c>
      <c r="M5953" s="369" cm="1">
        <f t="array" ref="M5953">+_xlfn.IFS((C5953&gt;='Resultats - informe'!$D$26)*(C5953&lt;='Resultats - informe'!$E$26),0,(C5953&gt;='Resultats - informe'!$D$27)*(C5953&lt;='Resultats - informe'!$E$27),0,(C5953&gt;='Resultats - informe'!$D$28)*(C5953&lt;='Resultats - informe'!$E$28),0,(C5953&gt;='Resultats - informe'!$D$29)*(C5953&lt;='Resultats - informe'!$E$29),0,1,1)</f>
        <v>0</v>
      </c>
      <c r="N5953" s="366">
        <f>+VLOOKUP(D5953,'Resultats - informe'!$Y$18:$AG$42,'Introducció dades consum'!K5953+1,0)</f>
        <v>0</v>
      </c>
      <c r="O5953" s="370" cm="1">
        <f t="array" ref="O5953">+_xlfn.SWITCH(MONTH(C5953),1,1,2,1,3,1,4,2,5,2,6,3,7,3,8,3,9,3,10,2,11,2,12,1,2)</f>
        <v>1</v>
      </c>
      <c r="P5953" s="43"/>
    </row>
    <row r="5954" spans="1:16" ht="18" x14ac:dyDescent="0.35">
      <c r="A5954" s="9"/>
      <c r="C5954" s="393"/>
      <c r="E5954" s="394"/>
      <c r="F5954" s="394"/>
      <c r="G5954" s="394"/>
      <c r="I5954" s="368">
        <f t="shared" si="282"/>
        <v>0</v>
      </c>
      <c r="J5954" s="365">
        <f t="shared" si="283"/>
        <v>0</v>
      </c>
      <c r="K5954" s="369">
        <f t="shared" si="284"/>
        <v>6</v>
      </c>
      <c r="L5954" s="369">
        <f>+IF((C5954&gt;='Resultats - informe'!$E$16)*(C5954&lt;='Resultats - informe'!$G$16),1,0)</f>
        <v>1</v>
      </c>
      <c r="M5954" s="369" cm="1">
        <f t="array" ref="M5954">+_xlfn.IFS((C5954&gt;='Resultats - informe'!$D$26)*(C5954&lt;='Resultats - informe'!$E$26),0,(C5954&gt;='Resultats - informe'!$D$27)*(C5954&lt;='Resultats - informe'!$E$27),0,(C5954&gt;='Resultats - informe'!$D$28)*(C5954&lt;='Resultats - informe'!$E$28),0,(C5954&gt;='Resultats - informe'!$D$29)*(C5954&lt;='Resultats - informe'!$E$29),0,1,1)</f>
        <v>0</v>
      </c>
      <c r="N5954" s="366">
        <f>+VLOOKUP(D5954,'Resultats - informe'!$Y$18:$AG$42,'Introducció dades consum'!K5954+1,0)</f>
        <v>0</v>
      </c>
      <c r="O5954" s="370" cm="1">
        <f t="array" ref="O5954">+_xlfn.SWITCH(MONTH(C5954),1,1,2,1,3,1,4,2,5,2,6,3,7,3,8,3,9,3,10,2,11,2,12,1,2)</f>
        <v>1</v>
      </c>
      <c r="P5954" s="43"/>
    </row>
    <row r="5955" spans="1:16" ht="18" x14ac:dyDescent="0.35">
      <c r="A5955" s="9"/>
      <c r="C5955" s="393"/>
      <c r="E5955" s="394"/>
      <c r="F5955" s="394"/>
      <c r="G5955" s="394"/>
      <c r="I5955" s="368">
        <f t="shared" si="282"/>
        <v>0</v>
      </c>
      <c r="J5955" s="365">
        <f t="shared" si="283"/>
        <v>0</v>
      </c>
      <c r="K5955" s="369">
        <f t="shared" si="284"/>
        <v>6</v>
      </c>
      <c r="L5955" s="369">
        <f>+IF((C5955&gt;='Resultats - informe'!$E$16)*(C5955&lt;='Resultats - informe'!$G$16),1,0)</f>
        <v>1</v>
      </c>
      <c r="M5955" s="369" cm="1">
        <f t="array" ref="M5955">+_xlfn.IFS((C5955&gt;='Resultats - informe'!$D$26)*(C5955&lt;='Resultats - informe'!$E$26),0,(C5955&gt;='Resultats - informe'!$D$27)*(C5955&lt;='Resultats - informe'!$E$27),0,(C5955&gt;='Resultats - informe'!$D$28)*(C5955&lt;='Resultats - informe'!$E$28),0,(C5955&gt;='Resultats - informe'!$D$29)*(C5955&lt;='Resultats - informe'!$E$29),0,1,1)</f>
        <v>0</v>
      </c>
      <c r="N5955" s="366">
        <f>+VLOOKUP(D5955,'Resultats - informe'!$Y$18:$AG$42,'Introducció dades consum'!K5955+1,0)</f>
        <v>0</v>
      </c>
      <c r="O5955" s="370" cm="1">
        <f t="array" ref="O5955">+_xlfn.SWITCH(MONTH(C5955),1,1,2,1,3,1,4,2,5,2,6,3,7,3,8,3,9,3,10,2,11,2,12,1,2)</f>
        <v>1</v>
      </c>
      <c r="P5955" s="43"/>
    </row>
    <row r="5956" spans="1:16" ht="18" x14ac:dyDescent="0.35">
      <c r="A5956" s="9"/>
      <c r="C5956" s="393"/>
      <c r="E5956" s="394"/>
      <c r="F5956" s="394"/>
      <c r="G5956" s="394"/>
      <c r="I5956" s="368">
        <f t="shared" si="282"/>
        <v>0</v>
      </c>
      <c r="J5956" s="365">
        <f t="shared" si="283"/>
        <v>0</v>
      </c>
      <c r="K5956" s="369">
        <f t="shared" si="284"/>
        <v>6</v>
      </c>
      <c r="L5956" s="369">
        <f>+IF((C5956&gt;='Resultats - informe'!$E$16)*(C5956&lt;='Resultats - informe'!$G$16),1,0)</f>
        <v>1</v>
      </c>
      <c r="M5956" s="369" cm="1">
        <f t="array" ref="M5956">+_xlfn.IFS((C5956&gt;='Resultats - informe'!$D$26)*(C5956&lt;='Resultats - informe'!$E$26),0,(C5956&gt;='Resultats - informe'!$D$27)*(C5956&lt;='Resultats - informe'!$E$27),0,(C5956&gt;='Resultats - informe'!$D$28)*(C5956&lt;='Resultats - informe'!$E$28),0,(C5956&gt;='Resultats - informe'!$D$29)*(C5956&lt;='Resultats - informe'!$E$29),0,1,1)</f>
        <v>0</v>
      </c>
      <c r="N5956" s="366">
        <f>+VLOOKUP(D5956,'Resultats - informe'!$Y$18:$AG$42,'Introducció dades consum'!K5956+1,0)</f>
        <v>0</v>
      </c>
      <c r="O5956" s="370" cm="1">
        <f t="array" ref="O5956">+_xlfn.SWITCH(MONTH(C5956),1,1,2,1,3,1,4,2,5,2,6,3,7,3,8,3,9,3,10,2,11,2,12,1,2)</f>
        <v>1</v>
      </c>
      <c r="P5956" s="43"/>
    </row>
    <row r="5957" spans="1:16" ht="18" x14ac:dyDescent="0.35">
      <c r="A5957" s="9"/>
      <c r="C5957" s="393"/>
      <c r="E5957" s="394"/>
      <c r="F5957" s="394"/>
      <c r="G5957" s="394"/>
      <c r="I5957" s="368">
        <f t="shared" si="282"/>
        <v>0</v>
      </c>
      <c r="J5957" s="365">
        <f t="shared" si="283"/>
        <v>0</v>
      </c>
      <c r="K5957" s="369">
        <f t="shared" si="284"/>
        <v>6</v>
      </c>
      <c r="L5957" s="369">
        <f>+IF((C5957&gt;='Resultats - informe'!$E$16)*(C5957&lt;='Resultats - informe'!$G$16),1,0)</f>
        <v>1</v>
      </c>
      <c r="M5957" s="369" cm="1">
        <f t="array" ref="M5957">+_xlfn.IFS((C5957&gt;='Resultats - informe'!$D$26)*(C5957&lt;='Resultats - informe'!$E$26),0,(C5957&gt;='Resultats - informe'!$D$27)*(C5957&lt;='Resultats - informe'!$E$27),0,(C5957&gt;='Resultats - informe'!$D$28)*(C5957&lt;='Resultats - informe'!$E$28),0,(C5957&gt;='Resultats - informe'!$D$29)*(C5957&lt;='Resultats - informe'!$E$29),0,1,1)</f>
        <v>0</v>
      </c>
      <c r="N5957" s="366">
        <f>+VLOOKUP(D5957,'Resultats - informe'!$Y$18:$AG$42,'Introducció dades consum'!K5957+1,0)</f>
        <v>0</v>
      </c>
      <c r="O5957" s="370" cm="1">
        <f t="array" ref="O5957">+_xlfn.SWITCH(MONTH(C5957),1,1,2,1,3,1,4,2,5,2,6,3,7,3,8,3,9,3,10,2,11,2,12,1,2)</f>
        <v>1</v>
      </c>
      <c r="P5957" s="43"/>
    </row>
    <row r="5958" spans="1:16" ht="18" x14ac:dyDescent="0.35">
      <c r="A5958" s="9"/>
      <c r="C5958" s="393"/>
      <c r="E5958" s="394"/>
      <c r="F5958" s="394"/>
      <c r="G5958" s="394"/>
      <c r="I5958" s="368">
        <f t="shared" si="282"/>
        <v>0</v>
      </c>
      <c r="J5958" s="365">
        <f t="shared" si="283"/>
        <v>0</v>
      </c>
      <c r="K5958" s="369">
        <f t="shared" si="284"/>
        <v>6</v>
      </c>
      <c r="L5958" s="369">
        <f>+IF((C5958&gt;='Resultats - informe'!$E$16)*(C5958&lt;='Resultats - informe'!$G$16),1,0)</f>
        <v>1</v>
      </c>
      <c r="M5958" s="369" cm="1">
        <f t="array" ref="M5958">+_xlfn.IFS((C5958&gt;='Resultats - informe'!$D$26)*(C5958&lt;='Resultats - informe'!$E$26),0,(C5958&gt;='Resultats - informe'!$D$27)*(C5958&lt;='Resultats - informe'!$E$27),0,(C5958&gt;='Resultats - informe'!$D$28)*(C5958&lt;='Resultats - informe'!$E$28),0,(C5958&gt;='Resultats - informe'!$D$29)*(C5958&lt;='Resultats - informe'!$E$29),0,1,1)</f>
        <v>0</v>
      </c>
      <c r="N5958" s="366">
        <f>+VLOOKUP(D5958,'Resultats - informe'!$Y$18:$AG$42,'Introducció dades consum'!K5958+1,0)</f>
        <v>0</v>
      </c>
      <c r="O5958" s="370" cm="1">
        <f t="array" ref="O5958">+_xlfn.SWITCH(MONTH(C5958),1,1,2,1,3,1,4,2,5,2,6,3,7,3,8,3,9,3,10,2,11,2,12,1,2)</f>
        <v>1</v>
      </c>
      <c r="P5958" s="43"/>
    </row>
    <row r="5959" spans="1:16" ht="18" x14ac:dyDescent="0.35">
      <c r="A5959" s="9"/>
      <c r="C5959" s="393"/>
      <c r="E5959" s="394"/>
      <c r="F5959" s="394"/>
      <c r="G5959" s="394"/>
      <c r="I5959" s="368">
        <f t="shared" si="282"/>
        <v>0</v>
      </c>
      <c r="J5959" s="365">
        <f t="shared" si="283"/>
        <v>0</v>
      </c>
      <c r="K5959" s="369">
        <f t="shared" si="284"/>
        <v>6</v>
      </c>
      <c r="L5959" s="369">
        <f>+IF((C5959&gt;='Resultats - informe'!$E$16)*(C5959&lt;='Resultats - informe'!$G$16),1,0)</f>
        <v>1</v>
      </c>
      <c r="M5959" s="369" cm="1">
        <f t="array" ref="M5959">+_xlfn.IFS((C5959&gt;='Resultats - informe'!$D$26)*(C5959&lt;='Resultats - informe'!$E$26),0,(C5959&gt;='Resultats - informe'!$D$27)*(C5959&lt;='Resultats - informe'!$E$27),0,(C5959&gt;='Resultats - informe'!$D$28)*(C5959&lt;='Resultats - informe'!$E$28),0,(C5959&gt;='Resultats - informe'!$D$29)*(C5959&lt;='Resultats - informe'!$E$29),0,1,1)</f>
        <v>0</v>
      </c>
      <c r="N5959" s="366">
        <f>+VLOOKUP(D5959,'Resultats - informe'!$Y$18:$AG$42,'Introducció dades consum'!K5959+1,0)</f>
        <v>0</v>
      </c>
      <c r="O5959" s="370" cm="1">
        <f t="array" ref="O5959">+_xlfn.SWITCH(MONTH(C5959),1,1,2,1,3,1,4,2,5,2,6,3,7,3,8,3,9,3,10,2,11,2,12,1,2)</f>
        <v>1</v>
      </c>
      <c r="P5959" s="43"/>
    </row>
    <row r="5960" spans="1:16" ht="18" x14ac:dyDescent="0.35">
      <c r="A5960" s="9"/>
      <c r="C5960" s="393"/>
      <c r="E5960" s="394"/>
      <c r="F5960" s="394"/>
      <c r="G5960" s="394"/>
      <c r="I5960" s="368">
        <f t="shared" si="282"/>
        <v>0</v>
      </c>
      <c r="J5960" s="365">
        <f t="shared" si="283"/>
        <v>0</v>
      </c>
      <c r="K5960" s="369">
        <f t="shared" si="284"/>
        <v>6</v>
      </c>
      <c r="L5960" s="369">
        <f>+IF((C5960&gt;='Resultats - informe'!$E$16)*(C5960&lt;='Resultats - informe'!$G$16),1,0)</f>
        <v>1</v>
      </c>
      <c r="M5960" s="369" cm="1">
        <f t="array" ref="M5960">+_xlfn.IFS((C5960&gt;='Resultats - informe'!$D$26)*(C5960&lt;='Resultats - informe'!$E$26),0,(C5960&gt;='Resultats - informe'!$D$27)*(C5960&lt;='Resultats - informe'!$E$27),0,(C5960&gt;='Resultats - informe'!$D$28)*(C5960&lt;='Resultats - informe'!$E$28),0,(C5960&gt;='Resultats - informe'!$D$29)*(C5960&lt;='Resultats - informe'!$E$29),0,1,1)</f>
        <v>0</v>
      </c>
      <c r="N5960" s="366">
        <f>+VLOOKUP(D5960,'Resultats - informe'!$Y$18:$AG$42,'Introducció dades consum'!K5960+1,0)</f>
        <v>0</v>
      </c>
      <c r="O5960" s="370" cm="1">
        <f t="array" ref="O5960">+_xlfn.SWITCH(MONTH(C5960),1,1,2,1,3,1,4,2,5,2,6,3,7,3,8,3,9,3,10,2,11,2,12,1,2)</f>
        <v>1</v>
      </c>
      <c r="P5960" s="43"/>
    </row>
    <row r="5961" spans="1:16" ht="18" x14ac:dyDescent="0.35">
      <c r="A5961" s="9"/>
      <c r="C5961" s="393"/>
      <c r="E5961" s="394"/>
      <c r="F5961" s="394"/>
      <c r="G5961" s="394"/>
      <c r="I5961" s="368">
        <f t="shared" si="282"/>
        <v>0</v>
      </c>
      <c r="J5961" s="365">
        <f t="shared" si="283"/>
        <v>0</v>
      </c>
      <c r="K5961" s="369">
        <f t="shared" si="284"/>
        <v>6</v>
      </c>
      <c r="L5961" s="369">
        <f>+IF((C5961&gt;='Resultats - informe'!$E$16)*(C5961&lt;='Resultats - informe'!$G$16),1,0)</f>
        <v>1</v>
      </c>
      <c r="M5961" s="369" cm="1">
        <f t="array" ref="M5961">+_xlfn.IFS((C5961&gt;='Resultats - informe'!$D$26)*(C5961&lt;='Resultats - informe'!$E$26),0,(C5961&gt;='Resultats - informe'!$D$27)*(C5961&lt;='Resultats - informe'!$E$27),0,(C5961&gt;='Resultats - informe'!$D$28)*(C5961&lt;='Resultats - informe'!$E$28),0,(C5961&gt;='Resultats - informe'!$D$29)*(C5961&lt;='Resultats - informe'!$E$29),0,1,1)</f>
        <v>0</v>
      </c>
      <c r="N5961" s="366">
        <f>+VLOOKUP(D5961,'Resultats - informe'!$Y$18:$AG$42,'Introducció dades consum'!K5961+1,0)</f>
        <v>0</v>
      </c>
      <c r="O5961" s="370" cm="1">
        <f t="array" ref="O5961">+_xlfn.SWITCH(MONTH(C5961),1,1,2,1,3,1,4,2,5,2,6,3,7,3,8,3,9,3,10,2,11,2,12,1,2)</f>
        <v>1</v>
      </c>
      <c r="P5961" s="43"/>
    </row>
    <row r="5962" spans="1:16" ht="18" x14ac:dyDescent="0.35">
      <c r="A5962" s="9"/>
      <c r="C5962" s="393"/>
      <c r="E5962" s="394"/>
      <c r="F5962" s="394"/>
      <c r="G5962" s="394"/>
      <c r="I5962" s="368">
        <f t="shared" si="282"/>
        <v>0</v>
      </c>
      <c r="J5962" s="365">
        <f t="shared" si="283"/>
        <v>0</v>
      </c>
      <c r="K5962" s="369">
        <f t="shared" si="284"/>
        <v>6</v>
      </c>
      <c r="L5962" s="369">
        <f>+IF((C5962&gt;='Resultats - informe'!$E$16)*(C5962&lt;='Resultats - informe'!$G$16),1,0)</f>
        <v>1</v>
      </c>
      <c r="M5962" s="369" cm="1">
        <f t="array" ref="M5962">+_xlfn.IFS((C5962&gt;='Resultats - informe'!$D$26)*(C5962&lt;='Resultats - informe'!$E$26),0,(C5962&gt;='Resultats - informe'!$D$27)*(C5962&lt;='Resultats - informe'!$E$27),0,(C5962&gt;='Resultats - informe'!$D$28)*(C5962&lt;='Resultats - informe'!$E$28),0,(C5962&gt;='Resultats - informe'!$D$29)*(C5962&lt;='Resultats - informe'!$E$29),0,1,1)</f>
        <v>0</v>
      </c>
      <c r="N5962" s="366">
        <f>+VLOOKUP(D5962,'Resultats - informe'!$Y$18:$AG$42,'Introducció dades consum'!K5962+1,0)</f>
        <v>0</v>
      </c>
      <c r="O5962" s="370" cm="1">
        <f t="array" ref="O5962">+_xlfn.SWITCH(MONTH(C5962),1,1,2,1,3,1,4,2,5,2,6,3,7,3,8,3,9,3,10,2,11,2,12,1,2)</f>
        <v>1</v>
      </c>
      <c r="P5962" s="43"/>
    </row>
    <row r="5963" spans="1:16" ht="18" x14ac:dyDescent="0.35">
      <c r="A5963" s="9"/>
      <c r="C5963" s="393"/>
      <c r="E5963" s="394"/>
      <c r="F5963" s="394"/>
      <c r="G5963" s="394"/>
      <c r="I5963" s="368">
        <f t="shared" si="282"/>
        <v>0</v>
      </c>
      <c r="J5963" s="365">
        <f t="shared" si="283"/>
        <v>0</v>
      </c>
      <c r="K5963" s="369">
        <f t="shared" si="284"/>
        <v>6</v>
      </c>
      <c r="L5963" s="369">
        <f>+IF((C5963&gt;='Resultats - informe'!$E$16)*(C5963&lt;='Resultats - informe'!$G$16),1,0)</f>
        <v>1</v>
      </c>
      <c r="M5963" s="369" cm="1">
        <f t="array" ref="M5963">+_xlfn.IFS((C5963&gt;='Resultats - informe'!$D$26)*(C5963&lt;='Resultats - informe'!$E$26),0,(C5963&gt;='Resultats - informe'!$D$27)*(C5963&lt;='Resultats - informe'!$E$27),0,(C5963&gt;='Resultats - informe'!$D$28)*(C5963&lt;='Resultats - informe'!$E$28),0,(C5963&gt;='Resultats - informe'!$D$29)*(C5963&lt;='Resultats - informe'!$E$29),0,1,1)</f>
        <v>0</v>
      </c>
      <c r="N5963" s="366">
        <f>+VLOOKUP(D5963,'Resultats - informe'!$Y$18:$AG$42,'Introducció dades consum'!K5963+1,0)</f>
        <v>0</v>
      </c>
      <c r="O5963" s="370" cm="1">
        <f t="array" ref="O5963">+_xlfn.SWITCH(MONTH(C5963),1,1,2,1,3,1,4,2,5,2,6,3,7,3,8,3,9,3,10,2,11,2,12,1,2)</f>
        <v>1</v>
      </c>
      <c r="P5963" s="43"/>
    </row>
    <row r="5964" spans="1:16" ht="18" x14ac:dyDescent="0.35">
      <c r="A5964" s="9"/>
      <c r="C5964" s="393"/>
      <c r="E5964" s="394"/>
      <c r="F5964" s="394"/>
      <c r="G5964" s="394"/>
      <c r="I5964" s="368">
        <f t="shared" si="282"/>
        <v>0</v>
      </c>
      <c r="J5964" s="365">
        <f t="shared" si="283"/>
        <v>0</v>
      </c>
      <c r="K5964" s="369">
        <f t="shared" si="284"/>
        <v>6</v>
      </c>
      <c r="L5964" s="369">
        <f>+IF((C5964&gt;='Resultats - informe'!$E$16)*(C5964&lt;='Resultats - informe'!$G$16),1,0)</f>
        <v>1</v>
      </c>
      <c r="M5964" s="369" cm="1">
        <f t="array" ref="M5964">+_xlfn.IFS((C5964&gt;='Resultats - informe'!$D$26)*(C5964&lt;='Resultats - informe'!$E$26),0,(C5964&gt;='Resultats - informe'!$D$27)*(C5964&lt;='Resultats - informe'!$E$27),0,(C5964&gt;='Resultats - informe'!$D$28)*(C5964&lt;='Resultats - informe'!$E$28),0,(C5964&gt;='Resultats - informe'!$D$29)*(C5964&lt;='Resultats - informe'!$E$29),0,1,1)</f>
        <v>0</v>
      </c>
      <c r="N5964" s="366">
        <f>+VLOOKUP(D5964,'Resultats - informe'!$Y$18:$AG$42,'Introducció dades consum'!K5964+1,0)</f>
        <v>0</v>
      </c>
      <c r="O5964" s="370" cm="1">
        <f t="array" ref="O5964">+_xlfn.SWITCH(MONTH(C5964),1,1,2,1,3,1,4,2,5,2,6,3,7,3,8,3,9,3,10,2,11,2,12,1,2)</f>
        <v>1</v>
      </c>
      <c r="P5964" s="43"/>
    </row>
    <row r="5965" spans="1:16" ht="18" x14ac:dyDescent="0.35">
      <c r="A5965" s="9"/>
      <c r="C5965" s="393"/>
      <c r="E5965" s="394"/>
      <c r="F5965" s="394"/>
      <c r="G5965" s="394"/>
      <c r="I5965" s="368">
        <f t="shared" si="282"/>
        <v>0</v>
      </c>
      <c r="J5965" s="365">
        <f t="shared" si="283"/>
        <v>0</v>
      </c>
      <c r="K5965" s="369">
        <f t="shared" si="284"/>
        <v>6</v>
      </c>
      <c r="L5965" s="369">
        <f>+IF((C5965&gt;='Resultats - informe'!$E$16)*(C5965&lt;='Resultats - informe'!$G$16),1,0)</f>
        <v>1</v>
      </c>
      <c r="M5965" s="369" cm="1">
        <f t="array" ref="M5965">+_xlfn.IFS((C5965&gt;='Resultats - informe'!$D$26)*(C5965&lt;='Resultats - informe'!$E$26),0,(C5965&gt;='Resultats - informe'!$D$27)*(C5965&lt;='Resultats - informe'!$E$27),0,(C5965&gt;='Resultats - informe'!$D$28)*(C5965&lt;='Resultats - informe'!$E$28),0,(C5965&gt;='Resultats - informe'!$D$29)*(C5965&lt;='Resultats - informe'!$E$29),0,1,1)</f>
        <v>0</v>
      </c>
      <c r="N5965" s="366">
        <f>+VLOOKUP(D5965,'Resultats - informe'!$Y$18:$AG$42,'Introducció dades consum'!K5965+1,0)</f>
        <v>0</v>
      </c>
      <c r="O5965" s="370" cm="1">
        <f t="array" ref="O5965">+_xlfn.SWITCH(MONTH(C5965),1,1,2,1,3,1,4,2,5,2,6,3,7,3,8,3,9,3,10,2,11,2,12,1,2)</f>
        <v>1</v>
      </c>
      <c r="P5965" s="43"/>
    </row>
    <row r="5966" spans="1:16" ht="18" x14ac:dyDescent="0.35">
      <c r="A5966" s="9"/>
      <c r="C5966" s="393"/>
      <c r="E5966" s="394"/>
      <c r="F5966" s="394"/>
      <c r="G5966" s="394"/>
      <c r="I5966" s="368">
        <f t="shared" si="282"/>
        <v>0</v>
      </c>
      <c r="J5966" s="365">
        <f t="shared" si="283"/>
        <v>0</v>
      </c>
      <c r="K5966" s="369">
        <f t="shared" si="284"/>
        <v>6</v>
      </c>
      <c r="L5966" s="369">
        <f>+IF((C5966&gt;='Resultats - informe'!$E$16)*(C5966&lt;='Resultats - informe'!$G$16),1,0)</f>
        <v>1</v>
      </c>
      <c r="M5966" s="369" cm="1">
        <f t="array" ref="M5966">+_xlfn.IFS((C5966&gt;='Resultats - informe'!$D$26)*(C5966&lt;='Resultats - informe'!$E$26),0,(C5966&gt;='Resultats - informe'!$D$27)*(C5966&lt;='Resultats - informe'!$E$27),0,(C5966&gt;='Resultats - informe'!$D$28)*(C5966&lt;='Resultats - informe'!$E$28),0,(C5966&gt;='Resultats - informe'!$D$29)*(C5966&lt;='Resultats - informe'!$E$29),0,1,1)</f>
        <v>0</v>
      </c>
      <c r="N5966" s="366">
        <f>+VLOOKUP(D5966,'Resultats - informe'!$Y$18:$AG$42,'Introducció dades consum'!K5966+1,0)</f>
        <v>0</v>
      </c>
      <c r="O5966" s="370" cm="1">
        <f t="array" ref="O5966">+_xlfn.SWITCH(MONTH(C5966),1,1,2,1,3,1,4,2,5,2,6,3,7,3,8,3,9,3,10,2,11,2,12,1,2)</f>
        <v>1</v>
      </c>
      <c r="P5966" s="43"/>
    </row>
    <row r="5967" spans="1:16" ht="18" x14ac:dyDescent="0.35">
      <c r="A5967" s="9"/>
      <c r="C5967" s="393"/>
      <c r="E5967" s="394"/>
      <c r="F5967" s="394"/>
      <c r="G5967" s="394"/>
      <c r="I5967" s="368">
        <f t="shared" si="282"/>
        <v>0</v>
      </c>
      <c r="J5967" s="365">
        <f t="shared" si="283"/>
        <v>0</v>
      </c>
      <c r="K5967" s="369">
        <f t="shared" si="284"/>
        <v>6</v>
      </c>
      <c r="L5967" s="369">
        <f>+IF((C5967&gt;='Resultats - informe'!$E$16)*(C5967&lt;='Resultats - informe'!$G$16),1,0)</f>
        <v>1</v>
      </c>
      <c r="M5967" s="369" cm="1">
        <f t="array" ref="M5967">+_xlfn.IFS((C5967&gt;='Resultats - informe'!$D$26)*(C5967&lt;='Resultats - informe'!$E$26),0,(C5967&gt;='Resultats - informe'!$D$27)*(C5967&lt;='Resultats - informe'!$E$27),0,(C5967&gt;='Resultats - informe'!$D$28)*(C5967&lt;='Resultats - informe'!$E$28),0,(C5967&gt;='Resultats - informe'!$D$29)*(C5967&lt;='Resultats - informe'!$E$29),0,1,1)</f>
        <v>0</v>
      </c>
      <c r="N5967" s="366">
        <f>+VLOOKUP(D5967,'Resultats - informe'!$Y$18:$AG$42,'Introducció dades consum'!K5967+1,0)</f>
        <v>0</v>
      </c>
      <c r="O5967" s="370" cm="1">
        <f t="array" ref="O5967">+_xlfn.SWITCH(MONTH(C5967),1,1,2,1,3,1,4,2,5,2,6,3,7,3,8,3,9,3,10,2,11,2,12,1,2)</f>
        <v>1</v>
      </c>
      <c r="P5967" s="43"/>
    </row>
    <row r="5968" spans="1:16" ht="18" x14ac:dyDescent="0.35">
      <c r="A5968" s="9"/>
      <c r="C5968" s="393"/>
      <c r="E5968" s="394"/>
      <c r="F5968" s="394"/>
      <c r="G5968" s="394"/>
      <c r="I5968" s="368">
        <f t="shared" si="282"/>
        <v>0</v>
      </c>
      <c r="J5968" s="365">
        <f t="shared" si="283"/>
        <v>0</v>
      </c>
      <c r="K5968" s="369">
        <f t="shared" si="284"/>
        <v>6</v>
      </c>
      <c r="L5968" s="369">
        <f>+IF((C5968&gt;='Resultats - informe'!$E$16)*(C5968&lt;='Resultats - informe'!$G$16),1,0)</f>
        <v>1</v>
      </c>
      <c r="M5968" s="369" cm="1">
        <f t="array" ref="M5968">+_xlfn.IFS((C5968&gt;='Resultats - informe'!$D$26)*(C5968&lt;='Resultats - informe'!$E$26),0,(C5968&gt;='Resultats - informe'!$D$27)*(C5968&lt;='Resultats - informe'!$E$27),0,(C5968&gt;='Resultats - informe'!$D$28)*(C5968&lt;='Resultats - informe'!$E$28),0,(C5968&gt;='Resultats - informe'!$D$29)*(C5968&lt;='Resultats - informe'!$E$29),0,1,1)</f>
        <v>0</v>
      </c>
      <c r="N5968" s="366">
        <f>+VLOOKUP(D5968,'Resultats - informe'!$Y$18:$AG$42,'Introducció dades consum'!K5968+1,0)</f>
        <v>0</v>
      </c>
      <c r="O5968" s="370" cm="1">
        <f t="array" ref="O5968">+_xlfn.SWITCH(MONTH(C5968),1,1,2,1,3,1,4,2,5,2,6,3,7,3,8,3,9,3,10,2,11,2,12,1,2)</f>
        <v>1</v>
      </c>
      <c r="P5968" s="43"/>
    </row>
    <row r="5969" spans="1:16" ht="18" x14ac:dyDescent="0.35">
      <c r="A5969" s="9"/>
      <c r="C5969" s="393"/>
      <c r="E5969" s="394"/>
      <c r="F5969" s="394"/>
      <c r="G5969" s="394"/>
      <c r="I5969" s="368">
        <f t="shared" si="282"/>
        <v>0</v>
      </c>
      <c r="J5969" s="365">
        <f t="shared" si="283"/>
        <v>0</v>
      </c>
      <c r="K5969" s="369">
        <f t="shared" si="284"/>
        <v>6</v>
      </c>
      <c r="L5969" s="369">
        <f>+IF((C5969&gt;='Resultats - informe'!$E$16)*(C5969&lt;='Resultats - informe'!$G$16),1,0)</f>
        <v>1</v>
      </c>
      <c r="M5969" s="369" cm="1">
        <f t="array" ref="M5969">+_xlfn.IFS((C5969&gt;='Resultats - informe'!$D$26)*(C5969&lt;='Resultats - informe'!$E$26),0,(C5969&gt;='Resultats - informe'!$D$27)*(C5969&lt;='Resultats - informe'!$E$27),0,(C5969&gt;='Resultats - informe'!$D$28)*(C5969&lt;='Resultats - informe'!$E$28),0,(C5969&gt;='Resultats - informe'!$D$29)*(C5969&lt;='Resultats - informe'!$E$29),0,1,1)</f>
        <v>0</v>
      </c>
      <c r="N5969" s="366">
        <f>+VLOOKUP(D5969,'Resultats - informe'!$Y$18:$AG$42,'Introducció dades consum'!K5969+1,0)</f>
        <v>0</v>
      </c>
      <c r="O5969" s="370" cm="1">
        <f t="array" ref="O5969">+_xlfn.SWITCH(MONTH(C5969),1,1,2,1,3,1,4,2,5,2,6,3,7,3,8,3,9,3,10,2,11,2,12,1,2)</f>
        <v>1</v>
      </c>
      <c r="P5969" s="43"/>
    </row>
    <row r="5970" spans="1:16" ht="18" x14ac:dyDescent="0.35">
      <c r="A5970" s="9"/>
      <c r="C5970" s="393"/>
      <c r="E5970" s="394"/>
      <c r="F5970" s="394"/>
      <c r="G5970" s="394"/>
      <c r="I5970" s="368">
        <f t="shared" ref="I5970:I6033" si="285">+E5970+G5970</f>
        <v>0</v>
      </c>
      <c r="J5970" s="365">
        <f t="shared" ref="J5970:J6033" si="286">+C5970</f>
        <v>0</v>
      </c>
      <c r="K5970" s="369">
        <f t="shared" ref="K5970:K6033" si="287">+WEEKDAY(C5970,2)</f>
        <v>6</v>
      </c>
      <c r="L5970" s="369">
        <f>+IF((C5970&gt;='Resultats - informe'!$E$16)*(C5970&lt;='Resultats - informe'!$G$16),1,0)</f>
        <v>1</v>
      </c>
      <c r="M5970" s="369" cm="1">
        <f t="array" ref="M5970">+_xlfn.IFS((C5970&gt;='Resultats - informe'!$D$26)*(C5970&lt;='Resultats - informe'!$E$26),0,(C5970&gt;='Resultats - informe'!$D$27)*(C5970&lt;='Resultats - informe'!$E$27),0,(C5970&gt;='Resultats - informe'!$D$28)*(C5970&lt;='Resultats - informe'!$E$28),0,(C5970&gt;='Resultats - informe'!$D$29)*(C5970&lt;='Resultats - informe'!$E$29),0,1,1)</f>
        <v>0</v>
      </c>
      <c r="N5970" s="366">
        <f>+VLOOKUP(D5970,'Resultats - informe'!$Y$18:$AG$42,'Introducció dades consum'!K5970+1,0)</f>
        <v>0</v>
      </c>
      <c r="O5970" s="370" cm="1">
        <f t="array" ref="O5970">+_xlfn.SWITCH(MONTH(C5970),1,1,2,1,3,1,4,2,5,2,6,3,7,3,8,3,9,3,10,2,11,2,12,1,2)</f>
        <v>1</v>
      </c>
      <c r="P5970" s="43"/>
    </row>
    <row r="5971" spans="1:16" ht="18" x14ac:dyDescent="0.35">
      <c r="A5971" s="9"/>
      <c r="C5971" s="393"/>
      <c r="E5971" s="394"/>
      <c r="F5971" s="394"/>
      <c r="G5971" s="394"/>
      <c r="I5971" s="368">
        <f t="shared" si="285"/>
        <v>0</v>
      </c>
      <c r="J5971" s="365">
        <f t="shared" si="286"/>
        <v>0</v>
      </c>
      <c r="K5971" s="369">
        <f t="shared" si="287"/>
        <v>6</v>
      </c>
      <c r="L5971" s="369">
        <f>+IF((C5971&gt;='Resultats - informe'!$E$16)*(C5971&lt;='Resultats - informe'!$G$16),1,0)</f>
        <v>1</v>
      </c>
      <c r="M5971" s="369" cm="1">
        <f t="array" ref="M5971">+_xlfn.IFS((C5971&gt;='Resultats - informe'!$D$26)*(C5971&lt;='Resultats - informe'!$E$26),0,(C5971&gt;='Resultats - informe'!$D$27)*(C5971&lt;='Resultats - informe'!$E$27),0,(C5971&gt;='Resultats - informe'!$D$28)*(C5971&lt;='Resultats - informe'!$E$28),0,(C5971&gt;='Resultats - informe'!$D$29)*(C5971&lt;='Resultats - informe'!$E$29),0,1,1)</f>
        <v>0</v>
      </c>
      <c r="N5971" s="366">
        <f>+VLOOKUP(D5971,'Resultats - informe'!$Y$18:$AG$42,'Introducció dades consum'!K5971+1,0)</f>
        <v>0</v>
      </c>
      <c r="O5971" s="370" cm="1">
        <f t="array" ref="O5971">+_xlfn.SWITCH(MONTH(C5971),1,1,2,1,3,1,4,2,5,2,6,3,7,3,8,3,9,3,10,2,11,2,12,1,2)</f>
        <v>1</v>
      </c>
      <c r="P5971" s="43"/>
    </row>
    <row r="5972" spans="1:16" ht="18" x14ac:dyDescent="0.35">
      <c r="A5972" s="9"/>
      <c r="C5972" s="393"/>
      <c r="E5972" s="394"/>
      <c r="F5972" s="394"/>
      <c r="G5972" s="394"/>
      <c r="I5972" s="368">
        <f t="shared" si="285"/>
        <v>0</v>
      </c>
      <c r="J5972" s="365">
        <f t="shared" si="286"/>
        <v>0</v>
      </c>
      <c r="K5972" s="369">
        <f t="shared" si="287"/>
        <v>6</v>
      </c>
      <c r="L5972" s="369">
        <f>+IF((C5972&gt;='Resultats - informe'!$E$16)*(C5972&lt;='Resultats - informe'!$G$16),1,0)</f>
        <v>1</v>
      </c>
      <c r="M5972" s="369" cm="1">
        <f t="array" ref="M5972">+_xlfn.IFS((C5972&gt;='Resultats - informe'!$D$26)*(C5972&lt;='Resultats - informe'!$E$26),0,(C5972&gt;='Resultats - informe'!$D$27)*(C5972&lt;='Resultats - informe'!$E$27),0,(C5972&gt;='Resultats - informe'!$D$28)*(C5972&lt;='Resultats - informe'!$E$28),0,(C5972&gt;='Resultats - informe'!$D$29)*(C5972&lt;='Resultats - informe'!$E$29),0,1,1)</f>
        <v>0</v>
      </c>
      <c r="N5972" s="366">
        <f>+VLOOKUP(D5972,'Resultats - informe'!$Y$18:$AG$42,'Introducció dades consum'!K5972+1,0)</f>
        <v>0</v>
      </c>
      <c r="O5972" s="370" cm="1">
        <f t="array" ref="O5972">+_xlfn.SWITCH(MONTH(C5972),1,1,2,1,3,1,4,2,5,2,6,3,7,3,8,3,9,3,10,2,11,2,12,1,2)</f>
        <v>1</v>
      </c>
      <c r="P5972" s="43"/>
    </row>
    <row r="5973" spans="1:16" ht="18" x14ac:dyDescent="0.35">
      <c r="A5973" s="9"/>
      <c r="C5973" s="393"/>
      <c r="E5973" s="394"/>
      <c r="F5973" s="394"/>
      <c r="G5973" s="394"/>
      <c r="I5973" s="368">
        <f t="shared" si="285"/>
        <v>0</v>
      </c>
      <c r="J5973" s="365">
        <f t="shared" si="286"/>
        <v>0</v>
      </c>
      <c r="K5973" s="369">
        <f t="shared" si="287"/>
        <v>6</v>
      </c>
      <c r="L5973" s="369">
        <f>+IF((C5973&gt;='Resultats - informe'!$E$16)*(C5973&lt;='Resultats - informe'!$G$16),1,0)</f>
        <v>1</v>
      </c>
      <c r="M5973" s="369" cm="1">
        <f t="array" ref="M5973">+_xlfn.IFS((C5973&gt;='Resultats - informe'!$D$26)*(C5973&lt;='Resultats - informe'!$E$26),0,(C5973&gt;='Resultats - informe'!$D$27)*(C5973&lt;='Resultats - informe'!$E$27),0,(C5973&gt;='Resultats - informe'!$D$28)*(C5973&lt;='Resultats - informe'!$E$28),0,(C5973&gt;='Resultats - informe'!$D$29)*(C5973&lt;='Resultats - informe'!$E$29),0,1,1)</f>
        <v>0</v>
      </c>
      <c r="N5973" s="366">
        <f>+VLOOKUP(D5973,'Resultats - informe'!$Y$18:$AG$42,'Introducció dades consum'!K5973+1,0)</f>
        <v>0</v>
      </c>
      <c r="O5973" s="370" cm="1">
        <f t="array" ref="O5973">+_xlfn.SWITCH(MONTH(C5973),1,1,2,1,3,1,4,2,5,2,6,3,7,3,8,3,9,3,10,2,11,2,12,1,2)</f>
        <v>1</v>
      </c>
      <c r="P5973" s="43"/>
    </row>
    <row r="5974" spans="1:16" ht="18" x14ac:dyDescent="0.35">
      <c r="A5974" s="9"/>
      <c r="C5974" s="393"/>
      <c r="E5974" s="394"/>
      <c r="F5974" s="394"/>
      <c r="G5974" s="394"/>
      <c r="I5974" s="368">
        <f t="shared" si="285"/>
        <v>0</v>
      </c>
      <c r="J5974" s="365">
        <f t="shared" si="286"/>
        <v>0</v>
      </c>
      <c r="K5974" s="369">
        <f t="shared" si="287"/>
        <v>6</v>
      </c>
      <c r="L5974" s="369">
        <f>+IF((C5974&gt;='Resultats - informe'!$E$16)*(C5974&lt;='Resultats - informe'!$G$16),1,0)</f>
        <v>1</v>
      </c>
      <c r="M5974" s="369" cm="1">
        <f t="array" ref="M5974">+_xlfn.IFS((C5974&gt;='Resultats - informe'!$D$26)*(C5974&lt;='Resultats - informe'!$E$26),0,(C5974&gt;='Resultats - informe'!$D$27)*(C5974&lt;='Resultats - informe'!$E$27),0,(C5974&gt;='Resultats - informe'!$D$28)*(C5974&lt;='Resultats - informe'!$E$28),0,(C5974&gt;='Resultats - informe'!$D$29)*(C5974&lt;='Resultats - informe'!$E$29),0,1,1)</f>
        <v>0</v>
      </c>
      <c r="N5974" s="366">
        <f>+VLOOKUP(D5974,'Resultats - informe'!$Y$18:$AG$42,'Introducció dades consum'!K5974+1,0)</f>
        <v>0</v>
      </c>
      <c r="O5974" s="370" cm="1">
        <f t="array" ref="O5974">+_xlfn.SWITCH(MONTH(C5974),1,1,2,1,3,1,4,2,5,2,6,3,7,3,8,3,9,3,10,2,11,2,12,1,2)</f>
        <v>1</v>
      </c>
      <c r="P5974" s="43"/>
    </row>
    <row r="5975" spans="1:16" ht="18" x14ac:dyDescent="0.35">
      <c r="A5975" s="9"/>
      <c r="C5975" s="393"/>
      <c r="E5975" s="394"/>
      <c r="F5975" s="394"/>
      <c r="G5975" s="394"/>
      <c r="I5975" s="368">
        <f t="shared" si="285"/>
        <v>0</v>
      </c>
      <c r="J5975" s="365">
        <f t="shared" si="286"/>
        <v>0</v>
      </c>
      <c r="K5975" s="369">
        <f t="shared" si="287"/>
        <v>6</v>
      </c>
      <c r="L5975" s="369">
        <f>+IF((C5975&gt;='Resultats - informe'!$E$16)*(C5975&lt;='Resultats - informe'!$G$16),1,0)</f>
        <v>1</v>
      </c>
      <c r="M5975" s="369" cm="1">
        <f t="array" ref="M5975">+_xlfn.IFS((C5975&gt;='Resultats - informe'!$D$26)*(C5975&lt;='Resultats - informe'!$E$26),0,(C5975&gt;='Resultats - informe'!$D$27)*(C5975&lt;='Resultats - informe'!$E$27),0,(C5975&gt;='Resultats - informe'!$D$28)*(C5975&lt;='Resultats - informe'!$E$28),0,(C5975&gt;='Resultats - informe'!$D$29)*(C5975&lt;='Resultats - informe'!$E$29),0,1,1)</f>
        <v>0</v>
      </c>
      <c r="N5975" s="366">
        <f>+VLOOKUP(D5975,'Resultats - informe'!$Y$18:$AG$42,'Introducció dades consum'!K5975+1,0)</f>
        <v>0</v>
      </c>
      <c r="O5975" s="370" cm="1">
        <f t="array" ref="O5975">+_xlfn.SWITCH(MONTH(C5975),1,1,2,1,3,1,4,2,5,2,6,3,7,3,8,3,9,3,10,2,11,2,12,1,2)</f>
        <v>1</v>
      </c>
      <c r="P5975" s="43"/>
    </row>
    <row r="5976" spans="1:16" ht="18" x14ac:dyDescent="0.35">
      <c r="A5976" s="9"/>
      <c r="C5976" s="393"/>
      <c r="E5976" s="394"/>
      <c r="F5976" s="394"/>
      <c r="G5976" s="394"/>
      <c r="I5976" s="368">
        <f t="shared" si="285"/>
        <v>0</v>
      </c>
      <c r="J5976" s="365">
        <f t="shared" si="286"/>
        <v>0</v>
      </c>
      <c r="K5976" s="369">
        <f t="shared" si="287"/>
        <v>6</v>
      </c>
      <c r="L5976" s="369">
        <f>+IF((C5976&gt;='Resultats - informe'!$E$16)*(C5976&lt;='Resultats - informe'!$G$16),1,0)</f>
        <v>1</v>
      </c>
      <c r="M5976" s="369" cm="1">
        <f t="array" ref="M5976">+_xlfn.IFS((C5976&gt;='Resultats - informe'!$D$26)*(C5976&lt;='Resultats - informe'!$E$26),0,(C5976&gt;='Resultats - informe'!$D$27)*(C5976&lt;='Resultats - informe'!$E$27),0,(C5976&gt;='Resultats - informe'!$D$28)*(C5976&lt;='Resultats - informe'!$E$28),0,(C5976&gt;='Resultats - informe'!$D$29)*(C5976&lt;='Resultats - informe'!$E$29),0,1,1)</f>
        <v>0</v>
      </c>
      <c r="N5976" s="366">
        <f>+VLOOKUP(D5976,'Resultats - informe'!$Y$18:$AG$42,'Introducció dades consum'!K5976+1,0)</f>
        <v>0</v>
      </c>
      <c r="O5976" s="370" cm="1">
        <f t="array" ref="O5976">+_xlfn.SWITCH(MONTH(C5976),1,1,2,1,3,1,4,2,5,2,6,3,7,3,8,3,9,3,10,2,11,2,12,1,2)</f>
        <v>1</v>
      </c>
      <c r="P5976" s="43"/>
    </row>
    <row r="5977" spans="1:16" ht="18" x14ac:dyDescent="0.35">
      <c r="A5977" s="9"/>
      <c r="C5977" s="393"/>
      <c r="E5977" s="394"/>
      <c r="F5977" s="394"/>
      <c r="G5977" s="394"/>
      <c r="I5977" s="368">
        <f t="shared" si="285"/>
        <v>0</v>
      </c>
      <c r="J5977" s="365">
        <f t="shared" si="286"/>
        <v>0</v>
      </c>
      <c r="K5977" s="369">
        <f t="shared" si="287"/>
        <v>6</v>
      </c>
      <c r="L5977" s="369">
        <f>+IF((C5977&gt;='Resultats - informe'!$E$16)*(C5977&lt;='Resultats - informe'!$G$16),1,0)</f>
        <v>1</v>
      </c>
      <c r="M5977" s="369" cm="1">
        <f t="array" ref="M5977">+_xlfn.IFS((C5977&gt;='Resultats - informe'!$D$26)*(C5977&lt;='Resultats - informe'!$E$26),0,(C5977&gt;='Resultats - informe'!$D$27)*(C5977&lt;='Resultats - informe'!$E$27),0,(C5977&gt;='Resultats - informe'!$D$28)*(C5977&lt;='Resultats - informe'!$E$28),0,(C5977&gt;='Resultats - informe'!$D$29)*(C5977&lt;='Resultats - informe'!$E$29),0,1,1)</f>
        <v>0</v>
      </c>
      <c r="N5977" s="366">
        <f>+VLOOKUP(D5977,'Resultats - informe'!$Y$18:$AG$42,'Introducció dades consum'!K5977+1,0)</f>
        <v>0</v>
      </c>
      <c r="O5977" s="370" cm="1">
        <f t="array" ref="O5977">+_xlfn.SWITCH(MONTH(C5977),1,1,2,1,3,1,4,2,5,2,6,3,7,3,8,3,9,3,10,2,11,2,12,1,2)</f>
        <v>1</v>
      </c>
      <c r="P5977" s="43"/>
    </row>
    <row r="5978" spans="1:16" ht="18" x14ac:dyDescent="0.35">
      <c r="A5978" s="9"/>
      <c r="C5978" s="393"/>
      <c r="E5978" s="394"/>
      <c r="F5978" s="394"/>
      <c r="G5978" s="394"/>
      <c r="I5978" s="368">
        <f t="shared" si="285"/>
        <v>0</v>
      </c>
      <c r="J5978" s="365">
        <f t="shared" si="286"/>
        <v>0</v>
      </c>
      <c r="K5978" s="369">
        <f t="shared" si="287"/>
        <v>6</v>
      </c>
      <c r="L5978" s="369">
        <f>+IF((C5978&gt;='Resultats - informe'!$E$16)*(C5978&lt;='Resultats - informe'!$G$16),1,0)</f>
        <v>1</v>
      </c>
      <c r="M5978" s="369" cm="1">
        <f t="array" ref="M5978">+_xlfn.IFS((C5978&gt;='Resultats - informe'!$D$26)*(C5978&lt;='Resultats - informe'!$E$26),0,(C5978&gt;='Resultats - informe'!$D$27)*(C5978&lt;='Resultats - informe'!$E$27),0,(C5978&gt;='Resultats - informe'!$D$28)*(C5978&lt;='Resultats - informe'!$E$28),0,(C5978&gt;='Resultats - informe'!$D$29)*(C5978&lt;='Resultats - informe'!$E$29),0,1,1)</f>
        <v>0</v>
      </c>
      <c r="N5978" s="366">
        <f>+VLOOKUP(D5978,'Resultats - informe'!$Y$18:$AG$42,'Introducció dades consum'!K5978+1,0)</f>
        <v>0</v>
      </c>
      <c r="O5978" s="370" cm="1">
        <f t="array" ref="O5978">+_xlfn.SWITCH(MONTH(C5978),1,1,2,1,3,1,4,2,5,2,6,3,7,3,8,3,9,3,10,2,11,2,12,1,2)</f>
        <v>1</v>
      </c>
      <c r="P5978" s="43"/>
    </row>
    <row r="5979" spans="1:16" ht="18" x14ac:dyDescent="0.35">
      <c r="A5979" s="9"/>
      <c r="C5979" s="393"/>
      <c r="E5979" s="394"/>
      <c r="F5979" s="394"/>
      <c r="G5979" s="394"/>
      <c r="I5979" s="368">
        <f t="shared" si="285"/>
        <v>0</v>
      </c>
      <c r="J5979" s="365">
        <f t="shared" si="286"/>
        <v>0</v>
      </c>
      <c r="K5979" s="369">
        <f t="shared" si="287"/>
        <v>6</v>
      </c>
      <c r="L5979" s="369">
        <f>+IF((C5979&gt;='Resultats - informe'!$E$16)*(C5979&lt;='Resultats - informe'!$G$16),1,0)</f>
        <v>1</v>
      </c>
      <c r="M5979" s="369" cm="1">
        <f t="array" ref="M5979">+_xlfn.IFS((C5979&gt;='Resultats - informe'!$D$26)*(C5979&lt;='Resultats - informe'!$E$26),0,(C5979&gt;='Resultats - informe'!$D$27)*(C5979&lt;='Resultats - informe'!$E$27),0,(C5979&gt;='Resultats - informe'!$D$28)*(C5979&lt;='Resultats - informe'!$E$28),0,(C5979&gt;='Resultats - informe'!$D$29)*(C5979&lt;='Resultats - informe'!$E$29),0,1,1)</f>
        <v>0</v>
      </c>
      <c r="N5979" s="366">
        <f>+VLOOKUP(D5979,'Resultats - informe'!$Y$18:$AG$42,'Introducció dades consum'!K5979+1,0)</f>
        <v>0</v>
      </c>
      <c r="O5979" s="370" cm="1">
        <f t="array" ref="O5979">+_xlfn.SWITCH(MONTH(C5979),1,1,2,1,3,1,4,2,5,2,6,3,7,3,8,3,9,3,10,2,11,2,12,1,2)</f>
        <v>1</v>
      </c>
      <c r="P5979" s="43"/>
    </row>
    <row r="5980" spans="1:16" ht="18" x14ac:dyDescent="0.35">
      <c r="A5980" s="9"/>
      <c r="C5980" s="393"/>
      <c r="E5980" s="394"/>
      <c r="F5980" s="394"/>
      <c r="G5980" s="394"/>
      <c r="I5980" s="368">
        <f t="shared" si="285"/>
        <v>0</v>
      </c>
      <c r="J5980" s="365">
        <f t="shared" si="286"/>
        <v>0</v>
      </c>
      <c r="K5980" s="369">
        <f t="shared" si="287"/>
        <v>6</v>
      </c>
      <c r="L5980" s="369">
        <f>+IF((C5980&gt;='Resultats - informe'!$E$16)*(C5980&lt;='Resultats - informe'!$G$16),1,0)</f>
        <v>1</v>
      </c>
      <c r="M5980" s="369" cm="1">
        <f t="array" ref="M5980">+_xlfn.IFS((C5980&gt;='Resultats - informe'!$D$26)*(C5980&lt;='Resultats - informe'!$E$26),0,(C5980&gt;='Resultats - informe'!$D$27)*(C5980&lt;='Resultats - informe'!$E$27),0,(C5980&gt;='Resultats - informe'!$D$28)*(C5980&lt;='Resultats - informe'!$E$28),0,(C5980&gt;='Resultats - informe'!$D$29)*(C5980&lt;='Resultats - informe'!$E$29),0,1,1)</f>
        <v>0</v>
      </c>
      <c r="N5980" s="366">
        <f>+VLOOKUP(D5980,'Resultats - informe'!$Y$18:$AG$42,'Introducció dades consum'!K5980+1,0)</f>
        <v>0</v>
      </c>
      <c r="O5980" s="370" cm="1">
        <f t="array" ref="O5980">+_xlfn.SWITCH(MONTH(C5980),1,1,2,1,3,1,4,2,5,2,6,3,7,3,8,3,9,3,10,2,11,2,12,1,2)</f>
        <v>1</v>
      </c>
      <c r="P5980" s="43"/>
    </row>
    <row r="5981" spans="1:16" ht="18" x14ac:dyDescent="0.35">
      <c r="A5981" s="9"/>
      <c r="C5981" s="393"/>
      <c r="E5981" s="394"/>
      <c r="F5981" s="394"/>
      <c r="G5981" s="394"/>
      <c r="I5981" s="368">
        <f t="shared" si="285"/>
        <v>0</v>
      </c>
      <c r="J5981" s="365">
        <f t="shared" si="286"/>
        <v>0</v>
      </c>
      <c r="K5981" s="369">
        <f t="shared" si="287"/>
        <v>6</v>
      </c>
      <c r="L5981" s="369">
        <f>+IF((C5981&gt;='Resultats - informe'!$E$16)*(C5981&lt;='Resultats - informe'!$G$16),1,0)</f>
        <v>1</v>
      </c>
      <c r="M5981" s="369" cm="1">
        <f t="array" ref="M5981">+_xlfn.IFS((C5981&gt;='Resultats - informe'!$D$26)*(C5981&lt;='Resultats - informe'!$E$26),0,(C5981&gt;='Resultats - informe'!$D$27)*(C5981&lt;='Resultats - informe'!$E$27),0,(C5981&gt;='Resultats - informe'!$D$28)*(C5981&lt;='Resultats - informe'!$E$28),0,(C5981&gt;='Resultats - informe'!$D$29)*(C5981&lt;='Resultats - informe'!$E$29),0,1,1)</f>
        <v>0</v>
      </c>
      <c r="N5981" s="366">
        <f>+VLOOKUP(D5981,'Resultats - informe'!$Y$18:$AG$42,'Introducció dades consum'!K5981+1,0)</f>
        <v>0</v>
      </c>
      <c r="O5981" s="370" cm="1">
        <f t="array" ref="O5981">+_xlfn.SWITCH(MONTH(C5981),1,1,2,1,3,1,4,2,5,2,6,3,7,3,8,3,9,3,10,2,11,2,12,1,2)</f>
        <v>1</v>
      </c>
      <c r="P5981" s="43"/>
    </row>
    <row r="5982" spans="1:16" ht="18" x14ac:dyDescent="0.35">
      <c r="A5982" s="9"/>
      <c r="C5982" s="393"/>
      <c r="E5982" s="394"/>
      <c r="F5982" s="394"/>
      <c r="G5982" s="394"/>
      <c r="I5982" s="368">
        <f t="shared" si="285"/>
        <v>0</v>
      </c>
      <c r="J5982" s="365">
        <f t="shared" si="286"/>
        <v>0</v>
      </c>
      <c r="K5982" s="369">
        <f t="shared" si="287"/>
        <v>6</v>
      </c>
      <c r="L5982" s="369">
        <f>+IF((C5982&gt;='Resultats - informe'!$E$16)*(C5982&lt;='Resultats - informe'!$G$16),1,0)</f>
        <v>1</v>
      </c>
      <c r="M5982" s="369" cm="1">
        <f t="array" ref="M5982">+_xlfn.IFS((C5982&gt;='Resultats - informe'!$D$26)*(C5982&lt;='Resultats - informe'!$E$26),0,(C5982&gt;='Resultats - informe'!$D$27)*(C5982&lt;='Resultats - informe'!$E$27),0,(C5982&gt;='Resultats - informe'!$D$28)*(C5982&lt;='Resultats - informe'!$E$28),0,(C5982&gt;='Resultats - informe'!$D$29)*(C5982&lt;='Resultats - informe'!$E$29),0,1,1)</f>
        <v>0</v>
      </c>
      <c r="N5982" s="366">
        <f>+VLOOKUP(D5982,'Resultats - informe'!$Y$18:$AG$42,'Introducció dades consum'!K5982+1,0)</f>
        <v>0</v>
      </c>
      <c r="O5982" s="370" cm="1">
        <f t="array" ref="O5982">+_xlfn.SWITCH(MONTH(C5982),1,1,2,1,3,1,4,2,5,2,6,3,7,3,8,3,9,3,10,2,11,2,12,1,2)</f>
        <v>1</v>
      </c>
      <c r="P5982" s="43"/>
    </row>
    <row r="5983" spans="1:16" ht="18" x14ac:dyDescent="0.35">
      <c r="A5983" s="9"/>
      <c r="C5983" s="393"/>
      <c r="E5983" s="394"/>
      <c r="F5983" s="394"/>
      <c r="G5983" s="394"/>
      <c r="I5983" s="368">
        <f t="shared" si="285"/>
        <v>0</v>
      </c>
      <c r="J5983" s="365">
        <f t="shared" si="286"/>
        <v>0</v>
      </c>
      <c r="K5983" s="369">
        <f t="shared" si="287"/>
        <v>6</v>
      </c>
      <c r="L5983" s="369">
        <f>+IF((C5983&gt;='Resultats - informe'!$E$16)*(C5983&lt;='Resultats - informe'!$G$16),1,0)</f>
        <v>1</v>
      </c>
      <c r="M5983" s="369" cm="1">
        <f t="array" ref="M5983">+_xlfn.IFS((C5983&gt;='Resultats - informe'!$D$26)*(C5983&lt;='Resultats - informe'!$E$26),0,(C5983&gt;='Resultats - informe'!$D$27)*(C5983&lt;='Resultats - informe'!$E$27),0,(C5983&gt;='Resultats - informe'!$D$28)*(C5983&lt;='Resultats - informe'!$E$28),0,(C5983&gt;='Resultats - informe'!$D$29)*(C5983&lt;='Resultats - informe'!$E$29),0,1,1)</f>
        <v>0</v>
      </c>
      <c r="N5983" s="366">
        <f>+VLOOKUP(D5983,'Resultats - informe'!$Y$18:$AG$42,'Introducció dades consum'!K5983+1,0)</f>
        <v>0</v>
      </c>
      <c r="O5983" s="370" cm="1">
        <f t="array" ref="O5983">+_xlfn.SWITCH(MONTH(C5983),1,1,2,1,3,1,4,2,5,2,6,3,7,3,8,3,9,3,10,2,11,2,12,1,2)</f>
        <v>1</v>
      </c>
      <c r="P5983" s="43"/>
    </row>
    <row r="5984" spans="1:16" ht="18" x14ac:dyDescent="0.35">
      <c r="A5984" s="9"/>
      <c r="C5984" s="393"/>
      <c r="E5984" s="394"/>
      <c r="F5984" s="394"/>
      <c r="G5984" s="394"/>
      <c r="I5984" s="368">
        <f t="shared" si="285"/>
        <v>0</v>
      </c>
      <c r="J5984" s="365">
        <f t="shared" si="286"/>
        <v>0</v>
      </c>
      <c r="K5984" s="369">
        <f t="shared" si="287"/>
        <v>6</v>
      </c>
      <c r="L5984" s="369">
        <f>+IF((C5984&gt;='Resultats - informe'!$E$16)*(C5984&lt;='Resultats - informe'!$G$16),1,0)</f>
        <v>1</v>
      </c>
      <c r="M5984" s="369" cm="1">
        <f t="array" ref="M5984">+_xlfn.IFS((C5984&gt;='Resultats - informe'!$D$26)*(C5984&lt;='Resultats - informe'!$E$26),0,(C5984&gt;='Resultats - informe'!$D$27)*(C5984&lt;='Resultats - informe'!$E$27),0,(C5984&gt;='Resultats - informe'!$D$28)*(C5984&lt;='Resultats - informe'!$E$28),0,(C5984&gt;='Resultats - informe'!$D$29)*(C5984&lt;='Resultats - informe'!$E$29),0,1,1)</f>
        <v>0</v>
      </c>
      <c r="N5984" s="366">
        <f>+VLOOKUP(D5984,'Resultats - informe'!$Y$18:$AG$42,'Introducció dades consum'!K5984+1,0)</f>
        <v>0</v>
      </c>
      <c r="O5984" s="370" cm="1">
        <f t="array" ref="O5984">+_xlfn.SWITCH(MONTH(C5984),1,1,2,1,3,1,4,2,5,2,6,3,7,3,8,3,9,3,10,2,11,2,12,1,2)</f>
        <v>1</v>
      </c>
      <c r="P5984" s="43"/>
    </row>
    <row r="5985" spans="1:16" ht="18" x14ac:dyDescent="0.35">
      <c r="A5985" s="9"/>
      <c r="C5985" s="393"/>
      <c r="E5985" s="394"/>
      <c r="F5985" s="394"/>
      <c r="G5985" s="394"/>
      <c r="I5985" s="368">
        <f t="shared" si="285"/>
        <v>0</v>
      </c>
      <c r="J5985" s="365">
        <f t="shared" si="286"/>
        <v>0</v>
      </c>
      <c r="K5985" s="369">
        <f t="shared" si="287"/>
        <v>6</v>
      </c>
      <c r="L5985" s="369">
        <f>+IF((C5985&gt;='Resultats - informe'!$E$16)*(C5985&lt;='Resultats - informe'!$G$16),1,0)</f>
        <v>1</v>
      </c>
      <c r="M5985" s="369" cm="1">
        <f t="array" ref="M5985">+_xlfn.IFS((C5985&gt;='Resultats - informe'!$D$26)*(C5985&lt;='Resultats - informe'!$E$26),0,(C5985&gt;='Resultats - informe'!$D$27)*(C5985&lt;='Resultats - informe'!$E$27),0,(C5985&gt;='Resultats - informe'!$D$28)*(C5985&lt;='Resultats - informe'!$E$28),0,(C5985&gt;='Resultats - informe'!$D$29)*(C5985&lt;='Resultats - informe'!$E$29),0,1,1)</f>
        <v>0</v>
      </c>
      <c r="N5985" s="366">
        <f>+VLOOKUP(D5985,'Resultats - informe'!$Y$18:$AG$42,'Introducció dades consum'!K5985+1,0)</f>
        <v>0</v>
      </c>
      <c r="O5985" s="370" cm="1">
        <f t="array" ref="O5985">+_xlfn.SWITCH(MONTH(C5985),1,1,2,1,3,1,4,2,5,2,6,3,7,3,8,3,9,3,10,2,11,2,12,1,2)</f>
        <v>1</v>
      </c>
      <c r="P5985" s="43"/>
    </row>
    <row r="5986" spans="1:16" ht="18" x14ac:dyDescent="0.35">
      <c r="A5986" s="9"/>
      <c r="C5986" s="393"/>
      <c r="E5986" s="394"/>
      <c r="F5986" s="394"/>
      <c r="G5986" s="394"/>
      <c r="I5986" s="368">
        <f t="shared" si="285"/>
        <v>0</v>
      </c>
      <c r="J5986" s="365">
        <f t="shared" si="286"/>
        <v>0</v>
      </c>
      <c r="K5986" s="369">
        <f t="shared" si="287"/>
        <v>6</v>
      </c>
      <c r="L5986" s="369">
        <f>+IF((C5986&gt;='Resultats - informe'!$E$16)*(C5986&lt;='Resultats - informe'!$G$16),1,0)</f>
        <v>1</v>
      </c>
      <c r="M5986" s="369" cm="1">
        <f t="array" ref="M5986">+_xlfn.IFS((C5986&gt;='Resultats - informe'!$D$26)*(C5986&lt;='Resultats - informe'!$E$26),0,(C5986&gt;='Resultats - informe'!$D$27)*(C5986&lt;='Resultats - informe'!$E$27),0,(C5986&gt;='Resultats - informe'!$D$28)*(C5986&lt;='Resultats - informe'!$E$28),0,(C5986&gt;='Resultats - informe'!$D$29)*(C5986&lt;='Resultats - informe'!$E$29),0,1,1)</f>
        <v>0</v>
      </c>
      <c r="N5986" s="366">
        <f>+VLOOKUP(D5986,'Resultats - informe'!$Y$18:$AG$42,'Introducció dades consum'!K5986+1,0)</f>
        <v>0</v>
      </c>
      <c r="O5986" s="370" cm="1">
        <f t="array" ref="O5986">+_xlfn.SWITCH(MONTH(C5986),1,1,2,1,3,1,4,2,5,2,6,3,7,3,8,3,9,3,10,2,11,2,12,1,2)</f>
        <v>1</v>
      </c>
      <c r="P5986" s="43"/>
    </row>
    <row r="5987" spans="1:16" ht="18" x14ac:dyDescent="0.35">
      <c r="A5987" s="9"/>
      <c r="C5987" s="393"/>
      <c r="E5987" s="394"/>
      <c r="F5987" s="394"/>
      <c r="G5987" s="394"/>
      <c r="I5987" s="368">
        <f t="shared" si="285"/>
        <v>0</v>
      </c>
      <c r="J5987" s="365">
        <f t="shared" si="286"/>
        <v>0</v>
      </c>
      <c r="K5987" s="369">
        <f t="shared" si="287"/>
        <v>6</v>
      </c>
      <c r="L5987" s="369">
        <f>+IF((C5987&gt;='Resultats - informe'!$E$16)*(C5987&lt;='Resultats - informe'!$G$16),1,0)</f>
        <v>1</v>
      </c>
      <c r="M5987" s="369" cm="1">
        <f t="array" ref="M5987">+_xlfn.IFS((C5987&gt;='Resultats - informe'!$D$26)*(C5987&lt;='Resultats - informe'!$E$26),0,(C5987&gt;='Resultats - informe'!$D$27)*(C5987&lt;='Resultats - informe'!$E$27),0,(C5987&gt;='Resultats - informe'!$D$28)*(C5987&lt;='Resultats - informe'!$E$28),0,(C5987&gt;='Resultats - informe'!$D$29)*(C5987&lt;='Resultats - informe'!$E$29),0,1,1)</f>
        <v>0</v>
      </c>
      <c r="N5987" s="366">
        <f>+VLOOKUP(D5987,'Resultats - informe'!$Y$18:$AG$42,'Introducció dades consum'!K5987+1,0)</f>
        <v>0</v>
      </c>
      <c r="O5987" s="370" cm="1">
        <f t="array" ref="O5987">+_xlfn.SWITCH(MONTH(C5987),1,1,2,1,3,1,4,2,5,2,6,3,7,3,8,3,9,3,10,2,11,2,12,1,2)</f>
        <v>1</v>
      </c>
      <c r="P5987" s="43"/>
    </row>
    <row r="5988" spans="1:16" ht="18" x14ac:dyDescent="0.35">
      <c r="A5988" s="9"/>
      <c r="C5988" s="393"/>
      <c r="E5988" s="394"/>
      <c r="F5988" s="394"/>
      <c r="G5988" s="394"/>
      <c r="I5988" s="368">
        <f t="shared" si="285"/>
        <v>0</v>
      </c>
      <c r="J5988" s="365">
        <f t="shared" si="286"/>
        <v>0</v>
      </c>
      <c r="K5988" s="369">
        <f t="shared" si="287"/>
        <v>6</v>
      </c>
      <c r="L5988" s="369">
        <f>+IF((C5988&gt;='Resultats - informe'!$E$16)*(C5988&lt;='Resultats - informe'!$G$16),1,0)</f>
        <v>1</v>
      </c>
      <c r="M5988" s="369" cm="1">
        <f t="array" ref="M5988">+_xlfn.IFS((C5988&gt;='Resultats - informe'!$D$26)*(C5988&lt;='Resultats - informe'!$E$26),0,(C5988&gt;='Resultats - informe'!$D$27)*(C5988&lt;='Resultats - informe'!$E$27),0,(C5988&gt;='Resultats - informe'!$D$28)*(C5988&lt;='Resultats - informe'!$E$28),0,(C5988&gt;='Resultats - informe'!$D$29)*(C5988&lt;='Resultats - informe'!$E$29),0,1,1)</f>
        <v>0</v>
      </c>
      <c r="N5988" s="366">
        <f>+VLOOKUP(D5988,'Resultats - informe'!$Y$18:$AG$42,'Introducció dades consum'!K5988+1,0)</f>
        <v>0</v>
      </c>
      <c r="O5988" s="370" cm="1">
        <f t="array" ref="O5988">+_xlfn.SWITCH(MONTH(C5988),1,1,2,1,3,1,4,2,5,2,6,3,7,3,8,3,9,3,10,2,11,2,12,1,2)</f>
        <v>1</v>
      </c>
      <c r="P5988" s="43"/>
    </row>
    <row r="5989" spans="1:16" ht="18" x14ac:dyDescent="0.35">
      <c r="A5989" s="9"/>
      <c r="C5989" s="393"/>
      <c r="E5989" s="394"/>
      <c r="F5989" s="394"/>
      <c r="G5989" s="394"/>
      <c r="I5989" s="368">
        <f t="shared" si="285"/>
        <v>0</v>
      </c>
      <c r="J5989" s="365">
        <f t="shared" si="286"/>
        <v>0</v>
      </c>
      <c r="K5989" s="369">
        <f t="shared" si="287"/>
        <v>6</v>
      </c>
      <c r="L5989" s="369">
        <f>+IF((C5989&gt;='Resultats - informe'!$E$16)*(C5989&lt;='Resultats - informe'!$G$16),1,0)</f>
        <v>1</v>
      </c>
      <c r="M5989" s="369" cm="1">
        <f t="array" ref="M5989">+_xlfn.IFS((C5989&gt;='Resultats - informe'!$D$26)*(C5989&lt;='Resultats - informe'!$E$26),0,(C5989&gt;='Resultats - informe'!$D$27)*(C5989&lt;='Resultats - informe'!$E$27),0,(C5989&gt;='Resultats - informe'!$D$28)*(C5989&lt;='Resultats - informe'!$E$28),0,(C5989&gt;='Resultats - informe'!$D$29)*(C5989&lt;='Resultats - informe'!$E$29),0,1,1)</f>
        <v>0</v>
      </c>
      <c r="N5989" s="366">
        <f>+VLOOKUP(D5989,'Resultats - informe'!$Y$18:$AG$42,'Introducció dades consum'!K5989+1,0)</f>
        <v>0</v>
      </c>
      <c r="O5989" s="370" cm="1">
        <f t="array" ref="O5989">+_xlfn.SWITCH(MONTH(C5989),1,1,2,1,3,1,4,2,5,2,6,3,7,3,8,3,9,3,10,2,11,2,12,1,2)</f>
        <v>1</v>
      </c>
      <c r="P5989" s="43"/>
    </row>
    <row r="5990" spans="1:16" ht="18" x14ac:dyDescent="0.35">
      <c r="A5990" s="9"/>
      <c r="C5990" s="393"/>
      <c r="E5990" s="394"/>
      <c r="F5990" s="394"/>
      <c r="G5990" s="394"/>
      <c r="I5990" s="368">
        <f t="shared" si="285"/>
        <v>0</v>
      </c>
      <c r="J5990" s="365">
        <f t="shared" si="286"/>
        <v>0</v>
      </c>
      <c r="K5990" s="369">
        <f t="shared" si="287"/>
        <v>6</v>
      </c>
      <c r="L5990" s="369">
        <f>+IF((C5990&gt;='Resultats - informe'!$E$16)*(C5990&lt;='Resultats - informe'!$G$16),1,0)</f>
        <v>1</v>
      </c>
      <c r="M5990" s="369" cm="1">
        <f t="array" ref="M5990">+_xlfn.IFS((C5990&gt;='Resultats - informe'!$D$26)*(C5990&lt;='Resultats - informe'!$E$26),0,(C5990&gt;='Resultats - informe'!$D$27)*(C5990&lt;='Resultats - informe'!$E$27),0,(C5990&gt;='Resultats - informe'!$D$28)*(C5990&lt;='Resultats - informe'!$E$28),0,(C5990&gt;='Resultats - informe'!$D$29)*(C5990&lt;='Resultats - informe'!$E$29),0,1,1)</f>
        <v>0</v>
      </c>
      <c r="N5990" s="366">
        <f>+VLOOKUP(D5990,'Resultats - informe'!$Y$18:$AG$42,'Introducció dades consum'!K5990+1,0)</f>
        <v>0</v>
      </c>
      <c r="O5990" s="370" cm="1">
        <f t="array" ref="O5990">+_xlfn.SWITCH(MONTH(C5990),1,1,2,1,3,1,4,2,5,2,6,3,7,3,8,3,9,3,10,2,11,2,12,1,2)</f>
        <v>1</v>
      </c>
      <c r="P5990" s="43"/>
    </row>
    <row r="5991" spans="1:16" ht="18" x14ac:dyDescent="0.35">
      <c r="A5991" s="9"/>
      <c r="C5991" s="393"/>
      <c r="E5991" s="394"/>
      <c r="F5991" s="394"/>
      <c r="G5991" s="394"/>
      <c r="I5991" s="368">
        <f t="shared" si="285"/>
        <v>0</v>
      </c>
      <c r="J5991" s="365">
        <f t="shared" si="286"/>
        <v>0</v>
      </c>
      <c r="K5991" s="369">
        <f t="shared" si="287"/>
        <v>6</v>
      </c>
      <c r="L5991" s="369">
        <f>+IF((C5991&gt;='Resultats - informe'!$E$16)*(C5991&lt;='Resultats - informe'!$G$16),1,0)</f>
        <v>1</v>
      </c>
      <c r="M5991" s="369" cm="1">
        <f t="array" ref="M5991">+_xlfn.IFS((C5991&gt;='Resultats - informe'!$D$26)*(C5991&lt;='Resultats - informe'!$E$26),0,(C5991&gt;='Resultats - informe'!$D$27)*(C5991&lt;='Resultats - informe'!$E$27),0,(C5991&gt;='Resultats - informe'!$D$28)*(C5991&lt;='Resultats - informe'!$E$28),0,(C5991&gt;='Resultats - informe'!$D$29)*(C5991&lt;='Resultats - informe'!$E$29),0,1,1)</f>
        <v>0</v>
      </c>
      <c r="N5991" s="366">
        <f>+VLOOKUP(D5991,'Resultats - informe'!$Y$18:$AG$42,'Introducció dades consum'!K5991+1,0)</f>
        <v>0</v>
      </c>
      <c r="O5991" s="370" cm="1">
        <f t="array" ref="O5991">+_xlfn.SWITCH(MONTH(C5991),1,1,2,1,3,1,4,2,5,2,6,3,7,3,8,3,9,3,10,2,11,2,12,1,2)</f>
        <v>1</v>
      </c>
      <c r="P5991" s="43"/>
    </row>
    <row r="5992" spans="1:16" ht="18" x14ac:dyDescent="0.35">
      <c r="A5992" s="9"/>
      <c r="C5992" s="393"/>
      <c r="E5992" s="394"/>
      <c r="F5992" s="394"/>
      <c r="G5992" s="394"/>
      <c r="I5992" s="368">
        <f t="shared" si="285"/>
        <v>0</v>
      </c>
      <c r="J5992" s="365">
        <f t="shared" si="286"/>
        <v>0</v>
      </c>
      <c r="K5992" s="369">
        <f t="shared" si="287"/>
        <v>6</v>
      </c>
      <c r="L5992" s="369">
        <f>+IF((C5992&gt;='Resultats - informe'!$E$16)*(C5992&lt;='Resultats - informe'!$G$16),1,0)</f>
        <v>1</v>
      </c>
      <c r="M5992" s="369" cm="1">
        <f t="array" ref="M5992">+_xlfn.IFS((C5992&gt;='Resultats - informe'!$D$26)*(C5992&lt;='Resultats - informe'!$E$26),0,(C5992&gt;='Resultats - informe'!$D$27)*(C5992&lt;='Resultats - informe'!$E$27),0,(C5992&gt;='Resultats - informe'!$D$28)*(C5992&lt;='Resultats - informe'!$E$28),0,(C5992&gt;='Resultats - informe'!$D$29)*(C5992&lt;='Resultats - informe'!$E$29),0,1,1)</f>
        <v>0</v>
      </c>
      <c r="N5992" s="366">
        <f>+VLOOKUP(D5992,'Resultats - informe'!$Y$18:$AG$42,'Introducció dades consum'!K5992+1,0)</f>
        <v>0</v>
      </c>
      <c r="O5992" s="370" cm="1">
        <f t="array" ref="O5992">+_xlfn.SWITCH(MONTH(C5992),1,1,2,1,3,1,4,2,5,2,6,3,7,3,8,3,9,3,10,2,11,2,12,1,2)</f>
        <v>1</v>
      </c>
      <c r="P5992" s="43"/>
    </row>
    <row r="5993" spans="1:16" ht="18" x14ac:dyDescent="0.35">
      <c r="A5993" s="9"/>
      <c r="C5993" s="393"/>
      <c r="E5993" s="394"/>
      <c r="F5993" s="394"/>
      <c r="G5993" s="394"/>
      <c r="I5993" s="368">
        <f t="shared" si="285"/>
        <v>0</v>
      </c>
      <c r="J5993" s="365">
        <f t="shared" si="286"/>
        <v>0</v>
      </c>
      <c r="K5993" s="369">
        <f t="shared" si="287"/>
        <v>6</v>
      </c>
      <c r="L5993" s="369">
        <f>+IF((C5993&gt;='Resultats - informe'!$E$16)*(C5993&lt;='Resultats - informe'!$G$16),1,0)</f>
        <v>1</v>
      </c>
      <c r="M5993" s="369" cm="1">
        <f t="array" ref="M5993">+_xlfn.IFS((C5993&gt;='Resultats - informe'!$D$26)*(C5993&lt;='Resultats - informe'!$E$26),0,(C5993&gt;='Resultats - informe'!$D$27)*(C5993&lt;='Resultats - informe'!$E$27),0,(C5993&gt;='Resultats - informe'!$D$28)*(C5993&lt;='Resultats - informe'!$E$28),0,(C5993&gt;='Resultats - informe'!$D$29)*(C5993&lt;='Resultats - informe'!$E$29),0,1,1)</f>
        <v>0</v>
      </c>
      <c r="N5993" s="366">
        <f>+VLOOKUP(D5993,'Resultats - informe'!$Y$18:$AG$42,'Introducció dades consum'!K5993+1,0)</f>
        <v>0</v>
      </c>
      <c r="O5993" s="370" cm="1">
        <f t="array" ref="O5993">+_xlfn.SWITCH(MONTH(C5993),1,1,2,1,3,1,4,2,5,2,6,3,7,3,8,3,9,3,10,2,11,2,12,1,2)</f>
        <v>1</v>
      </c>
      <c r="P5993" s="43"/>
    </row>
    <row r="5994" spans="1:16" ht="18" x14ac:dyDescent="0.35">
      <c r="A5994" s="9"/>
      <c r="C5994" s="393"/>
      <c r="E5994" s="394"/>
      <c r="F5994" s="394"/>
      <c r="G5994" s="394"/>
      <c r="I5994" s="368">
        <f t="shared" si="285"/>
        <v>0</v>
      </c>
      <c r="J5994" s="365">
        <f t="shared" si="286"/>
        <v>0</v>
      </c>
      <c r="K5994" s="369">
        <f t="shared" si="287"/>
        <v>6</v>
      </c>
      <c r="L5994" s="369">
        <f>+IF((C5994&gt;='Resultats - informe'!$E$16)*(C5994&lt;='Resultats - informe'!$G$16),1,0)</f>
        <v>1</v>
      </c>
      <c r="M5994" s="369" cm="1">
        <f t="array" ref="M5994">+_xlfn.IFS((C5994&gt;='Resultats - informe'!$D$26)*(C5994&lt;='Resultats - informe'!$E$26),0,(C5994&gt;='Resultats - informe'!$D$27)*(C5994&lt;='Resultats - informe'!$E$27),0,(C5994&gt;='Resultats - informe'!$D$28)*(C5994&lt;='Resultats - informe'!$E$28),0,(C5994&gt;='Resultats - informe'!$D$29)*(C5994&lt;='Resultats - informe'!$E$29),0,1,1)</f>
        <v>0</v>
      </c>
      <c r="N5994" s="366">
        <f>+VLOOKUP(D5994,'Resultats - informe'!$Y$18:$AG$42,'Introducció dades consum'!K5994+1,0)</f>
        <v>0</v>
      </c>
      <c r="O5994" s="370" cm="1">
        <f t="array" ref="O5994">+_xlfn.SWITCH(MONTH(C5994),1,1,2,1,3,1,4,2,5,2,6,3,7,3,8,3,9,3,10,2,11,2,12,1,2)</f>
        <v>1</v>
      </c>
      <c r="P5994" s="43"/>
    </row>
    <row r="5995" spans="1:16" ht="18" x14ac:dyDescent="0.35">
      <c r="A5995" s="9"/>
      <c r="C5995" s="393"/>
      <c r="E5995" s="394"/>
      <c r="F5995" s="394"/>
      <c r="G5995" s="394"/>
      <c r="I5995" s="368">
        <f t="shared" si="285"/>
        <v>0</v>
      </c>
      <c r="J5995" s="365">
        <f t="shared" si="286"/>
        <v>0</v>
      </c>
      <c r="K5995" s="369">
        <f t="shared" si="287"/>
        <v>6</v>
      </c>
      <c r="L5995" s="369">
        <f>+IF((C5995&gt;='Resultats - informe'!$E$16)*(C5995&lt;='Resultats - informe'!$G$16),1,0)</f>
        <v>1</v>
      </c>
      <c r="M5995" s="369" cm="1">
        <f t="array" ref="M5995">+_xlfn.IFS((C5995&gt;='Resultats - informe'!$D$26)*(C5995&lt;='Resultats - informe'!$E$26),0,(C5995&gt;='Resultats - informe'!$D$27)*(C5995&lt;='Resultats - informe'!$E$27),0,(C5995&gt;='Resultats - informe'!$D$28)*(C5995&lt;='Resultats - informe'!$E$28),0,(C5995&gt;='Resultats - informe'!$D$29)*(C5995&lt;='Resultats - informe'!$E$29),0,1,1)</f>
        <v>0</v>
      </c>
      <c r="N5995" s="366">
        <f>+VLOOKUP(D5995,'Resultats - informe'!$Y$18:$AG$42,'Introducció dades consum'!K5995+1,0)</f>
        <v>0</v>
      </c>
      <c r="O5995" s="370" cm="1">
        <f t="array" ref="O5995">+_xlfn.SWITCH(MONTH(C5995),1,1,2,1,3,1,4,2,5,2,6,3,7,3,8,3,9,3,10,2,11,2,12,1,2)</f>
        <v>1</v>
      </c>
      <c r="P5995" s="43"/>
    </row>
    <row r="5996" spans="1:16" ht="18" x14ac:dyDescent="0.35">
      <c r="A5996" s="9"/>
      <c r="C5996" s="393"/>
      <c r="E5996" s="394"/>
      <c r="F5996" s="394"/>
      <c r="G5996" s="394"/>
      <c r="I5996" s="368">
        <f t="shared" si="285"/>
        <v>0</v>
      </c>
      <c r="J5996" s="365">
        <f t="shared" si="286"/>
        <v>0</v>
      </c>
      <c r="K5996" s="369">
        <f t="shared" si="287"/>
        <v>6</v>
      </c>
      <c r="L5996" s="369">
        <f>+IF((C5996&gt;='Resultats - informe'!$E$16)*(C5996&lt;='Resultats - informe'!$G$16),1,0)</f>
        <v>1</v>
      </c>
      <c r="M5996" s="369" cm="1">
        <f t="array" ref="M5996">+_xlfn.IFS((C5996&gt;='Resultats - informe'!$D$26)*(C5996&lt;='Resultats - informe'!$E$26),0,(C5996&gt;='Resultats - informe'!$D$27)*(C5996&lt;='Resultats - informe'!$E$27),0,(C5996&gt;='Resultats - informe'!$D$28)*(C5996&lt;='Resultats - informe'!$E$28),0,(C5996&gt;='Resultats - informe'!$D$29)*(C5996&lt;='Resultats - informe'!$E$29),0,1,1)</f>
        <v>0</v>
      </c>
      <c r="N5996" s="366">
        <f>+VLOOKUP(D5996,'Resultats - informe'!$Y$18:$AG$42,'Introducció dades consum'!K5996+1,0)</f>
        <v>0</v>
      </c>
      <c r="O5996" s="370" cm="1">
        <f t="array" ref="O5996">+_xlfn.SWITCH(MONTH(C5996),1,1,2,1,3,1,4,2,5,2,6,3,7,3,8,3,9,3,10,2,11,2,12,1,2)</f>
        <v>1</v>
      </c>
      <c r="P5996" s="43"/>
    </row>
    <row r="5997" spans="1:16" ht="18" x14ac:dyDescent="0.35">
      <c r="A5997" s="9"/>
      <c r="C5997" s="393"/>
      <c r="E5997" s="394"/>
      <c r="F5997" s="394"/>
      <c r="G5997" s="394"/>
      <c r="I5997" s="368">
        <f t="shared" si="285"/>
        <v>0</v>
      </c>
      <c r="J5997" s="365">
        <f t="shared" si="286"/>
        <v>0</v>
      </c>
      <c r="K5997" s="369">
        <f t="shared" si="287"/>
        <v>6</v>
      </c>
      <c r="L5997" s="369">
        <f>+IF((C5997&gt;='Resultats - informe'!$E$16)*(C5997&lt;='Resultats - informe'!$G$16),1,0)</f>
        <v>1</v>
      </c>
      <c r="M5997" s="369" cm="1">
        <f t="array" ref="M5997">+_xlfn.IFS((C5997&gt;='Resultats - informe'!$D$26)*(C5997&lt;='Resultats - informe'!$E$26),0,(C5997&gt;='Resultats - informe'!$D$27)*(C5997&lt;='Resultats - informe'!$E$27),0,(C5997&gt;='Resultats - informe'!$D$28)*(C5997&lt;='Resultats - informe'!$E$28),0,(C5997&gt;='Resultats - informe'!$D$29)*(C5997&lt;='Resultats - informe'!$E$29),0,1,1)</f>
        <v>0</v>
      </c>
      <c r="N5997" s="366">
        <f>+VLOOKUP(D5997,'Resultats - informe'!$Y$18:$AG$42,'Introducció dades consum'!K5997+1,0)</f>
        <v>0</v>
      </c>
      <c r="O5997" s="370" cm="1">
        <f t="array" ref="O5997">+_xlfn.SWITCH(MONTH(C5997),1,1,2,1,3,1,4,2,5,2,6,3,7,3,8,3,9,3,10,2,11,2,12,1,2)</f>
        <v>1</v>
      </c>
      <c r="P5997" s="43"/>
    </row>
    <row r="5998" spans="1:16" ht="18" x14ac:dyDescent="0.35">
      <c r="A5998" s="9"/>
      <c r="C5998" s="393"/>
      <c r="E5998" s="394"/>
      <c r="F5998" s="394"/>
      <c r="G5998" s="394"/>
      <c r="I5998" s="368">
        <f t="shared" si="285"/>
        <v>0</v>
      </c>
      <c r="J5998" s="365">
        <f t="shared" si="286"/>
        <v>0</v>
      </c>
      <c r="K5998" s="369">
        <f t="shared" si="287"/>
        <v>6</v>
      </c>
      <c r="L5998" s="369">
        <f>+IF((C5998&gt;='Resultats - informe'!$E$16)*(C5998&lt;='Resultats - informe'!$G$16),1,0)</f>
        <v>1</v>
      </c>
      <c r="M5998" s="369" cm="1">
        <f t="array" ref="M5998">+_xlfn.IFS((C5998&gt;='Resultats - informe'!$D$26)*(C5998&lt;='Resultats - informe'!$E$26),0,(C5998&gt;='Resultats - informe'!$D$27)*(C5998&lt;='Resultats - informe'!$E$27),0,(C5998&gt;='Resultats - informe'!$D$28)*(C5998&lt;='Resultats - informe'!$E$28),0,(C5998&gt;='Resultats - informe'!$D$29)*(C5998&lt;='Resultats - informe'!$E$29),0,1,1)</f>
        <v>0</v>
      </c>
      <c r="N5998" s="366">
        <f>+VLOOKUP(D5998,'Resultats - informe'!$Y$18:$AG$42,'Introducció dades consum'!K5998+1,0)</f>
        <v>0</v>
      </c>
      <c r="O5998" s="370" cm="1">
        <f t="array" ref="O5998">+_xlfn.SWITCH(MONTH(C5998),1,1,2,1,3,1,4,2,5,2,6,3,7,3,8,3,9,3,10,2,11,2,12,1,2)</f>
        <v>1</v>
      </c>
      <c r="P5998" s="43"/>
    </row>
    <row r="5999" spans="1:16" ht="18" x14ac:dyDescent="0.35">
      <c r="A5999" s="9"/>
      <c r="C5999" s="393"/>
      <c r="E5999" s="394"/>
      <c r="F5999" s="394"/>
      <c r="G5999" s="394"/>
      <c r="I5999" s="368">
        <f t="shared" si="285"/>
        <v>0</v>
      </c>
      <c r="J5999" s="365">
        <f t="shared" si="286"/>
        <v>0</v>
      </c>
      <c r="K5999" s="369">
        <f t="shared" si="287"/>
        <v>6</v>
      </c>
      <c r="L5999" s="369">
        <f>+IF((C5999&gt;='Resultats - informe'!$E$16)*(C5999&lt;='Resultats - informe'!$G$16),1,0)</f>
        <v>1</v>
      </c>
      <c r="M5999" s="369" cm="1">
        <f t="array" ref="M5999">+_xlfn.IFS((C5999&gt;='Resultats - informe'!$D$26)*(C5999&lt;='Resultats - informe'!$E$26),0,(C5999&gt;='Resultats - informe'!$D$27)*(C5999&lt;='Resultats - informe'!$E$27),0,(C5999&gt;='Resultats - informe'!$D$28)*(C5999&lt;='Resultats - informe'!$E$28),0,(C5999&gt;='Resultats - informe'!$D$29)*(C5999&lt;='Resultats - informe'!$E$29),0,1,1)</f>
        <v>0</v>
      </c>
      <c r="N5999" s="366">
        <f>+VLOOKUP(D5999,'Resultats - informe'!$Y$18:$AG$42,'Introducció dades consum'!K5999+1,0)</f>
        <v>0</v>
      </c>
      <c r="O5999" s="370" cm="1">
        <f t="array" ref="O5999">+_xlfn.SWITCH(MONTH(C5999),1,1,2,1,3,1,4,2,5,2,6,3,7,3,8,3,9,3,10,2,11,2,12,1,2)</f>
        <v>1</v>
      </c>
      <c r="P5999" s="43"/>
    </row>
    <row r="6000" spans="1:16" ht="18" x14ac:dyDescent="0.35">
      <c r="A6000" s="9"/>
      <c r="C6000" s="393"/>
      <c r="E6000" s="394"/>
      <c r="F6000" s="394"/>
      <c r="G6000" s="394"/>
      <c r="I6000" s="368">
        <f t="shared" si="285"/>
        <v>0</v>
      </c>
      <c r="J6000" s="365">
        <f t="shared" si="286"/>
        <v>0</v>
      </c>
      <c r="K6000" s="369">
        <f t="shared" si="287"/>
        <v>6</v>
      </c>
      <c r="L6000" s="369">
        <f>+IF((C6000&gt;='Resultats - informe'!$E$16)*(C6000&lt;='Resultats - informe'!$G$16),1,0)</f>
        <v>1</v>
      </c>
      <c r="M6000" s="369" cm="1">
        <f t="array" ref="M6000">+_xlfn.IFS((C6000&gt;='Resultats - informe'!$D$26)*(C6000&lt;='Resultats - informe'!$E$26),0,(C6000&gt;='Resultats - informe'!$D$27)*(C6000&lt;='Resultats - informe'!$E$27),0,(C6000&gt;='Resultats - informe'!$D$28)*(C6000&lt;='Resultats - informe'!$E$28),0,(C6000&gt;='Resultats - informe'!$D$29)*(C6000&lt;='Resultats - informe'!$E$29),0,1,1)</f>
        <v>0</v>
      </c>
      <c r="N6000" s="366">
        <f>+VLOOKUP(D6000,'Resultats - informe'!$Y$18:$AG$42,'Introducció dades consum'!K6000+1,0)</f>
        <v>0</v>
      </c>
      <c r="O6000" s="370" cm="1">
        <f t="array" ref="O6000">+_xlfn.SWITCH(MONTH(C6000),1,1,2,1,3,1,4,2,5,2,6,3,7,3,8,3,9,3,10,2,11,2,12,1,2)</f>
        <v>1</v>
      </c>
      <c r="P6000" s="43"/>
    </row>
    <row r="6001" spans="1:16" ht="18" x14ac:dyDescent="0.35">
      <c r="A6001" s="9"/>
      <c r="C6001" s="393"/>
      <c r="E6001" s="394"/>
      <c r="F6001" s="394"/>
      <c r="G6001" s="394"/>
      <c r="I6001" s="368">
        <f t="shared" si="285"/>
        <v>0</v>
      </c>
      <c r="J6001" s="365">
        <f t="shared" si="286"/>
        <v>0</v>
      </c>
      <c r="K6001" s="369">
        <f t="shared" si="287"/>
        <v>6</v>
      </c>
      <c r="L6001" s="369">
        <f>+IF((C6001&gt;='Resultats - informe'!$E$16)*(C6001&lt;='Resultats - informe'!$G$16),1,0)</f>
        <v>1</v>
      </c>
      <c r="M6001" s="369" cm="1">
        <f t="array" ref="M6001">+_xlfn.IFS((C6001&gt;='Resultats - informe'!$D$26)*(C6001&lt;='Resultats - informe'!$E$26),0,(C6001&gt;='Resultats - informe'!$D$27)*(C6001&lt;='Resultats - informe'!$E$27),0,(C6001&gt;='Resultats - informe'!$D$28)*(C6001&lt;='Resultats - informe'!$E$28),0,(C6001&gt;='Resultats - informe'!$D$29)*(C6001&lt;='Resultats - informe'!$E$29),0,1,1)</f>
        <v>0</v>
      </c>
      <c r="N6001" s="366">
        <f>+VLOOKUP(D6001,'Resultats - informe'!$Y$18:$AG$42,'Introducció dades consum'!K6001+1,0)</f>
        <v>0</v>
      </c>
      <c r="O6001" s="370" cm="1">
        <f t="array" ref="O6001">+_xlfn.SWITCH(MONTH(C6001),1,1,2,1,3,1,4,2,5,2,6,3,7,3,8,3,9,3,10,2,11,2,12,1,2)</f>
        <v>1</v>
      </c>
      <c r="P6001" s="43"/>
    </row>
    <row r="6002" spans="1:16" ht="18" x14ac:dyDescent="0.35">
      <c r="A6002" s="9"/>
      <c r="C6002" s="393"/>
      <c r="E6002" s="394"/>
      <c r="F6002" s="394"/>
      <c r="G6002" s="394"/>
      <c r="I6002" s="368">
        <f t="shared" si="285"/>
        <v>0</v>
      </c>
      <c r="J6002" s="365">
        <f t="shared" si="286"/>
        <v>0</v>
      </c>
      <c r="K6002" s="369">
        <f t="shared" si="287"/>
        <v>6</v>
      </c>
      <c r="L6002" s="369">
        <f>+IF((C6002&gt;='Resultats - informe'!$E$16)*(C6002&lt;='Resultats - informe'!$G$16),1,0)</f>
        <v>1</v>
      </c>
      <c r="M6002" s="369" cm="1">
        <f t="array" ref="M6002">+_xlfn.IFS((C6002&gt;='Resultats - informe'!$D$26)*(C6002&lt;='Resultats - informe'!$E$26),0,(C6002&gt;='Resultats - informe'!$D$27)*(C6002&lt;='Resultats - informe'!$E$27),0,(C6002&gt;='Resultats - informe'!$D$28)*(C6002&lt;='Resultats - informe'!$E$28),0,(C6002&gt;='Resultats - informe'!$D$29)*(C6002&lt;='Resultats - informe'!$E$29),0,1,1)</f>
        <v>0</v>
      </c>
      <c r="N6002" s="366">
        <f>+VLOOKUP(D6002,'Resultats - informe'!$Y$18:$AG$42,'Introducció dades consum'!K6002+1,0)</f>
        <v>0</v>
      </c>
      <c r="O6002" s="370" cm="1">
        <f t="array" ref="O6002">+_xlfn.SWITCH(MONTH(C6002),1,1,2,1,3,1,4,2,5,2,6,3,7,3,8,3,9,3,10,2,11,2,12,1,2)</f>
        <v>1</v>
      </c>
      <c r="P6002" s="43"/>
    </row>
    <row r="6003" spans="1:16" ht="18" x14ac:dyDescent="0.35">
      <c r="A6003" s="9"/>
      <c r="C6003" s="393"/>
      <c r="E6003" s="394"/>
      <c r="F6003" s="394"/>
      <c r="G6003" s="394"/>
      <c r="I6003" s="368">
        <f t="shared" si="285"/>
        <v>0</v>
      </c>
      <c r="J6003" s="365">
        <f t="shared" si="286"/>
        <v>0</v>
      </c>
      <c r="K6003" s="369">
        <f t="shared" si="287"/>
        <v>6</v>
      </c>
      <c r="L6003" s="369">
        <f>+IF((C6003&gt;='Resultats - informe'!$E$16)*(C6003&lt;='Resultats - informe'!$G$16),1,0)</f>
        <v>1</v>
      </c>
      <c r="M6003" s="369" cm="1">
        <f t="array" ref="M6003">+_xlfn.IFS((C6003&gt;='Resultats - informe'!$D$26)*(C6003&lt;='Resultats - informe'!$E$26),0,(C6003&gt;='Resultats - informe'!$D$27)*(C6003&lt;='Resultats - informe'!$E$27),0,(C6003&gt;='Resultats - informe'!$D$28)*(C6003&lt;='Resultats - informe'!$E$28),0,(C6003&gt;='Resultats - informe'!$D$29)*(C6003&lt;='Resultats - informe'!$E$29),0,1,1)</f>
        <v>0</v>
      </c>
      <c r="N6003" s="366">
        <f>+VLOOKUP(D6003,'Resultats - informe'!$Y$18:$AG$42,'Introducció dades consum'!K6003+1,0)</f>
        <v>0</v>
      </c>
      <c r="O6003" s="370" cm="1">
        <f t="array" ref="O6003">+_xlfn.SWITCH(MONTH(C6003),1,1,2,1,3,1,4,2,5,2,6,3,7,3,8,3,9,3,10,2,11,2,12,1,2)</f>
        <v>1</v>
      </c>
      <c r="P6003" s="43"/>
    </row>
    <row r="6004" spans="1:16" ht="18" x14ac:dyDescent="0.35">
      <c r="A6004" s="9"/>
      <c r="C6004" s="393"/>
      <c r="E6004" s="394"/>
      <c r="F6004" s="394"/>
      <c r="G6004" s="394"/>
      <c r="I6004" s="368">
        <f t="shared" si="285"/>
        <v>0</v>
      </c>
      <c r="J6004" s="365">
        <f t="shared" si="286"/>
        <v>0</v>
      </c>
      <c r="K6004" s="369">
        <f t="shared" si="287"/>
        <v>6</v>
      </c>
      <c r="L6004" s="369">
        <f>+IF((C6004&gt;='Resultats - informe'!$E$16)*(C6004&lt;='Resultats - informe'!$G$16),1,0)</f>
        <v>1</v>
      </c>
      <c r="M6004" s="369" cm="1">
        <f t="array" ref="M6004">+_xlfn.IFS((C6004&gt;='Resultats - informe'!$D$26)*(C6004&lt;='Resultats - informe'!$E$26),0,(C6004&gt;='Resultats - informe'!$D$27)*(C6004&lt;='Resultats - informe'!$E$27),0,(C6004&gt;='Resultats - informe'!$D$28)*(C6004&lt;='Resultats - informe'!$E$28),0,(C6004&gt;='Resultats - informe'!$D$29)*(C6004&lt;='Resultats - informe'!$E$29),0,1,1)</f>
        <v>0</v>
      </c>
      <c r="N6004" s="366">
        <f>+VLOOKUP(D6004,'Resultats - informe'!$Y$18:$AG$42,'Introducció dades consum'!K6004+1,0)</f>
        <v>0</v>
      </c>
      <c r="O6004" s="370" cm="1">
        <f t="array" ref="O6004">+_xlfn.SWITCH(MONTH(C6004),1,1,2,1,3,1,4,2,5,2,6,3,7,3,8,3,9,3,10,2,11,2,12,1,2)</f>
        <v>1</v>
      </c>
      <c r="P6004" s="43"/>
    </row>
    <row r="6005" spans="1:16" ht="18" x14ac:dyDescent="0.35">
      <c r="A6005" s="9"/>
      <c r="C6005" s="393"/>
      <c r="E6005" s="394"/>
      <c r="F6005" s="394"/>
      <c r="G6005" s="394"/>
      <c r="I6005" s="368">
        <f t="shared" si="285"/>
        <v>0</v>
      </c>
      <c r="J6005" s="365">
        <f t="shared" si="286"/>
        <v>0</v>
      </c>
      <c r="K6005" s="369">
        <f t="shared" si="287"/>
        <v>6</v>
      </c>
      <c r="L6005" s="369">
        <f>+IF((C6005&gt;='Resultats - informe'!$E$16)*(C6005&lt;='Resultats - informe'!$G$16),1,0)</f>
        <v>1</v>
      </c>
      <c r="M6005" s="369" cm="1">
        <f t="array" ref="M6005">+_xlfn.IFS((C6005&gt;='Resultats - informe'!$D$26)*(C6005&lt;='Resultats - informe'!$E$26),0,(C6005&gt;='Resultats - informe'!$D$27)*(C6005&lt;='Resultats - informe'!$E$27),0,(C6005&gt;='Resultats - informe'!$D$28)*(C6005&lt;='Resultats - informe'!$E$28),0,(C6005&gt;='Resultats - informe'!$D$29)*(C6005&lt;='Resultats - informe'!$E$29),0,1,1)</f>
        <v>0</v>
      </c>
      <c r="N6005" s="366">
        <f>+VLOOKUP(D6005,'Resultats - informe'!$Y$18:$AG$42,'Introducció dades consum'!K6005+1,0)</f>
        <v>0</v>
      </c>
      <c r="O6005" s="370" cm="1">
        <f t="array" ref="O6005">+_xlfn.SWITCH(MONTH(C6005),1,1,2,1,3,1,4,2,5,2,6,3,7,3,8,3,9,3,10,2,11,2,12,1,2)</f>
        <v>1</v>
      </c>
      <c r="P6005" s="43"/>
    </row>
    <row r="6006" spans="1:16" ht="18" x14ac:dyDescent="0.35">
      <c r="A6006" s="9"/>
      <c r="C6006" s="393"/>
      <c r="E6006" s="394"/>
      <c r="F6006" s="394"/>
      <c r="G6006" s="394"/>
      <c r="I6006" s="368">
        <f t="shared" si="285"/>
        <v>0</v>
      </c>
      <c r="J6006" s="365">
        <f t="shared" si="286"/>
        <v>0</v>
      </c>
      <c r="K6006" s="369">
        <f t="shared" si="287"/>
        <v>6</v>
      </c>
      <c r="L6006" s="369">
        <f>+IF((C6006&gt;='Resultats - informe'!$E$16)*(C6006&lt;='Resultats - informe'!$G$16),1,0)</f>
        <v>1</v>
      </c>
      <c r="M6006" s="369" cm="1">
        <f t="array" ref="M6006">+_xlfn.IFS((C6006&gt;='Resultats - informe'!$D$26)*(C6006&lt;='Resultats - informe'!$E$26),0,(C6006&gt;='Resultats - informe'!$D$27)*(C6006&lt;='Resultats - informe'!$E$27),0,(C6006&gt;='Resultats - informe'!$D$28)*(C6006&lt;='Resultats - informe'!$E$28),0,(C6006&gt;='Resultats - informe'!$D$29)*(C6006&lt;='Resultats - informe'!$E$29),0,1,1)</f>
        <v>0</v>
      </c>
      <c r="N6006" s="366">
        <f>+VLOOKUP(D6006,'Resultats - informe'!$Y$18:$AG$42,'Introducció dades consum'!K6006+1,0)</f>
        <v>0</v>
      </c>
      <c r="O6006" s="370" cm="1">
        <f t="array" ref="O6006">+_xlfn.SWITCH(MONTH(C6006),1,1,2,1,3,1,4,2,5,2,6,3,7,3,8,3,9,3,10,2,11,2,12,1,2)</f>
        <v>1</v>
      </c>
      <c r="P6006" s="43"/>
    </row>
    <row r="6007" spans="1:16" ht="18" x14ac:dyDescent="0.35">
      <c r="A6007" s="9"/>
      <c r="C6007" s="393"/>
      <c r="E6007" s="394"/>
      <c r="F6007" s="394"/>
      <c r="G6007" s="394"/>
      <c r="I6007" s="368">
        <f t="shared" si="285"/>
        <v>0</v>
      </c>
      <c r="J6007" s="365">
        <f t="shared" si="286"/>
        <v>0</v>
      </c>
      <c r="K6007" s="369">
        <f t="shared" si="287"/>
        <v>6</v>
      </c>
      <c r="L6007" s="369">
        <f>+IF((C6007&gt;='Resultats - informe'!$E$16)*(C6007&lt;='Resultats - informe'!$G$16),1,0)</f>
        <v>1</v>
      </c>
      <c r="M6007" s="369" cm="1">
        <f t="array" ref="M6007">+_xlfn.IFS((C6007&gt;='Resultats - informe'!$D$26)*(C6007&lt;='Resultats - informe'!$E$26),0,(C6007&gt;='Resultats - informe'!$D$27)*(C6007&lt;='Resultats - informe'!$E$27),0,(C6007&gt;='Resultats - informe'!$D$28)*(C6007&lt;='Resultats - informe'!$E$28),0,(C6007&gt;='Resultats - informe'!$D$29)*(C6007&lt;='Resultats - informe'!$E$29),0,1,1)</f>
        <v>0</v>
      </c>
      <c r="N6007" s="366">
        <f>+VLOOKUP(D6007,'Resultats - informe'!$Y$18:$AG$42,'Introducció dades consum'!K6007+1,0)</f>
        <v>0</v>
      </c>
      <c r="O6007" s="370" cm="1">
        <f t="array" ref="O6007">+_xlfn.SWITCH(MONTH(C6007),1,1,2,1,3,1,4,2,5,2,6,3,7,3,8,3,9,3,10,2,11,2,12,1,2)</f>
        <v>1</v>
      </c>
      <c r="P6007" s="43"/>
    </row>
    <row r="6008" spans="1:16" ht="18" x14ac:dyDescent="0.35">
      <c r="A6008" s="9"/>
      <c r="C6008" s="393"/>
      <c r="E6008" s="394"/>
      <c r="F6008" s="394"/>
      <c r="G6008" s="394"/>
      <c r="I6008" s="368">
        <f t="shared" si="285"/>
        <v>0</v>
      </c>
      <c r="J6008" s="365">
        <f t="shared" si="286"/>
        <v>0</v>
      </c>
      <c r="K6008" s="369">
        <f t="shared" si="287"/>
        <v>6</v>
      </c>
      <c r="L6008" s="369">
        <f>+IF((C6008&gt;='Resultats - informe'!$E$16)*(C6008&lt;='Resultats - informe'!$G$16),1,0)</f>
        <v>1</v>
      </c>
      <c r="M6008" s="369" cm="1">
        <f t="array" ref="M6008">+_xlfn.IFS((C6008&gt;='Resultats - informe'!$D$26)*(C6008&lt;='Resultats - informe'!$E$26),0,(C6008&gt;='Resultats - informe'!$D$27)*(C6008&lt;='Resultats - informe'!$E$27),0,(C6008&gt;='Resultats - informe'!$D$28)*(C6008&lt;='Resultats - informe'!$E$28),0,(C6008&gt;='Resultats - informe'!$D$29)*(C6008&lt;='Resultats - informe'!$E$29),0,1,1)</f>
        <v>0</v>
      </c>
      <c r="N6008" s="366">
        <f>+VLOOKUP(D6008,'Resultats - informe'!$Y$18:$AG$42,'Introducció dades consum'!K6008+1,0)</f>
        <v>0</v>
      </c>
      <c r="O6008" s="370" cm="1">
        <f t="array" ref="O6008">+_xlfn.SWITCH(MONTH(C6008),1,1,2,1,3,1,4,2,5,2,6,3,7,3,8,3,9,3,10,2,11,2,12,1,2)</f>
        <v>1</v>
      </c>
      <c r="P6008" s="43"/>
    </row>
    <row r="6009" spans="1:16" ht="18" x14ac:dyDescent="0.35">
      <c r="A6009" s="9"/>
      <c r="C6009" s="393"/>
      <c r="E6009" s="394"/>
      <c r="F6009" s="394"/>
      <c r="G6009" s="394"/>
      <c r="I6009" s="368">
        <f t="shared" si="285"/>
        <v>0</v>
      </c>
      <c r="J6009" s="365">
        <f t="shared" si="286"/>
        <v>0</v>
      </c>
      <c r="K6009" s="369">
        <f t="shared" si="287"/>
        <v>6</v>
      </c>
      <c r="L6009" s="369">
        <f>+IF((C6009&gt;='Resultats - informe'!$E$16)*(C6009&lt;='Resultats - informe'!$G$16),1,0)</f>
        <v>1</v>
      </c>
      <c r="M6009" s="369" cm="1">
        <f t="array" ref="M6009">+_xlfn.IFS((C6009&gt;='Resultats - informe'!$D$26)*(C6009&lt;='Resultats - informe'!$E$26),0,(C6009&gt;='Resultats - informe'!$D$27)*(C6009&lt;='Resultats - informe'!$E$27),0,(C6009&gt;='Resultats - informe'!$D$28)*(C6009&lt;='Resultats - informe'!$E$28),0,(C6009&gt;='Resultats - informe'!$D$29)*(C6009&lt;='Resultats - informe'!$E$29),0,1,1)</f>
        <v>0</v>
      </c>
      <c r="N6009" s="366">
        <f>+VLOOKUP(D6009,'Resultats - informe'!$Y$18:$AG$42,'Introducció dades consum'!K6009+1,0)</f>
        <v>0</v>
      </c>
      <c r="O6009" s="370" cm="1">
        <f t="array" ref="O6009">+_xlfn.SWITCH(MONTH(C6009),1,1,2,1,3,1,4,2,5,2,6,3,7,3,8,3,9,3,10,2,11,2,12,1,2)</f>
        <v>1</v>
      </c>
      <c r="P6009" s="43"/>
    </row>
    <row r="6010" spans="1:16" ht="18" x14ac:dyDescent="0.35">
      <c r="A6010" s="9"/>
      <c r="C6010" s="393"/>
      <c r="E6010" s="394"/>
      <c r="F6010" s="394"/>
      <c r="G6010" s="394"/>
      <c r="I6010" s="368">
        <f t="shared" si="285"/>
        <v>0</v>
      </c>
      <c r="J6010" s="365">
        <f t="shared" si="286"/>
        <v>0</v>
      </c>
      <c r="K6010" s="369">
        <f t="shared" si="287"/>
        <v>6</v>
      </c>
      <c r="L6010" s="369">
        <f>+IF((C6010&gt;='Resultats - informe'!$E$16)*(C6010&lt;='Resultats - informe'!$G$16),1,0)</f>
        <v>1</v>
      </c>
      <c r="M6010" s="369" cm="1">
        <f t="array" ref="M6010">+_xlfn.IFS((C6010&gt;='Resultats - informe'!$D$26)*(C6010&lt;='Resultats - informe'!$E$26),0,(C6010&gt;='Resultats - informe'!$D$27)*(C6010&lt;='Resultats - informe'!$E$27),0,(C6010&gt;='Resultats - informe'!$D$28)*(C6010&lt;='Resultats - informe'!$E$28),0,(C6010&gt;='Resultats - informe'!$D$29)*(C6010&lt;='Resultats - informe'!$E$29),0,1,1)</f>
        <v>0</v>
      </c>
      <c r="N6010" s="366">
        <f>+VLOOKUP(D6010,'Resultats - informe'!$Y$18:$AG$42,'Introducció dades consum'!K6010+1,0)</f>
        <v>0</v>
      </c>
      <c r="O6010" s="370" cm="1">
        <f t="array" ref="O6010">+_xlfn.SWITCH(MONTH(C6010),1,1,2,1,3,1,4,2,5,2,6,3,7,3,8,3,9,3,10,2,11,2,12,1,2)</f>
        <v>1</v>
      </c>
      <c r="P6010" s="43"/>
    </row>
    <row r="6011" spans="1:16" ht="18" x14ac:dyDescent="0.35">
      <c r="A6011" s="9"/>
      <c r="C6011" s="393"/>
      <c r="E6011" s="394"/>
      <c r="F6011" s="394"/>
      <c r="G6011" s="394"/>
      <c r="I6011" s="368">
        <f t="shared" si="285"/>
        <v>0</v>
      </c>
      <c r="J6011" s="365">
        <f t="shared" si="286"/>
        <v>0</v>
      </c>
      <c r="K6011" s="369">
        <f t="shared" si="287"/>
        <v>6</v>
      </c>
      <c r="L6011" s="369">
        <f>+IF((C6011&gt;='Resultats - informe'!$E$16)*(C6011&lt;='Resultats - informe'!$G$16),1,0)</f>
        <v>1</v>
      </c>
      <c r="M6011" s="369" cm="1">
        <f t="array" ref="M6011">+_xlfn.IFS((C6011&gt;='Resultats - informe'!$D$26)*(C6011&lt;='Resultats - informe'!$E$26),0,(C6011&gt;='Resultats - informe'!$D$27)*(C6011&lt;='Resultats - informe'!$E$27),0,(C6011&gt;='Resultats - informe'!$D$28)*(C6011&lt;='Resultats - informe'!$E$28),0,(C6011&gt;='Resultats - informe'!$D$29)*(C6011&lt;='Resultats - informe'!$E$29),0,1,1)</f>
        <v>0</v>
      </c>
      <c r="N6011" s="366">
        <f>+VLOOKUP(D6011,'Resultats - informe'!$Y$18:$AG$42,'Introducció dades consum'!K6011+1,0)</f>
        <v>0</v>
      </c>
      <c r="O6011" s="370" cm="1">
        <f t="array" ref="O6011">+_xlfn.SWITCH(MONTH(C6011),1,1,2,1,3,1,4,2,5,2,6,3,7,3,8,3,9,3,10,2,11,2,12,1,2)</f>
        <v>1</v>
      </c>
      <c r="P6011" s="43"/>
    </row>
    <row r="6012" spans="1:16" ht="18" x14ac:dyDescent="0.35">
      <c r="A6012" s="9"/>
      <c r="C6012" s="393"/>
      <c r="E6012" s="394"/>
      <c r="F6012" s="394"/>
      <c r="G6012" s="394"/>
      <c r="I6012" s="368">
        <f t="shared" si="285"/>
        <v>0</v>
      </c>
      <c r="J6012" s="365">
        <f t="shared" si="286"/>
        <v>0</v>
      </c>
      <c r="K6012" s="369">
        <f t="shared" si="287"/>
        <v>6</v>
      </c>
      <c r="L6012" s="369">
        <f>+IF((C6012&gt;='Resultats - informe'!$E$16)*(C6012&lt;='Resultats - informe'!$G$16),1,0)</f>
        <v>1</v>
      </c>
      <c r="M6012" s="369" cm="1">
        <f t="array" ref="M6012">+_xlfn.IFS((C6012&gt;='Resultats - informe'!$D$26)*(C6012&lt;='Resultats - informe'!$E$26),0,(C6012&gt;='Resultats - informe'!$D$27)*(C6012&lt;='Resultats - informe'!$E$27),0,(C6012&gt;='Resultats - informe'!$D$28)*(C6012&lt;='Resultats - informe'!$E$28),0,(C6012&gt;='Resultats - informe'!$D$29)*(C6012&lt;='Resultats - informe'!$E$29),0,1,1)</f>
        <v>0</v>
      </c>
      <c r="N6012" s="366">
        <f>+VLOOKUP(D6012,'Resultats - informe'!$Y$18:$AG$42,'Introducció dades consum'!K6012+1,0)</f>
        <v>0</v>
      </c>
      <c r="O6012" s="370" cm="1">
        <f t="array" ref="O6012">+_xlfn.SWITCH(MONTH(C6012),1,1,2,1,3,1,4,2,5,2,6,3,7,3,8,3,9,3,10,2,11,2,12,1,2)</f>
        <v>1</v>
      </c>
      <c r="P6012" s="43"/>
    </row>
    <row r="6013" spans="1:16" ht="18" x14ac:dyDescent="0.35">
      <c r="A6013" s="9"/>
      <c r="C6013" s="393"/>
      <c r="E6013" s="394"/>
      <c r="F6013" s="394"/>
      <c r="G6013" s="394"/>
      <c r="I6013" s="368">
        <f t="shared" si="285"/>
        <v>0</v>
      </c>
      <c r="J6013" s="365">
        <f t="shared" si="286"/>
        <v>0</v>
      </c>
      <c r="K6013" s="369">
        <f t="shared" si="287"/>
        <v>6</v>
      </c>
      <c r="L6013" s="369">
        <f>+IF((C6013&gt;='Resultats - informe'!$E$16)*(C6013&lt;='Resultats - informe'!$G$16),1,0)</f>
        <v>1</v>
      </c>
      <c r="M6013" s="369" cm="1">
        <f t="array" ref="M6013">+_xlfn.IFS((C6013&gt;='Resultats - informe'!$D$26)*(C6013&lt;='Resultats - informe'!$E$26),0,(C6013&gt;='Resultats - informe'!$D$27)*(C6013&lt;='Resultats - informe'!$E$27),0,(C6013&gt;='Resultats - informe'!$D$28)*(C6013&lt;='Resultats - informe'!$E$28),0,(C6013&gt;='Resultats - informe'!$D$29)*(C6013&lt;='Resultats - informe'!$E$29),0,1,1)</f>
        <v>0</v>
      </c>
      <c r="N6013" s="366">
        <f>+VLOOKUP(D6013,'Resultats - informe'!$Y$18:$AG$42,'Introducció dades consum'!K6013+1,0)</f>
        <v>0</v>
      </c>
      <c r="O6013" s="370" cm="1">
        <f t="array" ref="O6013">+_xlfn.SWITCH(MONTH(C6013),1,1,2,1,3,1,4,2,5,2,6,3,7,3,8,3,9,3,10,2,11,2,12,1,2)</f>
        <v>1</v>
      </c>
      <c r="P6013" s="43"/>
    </row>
    <row r="6014" spans="1:16" ht="18" x14ac:dyDescent="0.35">
      <c r="A6014" s="9"/>
      <c r="C6014" s="393"/>
      <c r="E6014" s="394"/>
      <c r="F6014" s="394"/>
      <c r="G6014" s="394"/>
      <c r="I6014" s="368">
        <f t="shared" si="285"/>
        <v>0</v>
      </c>
      <c r="J6014" s="365">
        <f t="shared" si="286"/>
        <v>0</v>
      </c>
      <c r="K6014" s="369">
        <f t="shared" si="287"/>
        <v>6</v>
      </c>
      <c r="L6014" s="369">
        <f>+IF((C6014&gt;='Resultats - informe'!$E$16)*(C6014&lt;='Resultats - informe'!$G$16),1,0)</f>
        <v>1</v>
      </c>
      <c r="M6014" s="369" cm="1">
        <f t="array" ref="M6014">+_xlfn.IFS((C6014&gt;='Resultats - informe'!$D$26)*(C6014&lt;='Resultats - informe'!$E$26),0,(C6014&gt;='Resultats - informe'!$D$27)*(C6014&lt;='Resultats - informe'!$E$27),0,(C6014&gt;='Resultats - informe'!$D$28)*(C6014&lt;='Resultats - informe'!$E$28),0,(C6014&gt;='Resultats - informe'!$D$29)*(C6014&lt;='Resultats - informe'!$E$29),0,1,1)</f>
        <v>0</v>
      </c>
      <c r="N6014" s="366">
        <f>+VLOOKUP(D6014,'Resultats - informe'!$Y$18:$AG$42,'Introducció dades consum'!K6014+1,0)</f>
        <v>0</v>
      </c>
      <c r="O6014" s="370" cm="1">
        <f t="array" ref="O6014">+_xlfn.SWITCH(MONTH(C6014),1,1,2,1,3,1,4,2,5,2,6,3,7,3,8,3,9,3,10,2,11,2,12,1,2)</f>
        <v>1</v>
      </c>
      <c r="P6014" s="43"/>
    </row>
    <row r="6015" spans="1:16" ht="18" x14ac:dyDescent="0.35">
      <c r="A6015" s="9"/>
      <c r="C6015" s="393"/>
      <c r="E6015" s="394"/>
      <c r="F6015" s="394"/>
      <c r="G6015" s="394"/>
      <c r="I6015" s="368">
        <f t="shared" si="285"/>
        <v>0</v>
      </c>
      <c r="J6015" s="365">
        <f t="shared" si="286"/>
        <v>0</v>
      </c>
      <c r="K6015" s="369">
        <f t="shared" si="287"/>
        <v>6</v>
      </c>
      <c r="L6015" s="369">
        <f>+IF((C6015&gt;='Resultats - informe'!$E$16)*(C6015&lt;='Resultats - informe'!$G$16),1,0)</f>
        <v>1</v>
      </c>
      <c r="M6015" s="369" cm="1">
        <f t="array" ref="M6015">+_xlfn.IFS((C6015&gt;='Resultats - informe'!$D$26)*(C6015&lt;='Resultats - informe'!$E$26),0,(C6015&gt;='Resultats - informe'!$D$27)*(C6015&lt;='Resultats - informe'!$E$27),0,(C6015&gt;='Resultats - informe'!$D$28)*(C6015&lt;='Resultats - informe'!$E$28),0,(C6015&gt;='Resultats - informe'!$D$29)*(C6015&lt;='Resultats - informe'!$E$29),0,1,1)</f>
        <v>0</v>
      </c>
      <c r="N6015" s="366">
        <f>+VLOOKUP(D6015,'Resultats - informe'!$Y$18:$AG$42,'Introducció dades consum'!K6015+1,0)</f>
        <v>0</v>
      </c>
      <c r="O6015" s="370" cm="1">
        <f t="array" ref="O6015">+_xlfn.SWITCH(MONTH(C6015),1,1,2,1,3,1,4,2,5,2,6,3,7,3,8,3,9,3,10,2,11,2,12,1,2)</f>
        <v>1</v>
      </c>
      <c r="P6015" s="43"/>
    </row>
    <row r="6016" spans="1:16" ht="18" x14ac:dyDescent="0.35">
      <c r="A6016" s="9"/>
      <c r="C6016" s="393"/>
      <c r="E6016" s="394"/>
      <c r="F6016" s="394"/>
      <c r="G6016" s="394"/>
      <c r="I6016" s="368">
        <f t="shared" si="285"/>
        <v>0</v>
      </c>
      <c r="J6016" s="365">
        <f t="shared" si="286"/>
        <v>0</v>
      </c>
      <c r="K6016" s="369">
        <f t="shared" si="287"/>
        <v>6</v>
      </c>
      <c r="L6016" s="369">
        <f>+IF((C6016&gt;='Resultats - informe'!$E$16)*(C6016&lt;='Resultats - informe'!$G$16),1,0)</f>
        <v>1</v>
      </c>
      <c r="M6016" s="369" cm="1">
        <f t="array" ref="M6016">+_xlfn.IFS((C6016&gt;='Resultats - informe'!$D$26)*(C6016&lt;='Resultats - informe'!$E$26),0,(C6016&gt;='Resultats - informe'!$D$27)*(C6016&lt;='Resultats - informe'!$E$27),0,(C6016&gt;='Resultats - informe'!$D$28)*(C6016&lt;='Resultats - informe'!$E$28),0,(C6016&gt;='Resultats - informe'!$D$29)*(C6016&lt;='Resultats - informe'!$E$29),0,1,1)</f>
        <v>0</v>
      </c>
      <c r="N6016" s="366">
        <f>+VLOOKUP(D6016,'Resultats - informe'!$Y$18:$AG$42,'Introducció dades consum'!K6016+1,0)</f>
        <v>0</v>
      </c>
      <c r="O6016" s="370" cm="1">
        <f t="array" ref="O6016">+_xlfn.SWITCH(MONTH(C6016),1,1,2,1,3,1,4,2,5,2,6,3,7,3,8,3,9,3,10,2,11,2,12,1,2)</f>
        <v>1</v>
      </c>
      <c r="P6016" s="43"/>
    </row>
    <row r="6017" spans="1:16" ht="18" x14ac:dyDescent="0.35">
      <c r="A6017" s="9"/>
      <c r="C6017" s="393"/>
      <c r="E6017" s="394"/>
      <c r="F6017" s="394"/>
      <c r="G6017" s="394"/>
      <c r="I6017" s="368">
        <f t="shared" si="285"/>
        <v>0</v>
      </c>
      <c r="J6017" s="365">
        <f t="shared" si="286"/>
        <v>0</v>
      </c>
      <c r="K6017" s="369">
        <f t="shared" si="287"/>
        <v>6</v>
      </c>
      <c r="L6017" s="369">
        <f>+IF((C6017&gt;='Resultats - informe'!$E$16)*(C6017&lt;='Resultats - informe'!$G$16),1,0)</f>
        <v>1</v>
      </c>
      <c r="M6017" s="369" cm="1">
        <f t="array" ref="M6017">+_xlfn.IFS((C6017&gt;='Resultats - informe'!$D$26)*(C6017&lt;='Resultats - informe'!$E$26),0,(C6017&gt;='Resultats - informe'!$D$27)*(C6017&lt;='Resultats - informe'!$E$27),0,(C6017&gt;='Resultats - informe'!$D$28)*(C6017&lt;='Resultats - informe'!$E$28),0,(C6017&gt;='Resultats - informe'!$D$29)*(C6017&lt;='Resultats - informe'!$E$29),0,1,1)</f>
        <v>0</v>
      </c>
      <c r="N6017" s="366">
        <f>+VLOOKUP(D6017,'Resultats - informe'!$Y$18:$AG$42,'Introducció dades consum'!K6017+1,0)</f>
        <v>0</v>
      </c>
      <c r="O6017" s="370" cm="1">
        <f t="array" ref="O6017">+_xlfn.SWITCH(MONTH(C6017),1,1,2,1,3,1,4,2,5,2,6,3,7,3,8,3,9,3,10,2,11,2,12,1,2)</f>
        <v>1</v>
      </c>
      <c r="P6017" s="43"/>
    </row>
    <row r="6018" spans="1:16" ht="18" x14ac:dyDescent="0.35">
      <c r="A6018" s="9"/>
      <c r="C6018" s="393"/>
      <c r="E6018" s="394"/>
      <c r="F6018" s="394"/>
      <c r="G6018" s="394"/>
      <c r="I6018" s="368">
        <f t="shared" si="285"/>
        <v>0</v>
      </c>
      <c r="J6018" s="365">
        <f t="shared" si="286"/>
        <v>0</v>
      </c>
      <c r="K6018" s="369">
        <f t="shared" si="287"/>
        <v>6</v>
      </c>
      <c r="L6018" s="369">
        <f>+IF((C6018&gt;='Resultats - informe'!$E$16)*(C6018&lt;='Resultats - informe'!$G$16),1,0)</f>
        <v>1</v>
      </c>
      <c r="M6018" s="369" cm="1">
        <f t="array" ref="M6018">+_xlfn.IFS((C6018&gt;='Resultats - informe'!$D$26)*(C6018&lt;='Resultats - informe'!$E$26),0,(C6018&gt;='Resultats - informe'!$D$27)*(C6018&lt;='Resultats - informe'!$E$27),0,(C6018&gt;='Resultats - informe'!$D$28)*(C6018&lt;='Resultats - informe'!$E$28),0,(C6018&gt;='Resultats - informe'!$D$29)*(C6018&lt;='Resultats - informe'!$E$29),0,1,1)</f>
        <v>0</v>
      </c>
      <c r="N6018" s="366">
        <f>+VLOOKUP(D6018,'Resultats - informe'!$Y$18:$AG$42,'Introducció dades consum'!K6018+1,0)</f>
        <v>0</v>
      </c>
      <c r="O6018" s="370" cm="1">
        <f t="array" ref="O6018">+_xlfn.SWITCH(MONTH(C6018),1,1,2,1,3,1,4,2,5,2,6,3,7,3,8,3,9,3,10,2,11,2,12,1,2)</f>
        <v>1</v>
      </c>
      <c r="P6018" s="43"/>
    </row>
    <row r="6019" spans="1:16" ht="18" x14ac:dyDescent="0.35">
      <c r="A6019" s="9"/>
      <c r="C6019" s="393"/>
      <c r="E6019" s="394"/>
      <c r="F6019" s="394"/>
      <c r="G6019" s="394"/>
      <c r="I6019" s="368">
        <f t="shared" si="285"/>
        <v>0</v>
      </c>
      <c r="J6019" s="365">
        <f t="shared" si="286"/>
        <v>0</v>
      </c>
      <c r="K6019" s="369">
        <f t="shared" si="287"/>
        <v>6</v>
      </c>
      <c r="L6019" s="369">
        <f>+IF((C6019&gt;='Resultats - informe'!$E$16)*(C6019&lt;='Resultats - informe'!$G$16),1,0)</f>
        <v>1</v>
      </c>
      <c r="M6019" s="369" cm="1">
        <f t="array" ref="M6019">+_xlfn.IFS((C6019&gt;='Resultats - informe'!$D$26)*(C6019&lt;='Resultats - informe'!$E$26),0,(C6019&gt;='Resultats - informe'!$D$27)*(C6019&lt;='Resultats - informe'!$E$27),0,(C6019&gt;='Resultats - informe'!$D$28)*(C6019&lt;='Resultats - informe'!$E$28),0,(C6019&gt;='Resultats - informe'!$D$29)*(C6019&lt;='Resultats - informe'!$E$29),0,1,1)</f>
        <v>0</v>
      </c>
      <c r="N6019" s="366">
        <f>+VLOOKUP(D6019,'Resultats - informe'!$Y$18:$AG$42,'Introducció dades consum'!K6019+1,0)</f>
        <v>0</v>
      </c>
      <c r="O6019" s="370" cm="1">
        <f t="array" ref="O6019">+_xlfn.SWITCH(MONTH(C6019),1,1,2,1,3,1,4,2,5,2,6,3,7,3,8,3,9,3,10,2,11,2,12,1,2)</f>
        <v>1</v>
      </c>
      <c r="P6019" s="43"/>
    </row>
    <row r="6020" spans="1:16" ht="18" x14ac:dyDescent="0.35">
      <c r="A6020" s="9"/>
      <c r="C6020" s="393"/>
      <c r="E6020" s="394"/>
      <c r="F6020" s="394"/>
      <c r="G6020" s="394"/>
      <c r="I6020" s="368">
        <f t="shared" si="285"/>
        <v>0</v>
      </c>
      <c r="J6020" s="365">
        <f t="shared" si="286"/>
        <v>0</v>
      </c>
      <c r="K6020" s="369">
        <f t="shared" si="287"/>
        <v>6</v>
      </c>
      <c r="L6020" s="369">
        <f>+IF((C6020&gt;='Resultats - informe'!$E$16)*(C6020&lt;='Resultats - informe'!$G$16),1,0)</f>
        <v>1</v>
      </c>
      <c r="M6020" s="369" cm="1">
        <f t="array" ref="M6020">+_xlfn.IFS((C6020&gt;='Resultats - informe'!$D$26)*(C6020&lt;='Resultats - informe'!$E$26),0,(C6020&gt;='Resultats - informe'!$D$27)*(C6020&lt;='Resultats - informe'!$E$27),0,(C6020&gt;='Resultats - informe'!$D$28)*(C6020&lt;='Resultats - informe'!$E$28),0,(C6020&gt;='Resultats - informe'!$D$29)*(C6020&lt;='Resultats - informe'!$E$29),0,1,1)</f>
        <v>0</v>
      </c>
      <c r="N6020" s="366">
        <f>+VLOOKUP(D6020,'Resultats - informe'!$Y$18:$AG$42,'Introducció dades consum'!K6020+1,0)</f>
        <v>0</v>
      </c>
      <c r="O6020" s="370" cm="1">
        <f t="array" ref="O6020">+_xlfn.SWITCH(MONTH(C6020),1,1,2,1,3,1,4,2,5,2,6,3,7,3,8,3,9,3,10,2,11,2,12,1,2)</f>
        <v>1</v>
      </c>
      <c r="P6020" s="43"/>
    </row>
    <row r="6021" spans="1:16" ht="18" x14ac:dyDescent="0.35">
      <c r="A6021" s="9"/>
      <c r="C6021" s="393"/>
      <c r="E6021" s="394"/>
      <c r="F6021" s="394"/>
      <c r="G6021" s="394"/>
      <c r="I6021" s="368">
        <f t="shared" si="285"/>
        <v>0</v>
      </c>
      <c r="J6021" s="365">
        <f t="shared" si="286"/>
        <v>0</v>
      </c>
      <c r="K6021" s="369">
        <f t="shared" si="287"/>
        <v>6</v>
      </c>
      <c r="L6021" s="369">
        <f>+IF((C6021&gt;='Resultats - informe'!$E$16)*(C6021&lt;='Resultats - informe'!$G$16),1,0)</f>
        <v>1</v>
      </c>
      <c r="M6021" s="369" cm="1">
        <f t="array" ref="M6021">+_xlfn.IFS((C6021&gt;='Resultats - informe'!$D$26)*(C6021&lt;='Resultats - informe'!$E$26),0,(C6021&gt;='Resultats - informe'!$D$27)*(C6021&lt;='Resultats - informe'!$E$27),0,(C6021&gt;='Resultats - informe'!$D$28)*(C6021&lt;='Resultats - informe'!$E$28),0,(C6021&gt;='Resultats - informe'!$D$29)*(C6021&lt;='Resultats - informe'!$E$29),0,1,1)</f>
        <v>0</v>
      </c>
      <c r="N6021" s="366">
        <f>+VLOOKUP(D6021,'Resultats - informe'!$Y$18:$AG$42,'Introducció dades consum'!K6021+1,0)</f>
        <v>0</v>
      </c>
      <c r="O6021" s="370" cm="1">
        <f t="array" ref="O6021">+_xlfn.SWITCH(MONTH(C6021),1,1,2,1,3,1,4,2,5,2,6,3,7,3,8,3,9,3,10,2,11,2,12,1,2)</f>
        <v>1</v>
      </c>
      <c r="P6021" s="43"/>
    </row>
    <row r="6022" spans="1:16" ht="18" x14ac:dyDescent="0.35">
      <c r="A6022" s="9"/>
      <c r="C6022" s="393"/>
      <c r="E6022" s="394"/>
      <c r="F6022" s="394"/>
      <c r="G6022" s="394"/>
      <c r="I6022" s="368">
        <f t="shared" si="285"/>
        <v>0</v>
      </c>
      <c r="J6022" s="365">
        <f t="shared" si="286"/>
        <v>0</v>
      </c>
      <c r="K6022" s="369">
        <f t="shared" si="287"/>
        <v>6</v>
      </c>
      <c r="L6022" s="369">
        <f>+IF((C6022&gt;='Resultats - informe'!$E$16)*(C6022&lt;='Resultats - informe'!$G$16),1,0)</f>
        <v>1</v>
      </c>
      <c r="M6022" s="369" cm="1">
        <f t="array" ref="M6022">+_xlfn.IFS((C6022&gt;='Resultats - informe'!$D$26)*(C6022&lt;='Resultats - informe'!$E$26),0,(C6022&gt;='Resultats - informe'!$D$27)*(C6022&lt;='Resultats - informe'!$E$27),0,(C6022&gt;='Resultats - informe'!$D$28)*(C6022&lt;='Resultats - informe'!$E$28),0,(C6022&gt;='Resultats - informe'!$D$29)*(C6022&lt;='Resultats - informe'!$E$29),0,1,1)</f>
        <v>0</v>
      </c>
      <c r="N6022" s="366">
        <f>+VLOOKUP(D6022,'Resultats - informe'!$Y$18:$AG$42,'Introducció dades consum'!K6022+1,0)</f>
        <v>0</v>
      </c>
      <c r="O6022" s="370" cm="1">
        <f t="array" ref="O6022">+_xlfn.SWITCH(MONTH(C6022),1,1,2,1,3,1,4,2,5,2,6,3,7,3,8,3,9,3,10,2,11,2,12,1,2)</f>
        <v>1</v>
      </c>
      <c r="P6022" s="43"/>
    </row>
    <row r="6023" spans="1:16" ht="18" x14ac:dyDescent="0.35">
      <c r="A6023" s="9"/>
      <c r="C6023" s="393"/>
      <c r="E6023" s="394"/>
      <c r="F6023" s="394"/>
      <c r="G6023" s="394"/>
      <c r="I6023" s="368">
        <f t="shared" si="285"/>
        <v>0</v>
      </c>
      <c r="J6023" s="365">
        <f t="shared" si="286"/>
        <v>0</v>
      </c>
      <c r="K6023" s="369">
        <f t="shared" si="287"/>
        <v>6</v>
      </c>
      <c r="L6023" s="369">
        <f>+IF((C6023&gt;='Resultats - informe'!$E$16)*(C6023&lt;='Resultats - informe'!$G$16),1,0)</f>
        <v>1</v>
      </c>
      <c r="M6023" s="369" cm="1">
        <f t="array" ref="M6023">+_xlfn.IFS((C6023&gt;='Resultats - informe'!$D$26)*(C6023&lt;='Resultats - informe'!$E$26),0,(C6023&gt;='Resultats - informe'!$D$27)*(C6023&lt;='Resultats - informe'!$E$27),0,(C6023&gt;='Resultats - informe'!$D$28)*(C6023&lt;='Resultats - informe'!$E$28),0,(C6023&gt;='Resultats - informe'!$D$29)*(C6023&lt;='Resultats - informe'!$E$29),0,1,1)</f>
        <v>0</v>
      </c>
      <c r="N6023" s="366">
        <f>+VLOOKUP(D6023,'Resultats - informe'!$Y$18:$AG$42,'Introducció dades consum'!K6023+1,0)</f>
        <v>0</v>
      </c>
      <c r="O6023" s="370" cm="1">
        <f t="array" ref="O6023">+_xlfn.SWITCH(MONTH(C6023),1,1,2,1,3,1,4,2,5,2,6,3,7,3,8,3,9,3,10,2,11,2,12,1,2)</f>
        <v>1</v>
      </c>
      <c r="P6023" s="43"/>
    </row>
    <row r="6024" spans="1:16" ht="18" x14ac:dyDescent="0.35">
      <c r="A6024" s="9"/>
      <c r="C6024" s="393"/>
      <c r="E6024" s="394"/>
      <c r="F6024" s="394"/>
      <c r="G6024" s="394"/>
      <c r="I6024" s="368">
        <f t="shared" si="285"/>
        <v>0</v>
      </c>
      <c r="J6024" s="365">
        <f t="shared" si="286"/>
        <v>0</v>
      </c>
      <c r="K6024" s="369">
        <f t="shared" si="287"/>
        <v>6</v>
      </c>
      <c r="L6024" s="369">
        <f>+IF((C6024&gt;='Resultats - informe'!$E$16)*(C6024&lt;='Resultats - informe'!$G$16),1,0)</f>
        <v>1</v>
      </c>
      <c r="M6024" s="369" cm="1">
        <f t="array" ref="M6024">+_xlfn.IFS((C6024&gt;='Resultats - informe'!$D$26)*(C6024&lt;='Resultats - informe'!$E$26),0,(C6024&gt;='Resultats - informe'!$D$27)*(C6024&lt;='Resultats - informe'!$E$27),0,(C6024&gt;='Resultats - informe'!$D$28)*(C6024&lt;='Resultats - informe'!$E$28),0,(C6024&gt;='Resultats - informe'!$D$29)*(C6024&lt;='Resultats - informe'!$E$29),0,1,1)</f>
        <v>0</v>
      </c>
      <c r="N6024" s="366">
        <f>+VLOOKUP(D6024,'Resultats - informe'!$Y$18:$AG$42,'Introducció dades consum'!K6024+1,0)</f>
        <v>0</v>
      </c>
      <c r="O6024" s="370" cm="1">
        <f t="array" ref="O6024">+_xlfn.SWITCH(MONTH(C6024),1,1,2,1,3,1,4,2,5,2,6,3,7,3,8,3,9,3,10,2,11,2,12,1,2)</f>
        <v>1</v>
      </c>
      <c r="P6024" s="43"/>
    </row>
    <row r="6025" spans="1:16" ht="18" x14ac:dyDescent="0.35">
      <c r="A6025" s="9"/>
      <c r="C6025" s="393"/>
      <c r="E6025" s="394"/>
      <c r="F6025" s="394"/>
      <c r="G6025" s="394"/>
      <c r="I6025" s="368">
        <f t="shared" si="285"/>
        <v>0</v>
      </c>
      <c r="J6025" s="365">
        <f t="shared" si="286"/>
        <v>0</v>
      </c>
      <c r="K6025" s="369">
        <f t="shared" si="287"/>
        <v>6</v>
      </c>
      <c r="L6025" s="369">
        <f>+IF((C6025&gt;='Resultats - informe'!$E$16)*(C6025&lt;='Resultats - informe'!$G$16),1,0)</f>
        <v>1</v>
      </c>
      <c r="M6025" s="369" cm="1">
        <f t="array" ref="M6025">+_xlfn.IFS((C6025&gt;='Resultats - informe'!$D$26)*(C6025&lt;='Resultats - informe'!$E$26),0,(C6025&gt;='Resultats - informe'!$D$27)*(C6025&lt;='Resultats - informe'!$E$27),0,(C6025&gt;='Resultats - informe'!$D$28)*(C6025&lt;='Resultats - informe'!$E$28),0,(C6025&gt;='Resultats - informe'!$D$29)*(C6025&lt;='Resultats - informe'!$E$29),0,1,1)</f>
        <v>0</v>
      </c>
      <c r="N6025" s="366">
        <f>+VLOOKUP(D6025,'Resultats - informe'!$Y$18:$AG$42,'Introducció dades consum'!K6025+1,0)</f>
        <v>0</v>
      </c>
      <c r="O6025" s="370" cm="1">
        <f t="array" ref="O6025">+_xlfn.SWITCH(MONTH(C6025),1,1,2,1,3,1,4,2,5,2,6,3,7,3,8,3,9,3,10,2,11,2,12,1,2)</f>
        <v>1</v>
      </c>
      <c r="P6025" s="43"/>
    </row>
    <row r="6026" spans="1:16" ht="18" x14ac:dyDescent="0.35">
      <c r="A6026" s="9"/>
      <c r="C6026" s="393"/>
      <c r="E6026" s="394"/>
      <c r="F6026" s="394"/>
      <c r="G6026" s="394"/>
      <c r="I6026" s="368">
        <f t="shared" si="285"/>
        <v>0</v>
      </c>
      <c r="J6026" s="365">
        <f t="shared" si="286"/>
        <v>0</v>
      </c>
      <c r="K6026" s="369">
        <f t="shared" si="287"/>
        <v>6</v>
      </c>
      <c r="L6026" s="369">
        <f>+IF((C6026&gt;='Resultats - informe'!$E$16)*(C6026&lt;='Resultats - informe'!$G$16),1,0)</f>
        <v>1</v>
      </c>
      <c r="M6026" s="369" cm="1">
        <f t="array" ref="M6026">+_xlfn.IFS((C6026&gt;='Resultats - informe'!$D$26)*(C6026&lt;='Resultats - informe'!$E$26),0,(C6026&gt;='Resultats - informe'!$D$27)*(C6026&lt;='Resultats - informe'!$E$27),0,(C6026&gt;='Resultats - informe'!$D$28)*(C6026&lt;='Resultats - informe'!$E$28),0,(C6026&gt;='Resultats - informe'!$D$29)*(C6026&lt;='Resultats - informe'!$E$29),0,1,1)</f>
        <v>0</v>
      </c>
      <c r="N6026" s="366">
        <f>+VLOOKUP(D6026,'Resultats - informe'!$Y$18:$AG$42,'Introducció dades consum'!K6026+1,0)</f>
        <v>0</v>
      </c>
      <c r="O6026" s="370" cm="1">
        <f t="array" ref="O6026">+_xlfn.SWITCH(MONTH(C6026),1,1,2,1,3,1,4,2,5,2,6,3,7,3,8,3,9,3,10,2,11,2,12,1,2)</f>
        <v>1</v>
      </c>
      <c r="P6026" s="43"/>
    </row>
    <row r="6027" spans="1:16" ht="18" x14ac:dyDescent="0.35">
      <c r="A6027" s="9"/>
      <c r="C6027" s="393"/>
      <c r="E6027" s="394"/>
      <c r="F6027" s="394"/>
      <c r="G6027" s="394"/>
      <c r="I6027" s="368">
        <f t="shared" si="285"/>
        <v>0</v>
      </c>
      <c r="J6027" s="365">
        <f t="shared" si="286"/>
        <v>0</v>
      </c>
      <c r="K6027" s="369">
        <f t="shared" si="287"/>
        <v>6</v>
      </c>
      <c r="L6027" s="369">
        <f>+IF((C6027&gt;='Resultats - informe'!$E$16)*(C6027&lt;='Resultats - informe'!$G$16),1,0)</f>
        <v>1</v>
      </c>
      <c r="M6027" s="369" cm="1">
        <f t="array" ref="M6027">+_xlfn.IFS((C6027&gt;='Resultats - informe'!$D$26)*(C6027&lt;='Resultats - informe'!$E$26),0,(C6027&gt;='Resultats - informe'!$D$27)*(C6027&lt;='Resultats - informe'!$E$27),0,(C6027&gt;='Resultats - informe'!$D$28)*(C6027&lt;='Resultats - informe'!$E$28),0,(C6027&gt;='Resultats - informe'!$D$29)*(C6027&lt;='Resultats - informe'!$E$29),0,1,1)</f>
        <v>0</v>
      </c>
      <c r="N6027" s="366">
        <f>+VLOOKUP(D6027,'Resultats - informe'!$Y$18:$AG$42,'Introducció dades consum'!K6027+1,0)</f>
        <v>0</v>
      </c>
      <c r="O6027" s="370" cm="1">
        <f t="array" ref="O6027">+_xlfn.SWITCH(MONTH(C6027),1,1,2,1,3,1,4,2,5,2,6,3,7,3,8,3,9,3,10,2,11,2,12,1,2)</f>
        <v>1</v>
      </c>
      <c r="P6027" s="43"/>
    </row>
    <row r="6028" spans="1:16" ht="18" x14ac:dyDescent="0.35">
      <c r="A6028" s="9"/>
      <c r="C6028" s="393"/>
      <c r="E6028" s="394"/>
      <c r="F6028" s="394"/>
      <c r="G6028" s="394"/>
      <c r="I6028" s="368">
        <f t="shared" si="285"/>
        <v>0</v>
      </c>
      <c r="J6028" s="365">
        <f t="shared" si="286"/>
        <v>0</v>
      </c>
      <c r="K6028" s="369">
        <f t="shared" si="287"/>
        <v>6</v>
      </c>
      <c r="L6028" s="369">
        <f>+IF((C6028&gt;='Resultats - informe'!$E$16)*(C6028&lt;='Resultats - informe'!$G$16),1,0)</f>
        <v>1</v>
      </c>
      <c r="M6028" s="369" cm="1">
        <f t="array" ref="M6028">+_xlfn.IFS((C6028&gt;='Resultats - informe'!$D$26)*(C6028&lt;='Resultats - informe'!$E$26),0,(C6028&gt;='Resultats - informe'!$D$27)*(C6028&lt;='Resultats - informe'!$E$27),0,(C6028&gt;='Resultats - informe'!$D$28)*(C6028&lt;='Resultats - informe'!$E$28),0,(C6028&gt;='Resultats - informe'!$D$29)*(C6028&lt;='Resultats - informe'!$E$29),0,1,1)</f>
        <v>0</v>
      </c>
      <c r="N6028" s="366">
        <f>+VLOOKUP(D6028,'Resultats - informe'!$Y$18:$AG$42,'Introducció dades consum'!K6028+1,0)</f>
        <v>0</v>
      </c>
      <c r="O6028" s="370" cm="1">
        <f t="array" ref="O6028">+_xlfn.SWITCH(MONTH(C6028),1,1,2,1,3,1,4,2,5,2,6,3,7,3,8,3,9,3,10,2,11,2,12,1,2)</f>
        <v>1</v>
      </c>
      <c r="P6028" s="43"/>
    </row>
    <row r="6029" spans="1:16" ht="18" x14ac:dyDescent="0.35">
      <c r="A6029" s="9"/>
      <c r="C6029" s="393"/>
      <c r="E6029" s="394"/>
      <c r="F6029" s="394"/>
      <c r="G6029" s="394"/>
      <c r="I6029" s="368">
        <f t="shared" si="285"/>
        <v>0</v>
      </c>
      <c r="J6029" s="365">
        <f t="shared" si="286"/>
        <v>0</v>
      </c>
      <c r="K6029" s="369">
        <f t="shared" si="287"/>
        <v>6</v>
      </c>
      <c r="L6029" s="369">
        <f>+IF((C6029&gt;='Resultats - informe'!$E$16)*(C6029&lt;='Resultats - informe'!$G$16),1,0)</f>
        <v>1</v>
      </c>
      <c r="M6029" s="369" cm="1">
        <f t="array" ref="M6029">+_xlfn.IFS((C6029&gt;='Resultats - informe'!$D$26)*(C6029&lt;='Resultats - informe'!$E$26),0,(C6029&gt;='Resultats - informe'!$D$27)*(C6029&lt;='Resultats - informe'!$E$27),0,(C6029&gt;='Resultats - informe'!$D$28)*(C6029&lt;='Resultats - informe'!$E$28),0,(C6029&gt;='Resultats - informe'!$D$29)*(C6029&lt;='Resultats - informe'!$E$29),0,1,1)</f>
        <v>0</v>
      </c>
      <c r="N6029" s="366">
        <f>+VLOOKUP(D6029,'Resultats - informe'!$Y$18:$AG$42,'Introducció dades consum'!K6029+1,0)</f>
        <v>0</v>
      </c>
      <c r="O6029" s="370" cm="1">
        <f t="array" ref="O6029">+_xlfn.SWITCH(MONTH(C6029),1,1,2,1,3,1,4,2,5,2,6,3,7,3,8,3,9,3,10,2,11,2,12,1,2)</f>
        <v>1</v>
      </c>
      <c r="P6029" s="43"/>
    </row>
    <row r="6030" spans="1:16" ht="18" x14ac:dyDescent="0.35">
      <c r="A6030" s="9"/>
      <c r="C6030" s="393"/>
      <c r="E6030" s="394"/>
      <c r="F6030" s="394"/>
      <c r="G6030" s="394"/>
      <c r="I6030" s="368">
        <f t="shared" si="285"/>
        <v>0</v>
      </c>
      <c r="J6030" s="365">
        <f t="shared" si="286"/>
        <v>0</v>
      </c>
      <c r="K6030" s="369">
        <f t="shared" si="287"/>
        <v>6</v>
      </c>
      <c r="L6030" s="369">
        <f>+IF((C6030&gt;='Resultats - informe'!$E$16)*(C6030&lt;='Resultats - informe'!$G$16),1,0)</f>
        <v>1</v>
      </c>
      <c r="M6030" s="369" cm="1">
        <f t="array" ref="M6030">+_xlfn.IFS((C6030&gt;='Resultats - informe'!$D$26)*(C6030&lt;='Resultats - informe'!$E$26),0,(C6030&gt;='Resultats - informe'!$D$27)*(C6030&lt;='Resultats - informe'!$E$27),0,(C6030&gt;='Resultats - informe'!$D$28)*(C6030&lt;='Resultats - informe'!$E$28),0,(C6030&gt;='Resultats - informe'!$D$29)*(C6030&lt;='Resultats - informe'!$E$29),0,1,1)</f>
        <v>0</v>
      </c>
      <c r="N6030" s="366">
        <f>+VLOOKUP(D6030,'Resultats - informe'!$Y$18:$AG$42,'Introducció dades consum'!K6030+1,0)</f>
        <v>0</v>
      </c>
      <c r="O6030" s="370" cm="1">
        <f t="array" ref="O6030">+_xlfn.SWITCH(MONTH(C6030),1,1,2,1,3,1,4,2,5,2,6,3,7,3,8,3,9,3,10,2,11,2,12,1,2)</f>
        <v>1</v>
      </c>
      <c r="P6030" s="43"/>
    </row>
    <row r="6031" spans="1:16" ht="18" x14ac:dyDescent="0.35">
      <c r="A6031" s="9"/>
      <c r="C6031" s="393"/>
      <c r="E6031" s="394"/>
      <c r="F6031" s="394"/>
      <c r="G6031" s="394"/>
      <c r="I6031" s="368">
        <f t="shared" si="285"/>
        <v>0</v>
      </c>
      <c r="J6031" s="365">
        <f t="shared" si="286"/>
        <v>0</v>
      </c>
      <c r="K6031" s="369">
        <f t="shared" si="287"/>
        <v>6</v>
      </c>
      <c r="L6031" s="369">
        <f>+IF((C6031&gt;='Resultats - informe'!$E$16)*(C6031&lt;='Resultats - informe'!$G$16),1,0)</f>
        <v>1</v>
      </c>
      <c r="M6031" s="369" cm="1">
        <f t="array" ref="M6031">+_xlfn.IFS((C6031&gt;='Resultats - informe'!$D$26)*(C6031&lt;='Resultats - informe'!$E$26),0,(C6031&gt;='Resultats - informe'!$D$27)*(C6031&lt;='Resultats - informe'!$E$27),0,(C6031&gt;='Resultats - informe'!$D$28)*(C6031&lt;='Resultats - informe'!$E$28),0,(C6031&gt;='Resultats - informe'!$D$29)*(C6031&lt;='Resultats - informe'!$E$29),0,1,1)</f>
        <v>0</v>
      </c>
      <c r="N6031" s="366">
        <f>+VLOOKUP(D6031,'Resultats - informe'!$Y$18:$AG$42,'Introducció dades consum'!K6031+1,0)</f>
        <v>0</v>
      </c>
      <c r="O6031" s="370" cm="1">
        <f t="array" ref="O6031">+_xlfn.SWITCH(MONTH(C6031),1,1,2,1,3,1,4,2,5,2,6,3,7,3,8,3,9,3,10,2,11,2,12,1,2)</f>
        <v>1</v>
      </c>
      <c r="P6031" s="43"/>
    </row>
    <row r="6032" spans="1:16" ht="18" x14ac:dyDescent="0.35">
      <c r="A6032" s="9"/>
      <c r="C6032" s="393"/>
      <c r="E6032" s="394"/>
      <c r="F6032" s="394"/>
      <c r="G6032" s="394"/>
      <c r="I6032" s="368">
        <f t="shared" si="285"/>
        <v>0</v>
      </c>
      <c r="J6032" s="365">
        <f t="shared" si="286"/>
        <v>0</v>
      </c>
      <c r="K6032" s="369">
        <f t="shared" si="287"/>
        <v>6</v>
      </c>
      <c r="L6032" s="369">
        <f>+IF((C6032&gt;='Resultats - informe'!$E$16)*(C6032&lt;='Resultats - informe'!$G$16),1,0)</f>
        <v>1</v>
      </c>
      <c r="M6032" s="369" cm="1">
        <f t="array" ref="M6032">+_xlfn.IFS((C6032&gt;='Resultats - informe'!$D$26)*(C6032&lt;='Resultats - informe'!$E$26),0,(C6032&gt;='Resultats - informe'!$D$27)*(C6032&lt;='Resultats - informe'!$E$27),0,(C6032&gt;='Resultats - informe'!$D$28)*(C6032&lt;='Resultats - informe'!$E$28),0,(C6032&gt;='Resultats - informe'!$D$29)*(C6032&lt;='Resultats - informe'!$E$29),0,1,1)</f>
        <v>0</v>
      </c>
      <c r="N6032" s="366">
        <f>+VLOOKUP(D6032,'Resultats - informe'!$Y$18:$AG$42,'Introducció dades consum'!K6032+1,0)</f>
        <v>0</v>
      </c>
      <c r="O6032" s="370" cm="1">
        <f t="array" ref="O6032">+_xlfn.SWITCH(MONTH(C6032),1,1,2,1,3,1,4,2,5,2,6,3,7,3,8,3,9,3,10,2,11,2,12,1,2)</f>
        <v>1</v>
      </c>
      <c r="P6032" s="43"/>
    </row>
    <row r="6033" spans="1:16" ht="18" x14ac:dyDescent="0.35">
      <c r="A6033" s="9"/>
      <c r="C6033" s="393"/>
      <c r="E6033" s="394"/>
      <c r="F6033" s="394"/>
      <c r="G6033" s="394"/>
      <c r="I6033" s="368">
        <f t="shared" si="285"/>
        <v>0</v>
      </c>
      <c r="J6033" s="365">
        <f t="shared" si="286"/>
        <v>0</v>
      </c>
      <c r="K6033" s="369">
        <f t="shared" si="287"/>
        <v>6</v>
      </c>
      <c r="L6033" s="369">
        <f>+IF((C6033&gt;='Resultats - informe'!$E$16)*(C6033&lt;='Resultats - informe'!$G$16),1,0)</f>
        <v>1</v>
      </c>
      <c r="M6033" s="369" cm="1">
        <f t="array" ref="M6033">+_xlfn.IFS((C6033&gt;='Resultats - informe'!$D$26)*(C6033&lt;='Resultats - informe'!$E$26),0,(C6033&gt;='Resultats - informe'!$D$27)*(C6033&lt;='Resultats - informe'!$E$27),0,(C6033&gt;='Resultats - informe'!$D$28)*(C6033&lt;='Resultats - informe'!$E$28),0,(C6033&gt;='Resultats - informe'!$D$29)*(C6033&lt;='Resultats - informe'!$E$29),0,1,1)</f>
        <v>0</v>
      </c>
      <c r="N6033" s="366">
        <f>+VLOOKUP(D6033,'Resultats - informe'!$Y$18:$AG$42,'Introducció dades consum'!K6033+1,0)</f>
        <v>0</v>
      </c>
      <c r="O6033" s="370" cm="1">
        <f t="array" ref="O6033">+_xlfn.SWITCH(MONTH(C6033),1,1,2,1,3,1,4,2,5,2,6,3,7,3,8,3,9,3,10,2,11,2,12,1,2)</f>
        <v>1</v>
      </c>
      <c r="P6033" s="43"/>
    </row>
    <row r="6034" spans="1:16" ht="18" x14ac:dyDescent="0.35">
      <c r="A6034" s="9"/>
      <c r="C6034" s="393"/>
      <c r="E6034" s="394"/>
      <c r="F6034" s="394"/>
      <c r="G6034" s="394"/>
      <c r="I6034" s="368">
        <f t="shared" ref="I6034:I6097" si="288">+E6034+G6034</f>
        <v>0</v>
      </c>
      <c r="J6034" s="365">
        <f t="shared" ref="J6034:J6097" si="289">+C6034</f>
        <v>0</v>
      </c>
      <c r="K6034" s="369">
        <f t="shared" ref="K6034:K6097" si="290">+WEEKDAY(C6034,2)</f>
        <v>6</v>
      </c>
      <c r="L6034" s="369">
        <f>+IF((C6034&gt;='Resultats - informe'!$E$16)*(C6034&lt;='Resultats - informe'!$G$16),1,0)</f>
        <v>1</v>
      </c>
      <c r="M6034" s="369" cm="1">
        <f t="array" ref="M6034">+_xlfn.IFS((C6034&gt;='Resultats - informe'!$D$26)*(C6034&lt;='Resultats - informe'!$E$26),0,(C6034&gt;='Resultats - informe'!$D$27)*(C6034&lt;='Resultats - informe'!$E$27),0,(C6034&gt;='Resultats - informe'!$D$28)*(C6034&lt;='Resultats - informe'!$E$28),0,(C6034&gt;='Resultats - informe'!$D$29)*(C6034&lt;='Resultats - informe'!$E$29),0,1,1)</f>
        <v>0</v>
      </c>
      <c r="N6034" s="366">
        <f>+VLOOKUP(D6034,'Resultats - informe'!$Y$18:$AG$42,'Introducció dades consum'!K6034+1,0)</f>
        <v>0</v>
      </c>
      <c r="O6034" s="370" cm="1">
        <f t="array" ref="O6034">+_xlfn.SWITCH(MONTH(C6034),1,1,2,1,3,1,4,2,5,2,6,3,7,3,8,3,9,3,10,2,11,2,12,1,2)</f>
        <v>1</v>
      </c>
      <c r="P6034" s="43"/>
    </row>
    <row r="6035" spans="1:16" ht="18" x14ac:dyDescent="0.35">
      <c r="A6035" s="9"/>
      <c r="C6035" s="393"/>
      <c r="E6035" s="394"/>
      <c r="F6035" s="394"/>
      <c r="G6035" s="394"/>
      <c r="I6035" s="368">
        <f t="shared" si="288"/>
        <v>0</v>
      </c>
      <c r="J6035" s="365">
        <f t="shared" si="289"/>
        <v>0</v>
      </c>
      <c r="K6035" s="369">
        <f t="shared" si="290"/>
        <v>6</v>
      </c>
      <c r="L6035" s="369">
        <f>+IF((C6035&gt;='Resultats - informe'!$E$16)*(C6035&lt;='Resultats - informe'!$G$16),1,0)</f>
        <v>1</v>
      </c>
      <c r="M6035" s="369" cm="1">
        <f t="array" ref="M6035">+_xlfn.IFS((C6035&gt;='Resultats - informe'!$D$26)*(C6035&lt;='Resultats - informe'!$E$26),0,(C6035&gt;='Resultats - informe'!$D$27)*(C6035&lt;='Resultats - informe'!$E$27),0,(C6035&gt;='Resultats - informe'!$D$28)*(C6035&lt;='Resultats - informe'!$E$28),0,(C6035&gt;='Resultats - informe'!$D$29)*(C6035&lt;='Resultats - informe'!$E$29),0,1,1)</f>
        <v>0</v>
      </c>
      <c r="N6035" s="366">
        <f>+VLOOKUP(D6035,'Resultats - informe'!$Y$18:$AG$42,'Introducció dades consum'!K6035+1,0)</f>
        <v>0</v>
      </c>
      <c r="O6035" s="370" cm="1">
        <f t="array" ref="O6035">+_xlfn.SWITCH(MONTH(C6035),1,1,2,1,3,1,4,2,5,2,6,3,7,3,8,3,9,3,10,2,11,2,12,1,2)</f>
        <v>1</v>
      </c>
      <c r="P6035" s="43"/>
    </row>
    <row r="6036" spans="1:16" ht="18" x14ac:dyDescent="0.35">
      <c r="A6036" s="9"/>
      <c r="C6036" s="393"/>
      <c r="E6036" s="394"/>
      <c r="F6036" s="394"/>
      <c r="G6036" s="394"/>
      <c r="I6036" s="368">
        <f t="shared" si="288"/>
        <v>0</v>
      </c>
      <c r="J6036" s="365">
        <f t="shared" si="289"/>
        <v>0</v>
      </c>
      <c r="K6036" s="369">
        <f t="shared" si="290"/>
        <v>6</v>
      </c>
      <c r="L6036" s="369">
        <f>+IF((C6036&gt;='Resultats - informe'!$E$16)*(C6036&lt;='Resultats - informe'!$G$16),1,0)</f>
        <v>1</v>
      </c>
      <c r="M6036" s="369" cm="1">
        <f t="array" ref="M6036">+_xlfn.IFS((C6036&gt;='Resultats - informe'!$D$26)*(C6036&lt;='Resultats - informe'!$E$26),0,(C6036&gt;='Resultats - informe'!$D$27)*(C6036&lt;='Resultats - informe'!$E$27),0,(C6036&gt;='Resultats - informe'!$D$28)*(C6036&lt;='Resultats - informe'!$E$28),0,(C6036&gt;='Resultats - informe'!$D$29)*(C6036&lt;='Resultats - informe'!$E$29),0,1,1)</f>
        <v>0</v>
      </c>
      <c r="N6036" s="366">
        <f>+VLOOKUP(D6036,'Resultats - informe'!$Y$18:$AG$42,'Introducció dades consum'!K6036+1,0)</f>
        <v>0</v>
      </c>
      <c r="O6036" s="370" cm="1">
        <f t="array" ref="O6036">+_xlfn.SWITCH(MONTH(C6036),1,1,2,1,3,1,4,2,5,2,6,3,7,3,8,3,9,3,10,2,11,2,12,1,2)</f>
        <v>1</v>
      </c>
      <c r="P6036" s="43"/>
    </row>
    <row r="6037" spans="1:16" ht="18" x14ac:dyDescent="0.35">
      <c r="A6037" s="9"/>
      <c r="C6037" s="393"/>
      <c r="E6037" s="394"/>
      <c r="F6037" s="394"/>
      <c r="G6037" s="394"/>
      <c r="I6037" s="368">
        <f t="shared" si="288"/>
        <v>0</v>
      </c>
      <c r="J6037" s="365">
        <f t="shared" si="289"/>
        <v>0</v>
      </c>
      <c r="K6037" s="369">
        <f t="shared" si="290"/>
        <v>6</v>
      </c>
      <c r="L6037" s="369">
        <f>+IF((C6037&gt;='Resultats - informe'!$E$16)*(C6037&lt;='Resultats - informe'!$G$16),1,0)</f>
        <v>1</v>
      </c>
      <c r="M6037" s="369" cm="1">
        <f t="array" ref="M6037">+_xlfn.IFS((C6037&gt;='Resultats - informe'!$D$26)*(C6037&lt;='Resultats - informe'!$E$26),0,(C6037&gt;='Resultats - informe'!$D$27)*(C6037&lt;='Resultats - informe'!$E$27),0,(C6037&gt;='Resultats - informe'!$D$28)*(C6037&lt;='Resultats - informe'!$E$28),0,(C6037&gt;='Resultats - informe'!$D$29)*(C6037&lt;='Resultats - informe'!$E$29),0,1,1)</f>
        <v>0</v>
      </c>
      <c r="N6037" s="366">
        <f>+VLOOKUP(D6037,'Resultats - informe'!$Y$18:$AG$42,'Introducció dades consum'!K6037+1,0)</f>
        <v>0</v>
      </c>
      <c r="O6037" s="370" cm="1">
        <f t="array" ref="O6037">+_xlfn.SWITCH(MONTH(C6037),1,1,2,1,3,1,4,2,5,2,6,3,7,3,8,3,9,3,10,2,11,2,12,1,2)</f>
        <v>1</v>
      </c>
      <c r="P6037" s="43"/>
    </row>
    <row r="6038" spans="1:16" ht="18" x14ac:dyDescent="0.35">
      <c r="A6038" s="9"/>
      <c r="C6038" s="393"/>
      <c r="E6038" s="394"/>
      <c r="F6038" s="394"/>
      <c r="G6038" s="394"/>
      <c r="I6038" s="368">
        <f t="shared" si="288"/>
        <v>0</v>
      </c>
      <c r="J6038" s="365">
        <f t="shared" si="289"/>
        <v>0</v>
      </c>
      <c r="K6038" s="369">
        <f t="shared" si="290"/>
        <v>6</v>
      </c>
      <c r="L6038" s="369">
        <f>+IF((C6038&gt;='Resultats - informe'!$E$16)*(C6038&lt;='Resultats - informe'!$G$16),1,0)</f>
        <v>1</v>
      </c>
      <c r="M6038" s="369" cm="1">
        <f t="array" ref="M6038">+_xlfn.IFS((C6038&gt;='Resultats - informe'!$D$26)*(C6038&lt;='Resultats - informe'!$E$26),0,(C6038&gt;='Resultats - informe'!$D$27)*(C6038&lt;='Resultats - informe'!$E$27),0,(C6038&gt;='Resultats - informe'!$D$28)*(C6038&lt;='Resultats - informe'!$E$28),0,(C6038&gt;='Resultats - informe'!$D$29)*(C6038&lt;='Resultats - informe'!$E$29),0,1,1)</f>
        <v>0</v>
      </c>
      <c r="N6038" s="366">
        <f>+VLOOKUP(D6038,'Resultats - informe'!$Y$18:$AG$42,'Introducció dades consum'!K6038+1,0)</f>
        <v>0</v>
      </c>
      <c r="O6038" s="370" cm="1">
        <f t="array" ref="O6038">+_xlfn.SWITCH(MONTH(C6038),1,1,2,1,3,1,4,2,5,2,6,3,7,3,8,3,9,3,10,2,11,2,12,1,2)</f>
        <v>1</v>
      </c>
      <c r="P6038" s="43"/>
    </row>
    <row r="6039" spans="1:16" ht="18" x14ac:dyDescent="0.35">
      <c r="A6039" s="9"/>
      <c r="C6039" s="393"/>
      <c r="E6039" s="394"/>
      <c r="F6039" s="394"/>
      <c r="G6039" s="394"/>
      <c r="I6039" s="368">
        <f t="shared" si="288"/>
        <v>0</v>
      </c>
      <c r="J6039" s="365">
        <f t="shared" si="289"/>
        <v>0</v>
      </c>
      <c r="K6039" s="369">
        <f t="shared" si="290"/>
        <v>6</v>
      </c>
      <c r="L6039" s="369">
        <f>+IF((C6039&gt;='Resultats - informe'!$E$16)*(C6039&lt;='Resultats - informe'!$G$16),1,0)</f>
        <v>1</v>
      </c>
      <c r="M6039" s="369" cm="1">
        <f t="array" ref="M6039">+_xlfn.IFS((C6039&gt;='Resultats - informe'!$D$26)*(C6039&lt;='Resultats - informe'!$E$26),0,(C6039&gt;='Resultats - informe'!$D$27)*(C6039&lt;='Resultats - informe'!$E$27),0,(C6039&gt;='Resultats - informe'!$D$28)*(C6039&lt;='Resultats - informe'!$E$28),0,(C6039&gt;='Resultats - informe'!$D$29)*(C6039&lt;='Resultats - informe'!$E$29),0,1,1)</f>
        <v>0</v>
      </c>
      <c r="N6039" s="366">
        <f>+VLOOKUP(D6039,'Resultats - informe'!$Y$18:$AG$42,'Introducció dades consum'!K6039+1,0)</f>
        <v>0</v>
      </c>
      <c r="O6039" s="370" cm="1">
        <f t="array" ref="O6039">+_xlfn.SWITCH(MONTH(C6039),1,1,2,1,3,1,4,2,5,2,6,3,7,3,8,3,9,3,10,2,11,2,12,1,2)</f>
        <v>1</v>
      </c>
      <c r="P6039" s="43"/>
    </row>
    <row r="6040" spans="1:16" ht="18" x14ac:dyDescent="0.35">
      <c r="A6040" s="9"/>
      <c r="C6040" s="393"/>
      <c r="E6040" s="394"/>
      <c r="F6040" s="394"/>
      <c r="G6040" s="394"/>
      <c r="I6040" s="368">
        <f t="shared" si="288"/>
        <v>0</v>
      </c>
      <c r="J6040" s="365">
        <f t="shared" si="289"/>
        <v>0</v>
      </c>
      <c r="K6040" s="369">
        <f t="shared" si="290"/>
        <v>6</v>
      </c>
      <c r="L6040" s="369">
        <f>+IF((C6040&gt;='Resultats - informe'!$E$16)*(C6040&lt;='Resultats - informe'!$G$16),1,0)</f>
        <v>1</v>
      </c>
      <c r="M6040" s="369" cm="1">
        <f t="array" ref="M6040">+_xlfn.IFS((C6040&gt;='Resultats - informe'!$D$26)*(C6040&lt;='Resultats - informe'!$E$26),0,(C6040&gt;='Resultats - informe'!$D$27)*(C6040&lt;='Resultats - informe'!$E$27),0,(C6040&gt;='Resultats - informe'!$D$28)*(C6040&lt;='Resultats - informe'!$E$28),0,(C6040&gt;='Resultats - informe'!$D$29)*(C6040&lt;='Resultats - informe'!$E$29),0,1,1)</f>
        <v>0</v>
      </c>
      <c r="N6040" s="366">
        <f>+VLOOKUP(D6040,'Resultats - informe'!$Y$18:$AG$42,'Introducció dades consum'!K6040+1,0)</f>
        <v>0</v>
      </c>
      <c r="O6040" s="370" cm="1">
        <f t="array" ref="O6040">+_xlfn.SWITCH(MONTH(C6040),1,1,2,1,3,1,4,2,5,2,6,3,7,3,8,3,9,3,10,2,11,2,12,1,2)</f>
        <v>1</v>
      </c>
      <c r="P6040" s="43"/>
    </row>
    <row r="6041" spans="1:16" ht="18" x14ac:dyDescent="0.35">
      <c r="A6041" s="9"/>
      <c r="C6041" s="393"/>
      <c r="E6041" s="394"/>
      <c r="F6041" s="394"/>
      <c r="G6041" s="394"/>
      <c r="I6041" s="368">
        <f t="shared" si="288"/>
        <v>0</v>
      </c>
      <c r="J6041" s="365">
        <f t="shared" si="289"/>
        <v>0</v>
      </c>
      <c r="K6041" s="369">
        <f t="shared" si="290"/>
        <v>6</v>
      </c>
      <c r="L6041" s="369">
        <f>+IF((C6041&gt;='Resultats - informe'!$E$16)*(C6041&lt;='Resultats - informe'!$G$16),1,0)</f>
        <v>1</v>
      </c>
      <c r="M6041" s="369" cm="1">
        <f t="array" ref="M6041">+_xlfn.IFS((C6041&gt;='Resultats - informe'!$D$26)*(C6041&lt;='Resultats - informe'!$E$26),0,(C6041&gt;='Resultats - informe'!$D$27)*(C6041&lt;='Resultats - informe'!$E$27),0,(C6041&gt;='Resultats - informe'!$D$28)*(C6041&lt;='Resultats - informe'!$E$28),0,(C6041&gt;='Resultats - informe'!$D$29)*(C6041&lt;='Resultats - informe'!$E$29),0,1,1)</f>
        <v>0</v>
      </c>
      <c r="N6041" s="366">
        <f>+VLOOKUP(D6041,'Resultats - informe'!$Y$18:$AG$42,'Introducció dades consum'!K6041+1,0)</f>
        <v>0</v>
      </c>
      <c r="O6041" s="370" cm="1">
        <f t="array" ref="O6041">+_xlfn.SWITCH(MONTH(C6041),1,1,2,1,3,1,4,2,5,2,6,3,7,3,8,3,9,3,10,2,11,2,12,1,2)</f>
        <v>1</v>
      </c>
      <c r="P6041" s="43"/>
    </row>
    <row r="6042" spans="1:16" ht="18" x14ac:dyDescent="0.35">
      <c r="A6042" s="9"/>
      <c r="C6042" s="393"/>
      <c r="E6042" s="394"/>
      <c r="F6042" s="394"/>
      <c r="G6042" s="394"/>
      <c r="I6042" s="368">
        <f t="shared" si="288"/>
        <v>0</v>
      </c>
      <c r="J6042" s="365">
        <f t="shared" si="289"/>
        <v>0</v>
      </c>
      <c r="K6042" s="369">
        <f t="shared" si="290"/>
        <v>6</v>
      </c>
      <c r="L6042" s="369">
        <f>+IF((C6042&gt;='Resultats - informe'!$E$16)*(C6042&lt;='Resultats - informe'!$G$16),1,0)</f>
        <v>1</v>
      </c>
      <c r="M6042" s="369" cm="1">
        <f t="array" ref="M6042">+_xlfn.IFS((C6042&gt;='Resultats - informe'!$D$26)*(C6042&lt;='Resultats - informe'!$E$26),0,(C6042&gt;='Resultats - informe'!$D$27)*(C6042&lt;='Resultats - informe'!$E$27),0,(C6042&gt;='Resultats - informe'!$D$28)*(C6042&lt;='Resultats - informe'!$E$28),0,(C6042&gt;='Resultats - informe'!$D$29)*(C6042&lt;='Resultats - informe'!$E$29),0,1,1)</f>
        <v>0</v>
      </c>
      <c r="N6042" s="366">
        <f>+VLOOKUP(D6042,'Resultats - informe'!$Y$18:$AG$42,'Introducció dades consum'!K6042+1,0)</f>
        <v>0</v>
      </c>
      <c r="O6042" s="370" cm="1">
        <f t="array" ref="O6042">+_xlfn.SWITCH(MONTH(C6042),1,1,2,1,3,1,4,2,5,2,6,3,7,3,8,3,9,3,10,2,11,2,12,1,2)</f>
        <v>1</v>
      </c>
      <c r="P6042" s="43"/>
    </row>
    <row r="6043" spans="1:16" ht="18" x14ac:dyDescent="0.35">
      <c r="A6043" s="9"/>
      <c r="C6043" s="393"/>
      <c r="E6043" s="394"/>
      <c r="F6043" s="394"/>
      <c r="G6043" s="394"/>
      <c r="I6043" s="368">
        <f t="shared" si="288"/>
        <v>0</v>
      </c>
      <c r="J6043" s="365">
        <f t="shared" si="289"/>
        <v>0</v>
      </c>
      <c r="K6043" s="369">
        <f t="shared" si="290"/>
        <v>6</v>
      </c>
      <c r="L6043" s="369">
        <f>+IF((C6043&gt;='Resultats - informe'!$E$16)*(C6043&lt;='Resultats - informe'!$G$16),1,0)</f>
        <v>1</v>
      </c>
      <c r="M6043" s="369" cm="1">
        <f t="array" ref="M6043">+_xlfn.IFS((C6043&gt;='Resultats - informe'!$D$26)*(C6043&lt;='Resultats - informe'!$E$26),0,(C6043&gt;='Resultats - informe'!$D$27)*(C6043&lt;='Resultats - informe'!$E$27),0,(C6043&gt;='Resultats - informe'!$D$28)*(C6043&lt;='Resultats - informe'!$E$28),0,(C6043&gt;='Resultats - informe'!$D$29)*(C6043&lt;='Resultats - informe'!$E$29),0,1,1)</f>
        <v>0</v>
      </c>
      <c r="N6043" s="366">
        <f>+VLOOKUP(D6043,'Resultats - informe'!$Y$18:$AG$42,'Introducció dades consum'!K6043+1,0)</f>
        <v>0</v>
      </c>
      <c r="O6043" s="370" cm="1">
        <f t="array" ref="O6043">+_xlfn.SWITCH(MONTH(C6043),1,1,2,1,3,1,4,2,5,2,6,3,7,3,8,3,9,3,10,2,11,2,12,1,2)</f>
        <v>1</v>
      </c>
      <c r="P6043" s="43"/>
    </row>
    <row r="6044" spans="1:16" ht="18" x14ac:dyDescent="0.35">
      <c r="A6044" s="9"/>
      <c r="C6044" s="393"/>
      <c r="E6044" s="394"/>
      <c r="F6044" s="394"/>
      <c r="G6044" s="394"/>
      <c r="I6044" s="368">
        <f t="shared" si="288"/>
        <v>0</v>
      </c>
      <c r="J6044" s="365">
        <f t="shared" si="289"/>
        <v>0</v>
      </c>
      <c r="K6044" s="369">
        <f t="shared" si="290"/>
        <v>6</v>
      </c>
      <c r="L6044" s="369">
        <f>+IF((C6044&gt;='Resultats - informe'!$E$16)*(C6044&lt;='Resultats - informe'!$G$16),1,0)</f>
        <v>1</v>
      </c>
      <c r="M6044" s="369" cm="1">
        <f t="array" ref="M6044">+_xlfn.IFS((C6044&gt;='Resultats - informe'!$D$26)*(C6044&lt;='Resultats - informe'!$E$26),0,(C6044&gt;='Resultats - informe'!$D$27)*(C6044&lt;='Resultats - informe'!$E$27),0,(C6044&gt;='Resultats - informe'!$D$28)*(C6044&lt;='Resultats - informe'!$E$28),0,(C6044&gt;='Resultats - informe'!$D$29)*(C6044&lt;='Resultats - informe'!$E$29),0,1,1)</f>
        <v>0</v>
      </c>
      <c r="N6044" s="366">
        <f>+VLOOKUP(D6044,'Resultats - informe'!$Y$18:$AG$42,'Introducció dades consum'!K6044+1,0)</f>
        <v>0</v>
      </c>
      <c r="O6044" s="370" cm="1">
        <f t="array" ref="O6044">+_xlfn.SWITCH(MONTH(C6044),1,1,2,1,3,1,4,2,5,2,6,3,7,3,8,3,9,3,10,2,11,2,12,1,2)</f>
        <v>1</v>
      </c>
      <c r="P6044" s="43"/>
    </row>
    <row r="6045" spans="1:16" ht="18" x14ac:dyDescent="0.35">
      <c r="A6045" s="9"/>
      <c r="C6045" s="393"/>
      <c r="E6045" s="394"/>
      <c r="F6045" s="394"/>
      <c r="G6045" s="394"/>
      <c r="I6045" s="368">
        <f t="shared" si="288"/>
        <v>0</v>
      </c>
      <c r="J6045" s="365">
        <f t="shared" si="289"/>
        <v>0</v>
      </c>
      <c r="K6045" s="369">
        <f t="shared" si="290"/>
        <v>6</v>
      </c>
      <c r="L6045" s="369">
        <f>+IF((C6045&gt;='Resultats - informe'!$E$16)*(C6045&lt;='Resultats - informe'!$G$16),1,0)</f>
        <v>1</v>
      </c>
      <c r="M6045" s="369" cm="1">
        <f t="array" ref="M6045">+_xlfn.IFS((C6045&gt;='Resultats - informe'!$D$26)*(C6045&lt;='Resultats - informe'!$E$26),0,(C6045&gt;='Resultats - informe'!$D$27)*(C6045&lt;='Resultats - informe'!$E$27),0,(C6045&gt;='Resultats - informe'!$D$28)*(C6045&lt;='Resultats - informe'!$E$28),0,(C6045&gt;='Resultats - informe'!$D$29)*(C6045&lt;='Resultats - informe'!$E$29),0,1,1)</f>
        <v>0</v>
      </c>
      <c r="N6045" s="366">
        <f>+VLOOKUP(D6045,'Resultats - informe'!$Y$18:$AG$42,'Introducció dades consum'!K6045+1,0)</f>
        <v>0</v>
      </c>
      <c r="O6045" s="370" cm="1">
        <f t="array" ref="O6045">+_xlfn.SWITCH(MONTH(C6045),1,1,2,1,3,1,4,2,5,2,6,3,7,3,8,3,9,3,10,2,11,2,12,1,2)</f>
        <v>1</v>
      </c>
      <c r="P6045" s="43"/>
    </row>
    <row r="6046" spans="1:16" ht="18" x14ac:dyDescent="0.35">
      <c r="A6046" s="9"/>
      <c r="C6046" s="393"/>
      <c r="E6046" s="394"/>
      <c r="F6046" s="394"/>
      <c r="G6046" s="394"/>
      <c r="I6046" s="368">
        <f t="shared" si="288"/>
        <v>0</v>
      </c>
      <c r="J6046" s="365">
        <f t="shared" si="289"/>
        <v>0</v>
      </c>
      <c r="K6046" s="369">
        <f t="shared" si="290"/>
        <v>6</v>
      </c>
      <c r="L6046" s="369">
        <f>+IF((C6046&gt;='Resultats - informe'!$E$16)*(C6046&lt;='Resultats - informe'!$G$16),1,0)</f>
        <v>1</v>
      </c>
      <c r="M6046" s="369" cm="1">
        <f t="array" ref="M6046">+_xlfn.IFS((C6046&gt;='Resultats - informe'!$D$26)*(C6046&lt;='Resultats - informe'!$E$26),0,(C6046&gt;='Resultats - informe'!$D$27)*(C6046&lt;='Resultats - informe'!$E$27),0,(C6046&gt;='Resultats - informe'!$D$28)*(C6046&lt;='Resultats - informe'!$E$28),0,(C6046&gt;='Resultats - informe'!$D$29)*(C6046&lt;='Resultats - informe'!$E$29),0,1,1)</f>
        <v>0</v>
      </c>
      <c r="N6046" s="366">
        <f>+VLOOKUP(D6046,'Resultats - informe'!$Y$18:$AG$42,'Introducció dades consum'!K6046+1,0)</f>
        <v>0</v>
      </c>
      <c r="O6046" s="370" cm="1">
        <f t="array" ref="O6046">+_xlfn.SWITCH(MONTH(C6046),1,1,2,1,3,1,4,2,5,2,6,3,7,3,8,3,9,3,10,2,11,2,12,1,2)</f>
        <v>1</v>
      </c>
      <c r="P6046" s="43"/>
    </row>
    <row r="6047" spans="1:16" ht="18" x14ac:dyDescent="0.35">
      <c r="A6047" s="9"/>
      <c r="C6047" s="393"/>
      <c r="E6047" s="394"/>
      <c r="F6047" s="394"/>
      <c r="G6047" s="394"/>
      <c r="I6047" s="368">
        <f t="shared" si="288"/>
        <v>0</v>
      </c>
      <c r="J6047" s="365">
        <f t="shared" si="289"/>
        <v>0</v>
      </c>
      <c r="K6047" s="369">
        <f t="shared" si="290"/>
        <v>6</v>
      </c>
      <c r="L6047" s="369">
        <f>+IF((C6047&gt;='Resultats - informe'!$E$16)*(C6047&lt;='Resultats - informe'!$G$16),1,0)</f>
        <v>1</v>
      </c>
      <c r="M6047" s="369" cm="1">
        <f t="array" ref="M6047">+_xlfn.IFS((C6047&gt;='Resultats - informe'!$D$26)*(C6047&lt;='Resultats - informe'!$E$26),0,(C6047&gt;='Resultats - informe'!$D$27)*(C6047&lt;='Resultats - informe'!$E$27),0,(C6047&gt;='Resultats - informe'!$D$28)*(C6047&lt;='Resultats - informe'!$E$28),0,(C6047&gt;='Resultats - informe'!$D$29)*(C6047&lt;='Resultats - informe'!$E$29),0,1,1)</f>
        <v>0</v>
      </c>
      <c r="N6047" s="366">
        <f>+VLOOKUP(D6047,'Resultats - informe'!$Y$18:$AG$42,'Introducció dades consum'!K6047+1,0)</f>
        <v>0</v>
      </c>
      <c r="O6047" s="370" cm="1">
        <f t="array" ref="O6047">+_xlfn.SWITCH(MONTH(C6047),1,1,2,1,3,1,4,2,5,2,6,3,7,3,8,3,9,3,10,2,11,2,12,1,2)</f>
        <v>1</v>
      </c>
      <c r="P6047" s="43"/>
    </row>
    <row r="6048" spans="1:16" ht="18" x14ac:dyDescent="0.35">
      <c r="A6048" s="9"/>
      <c r="C6048" s="393"/>
      <c r="E6048" s="394"/>
      <c r="F6048" s="394"/>
      <c r="G6048" s="394"/>
      <c r="I6048" s="368">
        <f t="shared" si="288"/>
        <v>0</v>
      </c>
      <c r="J6048" s="365">
        <f t="shared" si="289"/>
        <v>0</v>
      </c>
      <c r="K6048" s="369">
        <f t="shared" si="290"/>
        <v>6</v>
      </c>
      <c r="L6048" s="369">
        <f>+IF((C6048&gt;='Resultats - informe'!$E$16)*(C6048&lt;='Resultats - informe'!$G$16),1,0)</f>
        <v>1</v>
      </c>
      <c r="M6048" s="369" cm="1">
        <f t="array" ref="M6048">+_xlfn.IFS((C6048&gt;='Resultats - informe'!$D$26)*(C6048&lt;='Resultats - informe'!$E$26),0,(C6048&gt;='Resultats - informe'!$D$27)*(C6048&lt;='Resultats - informe'!$E$27),0,(C6048&gt;='Resultats - informe'!$D$28)*(C6048&lt;='Resultats - informe'!$E$28),0,(C6048&gt;='Resultats - informe'!$D$29)*(C6048&lt;='Resultats - informe'!$E$29),0,1,1)</f>
        <v>0</v>
      </c>
      <c r="N6048" s="366">
        <f>+VLOOKUP(D6048,'Resultats - informe'!$Y$18:$AG$42,'Introducció dades consum'!K6048+1,0)</f>
        <v>0</v>
      </c>
      <c r="O6048" s="370" cm="1">
        <f t="array" ref="O6048">+_xlfn.SWITCH(MONTH(C6048),1,1,2,1,3,1,4,2,5,2,6,3,7,3,8,3,9,3,10,2,11,2,12,1,2)</f>
        <v>1</v>
      </c>
      <c r="P6048" s="43"/>
    </row>
    <row r="6049" spans="1:16" ht="18" x14ac:dyDescent="0.35">
      <c r="A6049" s="9"/>
      <c r="C6049" s="393"/>
      <c r="E6049" s="394"/>
      <c r="F6049" s="394"/>
      <c r="G6049" s="394"/>
      <c r="I6049" s="368">
        <f t="shared" si="288"/>
        <v>0</v>
      </c>
      <c r="J6049" s="365">
        <f t="shared" si="289"/>
        <v>0</v>
      </c>
      <c r="K6049" s="369">
        <f t="shared" si="290"/>
        <v>6</v>
      </c>
      <c r="L6049" s="369">
        <f>+IF((C6049&gt;='Resultats - informe'!$E$16)*(C6049&lt;='Resultats - informe'!$G$16),1,0)</f>
        <v>1</v>
      </c>
      <c r="M6049" s="369" cm="1">
        <f t="array" ref="M6049">+_xlfn.IFS((C6049&gt;='Resultats - informe'!$D$26)*(C6049&lt;='Resultats - informe'!$E$26),0,(C6049&gt;='Resultats - informe'!$D$27)*(C6049&lt;='Resultats - informe'!$E$27),0,(C6049&gt;='Resultats - informe'!$D$28)*(C6049&lt;='Resultats - informe'!$E$28),0,(C6049&gt;='Resultats - informe'!$D$29)*(C6049&lt;='Resultats - informe'!$E$29),0,1,1)</f>
        <v>0</v>
      </c>
      <c r="N6049" s="366">
        <f>+VLOOKUP(D6049,'Resultats - informe'!$Y$18:$AG$42,'Introducció dades consum'!K6049+1,0)</f>
        <v>0</v>
      </c>
      <c r="O6049" s="370" cm="1">
        <f t="array" ref="O6049">+_xlfn.SWITCH(MONTH(C6049),1,1,2,1,3,1,4,2,5,2,6,3,7,3,8,3,9,3,10,2,11,2,12,1,2)</f>
        <v>1</v>
      </c>
      <c r="P6049" s="43"/>
    </row>
    <row r="6050" spans="1:16" ht="18" x14ac:dyDescent="0.35">
      <c r="A6050" s="9"/>
      <c r="C6050" s="393"/>
      <c r="E6050" s="394"/>
      <c r="F6050" s="394"/>
      <c r="G6050" s="394"/>
      <c r="I6050" s="368">
        <f t="shared" si="288"/>
        <v>0</v>
      </c>
      <c r="J6050" s="365">
        <f t="shared" si="289"/>
        <v>0</v>
      </c>
      <c r="K6050" s="369">
        <f t="shared" si="290"/>
        <v>6</v>
      </c>
      <c r="L6050" s="369">
        <f>+IF((C6050&gt;='Resultats - informe'!$E$16)*(C6050&lt;='Resultats - informe'!$G$16),1,0)</f>
        <v>1</v>
      </c>
      <c r="M6050" s="369" cm="1">
        <f t="array" ref="M6050">+_xlfn.IFS((C6050&gt;='Resultats - informe'!$D$26)*(C6050&lt;='Resultats - informe'!$E$26),0,(C6050&gt;='Resultats - informe'!$D$27)*(C6050&lt;='Resultats - informe'!$E$27),0,(C6050&gt;='Resultats - informe'!$D$28)*(C6050&lt;='Resultats - informe'!$E$28),0,(C6050&gt;='Resultats - informe'!$D$29)*(C6050&lt;='Resultats - informe'!$E$29),0,1,1)</f>
        <v>0</v>
      </c>
      <c r="N6050" s="366">
        <f>+VLOOKUP(D6050,'Resultats - informe'!$Y$18:$AG$42,'Introducció dades consum'!K6050+1,0)</f>
        <v>0</v>
      </c>
      <c r="O6050" s="370" cm="1">
        <f t="array" ref="O6050">+_xlfn.SWITCH(MONTH(C6050),1,1,2,1,3,1,4,2,5,2,6,3,7,3,8,3,9,3,10,2,11,2,12,1,2)</f>
        <v>1</v>
      </c>
      <c r="P6050" s="43"/>
    </row>
    <row r="6051" spans="1:16" ht="18" x14ac:dyDescent="0.35">
      <c r="A6051" s="9"/>
      <c r="C6051" s="393"/>
      <c r="E6051" s="394"/>
      <c r="F6051" s="394"/>
      <c r="G6051" s="394"/>
      <c r="I6051" s="368">
        <f t="shared" si="288"/>
        <v>0</v>
      </c>
      <c r="J6051" s="365">
        <f t="shared" si="289"/>
        <v>0</v>
      </c>
      <c r="K6051" s="369">
        <f t="shared" si="290"/>
        <v>6</v>
      </c>
      <c r="L6051" s="369">
        <f>+IF((C6051&gt;='Resultats - informe'!$E$16)*(C6051&lt;='Resultats - informe'!$G$16),1,0)</f>
        <v>1</v>
      </c>
      <c r="M6051" s="369" cm="1">
        <f t="array" ref="M6051">+_xlfn.IFS((C6051&gt;='Resultats - informe'!$D$26)*(C6051&lt;='Resultats - informe'!$E$26),0,(C6051&gt;='Resultats - informe'!$D$27)*(C6051&lt;='Resultats - informe'!$E$27),0,(C6051&gt;='Resultats - informe'!$D$28)*(C6051&lt;='Resultats - informe'!$E$28),0,(C6051&gt;='Resultats - informe'!$D$29)*(C6051&lt;='Resultats - informe'!$E$29),0,1,1)</f>
        <v>0</v>
      </c>
      <c r="N6051" s="366">
        <f>+VLOOKUP(D6051,'Resultats - informe'!$Y$18:$AG$42,'Introducció dades consum'!K6051+1,0)</f>
        <v>0</v>
      </c>
      <c r="O6051" s="370" cm="1">
        <f t="array" ref="O6051">+_xlfn.SWITCH(MONTH(C6051),1,1,2,1,3,1,4,2,5,2,6,3,7,3,8,3,9,3,10,2,11,2,12,1,2)</f>
        <v>1</v>
      </c>
      <c r="P6051" s="43"/>
    </row>
    <row r="6052" spans="1:16" ht="18" x14ac:dyDescent="0.35">
      <c r="A6052" s="9"/>
      <c r="C6052" s="393"/>
      <c r="E6052" s="394"/>
      <c r="F6052" s="394"/>
      <c r="G6052" s="394"/>
      <c r="I6052" s="368">
        <f t="shared" si="288"/>
        <v>0</v>
      </c>
      <c r="J6052" s="365">
        <f t="shared" si="289"/>
        <v>0</v>
      </c>
      <c r="K6052" s="369">
        <f t="shared" si="290"/>
        <v>6</v>
      </c>
      <c r="L6052" s="369">
        <f>+IF((C6052&gt;='Resultats - informe'!$E$16)*(C6052&lt;='Resultats - informe'!$G$16),1,0)</f>
        <v>1</v>
      </c>
      <c r="M6052" s="369" cm="1">
        <f t="array" ref="M6052">+_xlfn.IFS((C6052&gt;='Resultats - informe'!$D$26)*(C6052&lt;='Resultats - informe'!$E$26),0,(C6052&gt;='Resultats - informe'!$D$27)*(C6052&lt;='Resultats - informe'!$E$27),0,(C6052&gt;='Resultats - informe'!$D$28)*(C6052&lt;='Resultats - informe'!$E$28),0,(C6052&gt;='Resultats - informe'!$D$29)*(C6052&lt;='Resultats - informe'!$E$29),0,1,1)</f>
        <v>0</v>
      </c>
      <c r="N6052" s="366">
        <f>+VLOOKUP(D6052,'Resultats - informe'!$Y$18:$AG$42,'Introducció dades consum'!K6052+1,0)</f>
        <v>0</v>
      </c>
      <c r="O6052" s="370" cm="1">
        <f t="array" ref="O6052">+_xlfn.SWITCH(MONTH(C6052),1,1,2,1,3,1,4,2,5,2,6,3,7,3,8,3,9,3,10,2,11,2,12,1,2)</f>
        <v>1</v>
      </c>
      <c r="P6052" s="43"/>
    </row>
    <row r="6053" spans="1:16" ht="18" x14ac:dyDescent="0.35">
      <c r="A6053" s="9"/>
      <c r="C6053" s="393"/>
      <c r="E6053" s="394"/>
      <c r="F6053" s="394"/>
      <c r="G6053" s="394"/>
      <c r="I6053" s="368">
        <f t="shared" si="288"/>
        <v>0</v>
      </c>
      <c r="J6053" s="365">
        <f t="shared" si="289"/>
        <v>0</v>
      </c>
      <c r="K6053" s="369">
        <f t="shared" si="290"/>
        <v>6</v>
      </c>
      <c r="L6053" s="369">
        <f>+IF((C6053&gt;='Resultats - informe'!$E$16)*(C6053&lt;='Resultats - informe'!$G$16),1,0)</f>
        <v>1</v>
      </c>
      <c r="M6053" s="369" cm="1">
        <f t="array" ref="M6053">+_xlfn.IFS((C6053&gt;='Resultats - informe'!$D$26)*(C6053&lt;='Resultats - informe'!$E$26),0,(C6053&gt;='Resultats - informe'!$D$27)*(C6053&lt;='Resultats - informe'!$E$27),0,(C6053&gt;='Resultats - informe'!$D$28)*(C6053&lt;='Resultats - informe'!$E$28),0,(C6053&gt;='Resultats - informe'!$D$29)*(C6053&lt;='Resultats - informe'!$E$29),0,1,1)</f>
        <v>0</v>
      </c>
      <c r="N6053" s="366">
        <f>+VLOOKUP(D6053,'Resultats - informe'!$Y$18:$AG$42,'Introducció dades consum'!K6053+1,0)</f>
        <v>0</v>
      </c>
      <c r="O6053" s="370" cm="1">
        <f t="array" ref="O6053">+_xlfn.SWITCH(MONTH(C6053),1,1,2,1,3,1,4,2,5,2,6,3,7,3,8,3,9,3,10,2,11,2,12,1,2)</f>
        <v>1</v>
      </c>
      <c r="P6053" s="43"/>
    </row>
    <row r="6054" spans="1:16" ht="18" x14ac:dyDescent="0.35">
      <c r="A6054" s="9"/>
      <c r="C6054" s="393"/>
      <c r="E6054" s="394"/>
      <c r="F6054" s="394"/>
      <c r="G6054" s="394"/>
      <c r="I6054" s="368">
        <f t="shared" si="288"/>
        <v>0</v>
      </c>
      <c r="J6054" s="365">
        <f t="shared" si="289"/>
        <v>0</v>
      </c>
      <c r="K6054" s="369">
        <f t="shared" si="290"/>
        <v>6</v>
      </c>
      <c r="L6054" s="369">
        <f>+IF((C6054&gt;='Resultats - informe'!$E$16)*(C6054&lt;='Resultats - informe'!$G$16),1,0)</f>
        <v>1</v>
      </c>
      <c r="M6054" s="369" cm="1">
        <f t="array" ref="M6054">+_xlfn.IFS((C6054&gt;='Resultats - informe'!$D$26)*(C6054&lt;='Resultats - informe'!$E$26),0,(C6054&gt;='Resultats - informe'!$D$27)*(C6054&lt;='Resultats - informe'!$E$27),0,(C6054&gt;='Resultats - informe'!$D$28)*(C6054&lt;='Resultats - informe'!$E$28),0,(C6054&gt;='Resultats - informe'!$D$29)*(C6054&lt;='Resultats - informe'!$E$29),0,1,1)</f>
        <v>0</v>
      </c>
      <c r="N6054" s="366">
        <f>+VLOOKUP(D6054,'Resultats - informe'!$Y$18:$AG$42,'Introducció dades consum'!K6054+1,0)</f>
        <v>0</v>
      </c>
      <c r="O6054" s="370" cm="1">
        <f t="array" ref="O6054">+_xlfn.SWITCH(MONTH(C6054),1,1,2,1,3,1,4,2,5,2,6,3,7,3,8,3,9,3,10,2,11,2,12,1,2)</f>
        <v>1</v>
      </c>
      <c r="P6054" s="43"/>
    </row>
    <row r="6055" spans="1:16" ht="18" x14ac:dyDescent="0.35">
      <c r="A6055" s="9"/>
      <c r="C6055" s="393"/>
      <c r="E6055" s="394"/>
      <c r="F6055" s="394"/>
      <c r="G6055" s="394"/>
      <c r="I6055" s="368">
        <f t="shared" si="288"/>
        <v>0</v>
      </c>
      <c r="J6055" s="365">
        <f t="shared" si="289"/>
        <v>0</v>
      </c>
      <c r="K6055" s="369">
        <f t="shared" si="290"/>
        <v>6</v>
      </c>
      <c r="L6055" s="369">
        <f>+IF((C6055&gt;='Resultats - informe'!$E$16)*(C6055&lt;='Resultats - informe'!$G$16),1,0)</f>
        <v>1</v>
      </c>
      <c r="M6055" s="369" cm="1">
        <f t="array" ref="M6055">+_xlfn.IFS((C6055&gt;='Resultats - informe'!$D$26)*(C6055&lt;='Resultats - informe'!$E$26),0,(C6055&gt;='Resultats - informe'!$D$27)*(C6055&lt;='Resultats - informe'!$E$27),0,(C6055&gt;='Resultats - informe'!$D$28)*(C6055&lt;='Resultats - informe'!$E$28),0,(C6055&gt;='Resultats - informe'!$D$29)*(C6055&lt;='Resultats - informe'!$E$29),0,1,1)</f>
        <v>0</v>
      </c>
      <c r="N6055" s="366">
        <f>+VLOOKUP(D6055,'Resultats - informe'!$Y$18:$AG$42,'Introducció dades consum'!K6055+1,0)</f>
        <v>0</v>
      </c>
      <c r="O6055" s="370" cm="1">
        <f t="array" ref="O6055">+_xlfn.SWITCH(MONTH(C6055),1,1,2,1,3,1,4,2,5,2,6,3,7,3,8,3,9,3,10,2,11,2,12,1,2)</f>
        <v>1</v>
      </c>
      <c r="P6055" s="43"/>
    </row>
    <row r="6056" spans="1:16" ht="18" x14ac:dyDescent="0.35">
      <c r="A6056" s="9"/>
      <c r="C6056" s="393"/>
      <c r="E6056" s="394"/>
      <c r="F6056" s="394"/>
      <c r="G6056" s="394"/>
      <c r="I6056" s="368">
        <f t="shared" si="288"/>
        <v>0</v>
      </c>
      <c r="J6056" s="365">
        <f t="shared" si="289"/>
        <v>0</v>
      </c>
      <c r="K6056" s="369">
        <f t="shared" si="290"/>
        <v>6</v>
      </c>
      <c r="L6056" s="369">
        <f>+IF((C6056&gt;='Resultats - informe'!$E$16)*(C6056&lt;='Resultats - informe'!$G$16),1,0)</f>
        <v>1</v>
      </c>
      <c r="M6056" s="369" cm="1">
        <f t="array" ref="M6056">+_xlfn.IFS((C6056&gt;='Resultats - informe'!$D$26)*(C6056&lt;='Resultats - informe'!$E$26),0,(C6056&gt;='Resultats - informe'!$D$27)*(C6056&lt;='Resultats - informe'!$E$27),0,(C6056&gt;='Resultats - informe'!$D$28)*(C6056&lt;='Resultats - informe'!$E$28),0,(C6056&gt;='Resultats - informe'!$D$29)*(C6056&lt;='Resultats - informe'!$E$29),0,1,1)</f>
        <v>0</v>
      </c>
      <c r="N6056" s="366">
        <f>+VLOOKUP(D6056,'Resultats - informe'!$Y$18:$AG$42,'Introducció dades consum'!K6056+1,0)</f>
        <v>0</v>
      </c>
      <c r="O6056" s="370" cm="1">
        <f t="array" ref="O6056">+_xlfn.SWITCH(MONTH(C6056),1,1,2,1,3,1,4,2,5,2,6,3,7,3,8,3,9,3,10,2,11,2,12,1,2)</f>
        <v>1</v>
      </c>
      <c r="P6056" s="43"/>
    </row>
    <row r="6057" spans="1:16" ht="18" x14ac:dyDescent="0.35">
      <c r="A6057" s="9"/>
      <c r="C6057" s="393"/>
      <c r="E6057" s="394"/>
      <c r="F6057" s="394"/>
      <c r="G6057" s="394"/>
      <c r="I6057" s="368">
        <f t="shared" si="288"/>
        <v>0</v>
      </c>
      <c r="J6057" s="365">
        <f t="shared" si="289"/>
        <v>0</v>
      </c>
      <c r="K6057" s="369">
        <f t="shared" si="290"/>
        <v>6</v>
      </c>
      <c r="L6057" s="369">
        <f>+IF((C6057&gt;='Resultats - informe'!$E$16)*(C6057&lt;='Resultats - informe'!$G$16),1,0)</f>
        <v>1</v>
      </c>
      <c r="M6057" s="369" cm="1">
        <f t="array" ref="M6057">+_xlfn.IFS((C6057&gt;='Resultats - informe'!$D$26)*(C6057&lt;='Resultats - informe'!$E$26),0,(C6057&gt;='Resultats - informe'!$D$27)*(C6057&lt;='Resultats - informe'!$E$27),0,(C6057&gt;='Resultats - informe'!$D$28)*(C6057&lt;='Resultats - informe'!$E$28),0,(C6057&gt;='Resultats - informe'!$D$29)*(C6057&lt;='Resultats - informe'!$E$29),0,1,1)</f>
        <v>0</v>
      </c>
      <c r="N6057" s="366">
        <f>+VLOOKUP(D6057,'Resultats - informe'!$Y$18:$AG$42,'Introducció dades consum'!K6057+1,0)</f>
        <v>0</v>
      </c>
      <c r="O6057" s="370" cm="1">
        <f t="array" ref="O6057">+_xlfn.SWITCH(MONTH(C6057),1,1,2,1,3,1,4,2,5,2,6,3,7,3,8,3,9,3,10,2,11,2,12,1,2)</f>
        <v>1</v>
      </c>
      <c r="P6057" s="43"/>
    </row>
    <row r="6058" spans="1:16" ht="18" x14ac:dyDescent="0.35">
      <c r="A6058" s="9"/>
      <c r="C6058" s="393"/>
      <c r="E6058" s="394"/>
      <c r="F6058" s="394"/>
      <c r="G6058" s="394"/>
      <c r="I6058" s="368">
        <f t="shared" si="288"/>
        <v>0</v>
      </c>
      <c r="J6058" s="365">
        <f t="shared" si="289"/>
        <v>0</v>
      </c>
      <c r="K6058" s="369">
        <f t="shared" si="290"/>
        <v>6</v>
      </c>
      <c r="L6058" s="369">
        <f>+IF((C6058&gt;='Resultats - informe'!$E$16)*(C6058&lt;='Resultats - informe'!$G$16),1,0)</f>
        <v>1</v>
      </c>
      <c r="M6058" s="369" cm="1">
        <f t="array" ref="M6058">+_xlfn.IFS((C6058&gt;='Resultats - informe'!$D$26)*(C6058&lt;='Resultats - informe'!$E$26),0,(C6058&gt;='Resultats - informe'!$D$27)*(C6058&lt;='Resultats - informe'!$E$27),0,(C6058&gt;='Resultats - informe'!$D$28)*(C6058&lt;='Resultats - informe'!$E$28),0,(C6058&gt;='Resultats - informe'!$D$29)*(C6058&lt;='Resultats - informe'!$E$29),0,1,1)</f>
        <v>0</v>
      </c>
      <c r="N6058" s="366">
        <f>+VLOOKUP(D6058,'Resultats - informe'!$Y$18:$AG$42,'Introducció dades consum'!K6058+1,0)</f>
        <v>0</v>
      </c>
      <c r="O6058" s="370" cm="1">
        <f t="array" ref="O6058">+_xlfn.SWITCH(MONTH(C6058),1,1,2,1,3,1,4,2,5,2,6,3,7,3,8,3,9,3,10,2,11,2,12,1,2)</f>
        <v>1</v>
      </c>
      <c r="P6058" s="43"/>
    </row>
    <row r="6059" spans="1:16" ht="18" x14ac:dyDescent="0.35">
      <c r="A6059" s="9"/>
      <c r="C6059" s="393"/>
      <c r="E6059" s="394"/>
      <c r="F6059" s="394"/>
      <c r="G6059" s="394"/>
      <c r="I6059" s="368">
        <f t="shared" si="288"/>
        <v>0</v>
      </c>
      <c r="J6059" s="365">
        <f t="shared" si="289"/>
        <v>0</v>
      </c>
      <c r="K6059" s="369">
        <f t="shared" si="290"/>
        <v>6</v>
      </c>
      <c r="L6059" s="369">
        <f>+IF((C6059&gt;='Resultats - informe'!$E$16)*(C6059&lt;='Resultats - informe'!$G$16),1,0)</f>
        <v>1</v>
      </c>
      <c r="M6059" s="369" cm="1">
        <f t="array" ref="M6059">+_xlfn.IFS((C6059&gt;='Resultats - informe'!$D$26)*(C6059&lt;='Resultats - informe'!$E$26),0,(C6059&gt;='Resultats - informe'!$D$27)*(C6059&lt;='Resultats - informe'!$E$27),0,(C6059&gt;='Resultats - informe'!$D$28)*(C6059&lt;='Resultats - informe'!$E$28),0,(C6059&gt;='Resultats - informe'!$D$29)*(C6059&lt;='Resultats - informe'!$E$29),0,1,1)</f>
        <v>0</v>
      </c>
      <c r="N6059" s="366">
        <f>+VLOOKUP(D6059,'Resultats - informe'!$Y$18:$AG$42,'Introducció dades consum'!K6059+1,0)</f>
        <v>0</v>
      </c>
      <c r="O6059" s="370" cm="1">
        <f t="array" ref="O6059">+_xlfn.SWITCH(MONTH(C6059),1,1,2,1,3,1,4,2,5,2,6,3,7,3,8,3,9,3,10,2,11,2,12,1,2)</f>
        <v>1</v>
      </c>
      <c r="P6059" s="43"/>
    </row>
    <row r="6060" spans="1:16" ht="18" x14ac:dyDescent="0.35">
      <c r="A6060" s="9"/>
      <c r="C6060" s="393"/>
      <c r="E6060" s="394"/>
      <c r="F6060" s="394"/>
      <c r="G6060" s="394"/>
      <c r="I6060" s="368">
        <f t="shared" si="288"/>
        <v>0</v>
      </c>
      <c r="J6060" s="365">
        <f t="shared" si="289"/>
        <v>0</v>
      </c>
      <c r="K6060" s="369">
        <f t="shared" si="290"/>
        <v>6</v>
      </c>
      <c r="L6060" s="369">
        <f>+IF((C6060&gt;='Resultats - informe'!$E$16)*(C6060&lt;='Resultats - informe'!$G$16),1,0)</f>
        <v>1</v>
      </c>
      <c r="M6060" s="369" cm="1">
        <f t="array" ref="M6060">+_xlfn.IFS((C6060&gt;='Resultats - informe'!$D$26)*(C6060&lt;='Resultats - informe'!$E$26),0,(C6060&gt;='Resultats - informe'!$D$27)*(C6060&lt;='Resultats - informe'!$E$27),0,(C6060&gt;='Resultats - informe'!$D$28)*(C6060&lt;='Resultats - informe'!$E$28),0,(C6060&gt;='Resultats - informe'!$D$29)*(C6060&lt;='Resultats - informe'!$E$29),0,1,1)</f>
        <v>0</v>
      </c>
      <c r="N6060" s="366">
        <f>+VLOOKUP(D6060,'Resultats - informe'!$Y$18:$AG$42,'Introducció dades consum'!K6060+1,0)</f>
        <v>0</v>
      </c>
      <c r="O6060" s="370" cm="1">
        <f t="array" ref="O6060">+_xlfn.SWITCH(MONTH(C6060),1,1,2,1,3,1,4,2,5,2,6,3,7,3,8,3,9,3,10,2,11,2,12,1,2)</f>
        <v>1</v>
      </c>
      <c r="P6060" s="43"/>
    </row>
    <row r="6061" spans="1:16" ht="18" x14ac:dyDescent="0.35">
      <c r="A6061" s="9"/>
      <c r="C6061" s="393"/>
      <c r="E6061" s="394"/>
      <c r="F6061" s="394"/>
      <c r="G6061" s="394"/>
      <c r="I6061" s="368">
        <f t="shared" si="288"/>
        <v>0</v>
      </c>
      <c r="J6061" s="365">
        <f t="shared" si="289"/>
        <v>0</v>
      </c>
      <c r="K6061" s="369">
        <f t="shared" si="290"/>
        <v>6</v>
      </c>
      <c r="L6061" s="369">
        <f>+IF((C6061&gt;='Resultats - informe'!$E$16)*(C6061&lt;='Resultats - informe'!$G$16),1,0)</f>
        <v>1</v>
      </c>
      <c r="M6061" s="369" cm="1">
        <f t="array" ref="M6061">+_xlfn.IFS((C6061&gt;='Resultats - informe'!$D$26)*(C6061&lt;='Resultats - informe'!$E$26),0,(C6061&gt;='Resultats - informe'!$D$27)*(C6061&lt;='Resultats - informe'!$E$27),0,(C6061&gt;='Resultats - informe'!$D$28)*(C6061&lt;='Resultats - informe'!$E$28),0,(C6061&gt;='Resultats - informe'!$D$29)*(C6061&lt;='Resultats - informe'!$E$29),0,1,1)</f>
        <v>0</v>
      </c>
      <c r="N6061" s="366">
        <f>+VLOOKUP(D6061,'Resultats - informe'!$Y$18:$AG$42,'Introducció dades consum'!K6061+1,0)</f>
        <v>0</v>
      </c>
      <c r="O6061" s="370" cm="1">
        <f t="array" ref="O6061">+_xlfn.SWITCH(MONTH(C6061),1,1,2,1,3,1,4,2,5,2,6,3,7,3,8,3,9,3,10,2,11,2,12,1,2)</f>
        <v>1</v>
      </c>
      <c r="P6061" s="43"/>
    </row>
    <row r="6062" spans="1:16" ht="18" x14ac:dyDescent="0.35">
      <c r="A6062" s="9"/>
      <c r="C6062" s="393"/>
      <c r="E6062" s="394"/>
      <c r="F6062" s="394"/>
      <c r="G6062" s="394"/>
      <c r="I6062" s="368">
        <f t="shared" si="288"/>
        <v>0</v>
      </c>
      <c r="J6062" s="365">
        <f t="shared" si="289"/>
        <v>0</v>
      </c>
      <c r="K6062" s="369">
        <f t="shared" si="290"/>
        <v>6</v>
      </c>
      <c r="L6062" s="369">
        <f>+IF((C6062&gt;='Resultats - informe'!$E$16)*(C6062&lt;='Resultats - informe'!$G$16),1,0)</f>
        <v>1</v>
      </c>
      <c r="M6062" s="369" cm="1">
        <f t="array" ref="M6062">+_xlfn.IFS((C6062&gt;='Resultats - informe'!$D$26)*(C6062&lt;='Resultats - informe'!$E$26),0,(C6062&gt;='Resultats - informe'!$D$27)*(C6062&lt;='Resultats - informe'!$E$27),0,(C6062&gt;='Resultats - informe'!$D$28)*(C6062&lt;='Resultats - informe'!$E$28),0,(C6062&gt;='Resultats - informe'!$D$29)*(C6062&lt;='Resultats - informe'!$E$29),0,1,1)</f>
        <v>0</v>
      </c>
      <c r="N6062" s="366">
        <f>+VLOOKUP(D6062,'Resultats - informe'!$Y$18:$AG$42,'Introducció dades consum'!K6062+1,0)</f>
        <v>0</v>
      </c>
      <c r="O6062" s="370" cm="1">
        <f t="array" ref="O6062">+_xlfn.SWITCH(MONTH(C6062),1,1,2,1,3,1,4,2,5,2,6,3,7,3,8,3,9,3,10,2,11,2,12,1,2)</f>
        <v>1</v>
      </c>
      <c r="P6062" s="43"/>
    </row>
    <row r="6063" spans="1:16" ht="18" x14ac:dyDescent="0.35">
      <c r="A6063" s="9"/>
      <c r="C6063" s="393"/>
      <c r="E6063" s="394"/>
      <c r="F6063" s="394"/>
      <c r="G6063" s="394"/>
      <c r="I6063" s="368">
        <f t="shared" si="288"/>
        <v>0</v>
      </c>
      <c r="J6063" s="365">
        <f t="shared" si="289"/>
        <v>0</v>
      </c>
      <c r="K6063" s="369">
        <f t="shared" si="290"/>
        <v>6</v>
      </c>
      <c r="L6063" s="369">
        <f>+IF((C6063&gt;='Resultats - informe'!$E$16)*(C6063&lt;='Resultats - informe'!$G$16),1,0)</f>
        <v>1</v>
      </c>
      <c r="M6063" s="369" cm="1">
        <f t="array" ref="M6063">+_xlfn.IFS((C6063&gt;='Resultats - informe'!$D$26)*(C6063&lt;='Resultats - informe'!$E$26),0,(C6063&gt;='Resultats - informe'!$D$27)*(C6063&lt;='Resultats - informe'!$E$27),0,(C6063&gt;='Resultats - informe'!$D$28)*(C6063&lt;='Resultats - informe'!$E$28),0,(C6063&gt;='Resultats - informe'!$D$29)*(C6063&lt;='Resultats - informe'!$E$29),0,1,1)</f>
        <v>0</v>
      </c>
      <c r="N6063" s="366">
        <f>+VLOOKUP(D6063,'Resultats - informe'!$Y$18:$AG$42,'Introducció dades consum'!K6063+1,0)</f>
        <v>0</v>
      </c>
      <c r="O6063" s="370" cm="1">
        <f t="array" ref="O6063">+_xlfn.SWITCH(MONTH(C6063),1,1,2,1,3,1,4,2,5,2,6,3,7,3,8,3,9,3,10,2,11,2,12,1,2)</f>
        <v>1</v>
      </c>
      <c r="P6063" s="43"/>
    </row>
    <row r="6064" spans="1:16" ht="18" x14ac:dyDescent="0.35">
      <c r="A6064" s="9"/>
      <c r="C6064" s="393"/>
      <c r="E6064" s="394"/>
      <c r="F6064" s="394"/>
      <c r="G6064" s="394"/>
      <c r="I6064" s="368">
        <f t="shared" si="288"/>
        <v>0</v>
      </c>
      <c r="J6064" s="365">
        <f t="shared" si="289"/>
        <v>0</v>
      </c>
      <c r="K6064" s="369">
        <f t="shared" si="290"/>
        <v>6</v>
      </c>
      <c r="L6064" s="369">
        <f>+IF((C6064&gt;='Resultats - informe'!$E$16)*(C6064&lt;='Resultats - informe'!$G$16),1,0)</f>
        <v>1</v>
      </c>
      <c r="M6064" s="369" cm="1">
        <f t="array" ref="M6064">+_xlfn.IFS((C6064&gt;='Resultats - informe'!$D$26)*(C6064&lt;='Resultats - informe'!$E$26),0,(C6064&gt;='Resultats - informe'!$D$27)*(C6064&lt;='Resultats - informe'!$E$27),0,(C6064&gt;='Resultats - informe'!$D$28)*(C6064&lt;='Resultats - informe'!$E$28),0,(C6064&gt;='Resultats - informe'!$D$29)*(C6064&lt;='Resultats - informe'!$E$29),0,1,1)</f>
        <v>0</v>
      </c>
      <c r="N6064" s="366">
        <f>+VLOOKUP(D6064,'Resultats - informe'!$Y$18:$AG$42,'Introducció dades consum'!K6064+1,0)</f>
        <v>0</v>
      </c>
      <c r="O6064" s="370" cm="1">
        <f t="array" ref="O6064">+_xlfn.SWITCH(MONTH(C6064),1,1,2,1,3,1,4,2,5,2,6,3,7,3,8,3,9,3,10,2,11,2,12,1,2)</f>
        <v>1</v>
      </c>
      <c r="P6064" s="43"/>
    </row>
    <row r="6065" spans="1:16" ht="18" x14ac:dyDescent="0.35">
      <c r="A6065" s="9"/>
      <c r="C6065" s="393"/>
      <c r="E6065" s="394"/>
      <c r="F6065" s="394"/>
      <c r="G6065" s="394"/>
      <c r="I6065" s="368">
        <f t="shared" si="288"/>
        <v>0</v>
      </c>
      <c r="J6065" s="365">
        <f t="shared" si="289"/>
        <v>0</v>
      </c>
      <c r="K6065" s="369">
        <f t="shared" si="290"/>
        <v>6</v>
      </c>
      <c r="L6065" s="369">
        <f>+IF((C6065&gt;='Resultats - informe'!$E$16)*(C6065&lt;='Resultats - informe'!$G$16),1,0)</f>
        <v>1</v>
      </c>
      <c r="M6065" s="369" cm="1">
        <f t="array" ref="M6065">+_xlfn.IFS((C6065&gt;='Resultats - informe'!$D$26)*(C6065&lt;='Resultats - informe'!$E$26),0,(C6065&gt;='Resultats - informe'!$D$27)*(C6065&lt;='Resultats - informe'!$E$27),0,(C6065&gt;='Resultats - informe'!$D$28)*(C6065&lt;='Resultats - informe'!$E$28),0,(C6065&gt;='Resultats - informe'!$D$29)*(C6065&lt;='Resultats - informe'!$E$29),0,1,1)</f>
        <v>0</v>
      </c>
      <c r="N6065" s="366">
        <f>+VLOOKUP(D6065,'Resultats - informe'!$Y$18:$AG$42,'Introducció dades consum'!K6065+1,0)</f>
        <v>0</v>
      </c>
      <c r="O6065" s="370" cm="1">
        <f t="array" ref="O6065">+_xlfn.SWITCH(MONTH(C6065),1,1,2,1,3,1,4,2,5,2,6,3,7,3,8,3,9,3,10,2,11,2,12,1,2)</f>
        <v>1</v>
      </c>
      <c r="P6065" s="43"/>
    </row>
    <row r="6066" spans="1:16" ht="18" x14ac:dyDescent="0.35">
      <c r="A6066" s="9"/>
      <c r="C6066" s="393"/>
      <c r="E6066" s="394"/>
      <c r="F6066" s="394"/>
      <c r="G6066" s="394"/>
      <c r="I6066" s="368">
        <f t="shared" si="288"/>
        <v>0</v>
      </c>
      <c r="J6066" s="365">
        <f t="shared" si="289"/>
        <v>0</v>
      </c>
      <c r="K6066" s="369">
        <f t="shared" si="290"/>
        <v>6</v>
      </c>
      <c r="L6066" s="369">
        <f>+IF((C6066&gt;='Resultats - informe'!$E$16)*(C6066&lt;='Resultats - informe'!$G$16),1,0)</f>
        <v>1</v>
      </c>
      <c r="M6066" s="369" cm="1">
        <f t="array" ref="M6066">+_xlfn.IFS((C6066&gt;='Resultats - informe'!$D$26)*(C6066&lt;='Resultats - informe'!$E$26),0,(C6066&gt;='Resultats - informe'!$D$27)*(C6066&lt;='Resultats - informe'!$E$27),0,(C6066&gt;='Resultats - informe'!$D$28)*(C6066&lt;='Resultats - informe'!$E$28),0,(C6066&gt;='Resultats - informe'!$D$29)*(C6066&lt;='Resultats - informe'!$E$29),0,1,1)</f>
        <v>0</v>
      </c>
      <c r="N6066" s="366">
        <f>+VLOOKUP(D6066,'Resultats - informe'!$Y$18:$AG$42,'Introducció dades consum'!K6066+1,0)</f>
        <v>0</v>
      </c>
      <c r="O6066" s="370" cm="1">
        <f t="array" ref="O6066">+_xlfn.SWITCH(MONTH(C6066),1,1,2,1,3,1,4,2,5,2,6,3,7,3,8,3,9,3,10,2,11,2,12,1,2)</f>
        <v>1</v>
      </c>
      <c r="P6066" s="43"/>
    </row>
    <row r="6067" spans="1:16" ht="18" x14ac:dyDescent="0.35">
      <c r="A6067" s="9"/>
      <c r="C6067" s="393"/>
      <c r="E6067" s="394"/>
      <c r="F6067" s="394"/>
      <c r="G6067" s="394"/>
      <c r="I6067" s="368">
        <f t="shared" si="288"/>
        <v>0</v>
      </c>
      <c r="J6067" s="365">
        <f t="shared" si="289"/>
        <v>0</v>
      </c>
      <c r="K6067" s="369">
        <f t="shared" si="290"/>
        <v>6</v>
      </c>
      <c r="L6067" s="369">
        <f>+IF((C6067&gt;='Resultats - informe'!$E$16)*(C6067&lt;='Resultats - informe'!$G$16),1,0)</f>
        <v>1</v>
      </c>
      <c r="M6067" s="369" cm="1">
        <f t="array" ref="M6067">+_xlfn.IFS((C6067&gt;='Resultats - informe'!$D$26)*(C6067&lt;='Resultats - informe'!$E$26),0,(C6067&gt;='Resultats - informe'!$D$27)*(C6067&lt;='Resultats - informe'!$E$27),0,(C6067&gt;='Resultats - informe'!$D$28)*(C6067&lt;='Resultats - informe'!$E$28),0,(C6067&gt;='Resultats - informe'!$D$29)*(C6067&lt;='Resultats - informe'!$E$29),0,1,1)</f>
        <v>0</v>
      </c>
      <c r="N6067" s="366">
        <f>+VLOOKUP(D6067,'Resultats - informe'!$Y$18:$AG$42,'Introducció dades consum'!K6067+1,0)</f>
        <v>0</v>
      </c>
      <c r="O6067" s="370" cm="1">
        <f t="array" ref="O6067">+_xlfn.SWITCH(MONTH(C6067),1,1,2,1,3,1,4,2,5,2,6,3,7,3,8,3,9,3,10,2,11,2,12,1,2)</f>
        <v>1</v>
      </c>
      <c r="P6067" s="43"/>
    </row>
    <row r="6068" spans="1:16" ht="18" x14ac:dyDescent="0.35">
      <c r="A6068" s="9"/>
      <c r="C6068" s="393"/>
      <c r="E6068" s="394"/>
      <c r="F6068" s="394"/>
      <c r="G6068" s="394"/>
      <c r="I6068" s="368">
        <f t="shared" si="288"/>
        <v>0</v>
      </c>
      <c r="J6068" s="365">
        <f t="shared" si="289"/>
        <v>0</v>
      </c>
      <c r="K6068" s="369">
        <f t="shared" si="290"/>
        <v>6</v>
      </c>
      <c r="L6068" s="369">
        <f>+IF((C6068&gt;='Resultats - informe'!$E$16)*(C6068&lt;='Resultats - informe'!$G$16),1,0)</f>
        <v>1</v>
      </c>
      <c r="M6068" s="369" cm="1">
        <f t="array" ref="M6068">+_xlfn.IFS((C6068&gt;='Resultats - informe'!$D$26)*(C6068&lt;='Resultats - informe'!$E$26),0,(C6068&gt;='Resultats - informe'!$D$27)*(C6068&lt;='Resultats - informe'!$E$27),0,(C6068&gt;='Resultats - informe'!$D$28)*(C6068&lt;='Resultats - informe'!$E$28),0,(C6068&gt;='Resultats - informe'!$D$29)*(C6068&lt;='Resultats - informe'!$E$29),0,1,1)</f>
        <v>0</v>
      </c>
      <c r="N6068" s="366">
        <f>+VLOOKUP(D6068,'Resultats - informe'!$Y$18:$AG$42,'Introducció dades consum'!K6068+1,0)</f>
        <v>0</v>
      </c>
      <c r="O6068" s="370" cm="1">
        <f t="array" ref="O6068">+_xlfn.SWITCH(MONTH(C6068),1,1,2,1,3,1,4,2,5,2,6,3,7,3,8,3,9,3,10,2,11,2,12,1,2)</f>
        <v>1</v>
      </c>
      <c r="P6068" s="43"/>
    </row>
    <row r="6069" spans="1:16" ht="18" x14ac:dyDescent="0.35">
      <c r="A6069" s="9"/>
      <c r="C6069" s="393"/>
      <c r="E6069" s="394"/>
      <c r="F6069" s="394"/>
      <c r="G6069" s="394"/>
      <c r="I6069" s="368">
        <f t="shared" si="288"/>
        <v>0</v>
      </c>
      <c r="J6069" s="365">
        <f t="shared" si="289"/>
        <v>0</v>
      </c>
      <c r="K6069" s="369">
        <f t="shared" si="290"/>
        <v>6</v>
      </c>
      <c r="L6069" s="369">
        <f>+IF((C6069&gt;='Resultats - informe'!$E$16)*(C6069&lt;='Resultats - informe'!$G$16),1,0)</f>
        <v>1</v>
      </c>
      <c r="M6069" s="369" cm="1">
        <f t="array" ref="M6069">+_xlfn.IFS((C6069&gt;='Resultats - informe'!$D$26)*(C6069&lt;='Resultats - informe'!$E$26),0,(C6069&gt;='Resultats - informe'!$D$27)*(C6069&lt;='Resultats - informe'!$E$27),0,(C6069&gt;='Resultats - informe'!$D$28)*(C6069&lt;='Resultats - informe'!$E$28),0,(C6069&gt;='Resultats - informe'!$D$29)*(C6069&lt;='Resultats - informe'!$E$29),0,1,1)</f>
        <v>0</v>
      </c>
      <c r="N6069" s="366">
        <f>+VLOOKUP(D6069,'Resultats - informe'!$Y$18:$AG$42,'Introducció dades consum'!K6069+1,0)</f>
        <v>0</v>
      </c>
      <c r="O6069" s="370" cm="1">
        <f t="array" ref="O6069">+_xlfn.SWITCH(MONTH(C6069),1,1,2,1,3,1,4,2,5,2,6,3,7,3,8,3,9,3,10,2,11,2,12,1,2)</f>
        <v>1</v>
      </c>
      <c r="P6069" s="43"/>
    </row>
    <row r="6070" spans="1:16" ht="18" x14ac:dyDescent="0.35">
      <c r="A6070" s="9"/>
      <c r="C6070" s="393"/>
      <c r="E6070" s="394"/>
      <c r="F6070" s="394"/>
      <c r="G6070" s="394"/>
      <c r="I6070" s="368">
        <f t="shared" si="288"/>
        <v>0</v>
      </c>
      <c r="J6070" s="365">
        <f t="shared" si="289"/>
        <v>0</v>
      </c>
      <c r="K6070" s="369">
        <f t="shared" si="290"/>
        <v>6</v>
      </c>
      <c r="L6070" s="369">
        <f>+IF((C6070&gt;='Resultats - informe'!$E$16)*(C6070&lt;='Resultats - informe'!$G$16),1,0)</f>
        <v>1</v>
      </c>
      <c r="M6070" s="369" cm="1">
        <f t="array" ref="M6070">+_xlfn.IFS((C6070&gt;='Resultats - informe'!$D$26)*(C6070&lt;='Resultats - informe'!$E$26),0,(C6070&gt;='Resultats - informe'!$D$27)*(C6070&lt;='Resultats - informe'!$E$27),0,(C6070&gt;='Resultats - informe'!$D$28)*(C6070&lt;='Resultats - informe'!$E$28),0,(C6070&gt;='Resultats - informe'!$D$29)*(C6070&lt;='Resultats - informe'!$E$29),0,1,1)</f>
        <v>0</v>
      </c>
      <c r="N6070" s="366">
        <f>+VLOOKUP(D6070,'Resultats - informe'!$Y$18:$AG$42,'Introducció dades consum'!K6070+1,0)</f>
        <v>0</v>
      </c>
      <c r="O6070" s="370" cm="1">
        <f t="array" ref="O6070">+_xlfn.SWITCH(MONTH(C6070),1,1,2,1,3,1,4,2,5,2,6,3,7,3,8,3,9,3,10,2,11,2,12,1,2)</f>
        <v>1</v>
      </c>
      <c r="P6070" s="43"/>
    </row>
    <row r="6071" spans="1:16" ht="18" x14ac:dyDescent="0.35">
      <c r="A6071" s="9"/>
      <c r="C6071" s="393"/>
      <c r="E6071" s="394"/>
      <c r="F6071" s="394"/>
      <c r="G6071" s="394"/>
      <c r="I6071" s="368">
        <f t="shared" si="288"/>
        <v>0</v>
      </c>
      <c r="J6071" s="365">
        <f t="shared" si="289"/>
        <v>0</v>
      </c>
      <c r="K6071" s="369">
        <f t="shared" si="290"/>
        <v>6</v>
      </c>
      <c r="L6071" s="369">
        <f>+IF((C6071&gt;='Resultats - informe'!$E$16)*(C6071&lt;='Resultats - informe'!$G$16),1,0)</f>
        <v>1</v>
      </c>
      <c r="M6071" s="369" cm="1">
        <f t="array" ref="M6071">+_xlfn.IFS((C6071&gt;='Resultats - informe'!$D$26)*(C6071&lt;='Resultats - informe'!$E$26),0,(C6071&gt;='Resultats - informe'!$D$27)*(C6071&lt;='Resultats - informe'!$E$27),0,(C6071&gt;='Resultats - informe'!$D$28)*(C6071&lt;='Resultats - informe'!$E$28),0,(C6071&gt;='Resultats - informe'!$D$29)*(C6071&lt;='Resultats - informe'!$E$29),0,1,1)</f>
        <v>0</v>
      </c>
      <c r="N6071" s="366">
        <f>+VLOOKUP(D6071,'Resultats - informe'!$Y$18:$AG$42,'Introducció dades consum'!K6071+1,0)</f>
        <v>0</v>
      </c>
      <c r="O6071" s="370" cm="1">
        <f t="array" ref="O6071">+_xlfn.SWITCH(MONTH(C6071),1,1,2,1,3,1,4,2,5,2,6,3,7,3,8,3,9,3,10,2,11,2,12,1,2)</f>
        <v>1</v>
      </c>
      <c r="P6071" s="43"/>
    </row>
    <row r="6072" spans="1:16" ht="18" x14ac:dyDescent="0.35">
      <c r="A6072" s="9"/>
      <c r="C6072" s="393"/>
      <c r="E6072" s="394"/>
      <c r="F6072" s="394"/>
      <c r="G6072" s="394"/>
      <c r="I6072" s="368">
        <f t="shared" si="288"/>
        <v>0</v>
      </c>
      <c r="J6072" s="365">
        <f t="shared" si="289"/>
        <v>0</v>
      </c>
      <c r="K6072" s="369">
        <f t="shared" si="290"/>
        <v>6</v>
      </c>
      <c r="L6072" s="369">
        <f>+IF((C6072&gt;='Resultats - informe'!$E$16)*(C6072&lt;='Resultats - informe'!$G$16),1,0)</f>
        <v>1</v>
      </c>
      <c r="M6072" s="369" cm="1">
        <f t="array" ref="M6072">+_xlfn.IFS((C6072&gt;='Resultats - informe'!$D$26)*(C6072&lt;='Resultats - informe'!$E$26),0,(C6072&gt;='Resultats - informe'!$D$27)*(C6072&lt;='Resultats - informe'!$E$27),0,(C6072&gt;='Resultats - informe'!$D$28)*(C6072&lt;='Resultats - informe'!$E$28),0,(C6072&gt;='Resultats - informe'!$D$29)*(C6072&lt;='Resultats - informe'!$E$29),0,1,1)</f>
        <v>0</v>
      </c>
      <c r="N6072" s="366">
        <f>+VLOOKUP(D6072,'Resultats - informe'!$Y$18:$AG$42,'Introducció dades consum'!K6072+1,0)</f>
        <v>0</v>
      </c>
      <c r="O6072" s="370" cm="1">
        <f t="array" ref="O6072">+_xlfn.SWITCH(MONTH(C6072),1,1,2,1,3,1,4,2,5,2,6,3,7,3,8,3,9,3,10,2,11,2,12,1,2)</f>
        <v>1</v>
      </c>
      <c r="P6072" s="43"/>
    </row>
    <row r="6073" spans="1:16" ht="18" x14ac:dyDescent="0.35">
      <c r="A6073" s="9"/>
      <c r="C6073" s="393"/>
      <c r="E6073" s="394"/>
      <c r="F6073" s="394"/>
      <c r="G6073" s="394"/>
      <c r="I6073" s="368">
        <f t="shared" si="288"/>
        <v>0</v>
      </c>
      <c r="J6073" s="365">
        <f t="shared" si="289"/>
        <v>0</v>
      </c>
      <c r="K6073" s="369">
        <f t="shared" si="290"/>
        <v>6</v>
      </c>
      <c r="L6073" s="369">
        <f>+IF((C6073&gt;='Resultats - informe'!$E$16)*(C6073&lt;='Resultats - informe'!$G$16),1,0)</f>
        <v>1</v>
      </c>
      <c r="M6073" s="369" cm="1">
        <f t="array" ref="M6073">+_xlfn.IFS((C6073&gt;='Resultats - informe'!$D$26)*(C6073&lt;='Resultats - informe'!$E$26),0,(C6073&gt;='Resultats - informe'!$D$27)*(C6073&lt;='Resultats - informe'!$E$27),0,(C6073&gt;='Resultats - informe'!$D$28)*(C6073&lt;='Resultats - informe'!$E$28),0,(C6073&gt;='Resultats - informe'!$D$29)*(C6073&lt;='Resultats - informe'!$E$29),0,1,1)</f>
        <v>0</v>
      </c>
      <c r="N6073" s="366">
        <f>+VLOOKUP(D6073,'Resultats - informe'!$Y$18:$AG$42,'Introducció dades consum'!K6073+1,0)</f>
        <v>0</v>
      </c>
      <c r="O6073" s="370" cm="1">
        <f t="array" ref="O6073">+_xlfn.SWITCH(MONTH(C6073),1,1,2,1,3,1,4,2,5,2,6,3,7,3,8,3,9,3,10,2,11,2,12,1,2)</f>
        <v>1</v>
      </c>
      <c r="P6073" s="43"/>
    </row>
    <row r="6074" spans="1:16" ht="18" x14ac:dyDescent="0.35">
      <c r="A6074" s="9"/>
      <c r="C6074" s="393"/>
      <c r="E6074" s="394"/>
      <c r="F6074" s="394"/>
      <c r="G6074" s="394"/>
      <c r="I6074" s="368">
        <f t="shared" si="288"/>
        <v>0</v>
      </c>
      <c r="J6074" s="365">
        <f t="shared" si="289"/>
        <v>0</v>
      </c>
      <c r="K6074" s="369">
        <f t="shared" si="290"/>
        <v>6</v>
      </c>
      <c r="L6074" s="369">
        <f>+IF((C6074&gt;='Resultats - informe'!$E$16)*(C6074&lt;='Resultats - informe'!$G$16),1,0)</f>
        <v>1</v>
      </c>
      <c r="M6074" s="369" cm="1">
        <f t="array" ref="M6074">+_xlfn.IFS((C6074&gt;='Resultats - informe'!$D$26)*(C6074&lt;='Resultats - informe'!$E$26),0,(C6074&gt;='Resultats - informe'!$D$27)*(C6074&lt;='Resultats - informe'!$E$27),0,(C6074&gt;='Resultats - informe'!$D$28)*(C6074&lt;='Resultats - informe'!$E$28),0,(C6074&gt;='Resultats - informe'!$D$29)*(C6074&lt;='Resultats - informe'!$E$29),0,1,1)</f>
        <v>0</v>
      </c>
      <c r="N6074" s="366">
        <f>+VLOOKUP(D6074,'Resultats - informe'!$Y$18:$AG$42,'Introducció dades consum'!K6074+1,0)</f>
        <v>0</v>
      </c>
      <c r="O6074" s="370" cm="1">
        <f t="array" ref="O6074">+_xlfn.SWITCH(MONTH(C6074),1,1,2,1,3,1,4,2,5,2,6,3,7,3,8,3,9,3,10,2,11,2,12,1,2)</f>
        <v>1</v>
      </c>
      <c r="P6074" s="43"/>
    </row>
    <row r="6075" spans="1:16" ht="18" x14ac:dyDescent="0.35">
      <c r="A6075" s="9"/>
      <c r="C6075" s="393"/>
      <c r="E6075" s="394"/>
      <c r="F6075" s="394"/>
      <c r="G6075" s="394"/>
      <c r="I6075" s="368">
        <f t="shared" si="288"/>
        <v>0</v>
      </c>
      <c r="J6075" s="365">
        <f t="shared" si="289"/>
        <v>0</v>
      </c>
      <c r="K6075" s="369">
        <f t="shared" si="290"/>
        <v>6</v>
      </c>
      <c r="L6075" s="369">
        <f>+IF((C6075&gt;='Resultats - informe'!$E$16)*(C6075&lt;='Resultats - informe'!$G$16),1,0)</f>
        <v>1</v>
      </c>
      <c r="M6075" s="369" cm="1">
        <f t="array" ref="M6075">+_xlfn.IFS((C6075&gt;='Resultats - informe'!$D$26)*(C6075&lt;='Resultats - informe'!$E$26),0,(C6075&gt;='Resultats - informe'!$D$27)*(C6075&lt;='Resultats - informe'!$E$27),0,(C6075&gt;='Resultats - informe'!$D$28)*(C6075&lt;='Resultats - informe'!$E$28),0,(C6075&gt;='Resultats - informe'!$D$29)*(C6075&lt;='Resultats - informe'!$E$29),0,1,1)</f>
        <v>0</v>
      </c>
      <c r="N6075" s="366">
        <f>+VLOOKUP(D6075,'Resultats - informe'!$Y$18:$AG$42,'Introducció dades consum'!K6075+1,0)</f>
        <v>0</v>
      </c>
      <c r="O6075" s="370" cm="1">
        <f t="array" ref="O6075">+_xlfn.SWITCH(MONTH(C6075),1,1,2,1,3,1,4,2,5,2,6,3,7,3,8,3,9,3,10,2,11,2,12,1,2)</f>
        <v>1</v>
      </c>
      <c r="P6075" s="43"/>
    </row>
    <row r="6076" spans="1:16" ht="18" x14ac:dyDescent="0.35">
      <c r="A6076" s="9"/>
      <c r="C6076" s="393"/>
      <c r="E6076" s="394"/>
      <c r="F6076" s="394"/>
      <c r="G6076" s="394"/>
      <c r="I6076" s="368">
        <f t="shared" si="288"/>
        <v>0</v>
      </c>
      <c r="J6076" s="365">
        <f t="shared" si="289"/>
        <v>0</v>
      </c>
      <c r="K6076" s="369">
        <f t="shared" si="290"/>
        <v>6</v>
      </c>
      <c r="L6076" s="369">
        <f>+IF((C6076&gt;='Resultats - informe'!$E$16)*(C6076&lt;='Resultats - informe'!$G$16),1,0)</f>
        <v>1</v>
      </c>
      <c r="M6076" s="369" cm="1">
        <f t="array" ref="M6076">+_xlfn.IFS((C6076&gt;='Resultats - informe'!$D$26)*(C6076&lt;='Resultats - informe'!$E$26),0,(C6076&gt;='Resultats - informe'!$D$27)*(C6076&lt;='Resultats - informe'!$E$27),0,(C6076&gt;='Resultats - informe'!$D$28)*(C6076&lt;='Resultats - informe'!$E$28),0,(C6076&gt;='Resultats - informe'!$D$29)*(C6076&lt;='Resultats - informe'!$E$29),0,1,1)</f>
        <v>0</v>
      </c>
      <c r="N6076" s="366">
        <f>+VLOOKUP(D6076,'Resultats - informe'!$Y$18:$AG$42,'Introducció dades consum'!K6076+1,0)</f>
        <v>0</v>
      </c>
      <c r="O6076" s="370" cm="1">
        <f t="array" ref="O6076">+_xlfn.SWITCH(MONTH(C6076),1,1,2,1,3,1,4,2,5,2,6,3,7,3,8,3,9,3,10,2,11,2,12,1,2)</f>
        <v>1</v>
      </c>
      <c r="P6076" s="43"/>
    </row>
    <row r="6077" spans="1:16" ht="18" x14ac:dyDescent="0.35">
      <c r="A6077" s="9"/>
      <c r="C6077" s="393"/>
      <c r="E6077" s="394"/>
      <c r="F6077" s="394"/>
      <c r="G6077" s="394"/>
      <c r="I6077" s="368">
        <f t="shared" si="288"/>
        <v>0</v>
      </c>
      <c r="J6077" s="365">
        <f t="shared" si="289"/>
        <v>0</v>
      </c>
      <c r="K6077" s="369">
        <f t="shared" si="290"/>
        <v>6</v>
      </c>
      <c r="L6077" s="369">
        <f>+IF((C6077&gt;='Resultats - informe'!$E$16)*(C6077&lt;='Resultats - informe'!$G$16),1,0)</f>
        <v>1</v>
      </c>
      <c r="M6077" s="369" cm="1">
        <f t="array" ref="M6077">+_xlfn.IFS((C6077&gt;='Resultats - informe'!$D$26)*(C6077&lt;='Resultats - informe'!$E$26),0,(C6077&gt;='Resultats - informe'!$D$27)*(C6077&lt;='Resultats - informe'!$E$27),0,(C6077&gt;='Resultats - informe'!$D$28)*(C6077&lt;='Resultats - informe'!$E$28),0,(C6077&gt;='Resultats - informe'!$D$29)*(C6077&lt;='Resultats - informe'!$E$29),0,1,1)</f>
        <v>0</v>
      </c>
      <c r="N6077" s="366">
        <f>+VLOOKUP(D6077,'Resultats - informe'!$Y$18:$AG$42,'Introducció dades consum'!K6077+1,0)</f>
        <v>0</v>
      </c>
      <c r="O6077" s="370" cm="1">
        <f t="array" ref="O6077">+_xlfn.SWITCH(MONTH(C6077),1,1,2,1,3,1,4,2,5,2,6,3,7,3,8,3,9,3,10,2,11,2,12,1,2)</f>
        <v>1</v>
      </c>
      <c r="P6077" s="43"/>
    </row>
    <row r="6078" spans="1:16" ht="18" x14ac:dyDescent="0.35">
      <c r="A6078" s="9"/>
      <c r="C6078" s="393"/>
      <c r="E6078" s="394"/>
      <c r="F6078" s="394"/>
      <c r="G6078" s="394"/>
      <c r="I6078" s="368">
        <f t="shared" si="288"/>
        <v>0</v>
      </c>
      <c r="J6078" s="365">
        <f t="shared" si="289"/>
        <v>0</v>
      </c>
      <c r="K6078" s="369">
        <f t="shared" si="290"/>
        <v>6</v>
      </c>
      <c r="L6078" s="369">
        <f>+IF((C6078&gt;='Resultats - informe'!$E$16)*(C6078&lt;='Resultats - informe'!$G$16),1,0)</f>
        <v>1</v>
      </c>
      <c r="M6078" s="369" cm="1">
        <f t="array" ref="M6078">+_xlfn.IFS((C6078&gt;='Resultats - informe'!$D$26)*(C6078&lt;='Resultats - informe'!$E$26),0,(C6078&gt;='Resultats - informe'!$D$27)*(C6078&lt;='Resultats - informe'!$E$27),0,(C6078&gt;='Resultats - informe'!$D$28)*(C6078&lt;='Resultats - informe'!$E$28),0,(C6078&gt;='Resultats - informe'!$D$29)*(C6078&lt;='Resultats - informe'!$E$29),0,1,1)</f>
        <v>0</v>
      </c>
      <c r="N6078" s="366">
        <f>+VLOOKUP(D6078,'Resultats - informe'!$Y$18:$AG$42,'Introducció dades consum'!K6078+1,0)</f>
        <v>0</v>
      </c>
      <c r="O6078" s="370" cm="1">
        <f t="array" ref="O6078">+_xlfn.SWITCH(MONTH(C6078),1,1,2,1,3,1,4,2,5,2,6,3,7,3,8,3,9,3,10,2,11,2,12,1,2)</f>
        <v>1</v>
      </c>
      <c r="P6078" s="43"/>
    </row>
    <row r="6079" spans="1:16" ht="18" x14ac:dyDescent="0.35">
      <c r="A6079" s="9"/>
      <c r="C6079" s="393"/>
      <c r="E6079" s="394"/>
      <c r="F6079" s="394"/>
      <c r="G6079" s="394"/>
      <c r="I6079" s="368">
        <f t="shared" si="288"/>
        <v>0</v>
      </c>
      <c r="J6079" s="365">
        <f t="shared" si="289"/>
        <v>0</v>
      </c>
      <c r="K6079" s="369">
        <f t="shared" si="290"/>
        <v>6</v>
      </c>
      <c r="L6079" s="369">
        <f>+IF((C6079&gt;='Resultats - informe'!$E$16)*(C6079&lt;='Resultats - informe'!$G$16),1,0)</f>
        <v>1</v>
      </c>
      <c r="M6079" s="369" cm="1">
        <f t="array" ref="M6079">+_xlfn.IFS((C6079&gt;='Resultats - informe'!$D$26)*(C6079&lt;='Resultats - informe'!$E$26),0,(C6079&gt;='Resultats - informe'!$D$27)*(C6079&lt;='Resultats - informe'!$E$27),0,(C6079&gt;='Resultats - informe'!$D$28)*(C6079&lt;='Resultats - informe'!$E$28),0,(C6079&gt;='Resultats - informe'!$D$29)*(C6079&lt;='Resultats - informe'!$E$29),0,1,1)</f>
        <v>0</v>
      </c>
      <c r="N6079" s="366">
        <f>+VLOOKUP(D6079,'Resultats - informe'!$Y$18:$AG$42,'Introducció dades consum'!K6079+1,0)</f>
        <v>0</v>
      </c>
      <c r="O6079" s="370" cm="1">
        <f t="array" ref="O6079">+_xlfn.SWITCH(MONTH(C6079),1,1,2,1,3,1,4,2,5,2,6,3,7,3,8,3,9,3,10,2,11,2,12,1,2)</f>
        <v>1</v>
      </c>
      <c r="P6079" s="43"/>
    </row>
    <row r="6080" spans="1:16" ht="18" x14ac:dyDescent="0.35">
      <c r="A6080" s="9"/>
      <c r="C6080" s="393"/>
      <c r="E6080" s="394"/>
      <c r="F6080" s="394"/>
      <c r="G6080" s="394"/>
      <c r="I6080" s="368">
        <f t="shared" si="288"/>
        <v>0</v>
      </c>
      <c r="J6080" s="365">
        <f t="shared" si="289"/>
        <v>0</v>
      </c>
      <c r="K6080" s="369">
        <f t="shared" si="290"/>
        <v>6</v>
      </c>
      <c r="L6080" s="369">
        <f>+IF((C6080&gt;='Resultats - informe'!$E$16)*(C6080&lt;='Resultats - informe'!$G$16),1,0)</f>
        <v>1</v>
      </c>
      <c r="M6080" s="369" cm="1">
        <f t="array" ref="M6080">+_xlfn.IFS((C6080&gt;='Resultats - informe'!$D$26)*(C6080&lt;='Resultats - informe'!$E$26),0,(C6080&gt;='Resultats - informe'!$D$27)*(C6080&lt;='Resultats - informe'!$E$27),0,(C6080&gt;='Resultats - informe'!$D$28)*(C6080&lt;='Resultats - informe'!$E$28),0,(C6080&gt;='Resultats - informe'!$D$29)*(C6080&lt;='Resultats - informe'!$E$29),0,1,1)</f>
        <v>0</v>
      </c>
      <c r="N6080" s="366">
        <f>+VLOOKUP(D6080,'Resultats - informe'!$Y$18:$AG$42,'Introducció dades consum'!K6080+1,0)</f>
        <v>0</v>
      </c>
      <c r="O6080" s="370" cm="1">
        <f t="array" ref="O6080">+_xlfn.SWITCH(MONTH(C6080),1,1,2,1,3,1,4,2,5,2,6,3,7,3,8,3,9,3,10,2,11,2,12,1,2)</f>
        <v>1</v>
      </c>
      <c r="P6080" s="43"/>
    </row>
    <row r="6081" spans="1:16" ht="18" x14ac:dyDescent="0.35">
      <c r="A6081" s="9"/>
      <c r="C6081" s="393"/>
      <c r="E6081" s="394"/>
      <c r="F6081" s="394"/>
      <c r="G6081" s="394"/>
      <c r="I6081" s="368">
        <f t="shared" si="288"/>
        <v>0</v>
      </c>
      <c r="J6081" s="365">
        <f t="shared" si="289"/>
        <v>0</v>
      </c>
      <c r="K6081" s="369">
        <f t="shared" si="290"/>
        <v>6</v>
      </c>
      <c r="L6081" s="369">
        <f>+IF((C6081&gt;='Resultats - informe'!$E$16)*(C6081&lt;='Resultats - informe'!$G$16),1,0)</f>
        <v>1</v>
      </c>
      <c r="M6081" s="369" cm="1">
        <f t="array" ref="M6081">+_xlfn.IFS((C6081&gt;='Resultats - informe'!$D$26)*(C6081&lt;='Resultats - informe'!$E$26),0,(C6081&gt;='Resultats - informe'!$D$27)*(C6081&lt;='Resultats - informe'!$E$27),0,(C6081&gt;='Resultats - informe'!$D$28)*(C6081&lt;='Resultats - informe'!$E$28),0,(C6081&gt;='Resultats - informe'!$D$29)*(C6081&lt;='Resultats - informe'!$E$29),0,1,1)</f>
        <v>0</v>
      </c>
      <c r="N6081" s="366">
        <f>+VLOOKUP(D6081,'Resultats - informe'!$Y$18:$AG$42,'Introducció dades consum'!K6081+1,0)</f>
        <v>0</v>
      </c>
      <c r="O6081" s="370" cm="1">
        <f t="array" ref="O6081">+_xlfn.SWITCH(MONTH(C6081),1,1,2,1,3,1,4,2,5,2,6,3,7,3,8,3,9,3,10,2,11,2,12,1,2)</f>
        <v>1</v>
      </c>
      <c r="P6081" s="43"/>
    </row>
    <row r="6082" spans="1:16" ht="18" x14ac:dyDescent="0.35">
      <c r="A6082" s="9"/>
      <c r="C6082" s="393"/>
      <c r="E6082" s="394"/>
      <c r="F6082" s="394"/>
      <c r="G6082" s="394"/>
      <c r="I6082" s="368">
        <f t="shared" si="288"/>
        <v>0</v>
      </c>
      <c r="J6082" s="365">
        <f t="shared" si="289"/>
        <v>0</v>
      </c>
      <c r="K6082" s="369">
        <f t="shared" si="290"/>
        <v>6</v>
      </c>
      <c r="L6082" s="369">
        <f>+IF((C6082&gt;='Resultats - informe'!$E$16)*(C6082&lt;='Resultats - informe'!$G$16),1,0)</f>
        <v>1</v>
      </c>
      <c r="M6082" s="369" cm="1">
        <f t="array" ref="M6082">+_xlfn.IFS((C6082&gt;='Resultats - informe'!$D$26)*(C6082&lt;='Resultats - informe'!$E$26),0,(C6082&gt;='Resultats - informe'!$D$27)*(C6082&lt;='Resultats - informe'!$E$27),0,(C6082&gt;='Resultats - informe'!$D$28)*(C6082&lt;='Resultats - informe'!$E$28),0,(C6082&gt;='Resultats - informe'!$D$29)*(C6082&lt;='Resultats - informe'!$E$29),0,1,1)</f>
        <v>0</v>
      </c>
      <c r="N6082" s="366">
        <f>+VLOOKUP(D6082,'Resultats - informe'!$Y$18:$AG$42,'Introducció dades consum'!K6082+1,0)</f>
        <v>0</v>
      </c>
      <c r="O6082" s="370" cm="1">
        <f t="array" ref="O6082">+_xlfn.SWITCH(MONTH(C6082),1,1,2,1,3,1,4,2,5,2,6,3,7,3,8,3,9,3,10,2,11,2,12,1,2)</f>
        <v>1</v>
      </c>
      <c r="P6082" s="43"/>
    </row>
    <row r="6083" spans="1:16" ht="18" x14ac:dyDescent="0.35">
      <c r="A6083" s="9"/>
      <c r="C6083" s="393"/>
      <c r="E6083" s="394"/>
      <c r="F6083" s="394"/>
      <c r="G6083" s="394"/>
      <c r="I6083" s="368">
        <f t="shared" si="288"/>
        <v>0</v>
      </c>
      <c r="J6083" s="365">
        <f t="shared" si="289"/>
        <v>0</v>
      </c>
      <c r="K6083" s="369">
        <f t="shared" si="290"/>
        <v>6</v>
      </c>
      <c r="L6083" s="369">
        <f>+IF((C6083&gt;='Resultats - informe'!$E$16)*(C6083&lt;='Resultats - informe'!$G$16),1,0)</f>
        <v>1</v>
      </c>
      <c r="M6083" s="369" cm="1">
        <f t="array" ref="M6083">+_xlfn.IFS((C6083&gt;='Resultats - informe'!$D$26)*(C6083&lt;='Resultats - informe'!$E$26),0,(C6083&gt;='Resultats - informe'!$D$27)*(C6083&lt;='Resultats - informe'!$E$27),0,(C6083&gt;='Resultats - informe'!$D$28)*(C6083&lt;='Resultats - informe'!$E$28),0,(C6083&gt;='Resultats - informe'!$D$29)*(C6083&lt;='Resultats - informe'!$E$29),0,1,1)</f>
        <v>0</v>
      </c>
      <c r="N6083" s="366">
        <f>+VLOOKUP(D6083,'Resultats - informe'!$Y$18:$AG$42,'Introducció dades consum'!K6083+1,0)</f>
        <v>0</v>
      </c>
      <c r="O6083" s="370" cm="1">
        <f t="array" ref="O6083">+_xlfn.SWITCH(MONTH(C6083),1,1,2,1,3,1,4,2,5,2,6,3,7,3,8,3,9,3,10,2,11,2,12,1,2)</f>
        <v>1</v>
      </c>
      <c r="P6083" s="43"/>
    </row>
    <row r="6084" spans="1:16" ht="18" x14ac:dyDescent="0.35">
      <c r="A6084" s="9"/>
      <c r="C6084" s="393"/>
      <c r="E6084" s="394"/>
      <c r="F6084" s="394"/>
      <c r="G6084" s="394"/>
      <c r="I6084" s="368">
        <f t="shared" si="288"/>
        <v>0</v>
      </c>
      <c r="J6084" s="365">
        <f t="shared" si="289"/>
        <v>0</v>
      </c>
      <c r="K6084" s="369">
        <f t="shared" si="290"/>
        <v>6</v>
      </c>
      <c r="L6084" s="369">
        <f>+IF((C6084&gt;='Resultats - informe'!$E$16)*(C6084&lt;='Resultats - informe'!$G$16),1,0)</f>
        <v>1</v>
      </c>
      <c r="M6084" s="369" cm="1">
        <f t="array" ref="M6084">+_xlfn.IFS((C6084&gt;='Resultats - informe'!$D$26)*(C6084&lt;='Resultats - informe'!$E$26),0,(C6084&gt;='Resultats - informe'!$D$27)*(C6084&lt;='Resultats - informe'!$E$27),0,(C6084&gt;='Resultats - informe'!$D$28)*(C6084&lt;='Resultats - informe'!$E$28),0,(C6084&gt;='Resultats - informe'!$D$29)*(C6084&lt;='Resultats - informe'!$E$29),0,1,1)</f>
        <v>0</v>
      </c>
      <c r="N6084" s="366">
        <f>+VLOOKUP(D6084,'Resultats - informe'!$Y$18:$AG$42,'Introducció dades consum'!K6084+1,0)</f>
        <v>0</v>
      </c>
      <c r="O6084" s="370" cm="1">
        <f t="array" ref="O6084">+_xlfn.SWITCH(MONTH(C6084),1,1,2,1,3,1,4,2,5,2,6,3,7,3,8,3,9,3,10,2,11,2,12,1,2)</f>
        <v>1</v>
      </c>
      <c r="P6084" s="43"/>
    </row>
    <row r="6085" spans="1:16" ht="18" x14ac:dyDescent="0.35">
      <c r="A6085" s="9"/>
      <c r="C6085" s="393"/>
      <c r="E6085" s="394"/>
      <c r="F6085" s="394"/>
      <c r="G6085" s="394"/>
      <c r="I6085" s="368">
        <f t="shared" si="288"/>
        <v>0</v>
      </c>
      <c r="J6085" s="365">
        <f t="shared" si="289"/>
        <v>0</v>
      </c>
      <c r="K6085" s="369">
        <f t="shared" si="290"/>
        <v>6</v>
      </c>
      <c r="L6085" s="369">
        <f>+IF((C6085&gt;='Resultats - informe'!$E$16)*(C6085&lt;='Resultats - informe'!$G$16),1,0)</f>
        <v>1</v>
      </c>
      <c r="M6085" s="369" cm="1">
        <f t="array" ref="M6085">+_xlfn.IFS((C6085&gt;='Resultats - informe'!$D$26)*(C6085&lt;='Resultats - informe'!$E$26),0,(C6085&gt;='Resultats - informe'!$D$27)*(C6085&lt;='Resultats - informe'!$E$27),0,(C6085&gt;='Resultats - informe'!$D$28)*(C6085&lt;='Resultats - informe'!$E$28),0,(C6085&gt;='Resultats - informe'!$D$29)*(C6085&lt;='Resultats - informe'!$E$29),0,1,1)</f>
        <v>0</v>
      </c>
      <c r="N6085" s="366">
        <f>+VLOOKUP(D6085,'Resultats - informe'!$Y$18:$AG$42,'Introducció dades consum'!K6085+1,0)</f>
        <v>0</v>
      </c>
      <c r="O6085" s="370" cm="1">
        <f t="array" ref="O6085">+_xlfn.SWITCH(MONTH(C6085),1,1,2,1,3,1,4,2,5,2,6,3,7,3,8,3,9,3,10,2,11,2,12,1,2)</f>
        <v>1</v>
      </c>
      <c r="P6085" s="43"/>
    </row>
    <row r="6086" spans="1:16" ht="18" x14ac:dyDescent="0.35">
      <c r="A6086" s="9"/>
      <c r="C6086" s="393"/>
      <c r="E6086" s="394"/>
      <c r="F6086" s="394"/>
      <c r="G6086" s="394"/>
      <c r="I6086" s="368">
        <f t="shared" si="288"/>
        <v>0</v>
      </c>
      <c r="J6086" s="365">
        <f t="shared" si="289"/>
        <v>0</v>
      </c>
      <c r="K6086" s="369">
        <f t="shared" si="290"/>
        <v>6</v>
      </c>
      <c r="L6086" s="369">
        <f>+IF((C6086&gt;='Resultats - informe'!$E$16)*(C6086&lt;='Resultats - informe'!$G$16),1,0)</f>
        <v>1</v>
      </c>
      <c r="M6086" s="369" cm="1">
        <f t="array" ref="M6086">+_xlfn.IFS((C6086&gt;='Resultats - informe'!$D$26)*(C6086&lt;='Resultats - informe'!$E$26),0,(C6086&gt;='Resultats - informe'!$D$27)*(C6086&lt;='Resultats - informe'!$E$27),0,(C6086&gt;='Resultats - informe'!$D$28)*(C6086&lt;='Resultats - informe'!$E$28),0,(C6086&gt;='Resultats - informe'!$D$29)*(C6086&lt;='Resultats - informe'!$E$29),0,1,1)</f>
        <v>0</v>
      </c>
      <c r="N6086" s="366">
        <f>+VLOOKUP(D6086,'Resultats - informe'!$Y$18:$AG$42,'Introducció dades consum'!K6086+1,0)</f>
        <v>0</v>
      </c>
      <c r="O6086" s="370" cm="1">
        <f t="array" ref="O6086">+_xlfn.SWITCH(MONTH(C6086),1,1,2,1,3,1,4,2,5,2,6,3,7,3,8,3,9,3,10,2,11,2,12,1,2)</f>
        <v>1</v>
      </c>
      <c r="P6086" s="43"/>
    </row>
    <row r="6087" spans="1:16" ht="18" x14ac:dyDescent="0.35">
      <c r="A6087" s="9"/>
      <c r="C6087" s="393"/>
      <c r="E6087" s="394"/>
      <c r="F6087" s="394"/>
      <c r="G6087" s="394"/>
      <c r="I6087" s="368">
        <f t="shared" si="288"/>
        <v>0</v>
      </c>
      <c r="J6087" s="365">
        <f t="shared" si="289"/>
        <v>0</v>
      </c>
      <c r="K6087" s="369">
        <f t="shared" si="290"/>
        <v>6</v>
      </c>
      <c r="L6087" s="369">
        <f>+IF((C6087&gt;='Resultats - informe'!$E$16)*(C6087&lt;='Resultats - informe'!$G$16),1,0)</f>
        <v>1</v>
      </c>
      <c r="M6087" s="369" cm="1">
        <f t="array" ref="M6087">+_xlfn.IFS((C6087&gt;='Resultats - informe'!$D$26)*(C6087&lt;='Resultats - informe'!$E$26),0,(C6087&gt;='Resultats - informe'!$D$27)*(C6087&lt;='Resultats - informe'!$E$27),0,(C6087&gt;='Resultats - informe'!$D$28)*(C6087&lt;='Resultats - informe'!$E$28),0,(C6087&gt;='Resultats - informe'!$D$29)*(C6087&lt;='Resultats - informe'!$E$29),0,1,1)</f>
        <v>0</v>
      </c>
      <c r="N6087" s="366">
        <f>+VLOOKUP(D6087,'Resultats - informe'!$Y$18:$AG$42,'Introducció dades consum'!K6087+1,0)</f>
        <v>0</v>
      </c>
      <c r="O6087" s="370" cm="1">
        <f t="array" ref="O6087">+_xlfn.SWITCH(MONTH(C6087),1,1,2,1,3,1,4,2,5,2,6,3,7,3,8,3,9,3,10,2,11,2,12,1,2)</f>
        <v>1</v>
      </c>
      <c r="P6087" s="43"/>
    </row>
    <row r="6088" spans="1:16" ht="18" x14ac:dyDescent="0.35">
      <c r="A6088" s="9"/>
      <c r="C6088" s="393"/>
      <c r="E6088" s="394"/>
      <c r="F6088" s="394"/>
      <c r="G6088" s="394"/>
      <c r="I6088" s="368">
        <f t="shared" si="288"/>
        <v>0</v>
      </c>
      <c r="J6088" s="365">
        <f t="shared" si="289"/>
        <v>0</v>
      </c>
      <c r="K6088" s="369">
        <f t="shared" si="290"/>
        <v>6</v>
      </c>
      <c r="L6088" s="369">
        <f>+IF((C6088&gt;='Resultats - informe'!$E$16)*(C6088&lt;='Resultats - informe'!$G$16),1,0)</f>
        <v>1</v>
      </c>
      <c r="M6088" s="369" cm="1">
        <f t="array" ref="M6088">+_xlfn.IFS((C6088&gt;='Resultats - informe'!$D$26)*(C6088&lt;='Resultats - informe'!$E$26),0,(C6088&gt;='Resultats - informe'!$D$27)*(C6088&lt;='Resultats - informe'!$E$27),0,(C6088&gt;='Resultats - informe'!$D$28)*(C6088&lt;='Resultats - informe'!$E$28),0,(C6088&gt;='Resultats - informe'!$D$29)*(C6088&lt;='Resultats - informe'!$E$29),0,1,1)</f>
        <v>0</v>
      </c>
      <c r="N6088" s="366">
        <f>+VLOOKUP(D6088,'Resultats - informe'!$Y$18:$AG$42,'Introducció dades consum'!K6088+1,0)</f>
        <v>0</v>
      </c>
      <c r="O6088" s="370" cm="1">
        <f t="array" ref="O6088">+_xlfn.SWITCH(MONTH(C6088),1,1,2,1,3,1,4,2,5,2,6,3,7,3,8,3,9,3,10,2,11,2,12,1,2)</f>
        <v>1</v>
      </c>
      <c r="P6088" s="43"/>
    </row>
    <row r="6089" spans="1:16" ht="18" x14ac:dyDescent="0.35">
      <c r="A6089" s="9"/>
      <c r="C6089" s="393"/>
      <c r="E6089" s="394"/>
      <c r="F6089" s="394"/>
      <c r="G6089" s="394"/>
      <c r="I6089" s="368">
        <f t="shared" si="288"/>
        <v>0</v>
      </c>
      <c r="J6089" s="365">
        <f t="shared" si="289"/>
        <v>0</v>
      </c>
      <c r="K6089" s="369">
        <f t="shared" si="290"/>
        <v>6</v>
      </c>
      <c r="L6089" s="369">
        <f>+IF((C6089&gt;='Resultats - informe'!$E$16)*(C6089&lt;='Resultats - informe'!$G$16),1,0)</f>
        <v>1</v>
      </c>
      <c r="M6089" s="369" cm="1">
        <f t="array" ref="M6089">+_xlfn.IFS((C6089&gt;='Resultats - informe'!$D$26)*(C6089&lt;='Resultats - informe'!$E$26),0,(C6089&gt;='Resultats - informe'!$D$27)*(C6089&lt;='Resultats - informe'!$E$27),0,(C6089&gt;='Resultats - informe'!$D$28)*(C6089&lt;='Resultats - informe'!$E$28),0,(C6089&gt;='Resultats - informe'!$D$29)*(C6089&lt;='Resultats - informe'!$E$29),0,1,1)</f>
        <v>0</v>
      </c>
      <c r="N6089" s="366">
        <f>+VLOOKUP(D6089,'Resultats - informe'!$Y$18:$AG$42,'Introducció dades consum'!K6089+1,0)</f>
        <v>0</v>
      </c>
      <c r="O6089" s="370" cm="1">
        <f t="array" ref="O6089">+_xlfn.SWITCH(MONTH(C6089),1,1,2,1,3,1,4,2,5,2,6,3,7,3,8,3,9,3,10,2,11,2,12,1,2)</f>
        <v>1</v>
      </c>
      <c r="P6089" s="43"/>
    </row>
    <row r="6090" spans="1:16" ht="18" x14ac:dyDescent="0.35">
      <c r="A6090" s="9"/>
      <c r="C6090" s="393"/>
      <c r="E6090" s="394"/>
      <c r="F6090" s="394"/>
      <c r="G6090" s="394"/>
      <c r="I6090" s="368">
        <f t="shared" si="288"/>
        <v>0</v>
      </c>
      <c r="J6090" s="365">
        <f t="shared" si="289"/>
        <v>0</v>
      </c>
      <c r="K6090" s="369">
        <f t="shared" si="290"/>
        <v>6</v>
      </c>
      <c r="L6090" s="369">
        <f>+IF((C6090&gt;='Resultats - informe'!$E$16)*(C6090&lt;='Resultats - informe'!$G$16),1,0)</f>
        <v>1</v>
      </c>
      <c r="M6090" s="369" cm="1">
        <f t="array" ref="M6090">+_xlfn.IFS((C6090&gt;='Resultats - informe'!$D$26)*(C6090&lt;='Resultats - informe'!$E$26),0,(C6090&gt;='Resultats - informe'!$D$27)*(C6090&lt;='Resultats - informe'!$E$27),0,(C6090&gt;='Resultats - informe'!$D$28)*(C6090&lt;='Resultats - informe'!$E$28),0,(C6090&gt;='Resultats - informe'!$D$29)*(C6090&lt;='Resultats - informe'!$E$29),0,1,1)</f>
        <v>0</v>
      </c>
      <c r="N6090" s="366">
        <f>+VLOOKUP(D6090,'Resultats - informe'!$Y$18:$AG$42,'Introducció dades consum'!K6090+1,0)</f>
        <v>0</v>
      </c>
      <c r="O6090" s="370" cm="1">
        <f t="array" ref="O6090">+_xlfn.SWITCH(MONTH(C6090),1,1,2,1,3,1,4,2,5,2,6,3,7,3,8,3,9,3,10,2,11,2,12,1,2)</f>
        <v>1</v>
      </c>
      <c r="P6090" s="43"/>
    </row>
    <row r="6091" spans="1:16" ht="18" x14ac:dyDescent="0.35">
      <c r="A6091" s="9"/>
      <c r="C6091" s="393"/>
      <c r="E6091" s="394"/>
      <c r="F6091" s="394"/>
      <c r="G6091" s="394"/>
      <c r="I6091" s="368">
        <f t="shared" si="288"/>
        <v>0</v>
      </c>
      <c r="J6091" s="365">
        <f t="shared" si="289"/>
        <v>0</v>
      </c>
      <c r="K6091" s="369">
        <f t="shared" si="290"/>
        <v>6</v>
      </c>
      <c r="L6091" s="369">
        <f>+IF((C6091&gt;='Resultats - informe'!$E$16)*(C6091&lt;='Resultats - informe'!$G$16),1,0)</f>
        <v>1</v>
      </c>
      <c r="M6091" s="369" cm="1">
        <f t="array" ref="M6091">+_xlfn.IFS((C6091&gt;='Resultats - informe'!$D$26)*(C6091&lt;='Resultats - informe'!$E$26),0,(C6091&gt;='Resultats - informe'!$D$27)*(C6091&lt;='Resultats - informe'!$E$27),0,(C6091&gt;='Resultats - informe'!$D$28)*(C6091&lt;='Resultats - informe'!$E$28),0,(C6091&gt;='Resultats - informe'!$D$29)*(C6091&lt;='Resultats - informe'!$E$29),0,1,1)</f>
        <v>0</v>
      </c>
      <c r="N6091" s="366">
        <f>+VLOOKUP(D6091,'Resultats - informe'!$Y$18:$AG$42,'Introducció dades consum'!K6091+1,0)</f>
        <v>0</v>
      </c>
      <c r="O6091" s="370" cm="1">
        <f t="array" ref="O6091">+_xlfn.SWITCH(MONTH(C6091),1,1,2,1,3,1,4,2,5,2,6,3,7,3,8,3,9,3,10,2,11,2,12,1,2)</f>
        <v>1</v>
      </c>
      <c r="P6091" s="43"/>
    </row>
    <row r="6092" spans="1:16" ht="18" x14ac:dyDescent="0.35">
      <c r="A6092" s="9"/>
      <c r="C6092" s="393"/>
      <c r="E6092" s="394"/>
      <c r="F6092" s="394"/>
      <c r="G6092" s="394"/>
      <c r="I6092" s="368">
        <f t="shared" si="288"/>
        <v>0</v>
      </c>
      <c r="J6092" s="365">
        <f t="shared" si="289"/>
        <v>0</v>
      </c>
      <c r="K6092" s="369">
        <f t="shared" si="290"/>
        <v>6</v>
      </c>
      <c r="L6092" s="369">
        <f>+IF((C6092&gt;='Resultats - informe'!$E$16)*(C6092&lt;='Resultats - informe'!$G$16),1,0)</f>
        <v>1</v>
      </c>
      <c r="M6092" s="369" cm="1">
        <f t="array" ref="M6092">+_xlfn.IFS((C6092&gt;='Resultats - informe'!$D$26)*(C6092&lt;='Resultats - informe'!$E$26),0,(C6092&gt;='Resultats - informe'!$D$27)*(C6092&lt;='Resultats - informe'!$E$27),0,(C6092&gt;='Resultats - informe'!$D$28)*(C6092&lt;='Resultats - informe'!$E$28),0,(C6092&gt;='Resultats - informe'!$D$29)*(C6092&lt;='Resultats - informe'!$E$29),0,1,1)</f>
        <v>0</v>
      </c>
      <c r="N6092" s="366">
        <f>+VLOOKUP(D6092,'Resultats - informe'!$Y$18:$AG$42,'Introducció dades consum'!K6092+1,0)</f>
        <v>0</v>
      </c>
      <c r="O6092" s="370" cm="1">
        <f t="array" ref="O6092">+_xlfn.SWITCH(MONTH(C6092),1,1,2,1,3,1,4,2,5,2,6,3,7,3,8,3,9,3,10,2,11,2,12,1,2)</f>
        <v>1</v>
      </c>
      <c r="P6092" s="43"/>
    </row>
    <row r="6093" spans="1:16" ht="18" x14ac:dyDescent="0.35">
      <c r="A6093" s="9"/>
      <c r="C6093" s="393"/>
      <c r="E6093" s="394"/>
      <c r="F6093" s="394"/>
      <c r="G6093" s="394"/>
      <c r="I6093" s="368">
        <f t="shared" si="288"/>
        <v>0</v>
      </c>
      <c r="J6093" s="365">
        <f t="shared" si="289"/>
        <v>0</v>
      </c>
      <c r="K6093" s="369">
        <f t="shared" si="290"/>
        <v>6</v>
      </c>
      <c r="L6093" s="369">
        <f>+IF((C6093&gt;='Resultats - informe'!$E$16)*(C6093&lt;='Resultats - informe'!$G$16),1,0)</f>
        <v>1</v>
      </c>
      <c r="M6093" s="369" cm="1">
        <f t="array" ref="M6093">+_xlfn.IFS((C6093&gt;='Resultats - informe'!$D$26)*(C6093&lt;='Resultats - informe'!$E$26),0,(C6093&gt;='Resultats - informe'!$D$27)*(C6093&lt;='Resultats - informe'!$E$27),0,(C6093&gt;='Resultats - informe'!$D$28)*(C6093&lt;='Resultats - informe'!$E$28),0,(C6093&gt;='Resultats - informe'!$D$29)*(C6093&lt;='Resultats - informe'!$E$29),0,1,1)</f>
        <v>0</v>
      </c>
      <c r="N6093" s="366">
        <f>+VLOOKUP(D6093,'Resultats - informe'!$Y$18:$AG$42,'Introducció dades consum'!K6093+1,0)</f>
        <v>0</v>
      </c>
      <c r="O6093" s="370" cm="1">
        <f t="array" ref="O6093">+_xlfn.SWITCH(MONTH(C6093),1,1,2,1,3,1,4,2,5,2,6,3,7,3,8,3,9,3,10,2,11,2,12,1,2)</f>
        <v>1</v>
      </c>
      <c r="P6093" s="43"/>
    </row>
    <row r="6094" spans="1:16" ht="18" x14ac:dyDescent="0.35">
      <c r="A6094" s="9"/>
      <c r="C6094" s="393"/>
      <c r="E6094" s="394"/>
      <c r="F6094" s="394"/>
      <c r="G6094" s="394"/>
      <c r="I6094" s="368">
        <f t="shared" si="288"/>
        <v>0</v>
      </c>
      <c r="J6094" s="365">
        <f t="shared" si="289"/>
        <v>0</v>
      </c>
      <c r="K6094" s="369">
        <f t="shared" si="290"/>
        <v>6</v>
      </c>
      <c r="L6094" s="369">
        <f>+IF((C6094&gt;='Resultats - informe'!$E$16)*(C6094&lt;='Resultats - informe'!$G$16),1,0)</f>
        <v>1</v>
      </c>
      <c r="M6094" s="369" cm="1">
        <f t="array" ref="M6094">+_xlfn.IFS((C6094&gt;='Resultats - informe'!$D$26)*(C6094&lt;='Resultats - informe'!$E$26),0,(C6094&gt;='Resultats - informe'!$D$27)*(C6094&lt;='Resultats - informe'!$E$27),0,(C6094&gt;='Resultats - informe'!$D$28)*(C6094&lt;='Resultats - informe'!$E$28),0,(C6094&gt;='Resultats - informe'!$D$29)*(C6094&lt;='Resultats - informe'!$E$29),0,1,1)</f>
        <v>0</v>
      </c>
      <c r="N6094" s="366">
        <f>+VLOOKUP(D6094,'Resultats - informe'!$Y$18:$AG$42,'Introducció dades consum'!K6094+1,0)</f>
        <v>0</v>
      </c>
      <c r="O6094" s="370" cm="1">
        <f t="array" ref="O6094">+_xlfn.SWITCH(MONTH(C6094),1,1,2,1,3,1,4,2,5,2,6,3,7,3,8,3,9,3,10,2,11,2,12,1,2)</f>
        <v>1</v>
      </c>
      <c r="P6094" s="43"/>
    </row>
    <row r="6095" spans="1:16" ht="18" x14ac:dyDescent="0.35">
      <c r="A6095" s="9"/>
      <c r="C6095" s="393"/>
      <c r="E6095" s="394"/>
      <c r="F6095" s="394"/>
      <c r="G6095" s="394"/>
      <c r="I6095" s="368">
        <f t="shared" si="288"/>
        <v>0</v>
      </c>
      <c r="J6095" s="365">
        <f t="shared" si="289"/>
        <v>0</v>
      </c>
      <c r="K6095" s="369">
        <f t="shared" si="290"/>
        <v>6</v>
      </c>
      <c r="L6095" s="369">
        <f>+IF((C6095&gt;='Resultats - informe'!$E$16)*(C6095&lt;='Resultats - informe'!$G$16),1,0)</f>
        <v>1</v>
      </c>
      <c r="M6095" s="369" cm="1">
        <f t="array" ref="M6095">+_xlfn.IFS((C6095&gt;='Resultats - informe'!$D$26)*(C6095&lt;='Resultats - informe'!$E$26),0,(C6095&gt;='Resultats - informe'!$D$27)*(C6095&lt;='Resultats - informe'!$E$27),0,(C6095&gt;='Resultats - informe'!$D$28)*(C6095&lt;='Resultats - informe'!$E$28),0,(C6095&gt;='Resultats - informe'!$D$29)*(C6095&lt;='Resultats - informe'!$E$29),0,1,1)</f>
        <v>0</v>
      </c>
      <c r="N6095" s="366">
        <f>+VLOOKUP(D6095,'Resultats - informe'!$Y$18:$AG$42,'Introducció dades consum'!K6095+1,0)</f>
        <v>0</v>
      </c>
      <c r="O6095" s="370" cm="1">
        <f t="array" ref="O6095">+_xlfn.SWITCH(MONTH(C6095),1,1,2,1,3,1,4,2,5,2,6,3,7,3,8,3,9,3,10,2,11,2,12,1,2)</f>
        <v>1</v>
      </c>
      <c r="P6095" s="43"/>
    </row>
    <row r="6096" spans="1:16" ht="18" x14ac:dyDescent="0.35">
      <c r="A6096" s="9"/>
      <c r="C6096" s="393"/>
      <c r="E6096" s="394"/>
      <c r="F6096" s="394"/>
      <c r="G6096" s="394"/>
      <c r="I6096" s="368">
        <f t="shared" si="288"/>
        <v>0</v>
      </c>
      <c r="J6096" s="365">
        <f t="shared" si="289"/>
        <v>0</v>
      </c>
      <c r="K6096" s="369">
        <f t="shared" si="290"/>
        <v>6</v>
      </c>
      <c r="L6096" s="369">
        <f>+IF((C6096&gt;='Resultats - informe'!$E$16)*(C6096&lt;='Resultats - informe'!$G$16),1,0)</f>
        <v>1</v>
      </c>
      <c r="M6096" s="369" cm="1">
        <f t="array" ref="M6096">+_xlfn.IFS((C6096&gt;='Resultats - informe'!$D$26)*(C6096&lt;='Resultats - informe'!$E$26),0,(C6096&gt;='Resultats - informe'!$D$27)*(C6096&lt;='Resultats - informe'!$E$27),0,(C6096&gt;='Resultats - informe'!$D$28)*(C6096&lt;='Resultats - informe'!$E$28),0,(C6096&gt;='Resultats - informe'!$D$29)*(C6096&lt;='Resultats - informe'!$E$29),0,1,1)</f>
        <v>0</v>
      </c>
      <c r="N6096" s="366">
        <f>+VLOOKUP(D6096,'Resultats - informe'!$Y$18:$AG$42,'Introducció dades consum'!K6096+1,0)</f>
        <v>0</v>
      </c>
      <c r="O6096" s="370" cm="1">
        <f t="array" ref="O6096">+_xlfn.SWITCH(MONTH(C6096),1,1,2,1,3,1,4,2,5,2,6,3,7,3,8,3,9,3,10,2,11,2,12,1,2)</f>
        <v>1</v>
      </c>
      <c r="P6096" s="43"/>
    </row>
    <row r="6097" spans="1:16" ht="18" x14ac:dyDescent="0.35">
      <c r="A6097" s="9"/>
      <c r="C6097" s="393"/>
      <c r="E6097" s="394"/>
      <c r="F6097" s="394"/>
      <c r="G6097" s="394"/>
      <c r="I6097" s="368">
        <f t="shared" si="288"/>
        <v>0</v>
      </c>
      <c r="J6097" s="365">
        <f t="shared" si="289"/>
        <v>0</v>
      </c>
      <c r="K6097" s="369">
        <f t="shared" si="290"/>
        <v>6</v>
      </c>
      <c r="L6097" s="369">
        <f>+IF((C6097&gt;='Resultats - informe'!$E$16)*(C6097&lt;='Resultats - informe'!$G$16),1,0)</f>
        <v>1</v>
      </c>
      <c r="M6097" s="369" cm="1">
        <f t="array" ref="M6097">+_xlfn.IFS((C6097&gt;='Resultats - informe'!$D$26)*(C6097&lt;='Resultats - informe'!$E$26),0,(C6097&gt;='Resultats - informe'!$D$27)*(C6097&lt;='Resultats - informe'!$E$27),0,(C6097&gt;='Resultats - informe'!$D$28)*(C6097&lt;='Resultats - informe'!$E$28),0,(C6097&gt;='Resultats - informe'!$D$29)*(C6097&lt;='Resultats - informe'!$E$29),0,1,1)</f>
        <v>0</v>
      </c>
      <c r="N6097" s="366">
        <f>+VLOOKUP(D6097,'Resultats - informe'!$Y$18:$AG$42,'Introducció dades consum'!K6097+1,0)</f>
        <v>0</v>
      </c>
      <c r="O6097" s="370" cm="1">
        <f t="array" ref="O6097">+_xlfn.SWITCH(MONTH(C6097),1,1,2,1,3,1,4,2,5,2,6,3,7,3,8,3,9,3,10,2,11,2,12,1,2)</f>
        <v>1</v>
      </c>
      <c r="P6097" s="43"/>
    </row>
    <row r="6098" spans="1:16" ht="18" x14ac:dyDescent="0.35">
      <c r="A6098" s="9"/>
      <c r="C6098" s="393"/>
      <c r="E6098" s="394"/>
      <c r="F6098" s="394"/>
      <c r="G6098" s="394"/>
      <c r="I6098" s="368">
        <f t="shared" ref="I6098:I6161" si="291">+E6098+G6098</f>
        <v>0</v>
      </c>
      <c r="J6098" s="365">
        <f t="shared" ref="J6098:J6161" si="292">+C6098</f>
        <v>0</v>
      </c>
      <c r="K6098" s="369">
        <f t="shared" ref="K6098:K6161" si="293">+WEEKDAY(C6098,2)</f>
        <v>6</v>
      </c>
      <c r="L6098" s="369">
        <f>+IF((C6098&gt;='Resultats - informe'!$E$16)*(C6098&lt;='Resultats - informe'!$G$16),1,0)</f>
        <v>1</v>
      </c>
      <c r="M6098" s="369" cm="1">
        <f t="array" ref="M6098">+_xlfn.IFS((C6098&gt;='Resultats - informe'!$D$26)*(C6098&lt;='Resultats - informe'!$E$26),0,(C6098&gt;='Resultats - informe'!$D$27)*(C6098&lt;='Resultats - informe'!$E$27),0,(C6098&gt;='Resultats - informe'!$D$28)*(C6098&lt;='Resultats - informe'!$E$28),0,(C6098&gt;='Resultats - informe'!$D$29)*(C6098&lt;='Resultats - informe'!$E$29),0,1,1)</f>
        <v>0</v>
      </c>
      <c r="N6098" s="366">
        <f>+VLOOKUP(D6098,'Resultats - informe'!$Y$18:$AG$42,'Introducció dades consum'!K6098+1,0)</f>
        <v>0</v>
      </c>
      <c r="O6098" s="370" cm="1">
        <f t="array" ref="O6098">+_xlfn.SWITCH(MONTH(C6098),1,1,2,1,3,1,4,2,5,2,6,3,7,3,8,3,9,3,10,2,11,2,12,1,2)</f>
        <v>1</v>
      </c>
      <c r="P6098" s="43"/>
    </row>
    <row r="6099" spans="1:16" ht="18" x14ac:dyDescent="0.35">
      <c r="A6099" s="9"/>
      <c r="C6099" s="393"/>
      <c r="E6099" s="394"/>
      <c r="F6099" s="394"/>
      <c r="G6099" s="394"/>
      <c r="I6099" s="368">
        <f t="shared" si="291"/>
        <v>0</v>
      </c>
      <c r="J6099" s="365">
        <f t="shared" si="292"/>
        <v>0</v>
      </c>
      <c r="K6099" s="369">
        <f t="shared" si="293"/>
        <v>6</v>
      </c>
      <c r="L6099" s="369">
        <f>+IF((C6099&gt;='Resultats - informe'!$E$16)*(C6099&lt;='Resultats - informe'!$G$16),1,0)</f>
        <v>1</v>
      </c>
      <c r="M6099" s="369" cm="1">
        <f t="array" ref="M6099">+_xlfn.IFS((C6099&gt;='Resultats - informe'!$D$26)*(C6099&lt;='Resultats - informe'!$E$26),0,(C6099&gt;='Resultats - informe'!$D$27)*(C6099&lt;='Resultats - informe'!$E$27),0,(C6099&gt;='Resultats - informe'!$D$28)*(C6099&lt;='Resultats - informe'!$E$28),0,(C6099&gt;='Resultats - informe'!$D$29)*(C6099&lt;='Resultats - informe'!$E$29),0,1,1)</f>
        <v>0</v>
      </c>
      <c r="N6099" s="366">
        <f>+VLOOKUP(D6099,'Resultats - informe'!$Y$18:$AG$42,'Introducció dades consum'!K6099+1,0)</f>
        <v>0</v>
      </c>
      <c r="O6099" s="370" cm="1">
        <f t="array" ref="O6099">+_xlfn.SWITCH(MONTH(C6099),1,1,2,1,3,1,4,2,5,2,6,3,7,3,8,3,9,3,10,2,11,2,12,1,2)</f>
        <v>1</v>
      </c>
      <c r="P6099" s="43"/>
    </row>
    <row r="6100" spans="1:16" ht="18" x14ac:dyDescent="0.35">
      <c r="A6100" s="9"/>
      <c r="C6100" s="393"/>
      <c r="E6100" s="394"/>
      <c r="F6100" s="394"/>
      <c r="G6100" s="394"/>
      <c r="I6100" s="368">
        <f t="shared" si="291"/>
        <v>0</v>
      </c>
      <c r="J6100" s="365">
        <f t="shared" si="292"/>
        <v>0</v>
      </c>
      <c r="K6100" s="369">
        <f t="shared" si="293"/>
        <v>6</v>
      </c>
      <c r="L6100" s="369">
        <f>+IF((C6100&gt;='Resultats - informe'!$E$16)*(C6100&lt;='Resultats - informe'!$G$16),1,0)</f>
        <v>1</v>
      </c>
      <c r="M6100" s="369" cm="1">
        <f t="array" ref="M6100">+_xlfn.IFS((C6100&gt;='Resultats - informe'!$D$26)*(C6100&lt;='Resultats - informe'!$E$26),0,(C6100&gt;='Resultats - informe'!$D$27)*(C6100&lt;='Resultats - informe'!$E$27),0,(C6100&gt;='Resultats - informe'!$D$28)*(C6100&lt;='Resultats - informe'!$E$28),0,(C6100&gt;='Resultats - informe'!$D$29)*(C6100&lt;='Resultats - informe'!$E$29),0,1,1)</f>
        <v>0</v>
      </c>
      <c r="N6100" s="366">
        <f>+VLOOKUP(D6100,'Resultats - informe'!$Y$18:$AG$42,'Introducció dades consum'!K6100+1,0)</f>
        <v>0</v>
      </c>
      <c r="O6100" s="370" cm="1">
        <f t="array" ref="O6100">+_xlfn.SWITCH(MONTH(C6100),1,1,2,1,3,1,4,2,5,2,6,3,7,3,8,3,9,3,10,2,11,2,12,1,2)</f>
        <v>1</v>
      </c>
      <c r="P6100" s="43"/>
    </row>
    <row r="6101" spans="1:16" ht="18" x14ac:dyDescent="0.35">
      <c r="A6101" s="9"/>
      <c r="C6101" s="393"/>
      <c r="E6101" s="394"/>
      <c r="F6101" s="394"/>
      <c r="G6101" s="394"/>
      <c r="I6101" s="368">
        <f t="shared" si="291"/>
        <v>0</v>
      </c>
      <c r="J6101" s="365">
        <f t="shared" si="292"/>
        <v>0</v>
      </c>
      <c r="K6101" s="369">
        <f t="shared" si="293"/>
        <v>6</v>
      </c>
      <c r="L6101" s="369">
        <f>+IF((C6101&gt;='Resultats - informe'!$E$16)*(C6101&lt;='Resultats - informe'!$G$16),1,0)</f>
        <v>1</v>
      </c>
      <c r="M6101" s="369" cm="1">
        <f t="array" ref="M6101">+_xlfn.IFS((C6101&gt;='Resultats - informe'!$D$26)*(C6101&lt;='Resultats - informe'!$E$26),0,(C6101&gt;='Resultats - informe'!$D$27)*(C6101&lt;='Resultats - informe'!$E$27),0,(C6101&gt;='Resultats - informe'!$D$28)*(C6101&lt;='Resultats - informe'!$E$28),0,(C6101&gt;='Resultats - informe'!$D$29)*(C6101&lt;='Resultats - informe'!$E$29),0,1,1)</f>
        <v>0</v>
      </c>
      <c r="N6101" s="366">
        <f>+VLOOKUP(D6101,'Resultats - informe'!$Y$18:$AG$42,'Introducció dades consum'!K6101+1,0)</f>
        <v>0</v>
      </c>
      <c r="O6101" s="370" cm="1">
        <f t="array" ref="O6101">+_xlfn.SWITCH(MONTH(C6101),1,1,2,1,3,1,4,2,5,2,6,3,7,3,8,3,9,3,10,2,11,2,12,1,2)</f>
        <v>1</v>
      </c>
      <c r="P6101" s="43"/>
    </row>
    <row r="6102" spans="1:16" ht="18" x14ac:dyDescent="0.35">
      <c r="A6102" s="9"/>
      <c r="C6102" s="393"/>
      <c r="E6102" s="394"/>
      <c r="F6102" s="394"/>
      <c r="G6102" s="394"/>
      <c r="I6102" s="368">
        <f t="shared" si="291"/>
        <v>0</v>
      </c>
      <c r="J6102" s="365">
        <f t="shared" si="292"/>
        <v>0</v>
      </c>
      <c r="K6102" s="369">
        <f t="shared" si="293"/>
        <v>6</v>
      </c>
      <c r="L6102" s="369">
        <f>+IF((C6102&gt;='Resultats - informe'!$E$16)*(C6102&lt;='Resultats - informe'!$G$16),1,0)</f>
        <v>1</v>
      </c>
      <c r="M6102" s="369" cm="1">
        <f t="array" ref="M6102">+_xlfn.IFS((C6102&gt;='Resultats - informe'!$D$26)*(C6102&lt;='Resultats - informe'!$E$26),0,(C6102&gt;='Resultats - informe'!$D$27)*(C6102&lt;='Resultats - informe'!$E$27),0,(C6102&gt;='Resultats - informe'!$D$28)*(C6102&lt;='Resultats - informe'!$E$28),0,(C6102&gt;='Resultats - informe'!$D$29)*(C6102&lt;='Resultats - informe'!$E$29),0,1,1)</f>
        <v>0</v>
      </c>
      <c r="N6102" s="366">
        <f>+VLOOKUP(D6102,'Resultats - informe'!$Y$18:$AG$42,'Introducció dades consum'!K6102+1,0)</f>
        <v>0</v>
      </c>
      <c r="O6102" s="370" cm="1">
        <f t="array" ref="O6102">+_xlfn.SWITCH(MONTH(C6102),1,1,2,1,3,1,4,2,5,2,6,3,7,3,8,3,9,3,10,2,11,2,12,1,2)</f>
        <v>1</v>
      </c>
      <c r="P6102" s="43"/>
    </row>
    <row r="6103" spans="1:16" ht="18" x14ac:dyDescent="0.35">
      <c r="A6103" s="9"/>
      <c r="C6103" s="393"/>
      <c r="E6103" s="394"/>
      <c r="F6103" s="394"/>
      <c r="G6103" s="394"/>
      <c r="I6103" s="368">
        <f t="shared" si="291"/>
        <v>0</v>
      </c>
      <c r="J6103" s="365">
        <f t="shared" si="292"/>
        <v>0</v>
      </c>
      <c r="K6103" s="369">
        <f t="shared" si="293"/>
        <v>6</v>
      </c>
      <c r="L6103" s="369">
        <f>+IF((C6103&gt;='Resultats - informe'!$E$16)*(C6103&lt;='Resultats - informe'!$G$16),1,0)</f>
        <v>1</v>
      </c>
      <c r="M6103" s="369" cm="1">
        <f t="array" ref="M6103">+_xlfn.IFS((C6103&gt;='Resultats - informe'!$D$26)*(C6103&lt;='Resultats - informe'!$E$26),0,(C6103&gt;='Resultats - informe'!$D$27)*(C6103&lt;='Resultats - informe'!$E$27),0,(C6103&gt;='Resultats - informe'!$D$28)*(C6103&lt;='Resultats - informe'!$E$28),0,(C6103&gt;='Resultats - informe'!$D$29)*(C6103&lt;='Resultats - informe'!$E$29),0,1,1)</f>
        <v>0</v>
      </c>
      <c r="N6103" s="366">
        <f>+VLOOKUP(D6103,'Resultats - informe'!$Y$18:$AG$42,'Introducció dades consum'!K6103+1,0)</f>
        <v>0</v>
      </c>
      <c r="O6103" s="370" cm="1">
        <f t="array" ref="O6103">+_xlfn.SWITCH(MONTH(C6103),1,1,2,1,3,1,4,2,5,2,6,3,7,3,8,3,9,3,10,2,11,2,12,1,2)</f>
        <v>1</v>
      </c>
      <c r="P6103" s="43"/>
    </row>
    <row r="6104" spans="1:16" ht="18" x14ac:dyDescent="0.35">
      <c r="A6104" s="9"/>
      <c r="C6104" s="393"/>
      <c r="E6104" s="394"/>
      <c r="F6104" s="394"/>
      <c r="G6104" s="394"/>
      <c r="I6104" s="368">
        <f t="shared" si="291"/>
        <v>0</v>
      </c>
      <c r="J6104" s="365">
        <f t="shared" si="292"/>
        <v>0</v>
      </c>
      <c r="K6104" s="369">
        <f t="shared" si="293"/>
        <v>6</v>
      </c>
      <c r="L6104" s="369">
        <f>+IF((C6104&gt;='Resultats - informe'!$E$16)*(C6104&lt;='Resultats - informe'!$G$16),1,0)</f>
        <v>1</v>
      </c>
      <c r="M6104" s="369" cm="1">
        <f t="array" ref="M6104">+_xlfn.IFS((C6104&gt;='Resultats - informe'!$D$26)*(C6104&lt;='Resultats - informe'!$E$26),0,(C6104&gt;='Resultats - informe'!$D$27)*(C6104&lt;='Resultats - informe'!$E$27),0,(C6104&gt;='Resultats - informe'!$D$28)*(C6104&lt;='Resultats - informe'!$E$28),0,(C6104&gt;='Resultats - informe'!$D$29)*(C6104&lt;='Resultats - informe'!$E$29),0,1,1)</f>
        <v>0</v>
      </c>
      <c r="N6104" s="366">
        <f>+VLOOKUP(D6104,'Resultats - informe'!$Y$18:$AG$42,'Introducció dades consum'!K6104+1,0)</f>
        <v>0</v>
      </c>
      <c r="O6104" s="370" cm="1">
        <f t="array" ref="O6104">+_xlfn.SWITCH(MONTH(C6104),1,1,2,1,3,1,4,2,5,2,6,3,7,3,8,3,9,3,10,2,11,2,12,1,2)</f>
        <v>1</v>
      </c>
      <c r="P6104" s="43"/>
    </row>
    <row r="6105" spans="1:16" ht="18" x14ac:dyDescent="0.35">
      <c r="A6105" s="9"/>
      <c r="C6105" s="393"/>
      <c r="E6105" s="394"/>
      <c r="F6105" s="394"/>
      <c r="G6105" s="394"/>
      <c r="I6105" s="368">
        <f t="shared" si="291"/>
        <v>0</v>
      </c>
      <c r="J6105" s="365">
        <f t="shared" si="292"/>
        <v>0</v>
      </c>
      <c r="K6105" s="369">
        <f t="shared" si="293"/>
        <v>6</v>
      </c>
      <c r="L6105" s="369">
        <f>+IF((C6105&gt;='Resultats - informe'!$E$16)*(C6105&lt;='Resultats - informe'!$G$16),1,0)</f>
        <v>1</v>
      </c>
      <c r="M6105" s="369" cm="1">
        <f t="array" ref="M6105">+_xlfn.IFS((C6105&gt;='Resultats - informe'!$D$26)*(C6105&lt;='Resultats - informe'!$E$26),0,(C6105&gt;='Resultats - informe'!$D$27)*(C6105&lt;='Resultats - informe'!$E$27),0,(C6105&gt;='Resultats - informe'!$D$28)*(C6105&lt;='Resultats - informe'!$E$28),0,(C6105&gt;='Resultats - informe'!$D$29)*(C6105&lt;='Resultats - informe'!$E$29),0,1,1)</f>
        <v>0</v>
      </c>
      <c r="N6105" s="366">
        <f>+VLOOKUP(D6105,'Resultats - informe'!$Y$18:$AG$42,'Introducció dades consum'!K6105+1,0)</f>
        <v>0</v>
      </c>
      <c r="O6105" s="370" cm="1">
        <f t="array" ref="O6105">+_xlfn.SWITCH(MONTH(C6105),1,1,2,1,3,1,4,2,5,2,6,3,7,3,8,3,9,3,10,2,11,2,12,1,2)</f>
        <v>1</v>
      </c>
      <c r="P6105" s="43"/>
    </row>
    <row r="6106" spans="1:16" ht="18" x14ac:dyDescent="0.35">
      <c r="A6106" s="9"/>
      <c r="C6106" s="393"/>
      <c r="E6106" s="394"/>
      <c r="F6106" s="394"/>
      <c r="G6106" s="394"/>
      <c r="I6106" s="368">
        <f t="shared" si="291"/>
        <v>0</v>
      </c>
      <c r="J6106" s="365">
        <f t="shared" si="292"/>
        <v>0</v>
      </c>
      <c r="K6106" s="369">
        <f t="shared" si="293"/>
        <v>6</v>
      </c>
      <c r="L6106" s="369">
        <f>+IF((C6106&gt;='Resultats - informe'!$E$16)*(C6106&lt;='Resultats - informe'!$G$16),1,0)</f>
        <v>1</v>
      </c>
      <c r="M6106" s="369" cm="1">
        <f t="array" ref="M6106">+_xlfn.IFS((C6106&gt;='Resultats - informe'!$D$26)*(C6106&lt;='Resultats - informe'!$E$26),0,(C6106&gt;='Resultats - informe'!$D$27)*(C6106&lt;='Resultats - informe'!$E$27),0,(C6106&gt;='Resultats - informe'!$D$28)*(C6106&lt;='Resultats - informe'!$E$28),0,(C6106&gt;='Resultats - informe'!$D$29)*(C6106&lt;='Resultats - informe'!$E$29),0,1,1)</f>
        <v>0</v>
      </c>
      <c r="N6106" s="366">
        <f>+VLOOKUP(D6106,'Resultats - informe'!$Y$18:$AG$42,'Introducció dades consum'!K6106+1,0)</f>
        <v>0</v>
      </c>
      <c r="O6106" s="370" cm="1">
        <f t="array" ref="O6106">+_xlfn.SWITCH(MONTH(C6106),1,1,2,1,3,1,4,2,5,2,6,3,7,3,8,3,9,3,10,2,11,2,12,1,2)</f>
        <v>1</v>
      </c>
      <c r="P6106" s="43"/>
    </row>
    <row r="6107" spans="1:16" ht="18" x14ac:dyDescent="0.35">
      <c r="A6107" s="9"/>
      <c r="C6107" s="393"/>
      <c r="E6107" s="394"/>
      <c r="F6107" s="394"/>
      <c r="G6107" s="394"/>
      <c r="I6107" s="368">
        <f t="shared" si="291"/>
        <v>0</v>
      </c>
      <c r="J6107" s="365">
        <f t="shared" si="292"/>
        <v>0</v>
      </c>
      <c r="K6107" s="369">
        <f t="shared" si="293"/>
        <v>6</v>
      </c>
      <c r="L6107" s="369">
        <f>+IF((C6107&gt;='Resultats - informe'!$E$16)*(C6107&lt;='Resultats - informe'!$G$16),1,0)</f>
        <v>1</v>
      </c>
      <c r="M6107" s="369" cm="1">
        <f t="array" ref="M6107">+_xlfn.IFS((C6107&gt;='Resultats - informe'!$D$26)*(C6107&lt;='Resultats - informe'!$E$26),0,(C6107&gt;='Resultats - informe'!$D$27)*(C6107&lt;='Resultats - informe'!$E$27),0,(C6107&gt;='Resultats - informe'!$D$28)*(C6107&lt;='Resultats - informe'!$E$28),0,(C6107&gt;='Resultats - informe'!$D$29)*(C6107&lt;='Resultats - informe'!$E$29),0,1,1)</f>
        <v>0</v>
      </c>
      <c r="N6107" s="366">
        <f>+VLOOKUP(D6107,'Resultats - informe'!$Y$18:$AG$42,'Introducció dades consum'!K6107+1,0)</f>
        <v>0</v>
      </c>
      <c r="O6107" s="370" cm="1">
        <f t="array" ref="O6107">+_xlfn.SWITCH(MONTH(C6107),1,1,2,1,3,1,4,2,5,2,6,3,7,3,8,3,9,3,10,2,11,2,12,1,2)</f>
        <v>1</v>
      </c>
      <c r="P6107" s="43"/>
    </row>
    <row r="6108" spans="1:16" ht="18" x14ac:dyDescent="0.35">
      <c r="A6108" s="9"/>
      <c r="C6108" s="393"/>
      <c r="E6108" s="394"/>
      <c r="F6108" s="394"/>
      <c r="G6108" s="394"/>
      <c r="I6108" s="368">
        <f t="shared" si="291"/>
        <v>0</v>
      </c>
      <c r="J6108" s="365">
        <f t="shared" si="292"/>
        <v>0</v>
      </c>
      <c r="K6108" s="369">
        <f t="shared" si="293"/>
        <v>6</v>
      </c>
      <c r="L6108" s="369">
        <f>+IF((C6108&gt;='Resultats - informe'!$E$16)*(C6108&lt;='Resultats - informe'!$G$16),1,0)</f>
        <v>1</v>
      </c>
      <c r="M6108" s="369" cm="1">
        <f t="array" ref="M6108">+_xlfn.IFS((C6108&gt;='Resultats - informe'!$D$26)*(C6108&lt;='Resultats - informe'!$E$26),0,(C6108&gt;='Resultats - informe'!$D$27)*(C6108&lt;='Resultats - informe'!$E$27),0,(C6108&gt;='Resultats - informe'!$D$28)*(C6108&lt;='Resultats - informe'!$E$28),0,(C6108&gt;='Resultats - informe'!$D$29)*(C6108&lt;='Resultats - informe'!$E$29),0,1,1)</f>
        <v>0</v>
      </c>
      <c r="N6108" s="366">
        <f>+VLOOKUP(D6108,'Resultats - informe'!$Y$18:$AG$42,'Introducció dades consum'!K6108+1,0)</f>
        <v>0</v>
      </c>
      <c r="O6108" s="370" cm="1">
        <f t="array" ref="O6108">+_xlfn.SWITCH(MONTH(C6108),1,1,2,1,3,1,4,2,5,2,6,3,7,3,8,3,9,3,10,2,11,2,12,1,2)</f>
        <v>1</v>
      </c>
      <c r="P6108" s="43"/>
    </row>
    <row r="6109" spans="1:16" ht="18" x14ac:dyDescent="0.35">
      <c r="A6109" s="9"/>
      <c r="C6109" s="393"/>
      <c r="E6109" s="394"/>
      <c r="F6109" s="394"/>
      <c r="G6109" s="394"/>
      <c r="I6109" s="368">
        <f t="shared" si="291"/>
        <v>0</v>
      </c>
      <c r="J6109" s="365">
        <f t="shared" si="292"/>
        <v>0</v>
      </c>
      <c r="K6109" s="369">
        <f t="shared" si="293"/>
        <v>6</v>
      </c>
      <c r="L6109" s="369">
        <f>+IF((C6109&gt;='Resultats - informe'!$E$16)*(C6109&lt;='Resultats - informe'!$G$16),1,0)</f>
        <v>1</v>
      </c>
      <c r="M6109" s="369" cm="1">
        <f t="array" ref="M6109">+_xlfn.IFS((C6109&gt;='Resultats - informe'!$D$26)*(C6109&lt;='Resultats - informe'!$E$26),0,(C6109&gt;='Resultats - informe'!$D$27)*(C6109&lt;='Resultats - informe'!$E$27),0,(C6109&gt;='Resultats - informe'!$D$28)*(C6109&lt;='Resultats - informe'!$E$28),0,(C6109&gt;='Resultats - informe'!$D$29)*(C6109&lt;='Resultats - informe'!$E$29),0,1,1)</f>
        <v>0</v>
      </c>
      <c r="N6109" s="366">
        <f>+VLOOKUP(D6109,'Resultats - informe'!$Y$18:$AG$42,'Introducció dades consum'!K6109+1,0)</f>
        <v>0</v>
      </c>
      <c r="O6109" s="370" cm="1">
        <f t="array" ref="O6109">+_xlfn.SWITCH(MONTH(C6109),1,1,2,1,3,1,4,2,5,2,6,3,7,3,8,3,9,3,10,2,11,2,12,1,2)</f>
        <v>1</v>
      </c>
      <c r="P6109" s="43"/>
    </row>
    <row r="6110" spans="1:16" ht="18" x14ac:dyDescent="0.35">
      <c r="A6110" s="9"/>
      <c r="C6110" s="393"/>
      <c r="E6110" s="394"/>
      <c r="F6110" s="394"/>
      <c r="G6110" s="394"/>
      <c r="I6110" s="368">
        <f t="shared" si="291"/>
        <v>0</v>
      </c>
      <c r="J6110" s="365">
        <f t="shared" si="292"/>
        <v>0</v>
      </c>
      <c r="K6110" s="369">
        <f t="shared" si="293"/>
        <v>6</v>
      </c>
      <c r="L6110" s="369">
        <f>+IF((C6110&gt;='Resultats - informe'!$E$16)*(C6110&lt;='Resultats - informe'!$G$16),1,0)</f>
        <v>1</v>
      </c>
      <c r="M6110" s="369" cm="1">
        <f t="array" ref="M6110">+_xlfn.IFS((C6110&gt;='Resultats - informe'!$D$26)*(C6110&lt;='Resultats - informe'!$E$26),0,(C6110&gt;='Resultats - informe'!$D$27)*(C6110&lt;='Resultats - informe'!$E$27),0,(C6110&gt;='Resultats - informe'!$D$28)*(C6110&lt;='Resultats - informe'!$E$28),0,(C6110&gt;='Resultats - informe'!$D$29)*(C6110&lt;='Resultats - informe'!$E$29),0,1,1)</f>
        <v>0</v>
      </c>
      <c r="N6110" s="366">
        <f>+VLOOKUP(D6110,'Resultats - informe'!$Y$18:$AG$42,'Introducció dades consum'!K6110+1,0)</f>
        <v>0</v>
      </c>
      <c r="O6110" s="370" cm="1">
        <f t="array" ref="O6110">+_xlfn.SWITCH(MONTH(C6110),1,1,2,1,3,1,4,2,5,2,6,3,7,3,8,3,9,3,10,2,11,2,12,1,2)</f>
        <v>1</v>
      </c>
      <c r="P6110" s="43"/>
    </row>
    <row r="6111" spans="1:16" ht="18" x14ac:dyDescent="0.35">
      <c r="A6111" s="9"/>
      <c r="C6111" s="393"/>
      <c r="E6111" s="394"/>
      <c r="F6111" s="394"/>
      <c r="G6111" s="394"/>
      <c r="I6111" s="368">
        <f t="shared" si="291"/>
        <v>0</v>
      </c>
      <c r="J6111" s="365">
        <f t="shared" si="292"/>
        <v>0</v>
      </c>
      <c r="K6111" s="369">
        <f t="shared" si="293"/>
        <v>6</v>
      </c>
      <c r="L6111" s="369">
        <f>+IF((C6111&gt;='Resultats - informe'!$E$16)*(C6111&lt;='Resultats - informe'!$G$16),1,0)</f>
        <v>1</v>
      </c>
      <c r="M6111" s="369" cm="1">
        <f t="array" ref="M6111">+_xlfn.IFS((C6111&gt;='Resultats - informe'!$D$26)*(C6111&lt;='Resultats - informe'!$E$26),0,(C6111&gt;='Resultats - informe'!$D$27)*(C6111&lt;='Resultats - informe'!$E$27),0,(C6111&gt;='Resultats - informe'!$D$28)*(C6111&lt;='Resultats - informe'!$E$28),0,(C6111&gt;='Resultats - informe'!$D$29)*(C6111&lt;='Resultats - informe'!$E$29),0,1,1)</f>
        <v>0</v>
      </c>
      <c r="N6111" s="366">
        <f>+VLOOKUP(D6111,'Resultats - informe'!$Y$18:$AG$42,'Introducció dades consum'!K6111+1,0)</f>
        <v>0</v>
      </c>
      <c r="O6111" s="370" cm="1">
        <f t="array" ref="O6111">+_xlfn.SWITCH(MONTH(C6111),1,1,2,1,3,1,4,2,5,2,6,3,7,3,8,3,9,3,10,2,11,2,12,1,2)</f>
        <v>1</v>
      </c>
      <c r="P6111" s="43"/>
    </row>
    <row r="6112" spans="1:16" ht="18" x14ac:dyDescent="0.35">
      <c r="A6112" s="9"/>
      <c r="C6112" s="393"/>
      <c r="E6112" s="394"/>
      <c r="F6112" s="394"/>
      <c r="G6112" s="394"/>
      <c r="I6112" s="368">
        <f t="shared" si="291"/>
        <v>0</v>
      </c>
      <c r="J6112" s="365">
        <f t="shared" si="292"/>
        <v>0</v>
      </c>
      <c r="K6112" s="369">
        <f t="shared" si="293"/>
        <v>6</v>
      </c>
      <c r="L6112" s="369">
        <f>+IF((C6112&gt;='Resultats - informe'!$E$16)*(C6112&lt;='Resultats - informe'!$G$16),1,0)</f>
        <v>1</v>
      </c>
      <c r="M6112" s="369" cm="1">
        <f t="array" ref="M6112">+_xlfn.IFS((C6112&gt;='Resultats - informe'!$D$26)*(C6112&lt;='Resultats - informe'!$E$26),0,(C6112&gt;='Resultats - informe'!$D$27)*(C6112&lt;='Resultats - informe'!$E$27),0,(C6112&gt;='Resultats - informe'!$D$28)*(C6112&lt;='Resultats - informe'!$E$28),0,(C6112&gt;='Resultats - informe'!$D$29)*(C6112&lt;='Resultats - informe'!$E$29),0,1,1)</f>
        <v>0</v>
      </c>
      <c r="N6112" s="366">
        <f>+VLOOKUP(D6112,'Resultats - informe'!$Y$18:$AG$42,'Introducció dades consum'!K6112+1,0)</f>
        <v>0</v>
      </c>
      <c r="O6112" s="370" cm="1">
        <f t="array" ref="O6112">+_xlfn.SWITCH(MONTH(C6112),1,1,2,1,3,1,4,2,5,2,6,3,7,3,8,3,9,3,10,2,11,2,12,1,2)</f>
        <v>1</v>
      </c>
      <c r="P6112" s="43"/>
    </row>
    <row r="6113" spans="1:16" ht="18" x14ac:dyDescent="0.35">
      <c r="A6113" s="9"/>
      <c r="C6113" s="393"/>
      <c r="E6113" s="394"/>
      <c r="F6113" s="394"/>
      <c r="G6113" s="394"/>
      <c r="I6113" s="368">
        <f t="shared" si="291"/>
        <v>0</v>
      </c>
      <c r="J6113" s="365">
        <f t="shared" si="292"/>
        <v>0</v>
      </c>
      <c r="K6113" s="369">
        <f t="shared" si="293"/>
        <v>6</v>
      </c>
      <c r="L6113" s="369">
        <f>+IF((C6113&gt;='Resultats - informe'!$E$16)*(C6113&lt;='Resultats - informe'!$G$16),1,0)</f>
        <v>1</v>
      </c>
      <c r="M6113" s="369" cm="1">
        <f t="array" ref="M6113">+_xlfn.IFS((C6113&gt;='Resultats - informe'!$D$26)*(C6113&lt;='Resultats - informe'!$E$26),0,(C6113&gt;='Resultats - informe'!$D$27)*(C6113&lt;='Resultats - informe'!$E$27),0,(C6113&gt;='Resultats - informe'!$D$28)*(C6113&lt;='Resultats - informe'!$E$28),0,(C6113&gt;='Resultats - informe'!$D$29)*(C6113&lt;='Resultats - informe'!$E$29),0,1,1)</f>
        <v>0</v>
      </c>
      <c r="N6113" s="366">
        <f>+VLOOKUP(D6113,'Resultats - informe'!$Y$18:$AG$42,'Introducció dades consum'!K6113+1,0)</f>
        <v>0</v>
      </c>
      <c r="O6113" s="370" cm="1">
        <f t="array" ref="O6113">+_xlfn.SWITCH(MONTH(C6113),1,1,2,1,3,1,4,2,5,2,6,3,7,3,8,3,9,3,10,2,11,2,12,1,2)</f>
        <v>1</v>
      </c>
      <c r="P6113" s="43"/>
    </row>
    <row r="6114" spans="1:16" ht="18" x14ac:dyDescent="0.35">
      <c r="A6114" s="9"/>
      <c r="C6114" s="393"/>
      <c r="E6114" s="394"/>
      <c r="F6114" s="394"/>
      <c r="G6114" s="394"/>
      <c r="I6114" s="368">
        <f t="shared" si="291"/>
        <v>0</v>
      </c>
      <c r="J6114" s="365">
        <f t="shared" si="292"/>
        <v>0</v>
      </c>
      <c r="K6114" s="369">
        <f t="shared" si="293"/>
        <v>6</v>
      </c>
      <c r="L6114" s="369">
        <f>+IF((C6114&gt;='Resultats - informe'!$E$16)*(C6114&lt;='Resultats - informe'!$G$16),1,0)</f>
        <v>1</v>
      </c>
      <c r="M6114" s="369" cm="1">
        <f t="array" ref="M6114">+_xlfn.IFS((C6114&gt;='Resultats - informe'!$D$26)*(C6114&lt;='Resultats - informe'!$E$26),0,(C6114&gt;='Resultats - informe'!$D$27)*(C6114&lt;='Resultats - informe'!$E$27),0,(C6114&gt;='Resultats - informe'!$D$28)*(C6114&lt;='Resultats - informe'!$E$28),0,(C6114&gt;='Resultats - informe'!$D$29)*(C6114&lt;='Resultats - informe'!$E$29),0,1,1)</f>
        <v>0</v>
      </c>
      <c r="N6114" s="366">
        <f>+VLOOKUP(D6114,'Resultats - informe'!$Y$18:$AG$42,'Introducció dades consum'!K6114+1,0)</f>
        <v>0</v>
      </c>
      <c r="O6114" s="370" cm="1">
        <f t="array" ref="O6114">+_xlfn.SWITCH(MONTH(C6114),1,1,2,1,3,1,4,2,5,2,6,3,7,3,8,3,9,3,10,2,11,2,12,1,2)</f>
        <v>1</v>
      </c>
      <c r="P6114" s="43"/>
    </row>
    <row r="6115" spans="1:16" ht="18" x14ac:dyDescent="0.35">
      <c r="A6115" s="9"/>
      <c r="C6115" s="393"/>
      <c r="E6115" s="394"/>
      <c r="F6115" s="394"/>
      <c r="G6115" s="394"/>
      <c r="I6115" s="368">
        <f t="shared" si="291"/>
        <v>0</v>
      </c>
      <c r="J6115" s="365">
        <f t="shared" si="292"/>
        <v>0</v>
      </c>
      <c r="K6115" s="369">
        <f t="shared" si="293"/>
        <v>6</v>
      </c>
      <c r="L6115" s="369">
        <f>+IF((C6115&gt;='Resultats - informe'!$E$16)*(C6115&lt;='Resultats - informe'!$G$16),1,0)</f>
        <v>1</v>
      </c>
      <c r="M6115" s="369" cm="1">
        <f t="array" ref="M6115">+_xlfn.IFS((C6115&gt;='Resultats - informe'!$D$26)*(C6115&lt;='Resultats - informe'!$E$26),0,(C6115&gt;='Resultats - informe'!$D$27)*(C6115&lt;='Resultats - informe'!$E$27),0,(C6115&gt;='Resultats - informe'!$D$28)*(C6115&lt;='Resultats - informe'!$E$28),0,(C6115&gt;='Resultats - informe'!$D$29)*(C6115&lt;='Resultats - informe'!$E$29),0,1,1)</f>
        <v>0</v>
      </c>
      <c r="N6115" s="366">
        <f>+VLOOKUP(D6115,'Resultats - informe'!$Y$18:$AG$42,'Introducció dades consum'!K6115+1,0)</f>
        <v>0</v>
      </c>
      <c r="O6115" s="370" cm="1">
        <f t="array" ref="O6115">+_xlfn.SWITCH(MONTH(C6115),1,1,2,1,3,1,4,2,5,2,6,3,7,3,8,3,9,3,10,2,11,2,12,1,2)</f>
        <v>1</v>
      </c>
      <c r="P6115" s="43"/>
    </row>
    <row r="6116" spans="1:16" ht="18" x14ac:dyDescent="0.35">
      <c r="A6116" s="9"/>
      <c r="C6116" s="393"/>
      <c r="E6116" s="394"/>
      <c r="F6116" s="394"/>
      <c r="G6116" s="394"/>
      <c r="I6116" s="368">
        <f t="shared" si="291"/>
        <v>0</v>
      </c>
      <c r="J6116" s="365">
        <f t="shared" si="292"/>
        <v>0</v>
      </c>
      <c r="K6116" s="369">
        <f t="shared" si="293"/>
        <v>6</v>
      </c>
      <c r="L6116" s="369">
        <f>+IF((C6116&gt;='Resultats - informe'!$E$16)*(C6116&lt;='Resultats - informe'!$G$16),1,0)</f>
        <v>1</v>
      </c>
      <c r="M6116" s="369" cm="1">
        <f t="array" ref="M6116">+_xlfn.IFS((C6116&gt;='Resultats - informe'!$D$26)*(C6116&lt;='Resultats - informe'!$E$26),0,(C6116&gt;='Resultats - informe'!$D$27)*(C6116&lt;='Resultats - informe'!$E$27),0,(C6116&gt;='Resultats - informe'!$D$28)*(C6116&lt;='Resultats - informe'!$E$28),0,(C6116&gt;='Resultats - informe'!$D$29)*(C6116&lt;='Resultats - informe'!$E$29),0,1,1)</f>
        <v>0</v>
      </c>
      <c r="N6116" s="366">
        <f>+VLOOKUP(D6116,'Resultats - informe'!$Y$18:$AG$42,'Introducció dades consum'!K6116+1,0)</f>
        <v>0</v>
      </c>
      <c r="O6116" s="370" cm="1">
        <f t="array" ref="O6116">+_xlfn.SWITCH(MONTH(C6116),1,1,2,1,3,1,4,2,5,2,6,3,7,3,8,3,9,3,10,2,11,2,12,1,2)</f>
        <v>1</v>
      </c>
      <c r="P6116" s="43"/>
    </row>
    <row r="6117" spans="1:16" ht="18" x14ac:dyDescent="0.35">
      <c r="A6117" s="9"/>
      <c r="C6117" s="393"/>
      <c r="E6117" s="394"/>
      <c r="F6117" s="394"/>
      <c r="G6117" s="394"/>
      <c r="I6117" s="368">
        <f t="shared" si="291"/>
        <v>0</v>
      </c>
      <c r="J6117" s="365">
        <f t="shared" si="292"/>
        <v>0</v>
      </c>
      <c r="K6117" s="369">
        <f t="shared" si="293"/>
        <v>6</v>
      </c>
      <c r="L6117" s="369">
        <f>+IF((C6117&gt;='Resultats - informe'!$E$16)*(C6117&lt;='Resultats - informe'!$G$16),1,0)</f>
        <v>1</v>
      </c>
      <c r="M6117" s="369" cm="1">
        <f t="array" ref="M6117">+_xlfn.IFS((C6117&gt;='Resultats - informe'!$D$26)*(C6117&lt;='Resultats - informe'!$E$26),0,(C6117&gt;='Resultats - informe'!$D$27)*(C6117&lt;='Resultats - informe'!$E$27),0,(C6117&gt;='Resultats - informe'!$D$28)*(C6117&lt;='Resultats - informe'!$E$28),0,(C6117&gt;='Resultats - informe'!$D$29)*(C6117&lt;='Resultats - informe'!$E$29),0,1,1)</f>
        <v>0</v>
      </c>
      <c r="N6117" s="366">
        <f>+VLOOKUP(D6117,'Resultats - informe'!$Y$18:$AG$42,'Introducció dades consum'!K6117+1,0)</f>
        <v>0</v>
      </c>
      <c r="O6117" s="370" cm="1">
        <f t="array" ref="O6117">+_xlfn.SWITCH(MONTH(C6117),1,1,2,1,3,1,4,2,5,2,6,3,7,3,8,3,9,3,10,2,11,2,12,1,2)</f>
        <v>1</v>
      </c>
      <c r="P6117" s="43"/>
    </row>
    <row r="6118" spans="1:16" ht="18" x14ac:dyDescent="0.35">
      <c r="A6118" s="9"/>
      <c r="C6118" s="393"/>
      <c r="E6118" s="394"/>
      <c r="F6118" s="394"/>
      <c r="G6118" s="394"/>
      <c r="I6118" s="368">
        <f t="shared" si="291"/>
        <v>0</v>
      </c>
      <c r="J6118" s="365">
        <f t="shared" si="292"/>
        <v>0</v>
      </c>
      <c r="K6118" s="369">
        <f t="shared" si="293"/>
        <v>6</v>
      </c>
      <c r="L6118" s="369">
        <f>+IF((C6118&gt;='Resultats - informe'!$E$16)*(C6118&lt;='Resultats - informe'!$G$16),1,0)</f>
        <v>1</v>
      </c>
      <c r="M6118" s="369" cm="1">
        <f t="array" ref="M6118">+_xlfn.IFS((C6118&gt;='Resultats - informe'!$D$26)*(C6118&lt;='Resultats - informe'!$E$26),0,(C6118&gt;='Resultats - informe'!$D$27)*(C6118&lt;='Resultats - informe'!$E$27),0,(C6118&gt;='Resultats - informe'!$D$28)*(C6118&lt;='Resultats - informe'!$E$28),0,(C6118&gt;='Resultats - informe'!$D$29)*(C6118&lt;='Resultats - informe'!$E$29),0,1,1)</f>
        <v>0</v>
      </c>
      <c r="N6118" s="366">
        <f>+VLOOKUP(D6118,'Resultats - informe'!$Y$18:$AG$42,'Introducció dades consum'!K6118+1,0)</f>
        <v>0</v>
      </c>
      <c r="O6118" s="370" cm="1">
        <f t="array" ref="O6118">+_xlfn.SWITCH(MONTH(C6118),1,1,2,1,3,1,4,2,5,2,6,3,7,3,8,3,9,3,10,2,11,2,12,1,2)</f>
        <v>1</v>
      </c>
      <c r="P6118" s="43"/>
    </row>
    <row r="6119" spans="1:16" ht="18" x14ac:dyDescent="0.35">
      <c r="A6119" s="9"/>
      <c r="C6119" s="393"/>
      <c r="E6119" s="394"/>
      <c r="F6119" s="394"/>
      <c r="G6119" s="394"/>
      <c r="I6119" s="368">
        <f t="shared" si="291"/>
        <v>0</v>
      </c>
      <c r="J6119" s="365">
        <f t="shared" si="292"/>
        <v>0</v>
      </c>
      <c r="K6119" s="369">
        <f t="shared" si="293"/>
        <v>6</v>
      </c>
      <c r="L6119" s="369">
        <f>+IF((C6119&gt;='Resultats - informe'!$E$16)*(C6119&lt;='Resultats - informe'!$G$16),1,0)</f>
        <v>1</v>
      </c>
      <c r="M6119" s="369" cm="1">
        <f t="array" ref="M6119">+_xlfn.IFS((C6119&gt;='Resultats - informe'!$D$26)*(C6119&lt;='Resultats - informe'!$E$26),0,(C6119&gt;='Resultats - informe'!$D$27)*(C6119&lt;='Resultats - informe'!$E$27),0,(C6119&gt;='Resultats - informe'!$D$28)*(C6119&lt;='Resultats - informe'!$E$28),0,(C6119&gt;='Resultats - informe'!$D$29)*(C6119&lt;='Resultats - informe'!$E$29),0,1,1)</f>
        <v>0</v>
      </c>
      <c r="N6119" s="366">
        <f>+VLOOKUP(D6119,'Resultats - informe'!$Y$18:$AG$42,'Introducció dades consum'!K6119+1,0)</f>
        <v>0</v>
      </c>
      <c r="O6119" s="370" cm="1">
        <f t="array" ref="O6119">+_xlfn.SWITCH(MONTH(C6119),1,1,2,1,3,1,4,2,5,2,6,3,7,3,8,3,9,3,10,2,11,2,12,1,2)</f>
        <v>1</v>
      </c>
      <c r="P6119" s="43"/>
    </row>
    <row r="6120" spans="1:16" ht="18" x14ac:dyDescent="0.35">
      <c r="A6120" s="9"/>
      <c r="C6120" s="393"/>
      <c r="E6120" s="394"/>
      <c r="F6120" s="394"/>
      <c r="G6120" s="394"/>
      <c r="I6120" s="368">
        <f t="shared" si="291"/>
        <v>0</v>
      </c>
      <c r="J6120" s="365">
        <f t="shared" si="292"/>
        <v>0</v>
      </c>
      <c r="K6120" s="369">
        <f t="shared" si="293"/>
        <v>6</v>
      </c>
      <c r="L6120" s="369">
        <f>+IF((C6120&gt;='Resultats - informe'!$E$16)*(C6120&lt;='Resultats - informe'!$G$16),1,0)</f>
        <v>1</v>
      </c>
      <c r="M6120" s="369" cm="1">
        <f t="array" ref="M6120">+_xlfn.IFS((C6120&gt;='Resultats - informe'!$D$26)*(C6120&lt;='Resultats - informe'!$E$26),0,(C6120&gt;='Resultats - informe'!$D$27)*(C6120&lt;='Resultats - informe'!$E$27),0,(C6120&gt;='Resultats - informe'!$D$28)*(C6120&lt;='Resultats - informe'!$E$28),0,(C6120&gt;='Resultats - informe'!$D$29)*(C6120&lt;='Resultats - informe'!$E$29),0,1,1)</f>
        <v>0</v>
      </c>
      <c r="N6120" s="366">
        <f>+VLOOKUP(D6120,'Resultats - informe'!$Y$18:$AG$42,'Introducció dades consum'!K6120+1,0)</f>
        <v>0</v>
      </c>
      <c r="O6120" s="370" cm="1">
        <f t="array" ref="O6120">+_xlfn.SWITCH(MONTH(C6120),1,1,2,1,3,1,4,2,5,2,6,3,7,3,8,3,9,3,10,2,11,2,12,1,2)</f>
        <v>1</v>
      </c>
      <c r="P6120" s="43"/>
    </row>
    <row r="6121" spans="1:16" ht="18" x14ac:dyDescent="0.35">
      <c r="A6121" s="9"/>
      <c r="C6121" s="393"/>
      <c r="E6121" s="394"/>
      <c r="F6121" s="394"/>
      <c r="G6121" s="394"/>
      <c r="I6121" s="368">
        <f t="shared" si="291"/>
        <v>0</v>
      </c>
      <c r="J6121" s="365">
        <f t="shared" si="292"/>
        <v>0</v>
      </c>
      <c r="K6121" s="369">
        <f t="shared" si="293"/>
        <v>6</v>
      </c>
      <c r="L6121" s="369">
        <f>+IF((C6121&gt;='Resultats - informe'!$E$16)*(C6121&lt;='Resultats - informe'!$G$16),1,0)</f>
        <v>1</v>
      </c>
      <c r="M6121" s="369" cm="1">
        <f t="array" ref="M6121">+_xlfn.IFS((C6121&gt;='Resultats - informe'!$D$26)*(C6121&lt;='Resultats - informe'!$E$26),0,(C6121&gt;='Resultats - informe'!$D$27)*(C6121&lt;='Resultats - informe'!$E$27),0,(C6121&gt;='Resultats - informe'!$D$28)*(C6121&lt;='Resultats - informe'!$E$28),0,(C6121&gt;='Resultats - informe'!$D$29)*(C6121&lt;='Resultats - informe'!$E$29),0,1,1)</f>
        <v>0</v>
      </c>
      <c r="N6121" s="366">
        <f>+VLOOKUP(D6121,'Resultats - informe'!$Y$18:$AG$42,'Introducció dades consum'!K6121+1,0)</f>
        <v>0</v>
      </c>
      <c r="O6121" s="370" cm="1">
        <f t="array" ref="O6121">+_xlfn.SWITCH(MONTH(C6121),1,1,2,1,3,1,4,2,5,2,6,3,7,3,8,3,9,3,10,2,11,2,12,1,2)</f>
        <v>1</v>
      </c>
      <c r="P6121" s="43"/>
    </row>
    <row r="6122" spans="1:16" ht="18" x14ac:dyDescent="0.35">
      <c r="A6122" s="9"/>
      <c r="C6122" s="393"/>
      <c r="E6122" s="394"/>
      <c r="F6122" s="394"/>
      <c r="G6122" s="394"/>
      <c r="I6122" s="368">
        <f t="shared" si="291"/>
        <v>0</v>
      </c>
      <c r="J6122" s="365">
        <f t="shared" si="292"/>
        <v>0</v>
      </c>
      <c r="K6122" s="369">
        <f t="shared" si="293"/>
        <v>6</v>
      </c>
      <c r="L6122" s="369">
        <f>+IF((C6122&gt;='Resultats - informe'!$E$16)*(C6122&lt;='Resultats - informe'!$G$16),1,0)</f>
        <v>1</v>
      </c>
      <c r="M6122" s="369" cm="1">
        <f t="array" ref="M6122">+_xlfn.IFS((C6122&gt;='Resultats - informe'!$D$26)*(C6122&lt;='Resultats - informe'!$E$26),0,(C6122&gt;='Resultats - informe'!$D$27)*(C6122&lt;='Resultats - informe'!$E$27),0,(C6122&gt;='Resultats - informe'!$D$28)*(C6122&lt;='Resultats - informe'!$E$28),0,(C6122&gt;='Resultats - informe'!$D$29)*(C6122&lt;='Resultats - informe'!$E$29),0,1,1)</f>
        <v>0</v>
      </c>
      <c r="N6122" s="366">
        <f>+VLOOKUP(D6122,'Resultats - informe'!$Y$18:$AG$42,'Introducció dades consum'!K6122+1,0)</f>
        <v>0</v>
      </c>
      <c r="O6122" s="370" cm="1">
        <f t="array" ref="O6122">+_xlfn.SWITCH(MONTH(C6122),1,1,2,1,3,1,4,2,5,2,6,3,7,3,8,3,9,3,10,2,11,2,12,1,2)</f>
        <v>1</v>
      </c>
      <c r="P6122" s="43"/>
    </row>
    <row r="6123" spans="1:16" ht="18" x14ac:dyDescent="0.35">
      <c r="A6123" s="9"/>
      <c r="C6123" s="393"/>
      <c r="E6123" s="394"/>
      <c r="F6123" s="394"/>
      <c r="G6123" s="394"/>
      <c r="I6123" s="368">
        <f t="shared" si="291"/>
        <v>0</v>
      </c>
      <c r="J6123" s="365">
        <f t="shared" si="292"/>
        <v>0</v>
      </c>
      <c r="K6123" s="369">
        <f t="shared" si="293"/>
        <v>6</v>
      </c>
      <c r="L6123" s="369">
        <f>+IF((C6123&gt;='Resultats - informe'!$E$16)*(C6123&lt;='Resultats - informe'!$G$16),1,0)</f>
        <v>1</v>
      </c>
      <c r="M6123" s="369" cm="1">
        <f t="array" ref="M6123">+_xlfn.IFS((C6123&gt;='Resultats - informe'!$D$26)*(C6123&lt;='Resultats - informe'!$E$26),0,(C6123&gt;='Resultats - informe'!$D$27)*(C6123&lt;='Resultats - informe'!$E$27),0,(C6123&gt;='Resultats - informe'!$D$28)*(C6123&lt;='Resultats - informe'!$E$28),0,(C6123&gt;='Resultats - informe'!$D$29)*(C6123&lt;='Resultats - informe'!$E$29),0,1,1)</f>
        <v>0</v>
      </c>
      <c r="N6123" s="366">
        <f>+VLOOKUP(D6123,'Resultats - informe'!$Y$18:$AG$42,'Introducció dades consum'!K6123+1,0)</f>
        <v>0</v>
      </c>
      <c r="O6123" s="370" cm="1">
        <f t="array" ref="O6123">+_xlfn.SWITCH(MONTH(C6123),1,1,2,1,3,1,4,2,5,2,6,3,7,3,8,3,9,3,10,2,11,2,12,1,2)</f>
        <v>1</v>
      </c>
      <c r="P6123" s="43"/>
    </row>
    <row r="6124" spans="1:16" ht="18" x14ac:dyDescent="0.35">
      <c r="A6124" s="9"/>
      <c r="C6124" s="393"/>
      <c r="E6124" s="394"/>
      <c r="F6124" s="394"/>
      <c r="G6124" s="394"/>
      <c r="I6124" s="368">
        <f t="shared" si="291"/>
        <v>0</v>
      </c>
      <c r="J6124" s="365">
        <f t="shared" si="292"/>
        <v>0</v>
      </c>
      <c r="K6124" s="369">
        <f t="shared" si="293"/>
        <v>6</v>
      </c>
      <c r="L6124" s="369">
        <f>+IF((C6124&gt;='Resultats - informe'!$E$16)*(C6124&lt;='Resultats - informe'!$G$16),1,0)</f>
        <v>1</v>
      </c>
      <c r="M6124" s="369" cm="1">
        <f t="array" ref="M6124">+_xlfn.IFS((C6124&gt;='Resultats - informe'!$D$26)*(C6124&lt;='Resultats - informe'!$E$26),0,(C6124&gt;='Resultats - informe'!$D$27)*(C6124&lt;='Resultats - informe'!$E$27),0,(C6124&gt;='Resultats - informe'!$D$28)*(C6124&lt;='Resultats - informe'!$E$28),0,(C6124&gt;='Resultats - informe'!$D$29)*(C6124&lt;='Resultats - informe'!$E$29),0,1,1)</f>
        <v>0</v>
      </c>
      <c r="N6124" s="366">
        <f>+VLOOKUP(D6124,'Resultats - informe'!$Y$18:$AG$42,'Introducció dades consum'!K6124+1,0)</f>
        <v>0</v>
      </c>
      <c r="O6124" s="370" cm="1">
        <f t="array" ref="O6124">+_xlfn.SWITCH(MONTH(C6124),1,1,2,1,3,1,4,2,5,2,6,3,7,3,8,3,9,3,10,2,11,2,12,1,2)</f>
        <v>1</v>
      </c>
      <c r="P6124" s="43"/>
    </row>
    <row r="6125" spans="1:16" ht="18" x14ac:dyDescent="0.35">
      <c r="A6125" s="9"/>
      <c r="C6125" s="393"/>
      <c r="E6125" s="394"/>
      <c r="F6125" s="394"/>
      <c r="G6125" s="394"/>
      <c r="I6125" s="368">
        <f t="shared" si="291"/>
        <v>0</v>
      </c>
      <c r="J6125" s="365">
        <f t="shared" si="292"/>
        <v>0</v>
      </c>
      <c r="K6125" s="369">
        <f t="shared" si="293"/>
        <v>6</v>
      </c>
      <c r="L6125" s="369">
        <f>+IF((C6125&gt;='Resultats - informe'!$E$16)*(C6125&lt;='Resultats - informe'!$G$16),1,0)</f>
        <v>1</v>
      </c>
      <c r="M6125" s="369" cm="1">
        <f t="array" ref="M6125">+_xlfn.IFS((C6125&gt;='Resultats - informe'!$D$26)*(C6125&lt;='Resultats - informe'!$E$26),0,(C6125&gt;='Resultats - informe'!$D$27)*(C6125&lt;='Resultats - informe'!$E$27),0,(C6125&gt;='Resultats - informe'!$D$28)*(C6125&lt;='Resultats - informe'!$E$28),0,(C6125&gt;='Resultats - informe'!$D$29)*(C6125&lt;='Resultats - informe'!$E$29),0,1,1)</f>
        <v>0</v>
      </c>
      <c r="N6125" s="366">
        <f>+VLOOKUP(D6125,'Resultats - informe'!$Y$18:$AG$42,'Introducció dades consum'!K6125+1,0)</f>
        <v>0</v>
      </c>
      <c r="O6125" s="370" cm="1">
        <f t="array" ref="O6125">+_xlfn.SWITCH(MONTH(C6125),1,1,2,1,3,1,4,2,5,2,6,3,7,3,8,3,9,3,10,2,11,2,12,1,2)</f>
        <v>1</v>
      </c>
      <c r="P6125" s="43"/>
    </row>
    <row r="6126" spans="1:16" ht="18" x14ac:dyDescent="0.35">
      <c r="A6126" s="9"/>
      <c r="C6126" s="393"/>
      <c r="E6126" s="394"/>
      <c r="F6126" s="394"/>
      <c r="G6126" s="394"/>
      <c r="I6126" s="368">
        <f t="shared" si="291"/>
        <v>0</v>
      </c>
      <c r="J6126" s="365">
        <f t="shared" si="292"/>
        <v>0</v>
      </c>
      <c r="K6126" s="369">
        <f t="shared" si="293"/>
        <v>6</v>
      </c>
      <c r="L6126" s="369">
        <f>+IF((C6126&gt;='Resultats - informe'!$E$16)*(C6126&lt;='Resultats - informe'!$G$16),1,0)</f>
        <v>1</v>
      </c>
      <c r="M6126" s="369" cm="1">
        <f t="array" ref="M6126">+_xlfn.IFS((C6126&gt;='Resultats - informe'!$D$26)*(C6126&lt;='Resultats - informe'!$E$26),0,(C6126&gt;='Resultats - informe'!$D$27)*(C6126&lt;='Resultats - informe'!$E$27),0,(C6126&gt;='Resultats - informe'!$D$28)*(C6126&lt;='Resultats - informe'!$E$28),0,(C6126&gt;='Resultats - informe'!$D$29)*(C6126&lt;='Resultats - informe'!$E$29),0,1,1)</f>
        <v>0</v>
      </c>
      <c r="N6126" s="366">
        <f>+VLOOKUP(D6126,'Resultats - informe'!$Y$18:$AG$42,'Introducció dades consum'!K6126+1,0)</f>
        <v>0</v>
      </c>
      <c r="O6126" s="370" cm="1">
        <f t="array" ref="O6126">+_xlfn.SWITCH(MONTH(C6126),1,1,2,1,3,1,4,2,5,2,6,3,7,3,8,3,9,3,10,2,11,2,12,1,2)</f>
        <v>1</v>
      </c>
      <c r="P6126" s="43"/>
    </row>
    <row r="6127" spans="1:16" ht="18" x14ac:dyDescent="0.35">
      <c r="A6127" s="9"/>
      <c r="C6127" s="393"/>
      <c r="E6127" s="394"/>
      <c r="F6127" s="394"/>
      <c r="G6127" s="394"/>
      <c r="I6127" s="368">
        <f t="shared" si="291"/>
        <v>0</v>
      </c>
      <c r="J6127" s="365">
        <f t="shared" si="292"/>
        <v>0</v>
      </c>
      <c r="K6127" s="369">
        <f t="shared" si="293"/>
        <v>6</v>
      </c>
      <c r="L6127" s="369">
        <f>+IF((C6127&gt;='Resultats - informe'!$E$16)*(C6127&lt;='Resultats - informe'!$G$16),1,0)</f>
        <v>1</v>
      </c>
      <c r="M6127" s="369" cm="1">
        <f t="array" ref="M6127">+_xlfn.IFS((C6127&gt;='Resultats - informe'!$D$26)*(C6127&lt;='Resultats - informe'!$E$26),0,(C6127&gt;='Resultats - informe'!$D$27)*(C6127&lt;='Resultats - informe'!$E$27),0,(C6127&gt;='Resultats - informe'!$D$28)*(C6127&lt;='Resultats - informe'!$E$28),0,(C6127&gt;='Resultats - informe'!$D$29)*(C6127&lt;='Resultats - informe'!$E$29),0,1,1)</f>
        <v>0</v>
      </c>
      <c r="N6127" s="366">
        <f>+VLOOKUP(D6127,'Resultats - informe'!$Y$18:$AG$42,'Introducció dades consum'!K6127+1,0)</f>
        <v>0</v>
      </c>
      <c r="O6127" s="370" cm="1">
        <f t="array" ref="O6127">+_xlfn.SWITCH(MONTH(C6127),1,1,2,1,3,1,4,2,5,2,6,3,7,3,8,3,9,3,10,2,11,2,12,1,2)</f>
        <v>1</v>
      </c>
      <c r="P6127" s="43"/>
    </row>
    <row r="6128" spans="1:16" ht="18" x14ac:dyDescent="0.35">
      <c r="A6128" s="9"/>
      <c r="C6128" s="393"/>
      <c r="E6128" s="394"/>
      <c r="F6128" s="394"/>
      <c r="G6128" s="394"/>
      <c r="I6128" s="368">
        <f t="shared" si="291"/>
        <v>0</v>
      </c>
      <c r="J6128" s="365">
        <f t="shared" si="292"/>
        <v>0</v>
      </c>
      <c r="K6128" s="369">
        <f t="shared" si="293"/>
        <v>6</v>
      </c>
      <c r="L6128" s="369">
        <f>+IF((C6128&gt;='Resultats - informe'!$E$16)*(C6128&lt;='Resultats - informe'!$G$16),1,0)</f>
        <v>1</v>
      </c>
      <c r="M6128" s="369" cm="1">
        <f t="array" ref="M6128">+_xlfn.IFS((C6128&gt;='Resultats - informe'!$D$26)*(C6128&lt;='Resultats - informe'!$E$26),0,(C6128&gt;='Resultats - informe'!$D$27)*(C6128&lt;='Resultats - informe'!$E$27),0,(C6128&gt;='Resultats - informe'!$D$28)*(C6128&lt;='Resultats - informe'!$E$28),0,(C6128&gt;='Resultats - informe'!$D$29)*(C6128&lt;='Resultats - informe'!$E$29),0,1,1)</f>
        <v>0</v>
      </c>
      <c r="N6128" s="366">
        <f>+VLOOKUP(D6128,'Resultats - informe'!$Y$18:$AG$42,'Introducció dades consum'!K6128+1,0)</f>
        <v>0</v>
      </c>
      <c r="O6128" s="370" cm="1">
        <f t="array" ref="O6128">+_xlfn.SWITCH(MONTH(C6128),1,1,2,1,3,1,4,2,5,2,6,3,7,3,8,3,9,3,10,2,11,2,12,1,2)</f>
        <v>1</v>
      </c>
      <c r="P6128" s="43"/>
    </row>
    <row r="6129" spans="1:16" ht="18" x14ac:dyDescent="0.35">
      <c r="A6129" s="9"/>
      <c r="C6129" s="393"/>
      <c r="E6129" s="394"/>
      <c r="F6129" s="394"/>
      <c r="G6129" s="394"/>
      <c r="I6129" s="368">
        <f t="shared" si="291"/>
        <v>0</v>
      </c>
      <c r="J6129" s="365">
        <f t="shared" si="292"/>
        <v>0</v>
      </c>
      <c r="K6129" s="369">
        <f t="shared" si="293"/>
        <v>6</v>
      </c>
      <c r="L6129" s="369">
        <f>+IF((C6129&gt;='Resultats - informe'!$E$16)*(C6129&lt;='Resultats - informe'!$G$16),1,0)</f>
        <v>1</v>
      </c>
      <c r="M6129" s="369" cm="1">
        <f t="array" ref="M6129">+_xlfn.IFS((C6129&gt;='Resultats - informe'!$D$26)*(C6129&lt;='Resultats - informe'!$E$26),0,(C6129&gt;='Resultats - informe'!$D$27)*(C6129&lt;='Resultats - informe'!$E$27),0,(C6129&gt;='Resultats - informe'!$D$28)*(C6129&lt;='Resultats - informe'!$E$28),0,(C6129&gt;='Resultats - informe'!$D$29)*(C6129&lt;='Resultats - informe'!$E$29),0,1,1)</f>
        <v>0</v>
      </c>
      <c r="N6129" s="366">
        <f>+VLOOKUP(D6129,'Resultats - informe'!$Y$18:$AG$42,'Introducció dades consum'!K6129+1,0)</f>
        <v>0</v>
      </c>
      <c r="O6129" s="370" cm="1">
        <f t="array" ref="O6129">+_xlfn.SWITCH(MONTH(C6129),1,1,2,1,3,1,4,2,5,2,6,3,7,3,8,3,9,3,10,2,11,2,12,1,2)</f>
        <v>1</v>
      </c>
      <c r="P6129" s="43"/>
    </row>
    <row r="6130" spans="1:16" ht="18" x14ac:dyDescent="0.35">
      <c r="A6130" s="9"/>
      <c r="C6130" s="393"/>
      <c r="E6130" s="394"/>
      <c r="F6130" s="394"/>
      <c r="G6130" s="394"/>
      <c r="I6130" s="368">
        <f t="shared" si="291"/>
        <v>0</v>
      </c>
      <c r="J6130" s="365">
        <f t="shared" si="292"/>
        <v>0</v>
      </c>
      <c r="K6130" s="369">
        <f t="shared" si="293"/>
        <v>6</v>
      </c>
      <c r="L6130" s="369">
        <f>+IF((C6130&gt;='Resultats - informe'!$E$16)*(C6130&lt;='Resultats - informe'!$G$16),1,0)</f>
        <v>1</v>
      </c>
      <c r="M6130" s="369" cm="1">
        <f t="array" ref="M6130">+_xlfn.IFS((C6130&gt;='Resultats - informe'!$D$26)*(C6130&lt;='Resultats - informe'!$E$26),0,(C6130&gt;='Resultats - informe'!$D$27)*(C6130&lt;='Resultats - informe'!$E$27),0,(C6130&gt;='Resultats - informe'!$D$28)*(C6130&lt;='Resultats - informe'!$E$28),0,(C6130&gt;='Resultats - informe'!$D$29)*(C6130&lt;='Resultats - informe'!$E$29),0,1,1)</f>
        <v>0</v>
      </c>
      <c r="N6130" s="366">
        <f>+VLOOKUP(D6130,'Resultats - informe'!$Y$18:$AG$42,'Introducció dades consum'!K6130+1,0)</f>
        <v>0</v>
      </c>
      <c r="O6130" s="370" cm="1">
        <f t="array" ref="O6130">+_xlfn.SWITCH(MONTH(C6130),1,1,2,1,3,1,4,2,5,2,6,3,7,3,8,3,9,3,10,2,11,2,12,1,2)</f>
        <v>1</v>
      </c>
      <c r="P6130" s="43"/>
    </row>
    <row r="6131" spans="1:16" ht="18" x14ac:dyDescent="0.35">
      <c r="A6131" s="9"/>
      <c r="C6131" s="393"/>
      <c r="E6131" s="394"/>
      <c r="F6131" s="394"/>
      <c r="G6131" s="394"/>
      <c r="I6131" s="368">
        <f t="shared" si="291"/>
        <v>0</v>
      </c>
      <c r="J6131" s="365">
        <f t="shared" si="292"/>
        <v>0</v>
      </c>
      <c r="K6131" s="369">
        <f t="shared" si="293"/>
        <v>6</v>
      </c>
      <c r="L6131" s="369">
        <f>+IF((C6131&gt;='Resultats - informe'!$E$16)*(C6131&lt;='Resultats - informe'!$G$16),1,0)</f>
        <v>1</v>
      </c>
      <c r="M6131" s="369" cm="1">
        <f t="array" ref="M6131">+_xlfn.IFS((C6131&gt;='Resultats - informe'!$D$26)*(C6131&lt;='Resultats - informe'!$E$26),0,(C6131&gt;='Resultats - informe'!$D$27)*(C6131&lt;='Resultats - informe'!$E$27),0,(C6131&gt;='Resultats - informe'!$D$28)*(C6131&lt;='Resultats - informe'!$E$28),0,(C6131&gt;='Resultats - informe'!$D$29)*(C6131&lt;='Resultats - informe'!$E$29),0,1,1)</f>
        <v>0</v>
      </c>
      <c r="N6131" s="366">
        <f>+VLOOKUP(D6131,'Resultats - informe'!$Y$18:$AG$42,'Introducció dades consum'!K6131+1,0)</f>
        <v>0</v>
      </c>
      <c r="O6131" s="370" cm="1">
        <f t="array" ref="O6131">+_xlfn.SWITCH(MONTH(C6131),1,1,2,1,3,1,4,2,5,2,6,3,7,3,8,3,9,3,10,2,11,2,12,1,2)</f>
        <v>1</v>
      </c>
      <c r="P6131" s="43"/>
    </row>
    <row r="6132" spans="1:16" ht="18" x14ac:dyDescent="0.35">
      <c r="A6132" s="9"/>
      <c r="C6132" s="393"/>
      <c r="E6132" s="394"/>
      <c r="F6132" s="394"/>
      <c r="G6132" s="394"/>
      <c r="I6132" s="368">
        <f t="shared" si="291"/>
        <v>0</v>
      </c>
      <c r="J6132" s="365">
        <f t="shared" si="292"/>
        <v>0</v>
      </c>
      <c r="K6132" s="369">
        <f t="shared" si="293"/>
        <v>6</v>
      </c>
      <c r="L6132" s="369">
        <f>+IF((C6132&gt;='Resultats - informe'!$E$16)*(C6132&lt;='Resultats - informe'!$G$16),1,0)</f>
        <v>1</v>
      </c>
      <c r="M6132" s="369" cm="1">
        <f t="array" ref="M6132">+_xlfn.IFS((C6132&gt;='Resultats - informe'!$D$26)*(C6132&lt;='Resultats - informe'!$E$26),0,(C6132&gt;='Resultats - informe'!$D$27)*(C6132&lt;='Resultats - informe'!$E$27),0,(C6132&gt;='Resultats - informe'!$D$28)*(C6132&lt;='Resultats - informe'!$E$28),0,(C6132&gt;='Resultats - informe'!$D$29)*(C6132&lt;='Resultats - informe'!$E$29),0,1,1)</f>
        <v>0</v>
      </c>
      <c r="N6132" s="366">
        <f>+VLOOKUP(D6132,'Resultats - informe'!$Y$18:$AG$42,'Introducció dades consum'!K6132+1,0)</f>
        <v>0</v>
      </c>
      <c r="O6132" s="370" cm="1">
        <f t="array" ref="O6132">+_xlfn.SWITCH(MONTH(C6132),1,1,2,1,3,1,4,2,5,2,6,3,7,3,8,3,9,3,10,2,11,2,12,1,2)</f>
        <v>1</v>
      </c>
      <c r="P6132" s="43"/>
    </row>
    <row r="6133" spans="1:16" ht="18" x14ac:dyDescent="0.35">
      <c r="A6133" s="9"/>
      <c r="C6133" s="393"/>
      <c r="E6133" s="394"/>
      <c r="F6133" s="394"/>
      <c r="G6133" s="394"/>
      <c r="I6133" s="368">
        <f t="shared" si="291"/>
        <v>0</v>
      </c>
      <c r="J6133" s="365">
        <f t="shared" si="292"/>
        <v>0</v>
      </c>
      <c r="K6133" s="369">
        <f t="shared" si="293"/>
        <v>6</v>
      </c>
      <c r="L6133" s="369">
        <f>+IF((C6133&gt;='Resultats - informe'!$E$16)*(C6133&lt;='Resultats - informe'!$G$16),1,0)</f>
        <v>1</v>
      </c>
      <c r="M6133" s="369" cm="1">
        <f t="array" ref="M6133">+_xlfn.IFS((C6133&gt;='Resultats - informe'!$D$26)*(C6133&lt;='Resultats - informe'!$E$26),0,(C6133&gt;='Resultats - informe'!$D$27)*(C6133&lt;='Resultats - informe'!$E$27),0,(C6133&gt;='Resultats - informe'!$D$28)*(C6133&lt;='Resultats - informe'!$E$28),0,(C6133&gt;='Resultats - informe'!$D$29)*(C6133&lt;='Resultats - informe'!$E$29),0,1,1)</f>
        <v>0</v>
      </c>
      <c r="N6133" s="366">
        <f>+VLOOKUP(D6133,'Resultats - informe'!$Y$18:$AG$42,'Introducció dades consum'!K6133+1,0)</f>
        <v>0</v>
      </c>
      <c r="O6133" s="370" cm="1">
        <f t="array" ref="O6133">+_xlfn.SWITCH(MONTH(C6133),1,1,2,1,3,1,4,2,5,2,6,3,7,3,8,3,9,3,10,2,11,2,12,1,2)</f>
        <v>1</v>
      </c>
      <c r="P6133" s="43"/>
    </row>
    <row r="6134" spans="1:16" ht="18" x14ac:dyDescent="0.35">
      <c r="A6134" s="9"/>
      <c r="C6134" s="393"/>
      <c r="E6134" s="394"/>
      <c r="F6134" s="394"/>
      <c r="G6134" s="394"/>
      <c r="I6134" s="368">
        <f t="shared" si="291"/>
        <v>0</v>
      </c>
      <c r="J6134" s="365">
        <f t="shared" si="292"/>
        <v>0</v>
      </c>
      <c r="K6134" s="369">
        <f t="shared" si="293"/>
        <v>6</v>
      </c>
      <c r="L6134" s="369">
        <f>+IF((C6134&gt;='Resultats - informe'!$E$16)*(C6134&lt;='Resultats - informe'!$G$16),1,0)</f>
        <v>1</v>
      </c>
      <c r="M6134" s="369" cm="1">
        <f t="array" ref="M6134">+_xlfn.IFS((C6134&gt;='Resultats - informe'!$D$26)*(C6134&lt;='Resultats - informe'!$E$26),0,(C6134&gt;='Resultats - informe'!$D$27)*(C6134&lt;='Resultats - informe'!$E$27),0,(C6134&gt;='Resultats - informe'!$D$28)*(C6134&lt;='Resultats - informe'!$E$28),0,(C6134&gt;='Resultats - informe'!$D$29)*(C6134&lt;='Resultats - informe'!$E$29),0,1,1)</f>
        <v>0</v>
      </c>
      <c r="N6134" s="366">
        <f>+VLOOKUP(D6134,'Resultats - informe'!$Y$18:$AG$42,'Introducció dades consum'!K6134+1,0)</f>
        <v>0</v>
      </c>
      <c r="O6134" s="370" cm="1">
        <f t="array" ref="O6134">+_xlfn.SWITCH(MONTH(C6134),1,1,2,1,3,1,4,2,5,2,6,3,7,3,8,3,9,3,10,2,11,2,12,1,2)</f>
        <v>1</v>
      </c>
      <c r="P6134" s="43"/>
    </row>
    <row r="6135" spans="1:16" ht="18" x14ac:dyDescent="0.35">
      <c r="A6135" s="9"/>
      <c r="C6135" s="393"/>
      <c r="E6135" s="394"/>
      <c r="F6135" s="394"/>
      <c r="G6135" s="394"/>
      <c r="I6135" s="368">
        <f t="shared" si="291"/>
        <v>0</v>
      </c>
      <c r="J6135" s="365">
        <f t="shared" si="292"/>
        <v>0</v>
      </c>
      <c r="K6135" s="369">
        <f t="shared" si="293"/>
        <v>6</v>
      </c>
      <c r="L6135" s="369">
        <f>+IF((C6135&gt;='Resultats - informe'!$E$16)*(C6135&lt;='Resultats - informe'!$G$16),1,0)</f>
        <v>1</v>
      </c>
      <c r="M6135" s="369" cm="1">
        <f t="array" ref="M6135">+_xlfn.IFS((C6135&gt;='Resultats - informe'!$D$26)*(C6135&lt;='Resultats - informe'!$E$26),0,(C6135&gt;='Resultats - informe'!$D$27)*(C6135&lt;='Resultats - informe'!$E$27),0,(C6135&gt;='Resultats - informe'!$D$28)*(C6135&lt;='Resultats - informe'!$E$28),0,(C6135&gt;='Resultats - informe'!$D$29)*(C6135&lt;='Resultats - informe'!$E$29),0,1,1)</f>
        <v>0</v>
      </c>
      <c r="N6135" s="366">
        <f>+VLOOKUP(D6135,'Resultats - informe'!$Y$18:$AG$42,'Introducció dades consum'!K6135+1,0)</f>
        <v>0</v>
      </c>
      <c r="O6135" s="370" cm="1">
        <f t="array" ref="O6135">+_xlfn.SWITCH(MONTH(C6135),1,1,2,1,3,1,4,2,5,2,6,3,7,3,8,3,9,3,10,2,11,2,12,1,2)</f>
        <v>1</v>
      </c>
      <c r="P6135" s="43"/>
    </row>
    <row r="6136" spans="1:16" ht="18" x14ac:dyDescent="0.35">
      <c r="A6136" s="9"/>
      <c r="C6136" s="393"/>
      <c r="E6136" s="394"/>
      <c r="F6136" s="394"/>
      <c r="G6136" s="394"/>
      <c r="I6136" s="368">
        <f t="shared" si="291"/>
        <v>0</v>
      </c>
      <c r="J6136" s="365">
        <f t="shared" si="292"/>
        <v>0</v>
      </c>
      <c r="K6136" s="369">
        <f t="shared" si="293"/>
        <v>6</v>
      </c>
      <c r="L6136" s="369">
        <f>+IF((C6136&gt;='Resultats - informe'!$E$16)*(C6136&lt;='Resultats - informe'!$G$16),1,0)</f>
        <v>1</v>
      </c>
      <c r="M6136" s="369" cm="1">
        <f t="array" ref="M6136">+_xlfn.IFS((C6136&gt;='Resultats - informe'!$D$26)*(C6136&lt;='Resultats - informe'!$E$26),0,(C6136&gt;='Resultats - informe'!$D$27)*(C6136&lt;='Resultats - informe'!$E$27),0,(C6136&gt;='Resultats - informe'!$D$28)*(C6136&lt;='Resultats - informe'!$E$28),0,(C6136&gt;='Resultats - informe'!$D$29)*(C6136&lt;='Resultats - informe'!$E$29),0,1,1)</f>
        <v>0</v>
      </c>
      <c r="N6136" s="366">
        <f>+VLOOKUP(D6136,'Resultats - informe'!$Y$18:$AG$42,'Introducció dades consum'!K6136+1,0)</f>
        <v>0</v>
      </c>
      <c r="O6136" s="370" cm="1">
        <f t="array" ref="O6136">+_xlfn.SWITCH(MONTH(C6136),1,1,2,1,3,1,4,2,5,2,6,3,7,3,8,3,9,3,10,2,11,2,12,1,2)</f>
        <v>1</v>
      </c>
      <c r="P6136" s="43"/>
    </row>
    <row r="6137" spans="1:16" ht="18" x14ac:dyDescent="0.35">
      <c r="A6137" s="9"/>
      <c r="C6137" s="393"/>
      <c r="E6137" s="394"/>
      <c r="F6137" s="394"/>
      <c r="G6137" s="394"/>
      <c r="I6137" s="368">
        <f t="shared" si="291"/>
        <v>0</v>
      </c>
      <c r="J6137" s="365">
        <f t="shared" si="292"/>
        <v>0</v>
      </c>
      <c r="K6137" s="369">
        <f t="shared" si="293"/>
        <v>6</v>
      </c>
      <c r="L6137" s="369">
        <f>+IF((C6137&gt;='Resultats - informe'!$E$16)*(C6137&lt;='Resultats - informe'!$G$16),1,0)</f>
        <v>1</v>
      </c>
      <c r="M6137" s="369" cm="1">
        <f t="array" ref="M6137">+_xlfn.IFS((C6137&gt;='Resultats - informe'!$D$26)*(C6137&lt;='Resultats - informe'!$E$26),0,(C6137&gt;='Resultats - informe'!$D$27)*(C6137&lt;='Resultats - informe'!$E$27),0,(C6137&gt;='Resultats - informe'!$D$28)*(C6137&lt;='Resultats - informe'!$E$28),0,(C6137&gt;='Resultats - informe'!$D$29)*(C6137&lt;='Resultats - informe'!$E$29),0,1,1)</f>
        <v>0</v>
      </c>
      <c r="N6137" s="366">
        <f>+VLOOKUP(D6137,'Resultats - informe'!$Y$18:$AG$42,'Introducció dades consum'!K6137+1,0)</f>
        <v>0</v>
      </c>
      <c r="O6137" s="370" cm="1">
        <f t="array" ref="O6137">+_xlfn.SWITCH(MONTH(C6137),1,1,2,1,3,1,4,2,5,2,6,3,7,3,8,3,9,3,10,2,11,2,12,1,2)</f>
        <v>1</v>
      </c>
      <c r="P6137" s="43"/>
    </row>
    <row r="6138" spans="1:16" ht="18" x14ac:dyDescent="0.35">
      <c r="A6138" s="9"/>
      <c r="C6138" s="393"/>
      <c r="E6138" s="394"/>
      <c r="F6138" s="394"/>
      <c r="G6138" s="394"/>
      <c r="I6138" s="368">
        <f t="shared" si="291"/>
        <v>0</v>
      </c>
      <c r="J6138" s="365">
        <f t="shared" si="292"/>
        <v>0</v>
      </c>
      <c r="K6138" s="369">
        <f t="shared" si="293"/>
        <v>6</v>
      </c>
      <c r="L6138" s="369">
        <f>+IF((C6138&gt;='Resultats - informe'!$E$16)*(C6138&lt;='Resultats - informe'!$G$16),1,0)</f>
        <v>1</v>
      </c>
      <c r="M6138" s="369" cm="1">
        <f t="array" ref="M6138">+_xlfn.IFS((C6138&gt;='Resultats - informe'!$D$26)*(C6138&lt;='Resultats - informe'!$E$26),0,(C6138&gt;='Resultats - informe'!$D$27)*(C6138&lt;='Resultats - informe'!$E$27),0,(C6138&gt;='Resultats - informe'!$D$28)*(C6138&lt;='Resultats - informe'!$E$28),0,(C6138&gt;='Resultats - informe'!$D$29)*(C6138&lt;='Resultats - informe'!$E$29),0,1,1)</f>
        <v>0</v>
      </c>
      <c r="N6138" s="366">
        <f>+VLOOKUP(D6138,'Resultats - informe'!$Y$18:$AG$42,'Introducció dades consum'!K6138+1,0)</f>
        <v>0</v>
      </c>
      <c r="O6138" s="370" cm="1">
        <f t="array" ref="O6138">+_xlfn.SWITCH(MONTH(C6138),1,1,2,1,3,1,4,2,5,2,6,3,7,3,8,3,9,3,10,2,11,2,12,1,2)</f>
        <v>1</v>
      </c>
      <c r="P6138" s="43"/>
    </row>
    <row r="6139" spans="1:16" ht="18" x14ac:dyDescent="0.35">
      <c r="A6139" s="9"/>
      <c r="C6139" s="393"/>
      <c r="E6139" s="394"/>
      <c r="F6139" s="394"/>
      <c r="G6139" s="394"/>
      <c r="I6139" s="368">
        <f t="shared" si="291"/>
        <v>0</v>
      </c>
      <c r="J6139" s="365">
        <f t="shared" si="292"/>
        <v>0</v>
      </c>
      <c r="K6139" s="369">
        <f t="shared" si="293"/>
        <v>6</v>
      </c>
      <c r="L6139" s="369">
        <f>+IF((C6139&gt;='Resultats - informe'!$E$16)*(C6139&lt;='Resultats - informe'!$G$16),1,0)</f>
        <v>1</v>
      </c>
      <c r="M6139" s="369" cm="1">
        <f t="array" ref="M6139">+_xlfn.IFS((C6139&gt;='Resultats - informe'!$D$26)*(C6139&lt;='Resultats - informe'!$E$26),0,(C6139&gt;='Resultats - informe'!$D$27)*(C6139&lt;='Resultats - informe'!$E$27),0,(C6139&gt;='Resultats - informe'!$D$28)*(C6139&lt;='Resultats - informe'!$E$28),0,(C6139&gt;='Resultats - informe'!$D$29)*(C6139&lt;='Resultats - informe'!$E$29),0,1,1)</f>
        <v>0</v>
      </c>
      <c r="N6139" s="366">
        <f>+VLOOKUP(D6139,'Resultats - informe'!$Y$18:$AG$42,'Introducció dades consum'!K6139+1,0)</f>
        <v>0</v>
      </c>
      <c r="O6139" s="370" cm="1">
        <f t="array" ref="O6139">+_xlfn.SWITCH(MONTH(C6139),1,1,2,1,3,1,4,2,5,2,6,3,7,3,8,3,9,3,10,2,11,2,12,1,2)</f>
        <v>1</v>
      </c>
      <c r="P6139" s="43"/>
    </row>
    <row r="6140" spans="1:16" ht="18" x14ac:dyDescent="0.35">
      <c r="A6140" s="9"/>
      <c r="C6140" s="393"/>
      <c r="E6140" s="394"/>
      <c r="F6140" s="394"/>
      <c r="G6140" s="394"/>
      <c r="I6140" s="368">
        <f t="shared" si="291"/>
        <v>0</v>
      </c>
      <c r="J6140" s="365">
        <f t="shared" si="292"/>
        <v>0</v>
      </c>
      <c r="K6140" s="369">
        <f t="shared" si="293"/>
        <v>6</v>
      </c>
      <c r="L6140" s="369">
        <f>+IF((C6140&gt;='Resultats - informe'!$E$16)*(C6140&lt;='Resultats - informe'!$G$16),1,0)</f>
        <v>1</v>
      </c>
      <c r="M6140" s="369" cm="1">
        <f t="array" ref="M6140">+_xlfn.IFS((C6140&gt;='Resultats - informe'!$D$26)*(C6140&lt;='Resultats - informe'!$E$26),0,(C6140&gt;='Resultats - informe'!$D$27)*(C6140&lt;='Resultats - informe'!$E$27),0,(C6140&gt;='Resultats - informe'!$D$28)*(C6140&lt;='Resultats - informe'!$E$28),0,(C6140&gt;='Resultats - informe'!$D$29)*(C6140&lt;='Resultats - informe'!$E$29),0,1,1)</f>
        <v>0</v>
      </c>
      <c r="N6140" s="366">
        <f>+VLOOKUP(D6140,'Resultats - informe'!$Y$18:$AG$42,'Introducció dades consum'!K6140+1,0)</f>
        <v>0</v>
      </c>
      <c r="O6140" s="370" cm="1">
        <f t="array" ref="O6140">+_xlfn.SWITCH(MONTH(C6140),1,1,2,1,3,1,4,2,5,2,6,3,7,3,8,3,9,3,10,2,11,2,12,1,2)</f>
        <v>1</v>
      </c>
      <c r="P6140" s="43"/>
    </row>
    <row r="6141" spans="1:16" ht="18" x14ac:dyDescent="0.35">
      <c r="A6141" s="9"/>
      <c r="C6141" s="393"/>
      <c r="E6141" s="394"/>
      <c r="F6141" s="394"/>
      <c r="G6141" s="394"/>
      <c r="I6141" s="368">
        <f t="shared" si="291"/>
        <v>0</v>
      </c>
      <c r="J6141" s="365">
        <f t="shared" si="292"/>
        <v>0</v>
      </c>
      <c r="K6141" s="369">
        <f t="shared" si="293"/>
        <v>6</v>
      </c>
      <c r="L6141" s="369">
        <f>+IF((C6141&gt;='Resultats - informe'!$E$16)*(C6141&lt;='Resultats - informe'!$G$16),1,0)</f>
        <v>1</v>
      </c>
      <c r="M6141" s="369" cm="1">
        <f t="array" ref="M6141">+_xlfn.IFS((C6141&gt;='Resultats - informe'!$D$26)*(C6141&lt;='Resultats - informe'!$E$26),0,(C6141&gt;='Resultats - informe'!$D$27)*(C6141&lt;='Resultats - informe'!$E$27),0,(C6141&gt;='Resultats - informe'!$D$28)*(C6141&lt;='Resultats - informe'!$E$28),0,(C6141&gt;='Resultats - informe'!$D$29)*(C6141&lt;='Resultats - informe'!$E$29),0,1,1)</f>
        <v>0</v>
      </c>
      <c r="N6141" s="366">
        <f>+VLOOKUP(D6141,'Resultats - informe'!$Y$18:$AG$42,'Introducció dades consum'!K6141+1,0)</f>
        <v>0</v>
      </c>
      <c r="O6141" s="370" cm="1">
        <f t="array" ref="O6141">+_xlfn.SWITCH(MONTH(C6141),1,1,2,1,3,1,4,2,5,2,6,3,7,3,8,3,9,3,10,2,11,2,12,1,2)</f>
        <v>1</v>
      </c>
      <c r="P6141" s="43"/>
    </row>
    <row r="6142" spans="1:16" ht="18" x14ac:dyDescent="0.35">
      <c r="A6142" s="9"/>
      <c r="C6142" s="393"/>
      <c r="E6142" s="394"/>
      <c r="F6142" s="394"/>
      <c r="G6142" s="394"/>
      <c r="I6142" s="368">
        <f t="shared" si="291"/>
        <v>0</v>
      </c>
      <c r="J6142" s="365">
        <f t="shared" si="292"/>
        <v>0</v>
      </c>
      <c r="K6142" s="369">
        <f t="shared" si="293"/>
        <v>6</v>
      </c>
      <c r="L6142" s="369">
        <f>+IF((C6142&gt;='Resultats - informe'!$E$16)*(C6142&lt;='Resultats - informe'!$G$16),1,0)</f>
        <v>1</v>
      </c>
      <c r="M6142" s="369" cm="1">
        <f t="array" ref="M6142">+_xlfn.IFS((C6142&gt;='Resultats - informe'!$D$26)*(C6142&lt;='Resultats - informe'!$E$26),0,(C6142&gt;='Resultats - informe'!$D$27)*(C6142&lt;='Resultats - informe'!$E$27),0,(C6142&gt;='Resultats - informe'!$D$28)*(C6142&lt;='Resultats - informe'!$E$28),0,(C6142&gt;='Resultats - informe'!$D$29)*(C6142&lt;='Resultats - informe'!$E$29),0,1,1)</f>
        <v>0</v>
      </c>
      <c r="N6142" s="366">
        <f>+VLOOKUP(D6142,'Resultats - informe'!$Y$18:$AG$42,'Introducció dades consum'!K6142+1,0)</f>
        <v>0</v>
      </c>
      <c r="O6142" s="370" cm="1">
        <f t="array" ref="O6142">+_xlfn.SWITCH(MONTH(C6142),1,1,2,1,3,1,4,2,5,2,6,3,7,3,8,3,9,3,10,2,11,2,12,1,2)</f>
        <v>1</v>
      </c>
      <c r="P6142" s="43"/>
    </row>
    <row r="6143" spans="1:16" ht="18" x14ac:dyDescent="0.35">
      <c r="A6143" s="9"/>
      <c r="C6143" s="393"/>
      <c r="E6143" s="394"/>
      <c r="F6143" s="394"/>
      <c r="G6143" s="394"/>
      <c r="I6143" s="368">
        <f t="shared" si="291"/>
        <v>0</v>
      </c>
      <c r="J6143" s="365">
        <f t="shared" si="292"/>
        <v>0</v>
      </c>
      <c r="K6143" s="369">
        <f t="shared" si="293"/>
        <v>6</v>
      </c>
      <c r="L6143" s="369">
        <f>+IF((C6143&gt;='Resultats - informe'!$E$16)*(C6143&lt;='Resultats - informe'!$G$16),1,0)</f>
        <v>1</v>
      </c>
      <c r="M6143" s="369" cm="1">
        <f t="array" ref="M6143">+_xlfn.IFS((C6143&gt;='Resultats - informe'!$D$26)*(C6143&lt;='Resultats - informe'!$E$26),0,(C6143&gt;='Resultats - informe'!$D$27)*(C6143&lt;='Resultats - informe'!$E$27),0,(C6143&gt;='Resultats - informe'!$D$28)*(C6143&lt;='Resultats - informe'!$E$28),0,(C6143&gt;='Resultats - informe'!$D$29)*(C6143&lt;='Resultats - informe'!$E$29),0,1,1)</f>
        <v>0</v>
      </c>
      <c r="N6143" s="366">
        <f>+VLOOKUP(D6143,'Resultats - informe'!$Y$18:$AG$42,'Introducció dades consum'!K6143+1,0)</f>
        <v>0</v>
      </c>
      <c r="O6143" s="370" cm="1">
        <f t="array" ref="O6143">+_xlfn.SWITCH(MONTH(C6143),1,1,2,1,3,1,4,2,5,2,6,3,7,3,8,3,9,3,10,2,11,2,12,1,2)</f>
        <v>1</v>
      </c>
      <c r="P6143" s="43"/>
    </row>
    <row r="6144" spans="1:16" ht="18" x14ac:dyDescent="0.35">
      <c r="A6144" s="9"/>
      <c r="C6144" s="393"/>
      <c r="E6144" s="394"/>
      <c r="F6144" s="394"/>
      <c r="G6144" s="394"/>
      <c r="I6144" s="368">
        <f t="shared" si="291"/>
        <v>0</v>
      </c>
      <c r="J6144" s="365">
        <f t="shared" si="292"/>
        <v>0</v>
      </c>
      <c r="K6144" s="369">
        <f t="shared" si="293"/>
        <v>6</v>
      </c>
      <c r="L6144" s="369">
        <f>+IF((C6144&gt;='Resultats - informe'!$E$16)*(C6144&lt;='Resultats - informe'!$G$16),1,0)</f>
        <v>1</v>
      </c>
      <c r="M6144" s="369" cm="1">
        <f t="array" ref="M6144">+_xlfn.IFS((C6144&gt;='Resultats - informe'!$D$26)*(C6144&lt;='Resultats - informe'!$E$26),0,(C6144&gt;='Resultats - informe'!$D$27)*(C6144&lt;='Resultats - informe'!$E$27),0,(C6144&gt;='Resultats - informe'!$D$28)*(C6144&lt;='Resultats - informe'!$E$28),0,(C6144&gt;='Resultats - informe'!$D$29)*(C6144&lt;='Resultats - informe'!$E$29),0,1,1)</f>
        <v>0</v>
      </c>
      <c r="N6144" s="366">
        <f>+VLOOKUP(D6144,'Resultats - informe'!$Y$18:$AG$42,'Introducció dades consum'!K6144+1,0)</f>
        <v>0</v>
      </c>
      <c r="O6144" s="370" cm="1">
        <f t="array" ref="O6144">+_xlfn.SWITCH(MONTH(C6144),1,1,2,1,3,1,4,2,5,2,6,3,7,3,8,3,9,3,10,2,11,2,12,1,2)</f>
        <v>1</v>
      </c>
      <c r="P6144" s="43"/>
    </row>
    <row r="6145" spans="1:16" ht="18" x14ac:dyDescent="0.35">
      <c r="A6145" s="9"/>
      <c r="C6145" s="393"/>
      <c r="E6145" s="394"/>
      <c r="F6145" s="394"/>
      <c r="G6145" s="394"/>
      <c r="I6145" s="368">
        <f t="shared" si="291"/>
        <v>0</v>
      </c>
      <c r="J6145" s="365">
        <f t="shared" si="292"/>
        <v>0</v>
      </c>
      <c r="K6145" s="369">
        <f t="shared" si="293"/>
        <v>6</v>
      </c>
      <c r="L6145" s="369">
        <f>+IF((C6145&gt;='Resultats - informe'!$E$16)*(C6145&lt;='Resultats - informe'!$G$16),1,0)</f>
        <v>1</v>
      </c>
      <c r="M6145" s="369" cm="1">
        <f t="array" ref="M6145">+_xlfn.IFS((C6145&gt;='Resultats - informe'!$D$26)*(C6145&lt;='Resultats - informe'!$E$26),0,(C6145&gt;='Resultats - informe'!$D$27)*(C6145&lt;='Resultats - informe'!$E$27),0,(C6145&gt;='Resultats - informe'!$D$28)*(C6145&lt;='Resultats - informe'!$E$28),0,(C6145&gt;='Resultats - informe'!$D$29)*(C6145&lt;='Resultats - informe'!$E$29),0,1,1)</f>
        <v>0</v>
      </c>
      <c r="N6145" s="366">
        <f>+VLOOKUP(D6145,'Resultats - informe'!$Y$18:$AG$42,'Introducció dades consum'!K6145+1,0)</f>
        <v>0</v>
      </c>
      <c r="O6145" s="370" cm="1">
        <f t="array" ref="O6145">+_xlfn.SWITCH(MONTH(C6145),1,1,2,1,3,1,4,2,5,2,6,3,7,3,8,3,9,3,10,2,11,2,12,1,2)</f>
        <v>1</v>
      </c>
      <c r="P6145" s="43"/>
    </row>
    <row r="6146" spans="1:16" ht="18" x14ac:dyDescent="0.35">
      <c r="A6146" s="9"/>
      <c r="C6146" s="393"/>
      <c r="E6146" s="394"/>
      <c r="F6146" s="394"/>
      <c r="G6146" s="394"/>
      <c r="I6146" s="368">
        <f t="shared" si="291"/>
        <v>0</v>
      </c>
      <c r="J6146" s="365">
        <f t="shared" si="292"/>
        <v>0</v>
      </c>
      <c r="K6146" s="369">
        <f t="shared" si="293"/>
        <v>6</v>
      </c>
      <c r="L6146" s="369">
        <f>+IF((C6146&gt;='Resultats - informe'!$E$16)*(C6146&lt;='Resultats - informe'!$G$16),1,0)</f>
        <v>1</v>
      </c>
      <c r="M6146" s="369" cm="1">
        <f t="array" ref="M6146">+_xlfn.IFS((C6146&gt;='Resultats - informe'!$D$26)*(C6146&lt;='Resultats - informe'!$E$26),0,(C6146&gt;='Resultats - informe'!$D$27)*(C6146&lt;='Resultats - informe'!$E$27),0,(C6146&gt;='Resultats - informe'!$D$28)*(C6146&lt;='Resultats - informe'!$E$28),0,(C6146&gt;='Resultats - informe'!$D$29)*(C6146&lt;='Resultats - informe'!$E$29),0,1,1)</f>
        <v>0</v>
      </c>
      <c r="N6146" s="366">
        <f>+VLOOKUP(D6146,'Resultats - informe'!$Y$18:$AG$42,'Introducció dades consum'!K6146+1,0)</f>
        <v>0</v>
      </c>
      <c r="O6146" s="370" cm="1">
        <f t="array" ref="O6146">+_xlfn.SWITCH(MONTH(C6146),1,1,2,1,3,1,4,2,5,2,6,3,7,3,8,3,9,3,10,2,11,2,12,1,2)</f>
        <v>1</v>
      </c>
      <c r="P6146" s="43"/>
    </row>
    <row r="6147" spans="1:16" ht="18" x14ac:dyDescent="0.35">
      <c r="A6147" s="9"/>
      <c r="C6147" s="393"/>
      <c r="E6147" s="394"/>
      <c r="F6147" s="394"/>
      <c r="G6147" s="394"/>
      <c r="I6147" s="368">
        <f t="shared" si="291"/>
        <v>0</v>
      </c>
      <c r="J6147" s="365">
        <f t="shared" si="292"/>
        <v>0</v>
      </c>
      <c r="K6147" s="369">
        <f t="shared" si="293"/>
        <v>6</v>
      </c>
      <c r="L6147" s="369">
        <f>+IF((C6147&gt;='Resultats - informe'!$E$16)*(C6147&lt;='Resultats - informe'!$G$16),1,0)</f>
        <v>1</v>
      </c>
      <c r="M6147" s="369" cm="1">
        <f t="array" ref="M6147">+_xlfn.IFS((C6147&gt;='Resultats - informe'!$D$26)*(C6147&lt;='Resultats - informe'!$E$26),0,(C6147&gt;='Resultats - informe'!$D$27)*(C6147&lt;='Resultats - informe'!$E$27),0,(C6147&gt;='Resultats - informe'!$D$28)*(C6147&lt;='Resultats - informe'!$E$28),0,(C6147&gt;='Resultats - informe'!$D$29)*(C6147&lt;='Resultats - informe'!$E$29),0,1,1)</f>
        <v>0</v>
      </c>
      <c r="N6147" s="366">
        <f>+VLOOKUP(D6147,'Resultats - informe'!$Y$18:$AG$42,'Introducció dades consum'!K6147+1,0)</f>
        <v>0</v>
      </c>
      <c r="O6147" s="370" cm="1">
        <f t="array" ref="O6147">+_xlfn.SWITCH(MONTH(C6147),1,1,2,1,3,1,4,2,5,2,6,3,7,3,8,3,9,3,10,2,11,2,12,1,2)</f>
        <v>1</v>
      </c>
      <c r="P6147" s="43"/>
    </row>
    <row r="6148" spans="1:16" ht="18" x14ac:dyDescent="0.35">
      <c r="A6148" s="9"/>
      <c r="C6148" s="393"/>
      <c r="E6148" s="394"/>
      <c r="F6148" s="394"/>
      <c r="G6148" s="394"/>
      <c r="I6148" s="368">
        <f t="shared" si="291"/>
        <v>0</v>
      </c>
      <c r="J6148" s="365">
        <f t="shared" si="292"/>
        <v>0</v>
      </c>
      <c r="K6148" s="369">
        <f t="shared" si="293"/>
        <v>6</v>
      </c>
      <c r="L6148" s="369">
        <f>+IF((C6148&gt;='Resultats - informe'!$E$16)*(C6148&lt;='Resultats - informe'!$G$16),1,0)</f>
        <v>1</v>
      </c>
      <c r="M6148" s="369" cm="1">
        <f t="array" ref="M6148">+_xlfn.IFS((C6148&gt;='Resultats - informe'!$D$26)*(C6148&lt;='Resultats - informe'!$E$26),0,(C6148&gt;='Resultats - informe'!$D$27)*(C6148&lt;='Resultats - informe'!$E$27),0,(C6148&gt;='Resultats - informe'!$D$28)*(C6148&lt;='Resultats - informe'!$E$28),0,(C6148&gt;='Resultats - informe'!$D$29)*(C6148&lt;='Resultats - informe'!$E$29),0,1,1)</f>
        <v>0</v>
      </c>
      <c r="N6148" s="366">
        <f>+VLOOKUP(D6148,'Resultats - informe'!$Y$18:$AG$42,'Introducció dades consum'!K6148+1,0)</f>
        <v>0</v>
      </c>
      <c r="O6148" s="370" cm="1">
        <f t="array" ref="O6148">+_xlfn.SWITCH(MONTH(C6148),1,1,2,1,3,1,4,2,5,2,6,3,7,3,8,3,9,3,10,2,11,2,12,1,2)</f>
        <v>1</v>
      </c>
      <c r="P6148" s="43"/>
    </row>
    <row r="6149" spans="1:16" ht="18" x14ac:dyDescent="0.35">
      <c r="A6149" s="9"/>
      <c r="C6149" s="393"/>
      <c r="E6149" s="394"/>
      <c r="F6149" s="394"/>
      <c r="G6149" s="394"/>
      <c r="I6149" s="368">
        <f t="shared" si="291"/>
        <v>0</v>
      </c>
      <c r="J6149" s="365">
        <f t="shared" si="292"/>
        <v>0</v>
      </c>
      <c r="K6149" s="369">
        <f t="shared" si="293"/>
        <v>6</v>
      </c>
      <c r="L6149" s="369">
        <f>+IF((C6149&gt;='Resultats - informe'!$E$16)*(C6149&lt;='Resultats - informe'!$G$16),1,0)</f>
        <v>1</v>
      </c>
      <c r="M6149" s="369" cm="1">
        <f t="array" ref="M6149">+_xlfn.IFS((C6149&gt;='Resultats - informe'!$D$26)*(C6149&lt;='Resultats - informe'!$E$26),0,(C6149&gt;='Resultats - informe'!$D$27)*(C6149&lt;='Resultats - informe'!$E$27),0,(C6149&gt;='Resultats - informe'!$D$28)*(C6149&lt;='Resultats - informe'!$E$28),0,(C6149&gt;='Resultats - informe'!$D$29)*(C6149&lt;='Resultats - informe'!$E$29),0,1,1)</f>
        <v>0</v>
      </c>
      <c r="N6149" s="366">
        <f>+VLOOKUP(D6149,'Resultats - informe'!$Y$18:$AG$42,'Introducció dades consum'!K6149+1,0)</f>
        <v>0</v>
      </c>
      <c r="O6149" s="370" cm="1">
        <f t="array" ref="O6149">+_xlfn.SWITCH(MONTH(C6149),1,1,2,1,3,1,4,2,5,2,6,3,7,3,8,3,9,3,10,2,11,2,12,1,2)</f>
        <v>1</v>
      </c>
      <c r="P6149" s="43"/>
    </row>
    <row r="6150" spans="1:16" ht="18" x14ac:dyDescent="0.35">
      <c r="A6150" s="9"/>
      <c r="C6150" s="393"/>
      <c r="E6150" s="394"/>
      <c r="F6150" s="394"/>
      <c r="G6150" s="394"/>
      <c r="I6150" s="368">
        <f t="shared" si="291"/>
        <v>0</v>
      </c>
      <c r="J6150" s="365">
        <f t="shared" si="292"/>
        <v>0</v>
      </c>
      <c r="K6150" s="369">
        <f t="shared" si="293"/>
        <v>6</v>
      </c>
      <c r="L6150" s="369">
        <f>+IF((C6150&gt;='Resultats - informe'!$E$16)*(C6150&lt;='Resultats - informe'!$G$16),1,0)</f>
        <v>1</v>
      </c>
      <c r="M6150" s="369" cm="1">
        <f t="array" ref="M6150">+_xlfn.IFS((C6150&gt;='Resultats - informe'!$D$26)*(C6150&lt;='Resultats - informe'!$E$26),0,(C6150&gt;='Resultats - informe'!$D$27)*(C6150&lt;='Resultats - informe'!$E$27),0,(C6150&gt;='Resultats - informe'!$D$28)*(C6150&lt;='Resultats - informe'!$E$28),0,(C6150&gt;='Resultats - informe'!$D$29)*(C6150&lt;='Resultats - informe'!$E$29),0,1,1)</f>
        <v>0</v>
      </c>
      <c r="N6150" s="366">
        <f>+VLOOKUP(D6150,'Resultats - informe'!$Y$18:$AG$42,'Introducció dades consum'!K6150+1,0)</f>
        <v>0</v>
      </c>
      <c r="O6150" s="370" cm="1">
        <f t="array" ref="O6150">+_xlfn.SWITCH(MONTH(C6150),1,1,2,1,3,1,4,2,5,2,6,3,7,3,8,3,9,3,10,2,11,2,12,1,2)</f>
        <v>1</v>
      </c>
      <c r="P6150" s="43"/>
    </row>
    <row r="6151" spans="1:16" ht="18" x14ac:dyDescent="0.35">
      <c r="A6151" s="9"/>
      <c r="C6151" s="393"/>
      <c r="E6151" s="394"/>
      <c r="F6151" s="394"/>
      <c r="G6151" s="394"/>
      <c r="I6151" s="368">
        <f t="shared" si="291"/>
        <v>0</v>
      </c>
      <c r="J6151" s="365">
        <f t="shared" si="292"/>
        <v>0</v>
      </c>
      <c r="K6151" s="369">
        <f t="shared" si="293"/>
        <v>6</v>
      </c>
      <c r="L6151" s="369">
        <f>+IF((C6151&gt;='Resultats - informe'!$E$16)*(C6151&lt;='Resultats - informe'!$G$16),1,0)</f>
        <v>1</v>
      </c>
      <c r="M6151" s="369" cm="1">
        <f t="array" ref="M6151">+_xlfn.IFS((C6151&gt;='Resultats - informe'!$D$26)*(C6151&lt;='Resultats - informe'!$E$26),0,(C6151&gt;='Resultats - informe'!$D$27)*(C6151&lt;='Resultats - informe'!$E$27),0,(C6151&gt;='Resultats - informe'!$D$28)*(C6151&lt;='Resultats - informe'!$E$28),0,(C6151&gt;='Resultats - informe'!$D$29)*(C6151&lt;='Resultats - informe'!$E$29),0,1,1)</f>
        <v>0</v>
      </c>
      <c r="N6151" s="366">
        <f>+VLOOKUP(D6151,'Resultats - informe'!$Y$18:$AG$42,'Introducció dades consum'!K6151+1,0)</f>
        <v>0</v>
      </c>
      <c r="O6151" s="370" cm="1">
        <f t="array" ref="O6151">+_xlfn.SWITCH(MONTH(C6151),1,1,2,1,3,1,4,2,5,2,6,3,7,3,8,3,9,3,10,2,11,2,12,1,2)</f>
        <v>1</v>
      </c>
      <c r="P6151" s="43"/>
    </row>
    <row r="6152" spans="1:16" ht="18" x14ac:dyDescent="0.35">
      <c r="A6152" s="9"/>
      <c r="C6152" s="393"/>
      <c r="E6152" s="394"/>
      <c r="F6152" s="394"/>
      <c r="G6152" s="394"/>
      <c r="I6152" s="368">
        <f t="shared" si="291"/>
        <v>0</v>
      </c>
      <c r="J6152" s="365">
        <f t="shared" si="292"/>
        <v>0</v>
      </c>
      <c r="K6152" s="369">
        <f t="shared" si="293"/>
        <v>6</v>
      </c>
      <c r="L6152" s="369">
        <f>+IF((C6152&gt;='Resultats - informe'!$E$16)*(C6152&lt;='Resultats - informe'!$G$16),1,0)</f>
        <v>1</v>
      </c>
      <c r="M6152" s="369" cm="1">
        <f t="array" ref="M6152">+_xlfn.IFS((C6152&gt;='Resultats - informe'!$D$26)*(C6152&lt;='Resultats - informe'!$E$26),0,(C6152&gt;='Resultats - informe'!$D$27)*(C6152&lt;='Resultats - informe'!$E$27),0,(C6152&gt;='Resultats - informe'!$D$28)*(C6152&lt;='Resultats - informe'!$E$28),0,(C6152&gt;='Resultats - informe'!$D$29)*(C6152&lt;='Resultats - informe'!$E$29),0,1,1)</f>
        <v>0</v>
      </c>
      <c r="N6152" s="366">
        <f>+VLOOKUP(D6152,'Resultats - informe'!$Y$18:$AG$42,'Introducció dades consum'!K6152+1,0)</f>
        <v>0</v>
      </c>
      <c r="O6152" s="370" cm="1">
        <f t="array" ref="O6152">+_xlfn.SWITCH(MONTH(C6152),1,1,2,1,3,1,4,2,5,2,6,3,7,3,8,3,9,3,10,2,11,2,12,1,2)</f>
        <v>1</v>
      </c>
      <c r="P6152" s="43"/>
    </row>
    <row r="6153" spans="1:16" ht="18" x14ac:dyDescent="0.35">
      <c r="A6153" s="9"/>
      <c r="C6153" s="393"/>
      <c r="E6153" s="394"/>
      <c r="F6153" s="394"/>
      <c r="G6153" s="394"/>
      <c r="I6153" s="368">
        <f t="shared" si="291"/>
        <v>0</v>
      </c>
      <c r="J6153" s="365">
        <f t="shared" si="292"/>
        <v>0</v>
      </c>
      <c r="K6153" s="369">
        <f t="shared" si="293"/>
        <v>6</v>
      </c>
      <c r="L6153" s="369">
        <f>+IF((C6153&gt;='Resultats - informe'!$E$16)*(C6153&lt;='Resultats - informe'!$G$16),1,0)</f>
        <v>1</v>
      </c>
      <c r="M6153" s="369" cm="1">
        <f t="array" ref="M6153">+_xlfn.IFS((C6153&gt;='Resultats - informe'!$D$26)*(C6153&lt;='Resultats - informe'!$E$26),0,(C6153&gt;='Resultats - informe'!$D$27)*(C6153&lt;='Resultats - informe'!$E$27),0,(C6153&gt;='Resultats - informe'!$D$28)*(C6153&lt;='Resultats - informe'!$E$28),0,(C6153&gt;='Resultats - informe'!$D$29)*(C6153&lt;='Resultats - informe'!$E$29),0,1,1)</f>
        <v>0</v>
      </c>
      <c r="N6153" s="366">
        <f>+VLOOKUP(D6153,'Resultats - informe'!$Y$18:$AG$42,'Introducció dades consum'!K6153+1,0)</f>
        <v>0</v>
      </c>
      <c r="O6153" s="370" cm="1">
        <f t="array" ref="O6153">+_xlfn.SWITCH(MONTH(C6153),1,1,2,1,3,1,4,2,5,2,6,3,7,3,8,3,9,3,10,2,11,2,12,1,2)</f>
        <v>1</v>
      </c>
      <c r="P6153" s="43"/>
    </row>
    <row r="6154" spans="1:16" ht="18" x14ac:dyDescent="0.35">
      <c r="A6154" s="9"/>
      <c r="C6154" s="393"/>
      <c r="E6154" s="394"/>
      <c r="F6154" s="394"/>
      <c r="G6154" s="394"/>
      <c r="I6154" s="368">
        <f t="shared" si="291"/>
        <v>0</v>
      </c>
      <c r="J6154" s="365">
        <f t="shared" si="292"/>
        <v>0</v>
      </c>
      <c r="K6154" s="369">
        <f t="shared" si="293"/>
        <v>6</v>
      </c>
      <c r="L6154" s="369">
        <f>+IF((C6154&gt;='Resultats - informe'!$E$16)*(C6154&lt;='Resultats - informe'!$G$16),1,0)</f>
        <v>1</v>
      </c>
      <c r="M6154" s="369" cm="1">
        <f t="array" ref="M6154">+_xlfn.IFS((C6154&gt;='Resultats - informe'!$D$26)*(C6154&lt;='Resultats - informe'!$E$26),0,(C6154&gt;='Resultats - informe'!$D$27)*(C6154&lt;='Resultats - informe'!$E$27),0,(C6154&gt;='Resultats - informe'!$D$28)*(C6154&lt;='Resultats - informe'!$E$28),0,(C6154&gt;='Resultats - informe'!$D$29)*(C6154&lt;='Resultats - informe'!$E$29),0,1,1)</f>
        <v>0</v>
      </c>
      <c r="N6154" s="366">
        <f>+VLOOKUP(D6154,'Resultats - informe'!$Y$18:$AG$42,'Introducció dades consum'!K6154+1,0)</f>
        <v>0</v>
      </c>
      <c r="O6154" s="370" cm="1">
        <f t="array" ref="O6154">+_xlfn.SWITCH(MONTH(C6154),1,1,2,1,3,1,4,2,5,2,6,3,7,3,8,3,9,3,10,2,11,2,12,1,2)</f>
        <v>1</v>
      </c>
      <c r="P6154" s="43"/>
    </row>
    <row r="6155" spans="1:16" ht="18" x14ac:dyDescent="0.35">
      <c r="A6155" s="9"/>
      <c r="C6155" s="393"/>
      <c r="E6155" s="394"/>
      <c r="F6155" s="394"/>
      <c r="G6155" s="394"/>
      <c r="I6155" s="368">
        <f t="shared" si="291"/>
        <v>0</v>
      </c>
      <c r="J6155" s="365">
        <f t="shared" si="292"/>
        <v>0</v>
      </c>
      <c r="K6155" s="369">
        <f t="shared" si="293"/>
        <v>6</v>
      </c>
      <c r="L6155" s="369">
        <f>+IF((C6155&gt;='Resultats - informe'!$E$16)*(C6155&lt;='Resultats - informe'!$G$16),1,0)</f>
        <v>1</v>
      </c>
      <c r="M6155" s="369" cm="1">
        <f t="array" ref="M6155">+_xlfn.IFS((C6155&gt;='Resultats - informe'!$D$26)*(C6155&lt;='Resultats - informe'!$E$26),0,(C6155&gt;='Resultats - informe'!$D$27)*(C6155&lt;='Resultats - informe'!$E$27),0,(C6155&gt;='Resultats - informe'!$D$28)*(C6155&lt;='Resultats - informe'!$E$28),0,(C6155&gt;='Resultats - informe'!$D$29)*(C6155&lt;='Resultats - informe'!$E$29),0,1,1)</f>
        <v>0</v>
      </c>
      <c r="N6155" s="366">
        <f>+VLOOKUP(D6155,'Resultats - informe'!$Y$18:$AG$42,'Introducció dades consum'!K6155+1,0)</f>
        <v>0</v>
      </c>
      <c r="O6155" s="370" cm="1">
        <f t="array" ref="O6155">+_xlfn.SWITCH(MONTH(C6155),1,1,2,1,3,1,4,2,5,2,6,3,7,3,8,3,9,3,10,2,11,2,12,1,2)</f>
        <v>1</v>
      </c>
      <c r="P6155" s="43"/>
    </row>
    <row r="6156" spans="1:16" ht="18" x14ac:dyDescent="0.35">
      <c r="A6156" s="9"/>
      <c r="C6156" s="393"/>
      <c r="E6156" s="394"/>
      <c r="F6156" s="394"/>
      <c r="G6156" s="394"/>
      <c r="I6156" s="368">
        <f t="shared" si="291"/>
        <v>0</v>
      </c>
      <c r="J6156" s="365">
        <f t="shared" si="292"/>
        <v>0</v>
      </c>
      <c r="K6156" s="369">
        <f t="shared" si="293"/>
        <v>6</v>
      </c>
      <c r="L6156" s="369">
        <f>+IF((C6156&gt;='Resultats - informe'!$E$16)*(C6156&lt;='Resultats - informe'!$G$16),1,0)</f>
        <v>1</v>
      </c>
      <c r="M6156" s="369" cm="1">
        <f t="array" ref="M6156">+_xlfn.IFS((C6156&gt;='Resultats - informe'!$D$26)*(C6156&lt;='Resultats - informe'!$E$26),0,(C6156&gt;='Resultats - informe'!$D$27)*(C6156&lt;='Resultats - informe'!$E$27),0,(C6156&gt;='Resultats - informe'!$D$28)*(C6156&lt;='Resultats - informe'!$E$28),0,(C6156&gt;='Resultats - informe'!$D$29)*(C6156&lt;='Resultats - informe'!$E$29),0,1,1)</f>
        <v>0</v>
      </c>
      <c r="N6156" s="366">
        <f>+VLOOKUP(D6156,'Resultats - informe'!$Y$18:$AG$42,'Introducció dades consum'!K6156+1,0)</f>
        <v>0</v>
      </c>
      <c r="O6156" s="370" cm="1">
        <f t="array" ref="O6156">+_xlfn.SWITCH(MONTH(C6156),1,1,2,1,3,1,4,2,5,2,6,3,7,3,8,3,9,3,10,2,11,2,12,1,2)</f>
        <v>1</v>
      </c>
      <c r="P6156" s="43"/>
    </row>
    <row r="6157" spans="1:16" ht="18" x14ac:dyDescent="0.35">
      <c r="A6157" s="9"/>
      <c r="C6157" s="393"/>
      <c r="E6157" s="394"/>
      <c r="F6157" s="394"/>
      <c r="G6157" s="394"/>
      <c r="I6157" s="368">
        <f t="shared" si="291"/>
        <v>0</v>
      </c>
      <c r="J6157" s="365">
        <f t="shared" si="292"/>
        <v>0</v>
      </c>
      <c r="K6157" s="369">
        <f t="shared" si="293"/>
        <v>6</v>
      </c>
      <c r="L6157" s="369">
        <f>+IF((C6157&gt;='Resultats - informe'!$E$16)*(C6157&lt;='Resultats - informe'!$G$16),1,0)</f>
        <v>1</v>
      </c>
      <c r="M6157" s="369" cm="1">
        <f t="array" ref="M6157">+_xlfn.IFS((C6157&gt;='Resultats - informe'!$D$26)*(C6157&lt;='Resultats - informe'!$E$26),0,(C6157&gt;='Resultats - informe'!$D$27)*(C6157&lt;='Resultats - informe'!$E$27),0,(C6157&gt;='Resultats - informe'!$D$28)*(C6157&lt;='Resultats - informe'!$E$28),0,(C6157&gt;='Resultats - informe'!$D$29)*(C6157&lt;='Resultats - informe'!$E$29),0,1,1)</f>
        <v>0</v>
      </c>
      <c r="N6157" s="366">
        <f>+VLOOKUP(D6157,'Resultats - informe'!$Y$18:$AG$42,'Introducció dades consum'!K6157+1,0)</f>
        <v>0</v>
      </c>
      <c r="O6157" s="370" cm="1">
        <f t="array" ref="O6157">+_xlfn.SWITCH(MONTH(C6157),1,1,2,1,3,1,4,2,5,2,6,3,7,3,8,3,9,3,10,2,11,2,12,1,2)</f>
        <v>1</v>
      </c>
      <c r="P6157" s="43"/>
    </row>
    <row r="6158" spans="1:16" ht="18" x14ac:dyDescent="0.35">
      <c r="A6158" s="9"/>
      <c r="C6158" s="393"/>
      <c r="E6158" s="394"/>
      <c r="F6158" s="394"/>
      <c r="G6158" s="394"/>
      <c r="I6158" s="368">
        <f t="shared" si="291"/>
        <v>0</v>
      </c>
      <c r="J6158" s="365">
        <f t="shared" si="292"/>
        <v>0</v>
      </c>
      <c r="K6158" s="369">
        <f t="shared" si="293"/>
        <v>6</v>
      </c>
      <c r="L6158" s="369">
        <f>+IF((C6158&gt;='Resultats - informe'!$E$16)*(C6158&lt;='Resultats - informe'!$G$16),1,0)</f>
        <v>1</v>
      </c>
      <c r="M6158" s="369" cm="1">
        <f t="array" ref="M6158">+_xlfn.IFS((C6158&gt;='Resultats - informe'!$D$26)*(C6158&lt;='Resultats - informe'!$E$26),0,(C6158&gt;='Resultats - informe'!$D$27)*(C6158&lt;='Resultats - informe'!$E$27),0,(C6158&gt;='Resultats - informe'!$D$28)*(C6158&lt;='Resultats - informe'!$E$28),0,(C6158&gt;='Resultats - informe'!$D$29)*(C6158&lt;='Resultats - informe'!$E$29),0,1,1)</f>
        <v>0</v>
      </c>
      <c r="N6158" s="366">
        <f>+VLOOKUP(D6158,'Resultats - informe'!$Y$18:$AG$42,'Introducció dades consum'!K6158+1,0)</f>
        <v>0</v>
      </c>
      <c r="O6158" s="370" cm="1">
        <f t="array" ref="O6158">+_xlfn.SWITCH(MONTH(C6158),1,1,2,1,3,1,4,2,5,2,6,3,7,3,8,3,9,3,10,2,11,2,12,1,2)</f>
        <v>1</v>
      </c>
      <c r="P6158" s="43"/>
    </row>
    <row r="6159" spans="1:16" ht="18" x14ac:dyDescent="0.35">
      <c r="A6159" s="9"/>
      <c r="C6159" s="393"/>
      <c r="E6159" s="394"/>
      <c r="F6159" s="394"/>
      <c r="G6159" s="394"/>
      <c r="I6159" s="368">
        <f t="shared" si="291"/>
        <v>0</v>
      </c>
      <c r="J6159" s="365">
        <f t="shared" si="292"/>
        <v>0</v>
      </c>
      <c r="K6159" s="369">
        <f t="shared" si="293"/>
        <v>6</v>
      </c>
      <c r="L6159" s="369">
        <f>+IF((C6159&gt;='Resultats - informe'!$E$16)*(C6159&lt;='Resultats - informe'!$G$16),1,0)</f>
        <v>1</v>
      </c>
      <c r="M6159" s="369" cm="1">
        <f t="array" ref="M6159">+_xlfn.IFS((C6159&gt;='Resultats - informe'!$D$26)*(C6159&lt;='Resultats - informe'!$E$26),0,(C6159&gt;='Resultats - informe'!$D$27)*(C6159&lt;='Resultats - informe'!$E$27),0,(C6159&gt;='Resultats - informe'!$D$28)*(C6159&lt;='Resultats - informe'!$E$28),0,(C6159&gt;='Resultats - informe'!$D$29)*(C6159&lt;='Resultats - informe'!$E$29),0,1,1)</f>
        <v>0</v>
      </c>
      <c r="N6159" s="366">
        <f>+VLOOKUP(D6159,'Resultats - informe'!$Y$18:$AG$42,'Introducció dades consum'!K6159+1,0)</f>
        <v>0</v>
      </c>
      <c r="O6159" s="370" cm="1">
        <f t="array" ref="O6159">+_xlfn.SWITCH(MONTH(C6159),1,1,2,1,3,1,4,2,5,2,6,3,7,3,8,3,9,3,10,2,11,2,12,1,2)</f>
        <v>1</v>
      </c>
      <c r="P6159" s="43"/>
    </row>
    <row r="6160" spans="1:16" ht="18" x14ac:dyDescent="0.35">
      <c r="A6160" s="9"/>
      <c r="C6160" s="393"/>
      <c r="E6160" s="394"/>
      <c r="F6160" s="394"/>
      <c r="G6160" s="394"/>
      <c r="I6160" s="368">
        <f t="shared" si="291"/>
        <v>0</v>
      </c>
      <c r="J6160" s="365">
        <f t="shared" si="292"/>
        <v>0</v>
      </c>
      <c r="K6160" s="369">
        <f t="shared" si="293"/>
        <v>6</v>
      </c>
      <c r="L6160" s="369">
        <f>+IF((C6160&gt;='Resultats - informe'!$E$16)*(C6160&lt;='Resultats - informe'!$G$16),1,0)</f>
        <v>1</v>
      </c>
      <c r="M6160" s="369" cm="1">
        <f t="array" ref="M6160">+_xlfn.IFS((C6160&gt;='Resultats - informe'!$D$26)*(C6160&lt;='Resultats - informe'!$E$26),0,(C6160&gt;='Resultats - informe'!$D$27)*(C6160&lt;='Resultats - informe'!$E$27),0,(C6160&gt;='Resultats - informe'!$D$28)*(C6160&lt;='Resultats - informe'!$E$28),0,(C6160&gt;='Resultats - informe'!$D$29)*(C6160&lt;='Resultats - informe'!$E$29),0,1,1)</f>
        <v>0</v>
      </c>
      <c r="N6160" s="366">
        <f>+VLOOKUP(D6160,'Resultats - informe'!$Y$18:$AG$42,'Introducció dades consum'!K6160+1,0)</f>
        <v>0</v>
      </c>
      <c r="O6160" s="370" cm="1">
        <f t="array" ref="O6160">+_xlfn.SWITCH(MONTH(C6160),1,1,2,1,3,1,4,2,5,2,6,3,7,3,8,3,9,3,10,2,11,2,12,1,2)</f>
        <v>1</v>
      </c>
      <c r="P6160" s="43"/>
    </row>
    <row r="6161" spans="1:16" ht="18" x14ac:dyDescent="0.35">
      <c r="A6161" s="9"/>
      <c r="C6161" s="393"/>
      <c r="E6161" s="394"/>
      <c r="F6161" s="394"/>
      <c r="G6161" s="394"/>
      <c r="I6161" s="368">
        <f t="shared" si="291"/>
        <v>0</v>
      </c>
      <c r="J6161" s="365">
        <f t="shared" si="292"/>
        <v>0</v>
      </c>
      <c r="K6161" s="369">
        <f t="shared" si="293"/>
        <v>6</v>
      </c>
      <c r="L6161" s="369">
        <f>+IF((C6161&gt;='Resultats - informe'!$E$16)*(C6161&lt;='Resultats - informe'!$G$16),1,0)</f>
        <v>1</v>
      </c>
      <c r="M6161" s="369" cm="1">
        <f t="array" ref="M6161">+_xlfn.IFS((C6161&gt;='Resultats - informe'!$D$26)*(C6161&lt;='Resultats - informe'!$E$26),0,(C6161&gt;='Resultats - informe'!$D$27)*(C6161&lt;='Resultats - informe'!$E$27),0,(C6161&gt;='Resultats - informe'!$D$28)*(C6161&lt;='Resultats - informe'!$E$28),0,(C6161&gt;='Resultats - informe'!$D$29)*(C6161&lt;='Resultats - informe'!$E$29),0,1,1)</f>
        <v>0</v>
      </c>
      <c r="N6161" s="366">
        <f>+VLOOKUP(D6161,'Resultats - informe'!$Y$18:$AG$42,'Introducció dades consum'!K6161+1,0)</f>
        <v>0</v>
      </c>
      <c r="O6161" s="370" cm="1">
        <f t="array" ref="O6161">+_xlfn.SWITCH(MONTH(C6161),1,1,2,1,3,1,4,2,5,2,6,3,7,3,8,3,9,3,10,2,11,2,12,1,2)</f>
        <v>1</v>
      </c>
      <c r="P6161" s="43"/>
    </row>
    <row r="6162" spans="1:16" ht="18" x14ac:dyDescent="0.35">
      <c r="A6162" s="9"/>
      <c r="C6162" s="393"/>
      <c r="E6162" s="394"/>
      <c r="F6162" s="394"/>
      <c r="G6162" s="394"/>
      <c r="I6162" s="368">
        <f t="shared" ref="I6162:I6225" si="294">+E6162+G6162</f>
        <v>0</v>
      </c>
      <c r="J6162" s="365">
        <f t="shared" ref="J6162:J6225" si="295">+C6162</f>
        <v>0</v>
      </c>
      <c r="K6162" s="369">
        <f t="shared" ref="K6162:K6225" si="296">+WEEKDAY(C6162,2)</f>
        <v>6</v>
      </c>
      <c r="L6162" s="369">
        <f>+IF((C6162&gt;='Resultats - informe'!$E$16)*(C6162&lt;='Resultats - informe'!$G$16),1,0)</f>
        <v>1</v>
      </c>
      <c r="M6162" s="369" cm="1">
        <f t="array" ref="M6162">+_xlfn.IFS((C6162&gt;='Resultats - informe'!$D$26)*(C6162&lt;='Resultats - informe'!$E$26),0,(C6162&gt;='Resultats - informe'!$D$27)*(C6162&lt;='Resultats - informe'!$E$27),0,(C6162&gt;='Resultats - informe'!$D$28)*(C6162&lt;='Resultats - informe'!$E$28),0,(C6162&gt;='Resultats - informe'!$D$29)*(C6162&lt;='Resultats - informe'!$E$29),0,1,1)</f>
        <v>0</v>
      </c>
      <c r="N6162" s="366">
        <f>+VLOOKUP(D6162,'Resultats - informe'!$Y$18:$AG$42,'Introducció dades consum'!K6162+1,0)</f>
        <v>0</v>
      </c>
      <c r="O6162" s="370" cm="1">
        <f t="array" ref="O6162">+_xlfn.SWITCH(MONTH(C6162),1,1,2,1,3,1,4,2,5,2,6,3,7,3,8,3,9,3,10,2,11,2,12,1,2)</f>
        <v>1</v>
      </c>
      <c r="P6162" s="43"/>
    </row>
    <row r="6163" spans="1:16" ht="18" x14ac:dyDescent="0.35">
      <c r="A6163" s="9"/>
      <c r="C6163" s="393"/>
      <c r="E6163" s="394"/>
      <c r="F6163" s="394"/>
      <c r="G6163" s="394"/>
      <c r="I6163" s="368">
        <f t="shared" si="294"/>
        <v>0</v>
      </c>
      <c r="J6163" s="365">
        <f t="shared" si="295"/>
        <v>0</v>
      </c>
      <c r="K6163" s="369">
        <f t="shared" si="296"/>
        <v>6</v>
      </c>
      <c r="L6163" s="369">
        <f>+IF((C6163&gt;='Resultats - informe'!$E$16)*(C6163&lt;='Resultats - informe'!$G$16),1,0)</f>
        <v>1</v>
      </c>
      <c r="M6163" s="369" cm="1">
        <f t="array" ref="M6163">+_xlfn.IFS((C6163&gt;='Resultats - informe'!$D$26)*(C6163&lt;='Resultats - informe'!$E$26),0,(C6163&gt;='Resultats - informe'!$D$27)*(C6163&lt;='Resultats - informe'!$E$27),0,(C6163&gt;='Resultats - informe'!$D$28)*(C6163&lt;='Resultats - informe'!$E$28),0,(C6163&gt;='Resultats - informe'!$D$29)*(C6163&lt;='Resultats - informe'!$E$29),0,1,1)</f>
        <v>0</v>
      </c>
      <c r="N6163" s="366">
        <f>+VLOOKUP(D6163,'Resultats - informe'!$Y$18:$AG$42,'Introducció dades consum'!K6163+1,0)</f>
        <v>0</v>
      </c>
      <c r="O6163" s="370" cm="1">
        <f t="array" ref="O6163">+_xlfn.SWITCH(MONTH(C6163),1,1,2,1,3,1,4,2,5,2,6,3,7,3,8,3,9,3,10,2,11,2,12,1,2)</f>
        <v>1</v>
      </c>
      <c r="P6163" s="43"/>
    </row>
    <row r="6164" spans="1:16" ht="18" x14ac:dyDescent="0.35">
      <c r="A6164" s="9"/>
      <c r="C6164" s="393"/>
      <c r="E6164" s="394"/>
      <c r="F6164" s="394"/>
      <c r="G6164" s="394"/>
      <c r="I6164" s="368">
        <f t="shared" si="294"/>
        <v>0</v>
      </c>
      <c r="J6164" s="365">
        <f t="shared" si="295"/>
        <v>0</v>
      </c>
      <c r="K6164" s="369">
        <f t="shared" si="296"/>
        <v>6</v>
      </c>
      <c r="L6164" s="369">
        <f>+IF((C6164&gt;='Resultats - informe'!$E$16)*(C6164&lt;='Resultats - informe'!$G$16),1,0)</f>
        <v>1</v>
      </c>
      <c r="M6164" s="369" cm="1">
        <f t="array" ref="M6164">+_xlfn.IFS((C6164&gt;='Resultats - informe'!$D$26)*(C6164&lt;='Resultats - informe'!$E$26),0,(C6164&gt;='Resultats - informe'!$D$27)*(C6164&lt;='Resultats - informe'!$E$27),0,(C6164&gt;='Resultats - informe'!$D$28)*(C6164&lt;='Resultats - informe'!$E$28),0,(C6164&gt;='Resultats - informe'!$D$29)*(C6164&lt;='Resultats - informe'!$E$29),0,1,1)</f>
        <v>0</v>
      </c>
      <c r="N6164" s="366">
        <f>+VLOOKUP(D6164,'Resultats - informe'!$Y$18:$AG$42,'Introducció dades consum'!K6164+1,0)</f>
        <v>0</v>
      </c>
      <c r="O6164" s="370" cm="1">
        <f t="array" ref="O6164">+_xlfn.SWITCH(MONTH(C6164),1,1,2,1,3,1,4,2,5,2,6,3,7,3,8,3,9,3,10,2,11,2,12,1,2)</f>
        <v>1</v>
      </c>
      <c r="P6164" s="43"/>
    </row>
    <row r="6165" spans="1:16" ht="18" x14ac:dyDescent="0.35">
      <c r="A6165" s="9"/>
      <c r="C6165" s="393"/>
      <c r="E6165" s="394"/>
      <c r="F6165" s="394"/>
      <c r="G6165" s="394"/>
      <c r="I6165" s="368">
        <f t="shared" si="294"/>
        <v>0</v>
      </c>
      <c r="J6165" s="365">
        <f t="shared" si="295"/>
        <v>0</v>
      </c>
      <c r="K6165" s="369">
        <f t="shared" si="296"/>
        <v>6</v>
      </c>
      <c r="L6165" s="369">
        <f>+IF((C6165&gt;='Resultats - informe'!$E$16)*(C6165&lt;='Resultats - informe'!$G$16),1,0)</f>
        <v>1</v>
      </c>
      <c r="M6165" s="369" cm="1">
        <f t="array" ref="M6165">+_xlfn.IFS((C6165&gt;='Resultats - informe'!$D$26)*(C6165&lt;='Resultats - informe'!$E$26),0,(C6165&gt;='Resultats - informe'!$D$27)*(C6165&lt;='Resultats - informe'!$E$27),0,(C6165&gt;='Resultats - informe'!$D$28)*(C6165&lt;='Resultats - informe'!$E$28),0,(C6165&gt;='Resultats - informe'!$D$29)*(C6165&lt;='Resultats - informe'!$E$29),0,1,1)</f>
        <v>0</v>
      </c>
      <c r="N6165" s="366">
        <f>+VLOOKUP(D6165,'Resultats - informe'!$Y$18:$AG$42,'Introducció dades consum'!K6165+1,0)</f>
        <v>0</v>
      </c>
      <c r="O6165" s="370" cm="1">
        <f t="array" ref="O6165">+_xlfn.SWITCH(MONTH(C6165),1,1,2,1,3,1,4,2,5,2,6,3,7,3,8,3,9,3,10,2,11,2,12,1,2)</f>
        <v>1</v>
      </c>
      <c r="P6165" s="43"/>
    </row>
    <row r="6166" spans="1:16" ht="18" x14ac:dyDescent="0.35">
      <c r="A6166" s="9"/>
      <c r="C6166" s="393"/>
      <c r="E6166" s="394"/>
      <c r="F6166" s="394"/>
      <c r="G6166" s="394"/>
      <c r="I6166" s="368">
        <f t="shared" si="294"/>
        <v>0</v>
      </c>
      <c r="J6166" s="365">
        <f t="shared" si="295"/>
        <v>0</v>
      </c>
      <c r="K6166" s="369">
        <f t="shared" si="296"/>
        <v>6</v>
      </c>
      <c r="L6166" s="369">
        <f>+IF((C6166&gt;='Resultats - informe'!$E$16)*(C6166&lt;='Resultats - informe'!$G$16),1,0)</f>
        <v>1</v>
      </c>
      <c r="M6166" s="369" cm="1">
        <f t="array" ref="M6166">+_xlfn.IFS((C6166&gt;='Resultats - informe'!$D$26)*(C6166&lt;='Resultats - informe'!$E$26),0,(C6166&gt;='Resultats - informe'!$D$27)*(C6166&lt;='Resultats - informe'!$E$27),0,(C6166&gt;='Resultats - informe'!$D$28)*(C6166&lt;='Resultats - informe'!$E$28),0,(C6166&gt;='Resultats - informe'!$D$29)*(C6166&lt;='Resultats - informe'!$E$29),0,1,1)</f>
        <v>0</v>
      </c>
      <c r="N6166" s="366">
        <f>+VLOOKUP(D6166,'Resultats - informe'!$Y$18:$AG$42,'Introducció dades consum'!K6166+1,0)</f>
        <v>0</v>
      </c>
      <c r="O6166" s="370" cm="1">
        <f t="array" ref="O6166">+_xlfn.SWITCH(MONTH(C6166),1,1,2,1,3,1,4,2,5,2,6,3,7,3,8,3,9,3,10,2,11,2,12,1,2)</f>
        <v>1</v>
      </c>
      <c r="P6166" s="43"/>
    </row>
    <row r="6167" spans="1:16" ht="18" x14ac:dyDescent="0.35">
      <c r="A6167" s="9"/>
      <c r="C6167" s="393"/>
      <c r="E6167" s="394"/>
      <c r="F6167" s="394"/>
      <c r="G6167" s="394"/>
      <c r="I6167" s="368">
        <f t="shared" si="294"/>
        <v>0</v>
      </c>
      <c r="J6167" s="365">
        <f t="shared" si="295"/>
        <v>0</v>
      </c>
      <c r="K6167" s="369">
        <f t="shared" si="296"/>
        <v>6</v>
      </c>
      <c r="L6167" s="369">
        <f>+IF((C6167&gt;='Resultats - informe'!$E$16)*(C6167&lt;='Resultats - informe'!$G$16),1,0)</f>
        <v>1</v>
      </c>
      <c r="M6167" s="369" cm="1">
        <f t="array" ref="M6167">+_xlfn.IFS((C6167&gt;='Resultats - informe'!$D$26)*(C6167&lt;='Resultats - informe'!$E$26),0,(C6167&gt;='Resultats - informe'!$D$27)*(C6167&lt;='Resultats - informe'!$E$27),0,(C6167&gt;='Resultats - informe'!$D$28)*(C6167&lt;='Resultats - informe'!$E$28),0,(C6167&gt;='Resultats - informe'!$D$29)*(C6167&lt;='Resultats - informe'!$E$29),0,1,1)</f>
        <v>0</v>
      </c>
      <c r="N6167" s="366">
        <f>+VLOOKUP(D6167,'Resultats - informe'!$Y$18:$AG$42,'Introducció dades consum'!K6167+1,0)</f>
        <v>0</v>
      </c>
      <c r="O6167" s="370" cm="1">
        <f t="array" ref="O6167">+_xlfn.SWITCH(MONTH(C6167),1,1,2,1,3,1,4,2,5,2,6,3,7,3,8,3,9,3,10,2,11,2,12,1,2)</f>
        <v>1</v>
      </c>
      <c r="P6167" s="43"/>
    </row>
    <row r="6168" spans="1:16" ht="18" x14ac:dyDescent="0.35">
      <c r="A6168" s="9"/>
      <c r="C6168" s="393"/>
      <c r="E6168" s="394"/>
      <c r="F6168" s="394"/>
      <c r="G6168" s="394"/>
      <c r="I6168" s="368">
        <f t="shared" si="294"/>
        <v>0</v>
      </c>
      <c r="J6168" s="365">
        <f t="shared" si="295"/>
        <v>0</v>
      </c>
      <c r="K6168" s="369">
        <f t="shared" si="296"/>
        <v>6</v>
      </c>
      <c r="L6168" s="369">
        <f>+IF((C6168&gt;='Resultats - informe'!$E$16)*(C6168&lt;='Resultats - informe'!$G$16),1,0)</f>
        <v>1</v>
      </c>
      <c r="M6168" s="369" cm="1">
        <f t="array" ref="M6168">+_xlfn.IFS((C6168&gt;='Resultats - informe'!$D$26)*(C6168&lt;='Resultats - informe'!$E$26),0,(C6168&gt;='Resultats - informe'!$D$27)*(C6168&lt;='Resultats - informe'!$E$27),0,(C6168&gt;='Resultats - informe'!$D$28)*(C6168&lt;='Resultats - informe'!$E$28),0,(C6168&gt;='Resultats - informe'!$D$29)*(C6168&lt;='Resultats - informe'!$E$29),0,1,1)</f>
        <v>0</v>
      </c>
      <c r="N6168" s="366">
        <f>+VLOOKUP(D6168,'Resultats - informe'!$Y$18:$AG$42,'Introducció dades consum'!K6168+1,0)</f>
        <v>0</v>
      </c>
      <c r="O6168" s="370" cm="1">
        <f t="array" ref="O6168">+_xlfn.SWITCH(MONTH(C6168),1,1,2,1,3,1,4,2,5,2,6,3,7,3,8,3,9,3,10,2,11,2,12,1,2)</f>
        <v>1</v>
      </c>
      <c r="P6168" s="43"/>
    </row>
    <row r="6169" spans="1:16" ht="18" x14ac:dyDescent="0.35">
      <c r="A6169" s="9"/>
      <c r="C6169" s="393"/>
      <c r="E6169" s="394"/>
      <c r="F6169" s="394"/>
      <c r="G6169" s="394"/>
      <c r="I6169" s="368">
        <f t="shared" si="294"/>
        <v>0</v>
      </c>
      <c r="J6169" s="365">
        <f t="shared" si="295"/>
        <v>0</v>
      </c>
      <c r="K6169" s="369">
        <f t="shared" si="296"/>
        <v>6</v>
      </c>
      <c r="L6169" s="369">
        <f>+IF((C6169&gt;='Resultats - informe'!$E$16)*(C6169&lt;='Resultats - informe'!$G$16),1,0)</f>
        <v>1</v>
      </c>
      <c r="M6169" s="369" cm="1">
        <f t="array" ref="M6169">+_xlfn.IFS((C6169&gt;='Resultats - informe'!$D$26)*(C6169&lt;='Resultats - informe'!$E$26),0,(C6169&gt;='Resultats - informe'!$D$27)*(C6169&lt;='Resultats - informe'!$E$27),0,(C6169&gt;='Resultats - informe'!$D$28)*(C6169&lt;='Resultats - informe'!$E$28),0,(C6169&gt;='Resultats - informe'!$D$29)*(C6169&lt;='Resultats - informe'!$E$29),0,1,1)</f>
        <v>0</v>
      </c>
      <c r="N6169" s="366">
        <f>+VLOOKUP(D6169,'Resultats - informe'!$Y$18:$AG$42,'Introducció dades consum'!K6169+1,0)</f>
        <v>0</v>
      </c>
      <c r="O6169" s="370" cm="1">
        <f t="array" ref="O6169">+_xlfn.SWITCH(MONTH(C6169),1,1,2,1,3,1,4,2,5,2,6,3,7,3,8,3,9,3,10,2,11,2,12,1,2)</f>
        <v>1</v>
      </c>
      <c r="P6169" s="43"/>
    </row>
    <row r="6170" spans="1:16" ht="18" x14ac:dyDescent="0.35">
      <c r="A6170" s="9"/>
      <c r="C6170" s="393"/>
      <c r="E6170" s="394"/>
      <c r="F6170" s="394"/>
      <c r="G6170" s="394"/>
      <c r="I6170" s="368">
        <f t="shared" si="294"/>
        <v>0</v>
      </c>
      <c r="J6170" s="365">
        <f t="shared" si="295"/>
        <v>0</v>
      </c>
      <c r="K6170" s="369">
        <f t="shared" si="296"/>
        <v>6</v>
      </c>
      <c r="L6170" s="369">
        <f>+IF((C6170&gt;='Resultats - informe'!$E$16)*(C6170&lt;='Resultats - informe'!$G$16),1,0)</f>
        <v>1</v>
      </c>
      <c r="M6170" s="369" cm="1">
        <f t="array" ref="M6170">+_xlfn.IFS((C6170&gt;='Resultats - informe'!$D$26)*(C6170&lt;='Resultats - informe'!$E$26),0,(C6170&gt;='Resultats - informe'!$D$27)*(C6170&lt;='Resultats - informe'!$E$27),0,(C6170&gt;='Resultats - informe'!$D$28)*(C6170&lt;='Resultats - informe'!$E$28),0,(C6170&gt;='Resultats - informe'!$D$29)*(C6170&lt;='Resultats - informe'!$E$29),0,1,1)</f>
        <v>0</v>
      </c>
      <c r="N6170" s="366">
        <f>+VLOOKUP(D6170,'Resultats - informe'!$Y$18:$AG$42,'Introducció dades consum'!K6170+1,0)</f>
        <v>0</v>
      </c>
      <c r="O6170" s="370" cm="1">
        <f t="array" ref="O6170">+_xlfn.SWITCH(MONTH(C6170),1,1,2,1,3,1,4,2,5,2,6,3,7,3,8,3,9,3,10,2,11,2,12,1,2)</f>
        <v>1</v>
      </c>
      <c r="P6170" s="43"/>
    </row>
    <row r="6171" spans="1:16" ht="18" x14ac:dyDescent="0.35">
      <c r="A6171" s="9"/>
      <c r="C6171" s="393"/>
      <c r="E6171" s="394"/>
      <c r="F6171" s="394"/>
      <c r="G6171" s="394"/>
      <c r="I6171" s="368">
        <f t="shared" si="294"/>
        <v>0</v>
      </c>
      <c r="J6171" s="365">
        <f t="shared" si="295"/>
        <v>0</v>
      </c>
      <c r="K6171" s="369">
        <f t="shared" si="296"/>
        <v>6</v>
      </c>
      <c r="L6171" s="369">
        <f>+IF((C6171&gt;='Resultats - informe'!$E$16)*(C6171&lt;='Resultats - informe'!$G$16),1,0)</f>
        <v>1</v>
      </c>
      <c r="M6171" s="369" cm="1">
        <f t="array" ref="M6171">+_xlfn.IFS((C6171&gt;='Resultats - informe'!$D$26)*(C6171&lt;='Resultats - informe'!$E$26),0,(C6171&gt;='Resultats - informe'!$D$27)*(C6171&lt;='Resultats - informe'!$E$27),0,(C6171&gt;='Resultats - informe'!$D$28)*(C6171&lt;='Resultats - informe'!$E$28),0,(C6171&gt;='Resultats - informe'!$D$29)*(C6171&lt;='Resultats - informe'!$E$29),0,1,1)</f>
        <v>0</v>
      </c>
      <c r="N6171" s="366">
        <f>+VLOOKUP(D6171,'Resultats - informe'!$Y$18:$AG$42,'Introducció dades consum'!K6171+1,0)</f>
        <v>0</v>
      </c>
      <c r="O6171" s="370" cm="1">
        <f t="array" ref="O6171">+_xlfn.SWITCH(MONTH(C6171),1,1,2,1,3,1,4,2,5,2,6,3,7,3,8,3,9,3,10,2,11,2,12,1,2)</f>
        <v>1</v>
      </c>
      <c r="P6171" s="43"/>
    </row>
    <row r="6172" spans="1:16" ht="18" x14ac:dyDescent="0.35">
      <c r="A6172" s="9"/>
      <c r="C6172" s="393"/>
      <c r="E6172" s="394"/>
      <c r="F6172" s="394"/>
      <c r="G6172" s="394"/>
      <c r="I6172" s="368">
        <f t="shared" si="294"/>
        <v>0</v>
      </c>
      <c r="J6172" s="365">
        <f t="shared" si="295"/>
        <v>0</v>
      </c>
      <c r="K6172" s="369">
        <f t="shared" si="296"/>
        <v>6</v>
      </c>
      <c r="L6172" s="369">
        <f>+IF((C6172&gt;='Resultats - informe'!$E$16)*(C6172&lt;='Resultats - informe'!$G$16),1,0)</f>
        <v>1</v>
      </c>
      <c r="M6172" s="369" cm="1">
        <f t="array" ref="M6172">+_xlfn.IFS((C6172&gt;='Resultats - informe'!$D$26)*(C6172&lt;='Resultats - informe'!$E$26),0,(C6172&gt;='Resultats - informe'!$D$27)*(C6172&lt;='Resultats - informe'!$E$27),0,(C6172&gt;='Resultats - informe'!$D$28)*(C6172&lt;='Resultats - informe'!$E$28),0,(C6172&gt;='Resultats - informe'!$D$29)*(C6172&lt;='Resultats - informe'!$E$29),0,1,1)</f>
        <v>0</v>
      </c>
      <c r="N6172" s="366">
        <f>+VLOOKUP(D6172,'Resultats - informe'!$Y$18:$AG$42,'Introducció dades consum'!K6172+1,0)</f>
        <v>0</v>
      </c>
      <c r="O6172" s="370" cm="1">
        <f t="array" ref="O6172">+_xlfn.SWITCH(MONTH(C6172),1,1,2,1,3,1,4,2,5,2,6,3,7,3,8,3,9,3,10,2,11,2,12,1,2)</f>
        <v>1</v>
      </c>
      <c r="P6172" s="43"/>
    </row>
    <row r="6173" spans="1:16" ht="18" x14ac:dyDescent="0.35">
      <c r="A6173" s="9"/>
      <c r="C6173" s="393"/>
      <c r="E6173" s="394"/>
      <c r="F6173" s="394"/>
      <c r="G6173" s="394"/>
      <c r="I6173" s="368">
        <f t="shared" si="294"/>
        <v>0</v>
      </c>
      <c r="J6173" s="365">
        <f t="shared" si="295"/>
        <v>0</v>
      </c>
      <c r="K6173" s="369">
        <f t="shared" si="296"/>
        <v>6</v>
      </c>
      <c r="L6173" s="369">
        <f>+IF((C6173&gt;='Resultats - informe'!$E$16)*(C6173&lt;='Resultats - informe'!$G$16),1,0)</f>
        <v>1</v>
      </c>
      <c r="M6173" s="369" cm="1">
        <f t="array" ref="M6173">+_xlfn.IFS((C6173&gt;='Resultats - informe'!$D$26)*(C6173&lt;='Resultats - informe'!$E$26),0,(C6173&gt;='Resultats - informe'!$D$27)*(C6173&lt;='Resultats - informe'!$E$27),0,(C6173&gt;='Resultats - informe'!$D$28)*(C6173&lt;='Resultats - informe'!$E$28),0,(C6173&gt;='Resultats - informe'!$D$29)*(C6173&lt;='Resultats - informe'!$E$29),0,1,1)</f>
        <v>0</v>
      </c>
      <c r="N6173" s="366">
        <f>+VLOOKUP(D6173,'Resultats - informe'!$Y$18:$AG$42,'Introducció dades consum'!K6173+1,0)</f>
        <v>0</v>
      </c>
      <c r="O6173" s="370" cm="1">
        <f t="array" ref="O6173">+_xlfn.SWITCH(MONTH(C6173),1,1,2,1,3,1,4,2,5,2,6,3,7,3,8,3,9,3,10,2,11,2,12,1,2)</f>
        <v>1</v>
      </c>
      <c r="P6173" s="43"/>
    </row>
    <row r="6174" spans="1:16" ht="18" x14ac:dyDescent="0.35">
      <c r="A6174" s="9"/>
      <c r="C6174" s="393"/>
      <c r="E6174" s="394"/>
      <c r="F6174" s="394"/>
      <c r="G6174" s="394"/>
      <c r="I6174" s="368">
        <f t="shared" si="294"/>
        <v>0</v>
      </c>
      <c r="J6174" s="365">
        <f t="shared" si="295"/>
        <v>0</v>
      </c>
      <c r="K6174" s="369">
        <f t="shared" si="296"/>
        <v>6</v>
      </c>
      <c r="L6174" s="369">
        <f>+IF((C6174&gt;='Resultats - informe'!$E$16)*(C6174&lt;='Resultats - informe'!$G$16),1,0)</f>
        <v>1</v>
      </c>
      <c r="M6174" s="369" cm="1">
        <f t="array" ref="M6174">+_xlfn.IFS((C6174&gt;='Resultats - informe'!$D$26)*(C6174&lt;='Resultats - informe'!$E$26),0,(C6174&gt;='Resultats - informe'!$D$27)*(C6174&lt;='Resultats - informe'!$E$27),0,(C6174&gt;='Resultats - informe'!$D$28)*(C6174&lt;='Resultats - informe'!$E$28),0,(C6174&gt;='Resultats - informe'!$D$29)*(C6174&lt;='Resultats - informe'!$E$29),0,1,1)</f>
        <v>0</v>
      </c>
      <c r="N6174" s="366">
        <f>+VLOOKUP(D6174,'Resultats - informe'!$Y$18:$AG$42,'Introducció dades consum'!K6174+1,0)</f>
        <v>0</v>
      </c>
      <c r="O6174" s="370" cm="1">
        <f t="array" ref="O6174">+_xlfn.SWITCH(MONTH(C6174),1,1,2,1,3,1,4,2,5,2,6,3,7,3,8,3,9,3,10,2,11,2,12,1,2)</f>
        <v>1</v>
      </c>
      <c r="P6174" s="43"/>
    </row>
    <row r="6175" spans="1:16" ht="18" x14ac:dyDescent="0.35">
      <c r="A6175" s="9"/>
      <c r="C6175" s="393"/>
      <c r="E6175" s="394"/>
      <c r="F6175" s="394"/>
      <c r="G6175" s="394"/>
      <c r="I6175" s="368">
        <f t="shared" si="294"/>
        <v>0</v>
      </c>
      <c r="J6175" s="365">
        <f t="shared" si="295"/>
        <v>0</v>
      </c>
      <c r="K6175" s="369">
        <f t="shared" si="296"/>
        <v>6</v>
      </c>
      <c r="L6175" s="369">
        <f>+IF((C6175&gt;='Resultats - informe'!$E$16)*(C6175&lt;='Resultats - informe'!$G$16),1,0)</f>
        <v>1</v>
      </c>
      <c r="M6175" s="369" cm="1">
        <f t="array" ref="M6175">+_xlfn.IFS((C6175&gt;='Resultats - informe'!$D$26)*(C6175&lt;='Resultats - informe'!$E$26),0,(C6175&gt;='Resultats - informe'!$D$27)*(C6175&lt;='Resultats - informe'!$E$27),0,(C6175&gt;='Resultats - informe'!$D$28)*(C6175&lt;='Resultats - informe'!$E$28),0,(C6175&gt;='Resultats - informe'!$D$29)*(C6175&lt;='Resultats - informe'!$E$29),0,1,1)</f>
        <v>0</v>
      </c>
      <c r="N6175" s="366">
        <f>+VLOOKUP(D6175,'Resultats - informe'!$Y$18:$AG$42,'Introducció dades consum'!K6175+1,0)</f>
        <v>0</v>
      </c>
      <c r="O6175" s="370" cm="1">
        <f t="array" ref="O6175">+_xlfn.SWITCH(MONTH(C6175),1,1,2,1,3,1,4,2,5,2,6,3,7,3,8,3,9,3,10,2,11,2,12,1,2)</f>
        <v>1</v>
      </c>
      <c r="P6175" s="43"/>
    </row>
    <row r="6176" spans="1:16" ht="18" x14ac:dyDescent="0.35">
      <c r="A6176" s="9"/>
      <c r="C6176" s="393"/>
      <c r="E6176" s="394"/>
      <c r="F6176" s="394"/>
      <c r="G6176" s="394"/>
      <c r="I6176" s="368">
        <f t="shared" si="294"/>
        <v>0</v>
      </c>
      <c r="J6176" s="365">
        <f t="shared" si="295"/>
        <v>0</v>
      </c>
      <c r="K6176" s="369">
        <f t="shared" si="296"/>
        <v>6</v>
      </c>
      <c r="L6176" s="369">
        <f>+IF((C6176&gt;='Resultats - informe'!$E$16)*(C6176&lt;='Resultats - informe'!$G$16),1,0)</f>
        <v>1</v>
      </c>
      <c r="M6176" s="369" cm="1">
        <f t="array" ref="M6176">+_xlfn.IFS((C6176&gt;='Resultats - informe'!$D$26)*(C6176&lt;='Resultats - informe'!$E$26),0,(C6176&gt;='Resultats - informe'!$D$27)*(C6176&lt;='Resultats - informe'!$E$27),0,(C6176&gt;='Resultats - informe'!$D$28)*(C6176&lt;='Resultats - informe'!$E$28),0,(C6176&gt;='Resultats - informe'!$D$29)*(C6176&lt;='Resultats - informe'!$E$29),0,1,1)</f>
        <v>0</v>
      </c>
      <c r="N6176" s="366">
        <f>+VLOOKUP(D6176,'Resultats - informe'!$Y$18:$AG$42,'Introducció dades consum'!K6176+1,0)</f>
        <v>0</v>
      </c>
      <c r="O6176" s="370" cm="1">
        <f t="array" ref="O6176">+_xlfn.SWITCH(MONTH(C6176),1,1,2,1,3,1,4,2,5,2,6,3,7,3,8,3,9,3,10,2,11,2,12,1,2)</f>
        <v>1</v>
      </c>
      <c r="P6176" s="43"/>
    </row>
    <row r="6177" spans="1:16" ht="18" x14ac:dyDescent="0.35">
      <c r="A6177" s="9"/>
      <c r="C6177" s="393"/>
      <c r="E6177" s="394"/>
      <c r="F6177" s="394"/>
      <c r="G6177" s="394"/>
      <c r="I6177" s="368">
        <f t="shared" si="294"/>
        <v>0</v>
      </c>
      <c r="J6177" s="365">
        <f t="shared" si="295"/>
        <v>0</v>
      </c>
      <c r="K6177" s="369">
        <f t="shared" si="296"/>
        <v>6</v>
      </c>
      <c r="L6177" s="369">
        <f>+IF((C6177&gt;='Resultats - informe'!$E$16)*(C6177&lt;='Resultats - informe'!$G$16),1,0)</f>
        <v>1</v>
      </c>
      <c r="M6177" s="369" cm="1">
        <f t="array" ref="M6177">+_xlfn.IFS((C6177&gt;='Resultats - informe'!$D$26)*(C6177&lt;='Resultats - informe'!$E$26),0,(C6177&gt;='Resultats - informe'!$D$27)*(C6177&lt;='Resultats - informe'!$E$27),0,(C6177&gt;='Resultats - informe'!$D$28)*(C6177&lt;='Resultats - informe'!$E$28),0,(C6177&gt;='Resultats - informe'!$D$29)*(C6177&lt;='Resultats - informe'!$E$29),0,1,1)</f>
        <v>0</v>
      </c>
      <c r="N6177" s="366">
        <f>+VLOOKUP(D6177,'Resultats - informe'!$Y$18:$AG$42,'Introducció dades consum'!K6177+1,0)</f>
        <v>0</v>
      </c>
      <c r="O6177" s="370" cm="1">
        <f t="array" ref="O6177">+_xlfn.SWITCH(MONTH(C6177),1,1,2,1,3,1,4,2,5,2,6,3,7,3,8,3,9,3,10,2,11,2,12,1,2)</f>
        <v>1</v>
      </c>
      <c r="P6177" s="43"/>
    </row>
    <row r="6178" spans="1:16" ht="18" x14ac:dyDescent="0.35">
      <c r="A6178" s="9"/>
      <c r="C6178" s="393"/>
      <c r="E6178" s="394"/>
      <c r="F6178" s="394"/>
      <c r="G6178" s="394"/>
      <c r="I6178" s="368">
        <f t="shared" si="294"/>
        <v>0</v>
      </c>
      <c r="J6178" s="365">
        <f t="shared" si="295"/>
        <v>0</v>
      </c>
      <c r="K6178" s="369">
        <f t="shared" si="296"/>
        <v>6</v>
      </c>
      <c r="L6178" s="369">
        <f>+IF((C6178&gt;='Resultats - informe'!$E$16)*(C6178&lt;='Resultats - informe'!$G$16),1,0)</f>
        <v>1</v>
      </c>
      <c r="M6178" s="369" cm="1">
        <f t="array" ref="M6178">+_xlfn.IFS((C6178&gt;='Resultats - informe'!$D$26)*(C6178&lt;='Resultats - informe'!$E$26),0,(C6178&gt;='Resultats - informe'!$D$27)*(C6178&lt;='Resultats - informe'!$E$27),0,(C6178&gt;='Resultats - informe'!$D$28)*(C6178&lt;='Resultats - informe'!$E$28),0,(C6178&gt;='Resultats - informe'!$D$29)*(C6178&lt;='Resultats - informe'!$E$29),0,1,1)</f>
        <v>0</v>
      </c>
      <c r="N6178" s="366">
        <f>+VLOOKUP(D6178,'Resultats - informe'!$Y$18:$AG$42,'Introducció dades consum'!K6178+1,0)</f>
        <v>0</v>
      </c>
      <c r="O6178" s="370" cm="1">
        <f t="array" ref="O6178">+_xlfn.SWITCH(MONTH(C6178),1,1,2,1,3,1,4,2,5,2,6,3,7,3,8,3,9,3,10,2,11,2,12,1,2)</f>
        <v>1</v>
      </c>
      <c r="P6178" s="43"/>
    </row>
    <row r="6179" spans="1:16" ht="18" x14ac:dyDescent="0.35">
      <c r="A6179" s="9"/>
      <c r="C6179" s="393"/>
      <c r="E6179" s="394"/>
      <c r="F6179" s="394"/>
      <c r="G6179" s="394"/>
      <c r="I6179" s="368">
        <f t="shared" si="294"/>
        <v>0</v>
      </c>
      <c r="J6179" s="365">
        <f t="shared" si="295"/>
        <v>0</v>
      </c>
      <c r="K6179" s="369">
        <f t="shared" si="296"/>
        <v>6</v>
      </c>
      <c r="L6179" s="369">
        <f>+IF((C6179&gt;='Resultats - informe'!$E$16)*(C6179&lt;='Resultats - informe'!$G$16),1,0)</f>
        <v>1</v>
      </c>
      <c r="M6179" s="369" cm="1">
        <f t="array" ref="M6179">+_xlfn.IFS((C6179&gt;='Resultats - informe'!$D$26)*(C6179&lt;='Resultats - informe'!$E$26),0,(C6179&gt;='Resultats - informe'!$D$27)*(C6179&lt;='Resultats - informe'!$E$27),0,(C6179&gt;='Resultats - informe'!$D$28)*(C6179&lt;='Resultats - informe'!$E$28),0,(C6179&gt;='Resultats - informe'!$D$29)*(C6179&lt;='Resultats - informe'!$E$29),0,1,1)</f>
        <v>0</v>
      </c>
      <c r="N6179" s="366">
        <f>+VLOOKUP(D6179,'Resultats - informe'!$Y$18:$AG$42,'Introducció dades consum'!K6179+1,0)</f>
        <v>0</v>
      </c>
      <c r="O6179" s="370" cm="1">
        <f t="array" ref="O6179">+_xlfn.SWITCH(MONTH(C6179),1,1,2,1,3,1,4,2,5,2,6,3,7,3,8,3,9,3,10,2,11,2,12,1,2)</f>
        <v>1</v>
      </c>
      <c r="P6179" s="43"/>
    </row>
    <row r="6180" spans="1:16" ht="18" x14ac:dyDescent="0.35">
      <c r="A6180" s="9"/>
      <c r="C6180" s="393"/>
      <c r="E6180" s="394"/>
      <c r="F6180" s="394"/>
      <c r="G6180" s="394"/>
      <c r="I6180" s="368">
        <f t="shared" si="294"/>
        <v>0</v>
      </c>
      <c r="J6180" s="365">
        <f t="shared" si="295"/>
        <v>0</v>
      </c>
      <c r="K6180" s="369">
        <f t="shared" si="296"/>
        <v>6</v>
      </c>
      <c r="L6180" s="369">
        <f>+IF((C6180&gt;='Resultats - informe'!$E$16)*(C6180&lt;='Resultats - informe'!$G$16),1,0)</f>
        <v>1</v>
      </c>
      <c r="M6180" s="369" cm="1">
        <f t="array" ref="M6180">+_xlfn.IFS((C6180&gt;='Resultats - informe'!$D$26)*(C6180&lt;='Resultats - informe'!$E$26),0,(C6180&gt;='Resultats - informe'!$D$27)*(C6180&lt;='Resultats - informe'!$E$27),0,(C6180&gt;='Resultats - informe'!$D$28)*(C6180&lt;='Resultats - informe'!$E$28),0,(C6180&gt;='Resultats - informe'!$D$29)*(C6180&lt;='Resultats - informe'!$E$29),0,1,1)</f>
        <v>0</v>
      </c>
      <c r="N6180" s="366">
        <f>+VLOOKUP(D6180,'Resultats - informe'!$Y$18:$AG$42,'Introducció dades consum'!K6180+1,0)</f>
        <v>0</v>
      </c>
      <c r="O6180" s="370" cm="1">
        <f t="array" ref="O6180">+_xlfn.SWITCH(MONTH(C6180),1,1,2,1,3,1,4,2,5,2,6,3,7,3,8,3,9,3,10,2,11,2,12,1,2)</f>
        <v>1</v>
      </c>
      <c r="P6180" s="43"/>
    </row>
    <row r="6181" spans="1:16" ht="18" x14ac:dyDescent="0.35">
      <c r="A6181" s="9"/>
      <c r="C6181" s="393"/>
      <c r="E6181" s="394"/>
      <c r="F6181" s="394"/>
      <c r="G6181" s="394"/>
      <c r="I6181" s="368">
        <f t="shared" si="294"/>
        <v>0</v>
      </c>
      <c r="J6181" s="365">
        <f t="shared" si="295"/>
        <v>0</v>
      </c>
      <c r="K6181" s="369">
        <f t="shared" si="296"/>
        <v>6</v>
      </c>
      <c r="L6181" s="369">
        <f>+IF((C6181&gt;='Resultats - informe'!$E$16)*(C6181&lt;='Resultats - informe'!$G$16),1,0)</f>
        <v>1</v>
      </c>
      <c r="M6181" s="369" cm="1">
        <f t="array" ref="M6181">+_xlfn.IFS((C6181&gt;='Resultats - informe'!$D$26)*(C6181&lt;='Resultats - informe'!$E$26),0,(C6181&gt;='Resultats - informe'!$D$27)*(C6181&lt;='Resultats - informe'!$E$27),0,(C6181&gt;='Resultats - informe'!$D$28)*(C6181&lt;='Resultats - informe'!$E$28),0,(C6181&gt;='Resultats - informe'!$D$29)*(C6181&lt;='Resultats - informe'!$E$29),0,1,1)</f>
        <v>0</v>
      </c>
      <c r="N6181" s="366">
        <f>+VLOOKUP(D6181,'Resultats - informe'!$Y$18:$AG$42,'Introducció dades consum'!K6181+1,0)</f>
        <v>0</v>
      </c>
      <c r="O6181" s="370" cm="1">
        <f t="array" ref="O6181">+_xlfn.SWITCH(MONTH(C6181),1,1,2,1,3,1,4,2,5,2,6,3,7,3,8,3,9,3,10,2,11,2,12,1,2)</f>
        <v>1</v>
      </c>
      <c r="P6181" s="43"/>
    </row>
    <row r="6182" spans="1:16" ht="18" x14ac:dyDescent="0.35">
      <c r="A6182" s="9"/>
      <c r="C6182" s="393"/>
      <c r="E6182" s="394"/>
      <c r="F6182" s="394"/>
      <c r="G6182" s="394"/>
      <c r="I6182" s="368">
        <f t="shared" si="294"/>
        <v>0</v>
      </c>
      <c r="J6182" s="365">
        <f t="shared" si="295"/>
        <v>0</v>
      </c>
      <c r="K6182" s="369">
        <f t="shared" si="296"/>
        <v>6</v>
      </c>
      <c r="L6182" s="369">
        <f>+IF((C6182&gt;='Resultats - informe'!$E$16)*(C6182&lt;='Resultats - informe'!$G$16),1,0)</f>
        <v>1</v>
      </c>
      <c r="M6182" s="369" cm="1">
        <f t="array" ref="M6182">+_xlfn.IFS((C6182&gt;='Resultats - informe'!$D$26)*(C6182&lt;='Resultats - informe'!$E$26),0,(C6182&gt;='Resultats - informe'!$D$27)*(C6182&lt;='Resultats - informe'!$E$27),0,(C6182&gt;='Resultats - informe'!$D$28)*(C6182&lt;='Resultats - informe'!$E$28),0,(C6182&gt;='Resultats - informe'!$D$29)*(C6182&lt;='Resultats - informe'!$E$29),0,1,1)</f>
        <v>0</v>
      </c>
      <c r="N6182" s="366">
        <f>+VLOOKUP(D6182,'Resultats - informe'!$Y$18:$AG$42,'Introducció dades consum'!K6182+1,0)</f>
        <v>0</v>
      </c>
      <c r="O6182" s="370" cm="1">
        <f t="array" ref="O6182">+_xlfn.SWITCH(MONTH(C6182),1,1,2,1,3,1,4,2,5,2,6,3,7,3,8,3,9,3,10,2,11,2,12,1,2)</f>
        <v>1</v>
      </c>
      <c r="P6182" s="43"/>
    </row>
    <row r="6183" spans="1:16" ht="18" x14ac:dyDescent="0.35">
      <c r="A6183" s="9"/>
      <c r="C6183" s="393"/>
      <c r="E6183" s="394"/>
      <c r="F6183" s="394"/>
      <c r="G6183" s="394"/>
      <c r="I6183" s="368">
        <f t="shared" si="294"/>
        <v>0</v>
      </c>
      <c r="J6183" s="365">
        <f t="shared" si="295"/>
        <v>0</v>
      </c>
      <c r="K6183" s="369">
        <f t="shared" si="296"/>
        <v>6</v>
      </c>
      <c r="L6183" s="369">
        <f>+IF((C6183&gt;='Resultats - informe'!$E$16)*(C6183&lt;='Resultats - informe'!$G$16),1,0)</f>
        <v>1</v>
      </c>
      <c r="M6183" s="369" cm="1">
        <f t="array" ref="M6183">+_xlfn.IFS((C6183&gt;='Resultats - informe'!$D$26)*(C6183&lt;='Resultats - informe'!$E$26),0,(C6183&gt;='Resultats - informe'!$D$27)*(C6183&lt;='Resultats - informe'!$E$27),0,(C6183&gt;='Resultats - informe'!$D$28)*(C6183&lt;='Resultats - informe'!$E$28),0,(C6183&gt;='Resultats - informe'!$D$29)*(C6183&lt;='Resultats - informe'!$E$29),0,1,1)</f>
        <v>0</v>
      </c>
      <c r="N6183" s="366">
        <f>+VLOOKUP(D6183,'Resultats - informe'!$Y$18:$AG$42,'Introducció dades consum'!K6183+1,0)</f>
        <v>0</v>
      </c>
      <c r="O6183" s="370" cm="1">
        <f t="array" ref="O6183">+_xlfn.SWITCH(MONTH(C6183),1,1,2,1,3,1,4,2,5,2,6,3,7,3,8,3,9,3,10,2,11,2,12,1,2)</f>
        <v>1</v>
      </c>
      <c r="P6183" s="43"/>
    </row>
    <row r="6184" spans="1:16" ht="18" x14ac:dyDescent="0.35">
      <c r="A6184" s="9"/>
      <c r="C6184" s="393"/>
      <c r="E6184" s="394"/>
      <c r="F6184" s="394"/>
      <c r="G6184" s="394"/>
      <c r="I6184" s="368">
        <f t="shared" si="294"/>
        <v>0</v>
      </c>
      <c r="J6184" s="365">
        <f t="shared" si="295"/>
        <v>0</v>
      </c>
      <c r="K6184" s="369">
        <f t="shared" si="296"/>
        <v>6</v>
      </c>
      <c r="L6184" s="369">
        <f>+IF((C6184&gt;='Resultats - informe'!$E$16)*(C6184&lt;='Resultats - informe'!$G$16),1,0)</f>
        <v>1</v>
      </c>
      <c r="M6184" s="369" cm="1">
        <f t="array" ref="M6184">+_xlfn.IFS((C6184&gt;='Resultats - informe'!$D$26)*(C6184&lt;='Resultats - informe'!$E$26),0,(C6184&gt;='Resultats - informe'!$D$27)*(C6184&lt;='Resultats - informe'!$E$27),0,(C6184&gt;='Resultats - informe'!$D$28)*(C6184&lt;='Resultats - informe'!$E$28),0,(C6184&gt;='Resultats - informe'!$D$29)*(C6184&lt;='Resultats - informe'!$E$29),0,1,1)</f>
        <v>0</v>
      </c>
      <c r="N6184" s="366">
        <f>+VLOOKUP(D6184,'Resultats - informe'!$Y$18:$AG$42,'Introducció dades consum'!K6184+1,0)</f>
        <v>0</v>
      </c>
      <c r="O6184" s="370" cm="1">
        <f t="array" ref="O6184">+_xlfn.SWITCH(MONTH(C6184),1,1,2,1,3,1,4,2,5,2,6,3,7,3,8,3,9,3,10,2,11,2,12,1,2)</f>
        <v>1</v>
      </c>
      <c r="P6184" s="43"/>
    </row>
    <row r="6185" spans="1:16" ht="18" x14ac:dyDescent="0.35">
      <c r="A6185" s="9"/>
      <c r="C6185" s="393"/>
      <c r="E6185" s="394"/>
      <c r="F6185" s="394"/>
      <c r="G6185" s="394"/>
      <c r="I6185" s="368">
        <f t="shared" si="294"/>
        <v>0</v>
      </c>
      <c r="J6185" s="365">
        <f t="shared" si="295"/>
        <v>0</v>
      </c>
      <c r="K6185" s="369">
        <f t="shared" si="296"/>
        <v>6</v>
      </c>
      <c r="L6185" s="369">
        <f>+IF((C6185&gt;='Resultats - informe'!$E$16)*(C6185&lt;='Resultats - informe'!$G$16),1,0)</f>
        <v>1</v>
      </c>
      <c r="M6185" s="369" cm="1">
        <f t="array" ref="M6185">+_xlfn.IFS((C6185&gt;='Resultats - informe'!$D$26)*(C6185&lt;='Resultats - informe'!$E$26),0,(C6185&gt;='Resultats - informe'!$D$27)*(C6185&lt;='Resultats - informe'!$E$27),0,(C6185&gt;='Resultats - informe'!$D$28)*(C6185&lt;='Resultats - informe'!$E$28),0,(C6185&gt;='Resultats - informe'!$D$29)*(C6185&lt;='Resultats - informe'!$E$29),0,1,1)</f>
        <v>0</v>
      </c>
      <c r="N6185" s="366">
        <f>+VLOOKUP(D6185,'Resultats - informe'!$Y$18:$AG$42,'Introducció dades consum'!K6185+1,0)</f>
        <v>0</v>
      </c>
      <c r="O6185" s="370" cm="1">
        <f t="array" ref="O6185">+_xlfn.SWITCH(MONTH(C6185),1,1,2,1,3,1,4,2,5,2,6,3,7,3,8,3,9,3,10,2,11,2,12,1,2)</f>
        <v>1</v>
      </c>
      <c r="P6185" s="43"/>
    </row>
    <row r="6186" spans="1:16" ht="18" x14ac:dyDescent="0.35">
      <c r="A6186" s="9"/>
      <c r="C6186" s="393"/>
      <c r="E6186" s="394"/>
      <c r="F6186" s="394"/>
      <c r="G6186" s="394"/>
      <c r="I6186" s="368">
        <f t="shared" si="294"/>
        <v>0</v>
      </c>
      <c r="J6186" s="365">
        <f t="shared" si="295"/>
        <v>0</v>
      </c>
      <c r="K6186" s="369">
        <f t="shared" si="296"/>
        <v>6</v>
      </c>
      <c r="L6186" s="369">
        <f>+IF((C6186&gt;='Resultats - informe'!$E$16)*(C6186&lt;='Resultats - informe'!$G$16),1,0)</f>
        <v>1</v>
      </c>
      <c r="M6186" s="369" cm="1">
        <f t="array" ref="M6186">+_xlfn.IFS((C6186&gt;='Resultats - informe'!$D$26)*(C6186&lt;='Resultats - informe'!$E$26),0,(C6186&gt;='Resultats - informe'!$D$27)*(C6186&lt;='Resultats - informe'!$E$27),0,(C6186&gt;='Resultats - informe'!$D$28)*(C6186&lt;='Resultats - informe'!$E$28),0,(C6186&gt;='Resultats - informe'!$D$29)*(C6186&lt;='Resultats - informe'!$E$29),0,1,1)</f>
        <v>0</v>
      </c>
      <c r="N6186" s="366">
        <f>+VLOOKUP(D6186,'Resultats - informe'!$Y$18:$AG$42,'Introducció dades consum'!K6186+1,0)</f>
        <v>0</v>
      </c>
      <c r="O6186" s="370" cm="1">
        <f t="array" ref="O6186">+_xlfn.SWITCH(MONTH(C6186),1,1,2,1,3,1,4,2,5,2,6,3,7,3,8,3,9,3,10,2,11,2,12,1,2)</f>
        <v>1</v>
      </c>
      <c r="P6186" s="43"/>
    </row>
    <row r="6187" spans="1:16" ht="18" x14ac:dyDescent="0.35">
      <c r="A6187" s="9"/>
      <c r="C6187" s="393"/>
      <c r="E6187" s="394"/>
      <c r="F6187" s="394"/>
      <c r="G6187" s="394"/>
      <c r="I6187" s="368">
        <f t="shared" si="294"/>
        <v>0</v>
      </c>
      <c r="J6187" s="365">
        <f t="shared" si="295"/>
        <v>0</v>
      </c>
      <c r="K6187" s="369">
        <f t="shared" si="296"/>
        <v>6</v>
      </c>
      <c r="L6187" s="369">
        <f>+IF((C6187&gt;='Resultats - informe'!$E$16)*(C6187&lt;='Resultats - informe'!$G$16),1,0)</f>
        <v>1</v>
      </c>
      <c r="M6187" s="369" cm="1">
        <f t="array" ref="M6187">+_xlfn.IFS((C6187&gt;='Resultats - informe'!$D$26)*(C6187&lt;='Resultats - informe'!$E$26),0,(C6187&gt;='Resultats - informe'!$D$27)*(C6187&lt;='Resultats - informe'!$E$27),0,(C6187&gt;='Resultats - informe'!$D$28)*(C6187&lt;='Resultats - informe'!$E$28),0,(C6187&gt;='Resultats - informe'!$D$29)*(C6187&lt;='Resultats - informe'!$E$29),0,1,1)</f>
        <v>0</v>
      </c>
      <c r="N6187" s="366">
        <f>+VLOOKUP(D6187,'Resultats - informe'!$Y$18:$AG$42,'Introducció dades consum'!K6187+1,0)</f>
        <v>0</v>
      </c>
      <c r="O6187" s="370" cm="1">
        <f t="array" ref="O6187">+_xlfn.SWITCH(MONTH(C6187),1,1,2,1,3,1,4,2,5,2,6,3,7,3,8,3,9,3,10,2,11,2,12,1,2)</f>
        <v>1</v>
      </c>
      <c r="P6187" s="43"/>
    </row>
    <row r="6188" spans="1:16" ht="18" x14ac:dyDescent="0.35">
      <c r="A6188" s="9"/>
      <c r="C6188" s="393"/>
      <c r="E6188" s="394"/>
      <c r="F6188" s="394"/>
      <c r="G6188" s="394"/>
      <c r="I6188" s="368">
        <f t="shared" si="294"/>
        <v>0</v>
      </c>
      <c r="J6188" s="365">
        <f t="shared" si="295"/>
        <v>0</v>
      </c>
      <c r="K6188" s="369">
        <f t="shared" si="296"/>
        <v>6</v>
      </c>
      <c r="L6188" s="369">
        <f>+IF((C6188&gt;='Resultats - informe'!$E$16)*(C6188&lt;='Resultats - informe'!$G$16),1,0)</f>
        <v>1</v>
      </c>
      <c r="M6188" s="369" cm="1">
        <f t="array" ref="M6188">+_xlfn.IFS((C6188&gt;='Resultats - informe'!$D$26)*(C6188&lt;='Resultats - informe'!$E$26),0,(C6188&gt;='Resultats - informe'!$D$27)*(C6188&lt;='Resultats - informe'!$E$27),0,(C6188&gt;='Resultats - informe'!$D$28)*(C6188&lt;='Resultats - informe'!$E$28),0,(C6188&gt;='Resultats - informe'!$D$29)*(C6188&lt;='Resultats - informe'!$E$29),0,1,1)</f>
        <v>0</v>
      </c>
      <c r="N6188" s="366">
        <f>+VLOOKUP(D6188,'Resultats - informe'!$Y$18:$AG$42,'Introducció dades consum'!K6188+1,0)</f>
        <v>0</v>
      </c>
      <c r="O6188" s="370" cm="1">
        <f t="array" ref="O6188">+_xlfn.SWITCH(MONTH(C6188),1,1,2,1,3,1,4,2,5,2,6,3,7,3,8,3,9,3,10,2,11,2,12,1,2)</f>
        <v>1</v>
      </c>
      <c r="P6188" s="43"/>
    </row>
    <row r="6189" spans="1:16" ht="18" x14ac:dyDescent="0.35">
      <c r="A6189" s="9"/>
      <c r="C6189" s="393"/>
      <c r="E6189" s="394"/>
      <c r="F6189" s="394"/>
      <c r="G6189" s="394"/>
      <c r="I6189" s="368">
        <f t="shared" si="294"/>
        <v>0</v>
      </c>
      <c r="J6189" s="365">
        <f t="shared" si="295"/>
        <v>0</v>
      </c>
      <c r="K6189" s="369">
        <f t="shared" si="296"/>
        <v>6</v>
      </c>
      <c r="L6189" s="369">
        <f>+IF((C6189&gt;='Resultats - informe'!$E$16)*(C6189&lt;='Resultats - informe'!$G$16),1,0)</f>
        <v>1</v>
      </c>
      <c r="M6189" s="369" cm="1">
        <f t="array" ref="M6189">+_xlfn.IFS((C6189&gt;='Resultats - informe'!$D$26)*(C6189&lt;='Resultats - informe'!$E$26),0,(C6189&gt;='Resultats - informe'!$D$27)*(C6189&lt;='Resultats - informe'!$E$27),0,(C6189&gt;='Resultats - informe'!$D$28)*(C6189&lt;='Resultats - informe'!$E$28),0,(C6189&gt;='Resultats - informe'!$D$29)*(C6189&lt;='Resultats - informe'!$E$29),0,1,1)</f>
        <v>0</v>
      </c>
      <c r="N6189" s="366">
        <f>+VLOOKUP(D6189,'Resultats - informe'!$Y$18:$AG$42,'Introducció dades consum'!K6189+1,0)</f>
        <v>0</v>
      </c>
      <c r="O6189" s="370" cm="1">
        <f t="array" ref="O6189">+_xlfn.SWITCH(MONTH(C6189),1,1,2,1,3,1,4,2,5,2,6,3,7,3,8,3,9,3,10,2,11,2,12,1,2)</f>
        <v>1</v>
      </c>
      <c r="P6189" s="43"/>
    </row>
    <row r="6190" spans="1:16" ht="18" x14ac:dyDescent="0.35">
      <c r="A6190" s="9"/>
      <c r="C6190" s="393"/>
      <c r="E6190" s="394"/>
      <c r="F6190" s="394"/>
      <c r="G6190" s="394"/>
      <c r="I6190" s="368">
        <f t="shared" si="294"/>
        <v>0</v>
      </c>
      <c r="J6190" s="365">
        <f t="shared" si="295"/>
        <v>0</v>
      </c>
      <c r="K6190" s="369">
        <f t="shared" si="296"/>
        <v>6</v>
      </c>
      <c r="L6190" s="369">
        <f>+IF((C6190&gt;='Resultats - informe'!$E$16)*(C6190&lt;='Resultats - informe'!$G$16),1,0)</f>
        <v>1</v>
      </c>
      <c r="M6190" s="369" cm="1">
        <f t="array" ref="M6190">+_xlfn.IFS((C6190&gt;='Resultats - informe'!$D$26)*(C6190&lt;='Resultats - informe'!$E$26),0,(C6190&gt;='Resultats - informe'!$D$27)*(C6190&lt;='Resultats - informe'!$E$27),0,(C6190&gt;='Resultats - informe'!$D$28)*(C6190&lt;='Resultats - informe'!$E$28),0,(C6190&gt;='Resultats - informe'!$D$29)*(C6190&lt;='Resultats - informe'!$E$29),0,1,1)</f>
        <v>0</v>
      </c>
      <c r="N6190" s="366">
        <f>+VLOOKUP(D6190,'Resultats - informe'!$Y$18:$AG$42,'Introducció dades consum'!K6190+1,0)</f>
        <v>0</v>
      </c>
      <c r="O6190" s="370" cm="1">
        <f t="array" ref="O6190">+_xlfn.SWITCH(MONTH(C6190),1,1,2,1,3,1,4,2,5,2,6,3,7,3,8,3,9,3,10,2,11,2,12,1,2)</f>
        <v>1</v>
      </c>
      <c r="P6190" s="43"/>
    </row>
    <row r="6191" spans="1:16" ht="18" x14ac:dyDescent="0.35">
      <c r="A6191" s="9"/>
      <c r="C6191" s="393"/>
      <c r="E6191" s="394"/>
      <c r="F6191" s="394"/>
      <c r="G6191" s="394"/>
      <c r="I6191" s="368">
        <f t="shared" si="294"/>
        <v>0</v>
      </c>
      <c r="J6191" s="365">
        <f t="shared" si="295"/>
        <v>0</v>
      </c>
      <c r="K6191" s="369">
        <f t="shared" si="296"/>
        <v>6</v>
      </c>
      <c r="L6191" s="369">
        <f>+IF((C6191&gt;='Resultats - informe'!$E$16)*(C6191&lt;='Resultats - informe'!$G$16),1,0)</f>
        <v>1</v>
      </c>
      <c r="M6191" s="369" cm="1">
        <f t="array" ref="M6191">+_xlfn.IFS((C6191&gt;='Resultats - informe'!$D$26)*(C6191&lt;='Resultats - informe'!$E$26),0,(C6191&gt;='Resultats - informe'!$D$27)*(C6191&lt;='Resultats - informe'!$E$27),0,(C6191&gt;='Resultats - informe'!$D$28)*(C6191&lt;='Resultats - informe'!$E$28),0,(C6191&gt;='Resultats - informe'!$D$29)*(C6191&lt;='Resultats - informe'!$E$29),0,1,1)</f>
        <v>0</v>
      </c>
      <c r="N6191" s="366">
        <f>+VLOOKUP(D6191,'Resultats - informe'!$Y$18:$AG$42,'Introducció dades consum'!K6191+1,0)</f>
        <v>0</v>
      </c>
      <c r="O6191" s="370" cm="1">
        <f t="array" ref="O6191">+_xlfn.SWITCH(MONTH(C6191),1,1,2,1,3,1,4,2,5,2,6,3,7,3,8,3,9,3,10,2,11,2,12,1,2)</f>
        <v>1</v>
      </c>
      <c r="P6191" s="43"/>
    </row>
    <row r="6192" spans="1:16" ht="18" x14ac:dyDescent="0.35">
      <c r="A6192" s="9"/>
      <c r="C6192" s="393"/>
      <c r="E6192" s="394"/>
      <c r="F6192" s="394"/>
      <c r="G6192" s="394"/>
      <c r="I6192" s="368">
        <f t="shared" si="294"/>
        <v>0</v>
      </c>
      <c r="J6192" s="365">
        <f t="shared" si="295"/>
        <v>0</v>
      </c>
      <c r="K6192" s="369">
        <f t="shared" si="296"/>
        <v>6</v>
      </c>
      <c r="L6192" s="369">
        <f>+IF((C6192&gt;='Resultats - informe'!$E$16)*(C6192&lt;='Resultats - informe'!$G$16),1,0)</f>
        <v>1</v>
      </c>
      <c r="M6192" s="369" cm="1">
        <f t="array" ref="M6192">+_xlfn.IFS((C6192&gt;='Resultats - informe'!$D$26)*(C6192&lt;='Resultats - informe'!$E$26),0,(C6192&gt;='Resultats - informe'!$D$27)*(C6192&lt;='Resultats - informe'!$E$27),0,(C6192&gt;='Resultats - informe'!$D$28)*(C6192&lt;='Resultats - informe'!$E$28),0,(C6192&gt;='Resultats - informe'!$D$29)*(C6192&lt;='Resultats - informe'!$E$29),0,1,1)</f>
        <v>0</v>
      </c>
      <c r="N6192" s="366">
        <f>+VLOOKUP(D6192,'Resultats - informe'!$Y$18:$AG$42,'Introducció dades consum'!K6192+1,0)</f>
        <v>0</v>
      </c>
      <c r="O6192" s="370" cm="1">
        <f t="array" ref="O6192">+_xlfn.SWITCH(MONTH(C6192),1,1,2,1,3,1,4,2,5,2,6,3,7,3,8,3,9,3,10,2,11,2,12,1,2)</f>
        <v>1</v>
      </c>
      <c r="P6192" s="43"/>
    </row>
    <row r="6193" spans="1:16" ht="18" x14ac:dyDescent="0.35">
      <c r="A6193" s="9"/>
      <c r="C6193" s="393"/>
      <c r="E6193" s="394"/>
      <c r="F6193" s="394"/>
      <c r="G6193" s="394"/>
      <c r="I6193" s="368">
        <f t="shared" si="294"/>
        <v>0</v>
      </c>
      <c r="J6193" s="365">
        <f t="shared" si="295"/>
        <v>0</v>
      </c>
      <c r="K6193" s="369">
        <f t="shared" si="296"/>
        <v>6</v>
      </c>
      <c r="L6193" s="369">
        <f>+IF((C6193&gt;='Resultats - informe'!$E$16)*(C6193&lt;='Resultats - informe'!$G$16),1,0)</f>
        <v>1</v>
      </c>
      <c r="M6193" s="369" cm="1">
        <f t="array" ref="M6193">+_xlfn.IFS((C6193&gt;='Resultats - informe'!$D$26)*(C6193&lt;='Resultats - informe'!$E$26),0,(C6193&gt;='Resultats - informe'!$D$27)*(C6193&lt;='Resultats - informe'!$E$27),0,(C6193&gt;='Resultats - informe'!$D$28)*(C6193&lt;='Resultats - informe'!$E$28),0,(C6193&gt;='Resultats - informe'!$D$29)*(C6193&lt;='Resultats - informe'!$E$29),0,1,1)</f>
        <v>0</v>
      </c>
      <c r="N6193" s="366">
        <f>+VLOOKUP(D6193,'Resultats - informe'!$Y$18:$AG$42,'Introducció dades consum'!K6193+1,0)</f>
        <v>0</v>
      </c>
      <c r="O6193" s="370" cm="1">
        <f t="array" ref="O6193">+_xlfn.SWITCH(MONTH(C6193),1,1,2,1,3,1,4,2,5,2,6,3,7,3,8,3,9,3,10,2,11,2,12,1,2)</f>
        <v>1</v>
      </c>
      <c r="P6193" s="43"/>
    </row>
    <row r="6194" spans="1:16" ht="18" x14ac:dyDescent="0.35">
      <c r="A6194" s="9"/>
      <c r="C6194" s="393"/>
      <c r="E6194" s="394"/>
      <c r="F6194" s="394"/>
      <c r="G6194" s="394"/>
      <c r="I6194" s="368">
        <f t="shared" si="294"/>
        <v>0</v>
      </c>
      <c r="J6194" s="365">
        <f t="shared" si="295"/>
        <v>0</v>
      </c>
      <c r="K6194" s="369">
        <f t="shared" si="296"/>
        <v>6</v>
      </c>
      <c r="L6194" s="369">
        <f>+IF((C6194&gt;='Resultats - informe'!$E$16)*(C6194&lt;='Resultats - informe'!$G$16),1,0)</f>
        <v>1</v>
      </c>
      <c r="M6194" s="369" cm="1">
        <f t="array" ref="M6194">+_xlfn.IFS((C6194&gt;='Resultats - informe'!$D$26)*(C6194&lt;='Resultats - informe'!$E$26),0,(C6194&gt;='Resultats - informe'!$D$27)*(C6194&lt;='Resultats - informe'!$E$27),0,(C6194&gt;='Resultats - informe'!$D$28)*(C6194&lt;='Resultats - informe'!$E$28),0,(C6194&gt;='Resultats - informe'!$D$29)*(C6194&lt;='Resultats - informe'!$E$29),0,1,1)</f>
        <v>0</v>
      </c>
      <c r="N6194" s="366">
        <f>+VLOOKUP(D6194,'Resultats - informe'!$Y$18:$AG$42,'Introducció dades consum'!K6194+1,0)</f>
        <v>0</v>
      </c>
      <c r="O6194" s="370" cm="1">
        <f t="array" ref="O6194">+_xlfn.SWITCH(MONTH(C6194),1,1,2,1,3,1,4,2,5,2,6,3,7,3,8,3,9,3,10,2,11,2,12,1,2)</f>
        <v>1</v>
      </c>
      <c r="P6194" s="43"/>
    </row>
    <row r="6195" spans="1:16" ht="18" x14ac:dyDescent="0.35">
      <c r="A6195" s="9"/>
      <c r="C6195" s="393"/>
      <c r="E6195" s="394"/>
      <c r="F6195" s="394"/>
      <c r="G6195" s="394"/>
      <c r="I6195" s="368">
        <f t="shared" si="294"/>
        <v>0</v>
      </c>
      <c r="J6195" s="365">
        <f t="shared" si="295"/>
        <v>0</v>
      </c>
      <c r="K6195" s="369">
        <f t="shared" si="296"/>
        <v>6</v>
      </c>
      <c r="L6195" s="369">
        <f>+IF((C6195&gt;='Resultats - informe'!$E$16)*(C6195&lt;='Resultats - informe'!$G$16),1,0)</f>
        <v>1</v>
      </c>
      <c r="M6195" s="369" cm="1">
        <f t="array" ref="M6195">+_xlfn.IFS((C6195&gt;='Resultats - informe'!$D$26)*(C6195&lt;='Resultats - informe'!$E$26),0,(C6195&gt;='Resultats - informe'!$D$27)*(C6195&lt;='Resultats - informe'!$E$27),0,(C6195&gt;='Resultats - informe'!$D$28)*(C6195&lt;='Resultats - informe'!$E$28),0,(C6195&gt;='Resultats - informe'!$D$29)*(C6195&lt;='Resultats - informe'!$E$29),0,1,1)</f>
        <v>0</v>
      </c>
      <c r="N6195" s="366">
        <f>+VLOOKUP(D6195,'Resultats - informe'!$Y$18:$AG$42,'Introducció dades consum'!K6195+1,0)</f>
        <v>0</v>
      </c>
      <c r="O6195" s="370" cm="1">
        <f t="array" ref="O6195">+_xlfn.SWITCH(MONTH(C6195),1,1,2,1,3,1,4,2,5,2,6,3,7,3,8,3,9,3,10,2,11,2,12,1,2)</f>
        <v>1</v>
      </c>
      <c r="P6195" s="43"/>
    </row>
    <row r="6196" spans="1:16" ht="18" x14ac:dyDescent="0.35">
      <c r="A6196" s="9"/>
      <c r="C6196" s="393"/>
      <c r="E6196" s="394"/>
      <c r="F6196" s="394"/>
      <c r="G6196" s="394"/>
      <c r="I6196" s="368">
        <f t="shared" si="294"/>
        <v>0</v>
      </c>
      <c r="J6196" s="365">
        <f t="shared" si="295"/>
        <v>0</v>
      </c>
      <c r="K6196" s="369">
        <f t="shared" si="296"/>
        <v>6</v>
      </c>
      <c r="L6196" s="369">
        <f>+IF((C6196&gt;='Resultats - informe'!$E$16)*(C6196&lt;='Resultats - informe'!$G$16),1,0)</f>
        <v>1</v>
      </c>
      <c r="M6196" s="369" cm="1">
        <f t="array" ref="M6196">+_xlfn.IFS((C6196&gt;='Resultats - informe'!$D$26)*(C6196&lt;='Resultats - informe'!$E$26),0,(C6196&gt;='Resultats - informe'!$D$27)*(C6196&lt;='Resultats - informe'!$E$27),0,(C6196&gt;='Resultats - informe'!$D$28)*(C6196&lt;='Resultats - informe'!$E$28),0,(C6196&gt;='Resultats - informe'!$D$29)*(C6196&lt;='Resultats - informe'!$E$29),0,1,1)</f>
        <v>0</v>
      </c>
      <c r="N6196" s="366">
        <f>+VLOOKUP(D6196,'Resultats - informe'!$Y$18:$AG$42,'Introducció dades consum'!K6196+1,0)</f>
        <v>0</v>
      </c>
      <c r="O6196" s="370" cm="1">
        <f t="array" ref="O6196">+_xlfn.SWITCH(MONTH(C6196),1,1,2,1,3,1,4,2,5,2,6,3,7,3,8,3,9,3,10,2,11,2,12,1,2)</f>
        <v>1</v>
      </c>
      <c r="P6196" s="43"/>
    </row>
    <row r="6197" spans="1:16" ht="18" x14ac:dyDescent="0.35">
      <c r="A6197" s="9"/>
      <c r="C6197" s="393"/>
      <c r="E6197" s="394"/>
      <c r="F6197" s="394"/>
      <c r="G6197" s="394"/>
      <c r="I6197" s="368">
        <f t="shared" si="294"/>
        <v>0</v>
      </c>
      <c r="J6197" s="365">
        <f t="shared" si="295"/>
        <v>0</v>
      </c>
      <c r="K6197" s="369">
        <f t="shared" si="296"/>
        <v>6</v>
      </c>
      <c r="L6197" s="369">
        <f>+IF((C6197&gt;='Resultats - informe'!$E$16)*(C6197&lt;='Resultats - informe'!$G$16),1,0)</f>
        <v>1</v>
      </c>
      <c r="M6197" s="369" cm="1">
        <f t="array" ref="M6197">+_xlfn.IFS((C6197&gt;='Resultats - informe'!$D$26)*(C6197&lt;='Resultats - informe'!$E$26),0,(C6197&gt;='Resultats - informe'!$D$27)*(C6197&lt;='Resultats - informe'!$E$27),0,(C6197&gt;='Resultats - informe'!$D$28)*(C6197&lt;='Resultats - informe'!$E$28),0,(C6197&gt;='Resultats - informe'!$D$29)*(C6197&lt;='Resultats - informe'!$E$29),0,1,1)</f>
        <v>0</v>
      </c>
      <c r="N6197" s="366">
        <f>+VLOOKUP(D6197,'Resultats - informe'!$Y$18:$AG$42,'Introducció dades consum'!K6197+1,0)</f>
        <v>0</v>
      </c>
      <c r="O6197" s="370" cm="1">
        <f t="array" ref="O6197">+_xlfn.SWITCH(MONTH(C6197),1,1,2,1,3,1,4,2,5,2,6,3,7,3,8,3,9,3,10,2,11,2,12,1,2)</f>
        <v>1</v>
      </c>
      <c r="P6197" s="43"/>
    </row>
    <row r="6198" spans="1:16" ht="18" x14ac:dyDescent="0.35">
      <c r="A6198" s="9"/>
      <c r="C6198" s="393"/>
      <c r="E6198" s="394"/>
      <c r="F6198" s="394"/>
      <c r="G6198" s="394"/>
      <c r="I6198" s="368">
        <f t="shared" si="294"/>
        <v>0</v>
      </c>
      <c r="J6198" s="365">
        <f t="shared" si="295"/>
        <v>0</v>
      </c>
      <c r="K6198" s="369">
        <f t="shared" si="296"/>
        <v>6</v>
      </c>
      <c r="L6198" s="369">
        <f>+IF((C6198&gt;='Resultats - informe'!$E$16)*(C6198&lt;='Resultats - informe'!$G$16),1,0)</f>
        <v>1</v>
      </c>
      <c r="M6198" s="369" cm="1">
        <f t="array" ref="M6198">+_xlfn.IFS((C6198&gt;='Resultats - informe'!$D$26)*(C6198&lt;='Resultats - informe'!$E$26),0,(C6198&gt;='Resultats - informe'!$D$27)*(C6198&lt;='Resultats - informe'!$E$27),0,(C6198&gt;='Resultats - informe'!$D$28)*(C6198&lt;='Resultats - informe'!$E$28),0,(C6198&gt;='Resultats - informe'!$D$29)*(C6198&lt;='Resultats - informe'!$E$29),0,1,1)</f>
        <v>0</v>
      </c>
      <c r="N6198" s="366">
        <f>+VLOOKUP(D6198,'Resultats - informe'!$Y$18:$AG$42,'Introducció dades consum'!K6198+1,0)</f>
        <v>0</v>
      </c>
      <c r="O6198" s="370" cm="1">
        <f t="array" ref="O6198">+_xlfn.SWITCH(MONTH(C6198),1,1,2,1,3,1,4,2,5,2,6,3,7,3,8,3,9,3,10,2,11,2,12,1,2)</f>
        <v>1</v>
      </c>
      <c r="P6198" s="43"/>
    </row>
    <row r="6199" spans="1:16" ht="18" x14ac:dyDescent="0.35">
      <c r="A6199" s="9"/>
      <c r="C6199" s="393"/>
      <c r="E6199" s="394"/>
      <c r="F6199" s="394"/>
      <c r="G6199" s="394"/>
      <c r="I6199" s="368">
        <f t="shared" si="294"/>
        <v>0</v>
      </c>
      <c r="J6199" s="365">
        <f t="shared" si="295"/>
        <v>0</v>
      </c>
      <c r="K6199" s="369">
        <f t="shared" si="296"/>
        <v>6</v>
      </c>
      <c r="L6199" s="369">
        <f>+IF((C6199&gt;='Resultats - informe'!$E$16)*(C6199&lt;='Resultats - informe'!$G$16),1,0)</f>
        <v>1</v>
      </c>
      <c r="M6199" s="369" cm="1">
        <f t="array" ref="M6199">+_xlfn.IFS((C6199&gt;='Resultats - informe'!$D$26)*(C6199&lt;='Resultats - informe'!$E$26),0,(C6199&gt;='Resultats - informe'!$D$27)*(C6199&lt;='Resultats - informe'!$E$27),0,(C6199&gt;='Resultats - informe'!$D$28)*(C6199&lt;='Resultats - informe'!$E$28),0,(C6199&gt;='Resultats - informe'!$D$29)*(C6199&lt;='Resultats - informe'!$E$29),0,1,1)</f>
        <v>0</v>
      </c>
      <c r="N6199" s="366">
        <f>+VLOOKUP(D6199,'Resultats - informe'!$Y$18:$AG$42,'Introducció dades consum'!K6199+1,0)</f>
        <v>0</v>
      </c>
      <c r="O6199" s="370" cm="1">
        <f t="array" ref="O6199">+_xlfn.SWITCH(MONTH(C6199),1,1,2,1,3,1,4,2,5,2,6,3,7,3,8,3,9,3,10,2,11,2,12,1,2)</f>
        <v>1</v>
      </c>
      <c r="P6199" s="43"/>
    </row>
    <row r="6200" spans="1:16" ht="18" x14ac:dyDescent="0.35">
      <c r="A6200" s="9"/>
      <c r="C6200" s="393"/>
      <c r="E6200" s="394"/>
      <c r="F6200" s="394"/>
      <c r="G6200" s="394"/>
      <c r="I6200" s="368">
        <f t="shared" si="294"/>
        <v>0</v>
      </c>
      <c r="J6200" s="365">
        <f t="shared" si="295"/>
        <v>0</v>
      </c>
      <c r="K6200" s="369">
        <f t="shared" si="296"/>
        <v>6</v>
      </c>
      <c r="L6200" s="369">
        <f>+IF((C6200&gt;='Resultats - informe'!$E$16)*(C6200&lt;='Resultats - informe'!$G$16),1,0)</f>
        <v>1</v>
      </c>
      <c r="M6200" s="369" cm="1">
        <f t="array" ref="M6200">+_xlfn.IFS((C6200&gt;='Resultats - informe'!$D$26)*(C6200&lt;='Resultats - informe'!$E$26),0,(C6200&gt;='Resultats - informe'!$D$27)*(C6200&lt;='Resultats - informe'!$E$27),0,(C6200&gt;='Resultats - informe'!$D$28)*(C6200&lt;='Resultats - informe'!$E$28),0,(C6200&gt;='Resultats - informe'!$D$29)*(C6200&lt;='Resultats - informe'!$E$29),0,1,1)</f>
        <v>0</v>
      </c>
      <c r="N6200" s="366">
        <f>+VLOOKUP(D6200,'Resultats - informe'!$Y$18:$AG$42,'Introducció dades consum'!K6200+1,0)</f>
        <v>0</v>
      </c>
      <c r="O6200" s="370" cm="1">
        <f t="array" ref="O6200">+_xlfn.SWITCH(MONTH(C6200),1,1,2,1,3,1,4,2,5,2,6,3,7,3,8,3,9,3,10,2,11,2,12,1,2)</f>
        <v>1</v>
      </c>
      <c r="P6200" s="43"/>
    </row>
    <row r="6201" spans="1:16" ht="18" x14ac:dyDescent="0.35">
      <c r="A6201" s="9"/>
      <c r="C6201" s="393"/>
      <c r="E6201" s="394"/>
      <c r="F6201" s="394"/>
      <c r="G6201" s="394"/>
      <c r="I6201" s="368">
        <f t="shared" si="294"/>
        <v>0</v>
      </c>
      <c r="J6201" s="365">
        <f t="shared" si="295"/>
        <v>0</v>
      </c>
      <c r="K6201" s="369">
        <f t="shared" si="296"/>
        <v>6</v>
      </c>
      <c r="L6201" s="369">
        <f>+IF((C6201&gt;='Resultats - informe'!$E$16)*(C6201&lt;='Resultats - informe'!$G$16),1,0)</f>
        <v>1</v>
      </c>
      <c r="M6201" s="369" cm="1">
        <f t="array" ref="M6201">+_xlfn.IFS((C6201&gt;='Resultats - informe'!$D$26)*(C6201&lt;='Resultats - informe'!$E$26),0,(C6201&gt;='Resultats - informe'!$D$27)*(C6201&lt;='Resultats - informe'!$E$27),0,(C6201&gt;='Resultats - informe'!$D$28)*(C6201&lt;='Resultats - informe'!$E$28),0,(C6201&gt;='Resultats - informe'!$D$29)*(C6201&lt;='Resultats - informe'!$E$29),0,1,1)</f>
        <v>0</v>
      </c>
      <c r="N6201" s="366">
        <f>+VLOOKUP(D6201,'Resultats - informe'!$Y$18:$AG$42,'Introducció dades consum'!K6201+1,0)</f>
        <v>0</v>
      </c>
      <c r="O6201" s="370" cm="1">
        <f t="array" ref="O6201">+_xlfn.SWITCH(MONTH(C6201),1,1,2,1,3,1,4,2,5,2,6,3,7,3,8,3,9,3,10,2,11,2,12,1,2)</f>
        <v>1</v>
      </c>
      <c r="P6201" s="43"/>
    </row>
    <row r="6202" spans="1:16" ht="18" x14ac:dyDescent="0.35">
      <c r="A6202" s="9"/>
      <c r="C6202" s="393"/>
      <c r="E6202" s="394"/>
      <c r="F6202" s="394"/>
      <c r="G6202" s="394"/>
      <c r="I6202" s="368">
        <f t="shared" si="294"/>
        <v>0</v>
      </c>
      <c r="J6202" s="365">
        <f t="shared" si="295"/>
        <v>0</v>
      </c>
      <c r="K6202" s="369">
        <f t="shared" si="296"/>
        <v>6</v>
      </c>
      <c r="L6202" s="369">
        <f>+IF((C6202&gt;='Resultats - informe'!$E$16)*(C6202&lt;='Resultats - informe'!$G$16),1,0)</f>
        <v>1</v>
      </c>
      <c r="M6202" s="369" cm="1">
        <f t="array" ref="M6202">+_xlfn.IFS((C6202&gt;='Resultats - informe'!$D$26)*(C6202&lt;='Resultats - informe'!$E$26),0,(C6202&gt;='Resultats - informe'!$D$27)*(C6202&lt;='Resultats - informe'!$E$27),0,(C6202&gt;='Resultats - informe'!$D$28)*(C6202&lt;='Resultats - informe'!$E$28),0,(C6202&gt;='Resultats - informe'!$D$29)*(C6202&lt;='Resultats - informe'!$E$29),0,1,1)</f>
        <v>0</v>
      </c>
      <c r="N6202" s="366">
        <f>+VLOOKUP(D6202,'Resultats - informe'!$Y$18:$AG$42,'Introducció dades consum'!K6202+1,0)</f>
        <v>0</v>
      </c>
      <c r="O6202" s="370" cm="1">
        <f t="array" ref="O6202">+_xlfn.SWITCH(MONTH(C6202),1,1,2,1,3,1,4,2,5,2,6,3,7,3,8,3,9,3,10,2,11,2,12,1,2)</f>
        <v>1</v>
      </c>
      <c r="P6202" s="43"/>
    </row>
    <row r="6203" spans="1:16" ht="18" x14ac:dyDescent="0.35">
      <c r="A6203" s="9"/>
      <c r="C6203" s="393"/>
      <c r="E6203" s="394"/>
      <c r="F6203" s="394"/>
      <c r="G6203" s="394"/>
      <c r="I6203" s="368">
        <f t="shared" si="294"/>
        <v>0</v>
      </c>
      <c r="J6203" s="365">
        <f t="shared" si="295"/>
        <v>0</v>
      </c>
      <c r="K6203" s="369">
        <f t="shared" si="296"/>
        <v>6</v>
      </c>
      <c r="L6203" s="369">
        <f>+IF((C6203&gt;='Resultats - informe'!$E$16)*(C6203&lt;='Resultats - informe'!$G$16),1,0)</f>
        <v>1</v>
      </c>
      <c r="M6203" s="369" cm="1">
        <f t="array" ref="M6203">+_xlfn.IFS((C6203&gt;='Resultats - informe'!$D$26)*(C6203&lt;='Resultats - informe'!$E$26),0,(C6203&gt;='Resultats - informe'!$D$27)*(C6203&lt;='Resultats - informe'!$E$27),0,(C6203&gt;='Resultats - informe'!$D$28)*(C6203&lt;='Resultats - informe'!$E$28),0,(C6203&gt;='Resultats - informe'!$D$29)*(C6203&lt;='Resultats - informe'!$E$29),0,1,1)</f>
        <v>0</v>
      </c>
      <c r="N6203" s="366">
        <f>+VLOOKUP(D6203,'Resultats - informe'!$Y$18:$AG$42,'Introducció dades consum'!K6203+1,0)</f>
        <v>0</v>
      </c>
      <c r="O6203" s="370" cm="1">
        <f t="array" ref="O6203">+_xlfn.SWITCH(MONTH(C6203),1,1,2,1,3,1,4,2,5,2,6,3,7,3,8,3,9,3,10,2,11,2,12,1,2)</f>
        <v>1</v>
      </c>
      <c r="P6203" s="43"/>
    </row>
    <row r="6204" spans="1:16" ht="18" x14ac:dyDescent="0.35">
      <c r="A6204" s="9"/>
      <c r="C6204" s="393"/>
      <c r="E6204" s="394"/>
      <c r="F6204" s="394"/>
      <c r="G6204" s="394"/>
      <c r="I6204" s="368">
        <f t="shared" si="294"/>
        <v>0</v>
      </c>
      <c r="J6204" s="365">
        <f t="shared" si="295"/>
        <v>0</v>
      </c>
      <c r="K6204" s="369">
        <f t="shared" si="296"/>
        <v>6</v>
      </c>
      <c r="L6204" s="369">
        <f>+IF((C6204&gt;='Resultats - informe'!$E$16)*(C6204&lt;='Resultats - informe'!$G$16),1,0)</f>
        <v>1</v>
      </c>
      <c r="M6204" s="369" cm="1">
        <f t="array" ref="M6204">+_xlfn.IFS((C6204&gt;='Resultats - informe'!$D$26)*(C6204&lt;='Resultats - informe'!$E$26),0,(C6204&gt;='Resultats - informe'!$D$27)*(C6204&lt;='Resultats - informe'!$E$27),0,(C6204&gt;='Resultats - informe'!$D$28)*(C6204&lt;='Resultats - informe'!$E$28),0,(C6204&gt;='Resultats - informe'!$D$29)*(C6204&lt;='Resultats - informe'!$E$29),0,1,1)</f>
        <v>0</v>
      </c>
      <c r="N6204" s="366">
        <f>+VLOOKUP(D6204,'Resultats - informe'!$Y$18:$AG$42,'Introducció dades consum'!K6204+1,0)</f>
        <v>0</v>
      </c>
      <c r="O6204" s="370" cm="1">
        <f t="array" ref="O6204">+_xlfn.SWITCH(MONTH(C6204),1,1,2,1,3,1,4,2,5,2,6,3,7,3,8,3,9,3,10,2,11,2,12,1,2)</f>
        <v>1</v>
      </c>
      <c r="P6204" s="43"/>
    </row>
    <row r="6205" spans="1:16" ht="18" x14ac:dyDescent="0.35">
      <c r="A6205" s="9"/>
      <c r="C6205" s="393"/>
      <c r="E6205" s="394"/>
      <c r="F6205" s="394"/>
      <c r="G6205" s="394"/>
      <c r="I6205" s="368">
        <f t="shared" si="294"/>
        <v>0</v>
      </c>
      <c r="J6205" s="365">
        <f t="shared" si="295"/>
        <v>0</v>
      </c>
      <c r="K6205" s="369">
        <f t="shared" si="296"/>
        <v>6</v>
      </c>
      <c r="L6205" s="369">
        <f>+IF((C6205&gt;='Resultats - informe'!$E$16)*(C6205&lt;='Resultats - informe'!$G$16),1,0)</f>
        <v>1</v>
      </c>
      <c r="M6205" s="369" cm="1">
        <f t="array" ref="M6205">+_xlfn.IFS((C6205&gt;='Resultats - informe'!$D$26)*(C6205&lt;='Resultats - informe'!$E$26),0,(C6205&gt;='Resultats - informe'!$D$27)*(C6205&lt;='Resultats - informe'!$E$27),0,(C6205&gt;='Resultats - informe'!$D$28)*(C6205&lt;='Resultats - informe'!$E$28),0,(C6205&gt;='Resultats - informe'!$D$29)*(C6205&lt;='Resultats - informe'!$E$29),0,1,1)</f>
        <v>0</v>
      </c>
      <c r="N6205" s="366">
        <f>+VLOOKUP(D6205,'Resultats - informe'!$Y$18:$AG$42,'Introducció dades consum'!K6205+1,0)</f>
        <v>0</v>
      </c>
      <c r="O6205" s="370" cm="1">
        <f t="array" ref="O6205">+_xlfn.SWITCH(MONTH(C6205),1,1,2,1,3,1,4,2,5,2,6,3,7,3,8,3,9,3,10,2,11,2,12,1,2)</f>
        <v>1</v>
      </c>
      <c r="P6205" s="43"/>
    </row>
    <row r="6206" spans="1:16" ht="18" x14ac:dyDescent="0.35">
      <c r="A6206" s="9"/>
      <c r="C6206" s="393"/>
      <c r="E6206" s="394"/>
      <c r="F6206" s="394"/>
      <c r="G6206" s="394"/>
      <c r="I6206" s="368">
        <f t="shared" si="294"/>
        <v>0</v>
      </c>
      <c r="J6206" s="365">
        <f t="shared" si="295"/>
        <v>0</v>
      </c>
      <c r="K6206" s="369">
        <f t="shared" si="296"/>
        <v>6</v>
      </c>
      <c r="L6206" s="369">
        <f>+IF((C6206&gt;='Resultats - informe'!$E$16)*(C6206&lt;='Resultats - informe'!$G$16),1,0)</f>
        <v>1</v>
      </c>
      <c r="M6206" s="369" cm="1">
        <f t="array" ref="M6206">+_xlfn.IFS((C6206&gt;='Resultats - informe'!$D$26)*(C6206&lt;='Resultats - informe'!$E$26),0,(C6206&gt;='Resultats - informe'!$D$27)*(C6206&lt;='Resultats - informe'!$E$27),0,(C6206&gt;='Resultats - informe'!$D$28)*(C6206&lt;='Resultats - informe'!$E$28),0,(C6206&gt;='Resultats - informe'!$D$29)*(C6206&lt;='Resultats - informe'!$E$29),0,1,1)</f>
        <v>0</v>
      </c>
      <c r="N6206" s="366">
        <f>+VLOOKUP(D6206,'Resultats - informe'!$Y$18:$AG$42,'Introducció dades consum'!K6206+1,0)</f>
        <v>0</v>
      </c>
      <c r="O6206" s="370" cm="1">
        <f t="array" ref="O6206">+_xlfn.SWITCH(MONTH(C6206),1,1,2,1,3,1,4,2,5,2,6,3,7,3,8,3,9,3,10,2,11,2,12,1,2)</f>
        <v>1</v>
      </c>
      <c r="P6206" s="43"/>
    </row>
    <row r="6207" spans="1:16" ht="18" x14ac:dyDescent="0.35">
      <c r="A6207" s="9"/>
      <c r="C6207" s="393"/>
      <c r="E6207" s="394"/>
      <c r="F6207" s="394"/>
      <c r="G6207" s="394"/>
      <c r="I6207" s="368">
        <f t="shared" si="294"/>
        <v>0</v>
      </c>
      <c r="J6207" s="365">
        <f t="shared" si="295"/>
        <v>0</v>
      </c>
      <c r="K6207" s="369">
        <f t="shared" si="296"/>
        <v>6</v>
      </c>
      <c r="L6207" s="369">
        <f>+IF((C6207&gt;='Resultats - informe'!$E$16)*(C6207&lt;='Resultats - informe'!$G$16),1,0)</f>
        <v>1</v>
      </c>
      <c r="M6207" s="369" cm="1">
        <f t="array" ref="M6207">+_xlfn.IFS((C6207&gt;='Resultats - informe'!$D$26)*(C6207&lt;='Resultats - informe'!$E$26),0,(C6207&gt;='Resultats - informe'!$D$27)*(C6207&lt;='Resultats - informe'!$E$27),0,(C6207&gt;='Resultats - informe'!$D$28)*(C6207&lt;='Resultats - informe'!$E$28),0,(C6207&gt;='Resultats - informe'!$D$29)*(C6207&lt;='Resultats - informe'!$E$29),0,1,1)</f>
        <v>0</v>
      </c>
      <c r="N6207" s="366">
        <f>+VLOOKUP(D6207,'Resultats - informe'!$Y$18:$AG$42,'Introducció dades consum'!K6207+1,0)</f>
        <v>0</v>
      </c>
      <c r="O6207" s="370" cm="1">
        <f t="array" ref="O6207">+_xlfn.SWITCH(MONTH(C6207),1,1,2,1,3,1,4,2,5,2,6,3,7,3,8,3,9,3,10,2,11,2,12,1,2)</f>
        <v>1</v>
      </c>
      <c r="P6207" s="43"/>
    </row>
    <row r="6208" spans="1:16" ht="18" x14ac:dyDescent="0.35">
      <c r="A6208" s="9"/>
      <c r="C6208" s="393"/>
      <c r="E6208" s="394"/>
      <c r="F6208" s="394"/>
      <c r="G6208" s="394"/>
      <c r="I6208" s="368">
        <f t="shared" si="294"/>
        <v>0</v>
      </c>
      <c r="J6208" s="365">
        <f t="shared" si="295"/>
        <v>0</v>
      </c>
      <c r="K6208" s="369">
        <f t="shared" si="296"/>
        <v>6</v>
      </c>
      <c r="L6208" s="369">
        <f>+IF((C6208&gt;='Resultats - informe'!$E$16)*(C6208&lt;='Resultats - informe'!$G$16),1,0)</f>
        <v>1</v>
      </c>
      <c r="M6208" s="369" cm="1">
        <f t="array" ref="M6208">+_xlfn.IFS((C6208&gt;='Resultats - informe'!$D$26)*(C6208&lt;='Resultats - informe'!$E$26),0,(C6208&gt;='Resultats - informe'!$D$27)*(C6208&lt;='Resultats - informe'!$E$27),0,(C6208&gt;='Resultats - informe'!$D$28)*(C6208&lt;='Resultats - informe'!$E$28),0,(C6208&gt;='Resultats - informe'!$D$29)*(C6208&lt;='Resultats - informe'!$E$29),0,1,1)</f>
        <v>0</v>
      </c>
      <c r="N6208" s="366">
        <f>+VLOOKUP(D6208,'Resultats - informe'!$Y$18:$AG$42,'Introducció dades consum'!K6208+1,0)</f>
        <v>0</v>
      </c>
      <c r="O6208" s="370" cm="1">
        <f t="array" ref="O6208">+_xlfn.SWITCH(MONTH(C6208),1,1,2,1,3,1,4,2,5,2,6,3,7,3,8,3,9,3,10,2,11,2,12,1,2)</f>
        <v>1</v>
      </c>
      <c r="P6208" s="43"/>
    </row>
    <row r="6209" spans="1:16" ht="18" x14ac:dyDescent="0.35">
      <c r="A6209" s="9"/>
      <c r="C6209" s="393"/>
      <c r="E6209" s="394"/>
      <c r="F6209" s="394"/>
      <c r="G6209" s="394"/>
      <c r="I6209" s="368">
        <f t="shared" si="294"/>
        <v>0</v>
      </c>
      <c r="J6209" s="365">
        <f t="shared" si="295"/>
        <v>0</v>
      </c>
      <c r="K6209" s="369">
        <f t="shared" si="296"/>
        <v>6</v>
      </c>
      <c r="L6209" s="369">
        <f>+IF((C6209&gt;='Resultats - informe'!$E$16)*(C6209&lt;='Resultats - informe'!$G$16),1,0)</f>
        <v>1</v>
      </c>
      <c r="M6209" s="369" cm="1">
        <f t="array" ref="M6209">+_xlfn.IFS((C6209&gt;='Resultats - informe'!$D$26)*(C6209&lt;='Resultats - informe'!$E$26),0,(C6209&gt;='Resultats - informe'!$D$27)*(C6209&lt;='Resultats - informe'!$E$27),0,(C6209&gt;='Resultats - informe'!$D$28)*(C6209&lt;='Resultats - informe'!$E$28),0,(C6209&gt;='Resultats - informe'!$D$29)*(C6209&lt;='Resultats - informe'!$E$29),0,1,1)</f>
        <v>0</v>
      </c>
      <c r="N6209" s="366">
        <f>+VLOOKUP(D6209,'Resultats - informe'!$Y$18:$AG$42,'Introducció dades consum'!K6209+1,0)</f>
        <v>0</v>
      </c>
      <c r="O6209" s="370" cm="1">
        <f t="array" ref="O6209">+_xlfn.SWITCH(MONTH(C6209),1,1,2,1,3,1,4,2,5,2,6,3,7,3,8,3,9,3,10,2,11,2,12,1,2)</f>
        <v>1</v>
      </c>
      <c r="P6209" s="43"/>
    </row>
    <row r="6210" spans="1:16" ht="18" x14ac:dyDescent="0.35">
      <c r="A6210" s="9"/>
      <c r="C6210" s="393"/>
      <c r="E6210" s="394"/>
      <c r="F6210" s="394"/>
      <c r="G6210" s="394"/>
      <c r="I6210" s="368">
        <f t="shared" si="294"/>
        <v>0</v>
      </c>
      <c r="J6210" s="365">
        <f t="shared" si="295"/>
        <v>0</v>
      </c>
      <c r="K6210" s="369">
        <f t="shared" si="296"/>
        <v>6</v>
      </c>
      <c r="L6210" s="369">
        <f>+IF((C6210&gt;='Resultats - informe'!$E$16)*(C6210&lt;='Resultats - informe'!$G$16),1,0)</f>
        <v>1</v>
      </c>
      <c r="M6210" s="369" cm="1">
        <f t="array" ref="M6210">+_xlfn.IFS((C6210&gt;='Resultats - informe'!$D$26)*(C6210&lt;='Resultats - informe'!$E$26),0,(C6210&gt;='Resultats - informe'!$D$27)*(C6210&lt;='Resultats - informe'!$E$27),0,(C6210&gt;='Resultats - informe'!$D$28)*(C6210&lt;='Resultats - informe'!$E$28),0,(C6210&gt;='Resultats - informe'!$D$29)*(C6210&lt;='Resultats - informe'!$E$29),0,1,1)</f>
        <v>0</v>
      </c>
      <c r="N6210" s="366">
        <f>+VLOOKUP(D6210,'Resultats - informe'!$Y$18:$AG$42,'Introducció dades consum'!K6210+1,0)</f>
        <v>0</v>
      </c>
      <c r="O6210" s="370" cm="1">
        <f t="array" ref="O6210">+_xlfn.SWITCH(MONTH(C6210),1,1,2,1,3,1,4,2,5,2,6,3,7,3,8,3,9,3,10,2,11,2,12,1,2)</f>
        <v>1</v>
      </c>
      <c r="P6210" s="43"/>
    </row>
    <row r="6211" spans="1:16" ht="18" x14ac:dyDescent="0.35">
      <c r="A6211" s="9"/>
      <c r="C6211" s="393"/>
      <c r="E6211" s="394"/>
      <c r="F6211" s="394"/>
      <c r="G6211" s="394"/>
      <c r="I6211" s="368">
        <f t="shared" si="294"/>
        <v>0</v>
      </c>
      <c r="J6211" s="365">
        <f t="shared" si="295"/>
        <v>0</v>
      </c>
      <c r="K6211" s="369">
        <f t="shared" si="296"/>
        <v>6</v>
      </c>
      <c r="L6211" s="369">
        <f>+IF((C6211&gt;='Resultats - informe'!$E$16)*(C6211&lt;='Resultats - informe'!$G$16),1,0)</f>
        <v>1</v>
      </c>
      <c r="M6211" s="369" cm="1">
        <f t="array" ref="M6211">+_xlfn.IFS((C6211&gt;='Resultats - informe'!$D$26)*(C6211&lt;='Resultats - informe'!$E$26),0,(C6211&gt;='Resultats - informe'!$D$27)*(C6211&lt;='Resultats - informe'!$E$27),0,(C6211&gt;='Resultats - informe'!$D$28)*(C6211&lt;='Resultats - informe'!$E$28),0,(C6211&gt;='Resultats - informe'!$D$29)*(C6211&lt;='Resultats - informe'!$E$29),0,1,1)</f>
        <v>0</v>
      </c>
      <c r="N6211" s="366">
        <f>+VLOOKUP(D6211,'Resultats - informe'!$Y$18:$AG$42,'Introducció dades consum'!K6211+1,0)</f>
        <v>0</v>
      </c>
      <c r="O6211" s="370" cm="1">
        <f t="array" ref="O6211">+_xlfn.SWITCH(MONTH(C6211),1,1,2,1,3,1,4,2,5,2,6,3,7,3,8,3,9,3,10,2,11,2,12,1,2)</f>
        <v>1</v>
      </c>
      <c r="P6211" s="43"/>
    </row>
    <row r="6212" spans="1:16" ht="18" x14ac:dyDescent="0.35">
      <c r="A6212" s="9"/>
      <c r="C6212" s="393"/>
      <c r="E6212" s="394"/>
      <c r="F6212" s="394"/>
      <c r="G6212" s="394"/>
      <c r="I6212" s="368">
        <f t="shared" si="294"/>
        <v>0</v>
      </c>
      <c r="J6212" s="365">
        <f t="shared" si="295"/>
        <v>0</v>
      </c>
      <c r="K6212" s="369">
        <f t="shared" si="296"/>
        <v>6</v>
      </c>
      <c r="L6212" s="369">
        <f>+IF((C6212&gt;='Resultats - informe'!$E$16)*(C6212&lt;='Resultats - informe'!$G$16),1,0)</f>
        <v>1</v>
      </c>
      <c r="M6212" s="369" cm="1">
        <f t="array" ref="M6212">+_xlfn.IFS((C6212&gt;='Resultats - informe'!$D$26)*(C6212&lt;='Resultats - informe'!$E$26),0,(C6212&gt;='Resultats - informe'!$D$27)*(C6212&lt;='Resultats - informe'!$E$27),0,(C6212&gt;='Resultats - informe'!$D$28)*(C6212&lt;='Resultats - informe'!$E$28),0,(C6212&gt;='Resultats - informe'!$D$29)*(C6212&lt;='Resultats - informe'!$E$29),0,1,1)</f>
        <v>0</v>
      </c>
      <c r="N6212" s="366">
        <f>+VLOOKUP(D6212,'Resultats - informe'!$Y$18:$AG$42,'Introducció dades consum'!K6212+1,0)</f>
        <v>0</v>
      </c>
      <c r="O6212" s="370" cm="1">
        <f t="array" ref="O6212">+_xlfn.SWITCH(MONTH(C6212),1,1,2,1,3,1,4,2,5,2,6,3,7,3,8,3,9,3,10,2,11,2,12,1,2)</f>
        <v>1</v>
      </c>
      <c r="P6212" s="43"/>
    </row>
    <row r="6213" spans="1:16" ht="18" x14ac:dyDescent="0.35">
      <c r="A6213" s="9"/>
      <c r="C6213" s="393"/>
      <c r="E6213" s="394"/>
      <c r="F6213" s="394"/>
      <c r="G6213" s="394"/>
      <c r="I6213" s="368">
        <f t="shared" si="294"/>
        <v>0</v>
      </c>
      <c r="J6213" s="365">
        <f t="shared" si="295"/>
        <v>0</v>
      </c>
      <c r="K6213" s="369">
        <f t="shared" si="296"/>
        <v>6</v>
      </c>
      <c r="L6213" s="369">
        <f>+IF((C6213&gt;='Resultats - informe'!$E$16)*(C6213&lt;='Resultats - informe'!$G$16),1,0)</f>
        <v>1</v>
      </c>
      <c r="M6213" s="369" cm="1">
        <f t="array" ref="M6213">+_xlfn.IFS((C6213&gt;='Resultats - informe'!$D$26)*(C6213&lt;='Resultats - informe'!$E$26),0,(C6213&gt;='Resultats - informe'!$D$27)*(C6213&lt;='Resultats - informe'!$E$27),0,(C6213&gt;='Resultats - informe'!$D$28)*(C6213&lt;='Resultats - informe'!$E$28),0,(C6213&gt;='Resultats - informe'!$D$29)*(C6213&lt;='Resultats - informe'!$E$29),0,1,1)</f>
        <v>0</v>
      </c>
      <c r="N6213" s="366">
        <f>+VLOOKUP(D6213,'Resultats - informe'!$Y$18:$AG$42,'Introducció dades consum'!K6213+1,0)</f>
        <v>0</v>
      </c>
      <c r="O6213" s="370" cm="1">
        <f t="array" ref="O6213">+_xlfn.SWITCH(MONTH(C6213),1,1,2,1,3,1,4,2,5,2,6,3,7,3,8,3,9,3,10,2,11,2,12,1,2)</f>
        <v>1</v>
      </c>
      <c r="P6213" s="43"/>
    </row>
    <row r="6214" spans="1:16" ht="18" x14ac:dyDescent="0.35">
      <c r="A6214" s="9"/>
      <c r="C6214" s="393"/>
      <c r="E6214" s="394"/>
      <c r="F6214" s="394"/>
      <c r="G6214" s="394"/>
      <c r="I6214" s="368">
        <f t="shared" si="294"/>
        <v>0</v>
      </c>
      <c r="J6214" s="365">
        <f t="shared" si="295"/>
        <v>0</v>
      </c>
      <c r="K6214" s="369">
        <f t="shared" si="296"/>
        <v>6</v>
      </c>
      <c r="L6214" s="369">
        <f>+IF((C6214&gt;='Resultats - informe'!$E$16)*(C6214&lt;='Resultats - informe'!$G$16),1,0)</f>
        <v>1</v>
      </c>
      <c r="M6214" s="369" cm="1">
        <f t="array" ref="M6214">+_xlfn.IFS((C6214&gt;='Resultats - informe'!$D$26)*(C6214&lt;='Resultats - informe'!$E$26),0,(C6214&gt;='Resultats - informe'!$D$27)*(C6214&lt;='Resultats - informe'!$E$27),0,(C6214&gt;='Resultats - informe'!$D$28)*(C6214&lt;='Resultats - informe'!$E$28),0,(C6214&gt;='Resultats - informe'!$D$29)*(C6214&lt;='Resultats - informe'!$E$29),0,1,1)</f>
        <v>0</v>
      </c>
      <c r="N6214" s="366">
        <f>+VLOOKUP(D6214,'Resultats - informe'!$Y$18:$AG$42,'Introducció dades consum'!K6214+1,0)</f>
        <v>0</v>
      </c>
      <c r="O6214" s="370" cm="1">
        <f t="array" ref="O6214">+_xlfn.SWITCH(MONTH(C6214),1,1,2,1,3,1,4,2,5,2,6,3,7,3,8,3,9,3,10,2,11,2,12,1,2)</f>
        <v>1</v>
      </c>
      <c r="P6214" s="43"/>
    </row>
    <row r="6215" spans="1:16" ht="18" x14ac:dyDescent="0.35">
      <c r="A6215" s="9"/>
      <c r="C6215" s="393"/>
      <c r="E6215" s="394"/>
      <c r="F6215" s="394"/>
      <c r="G6215" s="394"/>
      <c r="I6215" s="368">
        <f t="shared" si="294"/>
        <v>0</v>
      </c>
      <c r="J6215" s="365">
        <f t="shared" si="295"/>
        <v>0</v>
      </c>
      <c r="K6215" s="369">
        <f t="shared" si="296"/>
        <v>6</v>
      </c>
      <c r="L6215" s="369">
        <f>+IF((C6215&gt;='Resultats - informe'!$E$16)*(C6215&lt;='Resultats - informe'!$G$16),1,0)</f>
        <v>1</v>
      </c>
      <c r="M6215" s="369" cm="1">
        <f t="array" ref="M6215">+_xlfn.IFS((C6215&gt;='Resultats - informe'!$D$26)*(C6215&lt;='Resultats - informe'!$E$26),0,(C6215&gt;='Resultats - informe'!$D$27)*(C6215&lt;='Resultats - informe'!$E$27),0,(C6215&gt;='Resultats - informe'!$D$28)*(C6215&lt;='Resultats - informe'!$E$28),0,(C6215&gt;='Resultats - informe'!$D$29)*(C6215&lt;='Resultats - informe'!$E$29),0,1,1)</f>
        <v>0</v>
      </c>
      <c r="N6215" s="366">
        <f>+VLOOKUP(D6215,'Resultats - informe'!$Y$18:$AG$42,'Introducció dades consum'!K6215+1,0)</f>
        <v>0</v>
      </c>
      <c r="O6215" s="370" cm="1">
        <f t="array" ref="O6215">+_xlfn.SWITCH(MONTH(C6215),1,1,2,1,3,1,4,2,5,2,6,3,7,3,8,3,9,3,10,2,11,2,12,1,2)</f>
        <v>1</v>
      </c>
      <c r="P6215" s="43"/>
    </row>
    <row r="6216" spans="1:16" ht="18" x14ac:dyDescent="0.35">
      <c r="A6216" s="9"/>
      <c r="C6216" s="393"/>
      <c r="E6216" s="394"/>
      <c r="F6216" s="394"/>
      <c r="G6216" s="394"/>
      <c r="I6216" s="368">
        <f t="shared" si="294"/>
        <v>0</v>
      </c>
      <c r="J6216" s="365">
        <f t="shared" si="295"/>
        <v>0</v>
      </c>
      <c r="K6216" s="369">
        <f t="shared" si="296"/>
        <v>6</v>
      </c>
      <c r="L6216" s="369">
        <f>+IF((C6216&gt;='Resultats - informe'!$E$16)*(C6216&lt;='Resultats - informe'!$G$16),1,0)</f>
        <v>1</v>
      </c>
      <c r="M6216" s="369" cm="1">
        <f t="array" ref="M6216">+_xlfn.IFS((C6216&gt;='Resultats - informe'!$D$26)*(C6216&lt;='Resultats - informe'!$E$26),0,(C6216&gt;='Resultats - informe'!$D$27)*(C6216&lt;='Resultats - informe'!$E$27),0,(C6216&gt;='Resultats - informe'!$D$28)*(C6216&lt;='Resultats - informe'!$E$28),0,(C6216&gt;='Resultats - informe'!$D$29)*(C6216&lt;='Resultats - informe'!$E$29),0,1,1)</f>
        <v>0</v>
      </c>
      <c r="N6216" s="366">
        <f>+VLOOKUP(D6216,'Resultats - informe'!$Y$18:$AG$42,'Introducció dades consum'!K6216+1,0)</f>
        <v>0</v>
      </c>
      <c r="O6216" s="370" cm="1">
        <f t="array" ref="O6216">+_xlfn.SWITCH(MONTH(C6216),1,1,2,1,3,1,4,2,5,2,6,3,7,3,8,3,9,3,10,2,11,2,12,1,2)</f>
        <v>1</v>
      </c>
      <c r="P6216" s="43"/>
    </row>
    <row r="6217" spans="1:16" ht="18" x14ac:dyDescent="0.35">
      <c r="A6217" s="9"/>
      <c r="C6217" s="393"/>
      <c r="E6217" s="394"/>
      <c r="F6217" s="394"/>
      <c r="G6217" s="394"/>
      <c r="I6217" s="368">
        <f t="shared" si="294"/>
        <v>0</v>
      </c>
      <c r="J6217" s="365">
        <f t="shared" si="295"/>
        <v>0</v>
      </c>
      <c r="K6217" s="369">
        <f t="shared" si="296"/>
        <v>6</v>
      </c>
      <c r="L6217" s="369">
        <f>+IF((C6217&gt;='Resultats - informe'!$E$16)*(C6217&lt;='Resultats - informe'!$G$16),1,0)</f>
        <v>1</v>
      </c>
      <c r="M6217" s="369" cm="1">
        <f t="array" ref="M6217">+_xlfn.IFS((C6217&gt;='Resultats - informe'!$D$26)*(C6217&lt;='Resultats - informe'!$E$26),0,(C6217&gt;='Resultats - informe'!$D$27)*(C6217&lt;='Resultats - informe'!$E$27),0,(C6217&gt;='Resultats - informe'!$D$28)*(C6217&lt;='Resultats - informe'!$E$28),0,(C6217&gt;='Resultats - informe'!$D$29)*(C6217&lt;='Resultats - informe'!$E$29),0,1,1)</f>
        <v>0</v>
      </c>
      <c r="N6217" s="366">
        <f>+VLOOKUP(D6217,'Resultats - informe'!$Y$18:$AG$42,'Introducció dades consum'!K6217+1,0)</f>
        <v>0</v>
      </c>
      <c r="O6217" s="370" cm="1">
        <f t="array" ref="O6217">+_xlfn.SWITCH(MONTH(C6217),1,1,2,1,3,1,4,2,5,2,6,3,7,3,8,3,9,3,10,2,11,2,12,1,2)</f>
        <v>1</v>
      </c>
      <c r="P6217" s="43"/>
    </row>
    <row r="6218" spans="1:16" ht="18" x14ac:dyDescent="0.35">
      <c r="A6218" s="9"/>
      <c r="C6218" s="393"/>
      <c r="E6218" s="394"/>
      <c r="F6218" s="394"/>
      <c r="G6218" s="394"/>
      <c r="I6218" s="368">
        <f t="shared" si="294"/>
        <v>0</v>
      </c>
      <c r="J6218" s="365">
        <f t="shared" si="295"/>
        <v>0</v>
      </c>
      <c r="K6218" s="369">
        <f t="shared" si="296"/>
        <v>6</v>
      </c>
      <c r="L6218" s="369">
        <f>+IF((C6218&gt;='Resultats - informe'!$E$16)*(C6218&lt;='Resultats - informe'!$G$16),1,0)</f>
        <v>1</v>
      </c>
      <c r="M6218" s="369" cm="1">
        <f t="array" ref="M6218">+_xlfn.IFS((C6218&gt;='Resultats - informe'!$D$26)*(C6218&lt;='Resultats - informe'!$E$26),0,(C6218&gt;='Resultats - informe'!$D$27)*(C6218&lt;='Resultats - informe'!$E$27),0,(C6218&gt;='Resultats - informe'!$D$28)*(C6218&lt;='Resultats - informe'!$E$28),0,(C6218&gt;='Resultats - informe'!$D$29)*(C6218&lt;='Resultats - informe'!$E$29),0,1,1)</f>
        <v>0</v>
      </c>
      <c r="N6218" s="366">
        <f>+VLOOKUP(D6218,'Resultats - informe'!$Y$18:$AG$42,'Introducció dades consum'!K6218+1,0)</f>
        <v>0</v>
      </c>
      <c r="O6218" s="370" cm="1">
        <f t="array" ref="O6218">+_xlfn.SWITCH(MONTH(C6218),1,1,2,1,3,1,4,2,5,2,6,3,7,3,8,3,9,3,10,2,11,2,12,1,2)</f>
        <v>1</v>
      </c>
      <c r="P6218" s="43"/>
    </row>
    <row r="6219" spans="1:16" ht="18" x14ac:dyDescent="0.35">
      <c r="A6219" s="9"/>
      <c r="C6219" s="393"/>
      <c r="E6219" s="394"/>
      <c r="F6219" s="394"/>
      <c r="G6219" s="394"/>
      <c r="I6219" s="368">
        <f t="shared" si="294"/>
        <v>0</v>
      </c>
      <c r="J6219" s="365">
        <f t="shared" si="295"/>
        <v>0</v>
      </c>
      <c r="K6219" s="369">
        <f t="shared" si="296"/>
        <v>6</v>
      </c>
      <c r="L6219" s="369">
        <f>+IF((C6219&gt;='Resultats - informe'!$E$16)*(C6219&lt;='Resultats - informe'!$G$16),1,0)</f>
        <v>1</v>
      </c>
      <c r="M6219" s="369" cm="1">
        <f t="array" ref="M6219">+_xlfn.IFS((C6219&gt;='Resultats - informe'!$D$26)*(C6219&lt;='Resultats - informe'!$E$26),0,(C6219&gt;='Resultats - informe'!$D$27)*(C6219&lt;='Resultats - informe'!$E$27),0,(C6219&gt;='Resultats - informe'!$D$28)*(C6219&lt;='Resultats - informe'!$E$28),0,(C6219&gt;='Resultats - informe'!$D$29)*(C6219&lt;='Resultats - informe'!$E$29),0,1,1)</f>
        <v>0</v>
      </c>
      <c r="N6219" s="366">
        <f>+VLOOKUP(D6219,'Resultats - informe'!$Y$18:$AG$42,'Introducció dades consum'!K6219+1,0)</f>
        <v>0</v>
      </c>
      <c r="O6219" s="370" cm="1">
        <f t="array" ref="O6219">+_xlfn.SWITCH(MONTH(C6219),1,1,2,1,3,1,4,2,5,2,6,3,7,3,8,3,9,3,10,2,11,2,12,1,2)</f>
        <v>1</v>
      </c>
      <c r="P6219" s="43"/>
    </row>
    <row r="6220" spans="1:16" ht="18" x14ac:dyDescent="0.35">
      <c r="A6220" s="9"/>
      <c r="C6220" s="393"/>
      <c r="E6220" s="394"/>
      <c r="F6220" s="394"/>
      <c r="G6220" s="394"/>
      <c r="I6220" s="368">
        <f t="shared" si="294"/>
        <v>0</v>
      </c>
      <c r="J6220" s="365">
        <f t="shared" si="295"/>
        <v>0</v>
      </c>
      <c r="K6220" s="369">
        <f t="shared" si="296"/>
        <v>6</v>
      </c>
      <c r="L6220" s="369">
        <f>+IF((C6220&gt;='Resultats - informe'!$E$16)*(C6220&lt;='Resultats - informe'!$G$16),1,0)</f>
        <v>1</v>
      </c>
      <c r="M6220" s="369" cm="1">
        <f t="array" ref="M6220">+_xlfn.IFS((C6220&gt;='Resultats - informe'!$D$26)*(C6220&lt;='Resultats - informe'!$E$26),0,(C6220&gt;='Resultats - informe'!$D$27)*(C6220&lt;='Resultats - informe'!$E$27),0,(C6220&gt;='Resultats - informe'!$D$28)*(C6220&lt;='Resultats - informe'!$E$28),0,(C6220&gt;='Resultats - informe'!$D$29)*(C6220&lt;='Resultats - informe'!$E$29),0,1,1)</f>
        <v>0</v>
      </c>
      <c r="N6220" s="366">
        <f>+VLOOKUP(D6220,'Resultats - informe'!$Y$18:$AG$42,'Introducció dades consum'!K6220+1,0)</f>
        <v>0</v>
      </c>
      <c r="O6220" s="370" cm="1">
        <f t="array" ref="O6220">+_xlfn.SWITCH(MONTH(C6220),1,1,2,1,3,1,4,2,5,2,6,3,7,3,8,3,9,3,10,2,11,2,12,1,2)</f>
        <v>1</v>
      </c>
      <c r="P6220" s="43"/>
    </row>
    <row r="6221" spans="1:16" ht="18" x14ac:dyDescent="0.35">
      <c r="A6221" s="9"/>
      <c r="C6221" s="393"/>
      <c r="E6221" s="394"/>
      <c r="F6221" s="394"/>
      <c r="G6221" s="394"/>
      <c r="I6221" s="368">
        <f t="shared" si="294"/>
        <v>0</v>
      </c>
      <c r="J6221" s="365">
        <f t="shared" si="295"/>
        <v>0</v>
      </c>
      <c r="K6221" s="369">
        <f t="shared" si="296"/>
        <v>6</v>
      </c>
      <c r="L6221" s="369">
        <f>+IF((C6221&gt;='Resultats - informe'!$E$16)*(C6221&lt;='Resultats - informe'!$G$16),1,0)</f>
        <v>1</v>
      </c>
      <c r="M6221" s="369" cm="1">
        <f t="array" ref="M6221">+_xlfn.IFS((C6221&gt;='Resultats - informe'!$D$26)*(C6221&lt;='Resultats - informe'!$E$26),0,(C6221&gt;='Resultats - informe'!$D$27)*(C6221&lt;='Resultats - informe'!$E$27),0,(C6221&gt;='Resultats - informe'!$D$28)*(C6221&lt;='Resultats - informe'!$E$28),0,(C6221&gt;='Resultats - informe'!$D$29)*(C6221&lt;='Resultats - informe'!$E$29),0,1,1)</f>
        <v>0</v>
      </c>
      <c r="N6221" s="366">
        <f>+VLOOKUP(D6221,'Resultats - informe'!$Y$18:$AG$42,'Introducció dades consum'!K6221+1,0)</f>
        <v>0</v>
      </c>
      <c r="O6221" s="370" cm="1">
        <f t="array" ref="O6221">+_xlfn.SWITCH(MONTH(C6221),1,1,2,1,3,1,4,2,5,2,6,3,7,3,8,3,9,3,10,2,11,2,12,1,2)</f>
        <v>1</v>
      </c>
      <c r="P6221" s="43"/>
    </row>
    <row r="6222" spans="1:16" ht="18" x14ac:dyDescent="0.35">
      <c r="A6222" s="9"/>
      <c r="C6222" s="393"/>
      <c r="E6222" s="394"/>
      <c r="F6222" s="394"/>
      <c r="G6222" s="394"/>
      <c r="I6222" s="368">
        <f t="shared" si="294"/>
        <v>0</v>
      </c>
      <c r="J6222" s="365">
        <f t="shared" si="295"/>
        <v>0</v>
      </c>
      <c r="K6222" s="369">
        <f t="shared" si="296"/>
        <v>6</v>
      </c>
      <c r="L6222" s="369">
        <f>+IF((C6222&gt;='Resultats - informe'!$E$16)*(C6222&lt;='Resultats - informe'!$G$16),1,0)</f>
        <v>1</v>
      </c>
      <c r="M6222" s="369" cm="1">
        <f t="array" ref="M6222">+_xlfn.IFS((C6222&gt;='Resultats - informe'!$D$26)*(C6222&lt;='Resultats - informe'!$E$26),0,(C6222&gt;='Resultats - informe'!$D$27)*(C6222&lt;='Resultats - informe'!$E$27),0,(C6222&gt;='Resultats - informe'!$D$28)*(C6222&lt;='Resultats - informe'!$E$28),0,(C6222&gt;='Resultats - informe'!$D$29)*(C6222&lt;='Resultats - informe'!$E$29),0,1,1)</f>
        <v>0</v>
      </c>
      <c r="N6222" s="366">
        <f>+VLOOKUP(D6222,'Resultats - informe'!$Y$18:$AG$42,'Introducció dades consum'!K6222+1,0)</f>
        <v>0</v>
      </c>
      <c r="O6222" s="370" cm="1">
        <f t="array" ref="O6222">+_xlfn.SWITCH(MONTH(C6222),1,1,2,1,3,1,4,2,5,2,6,3,7,3,8,3,9,3,10,2,11,2,12,1,2)</f>
        <v>1</v>
      </c>
      <c r="P6222" s="43"/>
    </row>
    <row r="6223" spans="1:16" ht="18" x14ac:dyDescent="0.35">
      <c r="A6223" s="9"/>
      <c r="C6223" s="393"/>
      <c r="E6223" s="394"/>
      <c r="F6223" s="394"/>
      <c r="G6223" s="394"/>
      <c r="I6223" s="368">
        <f t="shared" si="294"/>
        <v>0</v>
      </c>
      <c r="J6223" s="365">
        <f t="shared" si="295"/>
        <v>0</v>
      </c>
      <c r="K6223" s="369">
        <f t="shared" si="296"/>
        <v>6</v>
      </c>
      <c r="L6223" s="369">
        <f>+IF((C6223&gt;='Resultats - informe'!$E$16)*(C6223&lt;='Resultats - informe'!$G$16),1,0)</f>
        <v>1</v>
      </c>
      <c r="M6223" s="369" cm="1">
        <f t="array" ref="M6223">+_xlfn.IFS((C6223&gt;='Resultats - informe'!$D$26)*(C6223&lt;='Resultats - informe'!$E$26),0,(C6223&gt;='Resultats - informe'!$D$27)*(C6223&lt;='Resultats - informe'!$E$27),0,(C6223&gt;='Resultats - informe'!$D$28)*(C6223&lt;='Resultats - informe'!$E$28),0,(C6223&gt;='Resultats - informe'!$D$29)*(C6223&lt;='Resultats - informe'!$E$29),0,1,1)</f>
        <v>0</v>
      </c>
      <c r="N6223" s="366">
        <f>+VLOOKUP(D6223,'Resultats - informe'!$Y$18:$AG$42,'Introducció dades consum'!K6223+1,0)</f>
        <v>0</v>
      </c>
      <c r="O6223" s="370" cm="1">
        <f t="array" ref="O6223">+_xlfn.SWITCH(MONTH(C6223),1,1,2,1,3,1,4,2,5,2,6,3,7,3,8,3,9,3,10,2,11,2,12,1,2)</f>
        <v>1</v>
      </c>
      <c r="P6223" s="43"/>
    </row>
    <row r="6224" spans="1:16" ht="18" x14ac:dyDescent="0.35">
      <c r="A6224" s="9"/>
      <c r="C6224" s="393"/>
      <c r="E6224" s="394"/>
      <c r="F6224" s="394"/>
      <c r="G6224" s="394"/>
      <c r="I6224" s="368">
        <f t="shared" si="294"/>
        <v>0</v>
      </c>
      <c r="J6224" s="365">
        <f t="shared" si="295"/>
        <v>0</v>
      </c>
      <c r="K6224" s="369">
        <f t="shared" si="296"/>
        <v>6</v>
      </c>
      <c r="L6224" s="369">
        <f>+IF((C6224&gt;='Resultats - informe'!$E$16)*(C6224&lt;='Resultats - informe'!$G$16),1,0)</f>
        <v>1</v>
      </c>
      <c r="M6224" s="369" cm="1">
        <f t="array" ref="M6224">+_xlfn.IFS((C6224&gt;='Resultats - informe'!$D$26)*(C6224&lt;='Resultats - informe'!$E$26),0,(C6224&gt;='Resultats - informe'!$D$27)*(C6224&lt;='Resultats - informe'!$E$27),0,(C6224&gt;='Resultats - informe'!$D$28)*(C6224&lt;='Resultats - informe'!$E$28),0,(C6224&gt;='Resultats - informe'!$D$29)*(C6224&lt;='Resultats - informe'!$E$29),0,1,1)</f>
        <v>0</v>
      </c>
      <c r="N6224" s="366">
        <f>+VLOOKUP(D6224,'Resultats - informe'!$Y$18:$AG$42,'Introducció dades consum'!K6224+1,0)</f>
        <v>0</v>
      </c>
      <c r="O6224" s="370" cm="1">
        <f t="array" ref="O6224">+_xlfn.SWITCH(MONTH(C6224),1,1,2,1,3,1,4,2,5,2,6,3,7,3,8,3,9,3,10,2,11,2,12,1,2)</f>
        <v>1</v>
      </c>
      <c r="P6224" s="43"/>
    </row>
    <row r="6225" spans="1:16" ht="18" x14ac:dyDescent="0.35">
      <c r="A6225" s="9"/>
      <c r="C6225" s="393"/>
      <c r="E6225" s="394"/>
      <c r="F6225" s="394"/>
      <c r="G6225" s="394"/>
      <c r="I6225" s="368">
        <f t="shared" si="294"/>
        <v>0</v>
      </c>
      <c r="J6225" s="365">
        <f t="shared" si="295"/>
        <v>0</v>
      </c>
      <c r="K6225" s="369">
        <f t="shared" si="296"/>
        <v>6</v>
      </c>
      <c r="L6225" s="369">
        <f>+IF((C6225&gt;='Resultats - informe'!$E$16)*(C6225&lt;='Resultats - informe'!$G$16),1,0)</f>
        <v>1</v>
      </c>
      <c r="M6225" s="369" cm="1">
        <f t="array" ref="M6225">+_xlfn.IFS((C6225&gt;='Resultats - informe'!$D$26)*(C6225&lt;='Resultats - informe'!$E$26),0,(C6225&gt;='Resultats - informe'!$D$27)*(C6225&lt;='Resultats - informe'!$E$27),0,(C6225&gt;='Resultats - informe'!$D$28)*(C6225&lt;='Resultats - informe'!$E$28),0,(C6225&gt;='Resultats - informe'!$D$29)*(C6225&lt;='Resultats - informe'!$E$29),0,1,1)</f>
        <v>0</v>
      </c>
      <c r="N6225" s="366">
        <f>+VLOOKUP(D6225,'Resultats - informe'!$Y$18:$AG$42,'Introducció dades consum'!K6225+1,0)</f>
        <v>0</v>
      </c>
      <c r="O6225" s="370" cm="1">
        <f t="array" ref="O6225">+_xlfn.SWITCH(MONTH(C6225),1,1,2,1,3,1,4,2,5,2,6,3,7,3,8,3,9,3,10,2,11,2,12,1,2)</f>
        <v>1</v>
      </c>
      <c r="P6225" s="43"/>
    </row>
    <row r="6226" spans="1:16" ht="18" x14ac:dyDescent="0.35">
      <c r="A6226" s="9"/>
      <c r="C6226" s="393"/>
      <c r="E6226" s="394"/>
      <c r="F6226" s="394"/>
      <c r="G6226" s="394"/>
      <c r="I6226" s="368">
        <f t="shared" ref="I6226:I6289" si="297">+E6226+G6226</f>
        <v>0</v>
      </c>
      <c r="J6226" s="365">
        <f t="shared" ref="J6226:J6289" si="298">+C6226</f>
        <v>0</v>
      </c>
      <c r="K6226" s="369">
        <f t="shared" ref="K6226:K6289" si="299">+WEEKDAY(C6226,2)</f>
        <v>6</v>
      </c>
      <c r="L6226" s="369">
        <f>+IF((C6226&gt;='Resultats - informe'!$E$16)*(C6226&lt;='Resultats - informe'!$G$16),1,0)</f>
        <v>1</v>
      </c>
      <c r="M6226" s="369" cm="1">
        <f t="array" ref="M6226">+_xlfn.IFS((C6226&gt;='Resultats - informe'!$D$26)*(C6226&lt;='Resultats - informe'!$E$26),0,(C6226&gt;='Resultats - informe'!$D$27)*(C6226&lt;='Resultats - informe'!$E$27),0,(C6226&gt;='Resultats - informe'!$D$28)*(C6226&lt;='Resultats - informe'!$E$28),0,(C6226&gt;='Resultats - informe'!$D$29)*(C6226&lt;='Resultats - informe'!$E$29),0,1,1)</f>
        <v>0</v>
      </c>
      <c r="N6226" s="366">
        <f>+VLOOKUP(D6226,'Resultats - informe'!$Y$18:$AG$42,'Introducció dades consum'!K6226+1,0)</f>
        <v>0</v>
      </c>
      <c r="O6226" s="370" cm="1">
        <f t="array" ref="O6226">+_xlfn.SWITCH(MONTH(C6226),1,1,2,1,3,1,4,2,5,2,6,3,7,3,8,3,9,3,10,2,11,2,12,1,2)</f>
        <v>1</v>
      </c>
      <c r="P6226" s="43"/>
    </row>
    <row r="6227" spans="1:16" ht="18" x14ac:dyDescent="0.35">
      <c r="A6227" s="9"/>
      <c r="C6227" s="393"/>
      <c r="E6227" s="394"/>
      <c r="F6227" s="394"/>
      <c r="G6227" s="394"/>
      <c r="I6227" s="368">
        <f t="shared" si="297"/>
        <v>0</v>
      </c>
      <c r="J6227" s="365">
        <f t="shared" si="298"/>
        <v>0</v>
      </c>
      <c r="K6227" s="369">
        <f t="shared" si="299"/>
        <v>6</v>
      </c>
      <c r="L6227" s="369">
        <f>+IF((C6227&gt;='Resultats - informe'!$E$16)*(C6227&lt;='Resultats - informe'!$G$16),1,0)</f>
        <v>1</v>
      </c>
      <c r="M6227" s="369" cm="1">
        <f t="array" ref="M6227">+_xlfn.IFS((C6227&gt;='Resultats - informe'!$D$26)*(C6227&lt;='Resultats - informe'!$E$26),0,(C6227&gt;='Resultats - informe'!$D$27)*(C6227&lt;='Resultats - informe'!$E$27),0,(C6227&gt;='Resultats - informe'!$D$28)*(C6227&lt;='Resultats - informe'!$E$28),0,(C6227&gt;='Resultats - informe'!$D$29)*(C6227&lt;='Resultats - informe'!$E$29),0,1,1)</f>
        <v>0</v>
      </c>
      <c r="N6227" s="366">
        <f>+VLOOKUP(D6227,'Resultats - informe'!$Y$18:$AG$42,'Introducció dades consum'!K6227+1,0)</f>
        <v>0</v>
      </c>
      <c r="O6227" s="370" cm="1">
        <f t="array" ref="O6227">+_xlfn.SWITCH(MONTH(C6227),1,1,2,1,3,1,4,2,5,2,6,3,7,3,8,3,9,3,10,2,11,2,12,1,2)</f>
        <v>1</v>
      </c>
      <c r="P6227" s="43"/>
    </row>
    <row r="6228" spans="1:16" ht="18" x14ac:dyDescent="0.35">
      <c r="A6228" s="9"/>
      <c r="C6228" s="393"/>
      <c r="E6228" s="394"/>
      <c r="F6228" s="394"/>
      <c r="G6228" s="394"/>
      <c r="I6228" s="368">
        <f t="shared" si="297"/>
        <v>0</v>
      </c>
      <c r="J6228" s="365">
        <f t="shared" si="298"/>
        <v>0</v>
      </c>
      <c r="K6228" s="369">
        <f t="shared" si="299"/>
        <v>6</v>
      </c>
      <c r="L6228" s="369">
        <f>+IF((C6228&gt;='Resultats - informe'!$E$16)*(C6228&lt;='Resultats - informe'!$G$16),1,0)</f>
        <v>1</v>
      </c>
      <c r="M6228" s="369" cm="1">
        <f t="array" ref="M6228">+_xlfn.IFS((C6228&gt;='Resultats - informe'!$D$26)*(C6228&lt;='Resultats - informe'!$E$26),0,(C6228&gt;='Resultats - informe'!$D$27)*(C6228&lt;='Resultats - informe'!$E$27),0,(C6228&gt;='Resultats - informe'!$D$28)*(C6228&lt;='Resultats - informe'!$E$28),0,(C6228&gt;='Resultats - informe'!$D$29)*(C6228&lt;='Resultats - informe'!$E$29),0,1,1)</f>
        <v>0</v>
      </c>
      <c r="N6228" s="366">
        <f>+VLOOKUP(D6228,'Resultats - informe'!$Y$18:$AG$42,'Introducció dades consum'!K6228+1,0)</f>
        <v>0</v>
      </c>
      <c r="O6228" s="370" cm="1">
        <f t="array" ref="O6228">+_xlfn.SWITCH(MONTH(C6228),1,1,2,1,3,1,4,2,5,2,6,3,7,3,8,3,9,3,10,2,11,2,12,1,2)</f>
        <v>1</v>
      </c>
      <c r="P6228" s="43"/>
    </row>
    <row r="6229" spans="1:16" ht="18" x14ac:dyDescent="0.35">
      <c r="A6229" s="9"/>
      <c r="C6229" s="393"/>
      <c r="E6229" s="394"/>
      <c r="F6229" s="394"/>
      <c r="G6229" s="394"/>
      <c r="I6229" s="368">
        <f t="shared" si="297"/>
        <v>0</v>
      </c>
      <c r="J6229" s="365">
        <f t="shared" si="298"/>
        <v>0</v>
      </c>
      <c r="K6229" s="369">
        <f t="shared" si="299"/>
        <v>6</v>
      </c>
      <c r="L6229" s="369">
        <f>+IF((C6229&gt;='Resultats - informe'!$E$16)*(C6229&lt;='Resultats - informe'!$G$16),1,0)</f>
        <v>1</v>
      </c>
      <c r="M6229" s="369" cm="1">
        <f t="array" ref="M6229">+_xlfn.IFS((C6229&gt;='Resultats - informe'!$D$26)*(C6229&lt;='Resultats - informe'!$E$26),0,(C6229&gt;='Resultats - informe'!$D$27)*(C6229&lt;='Resultats - informe'!$E$27),0,(C6229&gt;='Resultats - informe'!$D$28)*(C6229&lt;='Resultats - informe'!$E$28),0,(C6229&gt;='Resultats - informe'!$D$29)*(C6229&lt;='Resultats - informe'!$E$29),0,1,1)</f>
        <v>0</v>
      </c>
      <c r="N6229" s="366">
        <f>+VLOOKUP(D6229,'Resultats - informe'!$Y$18:$AG$42,'Introducció dades consum'!K6229+1,0)</f>
        <v>0</v>
      </c>
      <c r="O6229" s="370" cm="1">
        <f t="array" ref="O6229">+_xlfn.SWITCH(MONTH(C6229),1,1,2,1,3,1,4,2,5,2,6,3,7,3,8,3,9,3,10,2,11,2,12,1,2)</f>
        <v>1</v>
      </c>
      <c r="P6229" s="43"/>
    </row>
    <row r="6230" spans="1:16" ht="18" x14ac:dyDescent="0.35">
      <c r="A6230" s="9"/>
      <c r="C6230" s="393"/>
      <c r="E6230" s="394"/>
      <c r="F6230" s="394"/>
      <c r="G6230" s="394"/>
      <c r="I6230" s="368">
        <f t="shared" si="297"/>
        <v>0</v>
      </c>
      <c r="J6230" s="365">
        <f t="shared" si="298"/>
        <v>0</v>
      </c>
      <c r="K6230" s="369">
        <f t="shared" si="299"/>
        <v>6</v>
      </c>
      <c r="L6230" s="369">
        <f>+IF((C6230&gt;='Resultats - informe'!$E$16)*(C6230&lt;='Resultats - informe'!$G$16),1,0)</f>
        <v>1</v>
      </c>
      <c r="M6230" s="369" cm="1">
        <f t="array" ref="M6230">+_xlfn.IFS((C6230&gt;='Resultats - informe'!$D$26)*(C6230&lt;='Resultats - informe'!$E$26),0,(C6230&gt;='Resultats - informe'!$D$27)*(C6230&lt;='Resultats - informe'!$E$27),0,(C6230&gt;='Resultats - informe'!$D$28)*(C6230&lt;='Resultats - informe'!$E$28),0,(C6230&gt;='Resultats - informe'!$D$29)*(C6230&lt;='Resultats - informe'!$E$29),0,1,1)</f>
        <v>0</v>
      </c>
      <c r="N6230" s="366">
        <f>+VLOOKUP(D6230,'Resultats - informe'!$Y$18:$AG$42,'Introducció dades consum'!K6230+1,0)</f>
        <v>0</v>
      </c>
      <c r="O6230" s="370" cm="1">
        <f t="array" ref="O6230">+_xlfn.SWITCH(MONTH(C6230),1,1,2,1,3,1,4,2,5,2,6,3,7,3,8,3,9,3,10,2,11,2,12,1,2)</f>
        <v>1</v>
      </c>
      <c r="P6230" s="43"/>
    </row>
    <row r="6231" spans="1:16" ht="18" x14ac:dyDescent="0.35">
      <c r="A6231" s="9"/>
      <c r="C6231" s="393"/>
      <c r="E6231" s="394"/>
      <c r="F6231" s="394"/>
      <c r="G6231" s="394"/>
      <c r="I6231" s="368">
        <f t="shared" si="297"/>
        <v>0</v>
      </c>
      <c r="J6231" s="365">
        <f t="shared" si="298"/>
        <v>0</v>
      </c>
      <c r="K6231" s="369">
        <f t="shared" si="299"/>
        <v>6</v>
      </c>
      <c r="L6231" s="369">
        <f>+IF((C6231&gt;='Resultats - informe'!$E$16)*(C6231&lt;='Resultats - informe'!$G$16),1,0)</f>
        <v>1</v>
      </c>
      <c r="M6231" s="369" cm="1">
        <f t="array" ref="M6231">+_xlfn.IFS((C6231&gt;='Resultats - informe'!$D$26)*(C6231&lt;='Resultats - informe'!$E$26),0,(C6231&gt;='Resultats - informe'!$D$27)*(C6231&lt;='Resultats - informe'!$E$27),0,(C6231&gt;='Resultats - informe'!$D$28)*(C6231&lt;='Resultats - informe'!$E$28),0,(C6231&gt;='Resultats - informe'!$D$29)*(C6231&lt;='Resultats - informe'!$E$29),0,1,1)</f>
        <v>0</v>
      </c>
      <c r="N6231" s="366">
        <f>+VLOOKUP(D6231,'Resultats - informe'!$Y$18:$AG$42,'Introducció dades consum'!K6231+1,0)</f>
        <v>0</v>
      </c>
      <c r="O6231" s="370" cm="1">
        <f t="array" ref="O6231">+_xlfn.SWITCH(MONTH(C6231),1,1,2,1,3,1,4,2,5,2,6,3,7,3,8,3,9,3,10,2,11,2,12,1,2)</f>
        <v>1</v>
      </c>
      <c r="P6231" s="43"/>
    </row>
    <row r="6232" spans="1:16" ht="18" x14ac:dyDescent="0.35">
      <c r="A6232" s="9"/>
      <c r="C6232" s="393"/>
      <c r="E6232" s="394"/>
      <c r="F6232" s="394"/>
      <c r="G6232" s="394"/>
      <c r="I6232" s="368">
        <f t="shared" si="297"/>
        <v>0</v>
      </c>
      <c r="J6232" s="365">
        <f t="shared" si="298"/>
        <v>0</v>
      </c>
      <c r="K6232" s="369">
        <f t="shared" si="299"/>
        <v>6</v>
      </c>
      <c r="L6232" s="369">
        <f>+IF((C6232&gt;='Resultats - informe'!$E$16)*(C6232&lt;='Resultats - informe'!$G$16),1,0)</f>
        <v>1</v>
      </c>
      <c r="M6232" s="369" cm="1">
        <f t="array" ref="M6232">+_xlfn.IFS((C6232&gt;='Resultats - informe'!$D$26)*(C6232&lt;='Resultats - informe'!$E$26),0,(C6232&gt;='Resultats - informe'!$D$27)*(C6232&lt;='Resultats - informe'!$E$27),0,(C6232&gt;='Resultats - informe'!$D$28)*(C6232&lt;='Resultats - informe'!$E$28),0,(C6232&gt;='Resultats - informe'!$D$29)*(C6232&lt;='Resultats - informe'!$E$29),0,1,1)</f>
        <v>0</v>
      </c>
      <c r="N6232" s="366">
        <f>+VLOOKUP(D6232,'Resultats - informe'!$Y$18:$AG$42,'Introducció dades consum'!K6232+1,0)</f>
        <v>0</v>
      </c>
      <c r="O6232" s="370" cm="1">
        <f t="array" ref="O6232">+_xlfn.SWITCH(MONTH(C6232),1,1,2,1,3,1,4,2,5,2,6,3,7,3,8,3,9,3,10,2,11,2,12,1,2)</f>
        <v>1</v>
      </c>
      <c r="P6232" s="43"/>
    </row>
    <row r="6233" spans="1:16" ht="18" x14ac:dyDescent="0.35">
      <c r="A6233" s="9"/>
      <c r="C6233" s="393"/>
      <c r="E6233" s="394"/>
      <c r="F6233" s="394"/>
      <c r="G6233" s="394"/>
      <c r="I6233" s="368">
        <f t="shared" si="297"/>
        <v>0</v>
      </c>
      <c r="J6233" s="365">
        <f t="shared" si="298"/>
        <v>0</v>
      </c>
      <c r="K6233" s="369">
        <f t="shared" si="299"/>
        <v>6</v>
      </c>
      <c r="L6233" s="369">
        <f>+IF((C6233&gt;='Resultats - informe'!$E$16)*(C6233&lt;='Resultats - informe'!$G$16),1,0)</f>
        <v>1</v>
      </c>
      <c r="M6233" s="369" cm="1">
        <f t="array" ref="M6233">+_xlfn.IFS((C6233&gt;='Resultats - informe'!$D$26)*(C6233&lt;='Resultats - informe'!$E$26),0,(C6233&gt;='Resultats - informe'!$D$27)*(C6233&lt;='Resultats - informe'!$E$27),0,(C6233&gt;='Resultats - informe'!$D$28)*(C6233&lt;='Resultats - informe'!$E$28),0,(C6233&gt;='Resultats - informe'!$D$29)*(C6233&lt;='Resultats - informe'!$E$29),0,1,1)</f>
        <v>0</v>
      </c>
      <c r="N6233" s="366">
        <f>+VLOOKUP(D6233,'Resultats - informe'!$Y$18:$AG$42,'Introducció dades consum'!K6233+1,0)</f>
        <v>0</v>
      </c>
      <c r="O6233" s="370" cm="1">
        <f t="array" ref="O6233">+_xlfn.SWITCH(MONTH(C6233),1,1,2,1,3,1,4,2,5,2,6,3,7,3,8,3,9,3,10,2,11,2,12,1,2)</f>
        <v>1</v>
      </c>
      <c r="P6233" s="43"/>
    </row>
    <row r="6234" spans="1:16" ht="18" x14ac:dyDescent="0.35">
      <c r="A6234" s="9"/>
      <c r="C6234" s="393"/>
      <c r="E6234" s="394"/>
      <c r="F6234" s="394"/>
      <c r="G6234" s="394"/>
      <c r="I6234" s="368">
        <f t="shared" si="297"/>
        <v>0</v>
      </c>
      <c r="J6234" s="365">
        <f t="shared" si="298"/>
        <v>0</v>
      </c>
      <c r="K6234" s="369">
        <f t="shared" si="299"/>
        <v>6</v>
      </c>
      <c r="L6234" s="369">
        <f>+IF((C6234&gt;='Resultats - informe'!$E$16)*(C6234&lt;='Resultats - informe'!$G$16),1,0)</f>
        <v>1</v>
      </c>
      <c r="M6234" s="369" cm="1">
        <f t="array" ref="M6234">+_xlfn.IFS((C6234&gt;='Resultats - informe'!$D$26)*(C6234&lt;='Resultats - informe'!$E$26),0,(C6234&gt;='Resultats - informe'!$D$27)*(C6234&lt;='Resultats - informe'!$E$27),0,(C6234&gt;='Resultats - informe'!$D$28)*(C6234&lt;='Resultats - informe'!$E$28),0,(C6234&gt;='Resultats - informe'!$D$29)*(C6234&lt;='Resultats - informe'!$E$29),0,1,1)</f>
        <v>0</v>
      </c>
      <c r="N6234" s="366">
        <f>+VLOOKUP(D6234,'Resultats - informe'!$Y$18:$AG$42,'Introducció dades consum'!K6234+1,0)</f>
        <v>0</v>
      </c>
      <c r="O6234" s="370" cm="1">
        <f t="array" ref="O6234">+_xlfn.SWITCH(MONTH(C6234),1,1,2,1,3,1,4,2,5,2,6,3,7,3,8,3,9,3,10,2,11,2,12,1,2)</f>
        <v>1</v>
      </c>
      <c r="P6234" s="43"/>
    </row>
    <row r="6235" spans="1:16" ht="18" x14ac:dyDescent="0.35">
      <c r="A6235" s="9"/>
      <c r="C6235" s="393"/>
      <c r="E6235" s="394"/>
      <c r="F6235" s="394"/>
      <c r="G6235" s="394"/>
      <c r="I6235" s="368">
        <f t="shared" si="297"/>
        <v>0</v>
      </c>
      <c r="J6235" s="365">
        <f t="shared" si="298"/>
        <v>0</v>
      </c>
      <c r="K6235" s="369">
        <f t="shared" si="299"/>
        <v>6</v>
      </c>
      <c r="L6235" s="369">
        <f>+IF((C6235&gt;='Resultats - informe'!$E$16)*(C6235&lt;='Resultats - informe'!$G$16),1,0)</f>
        <v>1</v>
      </c>
      <c r="M6235" s="369" cm="1">
        <f t="array" ref="M6235">+_xlfn.IFS((C6235&gt;='Resultats - informe'!$D$26)*(C6235&lt;='Resultats - informe'!$E$26),0,(C6235&gt;='Resultats - informe'!$D$27)*(C6235&lt;='Resultats - informe'!$E$27),0,(C6235&gt;='Resultats - informe'!$D$28)*(C6235&lt;='Resultats - informe'!$E$28),0,(C6235&gt;='Resultats - informe'!$D$29)*(C6235&lt;='Resultats - informe'!$E$29),0,1,1)</f>
        <v>0</v>
      </c>
      <c r="N6235" s="366">
        <f>+VLOOKUP(D6235,'Resultats - informe'!$Y$18:$AG$42,'Introducció dades consum'!K6235+1,0)</f>
        <v>0</v>
      </c>
      <c r="O6235" s="370" cm="1">
        <f t="array" ref="O6235">+_xlfn.SWITCH(MONTH(C6235),1,1,2,1,3,1,4,2,5,2,6,3,7,3,8,3,9,3,10,2,11,2,12,1,2)</f>
        <v>1</v>
      </c>
      <c r="P6235" s="43"/>
    </row>
    <row r="6236" spans="1:16" ht="18" x14ac:dyDescent="0.35">
      <c r="A6236" s="9"/>
      <c r="C6236" s="393"/>
      <c r="E6236" s="394"/>
      <c r="F6236" s="394"/>
      <c r="G6236" s="394"/>
      <c r="I6236" s="368">
        <f t="shared" si="297"/>
        <v>0</v>
      </c>
      <c r="J6236" s="365">
        <f t="shared" si="298"/>
        <v>0</v>
      </c>
      <c r="K6236" s="369">
        <f t="shared" si="299"/>
        <v>6</v>
      </c>
      <c r="L6236" s="369">
        <f>+IF((C6236&gt;='Resultats - informe'!$E$16)*(C6236&lt;='Resultats - informe'!$G$16),1,0)</f>
        <v>1</v>
      </c>
      <c r="M6236" s="369" cm="1">
        <f t="array" ref="M6236">+_xlfn.IFS((C6236&gt;='Resultats - informe'!$D$26)*(C6236&lt;='Resultats - informe'!$E$26),0,(C6236&gt;='Resultats - informe'!$D$27)*(C6236&lt;='Resultats - informe'!$E$27),0,(C6236&gt;='Resultats - informe'!$D$28)*(C6236&lt;='Resultats - informe'!$E$28),0,(C6236&gt;='Resultats - informe'!$D$29)*(C6236&lt;='Resultats - informe'!$E$29),0,1,1)</f>
        <v>0</v>
      </c>
      <c r="N6236" s="366">
        <f>+VLOOKUP(D6236,'Resultats - informe'!$Y$18:$AG$42,'Introducció dades consum'!K6236+1,0)</f>
        <v>0</v>
      </c>
      <c r="O6236" s="370" cm="1">
        <f t="array" ref="O6236">+_xlfn.SWITCH(MONTH(C6236),1,1,2,1,3,1,4,2,5,2,6,3,7,3,8,3,9,3,10,2,11,2,12,1,2)</f>
        <v>1</v>
      </c>
      <c r="P6236" s="43"/>
    </row>
    <row r="6237" spans="1:16" ht="18" x14ac:dyDescent="0.35">
      <c r="A6237" s="9"/>
      <c r="C6237" s="393"/>
      <c r="E6237" s="394"/>
      <c r="F6237" s="394"/>
      <c r="G6237" s="394"/>
      <c r="I6237" s="368">
        <f t="shared" si="297"/>
        <v>0</v>
      </c>
      <c r="J6237" s="365">
        <f t="shared" si="298"/>
        <v>0</v>
      </c>
      <c r="K6237" s="369">
        <f t="shared" si="299"/>
        <v>6</v>
      </c>
      <c r="L6237" s="369">
        <f>+IF((C6237&gt;='Resultats - informe'!$E$16)*(C6237&lt;='Resultats - informe'!$G$16),1,0)</f>
        <v>1</v>
      </c>
      <c r="M6237" s="369" cm="1">
        <f t="array" ref="M6237">+_xlfn.IFS((C6237&gt;='Resultats - informe'!$D$26)*(C6237&lt;='Resultats - informe'!$E$26),0,(C6237&gt;='Resultats - informe'!$D$27)*(C6237&lt;='Resultats - informe'!$E$27),0,(C6237&gt;='Resultats - informe'!$D$28)*(C6237&lt;='Resultats - informe'!$E$28),0,(C6237&gt;='Resultats - informe'!$D$29)*(C6237&lt;='Resultats - informe'!$E$29),0,1,1)</f>
        <v>0</v>
      </c>
      <c r="N6237" s="366">
        <f>+VLOOKUP(D6237,'Resultats - informe'!$Y$18:$AG$42,'Introducció dades consum'!K6237+1,0)</f>
        <v>0</v>
      </c>
      <c r="O6237" s="370" cm="1">
        <f t="array" ref="O6237">+_xlfn.SWITCH(MONTH(C6237),1,1,2,1,3,1,4,2,5,2,6,3,7,3,8,3,9,3,10,2,11,2,12,1,2)</f>
        <v>1</v>
      </c>
      <c r="P6237" s="43"/>
    </row>
    <row r="6238" spans="1:16" ht="18" x14ac:dyDescent="0.35">
      <c r="A6238" s="9"/>
      <c r="C6238" s="393"/>
      <c r="E6238" s="394"/>
      <c r="F6238" s="394"/>
      <c r="G6238" s="394"/>
      <c r="I6238" s="368">
        <f t="shared" si="297"/>
        <v>0</v>
      </c>
      <c r="J6238" s="365">
        <f t="shared" si="298"/>
        <v>0</v>
      </c>
      <c r="K6238" s="369">
        <f t="shared" si="299"/>
        <v>6</v>
      </c>
      <c r="L6238" s="369">
        <f>+IF((C6238&gt;='Resultats - informe'!$E$16)*(C6238&lt;='Resultats - informe'!$G$16),1,0)</f>
        <v>1</v>
      </c>
      <c r="M6238" s="369" cm="1">
        <f t="array" ref="M6238">+_xlfn.IFS((C6238&gt;='Resultats - informe'!$D$26)*(C6238&lt;='Resultats - informe'!$E$26),0,(C6238&gt;='Resultats - informe'!$D$27)*(C6238&lt;='Resultats - informe'!$E$27),0,(C6238&gt;='Resultats - informe'!$D$28)*(C6238&lt;='Resultats - informe'!$E$28),0,(C6238&gt;='Resultats - informe'!$D$29)*(C6238&lt;='Resultats - informe'!$E$29),0,1,1)</f>
        <v>0</v>
      </c>
      <c r="N6238" s="366">
        <f>+VLOOKUP(D6238,'Resultats - informe'!$Y$18:$AG$42,'Introducció dades consum'!K6238+1,0)</f>
        <v>0</v>
      </c>
      <c r="O6238" s="370" cm="1">
        <f t="array" ref="O6238">+_xlfn.SWITCH(MONTH(C6238),1,1,2,1,3,1,4,2,5,2,6,3,7,3,8,3,9,3,10,2,11,2,12,1,2)</f>
        <v>1</v>
      </c>
      <c r="P6238" s="43"/>
    </row>
    <row r="6239" spans="1:16" ht="18" x14ac:dyDescent="0.35">
      <c r="A6239" s="9"/>
      <c r="C6239" s="393"/>
      <c r="E6239" s="394"/>
      <c r="F6239" s="394"/>
      <c r="G6239" s="394"/>
      <c r="I6239" s="368">
        <f t="shared" si="297"/>
        <v>0</v>
      </c>
      <c r="J6239" s="365">
        <f t="shared" si="298"/>
        <v>0</v>
      </c>
      <c r="K6239" s="369">
        <f t="shared" si="299"/>
        <v>6</v>
      </c>
      <c r="L6239" s="369">
        <f>+IF((C6239&gt;='Resultats - informe'!$E$16)*(C6239&lt;='Resultats - informe'!$G$16),1,0)</f>
        <v>1</v>
      </c>
      <c r="M6239" s="369" cm="1">
        <f t="array" ref="M6239">+_xlfn.IFS((C6239&gt;='Resultats - informe'!$D$26)*(C6239&lt;='Resultats - informe'!$E$26),0,(C6239&gt;='Resultats - informe'!$D$27)*(C6239&lt;='Resultats - informe'!$E$27),0,(C6239&gt;='Resultats - informe'!$D$28)*(C6239&lt;='Resultats - informe'!$E$28),0,(C6239&gt;='Resultats - informe'!$D$29)*(C6239&lt;='Resultats - informe'!$E$29),0,1,1)</f>
        <v>0</v>
      </c>
      <c r="N6239" s="366">
        <f>+VLOOKUP(D6239,'Resultats - informe'!$Y$18:$AG$42,'Introducció dades consum'!K6239+1,0)</f>
        <v>0</v>
      </c>
      <c r="O6239" s="370" cm="1">
        <f t="array" ref="O6239">+_xlfn.SWITCH(MONTH(C6239),1,1,2,1,3,1,4,2,5,2,6,3,7,3,8,3,9,3,10,2,11,2,12,1,2)</f>
        <v>1</v>
      </c>
      <c r="P6239" s="43"/>
    </row>
    <row r="6240" spans="1:16" ht="18" x14ac:dyDescent="0.35">
      <c r="A6240" s="9"/>
      <c r="C6240" s="393"/>
      <c r="E6240" s="394"/>
      <c r="F6240" s="394"/>
      <c r="G6240" s="394"/>
      <c r="I6240" s="368">
        <f t="shared" si="297"/>
        <v>0</v>
      </c>
      <c r="J6240" s="365">
        <f t="shared" si="298"/>
        <v>0</v>
      </c>
      <c r="K6240" s="369">
        <f t="shared" si="299"/>
        <v>6</v>
      </c>
      <c r="L6240" s="369">
        <f>+IF((C6240&gt;='Resultats - informe'!$E$16)*(C6240&lt;='Resultats - informe'!$G$16),1,0)</f>
        <v>1</v>
      </c>
      <c r="M6240" s="369" cm="1">
        <f t="array" ref="M6240">+_xlfn.IFS((C6240&gt;='Resultats - informe'!$D$26)*(C6240&lt;='Resultats - informe'!$E$26),0,(C6240&gt;='Resultats - informe'!$D$27)*(C6240&lt;='Resultats - informe'!$E$27),0,(C6240&gt;='Resultats - informe'!$D$28)*(C6240&lt;='Resultats - informe'!$E$28),0,(C6240&gt;='Resultats - informe'!$D$29)*(C6240&lt;='Resultats - informe'!$E$29),0,1,1)</f>
        <v>0</v>
      </c>
      <c r="N6240" s="366">
        <f>+VLOOKUP(D6240,'Resultats - informe'!$Y$18:$AG$42,'Introducció dades consum'!K6240+1,0)</f>
        <v>0</v>
      </c>
      <c r="O6240" s="370" cm="1">
        <f t="array" ref="O6240">+_xlfn.SWITCH(MONTH(C6240),1,1,2,1,3,1,4,2,5,2,6,3,7,3,8,3,9,3,10,2,11,2,12,1,2)</f>
        <v>1</v>
      </c>
      <c r="P6240" s="43"/>
    </row>
    <row r="6241" spans="1:16" ht="18" x14ac:dyDescent="0.35">
      <c r="A6241" s="9"/>
      <c r="C6241" s="393"/>
      <c r="E6241" s="394"/>
      <c r="F6241" s="394"/>
      <c r="G6241" s="394"/>
      <c r="I6241" s="368">
        <f t="shared" si="297"/>
        <v>0</v>
      </c>
      <c r="J6241" s="365">
        <f t="shared" si="298"/>
        <v>0</v>
      </c>
      <c r="K6241" s="369">
        <f t="shared" si="299"/>
        <v>6</v>
      </c>
      <c r="L6241" s="369">
        <f>+IF((C6241&gt;='Resultats - informe'!$E$16)*(C6241&lt;='Resultats - informe'!$G$16),1,0)</f>
        <v>1</v>
      </c>
      <c r="M6241" s="369" cm="1">
        <f t="array" ref="M6241">+_xlfn.IFS((C6241&gt;='Resultats - informe'!$D$26)*(C6241&lt;='Resultats - informe'!$E$26),0,(C6241&gt;='Resultats - informe'!$D$27)*(C6241&lt;='Resultats - informe'!$E$27),0,(C6241&gt;='Resultats - informe'!$D$28)*(C6241&lt;='Resultats - informe'!$E$28),0,(C6241&gt;='Resultats - informe'!$D$29)*(C6241&lt;='Resultats - informe'!$E$29),0,1,1)</f>
        <v>0</v>
      </c>
      <c r="N6241" s="366">
        <f>+VLOOKUP(D6241,'Resultats - informe'!$Y$18:$AG$42,'Introducció dades consum'!K6241+1,0)</f>
        <v>0</v>
      </c>
      <c r="O6241" s="370" cm="1">
        <f t="array" ref="O6241">+_xlfn.SWITCH(MONTH(C6241),1,1,2,1,3,1,4,2,5,2,6,3,7,3,8,3,9,3,10,2,11,2,12,1,2)</f>
        <v>1</v>
      </c>
      <c r="P6241" s="43"/>
    </row>
    <row r="6242" spans="1:16" ht="18" x14ac:dyDescent="0.35">
      <c r="A6242" s="9"/>
      <c r="C6242" s="393"/>
      <c r="E6242" s="394"/>
      <c r="F6242" s="394"/>
      <c r="G6242" s="394"/>
      <c r="I6242" s="368">
        <f t="shared" si="297"/>
        <v>0</v>
      </c>
      <c r="J6242" s="365">
        <f t="shared" si="298"/>
        <v>0</v>
      </c>
      <c r="K6242" s="369">
        <f t="shared" si="299"/>
        <v>6</v>
      </c>
      <c r="L6242" s="369">
        <f>+IF((C6242&gt;='Resultats - informe'!$E$16)*(C6242&lt;='Resultats - informe'!$G$16),1,0)</f>
        <v>1</v>
      </c>
      <c r="M6242" s="369" cm="1">
        <f t="array" ref="M6242">+_xlfn.IFS((C6242&gt;='Resultats - informe'!$D$26)*(C6242&lt;='Resultats - informe'!$E$26),0,(C6242&gt;='Resultats - informe'!$D$27)*(C6242&lt;='Resultats - informe'!$E$27),0,(C6242&gt;='Resultats - informe'!$D$28)*(C6242&lt;='Resultats - informe'!$E$28),0,(C6242&gt;='Resultats - informe'!$D$29)*(C6242&lt;='Resultats - informe'!$E$29),0,1,1)</f>
        <v>0</v>
      </c>
      <c r="N6242" s="366">
        <f>+VLOOKUP(D6242,'Resultats - informe'!$Y$18:$AG$42,'Introducció dades consum'!K6242+1,0)</f>
        <v>0</v>
      </c>
      <c r="O6242" s="370" cm="1">
        <f t="array" ref="O6242">+_xlfn.SWITCH(MONTH(C6242),1,1,2,1,3,1,4,2,5,2,6,3,7,3,8,3,9,3,10,2,11,2,12,1,2)</f>
        <v>1</v>
      </c>
      <c r="P6242" s="43"/>
    </row>
    <row r="6243" spans="1:16" ht="18" x14ac:dyDescent="0.35">
      <c r="A6243" s="9"/>
      <c r="C6243" s="393"/>
      <c r="E6243" s="394"/>
      <c r="F6243" s="394"/>
      <c r="G6243" s="394"/>
      <c r="I6243" s="368">
        <f t="shared" si="297"/>
        <v>0</v>
      </c>
      <c r="J6243" s="365">
        <f t="shared" si="298"/>
        <v>0</v>
      </c>
      <c r="K6243" s="369">
        <f t="shared" si="299"/>
        <v>6</v>
      </c>
      <c r="L6243" s="369">
        <f>+IF((C6243&gt;='Resultats - informe'!$E$16)*(C6243&lt;='Resultats - informe'!$G$16),1,0)</f>
        <v>1</v>
      </c>
      <c r="M6243" s="369" cm="1">
        <f t="array" ref="M6243">+_xlfn.IFS((C6243&gt;='Resultats - informe'!$D$26)*(C6243&lt;='Resultats - informe'!$E$26),0,(C6243&gt;='Resultats - informe'!$D$27)*(C6243&lt;='Resultats - informe'!$E$27),0,(C6243&gt;='Resultats - informe'!$D$28)*(C6243&lt;='Resultats - informe'!$E$28),0,(C6243&gt;='Resultats - informe'!$D$29)*(C6243&lt;='Resultats - informe'!$E$29),0,1,1)</f>
        <v>0</v>
      </c>
      <c r="N6243" s="366">
        <f>+VLOOKUP(D6243,'Resultats - informe'!$Y$18:$AG$42,'Introducció dades consum'!K6243+1,0)</f>
        <v>0</v>
      </c>
      <c r="O6243" s="370" cm="1">
        <f t="array" ref="O6243">+_xlfn.SWITCH(MONTH(C6243),1,1,2,1,3,1,4,2,5,2,6,3,7,3,8,3,9,3,10,2,11,2,12,1,2)</f>
        <v>1</v>
      </c>
      <c r="P6243" s="43"/>
    </row>
    <row r="6244" spans="1:16" ht="18" x14ac:dyDescent="0.35">
      <c r="A6244" s="9"/>
      <c r="C6244" s="393"/>
      <c r="E6244" s="394"/>
      <c r="F6244" s="394"/>
      <c r="G6244" s="394"/>
      <c r="I6244" s="368">
        <f t="shared" si="297"/>
        <v>0</v>
      </c>
      <c r="J6244" s="365">
        <f t="shared" si="298"/>
        <v>0</v>
      </c>
      <c r="K6244" s="369">
        <f t="shared" si="299"/>
        <v>6</v>
      </c>
      <c r="L6244" s="369">
        <f>+IF((C6244&gt;='Resultats - informe'!$E$16)*(C6244&lt;='Resultats - informe'!$G$16),1,0)</f>
        <v>1</v>
      </c>
      <c r="M6244" s="369" cm="1">
        <f t="array" ref="M6244">+_xlfn.IFS((C6244&gt;='Resultats - informe'!$D$26)*(C6244&lt;='Resultats - informe'!$E$26),0,(C6244&gt;='Resultats - informe'!$D$27)*(C6244&lt;='Resultats - informe'!$E$27),0,(C6244&gt;='Resultats - informe'!$D$28)*(C6244&lt;='Resultats - informe'!$E$28),0,(C6244&gt;='Resultats - informe'!$D$29)*(C6244&lt;='Resultats - informe'!$E$29),0,1,1)</f>
        <v>0</v>
      </c>
      <c r="N6244" s="366">
        <f>+VLOOKUP(D6244,'Resultats - informe'!$Y$18:$AG$42,'Introducció dades consum'!K6244+1,0)</f>
        <v>0</v>
      </c>
      <c r="O6244" s="370" cm="1">
        <f t="array" ref="O6244">+_xlfn.SWITCH(MONTH(C6244),1,1,2,1,3,1,4,2,5,2,6,3,7,3,8,3,9,3,10,2,11,2,12,1,2)</f>
        <v>1</v>
      </c>
      <c r="P6244" s="43"/>
    </row>
    <row r="6245" spans="1:16" ht="18" x14ac:dyDescent="0.35">
      <c r="A6245" s="9"/>
      <c r="C6245" s="393"/>
      <c r="E6245" s="394"/>
      <c r="F6245" s="394"/>
      <c r="G6245" s="394"/>
      <c r="I6245" s="368">
        <f t="shared" si="297"/>
        <v>0</v>
      </c>
      <c r="J6245" s="365">
        <f t="shared" si="298"/>
        <v>0</v>
      </c>
      <c r="K6245" s="369">
        <f t="shared" si="299"/>
        <v>6</v>
      </c>
      <c r="L6245" s="369">
        <f>+IF((C6245&gt;='Resultats - informe'!$E$16)*(C6245&lt;='Resultats - informe'!$G$16),1,0)</f>
        <v>1</v>
      </c>
      <c r="M6245" s="369" cm="1">
        <f t="array" ref="M6245">+_xlfn.IFS((C6245&gt;='Resultats - informe'!$D$26)*(C6245&lt;='Resultats - informe'!$E$26),0,(C6245&gt;='Resultats - informe'!$D$27)*(C6245&lt;='Resultats - informe'!$E$27),0,(C6245&gt;='Resultats - informe'!$D$28)*(C6245&lt;='Resultats - informe'!$E$28),0,(C6245&gt;='Resultats - informe'!$D$29)*(C6245&lt;='Resultats - informe'!$E$29),0,1,1)</f>
        <v>0</v>
      </c>
      <c r="N6245" s="366">
        <f>+VLOOKUP(D6245,'Resultats - informe'!$Y$18:$AG$42,'Introducció dades consum'!K6245+1,0)</f>
        <v>0</v>
      </c>
      <c r="O6245" s="370" cm="1">
        <f t="array" ref="O6245">+_xlfn.SWITCH(MONTH(C6245),1,1,2,1,3,1,4,2,5,2,6,3,7,3,8,3,9,3,10,2,11,2,12,1,2)</f>
        <v>1</v>
      </c>
      <c r="P6245" s="43"/>
    </row>
    <row r="6246" spans="1:16" ht="18" x14ac:dyDescent="0.35">
      <c r="A6246" s="9"/>
      <c r="C6246" s="393"/>
      <c r="E6246" s="394"/>
      <c r="F6246" s="394"/>
      <c r="G6246" s="394"/>
      <c r="I6246" s="368">
        <f t="shared" si="297"/>
        <v>0</v>
      </c>
      <c r="J6246" s="365">
        <f t="shared" si="298"/>
        <v>0</v>
      </c>
      <c r="K6246" s="369">
        <f t="shared" si="299"/>
        <v>6</v>
      </c>
      <c r="L6246" s="369">
        <f>+IF((C6246&gt;='Resultats - informe'!$E$16)*(C6246&lt;='Resultats - informe'!$G$16),1,0)</f>
        <v>1</v>
      </c>
      <c r="M6246" s="369" cm="1">
        <f t="array" ref="M6246">+_xlfn.IFS((C6246&gt;='Resultats - informe'!$D$26)*(C6246&lt;='Resultats - informe'!$E$26),0,(C6246&gt;='Resultats - informe'!$D$27)*(C6246&lt;='Resultats - informe'!$E$27),0,(C6246&gt;='Resultats - informe'!$D$28)*(C6246&lt;='Resultats - informe'!$E$28),0,(C6246&gt;='Resultats - informe'!$D$29)*(C6246&lt;='Resultats - informe'!$E$29),0,1,1)</f>
        <v>0</v>
      </c>
      <c r="N6246" s="366">
        <f>+VLOOKUP(D6246,'Resultats - informe'!$Y$18:$AG$42,'Introducció dades consum'!K6246+1,0)</f>
        <v>0</v>
      </c>
      <c r="O6246" s="370" cm="1">
        <f t="array" ref="O6246">+_xlfn.SWITCH(MONTH(C6246),1,1,2,1,3,1,4,2,5,2,6,3,7,3,8,3,9,3,10,2,11,2,12,1,2)</f>
        <v>1</v>
      </c>
      <c r="P6246" s="43"/>
    </row>
    <row r="6247" spans="1:16" ht="18" x14ac:dyDescent="0.35">
      <c r="A6247" s="9"/>
      <c r="C6247" s="393"/>
      <c r="E6247" s="394"/>
      <c r="F6247" s="394"/>
      <c r="G6247" s="394"/>
      <c r="I6247" s="368">
        <f t="shared" si="297"/>
        <v>0</v>
      </c>
      <c r="J6247" s="365">
        <f t="shared" si="298"/>
        <v>0</v>
      </c>
      <c r="K6247" s="369">
        <f t="shared" si="299"/>
        <v>6</v>
      </c>
      <c r="L6247" s="369">
        <f>+IF((C6247&gt;='Resultats - informe'!$E$16)*(C6247&lt;='Resultats - informe'!$G$16),1,0)</f>
        <v>1</v>
      </c>
      <c r="M6247" s="369" cm="1">
        <f t="array" ref="M6247">+_xlfn.IFS((C6247&gt;='Resultats - informe'!$D$26)*(C6247&lt;='Resultats - informe'!$E$26),0,(C6247&gt;='Resultats - informe'!$D$27)*(C6247&lt;='Resultats - informe'!$E$27),0,(C6247&gt;='Resultats - informe'!$D$28)*(C6247&lt;='Resultats - informe'!$E$28),0,(C6247&gt;='Resultats - informe'!$D$29)*(C6247&lt;='Resultats - informe'!$E$29),0,1,1)</f>
        <v>0</v>
      </c>
      <c r="N6247" s="366">
        <f>+VLOOKUP(D6247,'Resultats - informe'!$Y$18:$AG$42,'Introducció dades consum'!K6247+1,0)</f>
        <v>0</v>
      </c>
      <c r="O6247" s="370" cm="1">
        <f t="array" ref="O6247">+_xlfn.SWITCH(MONTH(C6247),1,1,2,1,3,1,4,2,5,2,6,3,7,3,8,3,9,3,10,2,11,2,12,1,2)</f>
        <v>1</v>
      </c>
      <c r="P6247" s="43"/>
    </row>
    <row r="6248" spans="1:16" ht="18" x14ac:dyDescent="0.35">
      <c r="A6248" s="9"/>
      <c r="C6248" s="393"/>
      <c r="E6248" s="394"/>
      <c r="F6248" s="394"/>
      <c r="G6248" s="394"/>
      <c r="I6248" s="368">
        <f t="shared" si="297"/>
        <v>0</v>
      </c>
      <c r="J6248" s="365">
        <f t="shared" si="298"/>
        <v>0</v>
      </c>
      <c r="K6248" s="369">
        <f t="shared" si="299"/>
        <v>6</v>
      </c>
      <c r="L6248" s="369">
        <f>+IF((C6248&gt;='Resultats - informe'!$E$16)*(C6248&lt;='Resultats - informe'!$G$16),1,0)</f>
        <v>1</v>
      </c>
      <c r="M6248" s="369" cm="1">
        <f t="array" ref="M6248">+_xlfn.IFS((C6248&gt;='Resultats - informe'!$D$26)*(C6248&lt;='Resultats - informe'!$E$26),0,(C6248&gt;='Resultats - informe'!$D$27)*(C6248&lt;='Resultats - informe'!$E$27),0,(C6248&gt;='Resultats - informe'!$D$28)*(C6248&lt;='Resultats - informe'!$E$28),0,(C6248&gt;='Resultats - informe'!$D$29)*(C6248&lt;='Resultats - informe'!$E$29),0,1,1)</f>
        <v>0</v>
      </c>
      <c r="N6248" s="366">
        <f>+VLOOKUP(D6248,'Resultats - informe'!$Y$18:$AG$42,'Introducció dades consum'!K6248+1,0)</f>
        <v>0</v>
      </c>
      <c r="O6248" s="370" cm="1">
        <f t="array" ref="O6248">+_xlfn.SWITCH(MONTH(C6248),1,1,2,1,3,1,4,2,5,2,6,3,7,3,8,3,9,3,10,2,11,2,12,1,2)</f>
        <v>1</v>
      </c>
      <c r="P6248" s="43"/>
    </row>
    <row r="6249" spans="1:16" ht="18" x14ac:dyDescent="0.35">
      <c r="A6249" s="9"/>
      <c r="C6249" s="393"/>
      <c r="E6249" s="394"/>
      <c r="F6249" s="394"/>
      <c r="G6249" s="394"/>
      <c r="I6249" s="368">
        <f t="shared" si="297"/>
        <v>0</v>
      </c>
      <c r="J6249" s="365">
        <f t="shared" si="298"/>
        <v>0</v>
      </c>
      <c r="K6249" s="369">
        <f t="shared" si="299"/>
        <v>6</v>
      </c>
      <c r="L6249" s="369">
        <f>+IF((C6249&gt;='Resultats - informe'!$E$16)*(C6249&lt;='Resultats - informe'!$G$16),1,0)</f>
        <v>1</v>
      </c>
      <c r="M6249" s="369" cm="1">
        <f t="array" ref="M6249">+_xlfn.IFS((C6249&gt;='Resultats - informe'!$D$26)*(C6249&lt;='Resultats - informe'!$E$26),0,(C6249&gt;='Resultats - informe'!$D$27)*(C6249&lt;='Resultats - informe'!$E$27),0,(C6249&gt;='Resultats - informe'!$D$28)*(C6249&lt;='Resultats - informe'!$E$28),0,(C6249&gt;='Resultats - informe'!$D$29)*(C6249&lt;='Resultats - informe'!$E$29),0,1,1)</f>
        <v>0</v>
      </c>
      <c r="N6249" s="366">
        <f>+VLOOKUP(D6249,'Resultats - informe'!$Y$18:$AG$42,'Introducció dades consum'!K6249+1,0)</f>
        <v>0</v>
      </c>
      <c r="O6249" s="370" cm="1">
        <f t="array" ref="O6249">+_xlfn.SWITCH(MONTH(C6249),1,1,2,1,3,1,4,2,5,2,6,3,7,3,8,3,9,3,10,2,11,2,12,1,2)</f>
        <v>1</v>
      </c>
      <c r="P6249" s="43"/>
    </row>
    <row r="6250" spans="1:16" ht="18" x14ac:dyDescent="0.35">
      <c r="A6250" s="9"/>
      <c r="C6250" s="393"/>
      <c r="E6250" s="394"/>
      <c r="F6250" s="394"/>
      <c r="G6250" s="394"/>
      <c r="I6250" s="368">
        <f t="shared" si="297"/>
        <v>0</v>
      </c>
      <c r="J6250" s="365">
        <f t="shared" si="298"/>
        <v>0</v>
      </c>
      <c r="K6250" s="369">
        <f t="shared" si="299"/>
        <v>6</v>
      </c>
      <c r="L6250" s="369">
        <f>+IF((C6250&gt;='Resultats - informe'!$E$16)*(C6250&lt;='Resultats - informe'!$G$16),1,0)</f>
        <v>1</v>
      </c>
      <c r="M6250" s="369" cm="1">
        <f t="array" ref="M6250">+_xlfn.IFS((C6250&gt;='Resultats - informe'!$D$26)*(C6250&lt;='Resultats - informe'!$E$26),0,(C6250&gt;='Resultats - informe'!$D$27)*(C6250&lt;='Resultats - informe'!$E$27),0,(C6250&gt;='Resultats - informe'!$D$28)*(C6250&lt;='Resultats - informe'!$E$28),0,(C6250&gt;='Resultats - informe'!$D$29)*(C6250&lt;='Resultats - informe'!$E$29),0,1,1)</f>
        <v>0</v>
      </c>
      <c r="N6250" s="366">
        <f>+VLOOKUP(D6250,'Resultats - informe'!$Y$18:$AG$42,'Introducció dades consum'!K6250+1,0)</f>
        <v>0</v>
      </c>
      <c r="O6250" s="370" cm="1">
        <f t="array" ref="O6250">+_xlfn.SWITCH(MONTH(C6250),1,1,2,1,3,1,4,2,5,2,6,3,7,3,8,3,9,3,10,2,11,2,12,1,2)</f>
        <v>1</v>
      </c>
      <c r="P6250" s="43"/>
    </row>
    <row r="6251" spans="1:16" ht="18" x14ac:dyDescent="0.35">
      <c r="A6251" s="9"/>
      <c r="C6251" s="393"/>
      <c r="E6251" s="394"/>
      <c r="F6251" s="394"/>
      <c r="G6251" s="394"/>
      <c r="I6251" s="368">
        <f t="shared" si="297"/>
        <v>0</v>
      </c>
      <c r="J6251" s="365">
        <f t="shared" si="298"/>
        <v>0</v>
      </c>
      <c r="K6251" s="369">
        <f t="shared" si="299"/>
        <v>6</v>
      </c>
      <c r="L6251" s="369">
        <f>+IF((C6251&gt;='Resultats - informe'!$E$16)*(C6251&lt;='Resultats - informe'!$G$16),1,0)</f>
        <v>1</v>
      </c>
      <c r="M6251" s="369" cm="1">
        <f t="array" ref="M6251">+_xlfn.IFS((C6251&gt;='Resultats - informe'!$D$26)*(C6251&lt;='Resultats - informe'!$E$26),0,(C6251&gt;='Resultats - informe'!$D$27)*(C6251&lt;='Resultats - informe'!$E$27),0,(C6251&gt;='Resultats - informe'!$D$28)*(C6251&lt;='Resultats - informe'!$E$28),0,(C6251&gt;='Resultats - informe'!$D$29)*(C6251&lt;='Resultats - informe'!$E$29),0,1,1)</f>
        <v>0</v>
      </c>
      <c r="N6251" s="366">
        <f>+VLOOKUP(D6251,'Resultats - informe'!$Y$18:$AG$42,'Introducció dades consum'!K6251+1,0)</f>
        <v>0</v>
      </c>
      <c r="O6251" s="370" cm="1">
        <f t="array" ref="O6251">+_xlfn.SWITCH(MONTH(C6251),1,1,2,1,3,1,4,2,5,2,6,3,7,3,8,3,9,3,10,2,11,2,12,1,2)</f>
        <v>1</v>
      </c>
      <c r="P6251" s="43"/>
    </row>
    <row r="6252" spans="1:16" ht="18" x14ac:dyDescent="0.35">
      <c r="A6252" s="9"/>
      <c r="C6252" s="393"/>
      <c r="E6252" s="394"/>
      <c r="F6252" s="394"/>
      <c r="G6252" s="394"/>
      <c r="I6252" s="368">
        <f t="shared" si="297"/>
        <v>0</v>
      </c>
      <c r="J6252" s="365">
        <f t="shared" si="298"/>
        <v>0</v>
      </c>
      <c r="K6252" s="369">
        <f t="shared" si="299"/>
        <v>6</v>
      </c>
      <c r="L6252" s="369">
        <f>+IF((C6252&gt;='Resultats - informe'!$E$16)*(C6252&lt;='Resultats - informe'!$G$16),1,0)</f>
        <v>1</v>
      </c>
      <c r="M6252" s="369" cm="1">
        <f t="array" ref="M6252">+_xlfn.IFS((C6252&gt;='Resultats - informe'!$D$26)*(C6252&lt;='Resultats - informe'!$E$26),0,(C6252&gt;='Resultats - informe'!$D$27)*(C6252&lt;='Resultats - informe'!$E$27),0,(C6252&gt;='Resultats - informe'!$D$28)*(C6252&lt;='Resultats - informe'!$E$28),0,(C6252&gt;='Resultats - informe'!$D$29)*(C6252&lt;='Resultats - informe'!$E$29),0,1,1)</f>
        <v>0</v>
      </c>
      <c r="N6252" s="366">
        <f>+VLOOKUP(D6252,'Resultats - informe'!$Y$18:$AG$42,'Introducció dades consum'!K6252+1,0)</f>
        <v>0</v>
      </c>
      <c r="O6252" s="370" cm="1">
        <f t="array" ref="O6252">+_xlfn.SWITCH(MONTH(C6252),1,1,2,1,3,1,4,2,5,2,6,3,7,3,8,3,9,3,10,2,11,2,12,1,2)</f>
        <v>1</v>
      </c>
      <c r="P6252" s="43"/>
    </row>
    <row r="6253" spans="1:16" ht="18" x14ac:dyDescent="0.35">
      <c r="A6253" s="9"/>
      <c r="C6253" s="393"/>
      <c r="E6253" s="394"/>
      <c r="F6253" s="394"/>
      <c r="G6253" s="394"/>
      <c r="I6253" s="368">
        <f t="shared" si="297"/>
        <v>0</v>
      </c>
      <c r="J6253" s="365">
        <f t="shared" si="298"/>
        <v>0</v>
      </c>
      <c r="K6253" s="369">
        <f t="shared" si="299"/>
        <v>6</v>
      </c>
      <c r="L6253" s="369">
        <f>+IF((C6253&gt;='Resultats - informe'!$E$16)*(C6253&lt;='Resultats - informe'!$G$16),1,0)</f>
        <v>1</v>
      </c>
      <c r="M6253" s="369" cm="1">
        <f t="array" ref="M6253">+_xlfn.IFS((C6253&gt;='Resultats - informe'!$D$26)*(C6253&lt;='Resultats - informe'!$E$26),0,(C6253&gt;='Resultats - informe'!$D$27)*(C6253&lt;='Resultats - informe'!$E$27),0,(C6253&gt;='Resultats - informe'!$D$28)*(C6253&lt;='Resultats - informe'!$E$28),0,(C6253&gt;='Resultats - informe'!$D$29)*(C6253&lt;='Resultats - informe'!$E$29),0,1,1)</f>
        <v>0</v>
      </c>
      <c r="N6253" s="366">
        <f>+VLOOKUP(D6253,'Resultats - informe'!$Y$18:$AG$42,'Introducció dades consum'!K6253+1,0)</f>
        <v>0</v>
      </c>
      <c r="O6253" s="370" cm="1">
        <f t="array" ref="O6253">+_xlfn.SWITCH(MONTH(C6253),1,1,2,1,3,1,4,2,5,2,6,3,7,3,8,3,9,3,10,2,11,2,12,1,2)</f>
        <v>1</v>
      </c>
      <c r="P6253" s="43"/>
    </row>
    <row r="6254" spans="1:16" ht="18" x14ac:dyDescent="0.35">
      <c r="A6254" s="9"/>
      <c r="C6254" s="393"/>
      <c r="E6254" s="394"/>
      <c r="F6254" s="394"/>
      <c r="G6254" s="394"/>
      <c r="I6254" s="368">
        <f t="shared" si="297"/>
        <v>0</v>
      </c>
      <c r="J6254" s="365">
        <f t="shared" si="298"/>
        <v>0</v>
      </c>
      <c r="K6254" s="369">
        <f t="shared" si="299"/>
        <v>6</v>
      </c>
      <c r="L6254" s="369">
        <f>+IF((C6254&gt;='Resultats - informe'!$E$16)*(C6254&lt;='Resultats - informe'!$G$16),1,0)</f>
        <v>1</v>
      </c>
      <c r="M6254" s="369" cm="1">
        <f t="array" ref="M6254">+_xlfn.IFS((C6254&gt;='Resultats - informe'!$D$26)*(C6254&lt;='Resultats - informe'!$E$26),0,(C6254&gt;='Resultats - informe'!$D$27)*(C6254&lt;='Resultats - informe'!$E$27),0,(C6254&gt;='Resultats - informe'!$D$28)*(C6254&lt;='Resultats - informe'!$E$28),0,(C6254&gt;='Resultats - informe'!$D$29)*(C6254&lt;='Resultats - informe'!$E$29),0,1,1)</f>
        <v>0</v>
      </c>
      <c r="N6254" s="366">
        <f>+VLOOKUP(D6254,'Resultats - informe'!$Y$18:$AG$42,'Introducció dades consum'!K6254+1,0)</f>
        <v>0</v>
      </c>
      <c r="O6254" s="370" cm="1">
        <f t="array" ref="O6254">+_xlfn.SWITCH(MONTH(C6254),1,1,2,1,3,1,4,2,5,2,6,3,7,3,8,3,9,3,10,2,11,2,12,1,2)</f>
        <v>1</v>
      </c>
      <c r="P6254" s="43"/>
    </row>
    <row r="6255" spans="1:16" ht="18" x14ac:dyDescent="0.35">
      <c r="A6255" s="9"/>
      <c r="C6255" s="393"/>
      <c r="E6255" s="394"/>
      <c r="F6255" s="394"/>
      <c r="G6255" s="394"/>
      <c r="I6255" s="368">
        <f t="shared" si="297"/>
        <v>0</v>
      </c>
      <c r="J6255" s="365">
        <f t="shared" si="298"/>
        <v>0</v>
      </c>
      <c r="K6255" s="369">
        <f t="shared" si="299"/>
        <v>6</v>
      </c>
      <c r="L6255" s="369">
        <f>+IF((C6255&gt;='Resultats - informe'!$E$16)*(C6255&lt;='Resultats - informe'!$G$16),1,0)</f>
        <v>1</v>
      </c>
      <c r="M6255" s="369" cm="1">
        <f t="array" ref="M6255">+_xlfn.IFS((C6255&gt;='Resultats - informe'!$D$26)*(C6255&lt;='Resultats - informe'!$E$26),0,(C6255&gt;='Resultats - informe'!$D$27)*(C6255&lt;='Resultats - informe'!$E$27),0,(C6255&gt;='Resultats - informe'!$D$28)*(C6255&lt;='Resultats - informe'!$E$28),0,(C6255&gt;='Resultats - informe'!$D$29)*(C6255&lt;='Resultats - informe'!$E$29),0,1,1)</f>
        <v>0</v>
      </c>
      <c r="N6255" s="366">
        <f>+VLOOKUP(D6255,'Resultats - informe'!$Y$18:$AG$42,'Introducció dades consum'!K6255+1,0)</f>
        <v>0</v>
      </c>
      <c r="O6255" s="370" cm="1">
        <f t="array" ref="O6255">+_xlfn.SWITCH(MONTH(C6255),1,1,2,1,3,1,4,2,5,2,6,3,7,3,8,3,9,3,10,2,11,2,12,1,2)</f>
        <v>1</v>
      </c>
      <c r="P6255" s="43"/>
    </row>
    <row r="6256" spans="1:16" ht="18" x14ac:dyDescent="0.35">
      <c r="A6256" s="9"/>
      <c r="C6256" s="393"/>
      <c r="E6256" s="394"/>
      <c r="F6256" s="394"/>
      <c r="G6256" s="394"/>
      <c r="I6256" s="368">
        <f t="shared" si="297"/>
        <v>0</v>
      </c>
      <c r="J6256" s="365">
        <f t="shared" si="298"/>
        <v>0</v>
      </c>
      <c r="K6256" s="369">
        <f t="shared" si="299"/>
        <v>6</v>
      </c>
      <c r="L6256" s="369">
        <f>+IF((C6256&gt;='Resultats - informe'!$E$16)*(C6256&lt;='Resultats - informe'!$G$16),1,0)</f>
        <v>1</v>
      </c>
      <c r="M6256" s="369" cm="1">
        <f t="array" ref="M6256">+_xlfn.IFS((C6256&gt;='Resultats - informe'!$D$26)*(C6256&lt;='Resultats - informe'!$E$26),0,(C6256&gt;='Resultats - informe'!$D$27)*(C6256&lt;='Resultats - informe'!$E$27),0,(C6256&gt;='Resultats - informe'!$D$28)*(C6256&lt;='Resultats - informe'!$E$28),0,(C6256&gt;='Resultats - informe'!$D$29)*(C6256&lt;='Resultats - informe'!$E$29),0,1,1)</f>
        <v>0</v>
      </c>
      <c r="N6256" s="366">
        <f>+VLOOKUP(D6256,'Resultats - informe'!$Y$18:$AG$42,'Introducció dades consum'!K6256+1,0)</f>
        <v>0</v>
      </c>
      <c r="O6256" s="370" cm="1">
        <f t="array" ref="O6256">+_xlfn.SWITCH(MONTH(C6256),1,1,2,1,3,1,4,2,5,2,6,3,7,3,8,3,9,3,10,2,11,2,12,1,2)</f>
        <v>1</v>
      </c>
      <c r="P6256" s="43"/>
    </row>
    <row r="6257" spans="1:16" ht="18" x14ac:dyDescent="0.35">
      <c r="A6257" s="9"/>
      <c r="C6257" s="393"/>
      <c r="E6257" s="394"/>
      <c r="F6257" s="394"/>
      <c r="G6257" s="394"/>
      <c r="I6257" s="368">
        <f t="shared" si="297"/>
        <v>0</v>
      </c>
      <c r="J6257" s="365">
        <f t="shared" si="298"/>
        <v>0</v>
      </c>
      <c r="K6257" s="369">
        <f t="shared" si="299"/>
        <v>6</v>
      </c>
      <c r="L6257" s="369">
        <f>+IF((C6257&gt;='Resultats - informe'!$E$16)*(C6257&lt;='Resultats - informe'!$G$16),1,0)</f>
        <v>1</v>
      </c>
      <c r="M6257" s="369" cm="1">
        <f t="array" ref="M6257">+_xlfn.IFS((C6257&gt;='Resultats - informe'!$D$26)*(C6257&lt;='Resultats - informe'!$E$26),0,(C6257&gt;='Resultats - informe'!$D$27)*(C6257&lt;='Resultats - informe'!$E$27),0,(C6257&gt;='Resultats - informe'!$D$28)*(C6257&lt;='Resultats - informe'!$E$28),0,(C6257&gt;='Resultats - informe'!$D$29)*(C6257&lt;='Resultats - informe'!$E$29),0,1,1)</f>
        <v>0</v>
      </c>
      <c r="N6257" s="366">
        <f>+VLOOKUP(D6257,'Resultats - informe'!$Y$18:$AG$42,'Introducció dades consum'!K6257+1,0)</f>
        <v>0</v>
      </c>
      <c r="O6257" s="370" cm="1">
        <f t="array" ref="O6257">+_xlfn.SWITCH(MONTH(C6257),1,1,2,1,3,1,4,2,5,2,6,3,7,3,8,3,9,3,10,2,11,2,12,1,2)</f>
        <v>1</v>
      </c>
      <c r="P6257" s="43"/>
    </row>
    <row r="6258" spans="1:16" ht="18" x14ac:dyDescent="0.35">
      <c r="A6258" s="9"/>
      <c r="C6258" s="393"/>
      <c r="E6258" s="394"/>
      <c r="F6258" s="394"/>
      <c r="G6258" s="394"/>
      <c r="I6258" s="368">
        <f t="shared" si="297"/>
        <v>0</v>
      </c>
      <c r="J6258" s="365">
        <f t="shared" si="298"/>
        <v>0</v>
      </c>
      <c r="K6258" s="369">
        <f t="shared" si="299"/>
        <v>6</v>
      </c>
      <c r="L6258" s="369">
        <f>+IF((C6258&gt;='Resultats - informe'!$E$16)*(C6258&lt;='Resultats - informe'!$G$16),1,0)</f>
        <v>1</v>
      </c>
      <c r="M6258" s="369" cm="1">
        <f t="array" ref="M6258">+_xlfn.IFS((C6258&gt;='Resultats - informe'!$D$26)*(C6258&lt;='Resultats - informe'!$E$26),0,(C6258&gt;='Resultats - informe'!$D$27)*(C6258&lt;='Resultats - informe'!$E$27),0,(C6258&gt;='Resultats - informe'!$D$28)*(C6258&lt;='Resultats - informe'!$E$28),0,(C6258&gt;='Resultats - informe'!$D$29)*(C6258&lt;='Resultats - informe'!$E$29),0,1,1)</f>
        <v>0</v>
      </c>
      <c r="N6258" s="366">
        <f>+VLOOKUP(D6258,'Resultats - informe'!$Y$18:$AG$42,'Introducció dades consum'!K6258+1,0)</f>
        <v>0</v>
      </c>
      <c r="O6258" s="370" cm="1">
        <f t="array" ref="O6258">+_xlfn.SWITCH(MONTH(C6258),1,1,2,1,3,1,4,2,5,2,6,3,7,3,8,3,9,3,10,2,11,2,12,1,2)</f>
        <v>1</v>
      </c>
      <c r="P6258" s="43"/>
    </row>
    <row r="6259" spans="1:16" ht="18" x14ac:dyDescent="0.35">
      <c r="A6259" s="9"/>
      <c r="C6259" s="393"/>
      <c r="E6259" s="394"/>
      <c r="F6259" s="394"/>
      <c r="G6259" s="394"/>
      <c r="I6259" s="368">
        <f t="shared" si="297"/>
        <v>0</v>
      </c>
      <c r="J6259" s="365">
        <f t="shared" si="298"/>
        <v>0</v>
      </c>
      <c r="K6259" s="369">
        <f t="shared" si="299"/>
        <v>6</v>
      </c>
      <c r="L6259" s="369">
        <f>+IF((C6259&gt;='Resultats - informe'!$E$16)*(C6259&lt;='Resultats - informe'!$G$16),1,0)</f>
        <v>1</v>
      </c>
      <c r="M6259" s="369" cm="1">
        <f t="array" ref="M6259">+_xlfn.IFS((C6259&gt;='Resultats - informe'!$D$26)*(C6259&lt;='Resultats - informe'!$E$26),0,(C6259&gt;='Resultats - informe'!$D$27)*(C6259&lt;='Resultats - informe'!$E$27),0,(C6259&gt;='Resultats - informe'!$D$28)*(C6259&lt;='Resultats - informe'!$E$28),0,(C6259&gt;='Resultats - informe'!$D$29)*(C6259&lt;='Resultats - informe'!$E$29),0,1,1)</f>
        <v>0</v>
      </c>
      <c r="N6259" s="366">
        <f>+VLOOKUP(D6259,'Resultats - informe'!$Y$18:$AG$42,'Introducció dades consum'!K6259+1,0)</f>
        <v>0</v>
      </c>
      <c r="O6259" s="370" cm="1">
        <f t="array" ref="O6259">+_xlfn.SWITCH(MONTH(C6259),1,1,2,1,3,1,4,2,5,2,6,3,7,3,8,3,9,3,10,2,11,2,12,1,2)</f>
        <v>1</v>
      </c>
      <c r="P6259" s="43"/>
    </row>
    <row r="6260" spans="1:16" ht="18" x14ac:dyDescent="0.35">
      <c r="A6260" s="9"/>
      <c r="C6260" s="393"/>
      <c r="E6260" s="394"/>
      <c r="F6260" s="394"/>
      <c r="G6260" s="394"/>
      <c r="I6260" s="368">
        <f t="shared" si="297"/>
        <v>0</v>
      </c>
      <c r="J6260" s="365">
        <f t="shared" si="298"/>
        <v>0</v>
      </c>
      <c r="K6260" s="369">
        <f t="shared" si="299"/>
        <v>6</v>
      </c>
      <c r="L6260" s="369">
        <f>+IF((C6260&gt;='Resultats - informe'!$E$16)*(C6260&lt;='Resultats - informe'!$G$16),1,0)</f>
        <v>1</v>
      </c>
      <c r="M6260" s="369" cm="1">
        <f t="array" ref="M6260">+_xlfn.IFS((C6260&gt;='Resultats - informe'!$D$26)*(C6260&lt;='Resultats - informe'!$E$26),0,(C6260&gt;='Resultats - informe'!$D$27)*(C6260&lt;='Resultats - informe'!$E$27),0,(C6260&gt;='Resultats - informe'!$D$28)*(C6260&lt;='Resultats - informe'!$E$28),0,(C6260&gt;='Resultats - informe'!$D$29)*(C6260&lt;='Resultats - informe'!$E$29),0,1,1)</f>
        <v>0</v>
      </c>
      <c r="N6260" s="366">
        <f>+VLOOKUP(D6260,'Resultats - informe'!$Y$18:$AG$42,'Introducció dades consum'!K6260+1,0)</f>
        <v>0</v>
      </c>
      <c r="O6260" s="370" cm="1">
        <f t="array" ref="O6260">+_xlfn.SWITCH(MONTH(C6260),1,1,2,1,3,1,4,2,5,2,6,3,7,3,8,3,9,3,10,2,11,2,12,1,2)</f>
        <v>1</v>
      </c>
      <c r="P6260" s="43"/>
    </row>
    <row r="6261" spans="1:16" ht="18" x14ac:dyDescent="0.35">
      <c r="A6261" s="9"/>
      <c r="C6261" s="393"/>
      <c r="E6261" s="394"/>
      <c r="F6261" s="394"/>
      <c r="G6261" s="394"/>
      <c r="I6261" s="368">
        <f t="shared" si="297"/>
        <v>0</v>
      </c>
      <c r="J6261" s="365">
        <f t="shared" si="298"/>
        <v>0</v>
      </c>
      <c r="K6261" s="369">
        <f t="shared" si="299"/>
        <v>6</v>
      </c>
      <c r="L6261" s="369">
        <f>+IF((C6261&gt;='Resultats - informe'!$E$16)*(C6261&lt;='Resultats - informe'!$G$16),1,0)</f>
        <v>1</v>
      </c>
      <c r="M6261" s="369" cm="1">
        <f t="array" ref="M6261">+_xlfn.IFS((C6261&gt;='Resultats - informe'!$D$26)*(C6261&lt;='Resultats - informe'!$E$26),0,(C6261&gt;='Resultats - informe'!$D$27)*(C6261&lt;='Resultats - informe'!$E$27),0,(C6261&gt;='Resultats - informe'!$D$28)*(C6261&lt;='Resultats - informe'!$E$28),0,(C6261&gt;='Resultats - informe'!$D$29)*(C6261&lt;='Resultats - informe'!$E$29),0,1,1)</f>
        <v>0</v>
      </c>
      <c r="N6261" s="366">
        <f>+VLOOKUP(D6261,'Resultats - informe'!$Y$18:$AG$42,'Introducció dades consum'!K6261+1,0)</f>
        <v>0</v>
      </c>
      <c r="O6261" s="370" cm="1">
        <f t="array" ref="O6261">+_xlfn.SWITCH(MONTH(C6261),1,1,2,1,3,1,4,2,5,2,6,3,7,3,8,3,9,3,10,2,11,2,12,1,2)</f>
        <v>1</v>
      </c>
      <c r="P6261" s="43"/>
    </row>
    <row r="6262" spans="1:16" ht="18" x14ac:dyDescent="0.35">
      <c r="A6262" s="9"/>
      <c r="C6262" s="393"/>
      <c r="E6262" s="394"/>
      <c r="F6262" s="394"/>
      <c r="G6262" s="394"/>
      <c r="I6262" s="368">
        <f t="shared" si="297"/>
        <v>0</v>
      </c>
      <c r="J6262" s="365">
        <f t="shared" si="298"/>
        <v>0</v>
      </c>
      <c r="K6262" s="369">
        <f t="shared" si="299"/>
        <v>6</v>
      </c>
      <c r="L6262" s="369">
        <f>+IF((C6262&gt;='Resultats - informe'!$E$16)*(C6262&lt;='Resultats - informe'!$G$16),1,0)</f>
        <v>1</v>
      </c>
      <c r="M6262" s="369" cm="1">
        <f t="array" ref="M6262">+_xlfn.IFS((C6262&gt;='Resultats - informe'!$D$26)*(C6262&lt;='Resultats - informe'!$E$26),0,(C6262&gt;='Resultats - informe'!$D$27)*(C6262&lt;='Resultats - informe'!$E$27),0,(C6262&gt;='Resultats - informe'!$D$28)*(C6262&lt;='Resultats - informe'!$E$28),0,(C6262&gt;='Resultats - informe'!$D$29)*(C6262&lt;='Resultats - informe'!$E$29),0,1,1)</f>
        <v>0</v>
      </c>
      <c r="N6262" s="366">
        <f>+VLOOKUP(D6262,'Resultats - informe'!$Y$18:$AG$42,'Introducció dades consum'!K6262+1,0)</f>
        <v>0</v>
      </c>
      <c r="O6262" s="370" cm="1">
        <f t="array" ref="O6262">+_xlfn.SWITCH(MONTH(C6262),1,1,2,1,3,1,4,2,5,2,6,3,7,3,8,3,9,3,10,2,11,2,12,1,2)</f>
        <v>1</v>
      </c>
      <c r="P6262" s="43"/>
    </row>
    <row r="6263" spans="1:16" ht="18" x14ac:dyDescent="0.35">
      <c r="A6263" s="9"/>
      <c r="C6263" s="393"/>
      <c r="E6263" s="394"/>
      <c r="F6263" s="394"/>
      <c r="G6263" s="394"/>
      <c r="I6263" s="368">
        <f t="shared" si="297"/>
        <v>0</v>
      </c>
      <c r="J6263" s="365">
        <f t="shared" si="298"/>
        <v>0</v>
      </c>
      <c r="K6263" s="369">
        <f t="shared" si="299"/>
        <v>6</v>
      </c>
      <c r="L6263" s="369">
        <f>+IF((C6263&gt;='Resultats - informe'!$E$16)*(C6263&lt;='Resultats - informe'!$G$16),1,0)</f>
        <v>1</v>
      </c>
      <c r="M6263" s="369" cm="1">
        <f t="array" ref="M6263">+_xlfn.IFS((C6263&gt;='Resultats - informe'!$D$26)*(C6263&lt;='Resultats - informe'!$E$26),0,(C6263&gt;='Resultats - informe'!$D$27)*(C6263&lt;='Resultats - informe'!$E$27),0,(C6263&gt;='Resultats - informe'!$D$28)*(C6263&lt;='Resultats - informe'!$E$28),0,(C6263&gt;='Resultats - informe'!$D$29)*(C6263&lt;='Resultats - informe'!$E$29),0,1,1)</f>
        <v>0</v>
      </c>
      <c r="N6263" s="366">
        <f>+VLOOKUP(D6263,'Resultats - informe'!$Y$18:$AG$42,'Introducció dades consum'!K6263+1,0)</f>
        <v>0</v>
      </c>
      <c r="O6263" s="370" cm="1">
        <f t="array" ref="O6263">+_xlfn.SWITCH(MONTH(C6263),1,1,2,1,3,1,4,2,5,2,6,3,7,3,8,3,9,3,10,2,11,2,12,1,2)</f>
        <v>1</v>
      </c>
      <c r="P6263" s="43"/>
    </row>
    <row r="6264" spans="1:16" ht="18" x14ac:dyDescent="0.35">
      <c r="A6264" s="9"/>
      <c r="C6264" s="393"/>
      <c r="E6264" s="394"/>
      <c r="F6264" s="394"/>
      <c r="G6264" s="394"/>
      <c r="I6264" s="368">
        <f t="shared" si="297"/>
        <v>0</v>
      </c>
      <c r="J6264" s="365">
        <f t="shared" si="298"/>
        <v>0</v>
      </c>
      <c r="K6264" s="369">
        <f t="shared" si="299"/>
        <v>6</v>
      </c>
      <c r="L6264" s="369">
        <f>+IF((C6264&gt;='Resultats - informe'!$E$16)*(C6264&lt;='Resultats - informe'!$G$16),1,0)</f>
        <v>1</v>
      </c>
      <c r="M6264" s="369" cm="1">
        <f t="array" ref="M6264">+_xlfn.IFS((C6264&gt;='Resultats - informe'!$D$26)*(C6264&lt;='Resultats - informe'!$E$26),0,(C6264&gt;='Resultats - informe'!$D$27)*(C6264&lt;='Resultats - informe'!$E$27),0,(C6264&gt;='Resultats - informe'!$D$28)*(C6264&lt;='Resultats - informe'!$E$28),0,(C6264&gt;='Resultats - informe'!$D$29)*(C6264&lt;='Resultats - informe'!$E$29),0,1,1)</f>
        <v>0</v>
      </c>
      <c r="N6264" s="366">
        <f>+VLOOKUP(D6264,'Resultats - informe'!$Y$18:$AG$42,'Introducció dades consum'!K6264+1,0)</f>
        <v>0</v>
      </c>
      <c r="O6264" s="370" cm="1">
        <f t="array" ref="O6264">+_xlfn.SWITCH(MONTH(C6264),1,1,2,1,3,1,4,2,5,2,6,3,7,3,8,3,9,3,10,2,11,2,12,1,2)</f>
        <v>1</v>
      </c>
      <c r="P6264" s="43"/>
    </row>
    <row r="6265" spans="1:16" ht="18" x14ac:dyDescent="0.35">
      <c r="A6265" s="9"/>
      <c r="C6265" s="393"/>
      <c r="E6265" s="394"/>
      <c r="F6265" s="394"/>
      <c r="G6265" s="394"/>
      <c r="I6265" s="368">
        <f t="shared" si="297"/>
        <v>0</v>
      </c>
      <c r="J6265" s="365">
        <f t="shared" si="298"/>
        <v>0</v>
      </c>
      <c r="K6265" s="369">
        <f t="shared" si="299"/>
        <v>6</v>
      </c>
      <c r="L6265" s="369">
        <f>+IF((C6265&gt;='Resultats - informe'!$E$16)*(C6265&lt;='Resultats - informe'!$G$16),1,0)</f>
        <v>1</v>
      </c>
      <c r="M6265" s="369" cm="1">
        <f t="array" ref="M6265">+_xlfn.IFS((C6265&gt;='Resultats - informe'!$D$26)*(C6265&lt;='Resultats - informe'!$E$26),0,(C6265&gt;='Resultats - informe'!$D$27)*(C6265&lt;='Resultats - informe'!$E$27),0,(C6265&gt;='Resultats - informe'!$D$28)*(C6265&lt;='Resultats - informe'!$E$28),0,(C6265&gt;='Resultats - informe'!$D$29)*(C6265&lt;='Resultats - informe'!$E$29),0,1,1)</f>
        <v>0</v>
      </c>
      <c r="N6265" s="366">
        <f>+VLOOKUP(D6265,'Resultats - informe'!$Y$18:$AG$42,'Introducció dades consum'!K6265+1,0)</f>
        <v>0</v>
      </c>
      <c r="O6265" s="370" cm="1">
        <f t="array" ref="O6265">+_xlfn.SWITCH(MONTH(C6265),1,1,2,1,3,1,4,2,5,2,6,3,7,3,8,3,9,3,10,2,11,2,12,1,2)</f>
        <v>1</v>
      </c>
      <c r="P6265" s="43"/>
    </row>
    <row r="6266" spans="1:16" ht="18" x14ac:dyDescent="0.35">
      <c r="A6266" s="9"/>
      <c r="C6266" s="393"/>
      <c r="E6266" s="394"/>
      <c r="F6266" s="394"/>
      <c r="G6266" s="394"/>
      <c r="I6266" s="368">
        <f t="shared" si="297"/>
        <v>0</v>
      </c>
      <c r="J6266" s="365">
        <f t="shared" si="298"/>
        <v>0</v>
      </c>
      <c r="K6266" s="369">
        <f t="shared" si="299"/>
        <v>6</v>
      </c>
      <c r="L6266" s="369">
        <f>+IF((C6266&gt;='Resultats - informe'!$E$16)*(C6266&lt;='Resultats - informe'!$G$16),1,0)</f>
        <v>1</v>
      </c>
      <c r="M6266" s="369" cm="1">
        <f t="array" ref="M6266">+_xlfn.IFS((C6266&gt;='Resultats - informe'!$D$26)*(C6266&lt;='Resultats - informe'!$E$26),0,(C6266&gt;='Resultats - informe'!$D$27)*(C6266&lt;='Resultats - informe'!$E$27),0,(C6266&gt;='Resultats - informe'!$D$28)*(C6266&lt;='Resultats - informe'!$E$28),0,(C6266&gt;='Resultats - informe'!$D$29)*(C6266&lt;='Resultats - informe'!$E$29),0,1,1)</f>
        <v>0</v>
      </c>
      <c r="N6266" s="366">
        <f>+VLOOKUP(D6266,'Resultats - informe'!$Y$18:$AG$42,'Introducció dades consum'!K6266+1,0)</f>
        <v>0</v>
      </c>
      <c r="O6266" s="370" cm="1">
        <f t="array" ref="O6266">+_xlfn.SWITCH(MONTH(C6266),1,1,2,1,3,1,4,2,5,2,6,3,7,3,8,3,9,3,10,2,11,2,12,1,2)</f>
        <v>1</v>
      </c>
      <c r="P6266" s="43"/>
    </row>
    <row r="6267" spans="1:16" ht="18" x14ac:dyDescent="0.35">
      <c r="A6267" s="9"/>
      <c r="C6267" s="393"/>
      <c r="E6267" s="394"/>
      <c r="F6267" s="394"/>
      <c r="G6267" s="394"/>
      <c r="I6267" s="368">
        <f t="shared" si="297"/>
        <v>0</v>
      </c>
      <c r="J6267" s="365">
        <f t="shared" si="298"/>
        <v>0</v>
      </c>
      <c r="K6267" s="369">
        <f t="shared" si="299"/>
        <v>6</v>
      </c>
      <c r="L6267" s="369">
        <f>+IF((C6267&gt;='Resultats - informe'!$E$16)*(C6267&lt;='Resultats - informe'!$G$16),1,0)</f>
        <v>1</v>
      </c>
      <c r="M6267" s="369" cm="1">
        <f t="array" ref="M6267">+_xlfn.IFS((C6267&gt;='Resultats - informe'!$D$26)*(C6267&lt;='Resultats - informe'!$E$26),0,(C6267&gt;='Resultats - informe'!$D$27)*(C6267&lt;='Resultats - informe'!$E$27),0,(C6267&gt;='Resultats - informe'!$D$28)*(C6267&lt;='Resultats - informe'!$E$28),0,(C6267&gt;='Resultats - informe'!$D$29)*(C6267&lt;='Resultats - informe'!$E$29),0,1,1)</f>
        <v>0</v>
      </c>
      <c r="N6267" s="366">
        <f>+VLOOKUP(D6267,'Resultats - informe'!$Y$18:$AG$42,'Introducció dades consum'!K6267+1,0)</f>
        <v>0</v>
      </c>
      <c r="O6267" s="370" cm="1">
        <f t="array" ref="O6267">+_xlfn.SWITCH(MONTH(C6267),1,1,2,1,3,1,4,2,5,2,6,3,7,3,8,3,9,3,10,2,11,2,12,1,2)</f>
        <v>1</v>
      </c>
      <c r="P6267" s="43"/>
    </row>
    <row r="6268" spans="1:16" ht="18" x14ac:dyDescent="0.35">
      <c r="A6268" s="9"/>
      <c r="C6268" s="393"/>
      <c r="E6268" s="394"/>
      <c r="F6268" s="394"/>
      <c r="G6268" s="394"/>
      <c r="I6268" s="368">
        <f t="shared" si="297"/>
        <v>0</v>
      </c>
      <c r="J6268" s="365">
        <f t="shared" si="298"/>
        <v>0</v>
      </c>
      <c r="K6268" s="369">
        <f t="shared" si="299"/>
        <v>6</v>
      </c>
      <c r="L6268" s="369">
        <f>+IF((C6268&gt;='Resultats - informe'!$E$16)*(C6268&lt;='Resultats - informe'!$G$16),1,0)</f>
        <v>1</v>
      </c>
      <c r="M6268" s="369" cm="1">
        <f t="array" ref="M6268">+_xlfn.IFS((C6268&gt;='Resultats - informe'!$D$26)*(C6268&lt;='Resultats - informe'!$E$26),0,(C6268&gt;='Resultats - informe'!$D$27)*(C6268&lt;='Resultats - informe'!$E$27),0,(C6268&gt;='Resultats - informe'!$D$28)*(C6268&lt;='Resultats - informe'!$E$28),0,(C6268&gt;='Resultats - informe'!$D$29)*(C6268&lt;='Resultats - informe'!$E$29),0,1,1)</f>
        <v>0</v>
      </c>
      <c r="N6268" s="366">
        <f>+VLOOKUP(D6268,'Resultats - informe'!$Y$18:$AG$42,'Introducció dades consum'!K6268+1,0)</f>
        <v>0</v>
      </c>
      <c r="O6268" s="370" cm="1">
        <f t="array" ref="O6268">+_xlfn.SWITCH(MONTH(C6268),1,1,2,1,3,1,4,2,5,2,6,3,7,3,8,3,9,3,10,2,11,2,12,1,2)</f>
        <v>1</v>
      </c>
      <c r="P6268" s="43"/>
    </row>
    <row r="6269" spans="1:16" ht="18" x14ac:dyDescent="0.35">
      <c r="A6269" s="9"/>
      <c r="C6269" s="393"/>
      <c r="E6269" s="394"/>
      <c r="F6269" s="394"/>
      <c r="G6269" s="394"/>
      <c r="I6269" s="368">
        <f t="shared" si="297"/>
        <v>0</v>
      </c>
      <c r="J6269" s="365">
        <f t="shared" si="298"/>
        <v>0</v>
      </c>
      <c r="K6269" s="369">
        <f t="shared" si="299"/>
        <v>6</v>
      </c>
      <c r="L6269" s="369">
        <f>+IF((C6269&gt;='Resultats - informe'!$E$16)*(C6269&lt;='Resultats - informe'!$G$16),1,0)</f>
        <v>1</v>
      </c>
      <c r="M6269" s="369" cm="1">
        <f t="array" ref="M6269">+_xlfn.IFS((C6269&gt;='Resultats - informe'!$D$26)*(C6269&lt;='Resultats - informe'!$E$26),0,(C6269&gt;='Resultats - informe'!$D$27)*(C6269&lt;='Resultats - informe'!$E$27),0,(C6269&gt;='Resultats - informe'!$D$28)*(C6269&lt;='Resultats - informe'!$E$28),0,(C6269&gt;='Resultats - informe'!$D$29)*(C6269&lt;='Resultats - informe'!$E$29),0,1,1)</f>
        <v>0</v>
      </c>
      <c r="N6269" s="366">
        <f>+VLOOKUP(D6269,'Resultats - informe'!$Y$18:$AG$42,'Introducció dades consum'!K6269+1,0)</f>
        <v>0</v>
      </c>
      <c r="O6269" s="370" cm="1">
        <f t="array" ref="O6269">+_xlfn.SWITCH(MONTH(C6269),1,1,2,1,3,1,4,2,5,2,6,3,7,3,8,3,9,3,10,2,11,2,12,1,2)</f>
        <v>1</v>
      </c>
      <c r="P6269" s="43"/>
    </row>
    <row r="6270" spans="1:16" ht="18" x14ac:dyDescent="0.35">
      <c r="A6270" s="9"/>
      <c r="C6270" s="393"/>
      <c r="E6270" s="394"/>
      <c r="F6270" s="394"/>
      <c r="G6270" s="394"/>
      <c r="I6270" s="368">
        <f t="shared" si="297"/>
        <v>0</v>
      </c>
      <c r="J6270" s="365">
        <f t="shared" si="298"/>
        <v>0</v>
      </c>
      <c r="K6270" s="369">
        <f t="shared" si="299"/>
        <v>6</v>
      </c>
      <c r="L6270" s="369">
        <f>+IF((C6270&gt;='Resultats - informe'!$E$16)*(C6270&lt;='Resultats - informe'!$G$16),1,0)</f>
        <v>1</v>
      </c>
      <c r="M6270" s="369" cm="1">
        <f t="array" ref="M6270">+_xlfn.IFS((C6270&gt;='Resultats - informe'!$D$26)*(C6270&lt;='Resultats - informe'!$E$26),0,(C6270&gt;='Resultats - informe'!$D$27)*(C6270&lt;='Resultats - informe'!$E$27),0,(C6270&gt;='Resultats - informe'!$D$28)*(C6270&lt;='Resultats - informe'!$E$28),0,(C6270&gt;='Resultats - informe'!$D$29)*(C6270&lt;='Resultats - informe'!$E$29),0,1,1)</f>
        <v>0</v>
      </c>
      <c r="N6270" s="366">
        <f>+VLOOKUP(D6270,'Resultats - informe'!$Y$18:$AG$42,'Introducció dades consum'!K6270+1,0)</f>
        <v>0</v>
      </c>
      <c r="O6270" s="370" cm="1">
        <f t="array" ref="O6270">+_xlfn.SWITCH(MONTH(C6270),1,1,2,1,3,1,4,2,5,2,6,3,7,3,8,3,9,3,10,2,11,2,12,1,2)</f>
        <v>1</v>
      </c>
      <c r="P6270" s="43"/>
    </row>
    <row r="6271" spans="1:16" ht="18" x14ac:dyDescent="0.35">
      <c r="A6271" s="9"/>
      <c r="C6271" s="393"/>
      <c r="E6271" s="394"/>
      <c r="F6271" s="394"/>
      <c r="G6271" s="394"/>
      <c r="I6271" s="368">
        <f t="shared" si="297"/>
        <v>0</v>
      </c>
      <c r="J6271" s="365">
        <f t="shared" si="298"/>
        <v>0</v>
      </c>
      <c r="K6271" s="369">
        <f t="shared" si="299"/>
        <v>6</v>
      </c>
      <c r="L6271" s="369">
        <f>+IF((C6271&gt;='Resultats - informe'!$E$16)*(C6271&lt;='Resultats - informe'!$G$16),1,0)</f>
        <v>1</v>
      </c>
      <c r="M6271" s="369" cm="1">
        <f t="array" ref="M6271">+_xlfn.IFS((C6271&gt;='Resultats - informe'!$D$26)*(C6271&lt;='Resultats - informe'!$E$26),0,(C6271&gt;='Resultats - informe'!$D$27)*(C6271&lt;='Resultats - informe'!$E$27),0,(C6271&gt;='Resultats - informe'!$D$28)*(C6271&lt;='Resultats - informe'!$E$28),0,(C6271&gt;='Resultats - informe'!$D$29)*(C6271&lt;='Resultats - informe'!$E$29),0,1,1)</f>
        <v>0</v>
      </c>
      <c r="N6271" s="366">
        <f>+VLOOKUP(D6271,'Resultats - informe'!$Y$18:$AG$42,'Introducció dades consum'!K6271+1,0)</f>
        <v>0</v>
      </c>
      <c r="O6271" s="370" cm="1">
        <f t="array" ref="O6271">+_xlfn.SWITCH(MONTH(C6271),1,1,2,1,3,1,4,2,5,2,6,3,7,3,8,3,9,3,10,2,11,2,12,1,2)</f>
        <v>1</v>
      </c>
      <c r="P6271" s="43"/>
    </row>
    <row r="6272" spans="1:16" ht="18" x14ac:dyDescent="0.35">
      <c r="A6272" s="9"/>
      <c r="C6272" s="393"/>
      <c r="E6272" s="394"/>
      <c r="F6272" s="394"/>
      <c r="G6272" s="394"/>
      <c r="I6272" s="368">
        <f t="shared" si="297"/>
        <v>0</v>
      </c>
      <c r="J6272" s="365">
        <f t="shared" si="298"/>
        <v>0</v>
      </c>
      <c r="K6272" s="369">
        <f t="shared" si="299"/>
        <v>6</v>
      </c>
      <c r="L6272" s="369">
        <f>+IF((C6272&gt;='Resultats - informe'!$E$16)*(C6272&lt;='Resultats - informe'!$G$16),1,0)</f>
        <v>1</v>
      </c>
      <c r="M6272" s="369" cm="1">
        <f t="array" ref="M6272">+_xlfn.IFS((C6272&gt;='Resultats - informe'!$D$26)*(C6272&lt;='Resultats - informe'!$E$26),0,(C6272&gt;='Resultats - informe'!$D$27)*(C6272&lt;='Resultats - informe'!$E$27),0,(C6272&gt;='Resultats - informe'!$D$28)*(C6272&lt;='Resultats - informe'!$E$28),0,(C6272&gt;='Resultats - informe'!$D$29)*(C6272&lt;='Resultats - informe'!$E$29),0,1,1)</f>
        <v>0</v>
      </c>
      <c r="N6272" s="366">
        <f>+VLOOKUP(D6272,'Resultats - informe'!$Y$18:$AG$42,'Introducció dades consum'!K6272+1,0)</f>
        <v>0</v>
      </c>
      <c r="O6272" s="370" cm="1">
        <f t="array" ref="O6272">+_xlfn.SWITCH(MONTH(C6272),1,1,2,1,3,1,4,2,5,2,6,3,7,3,8,3,9,3,10,2,11,2,12,1,2)</f>
        <v>1</v>
      </c>
      <c r="P6272" s="43"/>
    </row>
    <row r="6273" spans="1:16" ht="18" x14ac:dyDescent="0.35">
      <c r="A6273" s="9"/>
      <c r="C6273" s="393"/>
      <c r="E6273" s="394"/>
      <c r="F6273" s="394"/>
      <c r="G6273" s="394"/>
      <c r="I6273" s="368">
        <f t="shared" si="297"/>
        <v>0</v>
      </c>
      <c r="J6273" s="365">
        <f t="shared" si="298"/>
        <v>0</v>
      </c>
      <c r="K6273" s="369">
        <f t="shared" si="299"/>
        <v>6</v>
      </c>
      <c r="L6273" s="369">
        <f>+IF((C6273&gt;='Resultats - informe'!$E$16)*(C6273&lt;='Resultats - informe'!$G$16),1,0)</f>
        <v>1</v>
      </c>
      <c r="M6273" s="369" cm="1">
        <f t="array" ref="M6273">+_xlfn.IFS((C6273&gt;='Resultats - informe'!$D$26)*(C6273&lt;='Resultats - informe'!$E$26),0,(C6273&gt;='Resultats - informe'!$D$27)*(C6273&lt;='Resultats - informe'!$E$27),0,(C6273&gt;='Resultats - informe'!$D$28)*(C6273&lt;='Resultats - informe'!$E$28),0,(C6273&gt;='Resultats - informe'!$D$29)*(C6273&lt;='Resultats - informe'!$E$29),0,1,1)</f>
        <v>0</v>
      </c>
      <c r="N6273" s="366">
        <f>+VLOOKUP(D6273,'Resultats - informe'!$Y$18:$AG$42,'Introducció dades consum'!K6273+1,0)</f>
        <v>0</v>
      </c>
      <c r="O6273" s="370" cm="1">
        <f t="array" ref="O6273">+_xlfn.SWITCH(MONTH(C6273),1,1,2,1,3,1,4,2,5,2,6,3,7,3,8,3,9,3,10,2,11,2,12,1,2)</f>
        <v>1</v>
      </c>
      <c r="P6273" s="43"/>
    </row>
    <row r="6274" spans="1:16" ht="18" x14ac:dyDescent="0.35">
      <c r="A6274" s="9"/>
      <c r="C6274" s="393"/>
      <c r="E6274" s="394"/>
      <c r="F6274" s="394"/>
      <c r="G6274" s="394"/>
      <c r="I6274" s="368">
        <f t="shared" si="297"/>
        <v>0</v>
      </c>
      <c r="J6274" s="365">
        <f t="shared" si="298"/>
        <v>0</v>
      </c>
      <c r="K6274" s="369">
        <f t="shared" si="299"/>
        <v>6</v>
      </c>
      <c r="L6274" s="369">
        <f>+IF((C6274&gt;='Resultats - informe'!$E$16)*(C6274&lt;='Resultats - informe'!$G$16),1,0)</f>
        <v>1</v>
      </c>
      <c r="M6274" s="369" cm="1">
        <f t="array" ref="M6274">+_xlfn.IFS((C6274&gt;='Resultats - informe'!$D$26)*(C6274&lt;='Resultats - informe'!$E$26),0,(C6274&gt;='Resultats - informe'!$D$27)*(C6274&lt;='Resultats - informe'!$E$27),0,(C6274&gt;='Resultats - informe'!$D$28)*(C6274&lt;='Resultats - informe'!$E$28),0,(C6274&gt;='Resultats - informe'!$D$29)*(C6274&lt;='Resultats - informe'!$E$29),0,1,1)</f>
        <v>0</v>
      </c>
      <c r="N6274" s="366">
        <f>+VLOOKUP(D6274,'Resultats - informe'!$Y$18:$AG$42,'Introducció dades consum'!K6274+1,0)</f>
        <v>0</v>
      </c>
      <c r="O6274" s="370" cm="1">
        <f t="array" ref="O6274">+_xlfn.SWITCH(MONTH(C6274),1,1,2,1,3,1,4,2,5,2,6,3,7,3,8,3,9,3,10,2,11,2,12,1,2)</f>
        <v>1</v>
      </c>
      <c r="P6274" s="43"/>
    </row>
    <row r="6275" spans="1:16" ht="18" x14ac:dyDescent="0.35">
      <c r="A6275" s="9"/>
      <c r="C6275" s="393"/>
      <c r="E6275" s="394"/>
      <c r="F6275" s="394"/>
      <c r="G6275" s="394"/>
      <c r="I6275" s="368">
        <f t="shared" si="297"/>
        <v>0</v>
      </c>
      <c r="J6275" s="365">
        <f t="shared" si="298"/>
        <v>0</v>
      </c>
      <c r="K6275" s="369">
        <f t="shared" si="299"/>
        <v>6</v>
      </c>
      <c r="L6275" s="369">
        <f>+IF((C6275&gt;='Resultats - informe'!$E$16)*(C6275&lt;='Resultats - informe'!$G$16),1,0)</f>
        <v>1</v>
      </c>
      <c r="M6275" s="369" cm="1">
        <f t="array" ref="M6275">+_xlfn.IFS((C6275&gt;='Resultats - informe'!$D$26)*(C6275&lt;='Resultats - informe'!$E$26),0,(C6275&gt;='Resultats - informe'!$D$27)*(C6275&lt;='Resultats - informe'!$E$27),0,(C6275&gt;='Resultats - informe'!$D$28)*(C6275&lt;='Resultats - informe'!$E$28),0,(C6275&gt;='Resultats - informe'!$D$29)*(C6275&lt;='Resultats - informe'!$E$29),0,1,1)</f>
        <v>0</v>
      </c>
      <c r="N6275" s="366">
        <f>+VLOOKUP(D6275,'Resultats - informe'!$Y$18:$AG$42,'Introducció dades consum'!K6275+1,0)</f>
        <v>0</v>
      </c>
      <c r="O6275" s="370" cm="1">
        <f t="array" ref="O6275">+_xlfn.SWITCH(MONTH(C6275),1,1,2,1,3,1,4,2,5,2,6,3,7,3,8,3,9,3,10,2,11,2,12,1,2)</f>
        <v>1</v>
      </c>
      <c r="P6275" s="43"/>
    </row>
    <row r="6276" spans="1:16" ht="18" x14ac:dyDescent="0.35">
      <c r="A6276" s="9"/>
      <c r="C6276" s="393"/>
      <c r="E6276" s="394"/>
      <c r="F6276" s="394"/>
      <c r="G6276" s="394"/>
      <c r="I6276" s="368">
        <f t="shared" si="297"/>
        <v>0</v>
      </c>
      <c r="J6276" s="365">
        <f t="shared" si="298"/>
        <v>0</v>
      </c>
      <c r="K6276" s="369">
        <f t="shared" si="299"/>
        <v>6</v>
      </c>
      <c r="L6276" s="369">
        <f>+IF((C6276&gt;='Resultats - informe'!$E$16)*(C6276&lt;='Resultats - informe'!$G$16),1,0)</f>
        <v>1</v>
      </c>
      <c r="M6276" s="369" cm="1">
        <f t="array" ref="M6276">+_xlfn.IFS((C6276&gt;='Resultats - informe'!$D$26)*(C6276&lt;='Resultats - informe'!$E$26),0,(C6276&gt;='Resultats - informe'!$D$27)*(C6276&lt;='Resultats - informe'!$E$27),0,(C6276&gt;='Resultats - informe'!$D$28)*(C6276&lt;='Resultats - informe'!$E$28),0,(C6276&gt;='Resultats - informe'!$D$29)*(C6276&lt;='Resultats - informe'!$E$29),0,1,1)</f>
        <v>0</v>
      </c>
      <c r="N6276" s="366">
        <f>+VLOOKUP(D6276,'Resultats - informe'!$Y$18:$AG$42,'Introducció dades consum'!K6276+1,0)</f>
        <v>0</v>
      </c>
      <c r="O6276" s="370" cm="1">
        <f t="array" ref="O6276">+_xlfn.SWITCH(MONTH(C6276),1,1,2,1,3,1,4,2,5,2,6,3,7,3,8,3,9,3,10,2,11,2,12,1,2)</f>
        <v>1</v>
      </c>
      <c r="P6276" s="43"/>
    </row>
    <row r="6277" spans="1:16" ht="18" x14ac:dyDescent="0.35">
      <c r="A6277" s="9"/>
      <c r="C6277" s="393"/>
      <c r="E6277" s="394"/>
      <c r="F6277" s="394"/>
      <c r="G6277" s="394"/>
      <c r="I6277" s="368">
        <f t="shared" si="297"/>
        <v>0</v>
      </c>
      <c r="J6277" s="365">
        <f t="shared" si="298"/>
        <v>0</v>
      </c>
      <c r="K6277" s="369">
        <f t="shared" si="299"/>
        <v>6</v>
      </c>
      <c r="L6277" s="369">
        <f>+IF((C6277&gt;='Resultats - informe'!$E$16)*(C6277&lt;='Resultats - informe'!$G$16),1,0)</f>
        <v>1</v>
      </c>
      <c r="M6277" s="369" cm="1">
        <f t="array" ref="M6277">+_xlfn.IFS((C6277&gt;='Resultats - informe'!$D$26)*(C6277&lt;='Resultats - informe'!$E$26),0,(C6277&gt;='Resultats - informe'!$D$27)*(C6277&lt;='Resultats - informe'!$E$27),0,(C6277&gt;='Resultats - informe'!$D$28)*(C6277&lt;='Resultats - informe'!$E$28),0,(C6277&gt;='Resultats - informe'!$D$29)*(C6277&lt;='Resultats - informe'!$E$29),0,1,1)</f>
        <v>0</v>
      </c>
      <c r="N6277" s="366">
        <f>+VLOOKUP(D6277,'Resultats - informe'!$Y$18:$AG$42,'Introducció dades consum'!K6277+1,0)</f>
        <v>0</v>
      </c>
      <c r="O6277" s="370" cm="1">
        <f t="array" ref="O6277">+_xlfn.SWITCH(MONTH(C6277),1,1,2,1,3,1,4,2,5,2,6,3,7,3,8,3,9,3,10,2,11,2,12,1,2)</f>
        <v>1</v>
      </c>
      <c r="P6277" s="43"/>
    </row>
    <row r="6278" spans="1:16" ht="18" x14ac:dyDescent="0.35">
      <c r="A6278" s="9"/>
      <c r="C6278" s="393"/>
      <c r="E6278" s="394"/>
      <c r="F6278" s="394"/>
      <c r="G6278" s="394"/>
      <c r="I6278" s="368">
        <f t="shared" si="297"/>
        <v>0</v>
      </c>
      <c r="J6278" s="365">
        <f t="shared" si="298"/>
        <v>0</v>
      </c>
      <c r="K6278" s="369">
        <f t="shared" si="299"/>
        <v>6</v>
      </c>
      <c r="L6278" s="369">
        <f>+IF((C6278&gt;='Resultats - informe'!$E$16)*(C6278&lt;='Resultats - informe'!$G$16),1,0)</f>
        <v>1</v>
      </c>
      <c r="M6278" s="369" cm="1">
        <f t="array" ref="M6278">+_xlfn.IFS((C6278&gt;='Resultats - informe'!$D$26)*(C6278&lt;='Resultats - informe'!$E$26),0,(C6278&gt;='Resultats - informe'!$D$27)*(C6278&lt;='Resultats - informe'!$E$27),0,(C6278&gt;='Resultats - informe'!$D$28)*(C6278&lt;='Resultats - informe'!$E$28),0,(C6278&gt;='Resultats - informe'!$D$29)*(C6278&lt;='Resultats - informe'!$E$29),0,1,1)</f>
        <v>0</v>
      </c>
      <c r="N6278" s="366">
        <f>+VLOOKUP(D6278,'Resultats - informe'!$Y$18:$AG$42,'Introducció dades consum'!K6278+1,0)</f>
        <v>0</v>
      </c>
      <c r="O6278" s="370" cm="1">
        <f t="array" ref="O6278">+_xlfn.SWITCH(MONTH(C6278),1,1,2,1,3,1,4,2,5,2,6,3,7,3,8,3,9,3,10,2,11,2,12,1,2)</f>
        <v>1</v>
      </c>
      <c r="P6278" s="43"/>
    </row>
    <row r="6279" spans="1:16" ht="18" x14ac:dyDescent="0.35">
      <c r="A6279" s="9"/>
      <c r="C6279" s="393"/>
      <c r="E6279" s="394"/>
      <c r="F6279" s="394"/>
      <c r="G6279" s="394"/>
      <c r="I6279" s="368">
        <f t="shared" si="297"/>
        <v>0</v>
      </c>
      <c r="J6279" s="365">
        <f t="shared" si="298"/>
        <v>0</v>
      </c>
      <c r="K6279" s="369">
        <f t="shared" si="299"/>
        <v>6</v>
      </c>
      <c r="L6279" s="369">
        <f>+IF((C6279&gt;='Resultats - informe'!$E$16)*(C6279&lt;='Resultats - informe'!$G$16),1,0)</f>
        <v>1</v>
      </c>
      <c r="M6279" s="369" cm="1">
        <f t="array" ref="M6279">+_xlfn.IFS((C6279&gt;='Resultats - informe'!$D$26)*(C6279&lt;='Resultats - informe'!$E$26),0,(C6279&gt;='Resultats - informe'!$D$27)*(C6279&lt;='Resultats - informe'!$E$27),0,(C6279&gt;='Resultats - informe'!$D$28)*(C6279&lt;='Resultats - informe'!$E$28),0,(C6279&gt;='Resultats - informe'!$D$29)*(C6279&lt;='Resultats - informe'!$E$29),0,1,1)</f>
        <v>0</v>
      </c>
      <c r="N6279" s="366">
        <f>+VLOOKUP(D6279,'Resultats - informe'!$Y$18:$AG$42,'Introducció dades consum'!K6279+1,0)</f>
        <v>0</v>
      </c>
      <c r="O6279" s="370" cm="1">
        <f t="array" ref="O6279">+_xlfn.SWITCH(MONTH(C6279),1,1,2,1,3,1,4,2,5,2,6,3,7,3,8,3,9,3,10,2,11,2,12,1,2)</f>
        <v>1</v>
      </c>
      <c r="P6279" s="43"/>
    </row>
    <row r="6280" spans="1:16" ht="18" x14ac:dyDescent="0.35">
      <c r="A6280" s="9"/>
      <c r="C6280" s="393"/>
      <c r="E6280" s="394"/>
      <c r="F6280" s="394"/>
      <c r="G6280" s="394"/>
      <c r="I6280" s="368">
        <f t="shared" si="297"/>
        <v>0</v>
      </c>
      <c r="J6280" s="365">
        <f t="shared" si="298"/>
        <v>0</v>
      </c>
      <c r="K6280" s="369">
        <f t="shared" si="299"/>
        <v>6</v>
      </c>
      <c r="L6280" s="369">
        <f>+IF((C6280&gt;='Resultats - informe'!$E$16)*(C6280&lt;='Resultats - informe'!$G$16),1,0)</f>
        <v>1</v>
      </c>
      <c r="M6280" s="369" cm="1">
        <f t="array" ref="M6280">+_xlfn.IFS((C6280&gt;='Resultats - informe'!$D$26)*(C6280&lt;='Resultats - informe'!$E$26),0,(C6280&gt;='Resultats - informe'!$D$27)*(C6280&lt;='Resultats - informe'!$E$27),0,(C6280&gt;='Resultats - informe'!$D$28)*(C6280&lt;='Resultats - informe'!$E$28),0,(C6280&gt;='Resultats - informe'!$D$29)*(C6280&lt;='Resultats - informe'!$E$29),0,1,1)</f>
        <v>0</v>
      </c>
      <c r="N6280" s="366">
        <f>+VLOOKUP(D6280,'Resultats - informe'!$Y$18:$AG$42,'Introducció dades consum'!K6280+1,0)</f>
        <v>0</v>
      </c>
      <c r="O6280" s="370" cm="1">
        <f t="array" ref="O6280">+_xlfn.SWITCH(MONTH(C6280),1,1,2,1,3,1,4,2,5,2,6,3,7,3,8,3,9,3,10,2,11,2,12,1,2)</f>
        <v>1</v>
      </c>
      <c r="P6280" s="43"/>
    </row>
    <row r="6281" spans="1:16" ht="18" x14ac:dyDescent="0.35">
      <c r="A6281" s="9"/>
      <c r="C6281" s="393"/>
      <c r="E6281" s="394"/>
      <c r="F6281" s="394"/>
      <c r="G6281" s="394"/>
      <c r="I6281" s="368">
        <f t="shared" si="297"/>
        <v>0</v>
      </c>
      <c r="J6281" s="365">
        <f t="shared" si="298"/>
        <v>0</v>
      </c>
      <c r="K6281" s="369">
        <f t="shared" si="299"/>
        <v>6</v>
      </c>
      <c r="L6281" s="369">
        <f>+IF((C6281&gt;='Resultats - informe'!$E$16)*(C6281&lt;='Resultats - informe'!$G$16),1,0)</f>
        <v>1</v>
      </c>
      <c r="M6281" s="369" cm="1">
        <f t="array" ref="M6281">+_xlfn.IFS((C6281&gt;='Resultats - informe'!$D$26)*(C6281&lt;='Resultats - informe'!$E$26),0,(C6281&gt;='Resultats - informe'!$D$27)*(C6281&lt;='Resultats - informe'!$E$27),0,(C6281&gt;='Resultats - informe'!$D$28)*(C6281&lt;='Resultats - informe'!$E$28),0,(C6281&gt;='Resultats - informe'!$D$29)*(C6281&lt;='Resultats - informe'!$E$29),0,1,1)</f>
        <v>0</v>
      </c>
      <c r="N6281" s="366">
        <f>+VLOOKUP(D6281,'Resultats - informe'!$Y$18:$AG$42,'Introducció dades consum'!K6281+1,0)</f>
        <v>0</v>
      </c>
      <c r="O6281" s="370" cm="1">
        <f t="array" ref="O6281">+_xlfn.SWITCH(MONTH(C6281),1,1,2,1,3,1,4,2,5,2,6,3,7,3,8,3,9,3,10,2,11,2,12,1,2)</f>
        <v>1</v>
      </c>
      <c r="P6281" s="43"/>
    </row>
    <row r="6282" spans="1:16" ht="18" x14ac:dyDescent="0.35">
      <c r="A6282" s="9"/>
      <c r="C6282" s="393"/>
      <c r="E6282" s="394"/>
      <c r="F6282" s="394"/>
      <c r="G6282" s="394"/>
      <c r="I6282" s="368">
        <f t="shared" si="297"/>
        <v>0</v>
      </c>
      <c r="J6282" s="365">
        <f t="shared" si="298"/>
        <v>0</v>
      </c>
      <c r="K6282" s="369">
        <f t="shared" si="299"/>
        <v>6</v>
      </c>
      <c r="L6282" s="369">
        <f>+IF((C6282&gt;='Resultats - informe'!$E$16)*(C6282&lt;='Resultats - informe'!$G$16),1,0)</f>
        <v>1</v>
      </c>
      <c r="M6282" s="369" cm="1">
        <f t="array" ref="M6282">+_xlfn.IFS((C6282&gt;='Resultats - informe'!$D$26)*(C6282&lt;='Resultats - informe'!$E$26),0,(C6282&gt;='Resultats - informe'!$D$27)*(C6282&lt;='Resultats - informe'!$E$27),0,(C6282&gt;='Resultats - informe'!$D$28)*(C6282&lt;='Resultats - informe'!$E$28),0,(C6282&gt;='Resultats - informe'!$D$29)*(C6282&lt;='Resultats - informe'!$E$29),0,1,1)</f>
        <v>0</v>
      </c>
      <c r="N6282" s="366">
        <f>+VLOOKUP(D6282,'Resultats - informe'!$Y$18:$AG$42,'Introducció dades consum'!K6282+1,0)</f>
        <v>0</v>
      </c>
      <c r="O6282" s="370" cm="1">
        <f t="array" ref="O6282">+_xlfn.SWITCH(MONTH(C6282),1,1,2,1,3,1,4,2,5,2,6,3,7,3,8,3,9,3,10,2,11,2,12,1,2)</f>
        <v>1</v>
      </c>
      <c r="P6282" s="43"/>
    </row>
    <row r="6283" spans="1:16" ht="18" x14ac:dyDescent="0.35">
      <c r="A6283" s="9"/>
      <c r="C6283" s="393"/>
      <c r="E6283" s="394"/>
      <c r="F6283" s="394"/>
      <c r="G6283" s="394"/>
      <c r="I6283" s="368">
        <f t="shared" si="297"/>
        <v>0</v>
      </c>
      <c r="J6283" s="365">
        <f t="shared" si="298"/>
        <v>0</v>
      </c>
      <c r="K6283" s="369">
        <f t="shared" si="299"/>
        <v>6</v>
      </c>
      <c r="L6283" s="369">
        <f>+IF((C6283&gt;='Resultats - informe'!$E$16)*(C6283&lt;='Resultats - informe'!$G$16),1,0)</f>
        <v>1</v>
      </c>
      <c r="M6283" s="369" cm="1">
        <f t="array" ref="M6283">+_xlfn.IFS((C6283&gt;='Resultats - informe'!$D$26)*(C6283&lt;='Resultats - informe'!$E$26),0,(C6283&gt;='Resultats - informe'!$D$27)*(C6283&lt;='Resultats - informe'!$E$27),0,(C6283&gt;='Resultats - informe'!$D$28)*(C6283&lt;='Resultats - informe'!$E$28),0,(C6283&gt;='Resultats - informe'!$D$29)*(C6283&lt;='Resultats - informe'!$E$29),0,1,1)</f>
        <v>0</v>
      </c>
      <c r="N6283" s="366">
        <f>+VLOOKUP(D6283,'Resultats - informe'!$Y$18:$AG$42,'Introducció dades consum'!K6283+1,0)</f>
        <v>0</v>
      </c>
      <c r="O6283" s="370" cm="1">
        <f t="array" ref="O6283">+_xlfn.SWITCH(MONTH(C6283),1,1,2,1,3,1,4,2,5,2,6,3,7,3,8,3,9,3,10,2,11,2,12,1,2)</f>
        <v>1</v>
      </c>
      <c r="P6283" s="43"/>
    </row>
    <row r="6284" spans="1:16" ht="18" x14ac:dyDescent="0.35">
      <c r="A6284" s="9"/>
      <c r="C6284" s="393"/>
      <c r="E6284" s="394"/>
      <c r="F6284" s="394"/>
      <c r="G6284" s="394"/>
      <c r="I6284" s="368">
        <f t="shared" si="297"/>
        <v>0</v>
      </c>
      <c r="J6284" s="365">
        <f t="shared" si="298"/>
        <v>0</v>
      </c>
      <c r="K6284" s="369">
        <f t="shared" si="299"/>
        <v>6</v>
      </c>
      <c r="L6284" s="369">
        <f>+IF((C6284&gt;='Resultats - informe'!$E$16)*(C6284&lt;='Resultats - informe'!$G$16),1,0)</f>
        <v>1</v>
      </c>
      <c r="M6284" s="369" cm="1">
        <f t="array" ref="M6284">+_xlfn.IFS((C6284&gt;='Resultats - informe'!$D$26)*(C6284&lt;='Resultats - informe'!$E$26),0,(C6284&gt;='Resultats - informe'!$D$27)*(C6284&lt;='Resultats - informe'!$E$27),0,(C6284&gt;='Resultats - informe'!$D$28)*(C6284&lt;='Resultats - informe'!$E$28),0,(C6284&gt;='Resultats - informe'!$D$29)*(C6284&lt;='Resultats - informe'!$E$29),0,1,1)</f>
        <v>0</v>
      </c>
      <c r="N6284" s="366">
        <f>+VLOOKUP(D6284,'Resultats - informe'!$Y$18:$AG$42,'Introducció dades consum'!K6284+1,0)</f>
        <v>0</v>
      </c>
      <c r="O6284" s="370" cm="1">
        <f t="array" ref="O6284">+_xlfn.SWITCH(MONTH(C6284),1,1,2,1,3,1,4,2,5,2,6,3,7,3,8,3,9,3,10,2,11,2,12,1,2)</f>
        <v>1</v>
      </c>
      <c r="P6284" s="43"/>
    </row>
    <row r="6285" spans="1:16" ht="18" x14ac:dyDescent="0.35">
      <c r="A6285" s="9"/>
      <c r="C6285" s="393"/>
      <c r="E6285" s="394"/>
      <c r="F6285" s="394"/>
      <c r="G6285" s="394"/>
      <c r="I6285" s="368">
        <f t="shared" si="297"/>
        <v>0</v>
      </c>
      <c r="J6285" s="365">
        <f t="shared" si="298"/>
        <v>0</v>
      </c>
      <c r="K6285" s="369">
        <f t="shared" si="299"/>
        <v>6</v>
      </c>
      <c r="L6285" s="369">
        <f>+IF((C6285&gt;='Resultats - informe'!$E$16)*(C6285&lt;='Resultats - informe'!$G$16),1,0)</f>
        <v>1</v>
      </c>
      <c r="M6285" s="369" cm="1">
        <f t="array" ref="M6285">+_xlfn.IFS((C6285&gt;='Resultats - informe'!$D$26)*(C6285&lt;='Resultats - informe'!$E$26),0,(C6285&gt;='Resultats - informe'!$D$27)*(C6285&lt;='Resultats - informe'!$E$27),0,(C6285&gt;='Resultats - informe'!$D$28)*(C6285&lt;='Resultats - informe'!$E$28),0,(C6285&gt;='Resultats - informe'!$D$29)*(C6285&lt;='Resultats - informe'!$E$29),0,1,1)</f>
        <v>0</v>
      </c>
      <c r="N6285" s="366">
        <f>+VLOOKUP(D6285,'Resultats - informe'!$Y$18:$AG$42,'Introducció dades consum'!K6285+1,0)</f>
        <v>0</v>
      </c>
      <c r="O6285" s="370" cm="1">
        <f t="array" ref="O6285">+_xlfn.SWITCH(MONTH(C6285),1,1,2,1,3,1,4,2,5,2,6,3,7,3,8,3,9,3,10,2,11,2,12,1,2)</f>
        <v>1</v>
      </c>
      <c r="P6285" s="43"/>
    </row>
    <row r="6286" spans="1:16" ht="18" x14ac:dyDescent="0.35">
      <c r="A6286" s="9"/>
      <c r="C6286" s="393"/>
      <c r="E6286" s="394"/>
      <c r="F6286" s="394"/>
      <c r="G6286" s="394"/>
      <c r="I6286" s="368">
        <f t="shared" si="297"/>
        <v>0</v>
      </c>
      <c r="J6286" s="365">
        <f t="shared" si="298"/>
        <v>0</v>
      </c>
      <c r="K6286" s="369">
        <f t="shared" si="299"/>
        <v>6</v>
      </c>
      <c r="L6286" s="369">
        <f>+IF((C6286&gt;='Resultats - informe'!$E$16)*(C6286&lt;='Resultats - informe'!$G$16),1,0)</f>
        <v>1</v>
      </c>
      <c r="M6286" s="369" cm="1">
        <f t="array" ref="M6286">+_xlfn.IFS((C6286&gt;='Resultats - informe'!$D$26)*(C6286&lt;='Resultats - informe'!$E$26),0,(C6286&gt;='Resultats - informe'!$D$27)*(C6286&lt;='Resultats - informe'!$E$27),0,(C6286&gt;='Resultats - informe'!$D$28)*(C6286&lt;='Resultats - informe'!$E$28),0,(C6286&gt;='Resultats - informe'!$D$29)*(C6286&lt;='Resultats - informe'!$E$29),0,1,1)</f>
        <v>0</v>
      </c>
      <c r="N6286" s="366">
        <f>+VLOOKUP(D6286,'Resultats - informe'!$Y$18:$AG$42,'Introducció dades consum'!K6286+1,0)</f>
        <v>0</v>
      </c>
      <c r="O6286" s="370" cm="1">
        <f t="array" ref="O6286">+_xlfn.SWITCH(MONTH(C6286),1,1,2,1,3,1,4,2,5,2,6,3,7,3,8,3,9,3,10,2,11,2,12,1,2)</f>
        <v>1</v>
      </c>
      <c r="P6286" s="43"/>
    </row>
    <row r="6287" spans="1:16" ht="18" x14ac:dyDescent="0.35">
      <c r="A6287" s="9"/>
      <c r="C6287" s="393"/>
      <c r="E6287" s="394"/>
      <c r="F6287" s="394"/>
      <c r="G6287" s="394"/>
      <c r="I6287" s="368">
        <f t="shared" si="297"/>
        <v>0</v>
      </c>
      <c r="J6287" s="365">
        <f t="shared" si="298"/>
        <v>0</v>
      </c>
      <c r="K6287" s="369">
        <f t="shared" si="299"/>
        <v>6</v>
      </c>
      <c r="L6287" s="369">
        <f>+IF((C6287&gt;='Resultats - informe'!$E$16)*(C6287&lt;='Resultats - informe'!$G$16),1,0)</f>
        <v>1</v>
      </c>
      <c r="M6287" s="369" cm="1">
        <f t="array" ref="M6287">+_xlfn.IFS((C6287&gt;='Resultats - informe'!$D$26)*(C6287&lt;='Resultats - informe'!$E$26),0,(C6287&gt;='Resultats - informe'!$D$27)*(C6287&lt;='Resultats - informe'!$E$27),0,(C6287&gt;='Resultats - informe'!$D$28)*(C6287&lt;='Resultats - informe'!$E$28),0,(C6287&gt;='Resultats - informe'!$D$29)*(C6287&lt;='Resultats - informe'!$E$29),0,1,1)</f>
        <v>0</v>
      </c>
      <c r="N6287" s="366">
        <f>+VLOOKUP(D6287,'Resultats - informe'!$Y$18:$AG$42,'Introducció dades consum'!K6287+1,0)</f>
        <v>0</v>
      </c>
      <c r="O6287" s="370" cm="1">
        <f t="array" ref="O6287">+_xlfn.SWITCH(MONTH(C6287),1,1,2,1,3,1,4,2,5,2,6,3,7,3,8,3,9,3,10,2,11,2,12,1,2)</f>
        <v>1</v>
      </c>
      <c r="P6287" s="43"/>
    </row>
    <row r="6288" spans="1:16" ht="18" x14ac:dyDescent="0.35">
      <c r="A6288" s="9"/>
      <c r="C6288" s="393"/>
      <c r="E6288" s="394"/>
      <c r="F6288" s="394"/>
      <c r="G6288" s="394"/>
      <c r="I6288" s="368">
        <f t="shared" si="297"/>
        <v>0</v>
      </c>
      <c r="J6288" s="365">
        <f t="shared" si="298"/>
        <v>0</v>
      </c>
      <c r="K6288" s="369">
        <f t="shared" si="299"/>
        <v>6</v>
      </c>
      <c r="L6288" s="369">
        <f>+IF((C6288&gt;='Resultats - informe'!$E$16)*(C6288&lt;='Resultats - informe'!$G$16),1,0)</f>
        <v>1</v>
      </c>
      <c r="M6288" s="369" cm="1">
        <f t="array" ref="M6288">+_xlfn.IFS((C6288&gt;='Resultats - informe'!$D$26)*(C6288&lt;='Resultats - informe'!$E$26),0,(C6288&gt;='Resultats - informe'!$D$27)*(C6288&lt;='Resultats - informe'!$E$27),0,(C6288&gt;='Resultats - informe'!$D$28)*(C6288&lt;='Resultats - informe'!$E$28),0,(C6288&gt;='Resultats - informe'!$D$29)*(C6288&lt;='Resultats - informe'!$E$29),0,1,1)</f>
        <v>0</v>
      </c>
      <c r="N6288" s="366">
        <f>+VLOOKUP(D6288,'Resultats - informe'!$Y$18:$AG$42,'Introducció dades consum'!K6288+1,0)</f>
        <v>0</v>
      </c>
      <c r="O6288" s="370" cm="1">
        <f t="array" ref="O6288">+_xlfn.SWITCH(MONTH(C6288),1,1,2,1,3,1,4,2,5,2,6,3,7,3,8,3,9,3,10,2,11,2,12,1,2)</f>
        <v>1</v>
      </c>
      <c r="P6288" s="43"/>
    </row>
    <row r="6289" spans="1:16" ht="18" x14ac:dyDescent="0.35">
      <c r="A6289" s="9"/>
      <c r="C6289" s="393"/>
      <c r="E6289" s="394"/>
      <c r="F6289" s="394"/>
      <c r="G6289" s="394"/>
      <c r="I6289" s="368">
        <f t="shared" si="297"/>
        <v>0</v>
      </c>
      <c r="J6289" s="365">
        <f t="shared" si="298"/>
        <v>0</v>
      </c>
      <c r="K6289" s="369">
        <f t="shared" si="299"/>
        <v>6</v>
      </c>
      <c r="L6289" s="369">
        <f>+IF((C6289&gt;='Resultats - informe'!$E$16)*(C6289&lt;='Resultats - informe'!$G$16),1,0)</f>
        <v>1</v>
      </c>
      <c r="M6289" s="369" cm="1">
        <f t="array" ref="M6289">+_xlfn.IFS((C6289&gt;='Resultats - informe'!$D$26)*(C6289&lt;='Resultats - informe'!$E$26),0,(C6289&gt;='Resultats - informe'!$D$27)*(C6289&lt;='Resultats - informe'!$E$27),0,(C6289&gt;='Resultats - informe'!$D$28)*(C6289&lt;='Resultats - informe'!$E$28),0,(C6289&gt;='Resultats - informe'!$D$29)*(C6289&lt;='Resultats - informe'!$E$29),0,1,1)</f>
        <v>0</v>
      </c>
      <c r="N6289" s="366">
        <f>+VLOOKUP(D6289,'Resultats - informe'!$Y$18:$AG$42,'Introducció dades consum'!K6289+1,0)</f>
        <v>0</v>
      </c>
      <c r="O6289" s="370" cm="1">
        <f t="array" ref="O6289">+_xlfn.SWITCH(MONTH(C6289),1,1,2,1,3,1,4,2,5,2,6,3,7,3,8,3,9,3,10,2,11,2,12,1,2)</f>
        <v>1</v>
      </c>
      <c r="P6289" s="43"/>
    </row>
    <row r="6290" spans="1:16" ht="18" x14ac:dyDescent="0.35">
      <c r="A6290" s="9"/>
      <c r="C6290" s="393"/>
      <c r="E6290" s="394"/>
      <c r="F6290" s="394"/>
      <c r="G6290" s="394"/>
      <c r="I6290" s="368">
        <f t="shared" ref="I6290:I6353" si="300">+E6290+G6290</f>
        <v>0</v>
      </c>
      <c r="J6290" s="365">
        <f t="shared" ref="J6290:J6353" si="301">+C6290</f>
        <v>0</v>
      </c>
      <c r="K6290" s="369">
        <f t="shared" ref="K6290:K6353" si="302">+WEEKDAY(C6290,2)</f>
        <v>6</v>
      </c>
      <c r="L6290" s="369">
        <f>+IF((C6290&gt;='Resultats - informe'!$E$16)*(C6290&lt;='Resultats - informe'!$G$16),1,0)</f>
        <v>1</v>
      </c>
      <c r="M6290" s="369" cm="1">
        <f t="array" ref="M6290">+_xlfn.IFS((C6290&gt;='Resultats - informe'!$D$26)*(C6290&lt;='Resultats - informe'!$E$26),0,(C6290&gt;='Resultats - informe'!$D$27)*(C6290&lt;='Resultats - informe'!$E$27),0,(C6290&gt;='Resultats - informe'!$D$28)*(C6290&lt;='Resultats - informe'!$E$28),0,(C6290&gt;='Resultats - informe'!$D$29)*(C6290&lt;='Resultats - informe'!$E$29),0,1,1)</f>
        <v>0</v>
      </c>
      <c r="N6290" s="366">
        <f>+VLOOKUP(D6290,'Resultats - informe'!$Y$18:$AG$42,'Introducció dades consum'!K6290+1,0)</f>
        <v>0</v>
      </c>
      <c r="O6290" s="370" cm="1">
        <f t="array" ref="O6290">+_xlfn.SWITCH(MONTH(C6290),1,1,2,1,3,1,4,2,5,2,6,3,7,3,8,3,9,3,10,2,11,2,12,1,2)</f>
        <v>1</v>
      </c>
      <c r="P6290" s="43"/>
    </row>
    <row r="6291" spans="1:16" ht="18" x14ac:dyDescent="0.35">
      <c r="A6291" s="9"/>
      <c r="C6291" s="393"/>
      <c r="E6291" s="394"/>
      <c r="F6291" s="394"/>
      <c r="G6291" s="394"/>
      <c r="I6291" s="368">
        <f t="shared" si="300"/>
        <v>0</v>
      </c>
      <c r="J6291" s="365">
        <f t="shared" si="301"/>
        <v>0</v>
      </c>
      <c r="K6291" s="369">
        <f t="shared" si="302"/>
        <v>6</v>
      </c>
      <c r="L6291" s="369">
        <f>+IF((C6291&gt;='Resultats - informe'!$E$16)*(C6291&lt;='Resultats - informe'!$G$16),1,0)</f>
        <v>1</v>
      </c>
      <c r="M6291" s="369" cm="1">
        <f t="array" ref="M6291">+_xlfn.IFS((C6291&gt;='Resultats - informe'!$D$26)*(C6291&lt;='Resultats - informe'!$E$26),0,(C6291&gt;='Resultats - informe'!$D$27)*(C6291&lt;='Resultats - informe'!$E$27),0,(C6291&gt;='Resultats - informe'!$D$28)*(C6291&lt;='Resultats - informe'!$E$28),0,(C6291&gt;='Resultats - informe'!$D$29)*(C6291&lt;='Resultats - informe'!$E$29),0,1,1)</f>
        <v>0</v>
      </c>
      <c r="N6291" s="366">
        <f>+VLOOKUP(D6291,'Resultats - informe'!$Y$18:$AG$42,'Introducció dades consum'!K6291+1,0)</f>
        <v>0</v>
      </c>
      <c r="O6291" s="370" cm="1">
        <f t="array" ref="O6291">+_xlfn.SWITCH(MONTH(C6291),1,1,2,1,3,1,4,2,5,2,6,3,7,3,8,3,9,3,10,2,11,2,12,1,2)</f>
        <v>1</v>
      </c>
      <c r="P6291" s="43"/>
    </row>
    <row r="6292" spans="1:16" ht="18" x14ac:dyDescent="0.35">
      <c r="A6292" s="9"/>
      <c r="C6292" s="393"/>
      <c r="E6292" s="394"/>
      <c r="F6292" s="394"/>
      <c r="G6292" s="394"/>
      <c r="I6292" s="368">
        <f t="shared" si="300"/>
        <v>0</v>
      </c>
      <c r="J6292" s="365">
        <f t="shared" si="301"/>
        <v>0</v>
      </c>
      <c r="K6292" s="369">
        <f t="shared" si="302"/>
        <v>6</v>
      </c>
      <c r="L6292" s="369">
        <f>+IF((C6292&gt;='Resultats - informe'!$E$16)*(C6292&lt;='Resultats - informe'!$G$16),1,0)</f>
        <v>1</v>
      </c>
      <c r="M6292" s="369" cm="1">
        <f t="array" ref="M6292">+_xlfn.IFS((C6292&gt;='Resultats - informe'!$D$26)*(C6292&lt;='Resultats - informe'!$E$26),0,(C6292&gt;='Resultats - informe'!$D$27)*(C6292&lt;='Resultats - informe'!$E$27),0,(C6292&gt;='Resultats - informe'!$D$28)*(C6292&lt;='Resultats - informe'!$E$28),0,(C6292&gt;='Resultats - informe'!$D$29)*(C6292&lt;='Resultats - informe'!$E$29),0,1,1)</f>
        <v>0</v>
      </c>
      <c r="N6292" s="366">
        <f>+VLOOKUP(D6292,'Resultats - informe'!$Y$18:$AG$42,'Introducció dades consum'!K6292+1,0)</f>
        <v>0</v>
      </c>
      <c r="O6292" s="370" cm="1">
        <f t="array" ref="O6292">+_xlfn.SWITCH(MONTH(C6292),1,1,2,1,3,1,4,2,5,2,6,3,7,3,8,3,9,3,10,2,11,2,12,1,2)</f>
        <v>1</v>
      </c>
      <c r="P6292" s="43"/>
    </row>
    <row r="6293" spans="1:16" ht="18" x14ac:dyDescent="0.35">
      <c r="A6293" s="9"/>
      <c r="C6293" s="393"/>
      <c r="E6293" s="394"/>
      <c r="F6293" s="394"/>
      <c r="G6293" s="394"/>
      <c r="I6293" s="368">
        <f t="shared" si="300"/>
        <v>0</v>
      </c>
      <c r="J6293" s="365">
        <f t="shared" si="301"/>
        <v>0</v>
      </c>
      <c r="K6293" s="369">
        <f t="shared" si="302"/>
        <v>6</v>
      </c>
      <c r="L6293" s="369">
        <f>+IF((C6293&gt;='Resultats - informe'!$E$16)*(C6293&lt;='Resultats - informe'!$G$16),1,0)</f>
        <v>1</v>
      </c>
      <c r="M6293" s="369" cm="1">
        <f t="array" ref="M6293">+_xlfn.IFS((C6293&gt;='Resultats - informe'!$D$26)*(C6293&lt;='Resultats - informe'!$E$26),0,(C6293&gt;='Resultats - informe'!$D$27)*(C6293&lt;='Resultats - informe'!$E$27),0,(C6293&gt;='Resultats - informe'!$D$28)*(C6293&lt;='Resultats - informe'!$E$28),0,(C6293&gt;='Resultats - informe'!$D$29)*(C6293&lt;='Resultats - informe'!$E$29),0,1,1)</f>
        <v>0</v>
      </c>
      <c r="N6293" s="366">
        <f>+VLOOKUP(D6293,'Resultats - informe'!$Y$18:$AG$42,'Introducció dades consum'!K6293+1,0)</f>
        <v>0</v>
      </c>
      <c r="O6293" s="370" cm="1">
        <f t="array" ref="O6293">+_xlfn.SWITCH(MONTH(C6293),1,1,2,1,3,1,4,2,5,2,6,3,7,3,8,3,9,3,10,2,11,2,12,1,2)</f>
        <v>1</v>
      </c>
      <c r="P6293" s="43"/>
    </row>
    <row r="6294" spans="1:16" ht="18" x14ac:dyDescent="0.35">
      <c r="A6294" s="9"/>
      <c r="C6294" s="393"/>
      <c r="E6294" s="394"/>
      <c r="F6294" s="394"/>
      <c r="G6294" s="394"/>
      <c r="I6294" s="368">
        <f t="shared" si="300"/>
        <v>0</v>
      </c>
      <c r="J6294" s="365">
        <f t="shared" si="301"/>
        <v>0</v>
      </c>
      <c r="K6294" s="369">
        <f t="shared" si="302"/>
        <v>6</v>
      </c>
      <c r="L6294" s="369">
        <f>+IF((C6294&gt;='Resultats - informe'!$E$16)*(C6294&lt;='Resultats - informe'!$G$16),1,0)</f>
        <v>1</v>
      </c>
      <c r="M6294" s="369" cm="1">
        <f t="array" ref="M6294">+_xlfn.IFS((C6294&gt;='Resultats - informe'!$D$26)*(C6294&lt;='Resultats - informe'!$E$26),0,(C6294&gt;='Resultats - informe'!$D$27)*(C6294&lt;='Resultats - informe'!$E$27),0,(C6294&gt;='Resultats - informe'!$D$28)*(C6294&lt;='Resultats - informe'!$E$28),0,(C6294&gt;='Resultats - informe'!$D$29)*(C6294&lt;='Resultats - informe'!$E$29),0,1,1)</f>
        <v>0</v>
      </c>
      <c r="N6294" s="366">
        <f>+VLOOKUP(D6294,'Resultats - informe'!$Y$18:$AG$42,'Introducció dades consum'!K6294+1,0)</f>
        <v>0</v>
      </c>
      <c r="O6294" s="370" cm="1">
        <f t="array" ref="O6294">+_xlfn.SWITCH(MONTH(C6294),1,1,2,1,3,1,4,2,5,2,6,3,7,3,8,3,9,3,10,2,11,2,12,1,2)</f>
        <v>1</v>
      </c>
      <c r="P6294" s="43"/>
    </row>
    <row r="6295" spans="1:16" ht="18" x14ac:dyDescent="0.35">
      <c r="A6295" s="9"/>
      <c r="C6295" s="393"/>
      <c r="E6295" s="394"/>
      <c r="F6295" s="394"/>
      <c r="G6295" s="394"/>
      <c r="I6295" s="368">
        <f t="shared" si="300"/>
        <v>0</v>
      </c>
      <c r="J6295" s="365">
        <f t="shared" si="301"/>
        <v>0</v>
      </c>
      <c r="K6295" s="369">
        <f t="shared" si="302"/>
        <v>6</v>
      </c>
      <c r="L6295" s="369">
        <f>+IF((C6295&gt;='Resultats - informe'!$E$16)*(C6295&lt;='Resultats - informe'!$G$16),1,0)</f>
        <v>1</v>
      </c>
      <c r="M6295" s="369" cm="1">
        <f t="array" ref="M6295">+_xlfn.IFS((C6295&gt;='Resultats - informe'!$D$26)*(C6295&lt;='Resultats - informe'!$E$26),0,(C6295&gt;='Resultats - informe'!$D$27)*(C6295&lt;='Resultats - informe'!$E$27),0,(C6295&gt;='Resultats - informe'!$D$28)*(C6295&lt;='Resultats - informe'!$E$28),0,(C6295&gt;='Resultats - informe'!$D$29)*(C6295&lt;='Resultats - informe'!$E$29),0,1,1)</f>
        <v>0</v>
      </c>
      <c r="N6295" s="366">
        <f>+VLOOKUP(D6295,'Resultats - informe'!$Y$18:$AG$42,'Introducció dades consum'!K6295+1,0)</f>
        <v>0</v>
      </c>
      <c r="O6295" s="370" cm="1">
        <f t="array" ref="O6295">+_xlfn.SWITCH(MONTH(C6295),1,1,2,1,3,1,4,2,5,2,6,3,7,3,8,3,9,3,10,2,11,2,12,1,2)</f>
        <v>1</v>
      </c>
      <c r="P6295" s="43"/>
    </row>
    <row r="6296" spans="1:16" ht="18" x14ac:dyDescent="0.35">
      <c r="A6296" s="9"/>
      <c r="C6296" s="393"/>
      <c r="E6296" s="394"/>
      <c r="F6296" s="394"/>
      <c r="G6296" s="394"/>
      <c r="I6296" s="368">
        <f t="shared" si="300"/>
        <v>0</v>
      </c>
      <c r="J6296" s="365">
        <f t="shared" si="301"/>
        <v>0</v>
      </c>
      <c r="K6296" s="369">
        <f t="shared" si="302"/>
        <v>6</v>
      </c>
      <c r="L6296" s="369">
        <f>+IF((C6296&gt;='Resultats - informe'!$E$16)*(C6296&lt;='Resultats - informe'!$G$16),1,0)</f>
        <v>1</v>
      </c>
      <c r="M6296" s="369" cm="1">
        <f t="array" ref="M6296">+_xlfn.IFS((C6296&gt;='Resultats - informe'!$D$26)*(C6296&lt;='Resultats - informe'!$E$26),0,(C6296&gt;='Resultats - informe'!$D$27)*(C6296&lt;='Resultats - informe'!$E$27),0,(C6296&gt;='Resultats - informe'!$D$28)*(C6296&lt;='Resultats - informe'!$E$28),0,(C6296&gt;='Resultats - informe'!$D$29)*(C6296&lt;='Resultats - informe'!$E$29),0,1,1)</f>
        <v>0</v>
      </c>
      <c r="N6296" s="366">
        <f>+VLOOKUP(D6296,'Resultats - informe'!$Y$18:$AG$42,'Introducció dades consum'!K6296+1,0)</f>
        <v>0</v>
      </c>
      <c r="O6296" s="370" cm="1">
        <f t="array" ref="O6296">+_xlfn.SWITCH(MONTH(C6296),1,1,2,1,3,1,4,2,5,2,6,3,7,3,8,3,9,3,10,2,11,2,12,1,2)</f>
        <v>1</v>
      </c>
      <c r="P6296" s="43"/>
    </row>
    <row r="6297" spans="1:16" ht="18" x14ac:dyDescent="0.35">
      <c r="A6297" s="9"/>
      <c r="C6297" s="393"/>
      <c r="E6297" s="394"/>
      <c r="F6297" s="394"/>
      <c r="G6297" s="394"/>
      <c r="I6297" s="368">
        <f t="shared" si="300"/>
        <v>0</v>
      </c>
      <c r="J6297" s="365">
        <f t="shared" si="301"/>
        <v>0</v>
      </c>
      <c r="K6297" s="369">
        <f t="shared" si="302"/>
        <v>6</v>
      </c>
      <c r="L6297" s="369">
        <f>+IF((C6297&gt;='Resultats - informe'!$E$16)*(C6297&lt;='Resultats - informe'!$G$16),1,0)</f>
        <v>1</v>
      </c>
      <c r="M6297" s="369" cm="1">
        <f t="array" ref="M6297">+_xlfn.IFS((C6297&gt;='Resultats - informe'!$D$26)*(C6297&lt;='Resultats - informe'!$E$26),0,(C6297&gt;='Resultats - informe'!$D$27)*(C6297&lt;='Resultats - informe'!$E$27),0,(C6297&gt;='Resultats - informe'!$D$28)*(C6297&lt;='Resultats - informe'!$E$28),0,(C6297&gt;='Resultats - informe'!$D$29)*(C6297&lt;='Resultats - informe'!$E$29),0,1,1)</f>
        <v>0</v>
      </c>
      <c r="N6297" s="366">
        <f>+VLOOKUP(D6297,'Resultats - informe'!$Y$18:$AG$42,'Introducció dades consum'!K6297+1,0)</f>
        <v>0</v>
      </c>
      <c r="O6297" s="370" cm="1">
        <f t="array" ref="O6297">+_xlfn.SWITCH(MONTH(C6297),1,1,2,1,3,1,4,2,5,2,6,3,7,3,8,3,9,3,10,2,11,2,12,1,2)</f>
        <v>1</v>
      </c>
      <c r="P6297" s="43"/>
    </row>
    <row r="6298" spans="1:16" ht="18" x14ac:dyDescent="0.35">
      <c r="A6298" s="9"/>
      <c r="C6298" s="393"/>
      <c r="E6298" s="394"/>
      <c r="F6298" s="394"/>
      <c r="G6298" s="394"/>
      <c r="I6298" s="368">
        <f t="shared" si="300"/>
        <v>0</v>
      </c>
      <c r="J6298" s="365">
        <f t="shared" si="301"/>
        <v>0</v>
      </c>
      <c r="K6298" s="369">
        <f t="shared" si="302"/>
        <v>6</v>
      </c>
      <c r="L6298" s="369">
        <f>+IF((C6298&gt;='Resultats - informe'!$E$16)*(C6298&lt;='Resultats - informe'!$G$16),1,0)</f>
        <v>1</v>
      </c>
      <c r="M6298" s="369" cm="1">
        <f t="array" ref="M6298">+_xlfn.IFS((C6298&gt;='Resultats - informe'!$D$26)*(C6298&lt;='Resultats - informe'!$E$26),0,(C6298&gt;='Resultats - informe'!$D$27)*(C6298&lt;='Resultats - informe'!$E$27),0,(C6298&gt;='Resultats - informe'!$D$28)*(C6298&lt;='Resultats - informe'!$E$28),0,(C6298&gt;='Resultats - informe'!$D$29)*(C6298&lt;='Resultats - informe'!$E$29),0,1,1)</f>
        <v>0</v>
      </c>
      <c r="N6298" s="366">
        <f>+VLOOKUP(D6298,'Resultats - informe'!$Y$18:$AG$42,'Introducció dades consum'!K6298+1,0)</f>
        <v>0</v>
      </c>
      <c r="O6298" s="370" cm="1">
        <f t="array" ref="O6298">+_xlfn.SWITCH(MONTH(C6298),1,1,2,1,3,1,4,2,5,2,6,3,7,3,8,3,9,3,10,2,11,2,12,1,2)</f>
        <v>1</v>
      </c>
      <c r="P6298" s="43"/>
    </row>
    <row r="6299" spans="1:16" ht="18" x14ac:dyDescent="0.35">
      <c r="A6299" s="9"/>
      <c r="C6299" s="393"/>
      <c r="E6299" s="394"/>
      <c r="F6299" s="394"/>
      <c r="G6299" s="394"/>
      <c r="I6299" s="368">
        <f t="shared" si="300"/>
        <v>0</v>
      </c>
      <c r="J6299" s="365">
        <f t="shared" si="301"/>
        <v>0</v>
      </c>
      <c r="K6299" s="369">
        <f t="shared" si="302"/>
        <v>6</v>
      </c>
      <c r="L6299" s="369">
        <f>+IF((C6299&gt;='Resultats - informe'!$E$16)*(C6299&lt;='Resultats - informe'!$G$16),1,0)</f>
        <v>1</v>
      </c>
      <c r="M6299" s="369" cm="1">
        <f t="array" ref="M6299">+_xlfn.IFS((C6299&gt;='Resultats - informe'!$D$26)*(C6299&lt;='Resultats - informe'!$E$26),0,(C6299&gt;='Resultats - informe'!$D$27)*(C6299&lt;='Resultats - informe'!$E$27),0,(C6299&gt;='Resultats - informe'!$D$28)*(C6299&lt;='Resultats - informe'!$E$28),0,(C6299&gt;='Resultats - informe'!$D$29)*(C6299&lt;='Resultats - informe'!$E$29),0,1,1)</f>
        <v>0</v>
      </c>
      <c r="N6299" s="366">
        <f>+VLOOKUP(D6299,'Resultats - informe'!$Y$18:$AG$42,'Introducció dades consum'!K6299+1,0)</f>
        <v>0</v>
      </c>
      <c r="O6299" s="370" cm="1">
        <f t="array" ref="O6299">+_xlfn.SWITCH(MONTH(C6299),1,1,2,1,3,1,4,2,5,2,6,3,7,3,8,3,9,3,10,2,11,2,12,1,2)</f>
        <v>1</v>
      </c>
      <c r="P6299" s="43"/>
    </row>
    <row r="6300" spans="1:16" ht="18" x14ac:dyDescent="0.35">
      <c r="A6300" s="9"/>
      <c r="C6300" s="393"/>
      <c r="E6300" s="394"/>
      <c r="F6300" s="394"/>
      <c r="G6300" s="394"/>
      <c r="I6300" s="368">
        <f t="shared" si="300"/>
        <v>0</v>
      </c>
      <c r="J6300" s="365">
        <f t="shared" si="301"/>
        <v>0</v>
      </c>
      <c r="K6300" s="369">
        <f t="shared" si="302"/>
        <v>6</v>
      </c>
      <c r="L6300" s="369">
        <f>+IF((C6300&gt;='Resultats - informe'!$E$16)*(C6300&lt;='Resultats - informe'!$G$16),1,0)</f>
        <v>1</v>
      </c>
      <c r="M6300" s="369" cm="1">
        <f t="array" ref="M6300">+_xlfn.IFS((C6300&gt;='Resultats - informe'!$D$26)*(C6300&lt;='Resultats - informe'!$E$26),0,(C6300&gt;='Resultats - informe'!$D$27)*(C6300&lt;='Resultats - informe'!$E$27),0,(C6300&gt;='Resultats - informe'!$D$28)*(C6300&lt;='Resultats - informe'!$E$28),0,(C6300&gt;='Resultats - informe'!$D$29)*(C6300&lt;='Resultats - informe'!$E$29),0,1,1)</f>
        <v>0</v>
      </c>
      <c r="N6300" s="366">
        <f>+VLOOKUP(D6300,'Resultats - informe'!$Y$18:$AG$42,'Introducció dades consum'!K6300+1,0)</f>
        <v>0</v>
      </c>
      <c r="O6300" s="370" cm="1">
        <f t="array" ref="O6300">+_xlfn.SWITCH(MONTH(C6300),1,1,2,1,3,1,4,2,5,2,6,3,7,3,8,3,9,3,10,2,11,2,12,1,2)</f>
        <v>1</v>
      </c>
      <c r="P6300" s="43"/>
    </row>
    <row r="6301" spans="1:16" ht="18" x14ac:dyDescent="0.35">
      <c r="A6301" s="9"/>
      <c r="C6301" s="393"/>
      <c r="E6301" s="394"/>
      <c r="F6301" s="394"/>
      <c r="G6301" s="394"/>
      <c r="I6301" s="368">
        <f t="shared" si="300"/>
        <v>0</v>
      </c>
      <c r="J6301" s="365">
        <f t="shared" si="301"/>
        <v>0</v>
      </c>
      <c r="K6301" s="369">
        <f t="shared" si="302"/>
        <v>6</v>
      </c>
      <c r="L6301" s="369">
        <f>+IF((C6301&gt;='Resultats - informe'!$E$16)*(C6301&lt;='Resultats - informe'!$G$16),1,0)</f>
        <v>1</v>
      </c>
      <c r="M6301" s="369" cm="1">
        <f t="array" ref="M6301">+_xlfn.IFS((C6301&gt;='Resultats - informe'!$D$26)*(C6301&lt;='Resultats - informe'!$E$26),0,(C6301&gt;='Resultats - informe'!$D$27)*(C6301&lt;='Resultats - informe'!$E$27),0,(C6301&gt;='Resultats - informe'!$D$28)*(C6301&lt;='Resultats - informe'!$E$28),0,(C6301&gt;='Resultats - informe'!$D$29)*(C6301&lt;='Resultats - informe'!$E$29),0,1,1)</f>
        <v>0</v>
      </c>
      <c r="N6301" s="366">
        <f>+VLOOKUP(D6301,'Resultats - informe'!$Y$18:$AG$42,'Introducció dades consum'!K6301+1,0)</f>
        <v>0</v>
      </c>
      <c r="O6301" s="370" cm="1">
        <f t="array" ref="O6301">+_xlfn.SWITCH(MONTH(C6301),1,1,2,1,3,1,4,2,5,2,6,3,7,3,8,3,9,3,10,2,11,2,12,1,2)</f>
        <v>1</v>
      </c>
      <c r="P6301" s="43"/>
    </row>
    <row r="6302" spans="1:16" ht="18" x14ac:dyDescent="0.35">
      <c r="A6302" s="9"/>
      <c r="C6302" s="393"/>
      <c r="E6302" s="394"/>
      <c r="F6302" s="394"/>
      <c r="G6302" s="394"/>
      <c r="I6302" s="368">
        <f t="shared" si="300"/>
        <v>0</v>
      </c>
      <c r="J6302" s="365">
        <f t="shared" si="301"/>
        <v>0</v>
      </c>
      <c r="K6302" s="369">
        <f t="shared" si="302"/>
        <v>6</v>
      </c>
      <c r="L6302" s="369">
        <f>+IF((C6302&gt;='Resultats - informe'!$E$16)*(C6302&lt;='Resultats - informe'!$G$16),1,0)</f>
        <v>1</v>
      </c>
      <c r="M6302" s="369" cm="1">
        <f t="array" ref="M6302">+_xlfn.IFS((C6302&gt;='Resultats - informe'!$D$26)*(C6302&lt;='Resultats - informe'!$E$26),0,(C6302&gt;='Resultats - informe'!$D$27)*(C6302&lt;='Resultats - informe'!$E$27),0,(C6302&gt;='Resultats - informe'!$D$28)*(C6302&lt;='Resultats - informe'!$E$28),0,(C6302&gt;='Resultats - informe'!$D$29)*(C6302&lt;='Resultats - informe'!$E$29),0,1,1)</f>
        <v>0</v>
      </c>
      <c r="N6302" s="366">
        <f>+VLOOKUP(D6302,'Resultats - informe'!$Y$18:$AG$42,'Introducció dades consum'!K6302+1,0)</f>
        <v>0</v>
      </c>
      <c r="O6302" s="370" cm="1">
        <f t="array" ref="O6302">+_xlfn.SWITCH(MONTH(C6302),1,1,2,1,3,1,4,2,5,2,6,3,7,3,8,3,9,3,10,2,11,2,12,1,2)</f>
        <v>1</v>
      </c>
      <c r="P6302" s="43"/>
    </row>
    <row r="6303" spans="1:16" ht="18" x14ac:dyDescent="0.35">
      <c r="A6303" s="9"/>
      <c r="C6303" s="393"/>
      <c r="E6303" s="394"/>
      <c r="F6303" s="394"/>
      <c r="G6303" s="394"/>
      <c r="I6303" s="368">
        <f t="shared" si="300"/>
        <v>0</v>
      </c>
      <c r="J6303" s="365">
        <f t="shared" si="301"/>
        <v>0</v>
      </c>
      <c r="K6303" s="369">
        <f t="shared" si="302"/>
        <v>6</v>
      </c>
      <c r="L6303" s="369">
        <f>+IF((C6303&gt;='Resultats - informe'!$E$16)*(C6303&lt;='Resultats - informe'!$G$16),1,0)</f>
        <v>1</v>
      </c>
      <c r="M6303" s="369" cm="1">
        <f t="array" ref="M6303">+_xlfn.IFS((C6303&gt;='Resultats - informe'!$D$26)*(C6303&lt;='Resultats - informe'!$E$26),0,(C6303&gt;='Resultats - informe'!$D$27)*(C6303&lt;='Resultats - informe'!$E$27),0,(C6303&gt;='Resultats - informe'!$D$28)*(C6303&lt;='Resultats - informe'!$E$28),0,(C6303&gt;='Resultats - informe'!$D$29)*(C6303&lt;='Resultats - informe'!$E$29),0,1,1)</f>
        <v>0</v>
      </c>
      <c r="N6303" s="366">
        <f>+VLOOKUP(D6303,'Resultats - informe'!$Y$18:$AG$42,'Introducció dades consum'!K6303+1,0)</f>
        <v>0</v>
      </c>
      <c r="O6303" s="370" cm="1">
        <f t="array" ref="O6303">+_xlfn.SWITCH(MONTH(C6303),1,1,2,1,3,1,4,2,5,2,6,3,7,3,8,3,9,3,10,2,11,2,12,1,2)</f>
        <v>1</v>
      </c>
      <c r="P6303" s="43"/>
    </row>
    <row r="6304" spans="1:16" ht="18" x14ac:dyDescent="0.35">
      <c r="A6304" s="9"/>
      <c r="C6304" s="393"/>
      <c r="E6304" s="394"/>
      <c r="F6304" s="394"/>
      <c r="G6304" s="394"/>
      <c r="I6304" s="368">
        <f t="shared" si="300"/>
        <v>0</v>
      </c>
      <c r="J6304" s="365">
        <f t="shared" si="301"/>
        <v>0</v>
      </c>
      <c r="K6304" s="369">
        <f t="shared" si="302"/>
        <v>6</v>
      </c>
      <c r="L6304" s="369">
        <f>+IF((C6304&gt;='Resultats - informe'!$E$16)*(C6304&lt;='Resultats - informe'!$G$16),1,0)</f>
        <v>1</v>
      </c>
      <c r="M6304" s="369" cm="1">
        <f t="array" ref="M6304">+_xlfn.IFS((C6304&gt;='Resultats - informe'!$D$26)*(C6304&lt;='Resultats - informe'!$E$26),0,(C6304&gt;='Resultats - informe'!$D$27)*(C6304&lt;='Resultats - informe'!$E$27),0,(C6304&gt;='Resultats - informe'!$D$28)*(C6304&lt;='Resultats - informe'!$E$28),0,(C6304&gt;='Resultats - informe'!$D$29)*(C6304&lt;='Resultats - informe'!$E$29),0,1,1)</f>
        <v>0</v>
      </c>
      <c r="N6304" s="366">
        <f>+VLOOKUP(D6304,'Resultats - informe'!$Y$18:$AG$42,'Introducció dades consum'!K6304+1,0)</f>
        <v>0</v>
      </c>
      <c r="O6304" s="370" cm="1">
        <f t="array" ref="O6304">+_xlfn.SWITCH(MONTH(C6304),1,1,2,1,3,1,4,2,5,2,6,3,7,3,8,3,9,3,10,2,11,2,12,1,2)</f>
        <v>1</v>
      </c>
      <c r="P6304" s="43"/>
    </row>
    <row r="6305" spans="1:16" ht="18" x14ac:dyDescent="0.35">
      <c r="A6305" s="9"/>
      <c r="C6305" s="393"/>
      <c r="E6305" s="394"/>
      <c r="F6305" s="394"/>
      <c r="G6305" s="394"/>
      <c r="I6305" s="368">
        <f t="shared" si="300"/>
        <v>0</v>
      </c>
      <c r="J6305" s="365">
        <f t="shared" si="301"/>
        <v>0</v>
      </c>
      <c r="K6305" s="369">
        <f t="shared" si="302"/>
        <v>6</v>
      </c>
      <c r="L6305" s="369">
        <f>+IF((C6305&gt;='Resultats - informe'!$E$16)*(C6305&lt;='Resultats - informe'!$G$16),1,0)</f>
        <v>1</v>
      </c>
      <c r="M6305" s="369" cm="1">
        <f t="array" ref="M6305">+_xlfn.IFS((C6305&gt;='Resultats - informe'!$D$26)*(C6305&lt;='Resultats - informe'!$E$26),0,(C6305&gt;='Resultats - informe'!$D$27)*(C6305&lt;='Resultats - informe'!$E$27),0,(C6305&gt;='Resultats - informe'!$D$28)*(C6305&lt;='Resultats - informe'!$E$28),0,(C6305&gt;='Resultats - informe'!$D$29)*(C6305&lt;='Resultats - informe'!$E$29),0,1,1)</f>
        <v>0</v>
      </c>
      <c r="N6305" s="366">
        <f>+VLOOKUP(D6305,'Resultats - informe'!$Y$18:$AG$42,'Introducció dades consum'!K6305+1,0)</f>
        <v>0</v>
      </c>
      <c r="O6305" s="370" cm="1">
        <f t="array" ref="O6305">+_xlfn.SWITCH(MONTH(C6305),1,1,2,1,3,1,4,2,5,2,6,3,7,3,8,3,9,3,10,2,11,2,12,1,2)</f>
        <v>1</v>
      </c>
      <c r="P6305" s="43"/>
    </row>
    <row r="6306" spans="1:16" ht="18" x14ac:dyDescent="0.35">
      <c r="A6306" s="9"/>
      <c r="C6306" s="393"/>
      <c r="E6306" s="394"/>
      <c r="F6306" s="394"/>
      <c r="G6306" s="394"/>
      <c r="I6306" s="368">
        <f t="shared" si="300"/>
        <v>0</v>
      </c>
      <c r="J6306" s="365">
        <f t="shared" si="301"/>
        <v>0</v>
      </c>
      <c r="K6306" s="369">
        <f t="shared" si="302"/>
        <v>6</v>
      </c>
      <c r="L6306" s="369">
        <f>+IF((C6306&gt;='Resultats - informe'!$E$16)*(C6306&lt;='Resultats - informe'!$G$16),1,0)</f>
        <v>1</v>
      </c>
      <c r="M6306" s="369" cm="1">
        <f t="array" ref="M6306">+_xlfn.IFS((C6306&gt;='Resultats - informe'!$D$26)*(C6306&lt;='Resultats - informe'!$E$26),0,(C6306&gt;='Resultats - informe'!$D$27)*(C6306&lt;='Resultats - informe'!$E$27),0,(C6306&gt;='Resultats - informe'!$D$28)*(C6306&lt;='Resultats - informe'!$E$28),0,(C6306&gt;='Resultats - informe'!$D$29)*(C6306&lt;='Resultats - informe'!$E$29),0,1,1)</f>
        <v>0</v>
      </c>
      <c r="N6306" s="366">
        <f>+VLOOKUP(D6306,'Resultats - informe'!$Y$18:$AG$42,'Introducció dades consum'!K6306+1,0)</f>
        <v>0</v>
      </c>
      <c r="O6306" s="370" cm="1">
        <f t="array" ref="O6306">+_xlfn.SWITCH(MONTH(C6306),1,1,2,1,3,1,4,2,5,2,6,3,7,3,8,3,9,3,10,2,11,2,12,1,2)</f>
        <v>1</v>
      </c>
      <c r="P6306" s="43"/>
    </row>
    <row r="6307" spans="1:16" ht="18" x14ac:dyDescent="0.35">
      <c r="A6307" s="9"/>
      <c r="C6307" s="393"/>
      <c r="E6307" s="394"/>
      <c r="F6307" s="394"/>
      <c r="G6307" s="394"/>
      <c r="I6307" s="368">
        <f t="shared" si="300"/>
        <v>0</v>
      </c>
      <c r="J6307" s="365">
        <f t="shared" si="301"/>
        <v>0</v>
      </c>
      <c r="K6307" s="369">
        <f t="shared" si="302"/>
        <v>6</v>
      </c>
      <c r="L6307" s="369">
        <f>+IF((C6307&gt;='Resultats - informe'!$E$16)*(C6307&lt;='Resultats - informe'!$G$16),1,0)</f>
        <v>1</v>
      </c>
      <c r="M6307" s="369" cm="1">
        <f t="array" ref="M6307">+_xlfn.IFS((C6307&gt;='Resultats - informe'!$D$26)*(C6307&lt;='Resultats - informe'!$E$26),0,(C6307&gt;='Resultats - informe'!$D$27)*(C6307&lt;='Resultats - informe'!$E$27),0,(C6307&gt;='Resultats - informe'!$D$28)*(C6307&lt;='Resultats - informe'!$E$28),0,(C6307&gt;='Resultats - informe'!$D$29)*(C6307&lt;='Resultats - informe'!$E$29),0,1,1)</f>
        <v>0</v>
      </c>
      <c r="N6307" s="366">
        <f>+VLOOKUP(D6307,'Resultats - informe'!$Y$18:$AG$42,'Introducció dades consum'!K6307+1,0)</f>
        <v>0</v>
      </c>
      <c r="O6307" s="370" cm="1">
        <f t="array" ref="O6307">+_xlfn.SWITCH(MONTH(C6307),1,1,2,1,3,1,4,2,5,2,6,3,7,3,8,3,9,3,10,2,11,2,12,1,2)</f>
        <v>1</v>
      </c>
      <c r="P6307" s="43"/>
    </row>
    <row r="6308" spans="1:16" ht="18" x14ac:dyDescent="0.35">
      <c r="A6308" s="9"/>
      <c r="C6308" s="393"/>
      <c r="E6308" s="394"/>
      <c r="F6308" s="394"/>
      <c r="G6308" s="394"/>
      <c r="I6308" s="368">
        <f t="shared" si="300"/>
        <v>0</v>
      </c>
      <c r="J6308" s="365">
        <f t="shared" si="301"/>
        <v>0</v>
      </c>
      <c r="K6308" s="369">
        <f t="shared" si="302"/>
        <v>6</v>
      </c>
      <c r="L6308" s="369">
        <f>+IF((C6308&gt;='Resultats - informe'!$E$16)*(C6308&lt;='Resultats - informe'!$G$16),1,0)</f>
        <v>1</v>
      </c>
      <c r="M6308" s="369" cm="1">
        <f t="array" ref="M6308">+_xlfn.IFS((C6308&gt;='Resultats - informe'!$D$26)*(C6308&lt;='Resultats - informe'!$E$26),0,(C6308&gt;='Resultats - informe'!$D$27)*(C6308&lt;='Resultats - informe'!$E$27),0,(C6308&gt;='Resultats - informe'!$D$28)*(C6308&lt;='Resultats - informe'!$E$28),0,(C6308&gt;='Resultats - informe'!$D$29)*(C6308&lt;='Resultats - informe'!$E$29),0,1,1)</f>
        <v>0</v>
      </c>
      <c r="N6308" s="366">
        <f>+VLOOKUP(D6308,'Resultats - informe'!$Y$18:$AG$42,'Introducció dades consum'!K6308+1,0)</f>
        <v>0</v>
      </c>
      <c r="O6308" s="370" cm="1">
        <f t="array" ref="O6308">+_xlfn.SWITCH(MONTH(C6308),1,1,2,1,3,1,4,2,5,2,6,3,7,3,8,3,9,3,10,2,11,2,12,1,2)</f>
        <v>1</v>
      </c>
      <c r="P6308" s="43"/>
    </row>
    <row r="6309" spans="1:16" ht="18" x14ac:dyDescent="0.35">
      <c r="A6309" s="9"/>
      <c r="C6309" s="393"/>
      <c r="E6309" s="394"/>
      <c r="F6309" s="394"/>
      <c r="G6309" s="394"/>
      <c r="I6309" s="368">
        <f t="shared" si="300"/>
        <v>0</v>
      </c>
      <c r="J6309" s="365">
        <f t="shared" si="301"/>
        <v>0</v>
      </c>
      <c r="K6309" s="369">
        <f t="shared" si="302"/>
        <v>6</v>
      </c>
      <c r="L6309" s="369">
        <f>+IF((C6309&gt;='Resultats - informe'!$E$16)*(C6309&lt;='Resultats - informe'!$G$16),1,0)</f>
        <v>1</v>
      </c>
      <c r="M6309" s="369" cm="1">
        <f t="array" ref="M6309">+_xlfn.IFS((C6309&gt;='Resultats - informe'!$D$26)*(C6309&lt;='Resultats - informe'!$E$26),0,(C6309&gt;='Resultats - informe'!$D$27)*(C6309&lt;='Resultats - informe'!$E$27),0,(C6309&gt;='Resultats - informe'!$D$28)*(C6309&lt;='Resultats - informe'!$E$28),0,(C6309&gt;='Resultats - informe'!$D$29)*(C6309&lt;='Resultats - informe'!$E$29),0,1,1)</f>
        <v>0</v>
      </c>
      <c r="N6309" s="366">
        <f>+VLOOKUP(D6309,'Resultats - informe'!$Y$18:$AG$42,'Introducció dades consum'!K6309+1,0)</f>
        <v>0</v>
      </c>
      <c r="O6309" s="370" cm="1">
        <f t="array" ref="O6309">+_xlfn.SWITCH(MONTH(C6309),1,1,2,1,3,1,4,2,5,2,6,3,7,3,8,3,9,3,10,2,11,2,12,1,2)</f>
        <v>1</v>
      </c>
      <c r="P6309" s="43"/>
    </row>
    <row r="6310" spans="1:16" ht="18" x14ac:dyDescent="0.35">
      <c r="A6310" s="9"/>
      <c r="C6310" s="393"/>
      <c r="E6310" s="394"/>
      <c r="F6310" s="394"/>
      <c r="G6310" s="394"/>
      <c r="I6310" s="368">
        <f t="shared" si="300"/>
        <v>0</v>
      </c>
      <c r="J6310" s="365">
        <f t="shared" si="301"/>
        <v>0</v>
      </c>
      <c r="K6310" s="369">
        <f t="shared" si="302"/>
        <v>6</v>
      </c>
      <c r="L6310" s="369">
        <f>+IF((C6310&gt;='Resultats - informe'!$E$16)*(C6310&lt;='Resultats - informe'!$G$16),1,0)</f>
        <v>1</v>
      </c>
      <c r="M6310" s="369" cm="1">
        <f t="array" ref="M6310">+_xlfn.IFS((C6310&gt;='Resultats - informe'!$D$26)*(C6310&lt;='Resultats - informe'!$E$26),0,(C6310&gt;='Resultats - informe'!$D$27)*(C6310&lt;='Resultats - informe'!$E$27),0,(C6310&gt;='Resultats - informe'!$D$28)*(C6310&lt;='Resultats - informe'!$E$28),0,(C6310&gt;='Resultats - informe'!$D$29)*(C6310&lt;='Resultats - informe'!$E$29),0,1,1)</f>
        <v>0</v>
      </c>
      <c r="N6310" s="366">
        <f>+VLOOKUP(D6310,'Resultats - informe'!$Y$18:$AG$42,'Introducció dades consum'!K6310+1,0)</f>
        <v>0</v>
      </c>
      <c r="O6310" s="370" cm="1">
        <f t="array" ref="O6310">+_xlfn.SWITCH(MONTH(C6310),1,1,2,1,3,1,4,2,5,2,6,3,7,3,8,3,9,3,10,2,11,2,12,1,2)</f>
        <v>1</v>
      </c>
      <c r="P6310" s="43"/>
    </row>
    <row r="6311" spans="1:16" ht="18" x14ac:dyDescent="0.35">
      <c r="A6311" s="9"/>
      <c r="C6311" s="393"/>
      <c r="E6311" s="394"/>
      <c r="F6311" s="394"/>
      <c r="G6311" s="394"/>
      <c r="I6311" s="368">
        <f t="shared" si="300"/>
        <v>0</v>
      </c>
      <c r="J6311" s="365">
        <f t="shared" si="301"/>
        <v>0</v>
      </c>
      <c r="K6311" s="369">
        <f t="shared" si="302"/>
        <v>6</v>
      </c>
      <c r="L6311" s="369">
        <f>+IF((C6311&gt;='Resultats - informe'!$E$16)*(C6311&lt;='Resultats - informe'!$G$16),1,0)</f>
        <v>1</v>
      </c>
      <c r="M6311" s="369" cm="1">
        <f t="array" ref="M6311">+_xlfn.IFS((C6311&gt;='Resultats - informe'!$D$26)*(C6311&lt;='Resultats - informe'!$E$26),0,(C6311&gt;='Resultats - informe'!$D$27)*(C6311&lt;='Resultats - informe'!$E$27),0,(C6311&gt;='Resultats - informe'!$D$28)*(C6311&lt;='Resultats - informe'!$E$28),0,(C6311&gt;='Resultats - informe'!$D$29)*(C6311&lt;='Resultats - informe'!$E$29),0,1,1)</f>
        <v>0</v>
      </c>
      <c r="N6311" s="366">
        <f>+VLOOKUP(D6311,'Resultats - informe'!$Y$18:$AG$42,'Introducció dades consum'!K6311+1,0)</f>
        <v>0</v>
      </c>
      <c r="O6311" s="370" cm="1">
        <f t="array" ref="O6311">+_xlfn.SWITCH(MONTH(C6311),1,1,2,1,3,1,4,2,5,2,6,3,7,3,8,3,9,3,10,2,11,2,12,1,2)</f>
        <v>1</v>
      </c>
      <c r="P6311" s="43"/>
    </row>
    <row r="6312" spans="1:16" ht="18" x14ac:dyDescent="0.35">
      <c r="A6312" s="9"/>
      <c r="C6312" s="393"/>
      <c r="E6312" s="394"/>
      <c r="F6312" s="394"/>
      <c r="G6312" s="394"/>
      <c r="I6312" s="368">
        <f t="shared" si="300"/>
        <v>0</v>
      </c>
      <c r="J6312" s="365">
        <f t="shared" si="301"/>
        <v>0</v>
      </c>
      <c r="K6312" s="369">
        <f t="shared" si="302"/>
        <v>6</v>
      </c>
      <c r="L6312" s="369">
        <f>+IF((C6312&gt;='Resultats - informe'!$E$16)*(C6312&lt;='Resultats - informe'!$G$16),1,0)</f>
        <v>1</v>
      </c>
      <c r="M6312" s="369" cm="1">
        <f t="array" ref="M6312">+_xlfn.IFS((C6312&gt;='Resultats - informe'!$D$26)*(C6312&lt;='Resultats - informe'!$E$26),0,(C6312&gt;='Resultats - informe'!$D$27)*(C6312&lt;='Resultats - informe'!$E$27),0,(C6312&gt;='Resultats - informe'!$D$28)*(C6312&lt;='Resultats - informe'!$E$28),0,(C6312&gt;='Resultats - informe'!$D$29)*(C6312&lt;='Resultats - informe'!$E$29),0,1,1)</f>
        <v>0</v>
      </c>
      <c r="N6312" s="366">
        <f>+VLOOKUP(D6312,'Resultats - informe'!$Y$18:$AG$42,'Introducció dades consum'!K6312+1,0)</f>
        <v>0</v>
      </c>
      <c r="O6312" s="370" cm="1">
        <f t="array" ref="O6312">+_xlfn.SWITCH(MONTH(C6312),1,1,2,1,3,1,4,2,5,2,6,3,7,3,8,3,9,3,10,2,11,2,12,1,2)</f>
        <v>1</v>
      </c>
      <c r="P6312" s="43"/>
    </row>
    <row r="6313" spans="1:16" ht="18" x14ac:dyDescent="0.35">
      <c r="A6313" s="9"/>
      <c r="C6313" s="393"/>
      <c r="E6313" s="394"/>
      <c r="F6313" s="394"/>
      <c r="G6313" s="394"/>
      <c r="I6313" s="368">
        <f t="shared" si="300"/>
        <v>0</v>
      </c>
      <c r="J6313" s="365">
        <f t="shared" si="301"/>
        <v>0</v>
      </c>
      <c r="K6313" s="369">
        <f t="shared" si="302"/>
        <v>6</v>
      </c>
      <c r="L6313" s="369">
        <f>+IF((C6313&gt;='Resultats - informe'!$E$16)*(C6313&lt;='Resultats - informe'!$G$16),1,0)</f>
        <v>1</v>
      </c>
      <c r="M6313" s="369" cm="1">
        <f t="array" ref="M6313">+_xlfn.IFS((C6313&gt;='Resultats - informe'!$D$26)*(C6313&lt;='Resultats - informe'!$E$26),0,(C6313&gt;='Resultats - informe'!$D$27)*(C6313&lt;='Resultats - informe'!$E$27),0,(C6313&gt;='Resultats - informe'!$D$28)*(C6313&lt;='Resultats - informe'!$E$28),0,(C6313&gt;='Resultats - informe'!$D$29)*(C6313&lt;='Resultats - informe'!$E$29),0,1,1)</f>
        <v>0</v>
      </c>
      <c r="N6313" s="366">
        <f>+VLOOKUP(D6313,'Resultats - informe'!$Y$18:$AG$42,'Introducció dades consum'!K6313+1,0)</f>
        <v>0</v>
      </c>
      <c r="O6313" s="370" cm="1">
        <f t="array" ref="O6313">+_xlfn.SWITCH(MONTH(C6313),1,1,2,1,3,1,4,2,5,2,6,3,7,3,8,3,9,3,10,2,11,2,12,1,2)</f>
        <v>1</v>
      </c>
      <c r="P6313" s="43"/>
    </row>
    <row r="6314" spans="1:16" ht="18" x14ac:dyDescent="0.35">
      <c r="A6314" s="9"/>
      <c r="C6314" s="393"/>
      <c r="E6314" s="394"/>
      <c r="F6314" s="394"/>
      <c r="G6314" s="394"/>
      <c r="I6314" s="368">
        <f t="shared" si="300"/>
        <v>0</v>
      </c>
      <c r="J6314" s="365">
        <f t="shared" si="301"/>
        <v>0</v>
      </c>
      <c r="K6314" s="369">
        <f t="shared" si="302"/>
        <v>6</v>
      </c>
      <c r="L6314" s="369">
        <f>+IF((C6314&gt;='Resultats - informe'!$E$16)*(C6314&lt;='Resultats - informe'!$G$16),1,0)</f>
        <v>1</v>
      </c>
      <c r="M6314" s="369" cm="1">
        <f t="array" ref="M6314">+_xlfn.IFS((C6314&gt;='Resultats - informe'!$D$26)*(C6314&lt;='Resultats - informe'!$E$26),0,(C6314&gt;='Resultats - informe'!$D$27)*(C6314&lt;='Resultats - informe'!$E$27),0,(C6314&gt;='Resultats - informe'!$D$28)*(C6314&lt;='Resultats - informe'!$E$28),0,(C6314&gt;='Resultats - informe'!$D$29)*(C6314&lt;='Resultats - informe'!$E$29),0,1,1)</f>
        <v>0</v>
      </c>
      <c r="N6314" s="366">
        <f>+VLOOKUP(D6314,'Resultats - informe'!$Y$18:$AG$42,'Introducció dades consum'!K6314+1,0)</f>
        <v>0</v>
      </c>
      <c r="O6314" s="370" cm="1">
        <f t="array" ref="O6314">+_xlfn.SWITCH(MONTH(C6314),1,1,2,1,3,1,4,2,5,2,6,3,7,3,8,3,9,3,10,2,11,2,12,1,2)</f>
        <v>1</v>
      </c>
      <c r="P6314" s="43"/>
    </row>
    <row r="6315" spans="1:16" ht="18" x14ac:dyDescent="0.35">
      <c r="A6315" s="9"/>
      <c r="C6315" s="393"/>
      <c r="E6315" s="394"/>
      <c r="F6315" s="394"/>
      <c r="G6315" s="394"/>
      <c r="I6315" s="368">
        <f t="shared" si="300"/>
        <v>0</v>
      </c>
      <c r="J6315" s="365">
        <f t="shared" si="301"/>
        <v>0</v>
      </c>
      <c r="K6315" s="369">
        <f t="shared" si="302"/>
        <v>6</v>
      </c>
      <c r="L6315" s="369">
        <f>+IF((C6315&gt;='Resultats - informe'!$E$16)*(C6315&lt;='Resultats - informe'!$G$16),1,0)</f>
        <v>1</v>
      </c>
      <c r="M6315" s="369" cm="1">
        <f t="array" ref="M6315">+_xlfn.IFS((C6315&gt;='Resultats - informe'!$D$26)*(C6315&lt;='Resultats - informe'!$E$26),0,(C6315&gt;='Resultats - informe'!$D$27)*(C6315&lt;='Resultats - informe'!$E$27),0,(C6315&gt;='Resultats - informe'!$D$28)*(C6315&lt;='Resultats - informe'!$E$28),0,(C6315&gt;='Resultats - informe'!$D$29)*(C6315&lt;='Resultats - informe'!$E$29),0,1,1)</f>
        <v>0</v>
      </c>
      <c r="N6315" s="366">
        <f>+VLOOKUP(D6315,'Resultats - informe'!$Y$18:$AG$42,'Introducció dades consum'!K6315+1,0)</f>
        <v>0</v>
      </c>
      <c r="O6315" s="370" cm="1">
        <f t="array" ref="O6315">+_xlfn.SWITCH(MONTH(C6315),1,1,2,1,3,1,4,2,5,2,6,3,7,3,8,3,9,3,10,2,11,2,12,1,2)</f>
        <v>1</v>
      </c>
      <c r="P6315" s="43"/>
    </row>
    <row r="6316" spans="1:16" ht="18" x14ac:dyDescent="0.35">
      <c r="A6316" s="9"/>
      <c r="C6316" s="393"/>
      <c r="E6316" s="394"/>
      <c r="F6316" s="394"/>
      <c r="G6316" s="394"/>
      <c r="I6316" s="368">
        <f t="shared" si="300"/>
        <v>0</v>
      </c>
      <c r="J6316" s="365">
        <f t="shared" si="301"/>
        <v>0</v>
      </c>
      <c r="K6316" s="369">
        <f t="shared" si="302"/>
        <v>6</v>
      </c>
      <c r="L6316" s="369">
        <f>+IF((C6316&gt;='Resultats - informe'!$E$16)*(C6316&lt;='Resultats - informe'!$G$16),1,0)</f>
        <v>1</v>
      </c>
      <c r="M6316" s="369" cm="1">
        <f t="array" ref="M6316">+_xlfn.IFS((C6316&gt;='Resultats - informe'!$D$26)*(C6316&lt;='Resultats - informe'!$E$26),0,(C6316&gt;='Resultats - informe'!$D$27)*(C6316&lt;='Resultats - informe'!$E$27),0,(C6316&gt;='Resultats - informe'!$D$28)*(C6316&lt;='Resultats - informe'!$E$28),0,(C6316&gt;='Resultats - informe'!$D$29)*(C6316&lt;='Resultats - informe'!$E$29),0,1,1)</f>
        <v>0</v>
      </c>
      <c r="N6316" s="366">
        <f>+VLOOKUP(D6316,'Resultats - informe'!$Y$18:$AG$42,'Introducció dades consum'!K6316+1,0)</f>
        <v>0</v>
      </c>
      <c r="O6316" s="370" cm="1">
        <f t="array" ref="O6316">+_xlfn.SWITCH(MONTH(C6316),1,1,2,1,3,1,4,2,5,2,6,3,7,3,8,3,9,3,10,2,11,2,12,1,2)</f>
        <v>1</v>
      </c>
      <c r="P6316" s="43"/>
    </row>
    <row r="6317" spans="1:16" ht="18" x14ac:dyDescent="0.35">
      <c r="A6317" s="9"/>
      <c r="C6317" s="393"/>
      <c r="E6317" s="394"/>
      <c r="F6317" s="394"/>
      <c r="G6317" s="394"/>
      <c r="I6317" s="368">
        <f t="shared" si="300"/>
        <v>0</v>
      </c>
      <c r="J6317" s="365">
        <f t="shared" si="301"/>
        <v>0</v>
      </c>
      <c r="K6317" s="369">
        <f t="shared" si="302"/>
        <v>6</v>
      </c>
      <c r="L6317" s="369">
        <f>+IF((C6317&gt;='Resultats - informe'!$E$16)*(C6317&lt;='Resultats - informe'!$G$16),1,0)</f>
        <v>1</v>
      </c>
      <c r="M6317" s="369" cm="1">
        <f t="array" ref="M6317">+_xlfn.IFS((C6317&gt;='Resultats - informe'!$D$26)*(C6317&lt;='Resultats - informe'!$E$26),0,(C6317&gt;='Resultats - informe'!$D$27)*(C6317&lt;='Resultats - informe'!$E$27),0,(C6317&gt;='Resultats - informe'!$D$28)*(C6317&lt;='Resultats - informe'!$E$28),0,(C6317&gt;='Resultats - informe'!$D$29)*(C6317&lt;='Resultats - informe'!$E$29),0,1,1)</f>
        <v>0</v>
      </c>
      <c r="N6317" s="366">
        <f>+VLOOKUP(D6317,'Resultats - informe'!$Y$18:$AG$42,'Introducció dades consum'!K6317+1,0)</f>
        <v>0</v>
      </c>
      <c r="O6317" s="370" cm="1">
        <f t="array" ref="O6317">+_xlfn.SWITCH(MONTH(C6317),1,1,2,1,3,1,4,2,5,2,6,3,7,3,8,3,9,3,10,2,11,2,12,1,2)</f>
        <v>1</v>
      </c>
      <c r="P6317" s="43"/>
    </row>
    <row r="6318" spans="1:16" ht="18" x14ac:dyDescent="0.35">
      <c r="A6318" s="9"/>
      <c r="C6318" s="393"/>
      <c r="E6318" s="394"/>
      <c r="F6318" s="394"/>
      <c r="G6318" s="394"/>
      <c r="I6318" s="368">
        <f t="shared" si="300"/>
        <v>0</v>
      </c>
      <c r="J6318" s="365">
        <f t="shared" si="301"/>
        <v>0</v>
      </c>
      <c r="K6318" s="369">
        <f t="shared" si="302"/>
        <v>6</v>
      </c>
      <c r="L6318" s="369">
        <f>+IF((C6318&gt;='Resultats - informe'!$E$16)*(C6318&lt;='Resultats - informe'!$G$16),1,0)</f>
        <v>1</v>
      </c>
      <c r="M6318" s="369" cm="1">
        <f t="array" ref="M6318">+_xlfn.IFS((C6318&gt;='Resultats - informe'!$D$26)*(C6318&lt;='Resultats - informe'!$E$26),0,(C6318&gt;='Resultats - informe'!$D$27)*(C6318&lt;='Resultats - informe'!$E$27),0,(C6318&gt;='Resultats - informe'!$D$28)*(C6318&lt;='Resultats - informe'!$E$28),0,(C6318&gt;='Resultats - informe'!$D$29)*(C6318&lt;='Resultats - informe'!$E$29),0,1,1)</f>
        <v>0</v>
      </c>
      <c r="N6318" s="366">
        <f>+VLOOKUP(D6318,'Resultats - informe'!$Y$18:$AG$42,'Introducció dades consum'!K6318+1,0)</f>
        <v>0</v>
      </c>
      <c r="O6318" s="370" cm="1">
        <f t="array" ref="O6318">+_xlfn.SWITCH(MONTH(C6318),1,1,2,1,3,1,4,2,5,2,6,3,7,3,8,3,9,3,10,2,11,2,12,1,2)</f>
        <v>1</v>
      </c>
      <c r="P6318" s="43"/>
    </row>
    <row r="6319" spans="1:16" ht="18" x14ac:dyDescent="0.35">
      <c r="A6319" s="9"/>
      <c r="C6319" s="393"/>
      <c r="E6319" s="394"/>
      <c r="F6319" s="394"/>
      <c r="G6319" s="394"/>
      <c r="I6319" s="368">
        <f t="shared" si="300"/>
        <v>0</v>
      </c>
      <c r="J6319" s="365">
        <f t="shared" si="301"/>
        <v>0</v>
      </c>
      <c r="K6319" s="369">
        <f t="shared" si="302"/>
        <v>6</v>
      </c>
      <c r="L6319" s="369">
        <f>+IF((C6319&gt;='Resultats - informe'!$E$16)*(C6319&lt;='Resultats - informe'!$G$16),1,0)</f>
        <v>1</v>
      </c>
      <c r="M6319" s="369" cm="1">
        <f t="array" ref="M6319">+_xlfn.IFS((C6319&gt;='Resultats - informe'!$D$26)*(C6319&lt;='Resultats - informe'!$E$26),0,(C6319&gt;='Resultats - informe'!$D$27)*(C6319&lt;='Resultats - informe'!$E$27),0,(C6319&gt;='Resultats - informe'!$D$28)*(C6319&lt;='Resultats - informe'!$E$28),0,(C6319&gt;='Resultats - informe'!$D$29)*(C6319&lt;='Resultats - informe'!$E$29),0,1,1)</f>
        <v>0</v>
      </c>
      <c r="N6319" s="366">
        <f>+VLOOKUP(D6319,'Resultats - informe'!$Y$18:$AG$42,'Introducció dades consum'!K6319+1,0)</f>
        <v>0</v>
      </c>
      <c r="O6319" s="370" cm="1">
        <f t="array" ref="O6319">+_xlfn.SWITCH(MONTH(C6319),1,1,2,1,3,1,4,2,5,2,6,3,7,3,8,3,9,3,10,2,11,2,12,1,2)</f>
        <v>1</v>
      </c>
      <c r="P6319" s="43"/>
    </row>
    <row r="6320" spans="1:16" ht="18" x14ac:dyDescent="0.35">
      <c r="A6320" s="9"/>
      <c r="C6320" s="393"/>
      <c r="E6320" s="394"/>
      <c r="F6320" s="394"/>
      <c r="G6320" s="394"/>
      <c r="I6320" s="368">
        <f t="shared" si="300"/>
        <v>0</v>
      </c>
      <c r="J6320" s="365">
        <f t="shared" si="301"/>
        <v>0</v>
      </c>
      <c r="K6320" s="369">
        <f t="shared" si="302"/>
        <v>6</v>
      </c>
      <c r="L6320" s="369">
        <f>+IF((C6320&gt;='Resultats - informe'!$E$16)*(C6320&lt;='Resultats - informe'!$G$16),1,0)</f>
        <v>1</v>
      </c>
      <c r="M6320" s="369" cm="1">
        <f t="array" ref="M6320">+_xlfn.IFS((C6320&gt;='Resultats - informe'!$D$26)*(C6320&lt;='Resultats - informe'!$E$26),0,(C6320&gt;='Resultats - informe'!$D$27)*(C6320&lt;='Resultats - informe'!$E$27),0,(C6320&gt;='Resultats - informe'!$D$28)*(C6320&lt;='Resultats - informe'!$E$28),0,(C6320&gt;='Resultats - informe'!$D$29)*(C6320&lt;='Resultats - informe'!$E$29),0,1,1)</f>
        <v>0</v>
      </c>
      <c r="N6320" s="366">
        <f>+VLOOKUP(D6320,'Resultats - informe'!$Y$18:$AG$42,'Introducció dades consum'!K6320+1,0)</f>
        <v>0</v>
      </c>
      <c r="O6320" s="370" cm="1">
        <f t="array" ref="O6320">+_xlfn.SWITCH(MONTH(C6320),1,1,2,1,3,1,4,2,5,2,6,3,7,3,8,3,9,3,10,2,11,2,12,1,2)</f>
        <v>1</v>
      </c>
      <c r="P6320" s="43"/>
    </row>
    <row r="6321" spans="1:16" ht="18" x14ac:dyDescent="0.35">
      <c r="A6321" s="9"/>
      <c r="C6321" s="393"/>
      <c r="E6321" s="394"/>
      <c r="F6321" s="394"/>
      <c r="G6321" s="394"/>
      <c r="I6321" s="368">
        <f t="shared" si="300"/>
        <v>0</v>
      </c>
      <c r="J6321" s="365">
        <f t="shared" si="301"/>
        <v>0</v>
      </c>
      <c r="K6321" s="369">
        <f t="shared" si="302"/>
        <v>6</v>
      </c>
      <c r="L6321" s="369">
        <f>+IF((C6321&gt;='Resultats - informe'!$E$16)*(C6321&lt;='Resultats - informe'!$G$16),1,0)</f>
        <v>1</v>
      </c>
      <c r="M6321" s="369" cm="1">
        <f t="array" ref="M6321">+_xlfn.IFS((C6321&gt;='Resultats - informe'!$D$26)*(C6321&lt;='Resultats - informe'!$E$26),0,(C6321&gt;='Resultats - informe'!$D$27)*(C6321&lt;='Resultats - informe'!$E$27),0,(C6321&gt;='Resultats - informe'!$D$28)*(C6321&lt;='Resultats - informe'!$E$28),0,(C6321&gt;='Resultats - informe'!$D$29)*(C6321&lt;='Resultats - informe'!$E$29),0,1,1)</f>
        <v>0</v>
      </c>
      <c r="N6321" s="366">
        <f>+VLOOKUP(D6321,'Resultats - informe'!$Y$18:$AG$42,'Introducció dades consum'!K6321+1,0)</f>
        <v>0</v>
      </c>
      <c r="O6321" s="370" cm="1">
        <f t="array" ref="O6321">+_xlfn.SWITCH(MONTH(C6321),1,1,2,1,3,1,4,2,5,2,6,3,7,3,8,3,9,3,10,2,11,2,12,1,2)</f>
        <v>1</v>
      </c>
      <c r="P6321" s="43"/>
    </row>
    <row r="6322" spans="1:16" ht="18" x14ac:dyDescent="0.35">
      <c r="A6322" s="9"/>
      <c r="C6322" s="393"/>
      <c r="E6322" s="394"/>
      <c r="F6322" s="394"/>
      <c r="G6322" s="394"/>
      <c r="I6322" s="368">
        <f t="shared" si="300"/>
        <v>0</v>
      </c>
      <c r="J6322" s="365">
        <f t="shared" si="301"/>
        <v>0</v>
      </c>
      <c r="K6322" s="369">
        <f t="shared" si="302"/>
        <v>6</v>
      </c>
      <c r="L6322" s="369">
        <f>+IF((C6322&gt;='Resultats - informe'!$E$16)*(C6322&lt;='Resultats - informe'!$G$16),1,0)</f>
        <v>1</v>
      </c>
      <c r="M6322" s="369" cm="1">
        <f t="array" ref="M6322">+_xlfn.IFS((C6322&gt;='Resultats - informe'!$D$26)*(C6322&lt;='Resultats - informe'!$E$26),0,(C6322&gt;='Resultats - informe'!$D$27)*(C6322&lt;='Resultats - informe'!$E$27),0,(C6322&gt;='Resultats - informe'!$D$28)*(C6322&lt;='Resultats - informe'!$E$28),0,(C6322&gt;='Resultats - informe'!$D$29)*(C6322&lt;='Resultats - informe'!$E$29),0,1,1)</f>
        <v>0</v>
      </c>
      <c r="N6322" s="366">
        <f>+VLOOKUP(D6322,'Resultats - informe'!$Y$18:$AG$42,'Introducció dades consum'!K6322+1,0)</f>
        <v>0</v>
      </c>
      <c r="O6322" s="370" cm="1">
        <f t="array" ref="O6322">+_xlfn.SWITCH(MONTH(C6322),1,1,2,1,3,1,4,2,5,2,6,3,7,3,8,3,9,3,10,2,11,2,12,1,2)</f>
        <v>1</v>
      </c>
      <c r="P6322" s="43"/>
    </row>
    <row r="6323" spans="1:16" ht="18" x14ac:dyDescent="0.35">
      <c r="A6323" s="9"/>
      <c r="C6323" s="393"/>
      <c r="E6323" s="394"/>
      <c r="F6323" s="394"/>
      <c r="G6323" s="394"/>
      <c r="I6323" s="368">
        <f t="shared" si="300"/>
        <v>0</v>
      </c>
      <c r="J6323" s="365">
        <f t="shared" si="301"/>
        <v>0</v>
      </c>
      <c r="K6323" s="369">
        <f t="shared" si="302"/>
        <v>6</v>
      </c>
      <c r="L6323" s="369">
        <f>+IF((C6323&gt;='Resultats - informe'!$E$16)*(C6323&lt;='Resultats - informe'!$G$16),1,0)</f>
        <v>1</v>
      </c>
      <c r="M6323" s="369" cm="1">
        <f t="array" ref="M6323">+_xlfn.IFS((C6323&gt;='Resultats - informe'!$D$26)*(C6323&lt;='Resultats - informe'!$E$26),0,(C6323&gt;='Resultats - informe'!$D$27)*(C6323&lt;='Resultats - informe'!$E$27),0,(C6323&gt;='Resultats - informe'!$D$28)*(C6323&lt;='Resultats - informe'!$E$28),0,(C6323&gt;='Resultats - informe'!$D$29)*(C6323&lt;='Resultats - informe'!$E$29),0,1,1)</f>
        <v>0</v>
      </c>
      <c r="N6323" s="366">
        <f>+VLOOKUP(D6323,'Resultats - informe'!$Y$18:$AG$42,'Introducció dades consum'!K6323+1,0)</f>
        <v>0</v>
      </c>
      <c r="O6323" s="370" cm="1">
        <f t="array" ref="O6323">+_xlfn.SWITCH(MONTH(C6323),1,1,2,1,3,1,4,2,5,2,6,3,7,3,8,3,9,3,10,2,11,2,12,1,2)</f>
        <v>1</v>
      </c>
      <c r="P6323" s="43"/>
    </row>
    <row r="6324" spans="1:16" ht="18" x14ac:dyDescent="0.35">
      <c r="A6324" s="9"/>
      <c r="C6324" s="393"/>
      <c r="E6324" s="394"/>
      <c r="F6324" s="394"/>
      <c r="G6324" s="394"/>
      <c r="I6324" s="368">
        <f t="shared" si="300"/>
        <v>0</v>
      </c>
      <c r="J6324" s="365">
        <f t="shared" si="301"/>
        <v>0</v>
      </c>
      <c r="K6324" s="369">
        <f t="shared" si="302"/>
        <v>6</v>
      </c>
      <c r="L6324" s="369">
        <f>+IF((C6324&gt;='Resultats - informe'!$E$16)*(C6324&lt;='Resultats - informe'!$G$16),1,0)</f>
        <v>1</v>
      </c>
      <c r="M6324" s="369" cm="1">
        <f t="array" ref="M6324">+_xlfn.IFS((C6324&gt;='Resultats - informe'!$D$26)*(C6324&lt;='Resultats - informe'!$E$26),0,(C6324&gt;='Resultats - informe'!$D$27)*(C6324&lt;='Resultats - informe'!$E$27),0,(C6324&gt;='Resultats - informe'!$D$28)*(C6324&lt;='Resultats - informe'!$E$28),0,(C6324&gt;='Resultats - informe'!$D$29)*(C6324&lt;='Resultats - informe'!$E$29),0,1,1)</f>
        <v>0</v>
      </c>
      <c r="N6324" s="366">
        <f>+VLOOKUP(D6324,'Resultats - informe'!$Y$18:$AG$42,'Introducció dades consum'!K6324+1,0)</f>
        <v>0</v>
      </c>
      <c r="O6324" s="370" cm="1">
        <f t="array" ref="O6324">+_xlfn.SWITCH(MONTH(C6324),1,1,2,1,3,1,4,2,5,2,6,3,7,3,8,3,9,3,10,2,11,2,12,1,2)</f>
        <v>1</v>
      </c>
      <c r="P6324" s="43"/>
    </row>
    <row r="6325" spans="1:16" ht="18" x14ac:dyDescent="0.35">
      <c r="A6325" s="9"/>
      <c r="C6325" s="393"/>
      <c r="E6325" s="394"/>
      <c r="F6325" s="394"/>
      <c r="G6325" s="394"/>
      <c r="I6325" s="368">
        <f t="shared" si="300"/>
        <v>0</v>
      </c>
      <c r="J6325" s="365">
        <f t="shared" si="301"/>
        <v>0</v>
      </c>
      <c r="K6325" s="369">
        <f t="shared" si="302"/>
        <v>6</v>
      </c>
      <c r="L6325" s="369">
        <f>+IF((C6325&gt;='Resultats - informe'!$E$16)*(C6325&lt;='Resultats - informe'!$G$16),1,0)</f>
        <v>1</v>
      </c>
      <c r="M6325" s="369" cm="1">
        <f t="array" ref="M6325">+_xlfn.IFS((C6325&gt;='Resultats - informe'!$D$26)*(C6325&lt;='Resultats - informe'!$E$26),0,(C6325&gt;='Resultats - informe'!$D$27)*(C6325&lt;='Resultats - informe'!$E$27),0,(C6325&gt;='Resultats - informe'!$D$28)*(C6325&lt;='Resultats - informe'!$E$28),0,(C6325&gt;='Resultats - informe'!$D$29)*(C6325&lt;='Resultats - informe'!$E$29),0,1,1)</f>
        <v>0</v>
      </c>
      <c r="N6325" s="366">
        <f>+VLOOKUP(D6325,'Resultats - informe'!$Y$18:$AG$42,'Introducció dades consum'!K6325+1,0)</f>
        <v>0</v>
      </c>
      <c r="O6325" s="370" cm="1">
        <f t="array" ref="O6325">+_xlfn.SWITCH(MONTH(C6325),1,1,2,1,3,1,4,2,5,2,6,3,7,3,8,3,9,3,10,2,11,2,12,1,2)</f>
        <v>1</v>
      </c>
      <c r="P6325" s="43"/>
    </row>
    <row r="6326" spans="1:16" ht="18" x14ac:dyDescent="0.35">
      <c r="A6326" s="9"/>
      <c r="C6326" s="393"/>
      <c r="E6326" s="394"/>
      <c r="F6326" s="394"/>
      <c r="G6326" s="394"/>
      <c r="I6326" s="368">
        <f t="shared" si="300"/>
        <v>0</v>
      </c>
      <c r="J6326" s="365">
        <f t="shared" si="301"/>
        <v>0</v>
      </c>
      <c r="K6326" s="369">
        <f t="shared" si="302"/>
        <v>6</v>
      </c>
      <c r="L6326" s="369">
        <f>+IF((C6326&gt;='Resultats - informe'!$E$16)*(C6326&lt;='Resultats - informe'!$G$16),1,0)</f>
        <v>1</v>
      </c>
      <c r="M6326" s="369" cm="1">
        <f t="array" ref="M6326">+_xlfn.IFS((C6326&gt;='Resultats - informe'!$D$26)*(C6326&lt;='Resultats - informe'!$E$26),0,(C6326&gt;='Resultats - informe'!$D$27)*(C6326&lt;='Resultats - informe'!$E$27),0,(C6326&gt;='Resultats - informe'!$D$28)*(C6326&lt;='Resultats - informe'!$E$28),0,(C6326&gt;='Resultats - informe'!$D$29)*(C6326&lt;='Resultats - informe'!$E$29),0,1,1)</f>
        <v>0</v>
      </c>
      <c r="N6326" s="366">
        <f>+VLOOKUP(D6326,'Resultats - informe'!$Y$18:$AG$42,'Introducció dades consum'!K6326+1,0)</f>
        <v>0</v>
      </c>
      <c r="O6326" s="370" cm="1">
        <f t="array" ref="O6326">+_xlfn.SWITCH(MONTH(C6326),1,1,2,1,3,1,4,2,5,2,6,3,7,3,8,3,9,3,10,2,11,2,12,1,2)</f>
        <v>1</v>
      </c>
      <c r="P6326" s="43"/>
    </row>
    <row r="6327" spans="1:16" ht="18" x14ac:dyDescent="0.35">
      <c r="A6327" s="9"/>
      <c r="C6327" s="393"/>
      <c r="E6327" s="394"/>
      <c r="F6327" s="394"/>
      <c r="G6327" s="394"/>
      <c r="I6327" s="368">
        <f t="shared" si="300"/>
        <v>0</v>
      </c>
      <c r="J6327" s="365">
        <f t="shared" si="301"/>
        <v>0</v>
      </c>
      <c r="K6327" s="369">
        <f t="shared" si="302"/>
        <v>6</v>
      </c>
      <c r="L6327" s="369">
        <f>+IF((C6327&gt;='Resultats - informe'!$E$16)*(C6327&lt;='Resultats - informe'!$G$16),1,0)</f>
        <v>1</v>
      </c>
      <c r="M6327" s="369" cm="1">
        <f t="array" ref="M6327">+_xlfn.IFS((C6327&gt;='Resultats - informe'!$D$26)*(C6327&lt;='Resultats - informe'!$E$26),0,(C6327&gt;='Resultats - informe'!$D$27)*(C6327&lt;='Resultats - informe'!$E$27),0,(C6327&gt;='Resultats - informe'!$D$28)*(C6327&lt;='Resultats - informe'!$E$28),0,(C6327&gt;='Resultats - informe'!$D$29)*(C6327&lt;='Resultats - informe'!$E$29),0,1,1)</f>
        <v>0</v>
      </c>
      <c r="N6327" s="366">
        <f>+VLOOKUP(D6327,'Resultats - informe'!$Y$18:$AG$42,'Introducció dades consum'!K6327+1,0)</f>
        <v>0</v>
      </c>
      <c r="O6327" s="370" cm="1">
        <f t="array" ref="O6327">+_xlfn.SWITCH(MONTH(C6327),1,1,2,1,3,1,4,2,5,2,6,3,7,3,8,3,9,3,10,2,11,2,12,1,2)</f>
        <v>1</v>
      </c>
      <c r="P6327" s="43"/>
    </row>
    <row r="6328" spans="1:16" ht="18" x14ac:dyDescent="0.35">
      <c r="A6328" s="9"/>
      <c r="C6328" s="393"/>
      <c r="E6328" s="394"/>
      <c r="F6328" s="394"/>
      <c r="G6328" s="394"/>
      <c r="I6328" s="368">
        <f t="shared" si="300"/>
        <v>0</v>
      </c>
      <c r="J6328" s="365">
        <f t="shared" si="301"/>
        <v>0</v>
      </c>
      <c r="K6328" s="369">
        <f t="shared" si="302"/>
        <v>6</v>
      </c>
      <c r="L6328" s="369">
        <f>+IF((C6328&gt;='Resultats - informe'!$E$16)*(C6328&lt;='Resultats - informe'!$G$16),1,0)</f>
        <v>1</v>
      </c>
      <c r="M6328" s="369" cm="1">
        <f t="array" ref="M6328">+_xlfn.IFS((C6328&gt;='Resultats - informe'!$D$26)*(C6328&lt;='Resultats - informe'!$E$26),0,(C6328&gt;='Resultats - informe'!$D$27)*(C6328&lt;='Resultats - informe'!$E$27),0,(C6328&gt;='Resultats - informe'!$D$28)*(C6328&lt;='Resultats - informe'!$E$28),0,(C6328&gt;='Resultats - informe'!$D$29)*(C6328&lt;='Resultats - informe'!$E$29),0,1,1)</f>
        <v>0</v>
      </c>
      <c r="N6328" s="366">
        <f>+VLOOKUP(D6328,'Resultats - informe'!$Y$18:$AG$42,'Introducció dades consum'!K6328+1,0)</f>
        <v>0</v>
      </c>
      <c r="O6328" s="370" cm="1">
        <f t="array" ref="O6328">+_xlfn.SWITCH(MONTH(C6328),1,1,2,1,3,1,4,2,5,2,6,3,7,3,8,3,9,3,10,2,11,2,12,1,2)</f>
        <v>1</v>
      </c>
      <c r="P6328" s="43"/>
    </row>
    <row r="6329" spans="1:16" ht="18" x14ac:dyDescent="0.35">
      <c r="A6329" s="9"/>
      <c r="C6329" s="393"/>
      <c r="E6329" s="394"/>
      <c r="F6329" s="394"/>
      <c r="G6329" s="394"/>
      <c r="I6329" s="368">
        <f t="shared" si="300"/>
        <v>0</v>
      </c>
      <c r="J6329" s="365">
        <f t="shared" si="301"/>
        <v>0</v>
      </c>
      <c r="K6329" s="369">
        <f t="shared" si="302"/>
        <v>6</v>
      </c>
      <c r="L6329" s="369">
        <f>+IF((C6329&gt;='Resultats - informe'!$E$16)*(C6329&lt;='Resultats - informe'!$G$16),1,0)</f>
        <v>1</v>
      </c>
      <c r="M6329" s="369" cm="1">
        <f t="array" ref="M6329">+_xlfn.IFS((C6329&gt;='Resultats - informe'!$D$26)*(C6329&lt;='Resultats - informe'!$E$26),0,(C6329&gt;='Resultats - informe'!$D$27)*(C6329&lt;='Resultats - informe'!$E$27),0,(C6329&gt;='Resultats - informe'!$D$28)*(C6329&lt;='Resultats - informe'!$E$28),0,(C6329&gt;='Resultats - informe'!$D$29)*(C6329&lt;='Resultats - informe'!$E$29),0,1,1)</f>
        <v>0</v>
      </c>
      <c r="N6329" s="366">
        <f>+VLOOKUP(D6329,'Resultats - informe'!$Y$18:$AG$42,'Introducció dades consum'!K6329+1,0)</f>
        <v>0</v>
      </c>
      <c r="O6329" s="370" cm="1">
        <f t="array" ref="O6329">+_xlfn.SWITCH(MONTH(C6329),1,1,2,1,3,1,4,2,5,2,6,3,7,3,8,3,9,3,10,2,11,2,12,1,2)</f>
        <v>1</v>
      </c>
      <c r="P6329" s="43"/>
    </row>
    <row r="6330" spans="1:16" ht="18" x14ac:dyDescent="0.35">
      <c r="A6330" s="9"/>
      <c r="C6330" s="393"/>
      <c r="E6330" s="394"/>
      <c r="F6330" s="394"/>
      <c r="G6330" s="394"/>
      <c r="I6330" s="368">
        <f t="shared" si="300"/>
        <v>0</v>
      </c>
      <c r="J6330" s="365">
        <f t="shared" si="301"/>
        <v>0</v>
      </c>
      <c r="K6330" s="369">
        <f t="shared" si="302"/>
        <v>6</v>
      </c>
      <c r="L6330" s="369">
        <f>+IF((C6330&gt;='Resultats - informe'!$E$16)*(C6330&lt;='Resultats - informe'!$G$16),1,0)</f>
        <v>1</v>
      </c>
      <c r="M6330" s="369" cm="1">
        <f t="array" ref="M6330">+_xlfn.IFS((C6330&gt;='Resultats - informe'!$D$26)*(C6330&lt;='Resultats - informe'!$E$26),0,(C6330&gt;='Resultats - informe'!$D$27)*(C6330&lt;='Resultats - informe'!$E$27),0,(C6330&gt;='Resultats - informe'!$D$28)*(C6330&lt;='Resultats - informe'!$E$28),0,(C6330&gt;='Resultats - informe'!$D$29)*(C6330&lt;='Resultats - informe'!$E$29),0,1,1)</f>
        <v>0</v>
      </c>
      <c r="N6330" s="366">
        <f>+VLOOKUP(D6330,'Resultats - informe'!$Y$18:$AG$42,'Introducció dades consum'!K6330+1,0)</f>
        <v>0</v>
      </c>
      <c r="O6330" s="370" cm="1">
        <f t="array" ref="O6330">+_xlfn.SWITCH(MONTH(C6330),1,1,2,1,3,1,4,2,5,2,6,3,7,3,8,3,9,3,10,2,11,2,12,1,2)</f>
        <v>1</v>
      </c>
      <c r="P6330" s="43"/>
    </row>
    <row r="6331" spans="1:16" ht="18" x14ac:dyDescent="0.35">
      <c r="A6331" s="9"/>
      <c r="C6331" s="393"/>
      <c r="E6331" s="394"/>
      <c r="F6331" s="394"/>
      <c r="G6331" s="394"/>
      <c r="I6331" s="368">
        <f t="shared" si="300"/>
        <v>0</v>
      </c>
      <c r="J6331" s="365">
        <f t="shared" si="301"/>
        <v>0</v>
      </c>
      <c r="K6331" s="369">
        <f t="shared" si="302"/>
        <v>6</v>
      </c>
      <c r="L6331" s="369">
        <f>+IF((C6331&gt;='Resultats - informe'!$E$16)*(C6331&lt;='Resultats - informe'!$G$16),1,0)</f>
        <v>1</v>
      </c>
      <c r="M6331" s="369" cm="1">
        <f t="array" ref="M6331">+_xlfn.IFS((C6331&gt;='Resultats - informe'!$D$26)*(C6331&lt;='Resultats - informe'!$E$26),0,(C6331&gt;='Resultats - informe'!$D$27)*(C6331&lt;='Resultats - informe'!$E$27),0,(C6331&gt;='Resultats - informe'!$D$28)*(C6331&lt;='Resultats - informe'!$E$28),0,(C6331&gt;='Resultats - informe'!$D$29)*(C6331&lt;='Resultats - informe'!$E$29),0,1,1)</f>
        <v>0</v>
      </c>
      <c r="N6331" s="366">
        <f>+VLOOKUP(D6331,'Resultats - informe'!$Y$18:$AG$42,'Introducció dades consum'!K6331+1,0)</f>
        <v>0</v>
      </c>
      <c r="O6331" s="370" cm="1">
        <f t="array" ref="O6331">+_xlfn.SWITCH(MONTH(C6331),1,1,2,1,3,1,4,2,5,2,6,3,7,3,8,3,9,3,10,2,11,2,12,1,2)</f>
        <v>1</v>
      </c>
      <c r="P6331" s="43"/>
    </row>
    <row r="6332" spans="1:16" ht="18" x14ac:dyDescent="0.35">
      <c r="A6332" s="9"/>
      <c r="C6332" s="393"/>
      <c r="E6332" s="394"/>
      <c r="F6332" s="394"/>
      <c r="G6332" s="394"/>
      <c r="I6332" s="368">
        <f t="shared" si="300"/>
        <v>0</v>
      </c>
      <c r="J6332" s="365">
        <f t="shared" si="301"/>
        <v>0</v>
      </c>
      <c r="K6332" s="369">
        <f t="shared" si="302"/>
        <v>6</v>
      </c>
      <c r="L6332" s="369">
        <f>+IF((C6332&gt;='Resultats - informe'!$E$16)*(C6332&lt;='Resultats - informe'!$G$16),1,0)</f>
        <v>1</v>
      </c>
      <c r="M6332" s="369" cm="1">
        <f t="array" ref="M6332">+_xlfn.IFS((C6332&gt;='Resultats - informe'!$D$26)*(C6332&lt;='Resultats - informe'!$E$26),0,(C6332&gt;='Resultats - informe'!$D$27)*(C6332&lt;='Resultats - informe'!$E$27),0,(C6332&gt;='Resultats - informe'!$D$28)*(C6332&lt;='Resultats - informe'!$E$28),0,(C6332&gt;='Resultats - informe'!$D$29)*(C6332&lt;='Resultats - informe'!$E$29),0,1,1)</f>
        <v>0</v>
      </c>
      <c r="N6332" s="366">
        <f>+VLOOKUP(D6332,'Resultats - informe'!$Y$18:$AG$42,'Introducció dades consum'!K6332+1,0)</f>
        <v>0</v>
      </c>
      <c r="O6332" s="370" cm="1">
        <f t="array" ref="O6332">+_xlfn.SWITCH(MONTH(C6332),1,1,2,1,3,1,4,2,5,2,6,3,7,3,8,3,9,3,10,2,11,2,12,1,2)</f>
        <v>1</v>
      </c>
      <c r="P6332" s="43"/>
    </row>
    <row r="6333" spans="1:16" ht="18" x14ac:dyDescent="0.35">
      <c r="A6333" s="9"/>
      <c r="C6333" s="393"/>
      <c r="E6333" s="394"/>
      <c r="F6333" s="394"/>
      <c r="G6333" s="394"/>
      <c r="I6333" s="368">
        <f t="shared" si="300"/>
        <v>0</v>
      </c>
      <c r="J6333" s="365">
        <f t="shared" si="301"/>
        <v>0</v>
      </c>
      <c r="K6333" s="369">
        <f t="shared" si="302"/>
        <v>6</v>
      </c>
      <c r="L6333" s="369">
        <f>+IF((C6333&gt;='Resultats - informe'!$E$16)*(C6333&lt;='Resultats - informe'!$G$16),1,0)</f>
        <v>1</v>
      </c>
      <c r="M6333" s="369" cm="1">
        <f t="array" ref="M6333">+_xlfn.IFS((C6333&gt;='Resultats - informe'!$D$26)*(C6333&lt;='Resultats - informe'!$E$26),0,(C6333&gt;='Resultats - informe'!$D$27)*(C6333&lt;='Resultats - informe'!$E$27),0,(C6333&gt;='Resultats - informe'!$D$28)*(C6333&lt;='Resultats - informe'!$E$28),0,(C6333&gt;='Resultats - informe'!$D$29)*(C6333&lt;='Resultats - informe'!$E$29),0,1,1)</f>
        <v>0</v>
      </c>
      <c r="N6333" s="366">
        <f>+VLOOKUP(D6333,'Resultats - informe'!$Y$18:$AG$42,'Introducció dades consum'!K6333+1,0)</f>
        <v>0</v>
      </c>
      <c r="O6333" s="370" cm="1">
        <f t="array" ref="O6333">+_xlfn.SWITCH(MONTH(C6333),1,1,2,1,3,1,4,2,5,2,6,3,7,3,8,3,9,3,10,2,11,2,12,1,2)</f>
        <v>1</v>
      </c>
      <c r="P6333" s="43"/>
    </row>
    <row r="6334" spans="1:16" ht="18" x14ac:dyDescent="0.35">
      <c r="A6334" s="9"/>
      <c r="C6334" s="393"/>
      <c r="E6334" s="394"/>
      <c r="F6334" s="394"/>
      <c r="G6334" s="394"/>
      <c r="I6334" s="368">
        <f t="shared" si="300"/>
        <v>0</v>
      </c>
      <c r="J6334" s="365">
        <f t="shared" si="301"/>
        <v>0</v>
      </c>
      <c r="K6334" s="369">
        <f t="shared" si="302"/>
        <v>6</v>
      </c>
      <c r="L6334" s="369">
        <f>+IF((C6334&gt;='Resultats - informe'!$E$16)*(C6334&lt;='Resultats - informe'!$G$16),1,0)</f>
        <v>1</v>
      </c>
      <c r="M6334" s="369" cm="1">
        <f t="array" ref="M6334">+_xlfn.IFS((C6334&gt;='Resultats - informe'!$D$26)*(C6334&lt;='Resultats - informe'!$E$26),0,(C6334&gt;='Resultats - informe'!$D$27)*(C6334&lt;='Resultats - informe'!$E$27),0,(C6334&gt;='Resultats - informe'!$D$28)*(C6334&lt;='Resultats - informe'!$E$28),0,(C6334&gt;='Resultats - informe'!$D$29)*(C6334&lt;='Resultats - informe'!$E$29),0,1,1)</f>
        <v>0</v>
      </c>
      <c r="N6334" s="366">
        <f>+VLOOKUP(D6334,'Resultats - informe'!$Y$18:$AG$42,'Introducció dades consum'!K6334+1,0)</f>
        <v>0</v>
      </c>
      <c r="O6334" s="370" cm="1">
        <f t="array" ref="O6334">+_xlfn.SWITCH(MONTH(C6334),1,1,2,1,3,1,4,2,5,2,6,3,7,3,8,3,9,3,10,2,11,2,12,1,2)</f>
        <v>1</v>
      </c>
      <c r="P6334" s="43"/>
    </row>
    <row r="6335" spans="1:16" ht="18" x14ac:dyDescent="0.35">
      <c r="A6335" s="9"/>
      <c r="C6335" s="393"/>
      <c r="E6335" s="394"/>
      <c r="F6335" s="394"/>
      <c r="G6335" s="394"/>
      <c r="I6335" s="368">
        <f t="shared" si="300"/>
        <v>0</v>
      </c>
      <c r="J6335" s="365">
        <f t="shared" si="301"/>
        <v>0</v>
      </c>
      <c r="K6335" s="369">
        <f t="shared" si="302"/>
        <v>6</v>
      </c>
      <c r="L6335" s="369">
        <f>+IF((C6335&gt;='Resultats - informe'!$E$16)*(C6335&lt;='Resultats - informe'!$G$16),1,0)</f>
        <v>1</v>
      </c>
      <c r="M6335" s="369" cm="1">
        <f t="array" ref="M6335">+_xlfn.IFS((C6335&gt;='Resultats - informe'!$D$26)*(C6335&lt;='Resultats - informe'!$E$26),0,(C6335&gt;='Resultats - informe'!$D$27)*(C6335&lt;='Resultats - informe'!$E$27),0,(C6335&gt;='Resultats - informe'!$D$28)*(C6335&lt;='Resultats - informe'!$E$28),0,(C6335&gt;='Resultats - informe'!$D$29)*(C6335&lt;='Resultats - informe'!$E$29),0,1,1)</f>
        <v>0</v>
      </c>
      <c r="N6335" s="366">
        <f>+VLOOKUP(D6335,'Resultats - informe'!$Y$18:$AG$42,'Introducció dades consum'!K6335+1,0)</f>
        <v>0</v>
      </c>
      <c r="O6335" s="370" cm="1">
        <f t="array" ref="O6335">+_xlfn.SWITCH(MONTH(C6335),1,1,2,1,3,1,4,2,5,2,6,3,7,3,8,3,9,3,10,2,11,2,12,1,2)</f>
        <v>1</v>
      </c>
      <c r="P6335" s="43"/>
    </row>
    <row r="6336" spans="1:16" ht="18" x14ac:dyDescent="0.35">
      <c r="A6336" s="9"/>
      <c r="C6336" s="393"/>
      <c r="E6336" s="394"/>
      <c r="F6336" s="394"/>
      <c r="G6336" s="394"/>
      <c r="I6336" s="368">
        <f t="shared" si="300"/>
        <v>0</v>
      </c>
      <c r="J6336" s="365">
        <f t="shared" si="301"/>
        <v>0</v>
      </c>
      <c r="K6336" s="369">
        <f t="shared" si="302"/>
        <v>6</v>
      </c>
      <c r="L6336" s="369">
        <f>+IF((C6336&gt;='Resultats - informe'!$E$16)*(C6336&lt;='Resultats - informe'!$G$16),1,0)</f>
        <v>1</v>
      </c>
      <c r="M6336" s="369" cm="1">
        <f t="array" ref="M6336">+_xlfn.IFS((C6336&gt;='Resultats - informe'!$D$26)*(C6336&lt;='Resultats - informe'!$E$26),0,(C6336&gt;='Resultats - informe'!$D$27)*(C6336&lt;='Resultats - informe'!$E$27),0,(C6336&gt;='Resultats - informe'!$D$28)*(C6336&lt;='Resultats - informe'!$E$28),0,(C6336&gt;='Resultats - informe'!$D$29)*(C6336&lt;='Resultats - informe'!$E$29),0,1,1)</f>
        <v>0</v>
      </c>
      <c r="N6336" s="366">
        <f>+VLOOKUP(D6336,'Resultats - informe'!$Y$18:$AG$42,'Introducció dades consum'!K6336+1,0)</f>
        <v>0</v>
      </c>
      <c r="O6336" s="370" cm="1">
        <f t="array" ref="O6336">+_xlfn.SWITCH(MONTH(C6336),1,1,2,1,3,1,4,2,5,2,6,3,7,3,8,3,9,3,10,2,11,2,12,1,2)</f>
        <v>1</v>
      </c>
      <c r="P6336" s="43"/>
    </row>
    <row r="6337" spans="1:16" ht="18" x14ac:dyDescent="0.35">
      <c r="A6337" s="9"/>
      <c r="C6337" s="393"/>
      <c r="E6337" s="394"/>
      <c r="F6337" s="394"/>
      <c r="G6337" s="394"/>
      <c r="I6337" s="368">
        <f t="shared" si="300"/>
        <v>0</v>
      </c>
      <c r="J6337" s="365">
        <f t="shared" si="301"/>
        <v>0</v>
      </c>
      <c r="K6337" s="369">
        <f t="shared" si="302"/>
        <v>6</v>
      </c>
      <c r="L6337" s="369">
        <f>+IF((C6337&gt;='Resultats - informe'!$E$16)*(C6337&lt;='Resultats - informe'!$G$16),1,0)</f>
        <v>1</v>
      </c>
      <c r="M6337" s="369" cm="1">
        <f t="array" ref="M6337">+_xlfn.IFS((C6337&gt;='Resultats - informe'!$D$26)*(C6337&lt;='Resultats - informe'!$E$26),0,(C6337&gt;='Resultats - informe'!$D$27)*(C6337&lt;='Resultats - informe'!$E$27),0,(C6337&gt;='Resultats - informe'!$D$28)*(C6337&lt;='Resultats - informe'!$E$28),0,(C6337&gt;='Resultats - informe'!$D$29)*(C6337&lt;='Resultats - informe'!$E$29),0,1,1)</f>
        <v>0</v>
      </c>
      <c r="N6337" s="366">
        <f>+VLOOKUP(D6337,'Resultats - informe'!$Y$18:$AG$42,'Introducció dades consum'!K6337+1,0)</f>
        <v>0</v>
      </c>
      <c r="O6337" s="370" cm="1">
        <f t="array" ref="O6337">+_xlfn.SWITCH(MONTH(C6337),1,1,2,1,3,1,4,2,5,2,6,3,7,3,8,3,9,3,10,2,11,2,12,1,2)</f>
        <v>1</v>
      </c>
      <c r="P6337" s="43"/>
    </row>
    <row r="6338" spans="1:16" ht="18" x14ac:dyDescent="0.35">
      <c r="A6338" s="9"/>
      <c r="C6338" s="393"/>
      <c r="E6338" s="394"/>
      <c r="F6338" s="394"/>
      <c r="G6338" s="394"/>
      <c r="I6338" s="368">
        <f t="shared" si="300"/>
        <v>0</v>
      </c>
      <c r="J6338" s="365">
        <f t="shared" si="301"/>
        <v>0</v>
      </c>
      <c r="K6338" s="369">
        <f t="shared" si="302"/>
        <v>6</v>
      </c>
      <c r="L6338" s="369">
        <f>+IF((C6338&gt;='Resultats - informe'!$E$16)*(C6338&lt;='Resultats - informe'!$G$16),1,0)</f>
        <v>1</v>
      </c>
      <c r="M6338" s="369" cm="1">
        <f t="array" ref="M6338">+_xlfn.IFS((C6338&gt;='Resultats - informe'!$D$26)*(C6338&lt;='Resultats - informe'!$E$26),0,(C6338&gt;='Resultats - informe'!$D$27)*(C6338&lt;='Resultats - informe'!$E$27),0,(C6338&gt;='Resultats - informe'!$D$28)*(C6338&lt;='Resultats - informe'!$E$28),0,(C6338&gt;='Resultats - informe'!$D$29)*(C6338&lt;='Resultats - informe'!$E$29),0,1,1)</f>
        <v>0</v>
      </c>
      <c r="N6338" s="366">
        <f>+VLOOKUP(D6338,'Resultats - informe'!$Y$18:$AG$42,'Introducció dades consum'!K6338+1,0)</f>
        <v>0</v>
      </c>
      <c r="O6338" s="370" cm="1">
        <f t="array" ref="O6338">+_xlfn.SWITCH(MONTH(C6338),1,1,2,1,3,1,4,2,5,2,6,3,7,3,8,3,9,3,10,2,11,2,12,1,2)</f>
        <v>1</v>
      </c>
      <c r="P6338" s="43"/>
    </row>
    <row r="6339" spans="1:16" ht="18" x14ac:dyDescent="0.35">
      <c r="A6339" s="9"/>
      <c r="C6339" s="393"/>
      <c r="E6339" s="394"/>
      <c r="F6339" s="394"/>
      <c r="G6339" s="394"/>
      <c r="I6339" s="368">
        <f t="shared" si="300"/>
        <v>0</v>
      </c>
      <c r="J6339" s="365">
        <f t="shared" si="301"/>
        <v>0</v>
      </c>
      <c r="K6339" s="369">
        <f t="shared" si="302"/>
        <v>6</v>
      </c>
      <c r="L6339" s="369">
        <f>+IF((C6339&gt;='Resultats - informe'!$E$16)*(C6339&lt;='Resultats - informe'!$G$16),1,0)</f>
        <v>1</v>
      </c>
      <c r="M6339" s="369" cm="1">
        <f t="array" ref="M6339">+_xlfn.IFS((C6339&gt;='Resultats - informe'!$D$26)*(C6339&lt;='Resultats - informe'!$E$26),0,(C6339&gt;='Resultats - informe'!$D$27)*(C6339&lt;='Resultats - informe'!$E$27),0,(C6339&gt;='Resultats - informe'!$D$28)*(C6339&lt;='Resultats - informe'!$E$28),0,(C6339&gt;='Resultats - informe'!$D$29)*(C6339&lt;='Resultats - informe'!$E$29),0,1,1)</f>
        <v>0</v>
      </c>
      <c r="N6339" s="366">
        <f>+VLOOKUP(D6339,'Resultats - informe'!$Y$18:$AG$42,'Introducció dades consum'!K6339+1,0)</f>
        <v>0</v>
      </c>
      <c r="O6339" s="370" cm="1">
        <f t="array" ref="O6339">+_xlfn.SWITCH(MONTH(C6339),1,1,2,1,3,1,4,2,5,2,6,3,7,3,8,3,9,3,10,2,11,2,12,1,2)</f>
        <v>1</v>
      </c>
      <c r="P6339" s="43"/>
    </row>
    <row r="6340" spans="1:16" ht="18" x14ac:dyDescent="0.35">
      <c r="A6340" s="9"/>
      <c r="C6340" s="393"/>
      <c r="E6340" s="394"/>
      <c r="F6340" s="394"/>
      <c r="G6340" s="394"/>
      <c r="I6340" s="368">
        <f t="shared" si="300"/>
        <v>0</v>
      </c>
      <c r="J6340" s="365">
        <f t="shared" si="301"/>
        <v>0</v>
      </c>
      <c r="K6340" s="369">
        <f t="shared" si="302"/>
        <v>6</v>
      </c>
      <c r="L6340" s="369">
        <f>+IF((C6340&gt;='Resultats - informe'!$E$16)*(C6340&lt;='Resultats - informe'!$G$16),1,0)</f>
        <v>1</v>
      </c>
      <c r="M6340" s="369" cm="1">
        <f t="array" ref="M6340">+_xlfn.IFS((C6340&gt;='Resultats - informe'!$D$26)*(C6340&lt;='Resultats - informe'!$E$26),0,(C6340&gt;='Resultats - informe'!$D$27)*(C6340&lt;='Resultats - informe'!$E$27),0,(C6340&gt;='Resultats - informe'!$D$28)*(C6340&lt;='Resultats - informe'!$E$28),0,(C6340&gt;='Resultats - informe'!$D$29)*(C6340&lt;='Resultats - informe'!$E$29),0,1,1)</f>
        <v>0</v>
      </c>
      <c r="N6340" s="366">
        <f>+VLOOKUP(D6340,'Resultats - informe'!$Y$18:$AG$42,'Introducció dades consum'!K6340+1,0)</f>
        <v>0</v>
      </c>
      <c r="O6340" s="370" cm="1">
        <f t="array" ref="O6340">+_xlfn.SWITCH(MONTH(C6340),1,1,2,1,3,1,4,2,5,2,6,3,7,3,8,3,9,3,10,2,11,2,12,1,2)</f>
        <v>1</v>
      </c>
      <c r="P6340" s="43"/>
    </row>
    <row r="6341" spans="1:16" ht="18" x14ac:dyDescent="0.35">
      <c r="A6341" s="9"/>
      <c r="C6341" s="393"/>
      <c r="E6341" s="394"/>
      <c r="F6341" s="394"/>
      <c r="G6341" s="394"/>
      <c r="I6341" s="368">
        <f t="shared" si="300"/>
        <v>0</v>
      </c>
      <c r="J6341" s="365">
        <f t="shared" si="301"/>
        <v>0</v>
      </c>
      <c r="K6341" s="369">
        <f t="shared" si="302"/>
        <v>6</v>
      </c>
      <c r="L6341" s="369">
        <f>+IF((C6341&gt;='Resultats - informe'!$E$16)*(C6341&lt;='Resultats - informe'!$G$16),1,0)</f>
        <v>1</v>
      </c>
      <c r="M6341" s="369" cm="1">
        <f t="array" ref="M6341">+_xlfn.IFS((C6341&gt;='Resultats - informe'!$D$26)*(C6341&lt;='Resultats - informe'!$E$26),0,(C6341&gt;='Resultats - informe'!$D$27)*(C6341&lt;='Resultats - informe'!$E$27),0,(C6341&gt;='Resultats - informe'!$D$28)*(C6341&lt;='Resultats - informe'!$E$28),0,(C6341&gt;='Resultats - informe'!$D$29)*(C6341&lt;='Resultats - informe'!$E$29),0,1,1)</f>
        <v>0</v>
      </c>
      <c r="N6341" s="366">
        <f>+VLOOKUP(D6341,'Resultats - informe'!$Y$18:$AG$42,'Introducció dades consum'!K6341+1,0)</f>
        <v>0</v>
      </c>
      <c r="O6341" s="370" cm="1">
        <f t="array" ref="O6341">+_xlfn.SWITCH(MONTH(C6341),1,1,2,1,3,1,4,2,5,2,6,3,7,3,8,3,9,3,10,2,11,2,12,1,2)</f>
        <v>1</v>
      </c>
      <c r="P6341" s="43"/>
    </row>
    <row r="6342" spans="1:16" ht="18" x14ac:dyDescent="0.35">
      <c r="A6342" s="9"/>
      <c r="C6342" s="393"/>
      <c r="E6342" s="394"/>
      <c r="F6342" s="394"/>
      <c r="G6342" s="394"/>
      <c r="I6342" s="368">
        <f t="shared" si="300"/>
        <v>0</v>
      </c>
      <c r="J6342" s="365">
        <f t="shared" si="301"/>
        <v>0</v>
      </c>
      <c r="K6342" s="369">
        <f t="shared" si="302"/>
        <v>6</v>
      </c>
      <c r="L6342" s="369">
        <f>+IF((C6342&gt;='Resultats - informe'!$E$16)*(C6342&lt;='Resultats - informe'!$G$16),1,0)</f>
        <v>1</v>
      </c>
      <c r="M6342" s="369" cm="1">
        <f t="array" ref="M6342">+_xlfn.IFS((C6342&gt;='Resultats - informe'!$D$26)*(C6342&lt;='Resultats - informe'!$E$26),0,(C6342&gt;='Resultats - informe'!$D$27)*(C6342&lt;='Resultats - informe'!$E$27),0,(C6342&gt;='Resultats - informe'!$D$28)*(C6342&lt;='Resultats - informe'!$E$28),0,(C6342&gt;='Resultats - informe'!$D$29)*(C6342&lt;='Resultats - informe'!$E$29),0,1,1)</f>
        <v>0</v>
      </c>
      <c r="N6342" s="366">
        <f>+VLOOKUP(D6342,'Resultats - informe'!$Y$18:$AG$42,'Introducció dades consum'!K6342+1,0)</f>
        <v>0</v>
      </c>
      <c r="O6342" s="370" cm="1">
        <f t="array" ref="O6342">+_xlfn.SWITCH(MONTH(C6342),1,1,2,1,3,1,4,2,5,2,6,3,7,3,8,3,9,3,10,2,11,2,12,1,2)</f>
        <v>1</v>
      </c>
      <c r="P6342" s="43"/>
    </row>
    <row r="6343" spans="1:16" ht="18" x14ac:dyDescent="0.35">
      <c r="A6343" s="9"/>
      <c r="C6343" s="393"/>
      <c r="E6343" s="394"/>
      <c r="F6343" s="394"/>
      <c r="G6343" s="394"/>
      <c r="I6343" s="368">
        <f t="shared" si="300"/>
        <v>0</v>
      </c>
      <c r="J6343" s="365">
        <f t="shared" si="301"/>
        <v>0</v>
      </c>
      <c r="K6343" s="369">
        <f t="shared" si="302"/>
        <v>6</v>
      </c>
      <c r="L6343" s="369">
        <f>+IF((C6343&gt;='Resultats - informe'!$E$16)*(C6343&lt;='Resultats - informe'!$G$16),1,0)</f>
        <v>1</v>
      </c>
      <c r="M6343" s="369" cm="1">
        <f t="array" ref="M6343">+_xlfn.IFS((C6343&gt;='Resultats - informe'!$D$26)*(C6343&lt;='Resultats - informe'!$E$26),0,(C6343&gt;='Resultats - informe'!$D$27)*(C6343&lt;='Resultats - informe'!$E$27),0,(C6343&gt;='Resultats - informe'!$D$28)*(C6343&lt;='Resultats - informe'!$E$28),0,(C6343&gt;='Resultats - informe'!$D$29)*(C6343&lt;='Resultats - informe'!$E$29),0,1,1)</f>
        <v>0</v>
      </c>
      <c r="N6343" s="366">
        <f>+VLOOKUP(D6343,'Resultats - informe'!$Y$18:$AG$42,'Introducció dades consum'!K6343+1,0)</f>
        <v>0</v>
      </c>
      <c r="O6343" s="370" cm="1">
        <f t="array" ref="O6343">+_xlfn.SWITCH(MONTH(C6343),1,1,2,1,3,1,4,2,5,2,6,3,7,3,8,3,9,3,10,2,11,2,12,1,2)</f>
        <v>1</v>
      </c>
      <c r="P6343" s="43"/>
    </row>
    <row r="6344" spans="1:16" ht="18" x14ac:dyDescent="0.35">
      <c r="A6344" s="9"/>
      <c r="C6344" s="393"/>
      <c r="E6344" s="394"/>
      <c r="F6344" s="394"/>
      <c r="G6344" s="394"/>
      <c r="I6344" s="368">
        <f t="shared" si="300"/>
        <v>0</v>
      </c>
      <c r="J6344" s="365">
        <f t="shared" si="301"/>
        <v>0</v>
      </c>
      <c r="K6344" s="369">
        <f t="shared" si="302"/>
        <v>6</v>
      </c>
      <c r="L6344" s="369">
        <f>+IF((C6344&gt;='Resultats - informe'!$E$16)*(C6344&lt;='Resultats - informe'!$G$16),1,0)</f>
        <v>1</v>
      </c>
      <c r="M6344" s="369" cm="1">
        <f t="array" ref="M6344">+_xlfn.IFS((C6344&gt;='Resultats - informe'!$D$26)*(C6344&lt;='Resultats - informe'!$E$26),0,(C6344&gt;='Resultats - informe'!$D$27)*(C6344&lt;='Resultats - informe'!$E$27),0,(C6344&gt;='Resultats - informe'!$D$28)*(C6344&lt;='Resultats - informe'!$E$28),0,(C6344&gt;='Resultats - informe'!$D$29)*(C6344&lt;='Resultats - informe'!$E$29),0,1,1)</f>
        <v>0</v>
      </c>
      <c r="N6344" s="366">
        <f>+VLOOKUP(D6344,'Resultats - informe'!$Y$18:$AG$42,'Introducció dades consum'!K6344+1,0)</f>
        <v>0</v>
      </c>
      <c r="O6344" s="370" cm="1">
        <f t="array" ref="O6344">+_xlfn.SWITCH(MONTH(C6344),1,1,2,1,3,1,4,2,5,2,6,3,7,3,8,3,9,3,10,2,11,2,12,1,2)</f>
        <v>1</v>
      </c>
      <c r="P6344" s="43"/>
    </row>
    <row r="6345" spans="1:16" ht="18" x14ac:dyDescent="0.35">
      <c r="A6345" s="9"/>
      <c r="C6345" s="393"/>
      <c r="E6345" s="394"/>
      <c r="F6345" s="394"/>
      <c r="G6345" s="394"/>
      <c r="I6345" s="368">
        <f t="shared" si="300"/>
        <v>0</v>
      </c>
      <c r="J6345" s="365">
        <f t="shared" si="301"/>
        <v>0</v>
      </c>
      <c r="K6345" s="369">
        <f t="shared" si="302"/>
        <v>6</v>
      </c>
      <c r="L6345" s="369">
        <f>+IF((C6345&gt;='Resultats - informe'!$E$16)*(C6345&lt;='Resultats - informe'!$G$16),1,0)</f>
        <v>1</v>
      </c>
      <c r="M6345" s="369" cm="1">
        <f t="array" ref="M6345">+_xlfn.IFS((C6345&gt;='Resultats - informe'!$D$26)*(C6345&lt;='Resultats - informe'!$E$26),0,(C6345&gt;='Resultats - informe'!$D$27)*(C6345&lt;='Resultats - informe'!$E$27),0,(C6345&gt;='Resultats - informe'!$D$28)*(C6345&lt;='Resultats - informe'!$E$28),0,(C6345&gt;='Resultats - informe'!$D$29)*(C6345&lt;='Resultats - informe'!$E$29),0,1,1)</f>
        <v>0</v>
      </c>
      <c r="N6345" s="366">
        <f>+VLOOKUP(D6345,'Resultats - informe'!$Y$18:$AG$42,'Introducció dades consum'!K6345+1,0)</f>
        <v>0</v>
      </c>
      <c r="O6345" s="370" cm="1">
        <f t="array" ref="O6345">+_xlfn.SWITCH(MONTH(C6345),1,1,2,1,3,1,4,2,5,2,6,3,7,3,8,3,9,3,10,2,11,2,12,1,2)</f>
        <v>1</v>
      </c>
      <c r="P6345" s="43"/>
    </row>
    <row r="6346" spans="1:16" ht="18" x14ac:dyDescent="0.35">
      <c r="A6346" s="9"/>
      <c r="C6346" s="393"/>
      <c r="E6346" s="394"/>
      <c r="F6346" s="394"/>
      <c r="G6346" s="394"/>
      <c r="I6346" s="368">
        <f t="shared" si="300"/>
        <v>0</v>
      </c>
      <c r="J6346" s="365">
        <f t="shared" si="301"/>
        <v>0</v>
      </c>
      <c r="K6346" s="369">
        <f t="shared" si="302"/>
        <v>6</v>
      </c>
      <c r="L6346" s="369">
        <f>+IF((C6346&gt;='Resultats - informe'!$E$16)*(C6346&lt;='Resultats - informe'!$G$16),1,0)</f>
        <v>1</v>
      </c>
      <c r="M6346" s="369" cm="1">
        <f t="array" ref="M6346">+_xlfn.IFS((C6346&gt;='Resultats - informe'!$D$26)*(C6346&lt;='Resultats - informe'!$E$26),0,(C6346&gt;='Resultats - informe'!$D$27)*(C6346&lt;='Resultats - informe'!$E$27),0,(C6346&gt;='Resultats - informe'!$D$28)*(C6346&lt;='Resultats - informe'!$E$28),0,(C6346&gt;='Resultats - informe'!$D$29)*(C6346&lt;='Resultats - informe'!$E$29),0,1,1)</f>
        <v>0</v>
      </c>
      <c r="N6346" s="366">
        <f>+VLOOKUP(D6346,'Resultats - informe'!$Y$18:$AG$42,'Introducció dades consum'!K6346+1,0)</f>
        <v>0</v>
      </c>
      <c r="O6346" s="370" cm="1">
        <f t="array" ref="O6346">+_xlfn.SWITCH(MONTH(C6346),1,1,2,1,3,1,4,2,5,2,6,3,7,3,8,3,9,3,10,2,11,2,12,1,2)</f>
        <v>1</v>
      </c>
      <c r="P6346" s="43"/>
    </row>
    <row r="6347" spans="1:16" ht="18" x14ac:dyDescent="0.35">
      <c r="A6347" s="9"/>
      <c r="C6347" s="393"/>
      <c r="E6347" s="394"/>
      <c r="F6347" s="394"/>
      <c r="G6347" s="394"/>
      <c r="I6347" s="368">
        <f t="shared" si="300"/>
        <v>0</v>
      </c>
      <c r="J6347" s="365">
        <f t="shared" si="301"/>
        <v>0</v>
      </c>
      <c r="K6347" s="369">
        <f t="shared" si="302"/>
        <v>6</v>
      </c>
      <c r="L6347" s="369">
        <f>+IF((C6347&gt;='Resultats - informe'!$E$16)*(C6347&lt;='Resultats - informe'!$G$16),1,0)</f>
        <v>1</v>
      </c>
      <c r="M6347" s="369" cm="1">
        <f t="array" ref="M6347">+_xlfn.IFS((C6347&gt;='Resultats - informe'!$D$26)*(C6347&lt;='Resultats - informe'!$E$26),0,(C6347&gt;='Resultats - informe'!$D$27)*(C6347&lt;='Resultats - informe'!$E$27),0,(C6347&gt;='Resultats - informe'!$D$28)*(C6347&lt;='Resultats - informe'!$E$28),0,(C6347&gt;='Resultats - informe'!$D$29)*(C6347&lt;='Resultats - informe'!$E$29),0,1,1)</f>
        <v>0</v>
      </c>
      <c r="N6347" s="366">
        <f>+VLOOKUP(D6347,'Resultats - informe'!$Y$18:$AG$42,'Introducció dades consum'!K6347+1,0)</f>
        <v>0</v>
      </c>
      <c r="O6347" s="370" cm="1">
        <f t="array" ref="O6347">+_xlfn.SWITCH(MONTH(C6347),1,1,2,1,3,1,4,2,5,2,6,3,7,3,8,3,9,3,10,2,11,2,12,1,2)</f>
        <v>1</v>
      </c>
      <c r="P6347" s="43"/>
    </row>
    <row r="6348" spans="1:16" ht="18" x14ac:dyDescent="0.35">
      <c r="A6348" s="9"/>
      <c r="C6348" s="393"/>
      <c r="E6348" s="394"/>
      <c r="F6348" s="394"/>
      <c r="G6348" s="394"/>
      <c r="I6348" s="368">
        <f t="shared" si="300"/>
        <v>0</v>
      </c>
      <c r="J6348" s="365">
        <f t="shared" si="301"/>
        <v>0</v>
      </c>
      <c r="K6348" s="369">
        <f t="shared" si="302"/>
        <v>6</v>
      </c>
      <c r="L6348" s="369">
        <f>+IF((C6348&gt;='Resultats - informe'!$E$16)*(C6348&lt;='Resultats - informe'!$G$16),1,0)</f>
        <v>1</v>
      </c>
      <c r="M6348" s="369" cm="1">
        <f t="array" ref="M6348">+_xlfn.IFS((C6348&gt;='Resultats - informe'!$D$26)*(C6348&lt;='Resultats - informe'!$E$26),0,(C6348&gt;='Resultats - informe'!$D$27)*(C6348&lt;='Resultats - informe'!$E$27),0,(C6348&gt;='Resultats - informe'!$D$28)*(C6348&lt;='Resultats - informe'!$E$28),0,(C6348&gt;='Resultats - informe'!$D$29)*(C6348&lt;='Resultats - informe'!$E$29),0,1,1)</f>
        <v>0</v>
      </c>
      <c r="N6348" s="366">
        <f>+VLOOKUP(D6348,'Resultats - informe'!$Y$18:$AG$42,'Introducció dades consum'!K6348+1,0)</f>
        <v>0</v>
      </c>
      <c r="O6348" s="370" cm="1">
        <f t="array" ref="O6348">+_xlfn.SWITCH(MONTH(C6348),1,1,2,1,3,1,4,2,5,2,6,3,7,3,8,3,9,3,10,2,11,2,12,1,2)</f>
        <v>1</v>
      </c>
      <c r="P6348" s="43"/>
    </row>
    <row r="6349" spans="1:16" ht="18" x14ac:dyDescent="0.35">
      <c r="A6349" s="9"/>
      <c r="C6349" s="393"/>
      <c r="E6349" s="394"/>
      <c r="F6349" s="394"/>
      <c r="G6349" s="394"/>
      <c r="I6349" s="368">
        <f t="shared" si="300"/>
        <v>0</v>
      </c>
      <c r="J6349" s="365">
        <f t="shared" si="301"/>
        <v>0</v>
      </c>
      <c r="K6349" s="369">
        <f t="shared" si="302"/>
        <v>6</v>
      </c>
      <c r="L6349" s="369">
        <f>+IF((C6349&gt;='Resultats - informe'!$E$16)*(C6349&lt;='Resultats - informe'!$G$16),1,0)</f>
        <v>1</v>
      </c>
      <c r="M6349" s="369" cm="1">
        <f t="array" ref="M6349">+_xlfn.IFS((C6349&gt;='Resultats - informe'!$D$26)*(C6349&lt;='Resultats - informe'!$E$26),0,(C6349&gt;='Resultats - informe'!$D$27)*(C6349&lt;='Resultats - informe'!$E$27),0,(C6349&gt;='Resultats - informe'!$D$28)*(C6349&lt;='Resultats - informe'!$E$28),0,(C6349&gt;='Resultats - informe'!$D$29)*(C6349&lt;='Resultats - informe'!$E$29),0,1,1)</f>
        <v>0</v>
      </c>
      <c r="N6349" s="366">
        <f>+VLOOKUP(D6349,'Resultats - informe'!$Y$18:$AG$42,'Introducció dades consum'!K6349+1,0)</f>
        <v>0</v>
      </c>
      <c r="O6349" s="370" cm="1">
        <f t="array" ref="O6349">+_xlfn.SWITCH(MONTH(C6349),1,1,2,1,3,1,4,2,5,2,6,3,7,3,8,3,9,3,10,2,11,2,12,1,2)</f>
        <v>1</v>
      </c>
      <c r="P6349" s="43"/>
    </row>
    <row r="6350" spans="1:16" ht="18" x14ac:dyDescent="0.35">
      <c r="A6350" s="9"/>
      <c r="C6350" s="393"/>
      <c r="E6350" s="394"/>
      <c r="F6350" s="394"/>
      <c r="G6350" s="394"/>
      <c r="I6350" s="368">
        <f t="shared" si="300"/>
        <v>0</v>
      </c>
      <c r="J6350" s="365">
        <f t="shared" si="301"/>
        <v>0</v>
      </c>
      <c r="K6350" s="369">
        <f t="shared" si="302"/>
        <v>6</v>
      </c>
      <c r="L6350" s="369">
        <f>+IF((C6350&gt;='Resultats - informe'!$E$16)*(C6350&lt;='Resultats - informe'!$G$16),1,0)</f>
        <v>1</v>
      </c>
      <c r="M6350" s="369" cm="1">
        <f t="array" ref="M6350">+_xlfn.IFS((C6350&gt;='Resultats - informe'!$D$26)*(C6350&lt;='Resultats - informe'!$E$26),0,(C6350&gt;='Resultats - informe'!$D$27)*(C6350&lt;='Resultats - informe'!$E$27),0,(C6350&gt;='Resultats - informe'!$D$28)*(C6350&lt;='Resultats - informe'!$E$28),0,(C6350&gt;='Resultats - informe'!$D$29)*(C6350&lt;='Resultats - informe'!$E$29),0,1,1)</f>
        <v>0</v>
      </c>
      <c r="N6350" s="366">
        <f>+VLOOKUP(D6350,'Resultats - informe'!$Y$18:$AG$42,'Introducció dades consum'!K6350+1,0)</f>
        <v>0</v>
      </c>
      <c r="O6350" s="370" cm="1">
        <f t="array" ref="O6350">+_xlfn.SWITCH(MONTH(C6350),1,1,2,1,3,1,4,2,5,2,6,3,7,3,8,3,9,3,10,2,11,2,12,1,2)</f>
        <v>1</v>
      </c>
      <c r="P6350" s="43"/>
    </row>
    <row r="6351" spans="1:16" ht="18" x14ac:dyDescent="0.35">
      <c r="A6351" s="9"/>
      <c r="C6351" s="393"/>
      <c r="E6351" s="394"/>
      <c r="F6351" s="394"/>
      <c r="G6351" s="394"/>
      <c r="I6351" s="368">
        <f t="shared" si="300"/>
        <v>0</v>
      </c>
      <c r="J6351" s="365">
        <f t="shared" si="301"/>
        <v>0</v>
      </c>
      <c r="K6351" s="369">
        <f t="shared" si="302"/>
        <v>6</v>
      </c>
      <c r="L6351" s="369">
        <f>+IF((C6351&gt;='Resultats - informe'!$E$16)*(C6351&lt;='Resultats - informe'!$G$16),1,0)</f>
        <v>1</v>
      </c>
      <c r="M6351" s="369" cm="1">
        <f t="array" ref="M6351">+_xlfn.IFS((C6351&gt;='Resultats - informe'!$D$26)*(C6351&lt;='Resultats - informe'!$E$26),0,(C6351&gt;='Resultats - informe'!$D$27)*(C6351&lt;='Resultats - informe'!$E$27),0,(C6351&gt;='Resultats - informe'!$D$28)*(C6351&lt;='Resultats - informe'!$E$28),0,(C6351&gt;='Resultats - informe'!$D$29)*(C6351&lt;='Resultats - informe'!$E$29),0,1,1)</f>
        <v>0</v>
      </c>
      <c r="N6351" s="366">
        <f>+VLOOKUP(D6351,'Resultats - informe'!$Y$18:$AG$42,'Introducció dades consum'!K6351+1,0)</f>
        <v>0</v>
      </c>
      <c r="O6351" s="370" cm="1">
        <f t="array" ref="O6351">+_xlfn.SWITCH(MONTH(C6351),1,1,2,1,3,1,4,2,5,2,6,3,7,3,8,3,9,3,10,2,11,2,12,1,2)</f>
        <v>1</v>
      </c>
      <c r="P6351" s="43"/>
    </row>
    <row r="6352" spans="1:16" ht="18" x14ac:dyDescent="0.35">
      <c r="A6352" s="9"/>
      <c r="C6352" s="393"/>
      <c r="E6352" s="394"/>
      <c r="F6352" s="394"/>
      <c r="G6352" s="394"/>
      <c r="I6352" s="368">
        <f t="shared" si="300"/>
        <v>0</v>
      </c>
      <c r="J6352" s="365">
        <f t="shared" si="301"/>
        <v>0</v>
      </c>
      <c r="K6352" s="369">
        <f t="shared" si="302"/>
        <v>6</v>
      </c>
      <c r="L6352" s="369">
        <f>+IF((C6352&gt;='Resultats - informe'!$E$16)*(C6352&lt;='Resultats - informe'!$G$16),1,0)</f>
        <v>1</v>
      </c>
      <c r="M6352" s="369" cm="1">
        <f t="array" ref="M6352">+_xlfn.IFS((C6352&gt;='Resultats - informe'!$D$26)*(C6352&lt;='Resultats - informe'!$E$26),0,(C6352&gt;='Resultats - informe'!$D$27)*(C6352&lt;='Resultats - informe'!$E$27),0,(C6352&gt;='Resultats - informe'!$D$28)*(C6352&lt;='Resultats - informe'!$E$28),0,(C6352&gt;='Resultats - informe'!$D$29)*(C6352&lt;='Resultats - informe'!$E$29),0,1,1)</f>
        <v>0</v>
      </c>
      <c r="N6352" s="366">
        <f>+VLOOKUP(D6352,'Resultats - informe'!$Y$18:$AG$42,'Introducció dades consum'!K6352+1,0)</f>
        <v>0</v>
      </c>
      <c r="O6352" s="370" cm="1">
        <f t="array" ref="O6352">+_xlfn.SWITCH(MONTH(C6352),1,1,2,1,3,1,4,2,5,2,6,3,7,3,8,3,9,3,10,2,11,2,12,1,2)</f>
        <v>1</v>
      </c>
      <c r="P6352" s="43"/>
    </row>
    <row r="6353" spans="1:16" ht="18" x14ac:dyDescent="0.35">
      <c r="A6353" s="9"/>
      <c r="C6353" s="393"/>
      <c r="E6353" s="394"/>
      <c r="F6353" s="394"/>
      <c r="G6353" s="394"/>
      <c r="I6353" s="368">
        <f t="shared" si="300"/>
        <v>0</v>
      </c>
      <c r="J6353" s="365">
        <f t="shared" si="301"/>
        <v>0</v>
      </c>
      <c r="K6353" s="369">
        <f t="shared" si="302"/>
        <v>6</v>
      </c>
      <c r="L6353" s="369">
        <f>+IF((C6353&gt;='Resultats - informe'!$E$16)*(C6353&lt;='Resultats - informe'!$G$16),1,0)</f>
        <v>1</v>
      </c>
      <c r="M6353" s="369" cm="1">
        <f t="array" ref="M6353">+_xlfn.IFS((C6353&gt;='Resultats - informe'!$D$26)*(C6353&lt;='Resultats - informe'!$E$26),0,(C6353&gt;='Resultats - informe'!$D$27)*(C6353&lt;='Resultats - informe'!$E$27),0,(C6353&gt;='Resultats - informe'!$D$28)*(C6353&lt;='Resultats - informe'!$E$28),0,(C6353&gt;='Resultats - informe'!$D$29)*(C6353&lt;='Resultats - informe'!$E$29),0,1,1)</f>
        <v>0</v>
      </c>
      <c r="N6353" s="366">
        <f>+VLOOKUP(D6353,'Resultats - informe'!$Y$18:$AG$42,'Introducció dades consum'!K6353+1,0)</f>
        <v>0</v>
      </c>
      <c r="O6353" s="370" cm="1">
        <f t="array" ref="O6353">+_xlfn.SWITCH(MONTH(C6353),1,1,2,1,3,1,4,2,5,2,6,3,7,3,8,3,9,3,10,2,11,2,12,1,2)</f>
        <v>1</v>
      </c>
      <c r="P6353" s="43"/>
    </row>
    <row r="6354" spans="1:16" ht="18" x14ac:dyDescent="0.35">
      <c r="A6354" s="9"/>
      <c r="C6354" s="393"/>
      <c r="E6354" s="394"/>
      <c r="F6354" s="394"/>
      <c r="G6354" s="394"/>
      <c r="I6354" s="368">
        <f t="shared" ref="I6354:I6417" si="303">+E6354+G6354</f>
        <v>0</v>
      </c>
      <c r="J6354" s="365">
        <f t="shared" ref="J6354:J6417" si="304">+C6354</f>
        <v>0</v>
      </c>
      <c r="K6354" s="369">
        <f t="shared" ref="K6354:K6417" si="305">+WEEKDAY(C6354,2)</f>
        <v>6</v>
      </c>
      <c r="L6354" s="369">
        <f>+IF((C6354&gt;='Resultats - informe'!$E$16)*(C6354&lt;='Resultats - informe'!$G$16),1,0)</f>
        <v>1</v>
      </c>
      <c r="M6354" s="369" cm="1">
        <f t="array" ref="M6354">+_xlfn.IFS((C6354&gt;='Resultats - informe'!$D$26)*(C6354&lt;='Resultats - informe'!$E$26),0,(C6354&gt;='Resultats - informe'!$D$27)*(C6354&lt;='Resultats - informe'!$E$27),0,(C6354&gt;='Resultats - informe'!$D$28)*(C6354&lt;='Resultats - informe'!$E$28),0,(C6354&gt;='Resultats - informe'!$D$29)*(C6354&lt;='Resultats - informe'!$E$29),0,1,1)</f>
        <v>0</v>
      </c>
      <c r="N6354" s="366">
        <f>+VLOOKUP(D6354,'Resultats - informe'!$Y$18:$AG$42,'Introducció dades consum'!K6354+1,0)</f>
        <v>0</v>
      </c>
      <c r="O6354" s="370" cm="1">
        <f t="array" ref="O6354">+_xlfn.SWITCH(MONTH(C6354),1,1,2,1,3,1,4,2,5,2,6,3,7,3,8,3,9,3,10,2,11,2,12,1,2)</f>
        <v>1</v>
      </c>
      <c r="P6354" s="43"/>
    </row>
    <row r="6355" spans="1:16" ht="18" x14ac:dyDescent="0.35">
      <c r="A6355" s="9"/>
      <c r="C6355" s="393"/>
      <c r="E6355" s="394"/>
      <c r="F6355" s="394"/>
      <c r="G6355" s="394"/>
      <c r="I6355" s="368">
        <f t="shared" si="303"/>
        <v>0</v>
      </c>
      <c r="J6355" s="365">
        <f t="shared" si="304"/>
        <v>0</v>
      </c>
      <c r="K6355" s="369">
        <f t="shared" si="305"/>
        <v>6</v>
      </c>
      <c r="L6355" s="369">
        <f>+IF((C6355&gt;='Resultats - informe'!$E$16)*(C6355&lt;='Resultats - informe'!$G$16),1,0)</f>
        <v>1</v>
      </c>
      <c r="M6355" s="369" cm="1">
        <f t="array" ref="M6355">+_xlfn.IFS((C6355&gt;='Resultats - informe'!$D$26)*(C6355&lt;='Resultats - informe'!$E$26),0,(C6355&gt;='Resultats - informe'!$D$27)*(C6355&lt;='Resultats - informe'!$E$27),0,(C6355&gt;='Resultats - informe'!$D$28)*(C6355&lt;='Resultats - informe'!$E$28),0,(C6355&gt;='Resultats - informe'!$D$29)*(C6355&lt;='Resultats - informe'!$E$29),0,1,1)</f>
        <v>0</v>
      </c>
      <c r="N6355" s="366">
        <f>+VLOOKUP(D6355,'Resultats - informe'!$Y$18:$AG$42,'Introducció dades consum'!K6355+1,0)</f>
        <v>0</v>
      </c>
      <c r="O6355" s="370" cm="1">
        <f t="array" ref="O6355">+_xlfn.SWITCH(MONTH(C6355),1,1,2,1,3,1,4,2,5,2,6,3,7,3,8,3,9,3,10,2,11,2,12,1,2)</f>
        <v>1</v>
      </c>
      <c r="P6355" s="43"/>
    </row>
    <row r="6356" spans="1:16" ht="18" x14ac:dyDescent="0.35">
      <c r="A6356" s="9"/>
      <c r="C6356" s="393"/>
      <c r="E6356" s="394"/>
      <c r="F6356" s="394"/>
      <c r="G6356" s="394"/>
      <c r="I6356" s="368">
        <f t="shared" si="303"/>
        <v>0</v>
      </c>
      <c r="J6356" s="365">
        <f t="shared" si="304"/>
        <v>0</v>
      </c>
      <c r="K6356" s="369">
        <f t="shared" si="305"/>
        <v>6</v>
      </c>
      <c r="L6356" s="369">
        <f>+IF((C6356&gt;='Resultats - informe'!$E$16)*(C6356&lt;='Resultats - informe'!$G$16),1,0)</f>
        <v>1</v>
      </c>
      <c r="M6356" s="369" cm="1">
        <f t="array" ref="M6356">+_xlfn.IFS((C6356&gt;='Resultats - informe'!$D$26)*(C6356&lt;='Resultats - informe'!$E$26),0,(C6356&gt;='Resultats - informe'!$D$27)*(C6356&lt;='Resultats - informe'!$E$27),0,(C6356&gt;='Resultats - informe'!$D$28)*(C6356&lt;='Resultats - informe'!$E$28),0,(C6356&gt;='Resultats - informe'!$D$29)*(C6356&lt;='Resultats - informe'!$E$29),0,1,1)</f>
        <v>0</v>
      </c>
      <c r="N6356" s="366">
        <f>+VLOOKUP(D6356,'Resultats - informe'!$Y$18:$AG$42,'Introducció dades consum'!K6356+1,0)</f>
        <v>0</v>
      </c>
      <c r="O6356" s="370" cm="1">
        <f t="array" ref="O6356">+_xlfn.SWITCH(MONTH(C6356),1,1,2,1,3,1,4,2,5,2,6,3,7,3,8,3,9,3,10,2,11,2,12,1,2)</f>
        <v>1</v>
      </c>
      <c r="P6356" s="43"/>
    </row>
    <row r="6357" spans="1:16" ht="18" x14ac:dyDescent="0.35">
      <c r="A6357" s="9"/>
      <c r="C6357" s="393"/>
      <c r="E6357" s="394"/>
      <c r="F6357" s="394"/>
      <c r="G6357" s="394"/>
      <c r="I6357" s="368">
        <f t="shared" si="303"/>
        <v>0</v>
      </c>
      <c r="J6357" s="365">
        <f t="shared" si="304"/>
        <v>0</v>
      </c>
      <c r="K6357" s="369">
        <f t="shared" si="305"/>
        <v>6</v>
      </c>
      <c r="L6357" s="369">
        <f>+IF((C6357&gt;='Resultats - informe'!$E$16)*(C6357&lt;='Resultats - informe'!$G$16),1,0)</f>
        <v>1</v>
      </c>
      <c r="M6357" s="369" cm="1">
        <f t="array" ref="M6357">+_xlfn.IFS((C6357&gt;='Resultats - informe'!$D$26)*(C6357&lt;='Resultats - informe'!$E$26),0,(C6357&gt;='Resultats - informe'!$D$27)*(C6357&lt;='Resultats - informe'!$E$27),0,(C6357&gt;='Resultats - informe'!$D$28)*(C6357&lt;='Resultats - informe'!$E$28),0,(C6357&gt;='Resultats - informe'!$D$29)*(C6357&lt;='Resultats - informe'!$E$29),0,1,1)</f>
        <v>0</v>
      </c>
      <c r="N6357" s="366">
        <f>+VLOOKUP(D6357,'Resultats - informe'!$Y$18:$AG$42,'Introducció dades consum'!K6357+1,0)</f>
        <v>0</v>
      </c>
      <c r="O6357" s="370" cm="1">
        <f t="array" ref="O6357">+_xlfn.SWITCH(MONTH(C6357),1,1,2,1,3,1,4,2,5,2,6,3,7,3,8,3,9,3,10,2,11,2,12,1,2)</f>
        <v>1</v>
      </c>
      <c r="P6357" s="43"/>
    </row>
    <row r="6358" spans="1:16" ht="18" x14ac:dyDescent="0.35">
      <c r="A6358" s="9"/>
      <c r="C6358" s="393"/>
      <c r="E6358" s="394"/>
      <c r="F6358" s="394"/>
      <c r="G6358" s="394"/>
      <c r="I6358" s="368">
        <f t="shared" si="303"/>
        <v>0</v>
      </c>
      <c r="J6358" s="365">
        <f t="shared" si="304"/>
        <v>0</v>
      </c>
      <c r="K6358" s="369">
        <f t="shared" si="305"/>
        <v>6</v>
      </c>
      <c r="L6358" s="369">
        <f>+IF((C6358&gt;='Resultats - informe'!$E$16)*(C6358&lt;='Resultats - informe'!$G$16),1,0)</f>
        <v>1</v>
      </c>
      <c r="M6358" s="369" cm="1">
        <f t="array" ref="M6358">+_xlfn.IFS((C6358&gt;='Resultats - informe'!$D$26)*(C6358&lt;='Resultats - informe'!$E$26),0,(C6358&gt;='Resultats - informe'!$D$27)*(C6358&lt;='Resultats - informe'!$E$27),0,(C6358&gt;='Resultats - informe'!$D$28)*(C6358&lt;='Resultats - informe'!$E$28),0,(C6358&gt;='Resultats - informe'!$D$29)*(C6358&lt;='Resultats - informe'!$E$29),0,1,1)</f>
        <v>0</v>
      </c>
      <c r="N6358" s="366">
        <f>+VLOOKUP(D6358,'Resultats - informe'!$Y$18:$AG$42,'Introducció dades consum'!K6358+1,0)</f>
        <v>0</v>
      </c>
      <c r="O6358" s="370" cm="1">
        <f t="array" ref="O6358">+_xlfn.SWITCH(MONTH(C6358),1,1,2,1,3,1,4,2,5,2,6,3,7,3,8,3,9,3,10,2,11,2,12,1,2)</f>
        <v>1</v>
      </c>
      <c r="P6358" s="43"/>
    </row>
    <row r="6359" spans="1:16" ht="18" x14ac:dyDescent="0.35">
      <c r="A6359" s="9"/>
      <c r="C6359" s="393"/>
      <c r="E6359" s="394"/>
      <c r="F6359" s="394"/>
      <c r="G6359" s="394"/>
      <c r="I6359" s="368">
        <f t="shared" si="303"/>
        <v>0</v>
      </c>
      <c r="J6359" s="365">
        <f t="shared" si="304"/>
        <v>0</v>
      </c>
      <c r="K6359" s="369">
        <f t="shared" si="305"/>
        <v>6</v>
      </c>
      <c r="L6359" s="369">
        <f>+IF((C6359&gt;='Resultats - informe'!$E$16)*(C6359&lt;='Resultats - informe'!$G$16),1,0)</f>
        <v>1</v>
      </c>
      <c r="M6359" s="369" cm="1">
        <f t="array" ref="M6359">+_xlfn.IFS((C6359&gt;='Resultats - informe'!$D$26)*(C6359&lt;='Resultats - informe'!$E$26),0,(C6359&gt;='Resultats - informe'!$D$27)*(C6359&lt;='Resultats - informe'!$E$27),0,(C6359&gt;='Resultats - informe'!$D$28)*(C6359&lt;='Resultats - informe'!$E$28),0,(C6359&gt;='Resultats - informe'!$D$29)*(C6359&lt;='Resultats - informe'!$E$29),0,1,1)</f>
        <v>0</v>
      </c>
      <c r="N6359" s="366">
        <f>+VLOOKUP(D6359,'Resultats - informe'!$Y$18:$AG$42,'Introducció dades consum'!K6359+1,0)</f>
        <v>0</v>
      </c>
      <c r="O6359" s="370" cm="1">
        <f t="array" ref="O6359">+_xlfn.SWITCH(MONTH(C6359),1,1,2,1,3,1,4,2,5,2,6,3,7,3,8,3,9,3,10,2,11,2,12,1,2)</f>
        <v>1</v>
      </c>
      <c r="P6359" s="43"/>
    </row>
    <row r="6360" spans="1:16" ht="18" x14ac:dyDescent="0.35">
      <c r="A6360" s="9"/>
      <c r="C6360" s="393"/>
      <c r="E6360" s="394"/>
      <c r="F6360" s="394"/>
      <c r="G6360" s="394"/>
      <c r="I6360" s="368">
        <f t="shared" si="303"/>
        <v>0</v>
      </c>
      <c r="J6360" s="365">
        <f t="shared" si="304"/>
        <v>0</v>
      </c>
      <c r="K6360" s="369">
        <f t="shared" si="305"/>
        <v>6</v>
      </c>
      <c r="L6360" s="369">
        <f>+IF((C6360&gt;='Resultats - informe'!$E$16)*(C6360&lt;='Resultats - informe'!$G$16),1,0)</f>
        <v>1</v>
      </c>
      <c r="M6360" s="369" cm="1">
        <f t="array" ref="M6360">+_xlfn.IFS((C6360&gt;='Resultats - informe'!$D$26)*(C6360&lt;='Resultats - informe'!$E$26),0,(C6360&gt;='Resultats - informe'!$D$27)*(C6360&lt;='Resultats - informe'!$E$27),0,(C6360&gt;='Resultats - informe'!$D$28)*(C6360&lt;='Resultats - informe'!$E$28),0,(C6360&gt;='Resultats - informe'!$D$29)*(C6360&lt;='Resultats - informe'!$E$29),0,1,1)</f>
        <v>0</v>
      </c>
      <c r="N6360" s="366">
        <f>+VLOOKUP(D6360,'Resultats - informe'!$Y$18:$AG$42,'Introducció dades consum'!K6360+1,0)</f>
        <v>0</v>
      </c>
      <c r="O6360" s="370" cm="1">
        <f t="array" ref="O6360">+_xlfn.SWITCH(MONTH(C6360),1,1,2,1,3,1,4,2,5,2,6,3,7,3,8,3,9,3,10,2,11,2,12,1,2)</f>
        <v>1</v>
      </c>
      <c r="P6360" s="43"/>
    </row>
    <row r="6361" spans="1:16" ht="18" x14ac:dyDescent="0.35">
      <c r="A6361" s="9"/>
      <c r="C6361" s="393"/>
      <c r="E6361" s="394"/>
      <c r="F6361" s="394"/>
      <c r="G6361" s="394"/>
      <c r="I6361" s="368">
        <f t="shared" si="303"/>
        <v>0</v>
      </c>
      <c r="J6361" s="365">
        <f t="shared" si="304"/>
        <v>0</v>
      </c>
      <c r="K6361" s="369">
        <f t="shared" si="305"/>
        <v>6</v>
      </c>
      <c r="L6361" s="369">
        <f>+IF((C6361&gt;='Resultats - informe'!$E$16)*(C6361&lt;='Resultats - informe'!$G$16),1,0)</f>
        <v>1</v>
      </c>
      <c r="M6361" s="369" cm="1">
        <f t="array" ref="M6361">+_xlfn.IFS((C6361&gt;='Resultats - informe'!$D$26)*(C6361&lt;='Resultats - informe'!$E$26),0,(C6361&gt;='Resultats - informe'!$D$27)*(C6361&lt;='Resultats - informe'!$E$27),0,(C6361&gt;='Resultats - informe'!$D$28)*(C6361&lt;='Resultats - informe'!$E$28),0,(C6361&gt;='Resultats - informe'!$D$29)*(C6361&lt;='Resultats - informe'!$E$29),0,1,1)</f>
        <v>0</v>
      </c>
      <c r="N6361" s="366">
        <f>+VLOOKUP(D6361,'Resultats - informe'!$Y$18:$AG$42,'Introducció dades consum'!K6361+1,0)</f>
        <v>0</v>
      </c>
      <c r="O6361" s="370" cm="1">
        <f t="array" ref="O6361">+_xlfn.SWITCH(MONTH(C6361),1,1,2,1,3,1,4,2,5,2,6,3,7,3,8,3,9,3,10,2,11,2,12,1,2)</f>
        <v>1</v>
      </c>
      <c r="P6361" s="43"/>
    </row>
    <row r="6362" spans="1:16" ht="18" x14ac:dyDescent="0.35">
      <c r="A6362" s="9"/>
      <c r="C6362" s="393"/>
      <c r="E6362" s="394"/>
      <c r="F6362" s="394"/>
      <c r="G6362" s="394"/>
      <c r="I6362" s="368">
        <f t="shared" si="303"/>
        <v>0</v>
      </c>
      <c r="J6362" s="365">
        <f t="shared" si="304"/>
        <v>0</v>
      </c>
      <c r="K6362" s="369">
        <f t="shared" si="305"/>
        <v>6</v>
      </c>
      <c r="L6362" s="369">
        <f>+IF((C6362&gt;='Resultats - informe'!$E$16)*(C6362&lt;='Resultats - informe'!$G$16),1,0)</f>
        <v>1</v>
      </c>
      <c r="M6362" s="369" cm="1">
        <f t="array" ref="M6362">+_xlfn.IFS((C6362&gt;='Resultats - informe'!$D$26)*(C6362&lt;='Resultats - informe'!$E$26),0,(C6362&gt;='Resultats - informe'!$D$27)*(C6362&lt;='Resultats - informe'!$E$27),0,(C6362&gt;='Resultats - informe'!$D$28)*(C6362&lt;='Resultats - informe'!$E$28),0,(C6362&gt;='Resultats - informe'!$D$29)*(C6362&lt;='Resultats - informe'!$E$29),0,1,1)</f>
        <v>0</v>
      </c>
      <c r="N6362" s="366">
        <f>+VLOOKUP(D6362,'Resultats - informe'!$Y$18:$AG$42,'Introducció dades consum'!K6362+1,0)</f>
        <v>0</v>
      </c>
      <c r="O6362" s="370" cm="1">
        <f t="array" ref="O6362">+_xlfn.SWITCH(MONTH(C6362),1,1,2,1,3,1,4,2,5,2,6,3,7,3,8,3,9,3,10,2,11,2,12,1,2)</f>
        <v>1</v>
      </c>
      <c r="P6362" s="43"/>
    </row>
    <row r="6363" spans="1:16" ht="18" x14ac:dyDescent="0.35">
      <c r="A6363" s="9"/>
      <c r="C6363" s="393"/>
      <c r="E6363" s="394"/>
      <c r="F6363" s="394"/>
      <c r="G6363" s="394"/>
      <c r="I6363" s="368">
        <f t="shared" si="303"/>
        <v>0</v>
      </c>
      <c r="J6363" s="365">
        <f t="shared" si="304"/>
        <v>0</v>
      </c>
      <c r="K6363" s="369">
        <f t="shared" si="305"/>
        <v>6</v>
      </c>
      <c r="L6363" s="369">
        <f>+IF((C6363&gt;='Resultats - informe'!$E$16)*(C6363&lt;='Resultats - informe'!$G$16),1,0)</f>
        <v>1</v>
      </c>
      <c r="M6363" s="369" cm="1">
        <f t="array" ref="M6363">+_xlfn.IFS((C6363&gt;='Resultats - informe'!$D$26)*(C6363&lt;='Resultats - informe'!$E$26),0,(C6363&gt;='Resultats - informe'!$D$27)*(C6363&lt;='Resultats - informe'!$E$27),0,(C6363&gt;='Resultats - informe'!$D$28)*(C6363&lt;='Resultats - informe'!$E$28),0,(C6363&gt;='Resultats - informe'!$D$29)*(C6363&lt;='Resultats - informe'!$E$29),0,1,1)</f>
        <v>0</v>
      </c>
      <c r="N6363" s="366">
        <f>+VLOOKUP(D6363,'Resultats - informe'!$Y$18:$AG$42,'Introducció dades consum'!K6363+1,0)</f>
        <v>0</v>
      </c>
      <c r="O6363" s="370" cm="1">
        <f t="array" ref="O6363">+_xlfn.SWITCH(MONTH(C6363),1,1,2,1,3,1,4,2,5,2,6,3,7,3,8,3,9,3,10,2,11,2,12,1,2)</f>
        <v>1</v>
      </c>
      <c r="P6363" s="43"/>
    </row>
    <row r="6364" spans="1:16" ht="18" x14ac:dyDescent="0.35">
      <c r="A6364" s="9"/>
      <c r="C6364" s="393"/>
      <c r="E6364" s="394"/>
      <c r="F6364" s="394"/>
      <c r="G6364" s="394"/>
      <c r="I6364" s="368">
        <f t="shared" si="303"/>
        <v>0</v>
      </c>
      <c r="J6364" s="365">
        <f t="shared" si="304"/>
        <v>0</v>
      </c>
      <c r="K6364" s="369">
        <f t="shared" si="305"/>
        <v>6</v>
      </c>
      <c r="L6364" s="369">
        <f>+IF((C6364&gt;='Resultats - informe'!$E$16)*(C6364&lt;='Resultats - informe'!$G$16),1,0)</f>
        <v>1</v>
      </c>
      <c r="M6364" s="369" cm="1">
        <f t="array" ref="M6364">+_xlfn.IFS((C6364&gt;='Resultats - informe'!$D$26)*(C6364&lt;='Resultats - informe'!$E$26),0,(C6364&gt;='Resultats - informe'!$D$27)*(C6364&lt;='Resultats - informe'!$E$27),0,(C6364&gt;='Resultats - informe'!$D$28)*(C6364&lt;='Resultats - informe'!$E$28),0,(C6364&gt;='Resultats - informe'!$D$29)*(C6364&lt;='Resultats - informe'!$E$29),0,1,1)</f>
        <v>0</v>
      </c>
      <c r="N6364" s="366">
        <f>+VLOOKUP(D6364,'Resultats - informe'!$Y$18:$AG$42,'Introducció dades consum'!K6364+1,0)</f>
        <v>0</v>
      </c>
      <c r="O6364" s="370" cm="1">
        <f t="array" ref="O6364">+_xlfn.SWITCH(MONTH(C6364),1,1,2,1,3,1,4,2,5,2,6,3,7,3,8,3,9,3,10,2,11,2,12,1,2)</f>
        <v>1</v>
      </c>
      <c r="P6364" s="43"/>
    </row>
    <row r="6365" spans="1:16" ht="18" x14ac:dyDescent="0.35">
      <c r="A6365" s="9"/>
      <c r="C6365" s="393"/>
      <c r="E6365" s="394"/>
      <c r="F6365" s="394"/>
      <c r="G6365" s="394"/>
      <c r="I6365" s="368">
        <f t="shared" si="303"/>
        <v>0</v>
      </c>
      <c r="J6365" s="365">
        <f t="shared" si="304"/>
        <v>0</v>
      </c>
      <c r="K6365" s="369">
        <f t="shared" si="305"/>
        <v>6</v>
      </c>
      <c r="L6365" s="369">
        <f>+IF((C6365&gt;='Resultats - informe'!$E$16)*(C6365&lt;='Resultats - informe'!$G$16),1,0)</f>
        <v>1</v>
      </c>
      <c r="M6365" s="369" cm="1">
        <f t="array" ref="M6365">+_xlfn.IFS((C6365&gt;='Resultats - informe'!$D$26)*(C6365&lt;='Resultats - informe'!$E$26),0,(C6365&gt;='Resultats - informe'!$D$27)*(C6365&lt;='Resultats - informe'!$E$27),0,(C6365&gt;='Resultats - informe'!$D$28)*(C6365&lt;='Resultats - informe'!$E$28),0,(C6365&gt;='Resultats - informe'!$D$29)*(C6365&lt;='Resultats - informe'!$E$29),0,1,1)</f>
        <v>0</v>
      </c>
      <c r="N6365" s="366">
        <f>+VLOOKUP(D6365,'Resultats - informe'!$Y$18:$AG$42,'Introducció dades consum'!K6365+1,0)</f>
        <v>0</v>
      </c>
      <c r="O6365" s="370" cm="1">
        <f t="array" ref="O6365">+_xlfn.SWITCH(MONTH(C6365),1,1,2,1,3,1,4,2,5,2,6,3,7,3,8,3,9,3,10,2,11,2,12,1,2)</f>
        <v>1</v>
      </c>
      <c r="P6365" s="43"/>
    </row>
    <row r="6366" spans="1:16" ht="18" x14ac:dyDescent="0.35">
      <c r="A6366" s="9"/>
      <c r="C6366" s="393"/>
      <c r="E6366" s="394"/>
      <c r="F6366" s="394"/>
      <c r="G6366" s="394"/>
      <c r="I6366" s="368">
        <f t="shared" si="303"/>
        <v>0</v>
      </c>
      <c r="J6366" s="365">
        <f t="shared" si="304"/>
        <v>0</v>
      </c>
      <c r="K6366" s="369">
        <f t="shared" si="305"/>
        <v>6</v>
      </c>
      <c r="L6366" s="369">
        <f>+IF((C6366&gt;='Resultats - informe'!$E$16)*(C6366&lt;='Resultats - informe'!$G$16),1,0)</f>
        <v>1</v>
      </c>
      <c r="M6366" s="369" cm="1">
        <f t="array" ref="M6366">+_xlfn.IFS((C6366&gt;='Resultats - informe'!$D$26)*(C6366&lt;='Resultats - informe'!$E$26),0,(C6366&gt;='Resultats - informe'!$D$27)*(C6366&lt;='Resultats - informe'!$E$27),0,(C6366&gt;='Resultats - informe'!$D$28)*(C6366&lt;='Resultats - informe'!$E$28),0,(C6366&gt;='Resultats - informe'!$D$29)*(C6366&lt;='Resultats - informe'!$E$29),0,1,1)</f>
        <v>0</v>
      </c>
      <c r="N6366" s="366">
        <f>+VLOOKUP(D6366,'Resultats - informe'!$Y$18:$AG$42,'Introducció dades consum'!K6366+1,0)</f>
        <v>0</v>
      </c>
      <c r="O6366" s="370" cm="1">
        <f t="array" ref="O6366">+_xlfn.SWITCH(MONTH(C6366),1,1,2,1,3,1,4,2,5,2,6,3,7,3,8,3,9,3,10,2,11,2,12,1,2)</f>
        <v>1</v>
      </c>
      <c r="P6366" s="43"/>
    </row>
    <row r="6367" spans="1:16" ht="18" x14ac:dyDescent="0.35">
      <c r="A6367" s="9"/>
      <c r="C6367" s="393"/>
      <c r="E6367" s="394"/>
      <c r="F6367" s="394"/>
      <c r="G6367" s="394"/>
      <c r="I6367" s="368">
        <f t="shared" si="303"/>
        <v>0</v>
      </c>
      <c r="J6367" s="365">
        <f t="shared" si="304"/>
        <v>0</v>
      </c>
      <c r="K6367" s="369">
        <f t="shared" si="305"/>
        <v>6</v>
      </c>
      <c r="L6367" s="369">
        <f>+IF((C6367&gt;='Resultats - informe'!$E$16)*(C6367&lt;='Resultats - informe'!$G$16),1,0)</f>
        <v>1</v>
      </c>
      <c r="M6367" s="369" cm="1">
        <f t="array" ref="M6367">+_xlfn.IFS((C6367&gt;='Resultats - informe'!$D$26)*(C6367&lt;='Resultats - informe'!$E$26),0,(C6367&gt;='Resultats - informe'!$D$27)*(C6367&lt;='Resultats - informe'!$E$27),0,(C6367&gt;='Resultats - informe'!$D$28)*(C6367&lt;='Resultats - informe'!$E$28),0,(C6367&gt;='Resultats - informe'!$D$29)*(C6367&lt;='Resultats - informe'!$E$29),0,1,1)</f>
        <v>0</v>
      </c>
      <c r="N6367" s="366">
        <f>+VLOOKUP(D6367,'Resultats - informe'!$Y$18:$AG$42,'Introducció dades consum'!K6367+1,0)</f>
        <v>0</v>
      </c>
      <c r="O6367" s="370" cm="1">
        <f t="array" ref="O6367">+_xlfn.SWITCH(MONTH(C6367),1,1,2,1,3,1,4,2,5,2,6,3,7,3,8,3,9,3,10,2,11,2,12,1,2)</f>
        <v>1</v>
      </c>
      <c r="P6367" s="43"/>
    </row>
    <row r="6368" spans="1:16" ht="18" x14ac:dyDescent="0.35">
      <c r="A6368" s="9"/>
      <c r="C6368" s="393"/>
      <c r="E6368" s="394"/>
      <c r="F6368" s="394"/>
      <c r="G6368" s="394"/>
      <c r="I6368" s="368">
        <f t="shared" si="303"/>
        <v>0</v>
      </c>
      <c r="J6368" s="365">
        <f t="shared" si="304"/>
        <v>0</v>
      </c>
      <c r="K6368" s="369">
        <f t="shared" si="305"/>
        <v>6</v>
      </c>
      <c r="L6368" s="369">
        <f>+IF((C6368&gt;='Resultats - informe'!$E$16)*(C6368&lt;='Resultats - informe'!$G$16),1,0)</f>
        <v>1</v>
      </c>
      <c r="M6368" s="369" cm="1">
        <f t="array" ref="M6368">+_xlfn.IFS((C6368&gt;='Resultats - informe'!$D$26)*(C6368&lt;='Resultats - informe'!$E$26),0,(C6368&gt;='Resultats - informe'!$D$27)*(C6368&lt;='Resultats - informe'!$E$27),0,(C6368&gt;='Resultats - informe'!$D$28)*(C6368&lt;='Resultats - informe'!$E$28),0,(C6368&gt;='Resultats - informe'!$D$29)*(C6368&lt;='Resultats - informe'!$E$29),0,1,1)</f>
        <v>0</v>
      </c>
      <c r="N6368" s="366">
        <f>+VLOOKUP(D6368,'Resultats - informe'!$Y$18:$AG$42,'Introducció dades consum'!K6368+1,0)</f>
        <v>0</v>
      </c>
      <c r="O6368" s="370" cm="1">
        <f t="array" ref="O6368">+_xlfn.SWITCH(MONTH(C6368),1,1,2,1,3,1,4,2,5,2,6,3,7,3,8,3,9,3,10,2,11,2,12,1,2)</f>
        <v>1</v>
      </c>
      <c r="P6368" s="43"/>
    </row>
    <row r="6369" spans="1:16" ht="18" x14ac:dyDescent="0.35">
      <c r="A6369" s="9"/>
      <c r="C6369" s="393"/>
      <c r="E6369" s="394"/>
      <c r="F6369" s="394"/>
      <c r="G6369" s="394"/>
      <c r="I6369" s="368">
        <f t="shared" si="303"/>
        <v>0</v>
      </c>
      <c r="J6369" s="365">
        <f t="shared" si="304"/>
        <v>0</v>
      </c>
      <c r="K6369" s="369">
        <f t="shared" si="305"/>
        <v>6</v>
      </c>
      <c r="L6369" s="369">
        <f>+IF((C6369&gt;='Resultats - informe'!$E$16)*(C6369&lt;='Resultats - informe'!$G$16),1,0)</f>
        <v>1</v>
      </c>
      <c r="M6369" s="369" cm="1">
        <f t="array" ref="M6369">+_xlfn.IFS((C6369&gt;='Resultats - informe'!$D$26)*(C6369&lt;='Resultats - informe'!$E$26),0,(C6369&gt;='Resultats - informe'!$D$27)*(C6369&lt;='Resultats - informe'!$E$27),0,(C6369&gt;='Resultats - informe'!$D$28)*(C6369&lt;='Resultats - informe'!$E$28),0,(C6369&gt;='Resultats - informe'!$D$29)*(C6369&lt;='Resultats - informe'!$E$29),0,1,1)</f>
        <v>0</v>
      </c>
      <c r="N6369" s="366">
        <f>+VLOOKUP(D6369,'Resultats - informe'!$Y$18:$AG$42,'Introducció dades consum'!K6369+1,0)</f>
        <v>0</v>
      </c>
      <c r="O6369" s="370" cm="1">
        <f t="array" ref="O6369">+_xlfn.SWITCH(MONTH(C6369),1,1,2,1,3,1,4,2,5,2,6,3,7,3,8,3,9,3,10,2,11,2,12,1,2)</f>
        <v>1</v>
      </c>
      <c r="P6369" s="43"/>
    </row>
    <row r="6370" spans="1:16" ht="18" x14ac:dyDescent="0.35">
      <c r="A6370" s="9"/>
      <c r="C6370" s="393"/>
      <c r="E6370" s="394"/>
      <c r="F6370" s="394"/>
      <c r="G6370" s="394"/>
      <c r="I6370" s="368">
        <f t="shared" si="303"/>
        <v>0</v>
      </c>
      <c r="J6370" s="365">
        <f t="shared" si="304"/>
        <v>0</v>
      </c>
      <c r="K6370" s="369">
        <f t="shared" si="305"/>
        <v>6</v>
      </c>
      <c r="L6370" s="369">
        <f>+IF((C6370&gt;='Resultats - informe'!$E$16)*(C6370&lt;='Resultats - informe'!$G$16),1,0)</f>
        <v>1</v>
      </c>
      <c r="M6370" s="369" cm="1">
        <f t="array" ref="M6370">+_xlfn.IFS((C6370&gt;='Resultats - informe'!$D$26)*(C6370&lt;='Resultats - informe'!$E$26),0,(C6370&gt;='Resultats - informe'!$D$27)*(C6370&lt;='Resultats - informe'!$E$27),0,(C6370&gt;='Resultats - informe'!$D$28)*(C6370&lt;='Resultats - informe'!$E$28),0,(C6370&gt;='Resultats - informe'!$D$29)*(C6370&lt;='Resultats - informe'!$E$29),0,1,1)</f>
        <v>0</v>
      </c>
      <c r="N6370" s="366">
        <f>+VLOOKUP(D6370,'Resultats - informe'!$Y$18:$AG$42,'Introducció dades consum'!K6370+1,0)</f>
        <v>0</v>
      </c>
      <c r="O6370" s="370" cm="1">
        <f t="array" ref="O6370">+_xlfn.SWITCH(MONTH(C6370),1,1,2,1,3,1,4,2,5,2,6,3,7,3,8,3,9,3,10,2,11,2,12,1,2)</f>
        <v>1</v>
      </c>
      <c r="P6370" s="43"/>
    </row>
    <row r="6371" spans="1:16" ht="18" x14ac:dyDescent="0.35">
      <c r="A6371" s="9"/>
      <c r="C6371" s="393"/>
      <c r="E6371" s="394"/>
      <c r="F6371" s="394"/>
      <c r="G6371" s="394"/>
      <c r="I6371" s="368">
        <f t="shared" si="303"/>
        <v>0</v>
      </c>
      <c r="J6371" s="365">
        <f t="shared" si="304"/>
        <v>0</v>
      </c>
      <c r="K6371" s="369">
        <f t="shared" si="305"/>
        <v>6</v>
      </c>
      <c r="L6371" s="369">
        <f>+IF((C6371&gt;='Resultats - informe'!$E$16)*(C6371&lt;='Resultats - informe'!$G$16),1,0)</f>
        <v>1</v>
      </c>
      <c r="M6371" s="369" cm="1">
        <f t="array" ref="M6371">+_xlfn.IFS((C6371&gt;='Resultats - informe'!$D$26)*(C6371&lt;='Resultats - informe'!$E$26),0,(C6371&gt;='Resultats - informe'!$D$27)*(C6371&lt;='Resultats - informe'!$E$27),0,(C6371&gt;='Resultats - informe'!$D$28)*(C6371&lt;='Resultats - informe'!$E$28),0,(C6371&gt;='Resultats - informe'!$D$29)*(C6371&lt;='Resultats - informe'!$E$29),0,1,1)</f>
        <v>0</v>
      </c>
      <c r="N6371" s="366">
        <f>+VLOOKUP(D6371,'Resultats - informe'!$Y$18:$AG$42,'Introducció dades consum'!K6371+1,0)</f>
        <v>0</v>
      </c>
      <c r="O6371" s="370" cm="1">
        <f t="array" ref="O6371">+_xlfn.SWITCH(MONTH(C6371),1,1,2,1,3,1,4,2,5,2,6,3,7,3,8,3,9,3,10,2,11,2,12,1,2)</f>
        <v>1</v>
      </c>
      <c r="P6371" s="43"/>
    </row>
    <row r="6372" spans="1:16" ht="18" x14ac:dyDescent="0.35">
      <c r="A6372" s="9"/>
      <c r="C6372" s="393"/>
      <c r="E6372" s="394"/>
      <c r="F6372" s="394"/>
      <c r="G6372" s="394"/>
      <c r="I6372" s="368">
        <f t="shared" si="303"/>
        <v>0</v>
      </c>
      <c r="J6372" s="365">
        <f t="shared" si="304"/>
        <v>0</v>
      </c>
      <c r="K6372" s="369">
        <f t="shared" si="305"/>
        <v>6</v>
      </c>
      <c r="L6372" s="369">
        <f>+IF((C6372&gt;='Resultats - informe'!$E$16)*(C6372&lt;='Resultats - informe'!$G$16),1,0)</f>
        <v>1</v>
      </c>
      <c r="M6372" s="369" cm="1">
        <f t="array" ref="M6372">+_xlfn.IFS((C6372&gt;='Resultats - informe'!$D$26)*(C6372&lt;='Resultats - informe'!$E$26),0,(C6372&gt;='Resultats - informe'!$D$27)*(C6372&lt;='Resultats - informe'!$E$27),0,(C6372&gt;='Resultats - informe'!$D$28)*(C6372&lt;='Resultats - informe'!$E$28),0,(C6372&gt;='Resultats - informe'!$D$29)*(C6372&lt;='Resultats - informe'!$E$29),0,1,1)</f>
        <v>0</v>
      </c>
      <c r="N6372" s="366">
        <f>+VLOOKUP(D6372,'Resultats - informe'!$Y$18:$AG$42,'Introducció dades consum'!K6372+1,0)</f>
        <v>0</v>
      </c>
      <c r="O6372" s="370" cm="1">
        <f t="array" ref="O6372">+_xlfn.SWITCH(MONTH(C6372),1,1,2,1,3,1,4,2,5,2,6,3,7,3,8,3,9,3,10,2,11,2,12,1,2)</f>
        <v>1</v>
      </c>
      <c r="P6372" s="43"/>
    </row>
    <row r="6373" spans="1:16" ht="18" x14ac:dyDescent="0.35">
      <c r="A6373" s="9"/>
      <c r="C6373" s="393"/>
      <c r="E6373" s="394"/>
      <c r="F6373" s="394"/>
      <c r="G6373" s="394"/>
      <c r="I6373" s="368">
        <f t="shared" si="303"/>
        <v>0</v>
      </c>
      <c r="J6373" s="365">
        <f t="shared" si="304"/>
        <v>0</v>
      </c>
      <c r="K6373" s="369">
        <f t="shared" si="305"/>
        <v>6</v>
      </c>
      <c r="L6373" s="369">
        <f>+IF((C6373&gt;='Resultats - informe'!$E$16)*(C6373&lt;='Resultats - informe'!$G$16),1,0)</f>
        <v>1</v>
      </c>
      <c r="M6373" s="369" cm="1">
        <f t="array" ref="M6373">+_xlfn.IFS((C6373&gt;='Resultats - informe'!$D$26)*(C6373&lt;='Resultats - informe'!$E$26),0,(C6373&gt;='Resultats - informe'!$D$27)*(C6373&lt;='Resultats - informe'!$E$27),0,(C6373&gt;='Resultats - informe'!$D$28)*(C6373&lt;='Resultats - informe'!$E$28),0,(C6373&gt;='Resultats - informe'!$D$29)*(C6373&lt;='Resultats - informe'!$E$29),0,1,1)</f>
        <v>0</v>
      </c>
      <c r="N6373" s="366">
        <f>+VLOOKUP(D6373,'Resultats - informe'!$Y$18:$AG$42,'Introducció dades consum'!K6373+1,0)</f>
        <v>0</v>
      </c>
      <c r="O6373" s="370" cm="1">
        <f t="array" ref="O6373">+_xlfn.SWITCH(MONTH(C6373),1,1,2,1,3,1,4,2,5,2,6,3,7,3,8,3,9,3,10,2,11,2,12,1,2)</f>
        <v>1</v>
      </c>
      <c r="P6373" s="43"/>
    </row>
    <row r="6374" spans="1:16" ht="18" x14ac:dyDescent="0.35">
      <c r="A6374" s="9"/>
      <c r="C6374" s="393"/>
      <c r="E6374" s="394"/>
      <c r="F6374" s="394"/>
      <c r="G6374" s="394"/>
      <c r="I6374" s="368">
        <f t="shared" si="303"/>
        <v>0</v>
      </c>
      <c r="J6374" s="365">
        <f t="shared" si="304"/>
        <v>0</v>
      </c>
      <c r="K6374" s="369">
        <f t="shared" si="305"/>
        <v>6</v>
      </c>
      <c r="L6374" s="369">
        <f>+IF((C6374&gt;='Resultats - informe'!$E$16)*(C6374&lt;='Resultats - informe'!$G$16),1,0)</f>
        <v>1</v>
      </c>
      <c r="M6374" s="369" cm="1">
        <f t="array" ref="M6374">+_xlfn.IFS((C6374&gt;='Resultats - informe'!$D$26)*(C6374&lt;='Resultats - informe'!$E$26),0,(C6374&gt;='Resultats - informe'!$D$27)*(C6374&lt;='Resultats - informe'!$E$27),0,(C6374&gt;='Resultats - informe'!$D$28)*(C6374&lt;='Resultats - informe'!$E$28),0,(C6374&gt;='Resultats - informe'!$D$29)*(C6374&lt;='Resultats - informe'!$E$29),0,1,1)</f>
        <v>0</v>
      </c>
      <c r="N6374" s="366">
        <f>+VLOOKUP(D6374,'Resultats - informe'!$Y$18:$AG$42,'Introducció dades consum'!K6374+1,0)</f>
        <v>0</v>
      </c>
      <c r="O6374" s="370" cm="1">
        <f t="array" ref="O6374">+_xlfn.SWITCH(MONTH(C6374),1,1,2,1,3,1,4,2,5,2,6,3,7,3,8,3,9,3,10,2,11,2,12,1,2)</f>
        <v>1</v>
      </c>
      <c r="P6374" s="43"/>
    </row>
    <row r="6375" spans="1:16" ht="18" x14ac:dyDescent="0.35">
      <c r="A6375" s="9"/>
      <c r="C6375" s="393"/>
      <c r="E6375" s="394"/>
      <c r="F6375" s="394"/>
      <c r="G6375" s="394"/>
      <c r="I6375" s="368">
        <f t="shared" si="303"/>
        <v>0</v>
      </c>
      <c r="J6375" s="365">
        <f t="shared" si="304"/>
        <v>0</v>
      </c>
      <c r="K6375" s="369">
        <f t="shared" si="305"/>
        <v>6</v>
      </c>
      <c r="L6375" s="369">
        <f>+IF((C6375&gt;='Resultats - informe'!$E$16)*(C6375&lt;='Resultats - informe'!$G$16),1,0)</f>
        <v>1</v>
      </c>
      <c r="M6375" s="369" cm="1">
        <f t="array" ref="M6375">+_xlfn.IFS((C6375&gt;='Resultats - informe'!$D$26)*(C6375&lt;='Resultats - informe'!$E$26),0,(C6375&gt;='Resultats - informe'!$D$27)*(C6375&lt;='Resultats - informe'!$E$27),0,(C6375&gt;='Resultats - informe'!$D$28)*(C6375&lt;='Resultats - informe'!$E$28),0,(C6375&gt;='Resultats - informe'!$D$29)*(C6375&lt;='Resultats - informe'!$E$29),0,1,1)</f>
        <v>0</v>
      </c>
      <c r="N6375" s="366">
        <f>+VLOOKUP(D6375,'Resultats - informe'!$Y$18:$AG$42,'Introducció dades consum'!K6375+1,0)</f>
        <v>0</v>
      </c>
      <c r="O6375" s="370" cm="1">
        <f t="array" ref="O6375">+_xlfn.SWITCH(MONTH(C6375),1,1,2,1,3,1,4,2,5,2,6,3,7,3,8,3,9,3,10,2,11,2,12,1,2)</f>
        <v>1</v>
      </c>
      <c r="P6375" s="43"/>
    </row>
    <row r="6376" spans="1:16" ht="18" x14ac:dyDescent="0.35">
      <c r="A6376" s="9"/>
      <c r="C6376" s="393"/>
      <c r="E6376" s="394"/>
      <c r="F6376" s="394"/>
      <c r="G6376" s="394"/>
      <c r="I6376" s="368">
        <f t="shared" si="303"/>
        <v>0</v>
      </c>
      <c r="J6376" s="365">
        <f t="shared" si="304"/>
        <v>0</v>
      </c>
      <c r="K6376" s="369">
        <f t="shared" si="305"/>
        <v>6</v>
      </c>
      <c r="L6376" s="369">
        <f>+IF((C6376&gt;='Resultats - informe'!$E$16)*(C6376&lt;='Resultats - informe'!$G$16),1,0)</f>
        <v>1</v>
      </c>
      <c r="M6376" s="369" cm="1">
        <f t="array" ref="M6376">+_xlfn.IFS((C6376&gt;='Resultats - informe'!$D$26)*(C6376&lt;='Resultats - informe'!$E$26),0,(C6376&gt;='Resultats - informe'!$D$27)*(C6376&lt;='Resultats - informe'!$E$27),0,(C6376&gt;='Resultats - informe'!$D$28)*(C6376&lt;='Resultats - informe'!$E$28),0,(C6376&gt;='Resultats - informe'!$D$29)*(C6376&lt;='Resultats - informe'!$E$29),0,1,1)</f>
        <v>0</v>
      </c>
      <c r="N6376" s="366">
        <f>+VLOOKUP(D6376,'Resultats - informe'!$Y$18:$AG$42,'Introducció dades consum'!K6376+1,0)</f>
        <v>0</v>
      </c>
      <c r="O6376" s="370" cm="1">
        <f t="array" ref="O6376">+_xlfn.SWITCH(MONTH(C6376),1,1,2,1,3,1,4,2,5,2,6,3,7,3,8,3,9,3,10,2,11,2,12,1,2)</f>
        <v>1</v>
      </c>
      <c r="P6376" s="43"/>
    </row>
    <row r="6377" spans="1:16" ht="18" x14ac:dyDescent="0.35">
      <c r="A6377" s="9"/>
      <c r="C6377" s="393"/>
      <c r="E6377" s="394"/>
      <c r="F6377" s="394"/>
      <c r="G6377" s="394"/>
      <c r="I6377" s="368">
        <f t="shared" si="303"/>
        <v>0</v>
      </c>
      <c r="J6377" s="365">
        <f t="shared" si="304"/>
        <v>0</v>
      </c>
      <c r="K6377" s="369">
        <f t="shared" si="305"/>
        <v>6</v>
      </c>
      <c r="L6377" s="369">
        <f>+IF((C6377&gt;='Resultats - informe'!$E$16)*(C6377&lt;='Resultats - informe'!$G$16),1,0)</f>
        <v>1</v>
      </c>
      <c r="M6377" s="369" cm="1">
        <f t="array" ref="M6377">+_xlfn.IFS((C6377&gt;='Resultats - informe'!$D$26)*(C6377&lt;='Resultats - informe'!$E$26),0,(C6377&gt;='Resultats - informe'!$D$27)*(C6377&lt;='Resultats - informe'!$E$27),0,(C6377&gt;='Resultats - informe'!$D$28)*(C6377&lt;='Resultats - informe'!$E$28),0,(C6377&gt;='Resultats - informe'!$D$29)*(C6377&lt;='Resultats - informe'!$E$29),0,1,1)</f>
        <v>0</v>
      </c>
      <c r="N6377" s="366">
        <f>+VLOOKUP(D6377,'Resultats - informe'!$Y$18:$AG$42,'Introducció dades consum'!K6377+1,0)</f>
        <v>0</v>
      </c>
      <c r="O6377" s="370" cm="1">
        <f t="array" ref="O6377">+_xlfn.SWITCH(MONTH(C6377),1,1,2,1,3,1,4,2,5,2,6,3,7,3,8,3,9,3,10,2,11,2,12,1,2)</f>
        <v>1</v>
      </c>
      <c r="P6377" s="43"/>
    </row>
    <row r="6378" spans="1:16" ht="18" x14ac:dyDescent="0.35">
      <c r="A6378" s="9"/>
      <c r="C6378" s="393"/>
      <c r="E6378" s="394"/>
      <c r="F6378" s="394"/>
      <c r="G6378" s="394"/>
      <c r="I6378" s="368">
        <f t="shared" si="303"/>
        <v>0</v>
      </c>
      <c r="J6378" s="365">
        <f t="shared" si="304"/>
        <v>0</v>
      </c>
      <c r="K6378" s="369">
        <f t="shared" si="305"/>
        <v>6</v>
      </c>
      <c r="L6378" s="369">
        <f>+IF((C6378&gt;='Resultats - informe'!$E$16)*(C6378&lt;='Resultats - informe'!$G$16),1,0)</f>
        <v>1</v>
      </c>
      <c r="M6378" s="369" cm="1">
        <f t="array" ref="M6378">+_xlfn.IFS((C6378&gt;='Resultats - informe'!$D$26)*(C6378&lt;='Resultats - informe'!$E$26),0,(C6378&gt;='Resultats - informe'!$D$27)*(C6378&lt;='Resultats - informe'!$E$27),0,(C6378&gt;='Resultats - informe'!$D$28)*(C6378&lt;='Resultats - informe'!$E$28),0,(C6378&gt;='Resultats - informe'!$D$29)*(C6378&lt;='Resultats - informe'!$E$29),0,1,1)</f>
        <v>0</v>
      </c>
      <c r="N6378" s="366">
        <f>+VLOOKUP(D6378,'Resultats - informe'!$Y$18:$AG$42,'Introducció dades consum'!K6378+1,0)</f>
        <v>0</v>
      </c>
      <c r="O6378" s="370" cm="1">
        <f t="array" ref="O6378">+_xlfn.SWITCH(MONTH(C6378),1,1,2,1,3,1,4,2,5,2,6,3,7,3,8,3,9,3,10,2,11,2,12,1,2)</f>
        <v>1</v>
      </c>
      <c r="P6378" s="43"/>
    </row>
    <row r="6379" spans="1:16" ht="18" x14ac:dyDescent="0.35">
      <c r="A6379" s="9"/>
      <c r="C6379" s="393"/>
      <c r="E6379" s="394"/>
      <c r="F6379" s="394"/>
      <c r="G6379" s="394"/>
      <c r="I6379" s="368">
        <f t="shared" si="303"/>
        <v>0</v>
      </c>
      <c r="J6379" s="365">
        <f t="shared" si="304"/>
        <v>0</v>
      </c>
      <c r="K6379" s="369">
        <f t="shared" si="305"/>
        <v>6</v>
      </c>
      <c r="L6379" s="369">
        <f>+IF((C6379&gt;='Resultats - informe'!$E$16)*(C6379&lt;='Resultats - informe'!$G$16),1,0)</f>
        <v>1</v>
      </c>
      <c r="M6379" s="369" cm="1">
        <f t="array" ref="M6379">+_xlfn.IFS((C6379&gt;='Resultats - informe'!$D$26)*(C6379&lt;='Resultats - informe'!$E$26),0,(C6379&gt;='Resultats - informe'!$D$27)*(C6379&lt;='Resultats - informe'!$E$27),0,(C6379&gt;='Resultats - informe'!$D$28)*(C6379&lt;='Resultats - informe'!$E$28),0,(C6379&gt;='Resultats - informe'!$D$29)*(C6379&lt;='Resultats - informe'!$E$29),0,1,1)</f>
        <v>0</v>
      </c>
      <c r="N6379" s="366">
        <f>+VLOOKUP(D6379,'Resultats - informe'!$Y$18:$AG$42,'Introducció dades consum'!K6379+1,0)</f>
        <v>0</v>
      </c>
      <c r="O6379" s="370" cm="1">
        <f t="array" ref="O6379">+_xlfn.SWITCH(MONTH(C6379),1,1,2,1,3,1,4,2,5,2,6,3,7,3,8,3,9,3,10,2,11,2,12,1,2)</f>
        <v>1</v>
      </c>
      <c r="P6379" s="43"/>
    </row>
    <row r="6380" spans="1:16" ht="18" x14ac:dyDescent="0.35">
      <c r="A6380" s="9"/>
      <c r="C6380" s="393"/>
      <c r="E6380" s="394"/>
      <c r="F6380" s="394"/>
      <c r="G6380" s="394"/>
      <c r="I6380" s="368">
        <f t="shared" si="303"/>
        <v>0</v>
      </c>
      <c r="J6380" s="365">
        <f t="shared" si="304"/>
        <v>0</v>
      </c>
      <c r="K6380" s="369">
        <f t="shared" si="305"/>
        <v>6</v>
      </c>
      <c r="L6380" s="369">
        <f>+IF((C6380&gt;='Resultats - informe'!$E$16)*(C6380&lt;='Resultats - informe'!$G$16),1,0)</f>
        <v>1</v>
      </c>
      <c r="M6380" s="369" cm="1">
        <f t="array" ref="M6380">+_xlfn.IFS((C6380&gt;='Resultats - informe'!$D$26)*(C6380&lt;='Resultats - informe'!$E$26),0,(C6380&gt;='Resultats - informe'!$D$27)*(C6380&lt;='Resultats - informe'!$E$27),0,(C6380&gt;='Resultats - informe'!$D$28)*(C6380&lt;='Resultats - informe'!$E$28),0,(C6380&gt;='Resultats - informe'!$D$29)*(C6380&lt;='Resultats - informe'!$E$29),0,1,1)</f>
        <v>0</v>
      </c>
      <c r="N6380" s="366">
        <f>+VLOOKUP(D6380,'Resultats - informe'!$Y$18:$AG$42,'Introducció dades consum'!K6380+1,0)</f>
        <v>0</v>
      </c>
      <c r="O6380" s="370" cm="1">
        <f t="array" ref="O6380">+_xlfn.SWITCH(MONTH(C6380),1,1,2,1,3,1,4,2,5,2,6,3,7,3,8,3,9,3,10,2,11,2,12,1,2)</f>
        <v>1</v>
      </c>
      <c r="P6380" s="43"/>
    </row>
    <row r="6381" spans="1:16" ht="18" x14ac:dyDescent="0.35">
      <c r="A6381" s="9"/>
      <c r="C6381" s="393"/>
      <c r="E6381" s="394"/>
      <c r="F6381" s="394"/>
      <c r="G6381" s="394"/>
      <c r="I6381" s="368">
        <f t="shared" si="303"/>
        <v>0</v>
      </c>
      <c r="J6381" s="365">
        <f t="shared" si="304"/>
        <v>0</v>
      </c>
      <c r="K6381" s="369">
        <f t="shared" si="305"/>
        <v>6</v>
      </c>
      <c r="L6381" s="369">
        <f>+IF((C6381&gt;='Resultats - informe'!$E$16)*(C6381&lt;='Resultats - informe'!$G$16),1,0)</f>
        <v>1</v>
      </c>
      <c r="M6381" s="369" cm="1">
        <f t="array" ref="M6381">+_xlfn.IFS((C6381&gt;='Resultats - informe'!$D$26)*(C6381&lt;='Resultats - informe'!$E$26),0,(C6381&gt;='Resultats - informe'!$D$27)*(C6381&lt;='Resultats - informe'!$E$27),0,(C6381&gt;='Resultats - informe'!$D$28)*(C6381&lt;='Resultats - informe'!$E$28),0,(C6381&gt;='Resultats - informe'!$D$29)*(C6381&lt;='Resultats - informe'!$E$29),0,1,1)</f>
        <v>0</v>
      </c>
      <c r="N6381" s="366">
        <f>+VLOOKUP(D6381,'Resultats - informe'!$Y$18:$AG$42,'Introducció dades consum'!K6381+1,0)</f>
        <v>0</v>
      </c>
      <c r="O6381" s="370" cm="1">
        <f t="array" ref="O6381">+_xlfn.SWITCH(MONTH(C6381),1,1,2,1,3,1,4,2,5,2,6,3,7,3,8,3,9,3,10,2,11,2,12,1,2)</f>
        <v>1</v>
      </c>
      <c r="P6381" s="43"/>
    </row>
    <row r="6382" spans="1:16" ht="18" x14ac:dyDescent="0.35">
      <c r="A6382" s="9"/>
      <c r="C6382" s="393"/>
      <c r="E6382" s="394"/>
      <c r="F6382" s="394"/>
      <c r="G6382" s="394"/>
      <c r="I6382" s="368">
        <f t="shared" si="303"/>
        <v>0</v>
      </c>
      <c r="J6382" s="365">
        <f t="shared" si="304"/>
        <v>0</v>
      </c>
      <c r="K6382" s="369">
        <f t="shared" si="305"/>
        <v>6</v>
      </c>
      <c r="L6382" s="369">
        <f>+IF((C6382&gt;='Resultats - informe'!$E$16)*(C6382&lt;='Resultats - informe'!$G$16),1,0)</f>
        <v>1</v>
      </c>
      <c r="M6382" s="369" cm="1">
        <f t="array" ref="M6382">+_xlfn.IFS((C6382&gt;='Resultats - informe'!$D$26)*(C6382&lt;='Resultats - informe'!$E$26),0,(C6382&gt;='Resultats - informe'!$D$27)*(C6382&lt;='Resultats - informe'!$E$27),0,(C6382&gt;='Resultats - informe'!$D$28)*(C6382&lt;='Resultats - informe'!$E$28),0,(C6382&gt;='Resultats - informe'!$D$29)*(C6382&lt;='Resultats - informe'!$E$29),0,1,1)</f>
        <v>0</v>
      </c>
      <c r="N6382" s="366">
        <f>+VLOOKUP(D6382,'Resultats - informe'!$Y$18:$AG$42,'Introducció dades consum'!K6382+1,0)</f>
        <v>0</v>
      </c>
      <c r="O6382" s="370" cm="1">
        <f t="array" ref="O6382">+_xlfn.SWITCH(MONTH(C6382),1,1,2,1,3,1,4,2,5,2,6,3,7,3,8,3,9,3,10,2,11,2,12,1,2)</f>
        <v>1</v>
      </c>
      <c r="P6382" s="43"/>
    </row>
    <row r="6383" spans="1:16" ht="18" x14ac:dyDescent="0.35">
      <c r="A6383" s="9"/>
      <c r="C6383" s="393"/>
      <c r="E6383" s="394"/>
      <c r="F6383" s="394"/>
      <c r="G6383" s="394"/>
      <c r="I6383" s="368">
        <f t="shared" si="303"/>
        <v>0</v>
      </c>
      <c r="J6383" s="365">
        <f t="shared" si="304"/>
        <v>0</v>
      </c>
      <c r="K6383" s="369">
        <f t="shared" si="305"/>
        <v>6</v>
      </c>
      <c r="L6383" s="369">
        <f>+IF((C6383&gt;='Resultats - informe'!$E$16)*(C6383&lt;='Resultats - informe'!$G$16),1,0)</f>
        <v>1</v>
      </c>
      <c r="M6383" s="369" cm="1">
        <f t="array" ref="M6383">+_xlfn.IFS((C6383&gt;='Resultats - informe'!$D$26)*(C6383&lt;='Resultats - informe'!$E$26),0,(C6383&gt;='Resultats - informe'!$D$27)*(C6383&lt;='Resultats - informe'!$E$27),0,(C6383&gt;='Resultats - informe'!$D$28)*(C6383&lt;='Resultats - informe'!$E$28),0,(C6383&gt;='Resultats - informe'!$D$29)*(C6383&lt;='Resultats - informe'!$E$29),0,1,1)</f>
        <v>0</v>
      </c>
      <c r="N6383" s="366">
        <f>+VLOOKUP(D6383,'Resultats - informe'!$Y$18:$AG$42,'Introducció dades consum'!K6383+1,0)</f>
        <v>0</v>
      </c>
      <c r="O6383" s="370" cm="1">
        <f t="array" ref="O6383">+_xlfn.SWITCH(MONTH(C6383),1,1,2,1,3,1,4,2,5,2,6,3,7,3,8,3,9,3,10,2,11,2,12,1,2)</f>
        <v>1</v>
      </c>
      <c r="P6383" s="43"/>
    </row>
    <row r="6384" spans="1:16" ht="18" x14ac:dyDescent="0.35">
      <c r="A6384" s="9"/>
      <c r="C6384" s="393"/>
      <c r="E6384" s="394"/>
      <c r="F6384" s="394"/>
      <c r="G6384" s="394"/>
      <c r="I6384" s="368">
        <f t="shared" si="303"/>
        <v>0</v>
      </c>
      <c r="J6384" s="365">
        <f t="shared" si="304"/>
        <v>0</v>
      </c>
      <c r="K6384" s="369">
        <f t="shared" si="305"/>
        <v>6</v>
      </c>
      <c r="L6384" s="369">
        <f>+IF((C6384&gt;='Resultats - informe'!$E$16)*(C6384&lt;='Resultats - informe'!$G$16),1,0)</f>
        <v>1</v>
      </c>
      <c r="M6384" s="369" cm="1">
        <f t="array" ref="M6384">+_xlfn.IFS((C6384&gt;='Resultats - informe'!$D$26)*(C6384&lt;='Resultats - informe'!$E$26),0,(C6384&gt;='Resultats - informe'!$D$27)*(C6384&lt;='Resultats - informe'!$E$27),0,(C6384&gt;='Resultats - informe'!$D$28)*(C6384&lt;='Resultats - informe'!$E$28),0,(C6384&gt;='Resultats - informe'!$D$29)*(C6384&lt;='Resultats - informe'!$E$29),0,1,1)</f>
        <v>0</v>
      </c>
      <c r="N6384" s="366">
        <f>+VLOOKUP(D6384,'Resultats - informe'!$Y$18:$AG$42,'Introducció dades consum'!K6384+1,0)</f>
        <v>0</v>
      </c>
      <c r="O6384" s="370" cm="1">
        <f t="array" ref="O6384">+_xlfn.SWITCH(MONTH(C6384),1,1,2,1,3,1,4,2,5,2,6,3,7,3,8,3,9,3,10,2,11,2,12,1,2)</f>
        <v>1</v>
      </c>
      <c r="P6384" s="43"/>
    </row>
    <row r="6385" spans="1:16" ht="18" x14ac:dyDescent="0.35">
      <c r="A6385" s="9"/>
      <c r="C6385" s="393"/>
      <c r="E6385" s="394"/>
      <c r="F6385" s="394"/>
      <c r="G6385" s="394"/>
      <c r="I6385" s="368">
        <f t="shared" si="303"/>
        <v>0</v>
      </c>
      <c r="J6385" s="365">
        <f t="shared" si="304"/>
        <v>0</v>
      </c>
      <c r="K6385" s="369">
        <f t="shared" si="305"/>
        <v>6</v>
      </c>
      <c r="L6385" s="369">
        <f>+IF((C6385&gt;='Resultats - informe'!$E$16)*(C6385&lt;='Resultats - informe'!$G$16),1,0)</f>
        <v>1</v>
      </c>
      <c r="M6385" s="369" cm="1">
        <f t="array" ref="M6385">+_xlfn.IFS((C6385&gt;='Resultats - informe'!$D$26)*(C6385&lt;='Resultats - informe'!$E$26),0,(C6385&gt;='Resultats - informe'!$D$27)*(C6385&lt;='Resultats - informe'!$E$27),0,(C6385&gt;='Resultats - informe'!$D$28)*(C6385&lt;='Resultats - informe'!$E$28),0,(C6385&gt;='Resultats - informe'!$D$29)*(C6385&lt;='Resultats - informe'!$E$29),0,1,1)</f>
        <v>0</v>
      </c>
      <c r="N6385" s="366">
        <f>+VLOOKUP(D6385,'Resultats - informe'!$Y$18:$AG$42,'Introducció dades consum'!K6385+1,0)</f>
        <v>0</v>
      </c>
      <c r="O6385" s="370" cm="1">
        <f t="array" ref="O6385">+_xlfn.SWITCH(MONTH(C6385),1,1,2,1,3,1,4,2,5,2,6,3,7,3,8,3,9,3,10,2,11,2,12,1,2)</f>
        <v>1</v>
      </c>
      <c r="P6385" s="43"/>
    </row>
    <row r="6386" spans="1:16" ht="18" x14ac:dyDescent="0.35">
      <c r="A6386" s="9"/>
      <c r="C6386" s="393"/>
      <c r="E6386" s="394"/>
      <c r="F6386" s="394"/>
      <c r="G6386" s="394"/>
      <c r="I6386" s="368">
        <f t="shared" si="303"/>
        <v>0</v>
      </c>
      <c r="J6386" s="365">
        <f t="shared" si="304"/>
        <v>0</v>
      </c>
      <c r="K6386" s="369">
        <f t="shared" si="305"/>
        <v>6</v>
      </c>
      <c r="L6386" s="369">
        <f>+IF((C6386&gt;='Resultats - informe'!$E$16)*(C6386&lt;='Resultats - informe'!$G$16),1,0)</f>
        <v>1</v>
      </c>
      <c r="M6386" s="369" cm="1">
        <f t="array" ref="M6386">+_xlfn.IFS((C6386&gt;='Resultats - informe'!$D$26)*(C6386&lt;='Resultats - informe'!$E$26),0,(C6386&gt;='Resultats - informe'!$D$27)*(C6386&lt;='Resultats - informe'!$E$27),0,(C6386&gt;='Resultats - informe'!$D$28)*(C6386&lt;='Resultats - informe'!$E$28),0,(C6386&gt;='Resultats - informe'!$D$29)*(C6386&lt;='Resultats - informe'!$E$29),0,1,1)</f>
        <v>0</v>
      </c>
      <c r="N6386" s="366">
        <f>+VLOOKUP(D6386,'Resultats - informe'!$Y$18:$AG$42,'Introducció dades consum'!K6386+1,0)</f>
        <v>0</v>
      </c>
      <c r="O6386" s="370" cm="1">
        <f t="array" ref="O6386">+_xlfn.SWITCH(MONTH(C6386),1,1,2,1,3,1,4,2,5,2,6,3,7,3,8,3,9,3,10,2,11,2,12,1,2)</f>
        <v>1</v>
      </c>
      <c r="P6386" s="43"/>
    </row>
    <row r="6387" spans="1:16" ht="18" x14ac:dyDescent="0.35">
      <c r="A6387" s="9"/>
      <c r="C6387" s="393"/>
      <c r="E6387" s="394"/>
      <c r="F6387" s="394"/>
      <c r="G6387" s="394"/>
      <c r="I6387" s="368">
        <f t="shared" si="303"/>
        <v>0</v>
      </c>
      <c r="J6387" s="365">
        <f t="shared" si="304"/>
        <v>0</v>
      </c>
      <c r="K6387" s="369">
        <f t="shared" si="305"/>
        <v>6</v>
      </c>
      <c r="L6387" s="369">
        <f>+IF((C6387&gt;='Resultats - informe'!$E$16)*(C6387&lt;='Resultats - informe'!$G$16),1,0)</f>
        <v>1</v>
      </c>
      <c r="M6387" s="369" cm="1">
        <f t="array" ref="M6387">+_xlfn.IFS((C6387&gt;='Resultats - informe'!$D$26)*(C6387&lt;='Resultats - informe'!$E$26),0,(C6387&gt;='Resultats - informe'!$D$27)*(C6387&lt;='Resultats - informe'!$E$27),0,(C6387&gt;='Resultats - informe'!$D$28)*(C6387&lt;='Resultats - informe'!$E$28),0,(C6387&gt;='Resultats - informe'!$D$29)*(C6387&lt;='Resultats - informe'!$E$29),0,1,1)</f>
        <v>0</v>
      </c>
      <c r="N6387" s="366">
        <f>+VLOOKUP(D6387,'Resultats - informe'!$Y$18:$AG$42,'Introducció dades consum'!K6387+1,0)</f>
        <v>0</v>
      </c>
      <c r="O6387" s="370" cm="1">
        <f t="array" ref="O6387">+_xlfn.SWITCH(MONTH(C6387),1,1,2,1,3,1,4,2,5,2,6,3,7,3,8,3,9,3,10,2,11,2,12,1,2)</f>
        <v>1</v>
      </c>
      <c r="P6387" s="43"/>
    </row>
    <row r="6388" spans="1:16" ht="18" x14ac:dyDescent="0.35">
      <c r="A6388" s="9"/>
      <c r="C6388" s="393"/>
      <c r="E6388" s="394"/>
      <c r="F6388" s="394"/>
      <c r="G6388" s="394"/>
      <c r="I6388" s="368">
        <f t="shared" si="303"/>
        <v>0</v>
      </c>
      <c r="J6388" s="365">
        <f t="shared" si="304"/>
        <v>0</v>
      </c>
      <c r="K6388" s="369">
        <f t="shared" si="305"/>
        <v>6</v>
      </c>
      <c r="L6388" s="369">
        <f>+IF((C6388&gt;='Resultats - informe'!$E$16)*(C6388&lt;='Resultats - informe'!$G$16),1,0)</f>
        <v>1</v>
      </c>
      <c r="M6388" s="369" cm="1">
        <f t="array" ref="M6388">+_xlfn.IFS((C6388&gt;='Resultats - informe'!$D$26)*(C6388&lt;='Resultats - informe'!$E$26),0,(C6388&gt;='Resultats - informe'!$D$27)*(C6388&lt;='Resultats - informe'!$E$27),0,(C6388&gt;='Resultats - informe'!$D$28)*(C6388&lt;='Resultats - informe'!$E$28),0,(C6388&gt;='Resultats - informe'!$D$29)*(C6388&lt;='Resultats - informe'!$E$29),0,1,1)</f>
        <v>0</v>
      </c>
      <c r="N6388" s="366">
        <f>+VLOOKUP(D6388,'Resultats - informe'!$Y$18:$AG$42,'Introducció dades consum'!K6388+1,0)</f>
        <v>0</v>
      </c>
      <c r="O6388" s="370" cm="1">
        <f t="array" ref="O6388">+_xlfn.SWITCH(MONTH(C6388),1,1,2,1,3,1,4,2,5,2,6,3,7,3,8,3,9,3,10,2,11,2,12,1,2)</f>
        <v>1</v>
      </c>
      <c r="P6388" s="43"/>
    </row>
    <row r="6389" spans="1:16" ht="18" x14ac:dyDescent="0.35">
      <c r="A6389" s="9"/>
      <c r="C6389" s="393"/>
      <c r="E6389" s="394"/>
      <c r="F6389" s="394"/>
      <c r="G6389" s="394"/>
      <c r="I6389" s="368">
        <f t="shared" si="303"/>
        <v>0</v>
      </c>
      <c r="J6389" s="365">
        <f t="shared" si="304"/>
        <v>0</v>
      </c>
      <c r="K6389" s="369">
        <f t="shared" si="305"/>
        <v>6</v>
      </c>
      <c r="L6389" s="369">
        <f>+IF((C6389&gt;='Resultats - informe'!$E$16)*(C6389&lt;='Resultats - informe'!$G$16),1,0)</f>
        <v>1</v>
      </c>
      <c r="M6389" s="369" cm="1">
        <f t="array" ref="M6389">+_xlfn.IFS((C6389&gt;='Resultats - informe'!$D$26)*(C6389&lt;='Resultats - informe'!$E$26),0,(C6389&gt;='Resultats - informe'!$D$27)*(C6389&lt;='Resultats - informe'!$E$27),0,(C6389&gt;='Resultats - informe'!$D$28)*(C6389&lt;='Resultats - informe'!$E$28),0,(C6389&gt;='Resultats - informe'!$D$29)*(C6389&lt;='Resultats - informe'!$E$29),0,1,1)</f>
        <v>0</v>
      </c>
      <c r="N6389" s="366">
        <f>+VLOOKUP(D6389,'Resultats - informe'!$Y$18:$AG$42,'Introducció dades consum'!K6389+1,0)</f>
        <v>0</v>
      </c>
      <c r="O6389" s="370" cm="1">
        <f t="array" ref="O6389">+_xlfn.SWITCH(MONTH(C6389),1,1,2,1,3,1,4,2,5,2,6,3,7,3,8,3,9,3,10,2,11,2,12,1,2)</f>
        <v>1</v>
      </c>
      <c r="P6389" s="43"/>
    </row>
    <row r="6390" spans="1:16" ht="18" x14ac:dyDescent="0.35">
      <c r="A6390" s="9"/>
      <c r="C6390" s="393"/>
      <c r="E6390" s="394"/>
      <c r="F6390" s="394"/>
      <c r="G6390" s="394"/>
      <c r="I6390" s="368">
        <f t="shared" si="303"/>
        <v>0</v>
      </c>
      <c r="J6390" s="365">
        <f t="shared" si="304"/>
        <v>0</v>
      </c>
      <c r="K6390" s="369">
        <f t="shared" si="305"/>
        <v>6</v>
      </c>
      <c r="L6390" s="369">
        <f>+IF((C6390&gt;='Resultats - informe'!$E$16)*(C6390&lt;='Resultats - informe'!$G$16),1,0)</f>
        <v>1</v>
      </c>
      <c r="M6390" s="369" cm="1">
        <f t="array" ref="M6390">+_xlfn.IFS((C6390&gt;='Resultats - informe'!$D$26)*(C6390&lt;='Resultats - informe'!$E$26),0,(C6390&gt;='Resultats - informe'!$D$27)*(C6390&lt;='Resultats - informe'!$E$27),0,(C6390&gt;='Resultats - informe'!$D$28)*(C6390&lt;='Resultats - informe'!$E$28),0,(C6390&gt;='Resultats - informe'!$D$29)*(C6390&lt;='Resultats - informe'!$E$29),0,1,1)</f>
        <v>0</v>
      </c>
      <c r="N6390" s="366">
        <f>+VLOOKUP(D6390,'Resultats - informe'!$Y$18:$AG$42,'Introducció dades consum'!K6390+1,0)</f>
        <v>0</v>
      </c>
      <c r="O6390" s="370" cm="1">
        <f t="array" ref="O6390">+_xlfn.SWITCH(MONTH(C6390),1,1,2,1,3,1,4,2,5,2,6,3,7,3,8,3,9,3,10,2,11,2,12,1,2)</f>
        <v>1</v>
      </c>
      <c r="P6390" s="43"/>
    </row>
    <row r="6391" spans="1:16" ht="18" x14ac:dyDescent="0.35">
      <c r="A6391" s="9"/>
      <c r="C6391" s="393"/>
      <c r="E6391" s="394"/>
      <c r="F6391" s="394"/>
      <c r="G6391" s="394"/>
      <c r="I6391" s="368">
        <f t="shared" si="303"/>
        <v>0</v>
      </c>
      <c r="J6391" s="365">
        <f t="shared" si="304"/>
        <v>0</v>
      </c>
      <c r="K6391" s="369">
        <f t="shared" si="305"/>
        <v>6</v>
      </c>
      <c r="L6391" s="369">
        <f>+IF((C6391&gt;='Resultats - informe'!$E$16)*(C6391&lt;='Resultats - informe'!$G$16),1,0)</f>
        <v>1</v>
      </c>
      <c r="M6391" s="369" cm="1">
        <f t="array" ref="M6391">+_xlfn.IFS((C6391&gt;='Resultats - informe'!$D$26)*(C6391&lt;='Resultats - informe'!$E$26),0,(C6391&gt;='Resultats - informe'!$D$27)*(C6391&lt;='Resultats - informe'!$E$27),0,(C6391&gt;='Resultats - informe'!$D$28)*(C6391&lt;='Resultats - informe'!$E$28),0,(C6391&gt;='Resultats - informe'!$D$29)*(C6391&lt;='Resultats - informe'!$E$29),0,1,1)</f>
        <v>0</v>
      </c>
      <c r="N6391" s="366">
        <f>+VLOOKUP(D6391,'Resultats - informe'!$Y$18:$AG$42,'Introducció dades consum'!K6391+1,0)</f>
        <v>0</v>
      </c>
      <c r="O6391" s="370" cm="1">
        <f t="array" ref="O6391">+_xlfn.SWITCH(MONTH(C6391),1,1,2,1,3,1,4,2,5,2,6,3,7,3,8,3,9,3,10,2,11,2,12,1,2)</f>
        <v>1</v>
      </c>
      <c r="P6391" s="43"/>
    </row>
    <row r="6392" spans="1:16" ht="18" x14ac:dyDescent="0.35">
      <c r="A6392" s="9"/>
      <c r="C6392" s="393"/>
      <c r="E6392" s="394"/>
      <c r="F6392" s="394"/>
      <c r="G6392" s="394"/>
      <c r="I6392" s="368">
        <f t="shared" si="303"/>
        <v>0</v>
      </c>
      <c r="J6392" s="365">
        <f t="shared" si="304"/>
        <v>0</v>
      </c>
      <c r="K6392" s="369">
        <f t="shared" si="305"/>
        <v>6</v>
      </c>
      <c r="L6392" s="369">
        <f>+IF((C6392&gt;='Resultats - informe'!$E$16)*(C6392&lt;='Resultats - informe'!$G$16),1,0)</f>
        <v>1</v>
      </c>
      <c r="M6392" s="369" cm="1">
        <f t="array" ref="M6392">+_xlfn.IFS((C6392&gt;='Resultats - informe'!$D$26)*(C6392&lt;='Resultats - informe'!$E$26),0,(C6392&gt;='Resultats - informe'!$D$27)*(C6392&lt;='Resultats - informe'!$E$27),0,(C6392&gt;='Resultats - informe'!$D$28)*(C6392&lt;='Resultats - informe'!$E$28),0,(C6392&gt;='Resultats - informe'!$D$29)*(C6392&lt;='Resultats - informe'!$E$29),0,1,1)</f>
        <v>0</v>
      </c>
      <c r="N6392" s="366">
        <f>+VLOOKUP(D6392,'Resultats - informe'!$Y$18:$AG$42,'Introducció dades consum'!K6392+1,0)</f>
        <v>0</v>
      </c>
      <c r="O6392" s="370" cm="1">
        <f t="array" ref="O6392">+_xlfn.SWITCH(MONTH(C6392),1,1,2,1,3,1,4,2,5,2,6,3,7,3,8,3,9,3,10,2,11,2,12,1,2)</f>
        <v>1</v>
      </c>
      <c r="P6392" s="43"/>
    </row>
    <row r="6393" spans="1:16" ht="18" x14ac:dyDescent="0.35">
      <c r="A6393" s="9"/>
      <c r="C6393" s="393"/>
      <c r="E6393" s="394"/>
      <c r="F6393" s="394"/>
      <c r="G6393" s="394"/>
      <c r="I6393" s="368">
        <f t="shared" si="303"/>
        <v>0</v>
      </c>
      <c r="J6393" s="365">
        <f t="shared" si="304"/>
        <v>0</v>
      </c>
      <c r="K6393" s="369">
        <f t="shared" si="305"/>
        <v>6</v>
      </c>
      <c r="L6393" s="369">
        <f>+IF((C6393&gt;='Resultats - informe'!$E$16)*(C6393&lt;='Resultats - informe'!$G$16),1,0)</f>
        <v>1</v>
      </c>
      <c r="M6393" s="369" cm="1">
        <f t="array" ref="M6393">+_xlfn.IFS((C6393&gt;='Resultats - informe'!$D$26)*(C6393&lt;='Resultats - informe'!$E$26),0,(C6393&gt;='Resultats - informe'!$D$27)*(C6393&lt;='Resultats - informe'!$E$27),0,(C6393&gt;='Resultats - informe'!$D$28)*(C6393&lt;='Resultats - informe'!$E$28),0,(C6393&gt;='Resultats - informe'!$D$29)*(C6393&lt;='Resultats - informe'!$E$29),0,1,1)</f>
        <v>0</v>
      </c>
      <c r="N6393" s="366">
        <f>+VLOOKUP(D6393,'Resultats - informe'!$Y$18:$AG$42,'Introducció dades consum'!K6393+1,0)</f>
        <v>0</v>
      </c>
      <c r="O6393" s="370" cm="1">
        <f t="array" ref="O6393">+_xlfn.SWITCH(MONTH(C6393),1,1,2,1,3,1,4,2,5,2,6,3,7,3,8,3,9,3,10,2,11,2,12,1,2)</f>
        <v>1</v>
      </c>
      <c r="P6393" s="43"/>
    </row>
    <row r="6394" spans="1:16" ht="18" x14ac:dyDescent="0.35">
      <c r="A6394" s="9"/>
      <c r="C6394" s="393"/>
      <c r="E6394" s="394"/>
      <c r="F6394" s="394"/>
      <c r="G6394" s="394"/>
      <c r="I6394" s="368">
        <f t="shared" si="303"/>
        <v>0</v>
      </c>
      <c r="J6394" s="365">
        <f t="shared" si="304"/>
        <v>0</v>
      </c>
      <c r="K6394" s="369">
        <f t="shared" si="305"/>
        <v>6</v>
      </c>
      <c r="L6394" s="369">
        <f>+IF((C6394&gt;='Resultats - informe'!$E$16)*(C6394&lt;='Resultats - informe'!$G$16),1,0)</f>
        <v>1</v>
      </c>
      <c r="M6394" s="369" cm="1">
        <f t="array" ref="M6394">+_xlfn.IFS((C6394&gt;='Resultats - informe'!$D$26)*(C6394&lt;='Resultats - informe'!$E$26),0,(C6394&gt;='Resultats - informe'!$D$27)*(C6394&lt;='Resultats - informe'!$E$27),0,(C6394&gt;='Resultats - informe'!$D$28)*(C6394&lt;='Resultats - informe'!$E$28),0,(C6394&gt;='Resultats - informe'!$D$29)*(C6394&lt;='Resultats - informe'!$E$29),0,1,1)</f>
        <v>0</v>
      </c>
      <c r="N6394" s="366">
        <f>+VLOOKUP(D6394,'Resultats - informe'!$Y$18:$AG$42,'Introducció dades consum'!K6394+1,0)</f>
        <v>0</v>
      </c>
      <c r="O6394" s="370" cm="1">
        <f t="array" ref="O6394">+_xlfn.SWITCH(MONTH(C6394),1,1,2,1,3,1,4,2,5,2,6,3,7,3,8,3,9,3,10,2,11,2,12,1,2)</f>
        <v>1</v>
      </c>
      <c r="P6394" s="43"/>
    </row>
    <row r="6395" spans="1:16" ht="18" x14ac:dyDescent="0.35">
      <c r="A6395" s="9"/>
      <c r="C6395" s="393"/>
      <c r="E6395" s="394"/>
      <c r="F6395" s="394"/>
      <c r="G6395" s="394"/>
      <c r="I6395" s="368">
        <f t="shared" si="303"/>
        <v>0</v>
      </c>
      <c r="J6395" s="365">
        <f t="shared" si="304"/>
        <v>0</v>
      </c>
      <c r="K6395" s="369">
        <f t="shared" si="305"/>
        <v>6</v>
      </c>
      <c r="L6395" s="369">
        <f>+IF((C6395&gt;='Resultats - informe'!$E$16)*(C6395&lt;='Resultats - informe'!$G$16),1,0)</f>
        <v>1</v>
      </c>
      <c r="M6395" s="369" cm="1">
        <f t="array" ref="M6395">+_xlfn.IFS((C6395&gt;='Resultats - informe'!$D$26)*(C6395&lt;='Resultats - informe'!$E$26),0,(C6395&gt;='Resultats - informe'!$D$27)*(C6395&lt;='Resultats - informe'!$E$27),0,(C6395&gt;='Resultats - informe'!$D$28)*(C6395&lt;='Resultats - informe'!$E$28),0,(C6395&gt;='Resultats - informe'!$D$29)*(C6395&lt;='Resultats - informe'!$E$29),0,1,1)</f>
        <v>0</v>
      </c>
      <c r="N6395" s="366">
        <f>+VLOOKUP(D6395,'Resultats - informe'!$Y$18:$AG$42,'Introducció dades consum'!K6395+1,0)</f>
        <v>0</v>
      </c>
      <c r="O6395" s="370" cm="1">
        <f t="array" ref="O6395">+_xlfn.SWITCH(MONTH(C6395),1,1,2,1,3,1,4,2,5,2,6,3,7,3,8,3,9,3,10,2,11,2,12,1,2)</f>
        <v>1</v>
      </c>
      <c r="P6395" s="43"/>
    </row>
    <row r="6396" spans="1:16" ht="18" x14ac:dyDescent="0.35">
      <c r="A6396" s="9"/>
      <c r="C6396" s="393"/>
      <c r="E6396" s="394"/>
      <c r="F6396" s="394"/>
      <c r="G6396" s="394"/>
      <c r="I6396" s="368">
        <f t="shared" si="303"/>
        <v>0</v>
      </c>
      <c r="J6396" s="365">
        <f t="shared" si="304"/>
        <v>0</v>
      </c>
      <c r="K6396" s="369">
        <f t="shared" si="305"/>
        <v>6</v>
      </c>
      <c r="L6396" s="369">
        <f>+IF((C6396&gt;='Resultats - informe'!$E$16)*(C6396&lt;='Resultats - informe'!$G$16),1,0)</f>
        <v>1</v>
      </c>
      <c r="M6396" s="369" cm="1">
        <f t="array" ref="M6396">+_xlfn.IFS((C6396&gt;='Resultats - informe'!$D$26)*(C6396&lt;='Resultats - informe'!$E$26),0,(C6396&gt;='Resultats - informe'!$D$27)*(C6396&lt;='Resultats - informe'!$E$27),0,(C6396&gt;='Resultats - informe'!$D$28)*(C6396&lt;='Resultats - informe'!$E$28),0,(C6396&gt;='Resultats - informe'!$D$29)*(C6396&lt;='Resultats - informe'!$E$29),0,1,1)</f>
        <v>0</v>
      </c>
      <c r="N6396" s="366">
        <f>+VLOOKUP(D6396,'Resultats - informe'!$Y$18:$AG$42,'Introducció dades consum'!K6396+1,0)</f>
        <v>0</v>
      </c>
      <c r="O6396" s="370" cm="1">
        <f t="array" ref="O6396">+_xlfn.SWITCH(MONTH(C6396),1,1,2,1,3,1,4,2,5,2,6,3,7,3,8,3,9,3,10,2,11,2,12,1,2)</f>
        <v>1</v>
      </c>
      <c r="P6396" s="43"/>
    </row>
    <row r="6397" spans="1:16" ht="18" x14ac:dyDescent="0.35">
      <c r="A6397" s="9"/>
      <c r="C6397" s="393"/>
      <c r="E6397" s="394"/>
      <c r="F6397" s="394"/>
      <c r="G6397" s="394"/>
      <c r="I6397" s="368">
        <f t="shared" si="303"/>
        <v>0</v>
      </c>
      <c r="J6397" s="365">
        <f t="shared" si="304"/>
        <v>0</v>
      </c>
      <c r="K6397" s="369">
        <f t="shared" si="305"/>
        <v>6</v>
      </c>
      <c r="L6397" s="369">
        <f>+IF((C6397&gt;='Resultats - informe'!$E$16)*(C6397&lt;='Resultats - informe'!$G$16),1,0)</f>
        <v>1</v>
      </c>
      <c r="M6397" s="369" cm="1">
        <f t="array" ref="M6397">+_xlfn.IFS((C6397&gt;='Resultats - informe'!$D$26)*(C6397&lt;='Resultats - informe'!$E$26),0,(C6397&gt;='Resultats - informe'!$D$27)*(C6397&lt;='Resultats - informe'!$E$27),0,(C6397&gt;='Resultats - informe'!$D$28)*(C6397&lt;='Resultats - informe'!$E$28),0,(C6397&gt;='Resultats - informe'!$D$29)*(C6397&lt;='Resultats - informe'!$E$29),0,1,1)</f>
        <v>0</v>
      </c>
      <c r="N6397" s="366">
        <f>+VLOOKUP(D6397,'Resultats - informe'!$Y$18:$AG$42,'Introducció dades consum'!K6397+1,0)</f>
        <v>0</v>
      </c>
      <c r="O6397" s="370" cm="1">
        <f t="array" ref="O6397">+_xlfn.SWITCH(MONTH(C6397),1,1,2,1,3,1,4,2,5,2,6,3,7,3,8,3,9,3,10,2,11,2,12,1,2)</f>
        <v>1</v>
      </c>
      <c r="P6397" s="43"/>
    </row>
    <row r="6398" spans="1:16" ht="18" x14ac:dyDescent="0.35">
      <c r="A6398" s="9"/>
      <c r="C6398" s="393"/>
      <c r="E6398" s="394"/>
      <c r="F6398" s="394"/>
      <c r="G6398" s="394"/>
      <c r="I6398" s="368">
        <f t="shared" si="303"/>
        <v>0</v>
      </c>
      <c r="J6398" s="365">
        <f t="shared" si="304"/>
        <v>0</v>
      </c>
      <c r="K6398" s="369">
        <f t="shared" si="305"/>
        <v>6</v>
      </c>
      <c r="L6398" s="369">
        <f>+IF((C6398&gt;='Resultats - informe'!$E$16)*(C6398&lt;='Resultats - informe'!$G$16),1,0)</f>
        <v>1</v>
      </c>
      <c r="M6398" s="369" cm="1">
        <f t="array" ref="M6398">+_xlfn.IFS((C6398&gt;='Resultats - informe'!$D$26)*(C6398&lt;='Resultats - informe'!$E$26),0,(C6398&gt;='Resultats - informe'!$D$27)*(C6398&lt;='Resultats - informe'!$E$27),0,(C6398&gt;='Resultats - informe'!$D$28)*(C6398&lt;='Resultats - informe'!$E$28),0,(C6398&gt;='Resultats - informe'!$D$29)*(C6398&lt;='Resultats - informe'!$E$29),0,1,1)</f>
        <v>0</v>
      </c>
      <c r="N6398" s="366">
        <f>+VLOOKUP(D6398,'Resultats - informe'!$Y$18:$AG$42,'Introducció dades consum'!K6398+1,0)</f>
        <v>0</v>
      </c>
      <c r="O6398" s="370" cm="1">
        <f t="array" ref="O6398">+_xlfn.SWITCH(MONTH(C6398),1,1,2,1,3,1,4,2,5,2,6,3,7,3,8,3,9,3,10,2,11,2,12,1,2)</f>
        <v>1</v>
      </c>
      <c r="P6398" s="43"/>
    </row>
    <row r="6399" spans="1:16" ht="18" x14ac:dyDescent="0.35">
      <c r="A6399" s="9"/>
      <c r="C6399" s="393"/>
      <c r="E6399" s="394"/>
      <c r="F6399" s="394"/>
      <c r="G6399" s="394"/>
      <c r="I6399" s="368">
        <f t="shared" si="303"/>
        <v>0</v>
      </c>
      <c r="J6399" s="365">
        <f t="shared" si="304"/>
        <v>0</v>
      </c>
      <c r="K6399" s="369">
        <f t="shared" si="305"/>
        <v>6</v>
      </c>
      <c r="L6399" s="369">
        <f>+IF((C6399&gt;='Resultats - informe'!$E$16)*(C6399&lt;='Resultats - informe'!$G$16),1,0)</f>
        <v>1</v>
      </c>
      <c r="M6399" s="369" cm="1">
        <f t="array" ref="M6399">+_xlfn.IFS((C6399&gt;='Resultats - informe'!$D$26)*(C6399&lt;='Resultats - informe'!$E$26),0,(C6399&gt;='Resultats - informe'!$D$27)*(C6399&lt;='Resultats - informe'!$E$27),0,(C6399&gt;='Resultats - informe'!$D$28)*(C6399&lt;='Resultats - informe'!$E$28),0,(C6399&gt;='Resultats - informe'!$D$29)*(C6399&lt;='Resultats - informe'!$E$29),0,1,1)</f>
        <v>0</v>
      </c>
      <c r="N6399" s="366">
        <f>+VLOOKUP(D6399,'Resultats - informe'!$Y$18:$AG$42,'Introducció dades consum'!K6399+1,0)</f>
        <v>0</v>
      </c>
      <c r="O6399" s="370" cm="1">
        <f t="array" ref="O6399">+_xlfn.SWITCH(MONTH(C6399),1,1,2,1,3,1,4,2,5,2,6,3,7,3,8,3,9,3,10,2,11,2,12,1,2)</f>
        <v>1</v>
      </c>
      <c r="P6399" s="43"/>
    </row>
    <row r="6400" spans="1:16" ht="18" x14ac:dyDescent="0.35">
      <c r="A6400" s="9"/>
      <c r="C6400" s="393"/>
      <c r="E6400" s="394"/>
      <c r="F6400" s="394"/>
      <c r="G6400" s="394"/>
      <c r="I6400" s="368">
        <f t="shared" si="303"/>
        <v>0</v>
      </c>
      <c r="J6400" s="365">
        <f t="shared" si="304"/>
        <v>0</v>
      </c>
      <c r="K6400" s="369">
        <f t="shared" si="305"/>
        <v>6</v>
      </c>
      <c r="L6400" s="369">
        <f>+IF((C6400&gt;='Resultats - informe'!$E$16)*(C6400&lt;='Resultats - informe'!$G$16),1,0)</f>
        <v>1</v>
      </c>
      <c r="M6400" s="369" cm="1">
        <f t="array" ref="M6400">+_xlfn.IFS((C6400&gt;='Resultats - informe'!$D$26)*(C6400&lt;='Resultats - informe'!$E$26),0,(C6400&gt;='Resultats - informe'!$D$27)*(C6400&lt;='Resultats - informe'!$E$27),0,(C6400&gt;='Resultats - informe'!$D$28)*(C6400&lt;='Resultats - informe'!$E$28),0,(C6400&gt;='Resultats - informe'!$D$29)*(C6400&lt;='Resultats - informe'!$E$29),0,1,1)</f>
        <v>0</v>
      </c>
      <c r="N6400" s="366">
        <f>+VLOOKUP(D6400,'Resultats - informe'!$Y$18:$AG$42,'Introducció dades consum'!K6400+1,0)</f>
        <v>0</v>
      </c>
      <c r="O6400" s="370" cm="1">
        <f t="array" ref="O6400">+_xlfn.SWITCH(MONTH(C6400),1,1,2,1,3,1,4,2,5,2,6,3,7,3,8,3,9,3,10,2,11,2,12,1,2)</f>
        <v>1</v>
      </c>
      <c r="P6400" s="43"/>
    </row>
    <row r="6401" spans="1:16" ht="18" x14ac:dyDescent="0.35">
      <c r="A6401" s="9"/>
      <c r="C6401" s="393"/>
      <c r="E6401" s="394"/>
      <c r="F6401" s="394"/>
      <c r="G6401" s="394"/>
      <c r="I6401" s="368">
        <f t="shared" si="303"/>
        <v>0</v>
      </c>
      <c r="J6401" s="365">
        <f t="shared" si="304"/>
        <v>0</v>
      </c>
      <c r="K6401" s="369">
        <f t="shared" si="305"/>
        <v>6</v>
      </c>
      <c r="L6401" s="369">
        <f>+IF((C6401&gt;='Resultats - informe'!$E$16)*(C6401&lt;='Resultats - informe'!$G$16),1,0)</f>
        <v>1</v>
      </c>
      <c r="M6401" s="369" cm="1">
        <f t="array" ref="M6401">+_xlfn.IFS((C6401&gt;='Resultats - informe'!$D$26)*(C6401&lt;='Resultats - informe'!$E$26),0,(C6401&gt;='Resultats - informe'!$D$27)*(C6401&lt;='Resultats - informe'!$E$27),0,(C6401&gt;='Resultats - informe'!$D$28)*(C6401&lt;='Resultats - informe'!$E$28),0,(C6401&gt;='Resultats - informe'!$D$29)*(C6401&lt;='Resultats - informe'!$E$29),0,1,1)</f>
        <v>0</v>
      </c>
      <c r="N6401" s="366">
        <f>+VLOOKUP(D6401,'Resultats - informe'!$Y$18:$AG$42,'Introducció dades consum'!K6401+1,0)</f>
        <v>0</v>
      </c>
      <c r="O6401" s="370" cm="1">
        <f t="array" ref="O6401">+_xlfn.SWITCH(MONTH(C6401),1,1,2,1,3,1,4,2,5,2,6,3,7,3,8,3,9,3,10,2,11,2,12,1,2)</f>
        <v>1</v>
      </c>
      <c r="P6401" s="43"/>
    </row>
    <row r="6402" spans="1:16" ht="18" x14ac:dyDescent="0.35">
      <c r="A6402" s="9"/>
      <c r="C6402" s="393"/>
      <c r="E6402" s="394"/>
      <c r="F6402" s="394"/>
      <c r="G6402" s="394"/>
      <c r="I6402" s="368">
        <f t="shared" si="303"/>
        <v>0</v>
      </c>
      <c r="J6402" s="365">
        <f t="shared" si="304"/>
        <v>0</v>
      </c>
      <c r="K6402" s="369">
        <f t="shared" si="305"/>
        <v>6</v>
      </c>
      <c r="L6402" s="369">
        <f>+IF((C6402&gt;='Resultats - informe'!$E$16)*(C6402&lt;='Resultats - informe'!$G$16),1,0)</f>
        <v>1</v>
      </c>
      <c r="M6402" s="369" cm="1">
        <f t="array" ref="M6402">+_xlfn.IFS((C6402&gt;='Resultats - informe'!$D$26)*(C6402&lt;='Resultats - informe'!$E$26),0,(C6402&gt;='Resultats - informe'!$D$27)*(C6402&lt;='Resultats - informe'!$E$27),0,(C6402&gt;='Resultats - informe'!$D$28)*(C6402&lt;='Resultats - informe'!$E$28),0,(C6402&gt;='Resultats - informe'!$D$29)*(C6402&lt;='Resultats - informe'!$E$29),0,1,1)</f>
        <v>0</v>
      </c>
      <c r="N6402" s="366">
        <f>+VLOOKUP(D6402,'Resultats - informe'!$Y$18:$AG$42,'Introducció dades consum'!K6402+1,0)</f>
        <v>0</v>
      </c>
      <c r="O6402" s="370" cm="1">
        <f t="array" ref="O6402">+_xlfn.SWITCH(MONTH(C6402),1,1,2,1,3,1,4,2,5,2,6,3,7,3,8,3,9,3,10,2,11,2,12,1,2)</f>
        <v>1</v>
      </c>
      <c r="P6402" s="43"/>
    </row>
    <row r="6403" spans="1:16" ht="18" x14ac:dyDescent="0.35">
      <c r="A6403" s="9"/>
      <c r="C6403" s="393"/>
      <c r="E6403" s="394"/>
      <c r="F6403" s="394"/>
      <c r="G6403" s="394"/>
      <c r="I6403" s="368">
        <f t="shared" si="303"/>
        <v>0</v>
      </c>
      <c r="J6403" s="365">
        <f t="shared" si="304"/>
        <v>0</v>
      </c>
      <c r="K6403" s="369">
        <f t="shared" si="305"/>
        <v>6</v>
      </c>
      <c r="L6403" s="369">
        <f>+IF((C6403&gt;='Resultats - informe'!$E$16)*(C6403&lt;='Resultats - informe'!$G$16),1,0)</f>
        <v>1</v>
      </c>
      <c r="M6403" s="369" cm="1">
        <f t="array" ref="M6403">+_xlfn.IFS((C6403&gt;='Resultats - informe'!$D$26)*(C6403&lt;='Resultats - informe'!$E$26),0,(C6403&gt;='Resultats - informe'!$D$27)*(C6403&lt;='Resultats - informe'!$E$27),0,(C6403&gt;='Resultats - informe'!$D$28)*(C6403&lt;='Resultats - informe'!$E$28),0,(C6403&gt;='Resultats - informe'!$D$29)*(C6403&lt;='Resultats - informe'!$E$29),0,1,1)</f>
        <v>0</v>
      </c>
      <c r="N6403" s="366">
        <f>+VLOOKUP(D6403,'Resultats - informe'!$Y$18:$AG$42,'Introducció dades consum'!K6403+1,0)</f>
        <v>0</v>
      </c>
      <c r="O6403" s="370" cm="1">
        <f t="array" ref="O6403">+_xlfn.SWITCH(MONTH(C6403),1,1,2,1,3,1,4,2,5,2,6,3,7,3,8,3,9,3,10,2,11,2,12,1,2)</f>
        <v>1</v>
      </c>
      <c r="P6403" s="43"/>
    </row>
    <row r="6404" spans="1:16" ht="18" x14ac:dyDescent="0.35">
      <c r="A6404" s="9"/>
      <c r="C6404" s="393"/>
      <c r="E6404" s="394"/>
      <c r="F6404" s="394"/>
      <c r="G6404" s="394"/>
      <c r="I6404" s="368">
        <f t="shared" si="303"/>
        <v>0</v>
      </c>
      <c r="J6404" s="365">
        <f t="shared" si="304"/>
        <v>0</v>
      </c>
      <c r="K6404" s="369">
        <f t="shared" si="305"/>
        <v>6</v>
      </c>
      <c r="L6404" s="369">
        <f>+IF((C6404&gt;='Resultats - informe'!$E$16)*(C6404&lt;='Resultats - informe'!$G$16),1,0)</f>
        <v>1</v>
      </c>
      <c r="M6404" s="369" cm="1">
        <f t="array" ref="M6404">+_xlfn.IFS((C6404&gt;='Resultats - informe'!$D$26)*(C6404&lt;='Resultats - informe'!$E$26),0,(C6404&gt;='Resultats - informe'!$D$27)*(C6404&lt;='Resultats - informe'!$E$27),0,(C6404&gt;='Resultats - informe'!$D$28)*(C6404&lt;='Resultats - informe'!$E$28),0,(C6404&gt;='Resultats - informe'!$D$29)*(C6404&lt;='Resultats - informe'!$E$29),0,1,1)</f>
        <v>0</v>
      </c>
      <c r="N6404" s="366">
        <f>+VLOOKUP(D6404,'Resultats - informe'!$Y$18:$AG$42,'Introducció dades consum'!K6404+1,0)</f>
        <v>0</v>
      </c>
      <c r="O6404" s="370" cm="1">
        <f t="array" ref="O6404">+_xlfn.SWITCH(MONTH(C6404),1,1,2,1,3,1,4,2,5,2,6,3,7,3,8,3,9,3,10,2,11,2,12,1,2)</f>
        <v>1</v>
      </c>
      <c r="P6404" s="43"/>
    </row>
    <row r="6405" spans="1:16" ht="18" x14ac:dyDescent="0.35">
      <c r="A6405" s="9"/>
      <c r="C6405" s="393"/>
      <c r="E6405" s="394"/>
      <c r="F6405" s="394"/>
      <c r="G6405" s="394"/>
      <c r="I6405" s="368">
        <f t="shared" si="303"/>
        <v>0</v>
      </c>
      <c r="J6405" s="365">
        <f t="shared" si="304"/>
        <v>0</v>
      </c>
      <c r="K6405" s="369">
        <f t="shared" si="305"/>
        <v>6</v>
      </c>
      <c r="L6405" s="369">
        <f>+IF((C6405&gt;='Resultats - informe'!$E$16)*(C6405&lt;='Resultats - informe'!$G$16),1,0)</f>
        <v>1</v>
      </c>
      <c r="M6405" s="369" cm="1">
        <f t="array" ref="M6405">+_xlfn.IFS((C6405&gt;='Resultats - informe'!$D$26)*(C6405&lt;='Resultats - informe'!$E$26),0,(C6405&gt;='Resultats - informe'!$D$27)*(C6405&lt;='Resultats - informe'!$E$27),0,(C6405&gt;='Resultats - informe'!$D$28)*(C6405&lt;='Resultats - informe'!$E$28),0,(C6405&gt;='Resultats - informe'!$D$29)*(C6405&lt;='Resultats - informe'!$E$29),0,1,1)</f>
        <v>0</v>
      </c>
      <c r="N6405" s="366">
        <f>+VLOOKUP(D6405,'Resultats - informe'!$Y$18:$AG$42,'Introducció dades consum'!K6405+1,0)</f>
        <v>0</v>
      </c>
      <c r="O6405" s="370" cm="1">
        <f t="array" ref="O6405">+_xlfn.SWITCH(MONTH(C6405),1,1,2,1,3,1,4,2,5,2,6,3,7,3,8,3,9,3,10,2,11,2,12,1,2)</f>
        <v>1</v>
      </c>
      <c r="P6405" s="43"/>
    </row>
    <row r="6406" spans="1:16" ht="18" x14ac:dyDescent="0.35">
      <c r="A6406" s="9"/>
      <c r="C6406" s="393"/>
      <c r="E6406" s="394"/>
      <c r="F6406" s="394"/>
      <c r="G6406" s="394"/>
      <c r="I6406" s="368">
        <f t="shared" si="303"/>
        <v>0</v>
      </c>
      <c r="J6406" s="365">
        <f t="shared" si="304"/>
        <v>0</v>
      </c>
      <c r="K6406" s="369">
        <f t="shared" si="305"/>
        <v>6</v>
      </c>
      <c r="L6406" s="369">
        <f>+IF((C6406&gt;='Resultats - informe'!$E$16)*(C6406&lt;='Resultats - informe'!$G$16),1,0)</f>
        <v>1</v>
      </c>
      <c r="M6406" s="369" cm="1">
        <f t="array" ref="M6406">+_xlfn.IFS((C6406&gt;='Resultats - informe'!$D$26)*(C6406&lt;='Resultats - informe'!$E$26),0,(C6406&gt;='Resultats - informe'!$D$27)*(C6406&lt;='Resultats - informe'!$E$27),0,(C6406&gt;='Resultats - informe'!$D$28)*(C6406&lt;='Resultats - informe'!$E$28),0,(C6406&gt;='Resultats - informe'!$D$29)*(C6406&lt;='Resultats - informe'!$E$29),0,1,1)</f>
        <v>0</v>
      </c>
      <c r="N6406" s="366">
        <f>+VLOOKUP(D6406,'Resultats - informe'!$Y$18:$AG$42,'Introducció dades consum'!K6406+1,0)</f>
        <v>0</v>
      </c>
      <c r="O6406" s="370" cm="1">
        <f t="array" ref="O6406">+_xlfn.SWITCH(MONTH(C6406),1,1,2,1,3,1,4,2,5,2,6,3,7,3,8,3,9,3,10,2,11,2,12,1,2)</f>
        <v>1</v>
      </c>
      <c r="P6406" s="43"/>
    </row>
    <row r="6407" spans="1:16" ht="18" x14ac:dyDescent="0.35">
      <c r="A6407" s="9"/>
      <c r="C6407" s="393"/>
      <c r="E6407" s="394"/>
      <c r="F6407" s="394"/>
      <c r="G6407" s="394"/>
      <c r="I6407" s="368">
        <f t="shared" si="303"/>
        <v>0</v>
      </c>
      <c r="J6407" s="365">
        <f t="shared" si="304"/>
        <v>0</v>
      </c>
      <c r="K6407" s="369">
        <f t="shared" si="305"/>
        <v>6</v>
      </c>
      <c r="L6407" s="369">
        <f>+IF((C6407&gt;='Resultats - informe'!$E$16)*(C6407&lt;='Resultats - informe'!$G$16),1,0)</f>
        <v>1</v>
      </c>
      <c r="M6407" s="369" cm="1">
        <f t="array" ref="M6407">+_xlfn.IFS((C6407&gt;='Resultats - informe'!$D$26)*(C6407&lt;='Resultats - informe'!$E$26),0,(C6407&gt;='Resultats - informe'!$D$27)*(C6407&lt;='Resultats - informe'!$E$27),0,(C6407&gt;='Resultats - informe'!$D$28)*(C6407&lt;='Resultats - informe'!$E$28),0,(C6407&gt;='Resultats - informe'!$D$29)*(C6407&lt;='Resultats - informe'!$E$29),0,1,1)</f>
        <v>0</v>
      </c>
      <c r="N6407" s="366">
        <f>+VLOOKUP(D6407,'Resultats - informe'!$Y$18:$AG$42,'Introducció dades consum'!K6407+1,0)</f>
        <v>0</v>
      </c>
      <c r="O6407" s="370" cm="1">
        <f t="array" ref="O6407">+_xlfn.SWITCH(MONTH(C6407),1,1,2,1,3,1,4,2,5,2,6,3,7,3,8,3,9,3,10,2,11,2,12,1,2)</f>
        <v>1</v>
      </c>
      <c r="P6407" s="43"/>
    </row>
    <row r="6408" spans="1:16" ht="18" x14ac:dyDescent="0.35">
      <c r="A6408" s="9"/>
      <c r="C6408" s="393"/>
      <c r="E6408" s="394"/>
      <c r="F6408" s="394"/>
      <c r="G6408" s="394"/>
      <c r="I6408" s="368">
        <f t="shared" si="303"/>
        <v>0</v>
      </c>
      <c r="J6408" s="365">
        <f t="shared" si="304"/>
        <v>0</v>
      </c>
      <c r="K6408" s="369">
        <f t="shared" si="305"/>
        <v>6</v>
      </c>
      <c r="L6408" s="369">
        <f>+IF((C6408&gt;='Resultats - informe'!$E$16)*(C6408&lt;='Resultats - informe'!$G$16),1,0)</f>
        <v>1</v>
      </c>
      <c r="M6408" s="369" cm="1">
        <f t="array" ref="M6408">+_xlfn.IFS((C6408&gt;='Resultats - informe'!$D$26)*(C6408&lt;='Resultats - informe'!$E$26),0,(C6408&gt;='Resultats - informe'!$D$27)*(C6408&lt;='Resultats - informe'!$E$27),0,(C6408&gt;='Resultats - informe'!$D$28)*(C6408&lt;='Resultats - informe'!$E$28),0,(C6408&gt;='Resultats - informe'!$D$29)*(C6408&lt;='Resultats - informe'!$E$29),0,1,1)</f>
        <v>0</v>
      </c>
      <c r="N6408" s="366">
        <f>+VLOOKUP(D6408,'Resultats - informe'!$Y$18:$AG$42,'Introducció dades consum'!K6408+1,0)</f>
        <v>0</v>
      </c>
      <c r="O6408" s="370" cm="1">
        <f t="array" ref="O6408">+_xlfn.SWITCH(MONTH(C6408),1,1,2,1,3,1,4,2,5,2,6,3,7,3,8,3,9,3,10,2,11,2,12,1,2)</f>
        <v>1</v>
      </c>
      <c r="P6408" s="43"/>
    </row>
    <row r="6409" spans="1:16" ht="18" x14ac:dyDescent="0.35">
      <c r="A6409" s="9"/>
      <c r="C6409" s="393"/>
      <c r="E6409" s="394"/>
      <c r="F6409" s="394"/>
      <c r="G6409" s="394"/>
      <c r="I6409" s="368">
        <f t="shared" si="303"/>
        <v>0</v>
      </c>
      <c r="J6409" s="365">
        <f t="shared" si="304"/>
        <v>0</v>
      </c>
      <c r="K6409" s="369">
        <f t="shared" si="305"/>
        <v>6</v>
      </c>
      <c r="L6409" s="369">
        <f>+IF((C6409&gt;='Resultats - informe'!$E$16)*(C6409&lt;='Resultats - informe'!$G$16),1,0)</f>
        <v>1</v>
      </c>
      <c r="M6409" s="369" cm="1">
        <f t="array" ref="M6409">+_xlfn.IFS((C6409&gt;='Resultats - informe'!$D$26)*(C6409&lt;='Resultats - informe'!$E$26),0,(C6409&gt;='Resultats - informe'!$D$27)*(C6409&lt;='Resultats - informe'!$E$27),0,(C6409&gt;='Resultats - informe'!$D$28)*(C6409&lt;='Resultats - informe'!$E$28),0,(C6409&gt;='Resultats - informe'!$D$29)*(C6409&lt;='Resultats - informe'!$E$29),0,1,1)</f>
        <v>0</v>
      </c>
      <c r="N6409" s="366">
        <f>+VLOOKUP(D6409,'Resultats - informe'!$Y$18:$AG$42,'Introducció dades consum'!K6409+1,0)</f>
        <v>0</v>
      </c>
      <c r="O6409" s="370" cm="1">
        <f t="array" ref="O6409">+_xlfn.SWITCH(MONTH(C6409),1,1,2,1,3,1,4,2,5,2,6,3,7,3,8,3,9,3,10,2,11,2,12,1,2)</f>
        <v>1</v>
      </c>
      <c r="P6409" s="43"/>
    </row>
    <row r="6410" spans="1:16" ht="18" x14ac:dyDescent="0.35">
      <c r="A6410" s="9"/>
      <c r="C6410" s="393"/>
      <c r="E6410" s="394"/>
      <c r="F6410" s="394"/>
      <c r="G6410" s="394"/>
      <c r="I6410" s="368">
        <f t="shared" si="303"/>
        <v>0</v>
      </c>
      <c r="J6410" s="365">
        <f t="shared" si="304"/>
        <v>0</v>
      </c>
      <c r="K6410" s="369">
        <f t="shared" si="305"/>
        <v>6</v>
      </c>
      <c r="L6410" s="369">
        <f>+IF((C6410&gt;='Resultats - informe'!$E$16)*(C6410&lt;='Resultats - informe'!$G$16),1,0)</f>
        <v>1</v>
      </c>
      <c r="M6410" s="369" cm="1">
        <f t="array" ref="M6410">+_xlfn.IFS((C6410&gt;='Resultats - informe'!$D$26)*(C6410&lt;='Resultats - informe'!$E$26),0,(C6410&gt;='Resultats - informe'!$D$27)*(C6410&lt;='Resultats - informe'!$E$27),0,(C6410&gt;='Resultats - informe'!$D$28)*(C6410&lt;='Resultats - informe'!$E$28),0,(C6410&gt;='Resultats - informe'!$D$29)*(C6410&lt;='Resultats - informe'!$E$29),0,1,1)</f>
        <v>0</v>
      </c>
      <c r="N6410" s="366">
        <f>+VLOOKUP(D6410,'Resultats - informe'!$Y$18:$AG$42,'Introducció dades consum'!K6410+1,0)</f>
        <v>0</v>
      </c>
      <c r="O6410" s="370" cm="1">
        <f t="array" ref="O6410">+_xlfn.SWITCH(MONTH(C6410),1,1,2,1,3,1,4,2,5,2,6,3,7,3,8,3,9,3,10,2,11,2,12,1,2)</f>
        <v>1</v>
      </c>
      <c r="P6410" s="43"/>
    </row>
    <row r="6411" spans="1:16" ht="18" x14ac:dyDescent="0.35">
      <c r="A6411" s="9"/>
      <c r="C6411" s="393"/>
      <c r="E6411" s="394"/>
      <c r="F6411" s="394"/>
      <c r="G6411" s="394"/>
      <c r="I6411" s="368">
        <f t="shared" si="303"/>
        <v>0</v>
      </c>
      <c r="J6411" s="365">
        <f t="shared" si="304"/>
        <v>0</v>
      </c>
      <c r="K6411" s="369">
        <f t="shared" si="305"/>
        <v>6</v>
      </c>
      <c r="L6411" s="369">
        <f>+IF((C6411&gt;='Resultats - informe'!$E$16)*(C6411&lt;='Resultats - informe'!$G$16),1,0)</f>
        <v>1</v>
      </c>
      <c r="M6411" s="369" cm="1">
        <f t="array" ref="M6411">+_xlfn.IFS((C6411&gt;='Resultats - informe'!$D$26)*(C6411&lt;='Resultats - informe'!$E$26),0,(C6411&gt;='Resultats - informe'!$D$27)*(C6411&lt;='Resultats - informe'!$E$27),0,(C6411&gt;='Resultats - informe'!$D$28)*(C6411&lt;='Resultats - informe'!$E$28),0,(C6411&gt;='Resultats - informe'!$D$29)*(C6411&lt;='Resultats - informe'!$E$29),0,1,1)</f>
        <v>0</v>
      </c>
      <c r="N6411" s="366">
        <f>+VLOOKUP(D6411,'Resultats - informe'!$Y$18:$AG$42,'Introducció dades consum'!K6411+1,0)</f>
        <v>0</v>
      </c>
      <c r="O6411" s="370" cm="1">
        <f t="array" ref="O6411">+_xlfn.SWITCH(MONTH(C6411),1,1,2,1,3,1,4,2,5,2,6,3,7,3,8,3,9,3,10,2,11,2,12,1,2)</f>
        <v>1</v>
      </c>
      <c r="P6411" s="43"/>
    </row>
    <row r="6412" spans="1:16" ht="18" x14ac:dyDescent="0.35">
      <c r="A6412" s="9"/>
      <c r="C6412" s="393"/>
      <c r="E6412" s="394"/>
      <c r="F6412" s="394"/>
      <c r="G6412" s="394"/>
      <c r="I6412" s="368">
        <f t="shared" si="303"/>
        <v>0</v>
      </c>
      <c r="J6412" s="365">
        <f t="shared" si="304"/>
        <v>0</v>
      </c>
      <c r="K6412" s="369">
        <f t="shared" si="305"/>
        <v>6</v>
      </c>
      <c r="L6412" s="369">
        <f>+IF((C6412&gt;='Resultats - informe'!$E$16)*(C6412&lt;='Resultats - informe'!$G$16),1,0)</f>
        <v>1</v>
      </c>
      <c r="M6412" s="369" cm="1">
        <f t="array" ref="M6412">+_xlfn.IFS((C6412&gt;='Resultats - informe'!$D$26)*(C6412&lt;='Resultats - informe'!$E$26),0,(C6412&gt;='Resultats - informe'!$D$27)*(C6412&lt;='Resultats - informe'!$E$27),0,(C6412&gt;='Resultats - informe'!$D$28)*(C6412&lt;='Resultats - informe'!$E$28),0,(C6412&gt;='Resultats - informe'!$D$29)*(C6412&lt;='Resultats - informe'!$E$29),0,1,1)</f>
        <v>0</v>
      </c>
      <c r="N6412" s="366">
        <f>+VLOOKUP(D6412,'Resultats - informe'!$Y$18:$AG$42,'Introducció dades consum'!K6412+1,0)</f>
        <v>0</v>
      </c>
      <c r="O6412" s="370" cm="1">
        <f t="array" ref="O6412">+_xlfn.SWITCH(MONTH(C6412),1,1,2,1,3,1,4,2,5,2,6,3,7,3,8,3,9,3,10,2,11,2,12,1,2)</f>
        <v>1</v>
      </c>
      <c r="P6412" s="43"/>
    </row>
    <row r="6413" spans="1:16" ht="18" x14ac:dyDescent="0.35">
      <c r="A6413" s="9"/>
      <c r="C6413" s="393"/>
      <c r="E6413" s="394"/>
      <c r="F6413" s="394"/>
      <c r="G6413" s="394"/>
      <c r="I6413" s="368">
        <f t="shared" si="303"/>
        <v>0</v>
      </c>
      <c r="J6413" s="365">
        <f t="shared" si="304"/>
        <v>0</v>
      </c>
      <c r="K6413" s="369">
        <f t="shared" si="305"/>
        <v>6</v>
      </c>
      <c r="L6413" s="369">
        <f>+IF((C6413&gt;='Resultats - informe'!$E$16)*(C6413&lt;='Resultats - informe'!$G$16),1,0)</f>
        <v>1</v>
      </c>
      <c r="M6413" s="369" cm="1">
        <f t="array" ref="M6413">+_xlfn.IFS((C6413&gt;='Resultats - informe'!$D$26)*(C6413&lt;='Resultats - informe'!$E$26),0,(C6413&gt;='Resultats - informe'!$D$27)*(C6413&lt;='Resultats - informe'!$E$27),0,(C6413&gt;='Resultats - informe'!$D$28)*(C6413&lt;='Resultats - informe'!$E$28),0,(C6413&gt;='Resultats - informe'!$D$29)*(C6413&lt;='Resultats - informe'!$E$29),0,1,1)</f>
        <v>0</v>
      </c>
      <c r="N6413" s="366">
        <f>+VLOOKUP(D6413,'Resultats - informe'!$Y$18:$AG$42,'Introducció dades consum'!K6413+1,0)</f>
        <v>0</v>
      </c>
      <c r="O6413" s="370" cm="1">
        <f t="array" ref="O6413">+_xlfn.SWITCH(MONTH(C6413),1,1,2,1,3,1,4,2,5,2,6,3,7,3,8,3,9,3,10,2,11,2,12,1,2)</f>
        <v>1</v>
      </c>
      <c r="P6413" s="43"/>
    </row>
    <row r="6414" spans="1:16" ht="18" x14ac:dyDescent="0.35">
      <c r="A6414" s="9"/>
      <c r="C6414" s="393"/>
      <c r="E6414" s="394"/>
      <c r="F6414" s="394"/>
      <c r="G6414" s="394"/>
      <c r="I6414" s="368">
        <f t="shared" si="303"/>
        <v>0</v>
      </c>
      <c r="J6414" s="365">
        <f t="shared" si="304"/>
        <v>0</v>
      </c>
      <c r="K6414" s="369">
        <f t="shared" si="305"/>
        <v>6</v>
      </c>
      <c r="L6414" s="369">
        <f>+IF((C6414&gt;='Resultats - informe'!$E$16)*(C6414&lt;='Resultats - informe'!$G$16),1,0)</f>
        <v>1</v>
      </c>
      <c r="M6414" s="369" cm="1">
        <f t="array" ref="M6414">+_xlfn.IFS((C6414&gt;='Resultats - informe'!$D$26)*(C6414&lt;='Resultats - informe'!$E$26),0,(C6414&gt;='Resultats - informe'!$D$27)*(C6414&lt;='Resultats - informe'!$E$27),0,(C6414&gt;='Resultats - informe'!$D$28)*(C6414&lt;='Resultats - informe'!$E$28),0,(C6414&gt;='Resultats - informe'!$D$29)*(C6414&lt;='Resultats - informe'!$E$29),0,1,1)</f>
        <v>0</v>
      </c>
      <c r="N6414" s="366">
        <f>+VLOOKUP(D6414,'Resultats - informe'!$Y$18:$AG$42,'Introducció dades consum'!K6414+1,0)</f>
        <v>0</v>
      </c>
      <c r="O6414" s="370" cm="1">
        <f t="array" ref="O6414">+_xlfn.SWITCH(MONTH(C6414),1,1,2,1,3,1,4,2,5,2,6,3,7,3,8,3,9,3,10,2,11,2,12,1,2)</f>
        <v>1</v>
      </c>
      <c r="P6414" s="43"/>
    </row>
    <row r="6415" spans="1:16" ht="18" x14ac:dyDescent="0.35">
      <c r="A6415" s="9"/>
      <c r="C6415" s="393"/>
      <c r="E6415" s="394"/>
      <c r="F6415" s="394"/>
      <c r="G6415" s="394"/>
      <c r="I6415" s="368">
        <f t="shared" si="303"/>
        <v>0</v>
      </c>
      <c r="J6415" s="365">
        <f t="shared" si="304"/>
        <v>0</v>
      </c>
      <c r="K6415" s="369">
        <f t="shared" si="305"/>
        <v>6</v>
      </c>
      <c r="L6415" s="369">
        <f>+IF((C6415&gt;='Resultats - informe'!$E$16)*(C6415&lt;='Resultats - informe'!$G$16),1,0)</f>
        <v>1</v>
      </c>
      <c r="M6415" s="369" cm="1">
        <f t="array" ref="M6415">+_xlfn.IFS((C6415&gt;='Resultats - informe'!$D$26)*(C6415&lt;='Resultats - informe'!$E$26),0,(C6415&gt;='Resultats - informe'!$D$27)*(C6415&lt;='Resultats - informe'!$E$27),0,(C6415&gt;='Resultats - informe'!$D$28)*(C6415&lt;='Resultats - informe'!$E$28),0,(C6415&gt;='Resultats - informe'!$D$29)*(C6415&lt;='Resultats - informe'!$E$29),0,1,1)</f>
        <v>0</v>
      </c>
      <c r="N6415" s="366">
        <f>+VLOOKUP(D6415,'Resultats - informe'!$Y$18:$AG$42,'Introducció dades consum'!K6415+1,0)</f>
        <v>0</v>
      </c>
      <c r="O6415" s="370" cm="1">
        <f t="array" ref="O6415">+_xlfn.SWITCH(MONTH(C6415),1,1,2,1,3,1,4,2,5,2,6,3,7,3,8,3,9,3,10,2,11,2,12,1,2)</f>
        <v>1</v>
      </c>
      <c r="P6415" s="43"/>
    </row>
    <row r="6416" spans="1:16" ht="18" x14ac:dyDescent="0.35">
      <c r="A6416" s="9"/>
      <c r="C6416" s="393"/>
      <c r="E6416" s="394"/>
      <c r="F6416" s="394"/>
      <c r="G6416" s="394"/>
      <c r="I6416" s="368">
        <f t="shared" si="303"/>
        <v>0</v>
      </c>
      <c r="J6416" s="365">
        <f t="shared" si="304"/>
        <v>0</v>
      </c>
      <c r="K6416" s="369">
        <f t="shared" si="305"/>
        <v>6</v>
      </c>
      <c r="L6416" s="369">
        <f>+IF((C6416&gt;='Resultats - informe'!$E$16)*(C6416&lt;='Resultats - informe'!$G$16),1,0)</f>
        <v>1</v>
      </c>
      <c r="M6416" s="369" cm="1">
        <f t="array" ref="M6416">+_xlfn.IFS((C6416&gt;='Resultats - informe'!$D$26)*(C6416&lt;='Resultats - informe'!$E$26),0,(C6416&gt;='Resultats - informe'!$D$27)*(C6416&lt;='Resultats - informe'!$E$27),0,(C6416&gt;='Resultats - informe'!$D$28)*(C6416&lt;='Resultats - informe'!$E$28),0,(C6416&gt;='Resultats - informe'!$D$29)*(C6416&lt;='Resultats - informe'!$E$29),0,1,1)</f>
        <v>0</v>
      </c>
      <c r="N6416" s="366">
        <f>+VLOOKUP(D6416,'Resultats - informe'!$Y$18:$AG$42,'Introducció dades consum'!K6416+1,0)</f>
        <v>0</v>
      </c>
      <c r="O6416" s="370" cm="1">
        <f t="array" ref="O6416">+_xlfn.SWITCH(MONTH(C6416),1,1,2,1,3,1,4,2,5,2,6,3,7,3,8,3,9,3,10,2,11,2,12,1,2)</f>
        <v>1</v>
      </c>
      <c r="P6416" s="43"/>
    </row>
    <row r="6417" spans="1:16" ht="18" x14ac:dyDescent="0.35">
      <c r="A6417" s="9"/>
      <c r="C6417" s="393"/>
      <c r="E6417" s="394"/>
      <c r="F6417" s="394"/>
      <c r="G6417" s="394"/>
      <c r="I6417" s="368">
        <f t="shared" si="303"/>
        <v>0</v>
      </c>
      <c r="J6417" s="365">
        <f t="shared" si="304"/>
        <v>0</v>
      </c>
      <c r="K6417" s="369">
        <f t="shared" si="305"/>
        <v>6</v>
      </c>
      <c r="L6417" s="369">
        <f>+IF((C6417&gt;='Resultats - informe'!$E$16)*(C6417&lt;='Resultats - informe'!$G$16),1,0)</f>
        <v>1</v>
      </c>
      <c r="M6417" s="369" cm="1">
        <f t="array" ref="M6417">+_xlfn.IFS((C6417&gt;='Resultats - informe'!$D$26)*(C6417&lt;='Resultats - informe'!$E$26),0,(C6417&gt;='Resultats - informe'!$D$27)*(C6417&lt;='Resultats - informe'!$E$27),0,(C6417&gt;='Resultats - informe'!$D$28)*(C6417&lt;='Resultats - informe'!$E$28),0,(C6417&gt;='Resultats - informe'!$D$29)*(C6417&lt;='Resultats - informe'!$E$29),0,1,1)</f>
        <v>0</v>
      </c>
      <c r="N6417" s="366">
        <f>+VLOOKUP(D6417,'Resultats - informe'!$Y$18:$AG$42,'Introducció dades consum'!K6417+1,0)</f>
        <v>0</v>
      </c>
      <c r="O6417" s="370" cm="1">
        <f t="array" ref="O6417">+_xlfn.SWITCH(MONTH(C6417),1,1,2,1,3,1,4,2,5,2,6,3,7,3,8,3,9,3,10,2,11,2,12,1,2)</f>
        <v>1</v>
      </c>
      <c r="P6417" s="43"/>
    </row>
    <row r="6418" spans="1:16" ht="18" x14ac:dyDescent="0.35">
      <c r="A6418" s="9"/>
      <c r="C6418" s="393"/>
      <c r="E6418" s="394"/>
      <c r="F6418" s="394"/>
      <c r="G6418" s="394"/>
      <c r="I6418" s="368">
        <f t="shared" ref="I6418:I6481" si="306">+E6418+G6418</f>
        <v>0</v>
      </c>
      <c r="J6418" s="365">
        <f t="shared" ref="J6418:J6481" si="307">+C6418</f>
        <v>0</v>
      </c>
      <c r="K6418" s="369">
        <f t="shared" ref="K6418:K6481" si="308">+WEEKDAY(C6418,2)</f>
        <v>6</v>
      </c>
      <c r="L6418" s="369">
        <f>+IF((C6418&gt;='Resultats - informe'!$E$16)*(C6418&lt;='Resultats - informe'!$G$16),1,0)</f>
        <v>1</v>
      </c>
      <c r="M6418" s="369" cm="1">
        <f t="array" ref="M6418">+_xlfn.IFS((C6418&gt;='Resultats - informe'!$D$26)*(C6418&lt;='Resultats - informe'!$E$26),0,(C6418&gt;='Resultats - informe'!$D$27)*(C6418&lt;='Resultats - informe'!$E$27),0,(C6418&gt;='Resultats - informe'!$D$28)*(C6418&lt;='Resultats - informe'!$E$28),0,(C6418&gt;='Resultats - informe'!$D$29)*(C6418&lt;='Resultats - informe'!$E$29),0,1,1)</f>
        <v>0</v>
      </c>
      <c r="N6418" s="366">
        <f>+VLOOKUP(D6418,'Resultats - informe'!$Y$18:$AG$42,'Introducció dades consum'!K6418+1,0)</f>
        <v>0</v>
      </c>
      <c r="O6418" s="370" cm="1">
        <f t="array" ref="O6418">+_xlfn.SWITCH(MONTH(C6418),1,1,2,1,3,1,4,2,5,2,6,3,7,3,8,3,9,3,10,2,11,2,12,1,2)</f>
        <v>1</v>
      </c>
      <c r="P6418" s="43"/>
    </row>
    <row r="6419" spans="1:16" ht="18" x14ac:dyDescent="0.35">
      <c r="A6419" s="9"/>
      <c r="C6419" s="393"/>
      <c r="E6419" s="394"/>
      <c r="F6419" s="394"/>
      <c r="G6419" s="394"/>
      <c r="I6419" s="368">
        <f t="shared" si="306"/>
        <v>0</v>
      </c>
      <c r="J6419" s="365">
        <f t="shared" si="307"/>
        <v>0</v>
      </c>
      <c r="K6419" s="369">
        <f t="shared" si="308"/>
        <v>6</v>
      </c>
      <c r="L6419" s="369">
        <f>+IF((C6419&gt;='Resultats - informe'!$E$16)*(C6419&lt;='Resultats - informe'!$G$16),1,0)</f>
        <v>1</v>
      </c>
      <c r="M6419" s="369" cm="1">
        <f t="array" ref="M6419">+_xlfn.IFS((C6419&gt;='Resultats - informe'!$D$26)*(C6419&lt;='Resultats - informe'!$E$26),0,(C6419&gt;='Resultats - informe'!$D$27)*(C6419&lt;='Resultats - informe'!$E$27),0,(C6419&gt;='Resultats - informe'!$D$28)*(C6419&lt;='Resultats - informe'!$E$28),0,(C6419&gt;='Resultats - informe'!$D$29)*(C6419&lt;='Resultats - informe'!$E$29),0,1,1)</f>
        <v>0</v>
      </c>
      <c r="N6419" s="366">
        <f>+VLOOKUP(D6419,'Resultats - informe'!$Y$18:$AG$42,'Introducció dades consum'!K6419+1,0)</f>
        <v>0</v>
      </c>
      <c r="O6419" s="370" cm="1">
        <f t="array" ref="O6419">+_xlfn.SWITCH(MONTH(C6419),1,1,2,1,3,1,4,2,5,2,6,3,7,3,8,3,9,3,10,2,11,2,12,1,2)</f>
        <v>1</v>
      </c>
      <c r="P6419" s="43"/>
    </row>
    <row r="6420" spans="1:16" ht="18" x14ac:dyDescent="0.35">
      <c r="A6420" s="9"/>
      <c r="C6420" s="393"/>
      <c r="E6420" s="394"/>
      <c r="F6420" s="394"/>
      <c r="G6420" s="394"/>
      <c r="I6420" s="368">
        <f t="shared" si="306"/>
        <v>0</v>
      </c>
      <c r="J6420" s="365">
        <f t="shared" si="307"/>
        <v>0</v>
      </c>
      <c r="K6420" s="369">
        <f t="shared" si="308"/>
        <v>6</v>
      </c>
      <c r="L6420" s="369">
        <f>+IF((C6420&gt;='Resultats - informe'!$E$16)*(C6420&lt;='Resultats - informe'!$G$16),1,0)</f>
        <v>1</v>
      </c>
      <c r="M6420" s="369" cm="1">
        <f t="array" ref="M6420">+_xlfn.IFS((C6420&gt;='Resultats - informe'!$D$26)*(C6420&lt;='Resultats - informe'!$E$26),0,(C6420&gt;='Resultats - informe'!$D$27)*(C6420&lt;='Resultats - informe'!$E$27),0,(C6420&gt;='Resultats - informe'!$D$28)*(C6420&lt;='Resultats - informe'!$E$28),0,(C6420&gt;='Resultats - informe'!$D$29)*(C6420&lt;='Resultats - informe'!$E$29),0,1,1)</f>
        <v>0</v>
      </c>
      <c r="N6420" s="366">
        <f>+VLOOKUP(D6420,'Resultats - informe'!$Y$18:$AG$42,'Introducció dades consum'!K6420+1,0)</f>
        <v>0</v>
      </c>
      <c r="O6420" s="370" cm="1">
        <f t="array" ref="O6420">+_xlfn.SWITCH(MONTH(C6420),1,1,2,1,3,1,4,2,5,2,6,3,7,3,8,3,9,3,10,2,11,2,12,1,2)</f>
        <v>1</v>
      </c>
      <c r="P6420" s="43"/>
    </row>
    <row r="6421" spans="1:16" ht="18" x14ac:dyDescent="0.35">
      <c r="A6421" s="9"/>
      <c r="C6421" s="393"/>
      <c r="E6421" s="394"/>
      <c r="F6421" s="394"/>
      <c r="G6421" s="394"/>
      <c r="I6421" s="368">
        <f t="shared" si="306"/>
        <v>0</v>
      </c>
      <c r="J6421" s="365">
        <f t="shared" si="307"/>
        <v>0</v>
      </c>
      <c r="K6421" s="369">
        <f t="shared" si="308"/>
        <v>6</v>
      </c>
      <c r="L6421" s="369">
        <f>+IF((C6421&gt;='Resultats - informe'!$E$16)*(C6421&lt;='Resultats - informe'!$G$16),1,0)</f>
        <v>1</v>
      </c>
      <c r="M6421" s="369" cm="1">
        <f t="array" ref="M6421">+_xlfn.IFS((C6421&gt;='Resultats - informe'!$D$26)*(C6421&lt;='Resultats - informe'!$E$26),0,(C6421&gt;='Resultats - informe'!$D$27)*(C6421&lt;='Resultats - informe'!$E$27),0,(C6421&gt;='Resultats - informe'!$D$28)*(C6421&lt;='Resultats - informe'!$E$28),0,(C6421&gt;='Resultats - informe'!$D$29)*(C6421&lt;='Resultats - informe'!$E$29),0,1,1)</f>
        <v>0</v>
      </c>
      <c r="N6421" s="366">
        <f>+VLOOKUP(D6421,'Resultats - informe'!$Y$18:$AG$42,'Introducció dades consum'!K6421+1,0)</f>
        <v>0</v>
      </c>
      <c r="O6421" s="370" cm="1">
        <f t="array" ref="O6421">+_xlfn.SWITCH(MONTH(C6421),1,1,2,1,3,1,4,2,5,2,6,3,7,3,8,3,9,3,10,2,11,2,12,1,2)</f>
        <v>1</v>
      </c>
      <c r="P6421" s="43"/>
    </row>
    <row r="6422" spans="1:16" ht="18" x14ac:dyDescent="0.35">
      <c r="A6422" s="9"/>
      <c r="C6422" s="393"/>
      <c r="E6422" s="394"/>
      <c r="F6422" s="394"/>
      <c r="G6422" s="394"/>
      <c r="I6422" s="368">
        <f t="shared" si="306"/>
        <v>0</v>
      </c>
      <c r="J6422" s="365">
        <f t="shared" si="307"/>
        <v>0</v>
      </c>
      <c r="K6422" s="369">
        <f t="shared" si="308"/>
        <v>6</v>
      </c>
      <c r="L6422" s="369">
        <f>+IF((C6422&gt;='Resultats - informe'!$E$16)*(C6422&lt;='Resultats - informe'!$G$16),1,0)</f>
        <v>1</v>
      </c>
      <c r="M6422" s="369" cm="1">
        <f t="array" ref="M6422">+_xlfn.IFS((C6422&gt;='Resultats - informe'!$D$26)*(C6422&lt;='Resultats - informe'!$E$26),0,(C6422&gt;='Resultats - informe'!$D$27)*(C6422&lt;='Resultats - informe'!$E$27),0,(C6422&gt;='Resultats - informe'!$D$28)*(C6422&lt;='Resultats - informe'!$E$28),0,(C6422&gt;='Resultats - informe'!$D$29)*(C6422&lt;='Resultats - informe'!$E$29),0,1,1)</f>
        <v>0</v>
      </c>
      <c r="N6422" s="366">
        <f>+VLOOKUP(D6422,'Resultats - informe'!$Y$18:$AG$42,'Introducció dades consum'!K6422+1,0)</f>
        <v>0</v>
      </c>
      <c r="O6422" s="370" cm="1">
        <f t="array" ref="O6422">+_xlfn.SWITCH(MONTH(C6422),1,1,2,1,3,1,4,2,5,2,6,3,7,3,8,3,9,3,10,2,11,2,12,1,2)</f>
        <v>1</v>
      </c>
      <c r="P6422" s="43"/>
    </row>
    <row r="6423" spans="1:16" ht="18" x14ac:dyDescent="0.35">
      <c r="A6423" s="9"/>
      <c r="C6423" s="393"/>
      <c r="E6423" s="394"/>
      <c r="F6423" s="394"/>
      <c r="G6423" s="394"/>
      <c r="I6423" s="368">
        <f t="shared" si="306"/>
        <v>0</v>
      </c>
      <c r="J6423" s="365">
        <f t="shared" si="307"/>
        <v>0</v>
      </c>
      <c r="K6423" s="369">
        <f t="shared" si="308"/>
        <v>6</v>
      </c>
      <c r="L6423" s="369">
        <f>+IF((C6423&gt;='Resultats - informe'!$E$16)*(C6423&lt;='Resultats - informe'!$G$16),1,0)</f>
        <v>1</v>
      </c>
      <c r="M6423" s="369" cm="1">
        <f t="array" ref="M6423">+_xlfn.IFS((C6423&gt;='Resultats - informe'!$D$26)*(C6423&lt;='Resultats - informe'!$E$26),0,(C6423&gt;='Resultats - informe'!$D$27)*(C6423&lt;='Resultats - informe'!$E$27),0,(C6423&gt;='Resultats - informe'!$D$28)*(C6423&lt;='Resultats - informe'!$E$28),0,(C6423&gt;='Resultats - informe'!$D$29)*(C6423&lt;='Resultats - informe'!$E$29),0,1,1)</f>
        <v>0</v>
      </c>
      <c r="N6423" s="366">
        <f>+VLOOKUP(D6423,'Resultats - informe'!$Y$18:$AG$42,'Introducció dades consum'!K6423+1,0)</f>
        <v>0</v>
      </c>
      <c r="O6423" s="370" cm="1">
        <f t="array" ref="O6423">+_xlfn.SWITCH(MONTH(C6423),1,1,2,1,3,1,4,2,5,2,6,3,7,3,8,3,9,3,10,2,11,2,12,1,2)</f>
        <v>1</v>
      </c>
      <c r="P6423" s="43"/>
    </row>
    <row r="6424" spans="1:16" ht="18" x14ac:dyDescent="0.35">
      <c r="A6424" s="9"/>
      <c r="C6424" s="393"/>
      <c r="E6424" s="394"/>
      <c r="F6424" s="394"/>
      <c r="G6424" s="394"/>
      <c r="I6424" s="368">
        <f t="shared" si="306"/>
        <v>0</v>
      </c>
      <c r="J6424" s="365">
        <f t="shared" si="307"/>
        <v>0</v>
      </c>
      <c r="K6424" s="369">
        <f t="shared" si="308"/>
        <v>6</v>
      </c>
      <c r="L6424" s="369">
        <f>+IF((C6424&gt;='Resultats - informe'!$E$16)*(C6424&lt;='Resultats - informe'!$G$16),1,0)</f>
        <v>1</v>
      </c>
      <c r="M6424" s="369" cm="1">
        <f t="array" ref="M6424">+_xlfn.IFS((C6424&gt;='Resultats - informe'!$D$26)*(C6424&lt;='Resultats - informe'!$E$26),0,(C6424&gt;='Resultats - informe'!$D$27)*(C6424&lt;='Resultats - informe'!$E$27),0,(C6424&gt;='Resultats - informe'!$D$28)*(C6424&lt;='Resultats - informe'!$E$28),0,(C6424&gt;='Resultats - informe'!$D$29)*(C6424&lt;='Resultats - informe'!$E$29),0,1,1)</f>
        <v>0</v>
      </c>
      <c r="N6424" s="366">
        <f>+VLOOKUP(D6424,'Resultats - informe'!$Y$18:$AG$42,'Introducció dades consum'!K6424+1,0)</f>
        <v>0</v>
      </c>
      <c r="O6424" s="370" cm="1">
        <f t="array" ref="O6424">+_xlfn.SWITCH(MONTH(C6424),1,1,2,1,3,1,4,2,5,2,6,3,7,3,8,3,9,3,10,2,11,2,12,1,2)</f>
        <v>1</v>
      </c>
      <c r="P6424" s="43"/>
    </row>
    <row r="6425" spans="1:16" ht="18" x14ac:dyDescent="0.35">
      <c r="A6425" s="9"/>
      <c r="C6425" s="393"/>
      <c r="E6425" s="394"/>
      <c r="F6425" s="394"/>
      <c r="G6425" s="394"/>
      <c r="I6425" s="368">
        <f t="shared" si="306"/>
        <v>0</v>
      </c>
      <c r="J6425" s="365">
        <f t="shared" si="307"/>
        <v>0</v>
      </c>
      <c r="K6425" s="369">
        <f t="shared" si="308"/>
        <v>6</v>
      </c>
      <c r="L6425" s="369">
        <f>+IF((C6425&gt;='Resultats - informe'!$E$16)*(C6425&lt;='Resultats - informe'!$G$16),1,0)</f>
        <v>1</v>
      </c>
      <c r="M6425" s="369" cm="1">
        <f t="array" ref="M6425">+_xlfn.IFS((C6425&gt;='Resultats - informe'!$D$26)*(C6425&lt;='Resultats - informe'!$E$26),0,(C6425&gt;='Resultats - informe'!$D$27)*(C6425&lt;='Resultats - informe'!$E$27),0,(C6425&gt;='Resultats - informe'!$D$28)*(C6425&lt;='Resultats - informe'!$E$28),0,(C6425&gt;='Resultats - informe'!$D$29)*(C6425&lt;='Resultats - informe'!$E$29),0,1,1)</f>
        <v>0</v>
      </c>
      <c r="N6425" s="366">
        <f>+VLOOKUP(D6425,'Resultats - informe'!$Y$18:$AG$42,'Introducció dades consum'!K6425+1,0)</f>
        <v>0</v>
      </c>
      <c r="O6425" s="370" cm="1">
        <f t="array" ref="O6425">+_xlfn.SWITCH(MONTH(C6425),1,1,2,1,3,1,4,2,5,2,6,3,7,3,8,3,9,3,10,2,11,2,12,1,2)</f>
        <v>1</v>
      </c>
      <c r="P6425" s="43"/>
    </row>
    <row r="6426" spans="1:16" ht="18" x14ac:dyDescent="0.35">
      <c r="A6426" s="9"/>
      <c r="C6426" s="393"/>
      <c r="E6426" s="394"/>
      <c r="F6426" s="394"/>
      <c r="G6426" s="394"/>
      <c r="I6426" s="368">
        <f t="shared" si="306"/>
        <v>0</v>
      </c>
      <c r="J6426" s="365">
        <f t="shared" si="307"/>
        <v>0</v>
      </c>
      <c r="K6426" s="369">
        <f t="shared" si="308"/>
        <v>6</v>
      </c>
      <c r="L6426" s="369">
        <f>+IF((C6426&gt;='Resultats - informe'!$E$16)*(C6426&lt;='Resultats - informe'!$G$16),1,0)</f>
        <v>1</v>
      </c>
      <c r="M6426" s="369" cm="1">
        <f t="array" ref="M6426">+_xlfn.IFS((C6426&gt;='Resultats - informe'!$D$26)*(C6426&lt;='Resultats - informe'!$E$26),0,(C6426&gt;='Resultats - informe'!$D$27)*(C6426&lt;='Resultats - informe'!$E$27),0,(C6426&gt;='Resultats - informe'!$D$28)*(C6426&lt;='Resultats - informe'!$E$28),0,(C6426&gt;='Resultats - informe'!$D$29)*(C6426&lt;='Resultats - informe'!$E$29),0,1,1)</f>
        <v>0</v>
      </c>
      <c r="N6426" s="366">
        <f>+VLOOKUP(D6426,'Resultats - informe'!$Y$18:$AG$42,'Introducció dades consum'!K6426+1,0)</f>
        <v>0</v>
      </c>
      <c r="O6426" s="370" cm="1">
        <f t="array" ref="O6426">+_xlfn.SWITCH(MONTH(C6426),1,1,2,1,3,1,4,2,5,2,6,3,7,3,8,3,9,3,10,2,11,2,12,1,2)</f>
        <v>1</v>
      </c>
      <c r="P6426" s="43"/>
    </row>
    <row r="6427" spans="1:16" ht="18" x14ac:dyDescent="0.35">
      <c r="A6427" s="9"/>
      <c r="C6427" s="393"/>
      <c r="E6427" s="394"/>
      <c r="F6427" s="394"/>
      <c r="G6427" s="394"/>
      <c r="I6427" s="368">
        <f t="shared" si="306"/>
        <v>0</v>
      </c>
      <c r="J6427" s="365">
        <f t="shared" si="307"/>
        <v>0</v>
      </c>
      <c r="K6427" s="369">
        <f t="shared" si="308"/>
        <v>6</v>
      </c>
      <c r="L6427" s="369">
        <f>+IF((C6427&gt;='Resultats - informe'!$E$16)*(C6427&lt;='Resultats - informe'!$G$16),1,0)</f>
        <v>1</v>
      </c>
      <c r="M6427" s="369" cm="1">
        <f t="array" ref="M6427">+_xlfn.IFS((C6427&gt;='Resultats - informe'!$D$26)*(C6427&lt;='Resultats - informe'!$E$26),0,(C6427&gt;='Resultats - informe'!$D$27)*(C6427&lt;='Resultats - informe'!$E$27),0,(C6427&gt;='Resultats - informe'!$D$28)*(C6427&lt;='Resultats - informe'!$E$28),0,(C6427&gt;='Resultats - informe'!$D$29)*(C6427&lt;='Resultats - informe'!$E$29),0,1,1)</f>
        <v>0</v>
      </c>
      <c r="N6427" s="366">
        <f>+VLOOKUP(D6427,'Resultats - informe'!$Y$18:$AG$42,'Introducció dades consum'!K6427+1,0)</f>
        <v>0</v>
      </c>
      <c r="O6427" s="370" cm="1">
        <f t="array" ref="O6427">+_xlfn.SWITCH(MONTH(C6427),1,1,2,1,3,1,4,2,5,2,6,3,7,3,8,3,9,3,10,2,11,2,12,1,2)</f>
        <v>1</v>
      </c>
      <c r="P6427" s="43"/>
    </row>
    <row r="6428" spans="1:16" ht="18" x14ac:dyDescent="0.35">
      <c r="A6428" s="9"/>
      <c r="C6428" s="393"/>
      <c r="E6428" s="394"/>
      <c r="F6428" s="394"/>
      <c r="G6428" s="394"/>
      <c r="I6428" s="368">
        <f t="shared" si="306"/>
        <v>0</v>
      </c>
      <c r="J6428" s="365">
        <f t="shared" si="307"/>
        <v>0</v>
      </c>
      <c r="K6428" s="369">
        <f t="shared" si="308"/>
        <v>6</v>
      </c>
      <c r="L6428" s="369">
        <f>+IF((C6428&gt;='Resultats - informe'!$E$16)*(C6428&lt;='Resultats - informe'!$G$16),1,0)</f>
        <v>1</v>
      </c>
      <c r="M6428" s="369" cm="1">
        <f t="array" ref="M6428">+_xlfn.IFS((C6428&gt;='Resultats - informe'!$D$26)*(C6428&lt;='Resultats - informe'!$E$26),0,(C6428&gt;='Resultats - informe'!$D$27)*(C6428&lt;='Resultats - informe'!$E$27),0,(C6428&gt;='Resultats - informe'!$D$28)*(C6428&lt;='Resultats - informe'!$E$28),0,(C6428&gt;='Resultats - informe'!$D$29)*(C6428&lt;='Resultats - informe'!$E$29),0,1,1)</f>
        <v>0</v>
      </c>
      <c r="N6428" s="366">
        <f>+VLOOKUP(D6428,'Resultats - informe'!$Y$18:$AG$42,'Introducció dades consum'!K6428+1,0)</f>
        <v>0</v>
      </c>
      <c r="O6428" s="370" cm="1">
        <f t="array" ref="O6428">+_xlfn.SWITCH(MONTH(C6428),1,1,2,1,3,1,4,2,5,2,6,3,7,3,8,3,9,3,10,2,11,2,12,1,2)</f>
        <v>1</v>
      </c>
      <c r="P6428" s="43"/>
    </row>
    <row r="6429" spans="1:16" ht="18" x14ac:dyDescent="0.35">
      <c r="A6429" s="9"/>
      <c r="C6429" s="393"/>
      <c r="E6429" s="394"/>
      <c r="F6429" s="394"/>
      <c r="G6429" s="394"/>
      <c r="I6429" s="368">
        <f t="shared" si="306"/>
        <v>0</v>
      </c>
      <c r="J6429" s="365">
        <f t="shared" si="307"/>
        <v>0</v>
      </c>
      <c r="K6429" s="369">
        <f t="shared" si="308"/>
        <v>6</v>
      </c>
      <c r="L6429" s="369">
        <f>+IF((C6429&gt;='Resultats - informe'!$E$16)*(C6429&lt;='Resultats - informe'!$G$16),1,0)</f>
        <v>1</v>
      </c>
      <c r="M6429" s="369" cm="1">
        <f t="array" ref="M6429">+_xlfn.IFS((C6429&gt;='Resultats - informe'!$D$26)*(C6429&lt;='Resultats - informe'!$E$26),0,(C6429&gt;='Resultats - informe'!$D$27)*(C6429&lt;='Resultats - informe'!$E$27),0,(C6429&gt;='Resultats - informe'!$D$28)*(C6429&lt;='Resultats - informe'!$E$28),0,(C6429&gt;='Resultats - informe'!$D$29)*(C6429&lt;='Resultats - informe'!$E$29),0,1,1)</f>
        <v>0</v>
      </c>
      <c r="N6429" s="366">
        <f>+VLOOKUP(D6429,'Resultats - informe'!$Y$18:$AG$42,'Introducció dades consum'!K6429+1,0)</f>
        <v>0</v>
      </c>
      <c r="O6429" s="370" cm="1">
        <f t="array" ref="O6429">+_xlfn.SWITCH(MONTH(C6429),1,1,2,1,3,1,4,2,5,2,6,3,7,3,8,3,9,3,10,2,11,2,12,1,2)</f>
        <v>1</v>
      </c>
      <c r="P6429" s="43"/>
    </row>
    <row r="6430" spans="1:16" ht="18" x14ac:dyDescent="0.35">
      <c r="A6430" s="9"/>
      <c r="C6430" s="393"/>
      <c r="E6430" s="394"/>
      <c r="F6430" s="394"/>
      <c r="G6430" s="394"/>
      <c r="I6430" s="368">
        <f t="shared" si="306"/>
        <v>0</v>
      </c>
      <c r="J6430" s="365">
        <f t="shared" si="307"/>
        <v>0</v>
      </c>
      <c r="K6430" s="369">
        <f t="shared" si="308"/>
        <v>6</v>
      </c>
      <c r="L6430" s="369">
        <f>+IF((C6430&gt;='Resultats - informe'!$E$16)*(C6430&lt;='Resultats - informe'!$G$16),1,0)</f>
        <v>1</v>
      </c>
      <c r="M6430" s="369" cm="1">
        <f t="array" ref="M6430">+_xlfn.IFS((C6430&gt;='Resultats - informe'!$D$26)*(C6430&lt;='Resultats - informe'!$E$26),0,(C6430&gt;='Resultats - informe'!$D$27)*(C6430&lt;='Resultats - informe'!$E$27),0,(C6430&gt;='Resultats - informe'!$D$28)*(C6430&lt;='Resultats - informe'!$E$28),0,(C6430&gt;='Resultats - informe'!$D$29)*(C6430&lt;='Resultats - informe'!$E$29),0,1,1)</f>
        <v>0</v>
      </c>
      <c r="N6430" s="366">
        <f>+VLOOKUP(D6430,'Resultats - informe'!$Y$18:$AG$42,'Introducció dades consum'!K6430+1,0)</f>
        <v>0</v>
      </c>
      <c r="O6430" s="370" cm="1">
        <f t="array" ref="O6430">+_xlfn.SWITCH(MONTH(C6430),1,1,2,1,3,1,4,2,5,2,6,3,7,3,8,3,9,3,10,2,11,2,12,1,2)</f>
        <v>1</v>
      </c>
      <c r="P6430" s="43"/>
    </row>
    <row r="6431" spans="1:16" ht="18" x14ac:dyDescent="0.35">
      <c r="A6431" s="9"/>
      <c r="C6431" s="393"/>
      <c r="E6431" s="394"/>
      <c r="F6431" s="394"/>
      <c r="G6431" s="394"/>
      <c r="I6431" s="368">
        <f t="shared" si="306"/>
        <v>0</v>
      </c>
      <c r="J6431" s="365">
        <f t="shared" si="307"/>
        <v>0</v>
      </c>
      <c r="K6431" s="369">
        <f t="shared" si="308"/>
        <v>6</v>
      </c>
      <c r="L6431" s="369">
        <f>+IF((C6431&gt;='Resultats - informe'!$E$16)*(C6431&lt;='Resultats - informe'!$G$16),1,0)</f>
        <v>1</v>
      </c>
      <c r="M6431" s="369" cm="1">
        <f t="array" ref="M6431">+_xlfn.IFS((C6431&gt;='Resultats - informe'!$D$26)*(C6431&lt;='Resultats - informe'!$E$26),0,(C6431&gt;='Resultats - informe'!$D$27)*(C6431&lt;='Resultats - informe'!$E$27),0,(C6431&gt;='Resultats - informe'!$D$28)*(C6431&lt;='Resultats - informe'!$E$28),0,(C6431&gt;='Resultats - informe'!$D$29)*(C6431&lt;='Resultats - informe'!$E$29),0,1,1)</f>
        <v>0</v>
      </c>
      <c r="N6431" s="366">
        <f>+VLOOKUP(D6431,'Resultats - informe'!$Y$18:$AG$42,'Introducció dades consum'!K6431+1,0)</f>
        <v>0</v>
      </c>
      <c r="O6431" s="370" cm="1">
        <f t="array" ref="O6431">+_xlfn.SWITCH(MONTH(C6431),1,1,2,1,3,1,4,2,5,2,6,3,7,3,8,3,9,3,10,2,11,2,12,1,2)</f>
        <v>1</v>
      </c>
      <c r="P6431" s="43"/>
    </row>
    <row r="6432" spans="1:16" ht="18" x14ac:dyDescent="0.35">
      <c r="A6432" s="9"/>
      <c r="C6432" s="393"/>
      <c r="E6432" s="394"/>
      <c r="F6432" s="394"/>
      <c r="G6432" s="394"/>
      <c r="I6432" s="368">
        <f t="shared" si="306"/>
        <v>0</v>
      </c>
      <c r="J6432" s="365">
        <f t="shared" si="307"/>
        <v>0</v>
      </c>
      <c r="K6432" s="369">
        <f t="shared" si="308"/>
        <v>6</v>
      </c>
      <c r="L6432" s="369">
        <f>+IF((C6432&gt;='Resultats - informe'!$E$16)*(C6432&lt;='Resultats - informe'!$G$16),1,0)</f>
        <v>1</v>
      </c>
      <c r="M6432" s="369" cm="1">
        <f t="array" ref="M6432">+_xlfn.IFS((C6432&gt;='Resultats - informe'!$D$26)*(C6432&lt;='Resultats - informe'!$E$26),0,(C6432&gt;='Resultats - informe'!$D$27)*(C6432&lt;='Resultats - informe'!$E$27),0,(C6432&gt;='Resultats - informe'!$D$28)*(C6432&lt;='Resultats - informe'!$E$28),0,(C6432&gt;='Resultats - informe'!$D$29)*(C6432&lt;='Resultats - informe'!$E$29),0,1,1)</f>
        <v>0</v>
      </c>
      <c r="N6432" s="366">
        <f>+VLOOKUP(D6432,'Resultats - informe'!$Y$18:$AG$42,'Introducció dades consum'!K6432+1,0)</f>
        <v>0</v>
      </c>
      <c r="O6432" s="370" cm="1">
        <f t="array" ref="O6432">+_xlfn.SWITCH(MONTH(C6432),1,1,2,1,3,1,4,2,5,2,6,3,7,3,8,3,9,3,10,2,11,2,12,1,2)</f>
        <v>1</v>
      </c>
      <c r="P6432" s="43"/>
    </row>
    <row r="6433" spans="1:16" ht="18" x14ac:dyDescent="0.35">
      <c r="A6433" s="9"/>
      <c r="C6433" s="393"/>
      <c r="E6433" s="394"/>
      <c r="F6433" s="394"/>
      <c r="G6433" s="394"/>
      <c r="I6433" s="368">
        <f t="shared" si="306"/>
        <v>0</v>
      </c>
      <c r="J6433" s="365">
        <f t="shared" si="307"/>
        <v>0</v>
      </c>
      <c r="K6433" s="369">
        <f t="shared" si="308"/>
        <v>6</v>
      </c>
      <c r="L6433" s="369">
        <f>+IF((C6433&gt;='Resultats - informe'!$E$16)*(C6433&lt;='Resultats - informe'!$G$16),1,0)</f>
        <v>1</v>
      </c>
      <c r="M6433" s="369" cm="1">
        <f t="array" ref="M6433">+_xlfn.IFS((C6433&gt;='Resultats - informe'!$D$26)*(C6433&lt;='Resultats - informe'!$E$26),0,(C6433&gt;='Resultats - informe'!$D$27)*(C6433&lt;='Resultats - informe'!$E$27),0,(C6433&gt;='Resultats - informe'!$D$28)*(C6433&lt;='Resultats - informe'!$E$28),0,(C6433&gt;='Resultats - informe'!$D$29)*(C6433&lt;='Resultats - informe'!$E$29),0,1,1)</f>
        <v>0</v>
      </c>
      <c r="N6433" s="366">
        <f>+VLOOKUP(D6433,'Resultats - informe'!$Y$18:$AG$42,'Introducció dades consum'!K6433+1,0)</f>
        <v>0</v>
      </c>
      <c r="O6433" s="370" cm="1">
        <f t="array" ref="O6433">+_xlfn.SWITCH(MONTH(C6433),1,1,2,1,3,1,4,2,5,2,6,3,7,3,8,3,9,3,10,2,11,2,12,1,2)</f>
        <v>1</v>
      </c>
      <c r="P6433" s="43"/>
    </row>
    <row r="6434" spans="1:16" ht="18" x14ac:dyDescent="0.35">
      <c r="A6434" s="9"/>
      <c r="C6434" s="393"/>
      <c r="E6434" s="394"/>
      <c r="F6434" s="394"/>
      <c r="G6434" s="394"/>
      <c r="I6434" s="368">
        <f t="shared" si="306"/>
        <v>0</v>
      </c>
      <c r="J6434" s="365">
        <f t="shared" si="307"/>
        <v>0</v>
      </c>
      <c r="K6434" s="369">
        <f t="shared" si="308"/>
        <v>6</v>
      </c>
      <c r="L6434" s="369">
        <f>+IF((C6434&gt;='Resultats - informe'!$E$16)*(C6434&lt;='Resultats - informe'!$G$16),1,0)</f>
        <v>1</v>
      </c>
      <c r="M6434" s="369" cm="1">
        <f t="array" ref="M6434">+_xlfn.IFS((C6434&gt;='Resultats - informe'!$D$26)*(C6434&lt;='Resultats - informe'!$E$26),0,(C6434&gt;='Resultats - informe'!$D$27)*(C6434&lt;='Resultats - informe'!$E$27),0,(C6434&gt;='Resultats - informe'!$D$28)*(C6434&lt;='Resultats - informe'!$E$28),0,(C6434&gt;='Resultats - informe'!$D$29)*(C6434&lt;='Resultats - informe'!$E$29),0,1,1)</f>
        <v>0</v>
      </c>
      <c r="N6434" s="366">
        <f>+VLOOKUP(D6434,'Resultats - informe'!$Y$18:$AG$42,'Introducció dades consum'!K6434+1,0)</f>
        <v>0</v>
      </c>
      <c r="O6434" s="370" cm="1">
        <f t="array" ref="O6434">+_xlfn.SWITCH(MONTH(C6434),1,1,2,1,3,1,4,2,5,2,6,3,7,3,8,3,9,3,10,2,11,2,12,1,2)</f>
        <v>1</v>
      </c>
      <c r="P6434" s="43"/>
    </row>
    <row r="6435" spans="1:16" ht="18" x14ac:dyDescent="0.35">
      <c r="A6435" s="9"/>
      <c r="C6435" s="393"/>
      <c r="E6435" s="394"/>
      <c r="F6435" s="394"/>
      <c r="G6435" s="394"/>
      <c r="I6435" s="368">
        <f t="shared" si="306"/>
        <v>0</v>
      </c>
      <c r="J6435" s="365">
        <f t="shared" si="307"/>
        <v>0</v>
      </c>
      <c r="K6435" s="369">
        <f t="shared" si="308"/>
        <v>6</v>
      </c>
      <c r="L6435" s="369">
        <f>+IF((C6435&gt;='Resultats - informe'!$E$16)*(C6435&lt;='Resultats - informe'!$G$16),1,0)</f>
        <v>1</v>
      </c>
      <c r="M6435" s="369" cm="1">
        <f t="array" ref="M6435">+_xlfn.IFS((C6435&gt;='Resultats - informe'!$D$26)*(C6435&lt;='Resultats - informe'!$E$26),0,(C6435&gt;='Resultats - informe'!$D$27)*(C6435&lt;='Resultats - informe'!$E$27),0,(C6435&gt;='Resultats - informe'!$D$28)*(C6435&lt;='Resultats - informe'!$E$28),0,(C6435&gt;='Resultats - informe'!$D$29)*(C6435&lt;='Resultats - informe'!$E$29),0,1,1)</f>
        <v>0</v>
      </c>
      <c r="N6435" s="366">
        <f>+VLOOKUP(D6435,'Resultats - informe'!$Y$18:$AG$42,'Introducció dades consum'!K6435+1,0)</f>
        <v>0</v>
      </c>
      <c r="O6435" s="370" cm="1">
        <f t="array" ref="O6435">+_xlfn.SWITCH(MONTH(C6435),1,1,2,1,3,1,4,2,5,2,6,3,7,3,8,3,9,3,10,2,11,2,12,1,2)</f>
        <v>1</v>
      </c>
      <c r="P6435" s="43"/>
    </row>
    <row r="6436" spans="1:16" ht="18" x14ac:dyDescent="0.35">
      <c r="A6436" s="9"/>
      <c r="C6436" s="393"/>
      <c r="E6436" s="394"/>
      <c r="F6436" s="394"/>
      <c r="G6436" s="394"/>
      <c r="I6436" s="368">
        <f t="shared" si="306"/>
        <v>0</v>
      </c>
      <c r="J6436" s="365">
        <f t="shared" si="307"/>
        <v>0</v>
      </c>
      <c r="K6436" s="369">
        <f t="shared" si="308"/>
        <v>6</v>
      </c>
      <c r="L6436" s="369">
        <f>+IF((C6436&gt;='Resultats - informe'!$E$16)*(C6436&lt;='Resultats - informe'!$G$16),1,0)</f>
        <v>1</v>
      </c>
      <c r="M6436" s="369" cm="1">
        <f t="array" ref="M6436">+_xlfn.IFS((C6436&gt;='Resultats - informe'!$D$26)*(C6436&lt;='Resultats - informe'!$E$26),0,(C6436&gt;='Resultats - informe'!$D$27)*(C6436&lt;='Resultats - informe'!$E$27),0,(C6436&gt;='Resultats - informe'!$D$28)*(C6436&lt;='Resultats - informe'!$E$28),0,(C6436&gt;='Resultats - informe'!$D$29)*(C6436&lt;='Resultats - informe'!$E$29),0,1,1)</f>
        <v>0</v>
      </c>
      <c r="N6436" s="366">
        <f>+VLOOKUP(D6436,'Resultats - informe'!$Y$18:$AG$42,'Introducció dades consum'!K6436+1,0)</f>
        <v>0</v>
      </c>
      <c r="O6436" s="370" cm="1">
        <f t="array" ref="O6436">+_xlfn.SWITCH(MONTH(C6436),1,1,2,1,3,1,4,2,5,2,6,3,7,3,8,3,9,3,10,2,11,2,12,1,2)</f>
        <v>1</v>
      </c>
      <c r="P6436" s="43"/>
    </row>
    <row r="6437" spans="1:16" ht="18" x14ac:dyDescent="0.35">
      <c r="A6437" s="9"/>
      <c r="C6437" s="393"/>
      <c r="E6437" s="394"/>
      <c r="F6437" s="394"/>
      <c r="G6437" s="394"/>
      <c r="I6437" s="368">
        <f t="shared" si="306"/>
        <v>0</v>
      </c>
      <c r="J6437" s="365">
        <f t="shared" si="307"/>
        <v>0</v>
      </c>
      <c r="K6437" s="369">
        <f t="shared" si="308"/>
        <v>6</v>
      </c>
      <c r="L6437" s="369">
        <f>+IF((C6437&gt;='Resultats - informe'!$E$16)*(C6437&lt;='Resultats - informe'!$G$16),1,0)</f>
        <v>1</v>
      </c>
      <c r="M6437" s="369" cm="1">
        <f t="array" ref="M6437">+_xlfn.IFS((C6437&gt;='Resultats - informe'!$D$26)*(C6437&lt;='Resultats - informe'!$E$26),0,(C6437&gt;='Resultats - informe'!$D$27)*(C6437&lt;='Resultats - informe'!$E$27),0,(C6437&gt;='Resultats - informe'!$D$28)*(C6437&lt;='Resultats - informe'!$E$28),0,(C6437&gt;='Resultats - informe'!$D$29)*(C6437&lt;='Resultats - informe'!$E$29),0,1,1)</f>
        <v>0</v>
      </c>
      <c r="N6437" s="366">
        <f>+VLOOKUP(D6437,'Resultats - informe'!$Y$18:$AG$42,'Introducció dades consum'!K6437+1,0)</f>
        <v>0</v>
      </c>
      <c r="O6437" s="370" cm="1">
        <f t="array" ref="O6437">+_xlfn.SWITCH(MONTH(C6437),1,1,2,1,3,1,4,2,5,2,6,3,7,3,8,3,9,3,10,2,11,2,12,1,2)</f>
        <v>1</v>
      </c>
      <c r="P6437" s="43"/>
    </row>
    <row r="6438" spans="1:16" ht="18" x14ac:dyDescent="0.35">
      <c r="A6438" s="9"/>
      <c r="C6438" s="393"/>
      <c r="E6438" s="394"/>
      <c r="F6438" s="394"/>
      <c r="G6438" s="394"/>
      <c r="I6438" s="368">
        <f t="shared" si="306"/>
        <v>0</v>
      </c>
      <c r="J6438" s="365">
        <f t="shared" si="307"/>
        <v>0</v>
      </c>
      <c r="K6438" s="369">
        <f t="shared" si="308"/>
        <v>6</v>
      </c>
      <c r="L6438" s="369">
        <f>+IF((C6438&gt;='Resultats - informe'!$E$16)*(C6438&lt;='Resultats - informe'!$G$16),1,0)</f>
        <v>1</v>
      </c>
      <c r="M6438" s="369" cm="1">
        <f t="array" ref="M6438">+_xlfn.IFS((C6438&gt;='Resultats - informe'!$D$26)*(C6438&lt;='Resultats - informe'!$E$26),0,(C6438&gt;='Resultats - informe'!$D$27)*(C6438&lt;='Resultats - informe'!$E$27),0,(C6438&gt;='Resultats - informe'!$D$28)*(C6438&lt;='Resultats - informe'!$E$28),0,(C6438&gt;='Resultats - informe'!$D$29)*(C6438&lt;='Resultats - informe'!$E$29),0,1,1)</f>
        <v>0</v>
      </c>
      <c r="N6438" s="366">
        <f>+VLOOKUP(D6438,'Resultats - informe'!$Y$18:$AG$42,'Introducció dades consum'!K6438+1,0)</f>
        <v>0</v>
      </c>
      <c r="O6438" s="370" cm="1">
        <f t="array" ref="O6438">+_xlfn.SWITCH(MONTH(C6438),1,1,2,1,3,1,4,2,5,2,6,3,7,3,8,3,9,3,10,2,11,2,12,1,2)</f>
        <v>1</v>
      </c>
      <c r="P6438" s="43"/>
    </row>
    <row r="6439" spans="1:16" ht="18" x14ac:dyDescent="0.35">
      <c r="A6439" s="9"/>
      <c r="C6439" s="393"/>
      <c r="E6439" s="394"/>
      <c r="F6439" s="394"/>
      <c r="G6439" s="394"/>
      <c r="I6439" s="368">
        <f t="shared" si="306"/>
        <v>0</v>
      </c>
      <c r="J6439" s="365">
        <f t="shared" si="307"/>
        <v>0</v>
      </c>
      <c r="K6439" s="369">
        <f t="shared" si="308"/>
        <v>6</v>
      </c>
      <c r="L6439" s="369">
        <f>+IF((C6439&gt;='Resultats - informe'!$E$16)*(C6439&lt;='Resultats - informe'!$G$16),1,0)</f>
        <v>1</v>
      </c>
      <c r="M6439" s="369" cm="1">
        <f t="array" ref="M6439">+_xlfn.IFS((C6439&gt;='Resultats - informe'!$D$26)*(C6439&lt;='Resultats - informe'!$E$26),0,(C6439&gt;='Resultats - informe'!$D$27)*(C6439&lt;='Resultats - informe'!$E$27),0,(C6439&gt;='Resultats - informe'!$D$28)*(C6439&lt;='Resultats - informe'!$E$28),0,(C6439&gt;='Resultats - informe'!$D$29)*(C6439&lt;='Resultats - informe'!$E$29),0,1,1)</f>
        <v>0</v>
      </c>
      <c r="N6439" s="366">
        <f>+VLOOKUP(D6439,'Resultats - informe'!$Y$18:$AG$42,'Introducció dades consum'!K6439+1,0)</f>
        <v>0</v>
      </c>
      <c r="O6439" s="370" cm="1">
        <f t="array" ref="O6439">+_xlfn.SWITCH(MONTH(C6439),1,1,2,1,3,1,4,2,5,2,6,3,7,3,8,3,9,3,10,2,11,2,12,1,2)</f>
        <v>1</v>
      </c>
      <c r="P6439" s="43"/>
    </row>
    <row r="6440" spans="1:16" ht="18" x14ac:dyDescent="0.35">
      <c r="A6440" s="9"/>
      <c r="C6440" s="393"/>
      <c r="E6440" s="394"/>
      <c r="F6440" s="394"/>
      <c r="G6440" s="394"/>
      <c r="I6440" s="368">
        <f t="shared" si="306"/>
        <v>0</v>
      </c>
      <c r="J6440" s="365">
        <f t="shared" si="307"/>
        <v>0</v>
      </c>
      <c r="K6440" s="369">
        <f t="shared" si="308"/>
        <v>6</v>
      </c>
      <c r="L6440" s="369">
        <f>+IF((C6440&gt;='Resultats - informe'!$E$16)*(C6440&lt;='Resultats - informe'!$G$16),1,0)</f>
        <v>1</v>
      </c>
      <c r="M6440" s="369" cm="1">
        <f t="array" ref="M6440">+_xlfn.IFS((C6440&gt;='Resultats - informe'!$D$26)*(C6440&lt;='Resultats - informe'!$E$26),0,(C6440&gt;='Resultats - informe'!$D$27)*(C6440&lt;='Resultats - informe'!$E$27),0,(C6440&gt;='Resultats - informe'!$D$28)*(C6440&lt;='Resultats - informe'!$E$28),0,(C6440&gt;='Resultats - informe'!$D$29)*(C6440&lt;='Resultats - informe'!$E$29),0,1,1)</f>
        <v>0</v>
      </c>
      <c r="N6440" s="366">
        <f>+VLOOKUP(D6440,'Resultats - informe'!$Y$18:$AG$42,'Introducció dades consum'!K6440+1,0)</f>
        <v>0</v>
      </c>
      <c r="O6440" s="370" cm="1">
        <f t="array" ref="O6440">+_xlfn.SWITCH(MONTH(C6440),1,1,2,1,3,1,4,2,5,2,6,3,7,3,8,3,9,3,10,2,11,2,12,1,2)</f>
        <v>1</v>
      </c>
      <c r="P6440" s="43"/>
    </row>
    <row r="6441" spans="1:16" ht="18" x14ac:dyDescent="0.35">
      <c r="A6441" s="9"/>
      <c r="C6441" s="393"/>
      <c r="E6441" s="394"/>
      <c r="F6441" s="394"/>
      <c r="G6441" s="394"/>
      <c r="I6441" s="368">
        <f t="shared" si="306"/>
        <v>0</v>
      </c>
      <c r="J6441" s="365">
        <f t="shared" si="307"/>
        <v>0</v>
      </c>
      <c r="K6441" s="369">
        <f t="shared" si="308"/>
        <v>6</v>
      </c>
      <c r="L6441" s="369">
        <f>+IF((C6441&gt;='Resultats - informe'!$E$16)*(C6441&lt;='Resultats - informe'!$G$16),1,0)</f>
        <v>1</v>
      </c>
      <c r="M6441" s="369" cm="1">
        <f t="array" ref="M6441">+_xlfn.IFS((C6441&gt;='Resultats - informe'!$D$26)*(C6441&lt;='Resultats - informe'!$E$26),0,(C6441&gt;='Resultats - informe'!$D$27)*(C6441&lt;='Resultats - informe'!$E$27),0,(C6441&gt;='Resultats - informe'!$D$28)*(C6441&lt;='Resultats - informe'!$E$28),0,(C6441&gt;='Resultats - informe'!$D$29)*(C6441&lt;='Resultats - informe'!$E$29),0,1,1)</f>
        <v>0</v>
      </c>
      <c r="N6441" s="366">
        <f>+VLOOKUP(D6441,'Resultats - informe'!$Y$18:$AG$42,'Introducció dades consum'!K6441+1,0)</f>
        <v>0</v>
      </c>
      <c r="O6441" s="370" cm="1">
        <f t="array" ref="O6441">+_xlfn.SWITCH(MONTH(C6441),1,1,2,1,3,1,4,2,5,2,6,3,7,3,8,3,9,3,10,2,11,2,12,1,2)</f>
        <v>1</v>
      </c>
      <c r="P6441" s="43"/>
    </row>
    <row r="6442" spans="1:16" ht="18" x14ac:dyDescent="0.35">
      <c r="A6442" s="9"/>
      <c r="C6442" s="393"/>
      <c r="E6442" s="394"/>
      <c r="F6442" s="394"/>
      <c r="G6442" s="394"/>
      <c r="I6442" s="368">
        <f t="shared" si="306"/>
        <v>0</v>
      </c>
      <c r="J6442" s="365">
        <f t="shared" si="307"/>
        <v>0</v>
      </c>
      <c r="K6442" s="369">
        <f t="shared" si="308"/>
        <v>6</v>
      </c>
      <c r="L6442" s="369">
        <f>+IF((C6442&gt;='Resultats - informe'!$E$16)*(C6442&lt;='Resultats - informe'!$G$16),1,0)</f>
        <v>1</v>
      </c>
      <c r="M6442" s="369" cm="1">
        <f t="array" ref="M6442">+_xlfn.IFS((C6442&gt;='Resultats - informe'!$D$26)*(C6442&lt;='Resultats - informe'!$E$26),0,(C6442&gt;='Resultats - informe'!$D$27)*(C6442&lt;='Resultats - informe'!$E$27),0,(C6442&gt;='Resultats - informe'!$D$28)*(C6442&lt;='Resultats - informe'!$E$28),0,(C6442&gt;='Resultats - informe'!$D$29)*(C6442&lt;='Resultats - informe'!$E$29),0,1,1)</f>
        <v>0</v>
      </c>
      <c r="N6442" s="366">
        <f>+VLOOKUP(D6442,'Resultats - informe'!$Y$18:$AG$42,'Introducció dades consum'!K6442+1,0)</f>
        <v>0</v>
      </c>
      <c r="O6442" s="370" cm="1">
        <f t="array" ref="O6442">+_xlfn.SWITCH(MONTH(C6442),1,1,2,1,3,1,4,2,5,2,6,3,7,3,8,3,9,3,10,2,11,2,12,1,2)</f>
        <v>1</v>
      </c>
      <c r="P6442" s="43"/>
    </row>
    <row r="6443" spans="1:16" ht="18" x14ac:dyDescent="0.35">
      <c r="A6443" s="9"/>
      <c r="C6443" s="393"/>
      <c r="E6443" s="394"/>
      <c r="F6443" s="394"/>
      <c r="G6443" s="394"/>
      <c r="I6443" s="368">
        <f t="shared" si="306"/>
        <v>0</v>
      </c>
      <c r="J6443" s="365">
        <f t="shared" si="307"/>
        <v>0</v>
      </c>
      <c r="K6443" s="369">
        <f t="shared" si="308"/>
        <v>6</v>
      </c>
      <c r="L6443" s="369">
        <f>+IF((C6443&gt;='Resultats - informe'!$E$16)*(C6443&lt;='Resultats - informe'!$G$16),1,0)</f>
        <v>1</v>
      </c>
      <c r="M6443" s="369" cm="1">
        <f t="array" ref="M6443">+_xlfn.IFS((C6443&gt;='Resultats - informe'!$D$26)*(C6443&lt;='Resultats - informe'!$E$26),0,(C6443&gt;='Resultats - informe'!$D$27)*(C6443&lt;='Resultats - informe'!$E$27),0,(C6443&gt;='Resultats - informe'!$D$28)*(C6443&lt;='Resultats - informe'!$E$28),0,(C6443&gt;='Resultats - informe'!$D$29)*(C6443&lt;='Resultats - informe'!$E$29),0,1,1)</f>
        <v>0</v>
      </c>
      <c r="N6443" s="366">
        <f>+VLOOKUP(D6443,'Resultats - informe'!$Y$18:$AG$42,'Introducció dades consum'!K6443+1,0)</f>
        <v>0</v>
      </c>
      <c r="O6443" s="370" cm="1">
        <f t="array" ref="O6443">+_xlfn.SWITCH(MONTH(C6443),1,1,2,1,3,1,4,2,5,2,6,3,7,3,8,3,9,3,10,2,11,2,12,1,2)</f>
        <v>1</v>
      </c>
      <c r="P6443" s="43"/>
    </row>
    <row r="6444" spans="1:16" ht="18" x14ac:dyDescent="0.35">
      <c r="A6444" s="9"/>
      <c r="C6444" s="393"/>
      <c r="E6444" s="394"/>
      <c r="F6444" s="394"/>
      <c r="G6444" s="394"/>
      <c r="I6444" s="368">
        <f t="shared" si="306"/>
        <v>0</v>
      </c>
      <c r="J6444" s="365">
        <f t="shared" si="307"/>
        <v>0</v>
      </c>
      <c r="K6444" s="369">
        <f t="shared" si="308"/>
        <v>6</v>
      </c>
      <c r="L6444" s="369">
        <f>+IF((C6444&gt;='Resultats - informe'!$E$16)*(C6444&lt;='Resultats - informe'!$G$16),1,0)</f>
        <v>1</v>
      </c>
      <c r="M6444" s="369" cm="1">
        <f t="array" ref="M6444">+_xlfn.IFS((C6444&gt;='Resultats - informe'!$D$26)*(C6444&lt;='Resultats - informe'!$E$26),0,(C6444&gt;='Resultats - informe'!$D$27)*(C6444&lt;='Resultats - informe'!$E$27),0,(C6444&gt;='Resultats - informe'!$D$28)*(C6444&lt;='Resultats - informe'!$E$28),0,(C6444&gt;='Resultats - informe'!$D$29)*(C6444&lt;='Resultats - informe'!$E$29),0,1,1)</f>
        <v>0</v>
      </c>
      <c r="N6444" s="366">
        <f>+VLOOKUP(D6444,'Resultats - informe'!$Y$18:$AG$42,'Introducció dades consum'!K6444+1,0)</f>
        <v>0</v>
      </c>
      <c r="O6444" s="370" cm="1">
        <f t="array" ref="O6444">+_xlfn.SWITCH(MONTH(C6444),1,1,2,1,3,1,4,2,5,2,6,3,7,3,8,3,9,3,10,2,11,2,12,1,2)</f>
        <v>1</v>
      </c>
      <c r="P6444" s="43"/>
    </row>
    <row r="6445" spans="1:16" ht="18" x14ac:dyDescent="0.35">
      <c r="A6445" s="9"/>
      <c r="C6445" s="393"/>
      <c r="E6445" s="394"/>
      <c r="F6445" s="394"/>
      <c r="G6445" s="394"/>
      <c r="I6445" s="368">
        <f t="shared" si="306"/>
        <v>0</v>
      </c>
      <c r="J6445" s="365">
        <f t="shared" si="307"/>
        <v>0</v>
      </c>
      <c r="K6445" s="369">
        <f t="shared" si="308"/>
        <v>6</v>
      </c>
      <c r="L6445" s="369">
        <f>+IF((C6445&gt;='Resultats - informe'!$E$16)*(C6445&lt;='Resultats - informe'!$G$16),1,0)</f>
        <v>1</v>
      </c>
      <c r="M6445" s="369" cm="1">
        <f t="array" ref="M6445">+_xlfn.IFS((C6445&gt;='Resultats - informe'!$D$26)*(C6445&lt;='Resultats - informe'!$E$26),0,(C6445&gt;='Resultats - informe'!$D$27)*(C6445&lt;='Resultats - informe'!$E$27),0,(C6445&gt;='Resultats - informe'!$D$28)*(C6445&lt;='Resultats - informe'!$E$28),0,(C6445&gt;='Resultats - informe'!$D$29)*(C6445&lt;='Resultats - informe'!$E$29),0,1,1)</f>
        <v>0</v>
      </c>
      <c r="N6445" s="366">
        <f>+VLOOKUP(D6445,'Resultats - informe'!$Y$18:$AG$42,'Introducció dades consum'!K6445+1,0)</f>
        <v>0</v>
      </c>
      <c r="O6445" s="370" cm="1">
        <f t="array" ref="O6445">+_xlfn.SWITCH(MONTH(C6445),1,1,2,1,3,1,4,2,5,2,6,3,7,3,8,3,9,3,10,2,11,2,12,1,2)</f>
        <v>1</v>
      </c>
      <c r="P6445" s="43"/>
    </row>
    <row r="6446" spans="1:16" ht="18" x14ac:dyDescent="0.35">
      <c r="A6446" s="9"/>
      <c r="C6446" s="393"/>
      <c r="E6446" s="394"/>
      <c r="F6446" s="394"/>
      <c r="G6446" s="394"/>
      <c r="I6446" s="368">
        <f t="shared" si="306"/>
        <v>0</v>
      </c>
      <c r="J6446" s="365">
        <f t="shared" si="307"/>
        <v>0</v>
      </c>
      <c r="K6446" s="369">
        <f t="shared" si="308"/>
        <v>6</v>
      </c>
      <c r="L6446" s="369">
        <f>+IF((C6446&gt;='Resultats - informe'!$E$16)*(C6446&lt;='Resultats - informe'!$G$16),1,0)</f>
        <v>1</v>
      </c>
      <c r="M6446" s="369" cm="1">
        <f t="array" ref="M6446">+_xlfn.IFS((C6446&gt;='Resultats - informe'!$D$26)*(C6446&lt;='Resultats - informe'!$E$26),0,(C6446&gt;='Resultats - informe'!$D$27)*(C6446&lt;='Resultats - informe'!$E$27),0,(C6446&gt;='Resultats - informe'!$D$28)*(C6446&lt;='Resultats - informe'!$E$28),0,(C6446&gt;='Resultats - informe'!$D$29)*(C6446&lt;='Resultats - informe'!$E$29),0,1,1)</f>
        <v>0</v>
      </c>
      <c r="N6446" s="366">
        <f>+VLOOKUP(D6446,'Resultats - informe'!$Y$18:$AG$42,'Introducció dades consum'!K6446+1,0)</f>
        <v>0</v>
      </c>
      <c r="O6446" s="370" cm="1">
        <f t="array" ref="O6446">+_xlfn.SWITCH(MONTH(C6446),1,1,2,1,3,1,4,2,5,2,6,3,7,3,8,3,9,3,10,2,11,2,12,1,2)</f>
        <v>1</v>
      </c>
      <c r="P6446" s="43"/>
    </row>
    <row r="6447" spans="1:16" ht="18" x14ac:dyDescent="0.35">
      <c r="A6447" s="9"/>
      <c r="C6447" s="393"/>
      <c r="E6447" s="394"/>
      <c r="F6447" s="394"/>
      <c r="G6447" s="394"/>
      <c r="I6447" s="368">
        <f t="shared" si="306"/>
        <v>0</v>
      </c>
      <c r="J6447" s="365">
        <f t="shared" si="307"/>
        <v>0</v>
      </c>
      <c r="K6447" s="369">
        <f t="shared" si="308"/>
        <v>6</v>
      </c>
      <c r="L6447" s="369">
        <f>+IF((C6447&gt;='Resultats - informe'!$E$16)*(C6447&lt;='Resultats - informe'!$G$16),1,0)</f>
        <v>1</v>
      </c>
      <c r="M6447" s="369" cm="1">
        <f t="array" ref="M6447">+_xlfn.IFS((C6447&gt;='Resultats - informe'!$D$26)*(C6447&lt;='Resultats - informe'!$E$26),0,(C6447&gt;='Resultats - informe'!$D$27)*(C6447&lt;='Resultats - informe'!$E$27),0,(C6447&gt;='Resultats - informe'!$D$28)*(C6447&lt;='Resultats - informe'!$E$28),0,(C6447&gt;='Resultats - informe'!$D$29)*(C6447&lt;='Resultats - informe'!$E$29),0,1,1)</f>
        <v>0</v>
      </c>
      <c r="N6447" s="366">
        <f>+VLOOKUP(D6447,'Resultats - informe'!$Y$18:$AG$42,'Introducció dades consum'!K6447+1,0)</f>
        <v>0</v>
      </c>
      <c r="O6447" s="370" cm="1">
        <f t="array" ref="O6447">+_xlfn.SWITCH(MONTH(C6447),1,1,2,1,3,1,4,2,5,2,6,3,7,3,8,3,9,3,10,2,11,2,12,1,2)</f>
        <v>1</v>
      </c>
      <c r="P6447" s="43"/>
    </row>
    <row r="6448" spans="1:16" ht="18" x14ac:dyDescent="0.35">
      <c r="A6448" s="9"/>
      <c r="C6448" s="393"/>
      <c r="E6448" s="394"/>
      <c r="F6448" s="394"/>
      <c r="G6448" s="394"/>
      <c r="I6448" s="368">
        <f t="shared" si="306"/>
        <v>0</v>
      </c>
      <c r="J6448" s="365">
        <f t="shared" si="307"/>
        <v>0</v>
      </c>
      <c r="K6448" s="369">
        <f t="shared" si="308"/>
        <v>6</v>
      </c>
      <c r="L6448" s="369">
        <f>+IF((C6448&gt;='Resultats - informe'!$E$16)*(C6448&lt;='Resultats - informe'!$G$16),1,0)</f>
        <v>1</v>
      </c>
      <c r="M6448" s="369" cm="1">
        <f t="array" ref="M6448">+_xlfn.IFS((C6448&gt;='Resultats - informe'!$D$26)*(C6448&lt;='Resultats - informe'!$E$26),0,(C6448&gt;='Resultats - informe'!$D$27)*(C6448&lt;='Resultats - informe'!$E$27),0,(C6448&gt;='Resultats - informe'!$D$28)*(C6448&lt;='Resultats - informe'!$E$28),0,(C6448&gt;='Resultats - informe'!$D$29)*(C6448&lt;='Resultats - informe'!$E$29),0,1,1)</f>
        <v>0</v>
      </c>
      <c r="N6448" s="366">
        <f>+VLOOKUP(D6448,'Resultats - informe'!$Y$18:$AG$42,'Introducció dades consum'!K6448+1,0)</f>
        <v>0</v>
      </c>
      <c r="O6448" s="370" cm="1">
        <f t="array" ref="O6448">+_xlfn.SWITCH(MONTH(C6448),1,1,2,1,3,1,4,2,5,2,6,3,7,3,8,3,9,3,10,2,11,2,12,1,2)</f>
        <v>1</v>
      </c>
      <c r="P6448" s="43"/>
    </row>
    <row r="6449" spans="1:16" ht="18" x14ac:dyDescent="0.35">
      <c r="A6449" s="9"/>
      <c r="C6449" s="393"/>
      <c r="E6449" s="394"/>
      <c r="F6449" s="394"/>
      <c r="G6449" s="394"/>
      <c r="I6449" s="368">
        <f t="shared" si="306"/>
        <v>0</v>
      </c>
      <c r="J6449" s="365">
        <f t="shared" si="307"/>
        <v>0</v>
      </c>
      <c r="K6449" s="369">
        <f t="shared" si="308"/>
        <v>6</v>
      </c>
      <c r="L6449" s="369">
        <f>+IF((C6449&gt;='Resultats - informe'!$E$16)*(C6449&lt;='Resultats - informe'!$G$16),1,0)</f>
        <v>1</v>
      </c>
      <c r="M6449" s="369" cm="1">
        <f t="array" ref="M6449">+_xlfn.IFS((C6449&gt;='Resultats - informe'!$D$26)*(C6449&lt;='Resultats - informe'!$E$26),0,(C6449&gt;='Resultats - informe'!$D$27)*(C6449&lt;='Resultats - informe'!$E$27),0,(C6449&gt;='Resultats - informe'!$D$28)*(C6449&lt;='Resultats - informe'!$E$28),0,(C6449&gt;='Resultats - informe'!$D$29)*(C6449&lt;='Resultats - informe'!$E$29),0,1,1)</f>
        <v>0</v>
      </c>
      <c r="N6449" s="366">
        <f>+VLOOKUP(D6449,'Resultats - informe'!$Y$18:$AG$42,'Introducció dades consum'!K6449+1,0)</f>
        <v>0</v>
      </c>
      <c r="O6449" s="370" cm="1">
        <f t="array" ref="O6449">+_xlfn.SWITCH(MONTH(C6449),1,1,2,1,3,1,4,2,5,2,6,3,7,3,8,3,9,3,10,2,11,2,12,1,2)</f>
        <v>1</v>
      </c>
      <c r="P6449" s="43"/>
    </row>
    <row r="6450" spans="1:16" ht="18" x14ac:dyDescent="0.35">
      <c r="A6450" s="9"/>
      <c r="C6450" s="393"/>
      <c r="E6450" s="394"/>
      <c r="F6450" s="394"/>
      <c r="G6450" s="394"/>
      <c r="I6450" s="368">
        <f t="shared" si="306"/>
        <v>0</v>
      </c>
      <c r="J6450" s="365">
        <f t="shared" si="307"/>
        <v>0</v>
      </c>
      <c r="K6450" s="369">
        <f t="shared" si="308"/>
        <v>6</v>
      </c>
      <c r="L6450" s="369">
        <f>+IF((C6450&gt;='Resultats - informe'!$E$16)*(C6450&lt;='Resultats - informe'!$G$16),1,0)</f>
        <v>1</v>
      </c>
      <c r="M6450" s="369" cm="1">
        <f t="array" ref="M6450">+_xlfn.IFS((C6450&gt;='Resultats - informe'!$D$26)*(C6450&lt;='Resultats - informe'!$E$26),0,(C6450&gt;='Resultats - informe'!$D$27)*(C6450&lt;='Resultats - informe'!$E$27),0,(C6450&gt;='Resultats - informe'!$D$28)*(C6450&lt;='Resultats - informe'!$E$28),0,(C6450&gt;='Resultats - informe'!$D$29)*(C6450&lt;='Resultats - informe'!$E$29),0,1,1)</f>
        <v>0</v>
      </c>
      <c r="N6450" s="366">
        <f>+VLOOKUP(D6450,'Resultats - informe'!$Y$18:$AG$42,'Introducció dades consum'!K6450+1,0)</f>
        <v>0</v>
      </c>
      <c r="O6450" s="370" cm="1">
        <f t="array" ref="O6450">+_xlfn.SWITCH(MONTH(C6450),1,1,2,1,3,1,4,2,5,2,6,3,7,3,8,3,9,3,10,2,11,2,12,1,2)</f>
        <v>1</v>
      </c>
      <c r="P6450" s="43"/>
    </row>
    <row r="6451" spans="1:16" ht="18" x14ac:dyDescent="0.35">
      <c r="A6451" s="9"/>
      <c r="C6451" s="393"/>
      <c r="E6451" s="394"/>
      <c r="F6451" s="394"/>
      <c r="G6451" s="394"/>
      <c r="I6451" s="368">
        <f t="shared" si="306"/>
        <v>0</v>
      </c>
      <c r="J6451" s="365">
        <f t="shared" si="307"/>
        <v>0</v>
      </c>
      <c r="K6451" s="369">
        <f t="shared" si="308"/>
        <v>6</v>
      </c>
      <c r="L6451" s="369">
        <f>+IF((C6451&gt;='Resultats - informe'!$E$16)*(C6451&lt;='Resultats - informe'!$G$16),1,0)</f>
        <v>1</v>
      </c>
      <c r="M6451" s="369" cm="1">
        <f t="array" ref="M6451">+_xlfn.IFS((C6451&gt;='Resultats - informe'!$D$26)*(C6451&lt;='Resultats - informe'!$E$26),0,(C6451&gt;='Resultats - informe'!$D$27)*(C6451&lt;='Resultats - informe'!$E$27),0,(C6451&gt;='Resultats - informe'!$D$28)*(C6451&lt;='Resultats - informe'!$E$28),0,(C6451&gt;='Resultats - informe'!$D$29)*(C6451&lt;='Resultats - informe'!$E$29),0,1,1)</f>
        <v>0</v>
      </c>
      <c r="N6451" s="366">
        <f>+VLOOKUP(D6451,'Resultats - informe'!$Y$18:$AG$42,'Introducció dades consum'!K6451+1,0)</f>
        <v>0</v>
      </c>
      <c r="O6451" s="370" cm="1">
        <f t="array" ref="O6451">+_xlfn.SWITCH(MONTH(C6451),1,1,2,1,3,1,4,2,5,2,6,3,7,3,8,3,9,3,10,2,11,2,12,1,2)</f>
        <v>1</v>
      </c>
      <c r="P6451" s="43"/>
    </row>
    <row r="6452" spans="1:16" ht="18" x14ac:dyDescent="0.35">
      <c r="A6452" s="9"/>
      <c r="C6452" s="393"/>
      <c r="E6452" s="394"/>
      <c r="F6452" s="394"/>
      <c r="G6452" s="394"/>
      <c r="I6452" s="368">
        <f t="shared" si="306"/>
        <v>0</v>
      </c>
      <c r="J6452" s="365">
        <f t="shared" si="307"/>
        <v>0</v>
      </c>
      <c r="K6452" s="369">
        <f t="shared" si="308"/>
        <v>6</v>
      </c>
      <c r="L6452" s="369">
        <f>+IF((C6452&gt;='Resultats - informe'!$E$16)*(C6452&lt;='Resultats - informe'!$G$16),1,0)</f>
        <v>1</v>
      </c>
      <c r="M6452" s="369" cm="1">
        <f t="array" ref="M6452">+_xlfn.IFS((C6452&gt;='Resultats - informe'!$D$26)*(C6452&lt;='Resultats - informe'!$E$26),0,(C6452&gt;='Resultats - informe'!$D$27)*(C6452&lt;='Resultats - informe'!$E$27),0,(C6452&gt;='Resultats - informe'!$D$28)*(C6452&lt;='Resultats - informe'!$E$28),0,(C6452&gt;='Resultats - informe'!$D$29)*(C6452&lt;='Resultats - informe'!$E$29),0,1,1)</f>
        <v>0</v>
      </c>
      <c r="N6452" s="366">
        <f>+VLOOKUP(D6452,'Resultats - informe'!$Y$18:$AG$42,'Introducció dades consum'!K6452+1,0)</f>
        <v>0</v>
      </c>
      <c r="O6452" s="370" cm="1">
        <f t="array" ref="O6452">+_xlfn.SWITCH(MONTH(C6452),1,1,2,1,3,1,4,2,5,2,6,3,7,3,8,3,9,3,10,2,11,2,12,1,2)</f>
        <v>1</v>
      </c>
      <c r="P6452" s="43"/>
    </row>
    <row r="6453" spans="1:16" ht="18" x14ac:dyDescent="0.35">
      <c r="A6453" s="9"/>
      <c r="C6453" s="393"/>
      <c r="E6453" s="394"/>
      <c r="F6453" s="394"/>
      <c r="G6453" s="394"/>
      <c r="I6453" s="368">
        <f t="shared" si="306"/>
        <v>0</v>
      </c>
      <c r="J6453" s="365">
        <f t="shared" si="307"/>
        <v>0</v>
      </c>
      <c r="K6453" s="369">
        <f t="shared" si="308"/>
        <v>6</v>
      </c>
      <c r="L6453" s="369">
        <f>+IF((C6453&gt;='Resultats - informe'!$E$16)*(C6453&lt;='Resultats - informe'!$G$16),1,0)</f>
        <v>1</v>
      </c>
      <c r="M6453" s="369" cm="1">
        <f t="array" ref="M6453">+_xlfn.IFS((C6453&gt;='Resultats - informe'!$D$26)*(C6453&lt;='Resultats - informe'!$E$26),0,(C6453&gt;='Resultats - informe'!$D$27)*(C6453&lt;='Resultats - informe'!$E$27),0,(C6453&gt;='Resultats - informe'!$D$28)*(C6453&lt;='Resultats - informe'!$E$28),0,(C6453&gt;='Resultats - informe'!$D$29)*(C6453&lt;='Resultats - informe'!$E$29),0,1,1)</f>
        <v>0</v>
      </c>
      <c r="N6453" s="366">
        <f>+VLOOKUP(D6453,'Resultats - informe'!$Y$18:$AG$42,'Introducció dades consum'!K6453+1,0)</f>
        <v>0</v>
      </c>
      <c r="O6453" s="370" cm="1">
        <f t="array" ref="O6453">+_xlfn.SWITCH(MONTH(C6453),1,1,2,1,3,1,4,2,5,2,6,3,7,3,8,3,9,3,10,2,11,2,12,1,2)</f>
        <v>1</v>
      </c>
      <c r="P6453" s="43"/>
    </row>
    <row r="6454" spans="1:16" ht="18" x14ac:dyDescent="0.35">
      <c r="A6454" s="9"/>
      <c r="C6454" s="393"/>
      <c r="E6454" s="394"/>
      <c r="F6454" s="394"/>
      <c r="G6454" s="394"/>
      <c r="I6454" s="368">
        <f t="shared" si="306"/>
        <v>0</v>
      </c>
      <c r="J6454" s="365">
        <f t="shared" si="307"/>
        <v>0</v>
      </c>
      <c r="K6454" s="369">
        <f t="shared" si="308"/>
        <v>6</v>
      </c>
      <c r="L6454" s="369">
        <f>+IF((C6454&gt;='Resultats - informe'!$E$16)*(C6454&lt;='Resultats - informe'!$G$16),1,0)</f>
        <v>1</v>
      </c>
      <c r="M6454" s="369" cm="1">
        <f t="array" ref="M6454">+_xlfn.IFS((C6454&gt;='Resultats - informe'!$D$26)*(C6454&lt;='Resultats - informe'!$E$26),0,(C6454&gt;='Resultats - informe'!$D$27)*(C6454&lt;='Resultats - informe'!$E$27),0,(C6454&gt;='Resultats - informe'!$D$28)*(C6454&lt;='Resultats - informe'!$E$28),0,(C6454&gt;='Resultats - informe'!$D$29)*(C6454&lt;='Resultats - informe'!$E$29),0,1,1)</f>
        <v>0</v>
      </c>
      <c r="N6454" s="366">
        <f>+VLOOKUP(D6454,'Resultats - informe'!$Y$18:$AG$42,'Introducció dades consum'!K6454+1,0)</f>
        <v>0</v>
      </c>
      <c r="O6454" s="370" cm="1">
        <f t="array" ref="O6454">+_xlfn.SWITCH(MONTH(C6454),1,1,2,1,3,1,4,2,5,2,6,3,7,3,8,3,9,3,10,2,11,2,12,1,2)</f>
        <v>1</v>
      </c>
      <c r="P6454" s="43"/>
    </row>
    <row r="6455" spans="1:16" ht="18" x14ac:dyDescent="0.35">
      <c r="A6455" s="9"/>
      <c r="C6455" s="393"/>
      <c r="E6455" s="394"/>
      <c r="F6455" s="394"/>
      <c r="G6455" s="394"/>
      <c r="I6455" s="368">
        <f t="shared" si="306"/>
        <v>0</v>
      </c>
      <c r="J6455" s="365">
        <f t="shared" si="307"/>
        <v>0</v>
      </c>
      <c r="K6455" s="369">
        <f t="shared" si="308"/>
        <v>6</v>
      </c>
      <c r="L6455" s="369">
        <f>+IF((C6455&gt;='Resultats - informe'!$E$16)*(C6455&lt;='Resultats - informe'!$G$16),1,0)</f>
        <v>1</v>
      </c>
      <c r="M6455" s="369" cm="1">
        <f t="array" ref="M6455">+_xlfn.IFS((C6455&gt;='Resultats - informe'!$D$26)*(C6455&lt;='Resultats - informe'!$E$26),0,(C6455&gt;='Resultats - informe'!$D$27)*(C6455&lt;='Resultats - informe'!$E$27),0,(C6455&gt;='Resultats - informe'!$D$28)*(C6455&lt;='Resultats - informe'!$E$28),0,(C6455&gt;='Resultats - informe'!$D$29)*(C6455&lt;='Resultats - informe'!$E$29),0,1,1)</f>
        <v>0</v>
      </c>
      <c r="N6455" s="366">
        <f>+VLOOKUP(D6455,'Resultats - informe'!$Y$18:$AG$42,'Introducció dades consum'!K6455+1,0)</f>
        <v>0</v>
      </c>
      <c r="O6455" s="370" cm="1">
        <f t="array" ref="O6455">+_xlfn.SWITCH(MONTH(C6455),1,1,2,1,3,1,4,2,5,2,6,3,7,3,8,3,9,3,10,2,11,2,12,1,2)</f>
        <v>1</v>
      </c>
      <c r="P6455" s="43"/>
    </row>
    <row r="6456" spans="1:16" ht="18" x14ac:dyDescent="0.35">
      <c r="A6456" s="9"/>
      <c r="C6456" s="393"/>
      <c r="E6456" s="394"/>
      <c r="F6456" s="394"/>
      <c r="G6456" s="394"/>
      <c r="I6456" s="368">
        <f t="shared" si="306"/>
        <v>0</v>
      </c>
      <c r="J6456" s="365">
        <f t="shared" si="307"/>
        <v>0</v>
      </c>
      <c r="K6456" s="369">
        <f t="shared" si="308"/>
        <v>6</v>
      </c>
      <c r="L6456" s="369">
        <f>+IF((C6456&gt;='Resultats - informe'!$E$16)*(C6456&lt;='Resultats - informe'!$G$16),1,0)</f>
        <v>1</v>
      </c>
      <c r="M6456" s="369" cm="1">
        <f t="array" ref="M6456">+_xlfn.IFS((C6456&gt;='Resultats - informe'!$D$26)*(C6456&lt;='Resultats - informe'!$E$26),0,(C6456&gt;='Resultats - informe'!$D$27)*(C6456&lt;='Resultats - informe'!$E$27),0,(C6456&gt;='Resultats - informe'!$D$28)*(C6456&lt;='Resultats - informe'!$E$28),0,(C6456&gt;='Resultats - informe'!$D$29)*(C6456&lt;='Resultats - informe'!$E$29),0,1,1)</f>
        <v>0</v>
      </c>
      <c r="N6456" s="366">
        <f>+VLOOKUP(D6456,'Resultats - informe'!$Y$18:$AG$42,'Introducció dades consum'!K6456+1,0)</f>
        <v>0</v>
      </c>
      <c r="O6456" s="370" cm="1">
        <f t="array" ref="O6456">+_xlfn.SWITCH(MONTH(C6456),1,1,2,1,3,1,4,2,5,2,6,3,7,3,8,3,9,3,10,2,11,2,12,1,2)</f>
        <v>1</v>
      </c>
      <c r="P6456" s="43"/>
    </row>
    <row r="6457" spans="1:16" ht="18" x14ac:dyDescent="0.35">
      <c r="A6457" s="9"/>
      <c r="C6457" s="393"/>
      <c r="E6457" s="394"/>
      <c r="F6457" s="394"/>
      <c r="G6457" s="394"/>
      <c r="I6457" s="368">
        <f t="shared" si="306"/>
        <v>0</v>
      </c>
      <c r="J6457" s="365">
        <f t="shared" si="307"/>
        <v>0</v>
      </c>
      <c r="K6457" s="369">
        <f t="shared" si="308"/>
        <v>6</v>
      </c>
      <c r="L6457" s="369">
        <f>+IF((C6457&gt;='Resultats - informe'!$E$16)*(C6457&lt;='Resultats - informe'!$G$16),1,0)</f>
        <v>1</v>
      </c>
      <c r="M6457" s="369" cm="1">
        <f t="array" ref="M6457">+_xlfn.IFS((C6457&gt;='Resultats - informe'!$D$26)*(C6457&lt;='Resultats - informe'!$E$26),0,(C6457&gt;='Resultats - informe'!$D$27)*(C6457&lt;='Resultats - informe'!$E$27),0,(C6457&gt;='Resultats - informe'!$D$28)*(C6457&lt;='Resultats - informe'!$E$28),0,(C6457&gt;='Resultats - informe'!$D$29)*(C6457&lt;='Resultats - informe'!$E$29),0,1,1)</f>
        <v>0</v>
      </c>
      <c r="N6457" s="366">
        <f>+VLOOKUP(D6457,'Resultats - informe'!$Y$18:$AG$42,'Introducció dades consum'!K6457+1,0)</f>
        <v>0</v>
      </c>
      <c r="O6457" s="370" cm="1">
        <f t="array" ref="O6457">+_xlfn.SWITCH(MONTH(C6457),1,1,2,1,3,1,4,2,5,2,6,3,7,3,8,3,9,3,10,2,11,2,12,1,2)</f>
        <v>1</v>
      </c>
      <c r="P6457" s="43"/>
    </row>
    <row r="6458" spans="1:16" ht="18" x14ac:dyDescent="0.35">
      <c r="A6458" s="9"/>
      <c r="C6458" s="393"/>
      <c r="E6458" s="394"/>
      <c r="F6458" s="394"/>
      <c r="G6458" s="394"/>
      <c r="I6458" s="368">
        <f t="shared" si="306"/>
        <v>0</v>
      </c>
      <c r="J6458" s="365">
        <f t="shared" si="307"/>
        <v>0</v>
      </c>
      <c r="K6458" s="369">
        <f t="shared" si="308"/>
        <v>6</v>
      </c>
      <c r="L6458" s="369">
        <f>+IF((C6458&gt;='Resultats - informe'!$E$16)*(C6458&lt;='Resultats - informe'!$G$16),1,0)</f>
        <v>1</v>
      </c>
      <c r="M6458" s="369" cm="1">
        <f t="array" ref="M6458">+_xlfn.IFS((C6458&gt;='Resultats - informe'!$D$26)*(C6458&lt;='Resultats - informe'!$E$26),0,(C6458&gt;='Resultats - informe'!$D$27)*(C6458&lt;='Resultats - informe'!$E$27),0,(C6458&gt;='Resultats - informe'!$D$28)*(C6458&lt;='Resultats - informe'!$E$28),0,(C6458&gt;='Resultats - informe'!$D$29)*(C6458&lt;='Resultats - informe'!$E$29),0,1,1)</f>
        <v>0</v>
      </c>
      <c r="N6458" s="366">
        <f>+VLOOKUP(D6458,'Resultats - informe'!$Y$18:$AG$42,'Introducció dades consum'!K6458+1,0)</f>
        <v>0</v>
      </c>
      <c r="O6458" s="370" cm="1">
        <f t="array" ref="O6458">+_xlfn.SWITCH(MONTH(C6458),1,1,2,1,3,1,4,2,5,2,6,3,7,3,8,3,9,3,10,2,11,2,12,1,2)</f>
        <v>1</v>
      </c>
      <c r="P6458" s="43"/>
    </row>
    <row r="6459" spans="1:16" ht="18" x14ac:dyDescent="0.35">
      <c r="A6459" s="9"/>
      <c r="C6459" s="393"/>
      <c r="E6459" s="394"/>
      <c r="F6459" s="394"/>
      <c r="G6459" s="394"/>
      <c r="I6459" s="368">
        <f t="shared" si="306"/>
        <v>0</v>
      </c>
      <c r="J6459" s="365">
        <f t="shared" si="307"/>
        <v>0</v>
      </c>
      <c r="K6459" s="369">
        <f t="shared" si="308"/>
        <v>6</v>
      </c>
      <c r="L6459" s="369">
        <f>+IF((C6459&gt;='Resultats - informe'!$E$16)*(C6459&lt;='Resultats - informe'!$G$16),1,0)</f>
        <v>1</v>
      </c>
      <c r="M6459" s="369" cm="1">
        <f t="array" ref="M6459">+_xlfn.IFS((C6459&gt;='Resultats - informe'!$D$26)*(C6459&lt;='Resultats - informe'!$E$26),0,(C6459&gt;='Resultats - informe'!$D$27)*(C6459&lt;='Resultats - informe'!$E$27),0,(C6459&gt;='Resultats - informe'!$D$28)*(C6459&lt;='Resultats - informe'!$E$28),0,(C6459&gt;='Resultats - informe'!$D$29)*(C6459&lt;='Resultats - informe'!$E$29),0,1,1)</f>
        <v>0</v>
      </c>
      <c r="N6459" s="366">
        <f>+VLOOKUP(D6459,'Resultats - informe'!$Y$18:$AG$42,'Introducció dades consum'!K6459+1,0)</f>
        <v>0</v>
      </c>
      <c r="O6459" s="370" cm="1">
        <f t="array" ref="O6459">+_xlfn.SWITCH(MONTH(C6459),1,1,2,1,3,1,4,2,5,2,6,3,7,3,8,3,9,3,10,2,11,2,12,1,2)</f>
        <v>1</v>
      </c>
      <c r="P6459" s="43"/>
    </row>
    <row r="6460" spans="1:16" ht="18" x14ac:dyDescent="0.35">
      <c r="A6460" s="9"/>
      <c r="C6460" s="393"/>
      <c r="E6460" s="394"/>
      <c r="F6460" s="394"/>
      <c r="G6460" s="394"/>
      <c r="I6460" s="368">
        <f t="shared" si="306"/>
        <v>0</v>
      </c>
      <c r="J6460" s="365">
        <f t="shared" si="307"/>
        <v>0</v>
      </c>
      <c r="K6460" s="369">
        <f t="shared" si="308"/>
        <v>6</v>
      </c>
      <c r="L6460" s="369">
        <f>+IF((C6460&gt;='Resultats - informe'!$E$16)*(C6460&lt;='Resultats - informe'!$G$16),1,0)</f>
        <v>1</v>
      </c>
      <c r="M6460" s="369" cm="1">
        <f t="array" ref="M6460">+_xlfn.IFS((C6460&gt;='Resultats - informe'!$D$26)*(C6460&lt;='Resultats - informe'!$E$26),0,(C6460&gt;='Resultats - informe'!$D$27)*(C6460&lt;='Resultats - informe'!$E$27),0,(C6460&gt;='Resultats - informe'!$D$28)*(C6460&lt;='Resultats - informe'!$E$28),0,(C6460&gt;='Resultats - informe'!$D$29)*(C6460&lt;='Resultats - informe'!$E$29),0,1,1)</f>
        <v>0</v>
      </c>
      <c r="N6460" s="366">
        <f>+VLOOKUP(D6460,'Resultats - informe'!$Y$18:$AG$42,'Introducció dades consum'!K6460+1,0)</f>
        <v>0</v>
      </c>
      <c r="O6460" s="370" cm="1">
        <f t="array" ref="O6460">+_xlfn.SWITCH(MONTH(C6460),1,1,2,1,3,1,4,2,5,2,6,3,7,3,8,3,9,3,10,2,11,2,12,1,2)</f>
        <v>1</v>
      </c>
      <c r="P6460" s="43"/>
    </row>
    <row r="6461" spans="1:16" ht="18" x14ac:dyDescent="0.35">
      <c r="A6461" s="9"/>
      <c r="C6461" s="393"/>
      <c r="E6461" s="394"/>
      <c r="F6461" s="394"/>
      <c r="G6461" s="394"/>
      <c r="I6461" s="368">
        <f t="shared" si="306"/>
        <v>0</v>
      </c>
      <c r="J6461" s="365">
        <f t="shared" si="307"/>
        <v>0</v>
      </c>
      <c r="K6461" s="369">
        <f t="shared" si="308"/>
        <v>6</v>
      </c>
      <c r="L6461" s="369">
        <f>+IF((C6461&gt;='Resultats - informe'!$E$16)*(C6461&lt;='Resultats - informe'!$G$16),1,0)</f>
        <v>1</v>
      </c>
      <c r="M6461" s="369" cm="1">
        <f t="array" ref="M6461">+_xlfn.IFS((C6461&gt;='Resultats - informe'!$D$26)*(C6461&lt;='Resultats - informe'!$E$26),0,(C6461&gt;='Resultats - informe'!$D$27)*(C6461&lt;='Resultats - informe'!$E$27),0,(C6461&gt;='Resultats - informe'!$D$28)*(C6461&lt;='Resultats - informe'!$E$28),0,(C6461&gt;='Resultats - informe'!$D$29)*(C6461&lt;='Resultats - informe'!$E$29),0,1,1)</f>
        <v>0</v>
      </c>
      <c r="N6461" s="366">
        <f>+VLOOKUP(D6461,'Resultats - informe'!$Y$18:$AG$42,'Introducció dades consum'!K6461+1,0)</f>
        <v>0</v>
      </c>
      <c r="O6461" s="370" cm="1">
        <f t="array" ref="O6461">+_xlfn.SWITCH(MONTH(C6461),1,1,2,1,3,1,4,2,5,2,6,3,7,3,8,3,9,3,10,2,11,2,12,1,2)</f>
        <v>1</v>
      </c>
      <c r="P6461" s="43"/>
    </row>
    <row r="6462" spans="1:16" ht="18" x14ac:dyDescent="0.35">
      <c r="A6462" s="9"/>
      <c r="C6462" s="393"/>
      <c r="E6462" s="394"/>
      <c r="F6462" s="394"/>
      <c r="G6462" s="394"/>
      <c r="I6462" s="368">
        <f t="shared" si="306"/>
        <v>0</v>
      </c>
      <c r="J6462" s="365">
        <f t="shared" si="307"/>
        <v>0</v>
      </c>
      <c r="K6462" s="369">
        <f t="shared" si="308"/>
        <v>6</v>
      </c>
      <c r="L6462" s="369">
        <f>+IF((C6462&gt;='Resultats - informe'!$E$16)*(C6462&lt;='Resultats - informe'!$G$16),1,0)</f>
        <v>1</v>
      </c>
      <c r="M6462" s="369" cm="1">
        <f t="array" ref="M6462">+_xlfn.IFS((C6462&gt;='Resultats - informe'!$D$26)*(C6462&lt;='Resultats - informe'!$E$26),0,(C6462&gt;='Resultats - informe'!$D$27)*(C6462&lt;='Resultats - informe'!$E$27),0,(C6462&gt;='Resultats - informe'!$D$28)*(C6462&lt;='Resultats - informe'!$E$28),0,(C6462&gt;='Resultats - informe'!$D$29)*(C6462&lt;='Resultats - informe'!$E$29),0,1,1)</f>
        <v>0</v>
      </c>
      <c r="N6462" s="366">
        <f>+VLOOKUP(D6462,'Resultats - informe'!$Y$18:$AG$42,'Introducció dades consum'!K6462+1,0)</f>
        <v>0</v>
      </c>
      <c r="O6462" s="370" cm="1">
        <f t="array" ref="O6462">+_xlfn.SWITCH(MONTH(C6462),1,1,2,1,3,1,4,2,5,2,6,3,7,3,8,3,9,3,10,2,11,2,12,1,2)</f>
        <v>1</v>
      </c>
      <c r="P6462" s="43"/>
    </row>
    <row r="6463" spans="1:16" ht="18" x14ac:dyDescent="0.35">
      <c r="A6463" s="9"/>
      <c r="C6463" s="393"/>
      <c r="E6463" s="394"/>
      <c r="F6463" s="394"/>
      <c r="G6463" s="394"/>
      <c r="I6463" s="368">
        <f t="shared" si="306"/>
        <v>0</v>
      </c>
      <c r="J6463" s="365">
        <f t="shared" si="307"/>
        <v>0</v>
      </c>
      <c r="K6463" s="369">
        <f t="shared" si="308"/>
        <v>6</v>
      </c>
      <c r="L6463" s="369">
        <f>+IF((C6463&gt;='Resultats - informe'!$E$16)*(C6463&lt;='Resultats - informe'!$G$16),1,0)</f>
        <v>1</v>
      </c>
      <c r="M6463" s="369" cm="1">
        <f t="array" ref="M6463">+_xlfn.IFS((C6463&gt;='Resultats - informe'!$D$26)*(C6463&lt;='Resultats - informe'!$E$26),0,(C6463&gt;='Resultats - informe'!$D$27)*(C6463&lt;='Resultats - informe'!$E$27),0,(C6463&gt;='Resultats - informe'!$D$28)*(C6463&lt;='Resultats - informe'!$E$28),0,(C6463&gt;='Resultats - informe'!$D$29)*(C6463&lt;='Resultats - informe'!$E$29),0,1,1)</f>
        <v>0</v>
      </c>
      <c r="N6463" s="366">
        <f>+VLOOKUP(D6463,'Resultats - informe'!$Y$18:$AG$42,'Introducció dades consum'!K6463+1,0)</f>
        <v>0</v>
      </c>
      <c r="O6463" s="370" cm="1">
        <f t="array" ref="O6463">+_xlfn.SWITCH(MONTH(C6463),1,1,2,1,3,1,4,2,5,2,6,3,7,3,8,3,9,3,10,2,11,2,12,1,2)</f>
        <v>1</v>
      </c>
      <c r="P6463" s="43"/>
    </row>
    <row r="6464" spans="1:16" ht="18" x14ac:dyDescent="0.35">
      <c r="A6464" s="9"/>
      <c r="C6464" s="393"/>
      <c r="E6464" s="394"/>
      <c r="F6464" s="394"/>
      <c r="G6464" s="394"/>
      <c r="I6464" s="368">
        <f t="shared" si="306"/>
        <v>0</v>
      </c>
      <c r="J6464" s="365">
        <f t="shared" si="307"/>
        <v>0</v>
      </c>
      <c r="K6464" s="369">
        <f t="shared" si="308"/>
        <v>6</v>
      </c>
      <c r="L6464" s="369">
        <f>+IF((C6464&gt;='Resultats - informe'!$E$16)*(C6464&lt;='Resultats - informe'!$G$16),1,0)</f>
        <v>1</v>
      </c>
      <c r="M6464" s="369" cm="1">
        <f t="array" ref="M6464">+_xlfn.IFS((C6464&gt;='Resultats - informe'!$D$26)*(C6464&lt;='Resultats - informe'!$E$26),0,(C6464&gt;='Resultats - informe'!$D$27)*(C6464&lt;='Resultats - informe'!$E$27),0,(C6464&gt;='Resultats - informe'!$D$28)*(C6464&lt;='Resultats - informe'!$E$28),0,(C6464&gt;='Resultats - informe'!$D$29)*(C6464&lt;='Resultats - informe'!$E$29),0,1,1)</f>
        <v>0</v>
      </c>
      <c r="N6464" s="366">
        <f>+VLOOKUP(D6464,'Resultats - informe'!$Y$18:$AG$42,'Introducció dades consum'!K6464+1,0)</f>
        <v>0</v>
      </c>
      <c r="O6464" s="370" cm="1">
        <f t="array" ref="O6464">+_xlfn.SWITCH(MONTH(C6464),1,1,2,1,3,1,4,2,5,2,6,3,7,3,8,3,9,3,10,2,11,2,12,1,2)</f>
        <v>1</v>
      </c>
      <c r="P6464" s="43"/>
    </row>
    <row r="6465" spans="1:16" ht="18" x14ac:dyDescent="0.35">
      <c r="A6465" s="9"/>
      <c r="C6465" s="393"/>
      <c r="E6465" s="394"/>
      <c r="F6465" s="394"/>
      <c r="G6465" s="394"/>
      <c r="I6465" s="368">
        <f t="shared" si="306"/>
        <v>0</v>
      </c>
      <c r="J6465" s="365">
        <f t="shared" si="307"/>
        <v>0</v>
      </c>
      <c r="K6465" s="369">
        <f t="shared" si="308"/>
        <v>6</v>
      </c>
      <c r="L6465" s="369">
        <f>+IF((C6465&gt;='Resultats - informe'!$E$16)*(C6465&lt;='Resultats - informe'!$G$16),1,0)</f>
        <v>1</v>
      </c>
      <c r="M6465" s="369" cm="1">
        <f t="array" ref="M6465">+_xlfn.IFS((C6465&gt;='Resultats - informe'!$D$26)*(C6465&lt;='Resultats - informe'!$E$26),0,(C6465&gt;='Resultats - informe'!$D$27)*(C6465&lt;='Resultats - informe'!$E$27),0,(C6465&gt;='Resultats - informe'!$D$28)*(C6465&lt;='Resultats - informe'!$E$28),0,(C6465&gt;='Resultats - informe'!$D$29)*(C6465&lt;='Resultats - informe'!$E$29),0,1,1)</f>
        <v>0</v>
      </c>
      <c r="N6465" s="366">
        <f>+VLOOKUP(D6465,'Resultats - informe'!$Y$18:$AG$42,'Introducció dades consum'!K6465+1,0)</f>
        <v>0</v>
      </c>
      <c r="O6465" s="370" cm="1">
        <f t="array" ref="O6465">+_xlfn.SWITCH(MONTH(C6465),1,1,2,1,3,1,4,2,5,2,6,3,7,3,8,3,9,3,10,2,11,2,12,1,2)</f>
        <v>1</v>
      </c>
      <c r="P6465" s="43"/>
    </row>
    <row r="6466" spans="1:16" ht="18" x14ac:dyDescent="0.35">
      <c r="A6466" s="9"/>
      <c r="C6466" s="393"/>
      <c r="E6466" s="394"/>
      <c r="F6466" s="394"/>
      <c r="G6466" s="394"/>
      <c r="I6466" s="368">
        <f t="shared" si="306"/>
        <v>0</v>
      </c>
      <c r="J6466" s="365">
        <f t="shared" si="307"/>
        <v>0</v>
      </c>
      <c r="K6466" s="369">
        <f t="shared" si="308"/>
        <v>6</v>
      </c>
      <c r="L6466" s="369">
        <f>+IF((C6466&gt;='Resultats - informe'!$E$16)*(C6466&lt;='Resultats - informe'!$G$16),1,0)</f>
        <v>1</v>
      </c>
      <c r="M6466" s="369" cm="1">
        <f t="array" ref="M6466">+_xlfn.IFS((C6466&gt;='Resultats - informe'!$D$26)*(C6466&lt;='Resultats - informe'!$E$26),0,(C6466&gt;='Resultats - informe'!$D$27)*(C6466&lt;='Resultats - informe'!$E$27),0,(C6466&gt;='Resultats - informe'!$D$28)*(C6466&lt;='Resultats - informe'!$E$28),0,(C6466&gt;='Resultats - informe'!$D$29)*(C6466&lt;='Resultats - informe'!$E$29),0,1,1)</f>
        <v>0</v>
      </c>
      <c r="N6466" s="366">
        <f>+VLOOKUP(D6466,'Resultats - informe'!$Y$18:$AG$42,'Introducció dades consum'!K6466+1,0)</f>
        <v>0</v>
      </c>
      <c r="O6466" s="370" cm="1">
        <f t="array" ref="O6466">+_xlfn.SWITCH(MONTH(C6466),1,1,2,1,3,1,4,2,5,2,6,3,7,3,8,3,9,3,10,2,11,2,12,1,2)</f>
        <v>1</v>
      </c>
      <c r="P6466" s="43"/>
    </row>
    <row r="6467" spans="1:16" ht="18" x14ac:dyDescent="0.35">
      <c r="A6467" s="9"/>
      <c r="C6467" s="393"/>
      <c r="E6467" s="394"/>
      <c r="F6467" s="394"/>
      <c r="G6467" s="394"/>
      <c r="I6467" s="368">
        <f t="shared" si="306"/>
        <v>0</v>
      </c>
      <c r="J6467" s="365">
        <f t="shared" si="307"/>
        <v>0</v>
      </c>
      <c r="K6467" s="369">
        <f t="shared" si="308"/>
        <v>6</v>
      </c>
      <c r="L6467" s="369">
        <f>+IF((C6467&gt;='Resultats - informe'!$E$16)*(C6467&lt;='Resultats - informe'!$G$16),1,0)</f>
        <v>1</v>
      </c>
      <c r="M6467" s="369" cm="1">
        <f t="array" ref="M6467">+_xlfn.IFS((C6467&gt;='Resultats - informe'!$D$26)*(C6467&lt;='Resultats - informe'!$E$26),0,(C6467&gt;='Resultats - informe'!$D$27)*(C6467&lt;='Resultats - informe'!$E$27),0,(C6467&gt;='Resultats - informe'!$D$28)*(C6467&lt;='Resultats - informe'!$E$28),0,(C6467&gt;='Resultats - informe'!$D$29)*(C6467&lt;='Resultats - informe'!$E$29),0,1,1)</f>
        <v>0</v>
      </c>
      <c r="N6467" s="366">
        <f>+VLOOKUP(D6467,'Resultats - informe'!$Y$18:$AG$42,'Introducció dades consum'!K6467+1,0)</f>
        <v>0</v>
      </c>
      <c r="O6467" s="370" cm="1">
        <f t="array" ref="O6467">+_xlfn.SWITCH(MONTH(C6467),1,1,2,1,3,1,4,2,5,2,6,3,7,3,8,3,9,3,10,2,11,2,12,1,2)</f>
        <v>1</v>
      </c>
      <c r="P6467" s="43"/>
    </row>
    <row r="6468" spans="1:16" ht="18" x14ac:dyDescent="0.35">
      <c r="A6468" s="9"/>
      <c r="C6468" s="393"/>
      <c r="E6468" s="394"/>
      <c r="F6468" s="394"/>
      <c r="G6468" s="394"/>
      <c r="I6468" s="368">
        <f t="shared" si="306"/>
        <v>0</v>
      </c>
      <c r="J6468" s="365">
        <f t="shared" si="307"/>
        <v>0</v>
      </c>
      <c r="K6468" s="369">
        <f t="shared" si="308"/>
        <v>6</v>
      </c>
      <c r="L6468" s="369">
        <f>+IF((C6468&gt;='Resultats - informe'!$E$16)*(C6468&lt;='Resultats - informe'!$G$16),1,0)</f>
        <v>1</v>
      </c>
      <c r="M6468" s="369" cm="1">
        <f t="array" ref="M6468">+_xlfn.IFS((C6468&gt;='Resultats - informe'!$D$26)*(C6468&lt;='Resultats - informe'!$E$26),0,(C6468&gt;='Resultats - informe'!$D$27)*(C6468&lt;='Resultats - informe'!$E$27),0,(C6468&gt;='Resultats - informe'!$D$28)*(C6468&lt;='Resultats - informe'!$E$28),0,(C6468&gt;='Resultats - informe'!$D$29)*(C6468&lt;='Resultats - informe'!$E$29),0,1,1)</f>
        <v>0</v>
      </c>
      <c r="N6468" s="366">
        <f>+VLOOKUP(D6468,'Resultats - informe'!$Y$18:$AG$42,'Introducció dades consum'!K6468+1,0)</f>
        <v>0</v>
      </c>
      <c r="O6468" s="370" cm="1">
        <f t="array" ref="O6468">+_xlfn.SWITCH(MONTH(C6468),1,1,2,1,3,1,4,2,5,2,6,3,7,3,8,3,9,3,10,2,11,2,12,1,2)</f>
        <v>1</v>
      </c>
      <c r="P6468" s="43"/>
    </row>
    <row r="6469" spans="1:16" ht="18" x14ac:dyDescent="0.35">
      <c r="A6469" s="9"/>
      <c r="C6469" s="393"/>
      <c r="E6469" s="394"/>
      <c r="F6469" s="394"/>
      <c r="G6469" s="394"/>
      <c r="I6469" s="368">
        <f t="shared" si="306"/>
        <v>0</v>
      </c>
      <c r="J6469" s="365">
        <f t="shared" si="307"/>
        <v>0</v>
      </c>
      <c r="K6469" s="369">
        <f t="shared" si="308"/>
        <v>6</v>
      </c>
      <c r="L6469" s="369">
        <f>+IF((C6469&gt;='Resultats - informe'!$E$16)*(C6469&lt;='Resultats - informe'!$G$16),1,0)</f>
        <v>1</v>
      </c>
      <c r="M6469" s="369" cm="1">
        <f t="array" ref="M6469">+_xlfn.IFS((C6469&gt;='Resultats - informe'!$D$26)*(C6469&lt;='Resultats - informe'!$E$26),0,(C6469&gt;='Resultats - informe'!$D$27)*(C6469&lt;='Resultats - informe'!$E$27),0,(C6469&gt;='Resultats - informe'!$D$28)*(C6469&lt;='Resultats - informe'!$E$28),0,(C6469&gt;='Resultats - informe'!$D$29)*(C6469&lt;='Resultats - informe'!$E$29),0,1,1)</f>
        <v>0</v>
      </c>
      <c r="N6469" s="366">
        <f>+VLOOKUP(D6469,'Resultats - informe'!$Y$18:$AG$42,'Introducció dades consum'!K6469+1,0)</f>
        <v>0</v>
      </c>
      <c r="O6469" s="370" cm="1">
        <f t="array" ref="O6469">+_xlfn.SWITCH(MONTH(C6469),1,1,2,1,3,1,4,2,5,2,6,3,7,3,8,3,9,3,10,2,11,2,12,1,2)</f>
        <v>1</v>
      </c>
      <c r="P6469" s="43"/>
    </row>
    <row r="6470" spans="1:16" ht="18" x14ac:dyDescent="0.35">
      <c r="A6470" s="9"/>
      <c r="C6470" s="393"/>
      <c r="E6470" s="394"/>
      <c r="F6470" s="394"/>
      <c r="G6470" s="394"/>
      <c r="I6470" s="368">
        <f t="shared" si="306"/>
        <v>0</v>
      </c>
      <c r="J6470" s="365">
        <f t="shared" si="307"/>
        <v>0</v>
      </c>
      <c r="K6470" s="369">
        <f t="shared" si="308"/>
        <v>6</v>
      </c>
      <c r="L6470" s="369">
        <f>+IF((C6470&gt;='Resultats - informe'!$E$16)*(C6470&lt;='Resultats - informe'!$G$16),1,0)</f>
        <v>1</v>
      </c>
      <c r="M6470" s="369" cm="1">
        <f t="array" ref="M6470">+_xlfn.IFS((C6470&gt;='Resultats - informe'!$D$26)*(C6470&lt;='Resultats - informe'!$E$26),0,(C6470&gt;='Resultats - informe'!$D$27)*(C6470&lt;='Resultats - informe'!$E$27),0,(C6470&gt;='Resultats - informe'!$D$28)*(C6470&lt;='Resultats - informe'!$E$28),0,(C6470&gt;='Resultats - informe'!$D$29)*(C6470&lt;='Resultats - informe'!$E$29),0,1,1)</f>
        <v>0</v>
      </c>
      <c r="N6470" s="366">
        <f>+VLOOKUP(D6470,'Resultats - informe'!$Y$18:$AG$42,'Introducció dades consum'!K6470+1,0)</f>
        <v>0</v>
      </c>
      <c r="O6470" s="370" cm="1">
        <f t="array" ref="O6470">+_xlfn.SWITCH(MONTH(C6470),1,1,2,1,3,1,4,2,5,2,6,3,7,3,8,3,9,3,10,2,11,2,12,1,2)</f>
        <v>1</v>
      </c>
      <c r="P6470" s="43"/>
    </row>
    <row r="6471" spans="1:16" ht="18" x14ac:dyDescent="0.35">
      <c r="A6471" s="9"/>
      <c r="C6471" s="393"/>
      <c r="E6471" s="394"/>
      <c r="F6471" s="394"/>
      <c r="G6471" s="394"/>
      <c r="I6471" s="368">
        <f t="shared" si="306"/>
        <v>0</v>
      </c>
      <c r="J6471" s="365">
        <f t="shared" si="307"/>
        <v>0</v>
      </c>
      <c r="K6471" s="369">
        <f t="shared" si="308"/>
        <v>6</v>
      </c>
      <c r="L6471" s="369">
        <f>+IF((C6471&gt;='Resultats - informe'!$E$16)*(C6471&lt;='Resultats - informe'!$G$16),1,0)</f>
        <v>1</v>
      </c>
      <c r="M6471" s="369" cm="1">
        <f t="array" ref="M6471">+_xlfn.IFS((C6471&gt;='Resultats - informe'!$D$26)*(C6471&lt;='Resultats - informe'!$E$26),0,(C6471&gt;='Resultats - informe'!$D$27)*(C6471&lt;='Resultats - informe'!$E$27),0,(C6471&gt;='Resultats - informe'!$D$28)*(C6471&lt;='Resultats - informe'!$E$28),0,(C6471&gt;='Resultats - informe'!$D$29)*(C6471&lt;='Resultats - informe'!$E$29),0,1,1)</f>
        <v>0</v>
      </c>
      <c r="N6471" s="366">
        <f>+VLOOKUP(D6471,'Resultats - informe'!$Y$18:$AG$42,'Introducció dades consum'!K6471+1,0)</f>
        <v>0</v>
      </c>
      <c r="O6471" s="370" cm="1">
        <f t="array" ref="O6471">+_xlfn.SWITCH(MONTH(C6471),1,1,2,1,3,1,4,2,5,2,6,3,7,3,8,3,9,3,10,2,11,2,12,1,2)</f>
        <v>1</v>
      </c>
      <c r="P6471" s="43"/>
    </row>
    <row r="6472" spans="1:16" ht="18" x14ac:dyDescent="0.35">
      <c r="A6472" s="9"/>
      <c r="C6472" s="393"/>
      <c r="E6472" s="394"/>
      <c r="F6472" s="394"/>
      <c r="G6472" s="394"/>
      <c r="I6472" s="368">
        <f t="shared" si="306"/>
        <v>0</v>
      </c>
      <c r="J6472" s="365">
        <f t="shared" si="307"/>
        <v>0</v>
      </c>
      <c r="K6472" s="369">
        <f t="shared" si="308"/>
        <v>6</v>
      </c>
      <c r="L6472" s="369">
        <f>+IF((C6472&gt;='Resultats - informe'!$E$16)*(C6472&lt;='Resultats - informe'!$G$16),1,0)</f>
        <v>1</v>
      </c>
      <c r="M6472" s="369" cm="1">
        <f t="array" ref="M6472">+_xlfn.IFS((C6472&gt;='Resultats - informe'!$D$26)*(C6472&lt;='Resultats - informe'!$E$26),0,(C6472&gt;='Resultats - informe'!$D$27)*(C6472&lt;='Resultats - informe'!$E$27),0,(C6472&gt;='Resultats - informe'!$D$28)*(C6472&lt;='Resultats - informe'!$E$28),0,(C6472&gt;='Resultats - informe'!$D$29)*(C6472&lt;='Resultats - informe'!$E$29),0,1,1)</f>
        <v>0</v>
      </c>
      <c r="N6472" s="366">
        <f>+VLOOKUP(D6472,'Resultats - informe'!$Y$18:$AG$42,'Introducció dades consum'!K6472+1,0)</f>
        <v>0</v>
      </c>
      <c r="O6472" s="370" cm="1">
        <f t="array" ref="O6472">+_xlfn.SWITCH(MONTH(C6472),1,1,2,1,3,1,4,2,5,2,6,3,7,3,8,3,9,3,10,2,11,2,12,1,2)</f>
        <v>1</v>
      </c>
      <c r="P6472" s="43"/>
    </row>
    <row r="6473" spans="1:16" ht="18" x14ac:dyDescent="0.35">
      <c r="A6473" s="9"/>
      <c r="C6473" s="393"/>
      <c r="E6473" s="394"/>
      <c r="F6473" s="394"/>
      <c r="G6473" s="394"/>
      <c r="I6473" s="368">
        <f t="shared" si="306"/>
        <v>0</v>
      </c>
      <c r="J6473" s="365">
        <f t="shared" si="307"/>
        <v>0</v>
      </c>
      <c r="K6473" s="369">
        <f t="shared" si="308"/>
        <v>6</v>
      </c>
      <c r="L6473" s="369">
        <f>+IF((C6473&gt;='Resultats - informe'!$E$16)*(C6473&lt;='Resultats - informe'!$G$16),1,0)</f>
        <v>1</v>
      </c>
      <c r="M6473" s="369" cm="1">
        <f t="array" ref="M6473">+_xlfn.IFS((C6473&gt;='Resultats - informe'!$D$26)*(C6473&lt;='Resultats - informe'!$E$26),0,(C6473&gt;='Resultats - informe'!$D$27)*(C6473&lt;='Resultats - informe'!$E$27),0,(C6473&gt;='Resultats - informe'!$D$28)*(C6473&lt;='Resultats - informe'!$E$28),0,(C6473&gt;='Resultats - informe'!$D$29)*(C6473&lt;='Resultats - informe'!$E$29),0,1,1)</f>
        <v>0</v>
      </c>
      <c r="N6473" s="366">
        <f>+VLOOKUP(D6473,'Resultats - informe'!$Y$18:$AG$42,'Introducció dades consum'!K6473+1,0)</f>
        <v>0</v>
      </c>
      <c r="O6473" s="370" cm="1">
        <f t="array" ref="O6473">+_xlfn.SWITCH(MONTH(C6473),1,1,2,1,3,1,4,2,5,2,6,3,7,3,8,3,9,3,10,2,11,2,12,1,2)</f>
        <v>1</v>
      </c>
      <c r="P6473" s="43"/>
    </row>
    <row r="6474" spans="1:16" ht="18" x14ac:dyDescent="0.35">
      <c r="A6474" s="9"/>
      <c r="C6474" s="393"/>
      <c r="E6474" s="394"/>
      <c r="F6474" s="394"/>
      <c r="G6474" s="394"/>
      <c r="I6474" s="368">
        <f t="shared" si="306"/>
        <v>0</v>
      </c>
      <c r="J6474" s="365">
        <f t="shared" si="307"/>
        <v>0</v>
      </c>
      <c r="K6474" s="369">
        <f t="shared" si="308"/>
        <v>6</v>
      </c>
      <c r="L6474" s="369">
        <f>+IF((C6474&gt;='Resultats - informe'!$E$16)*(C6474&lt;='Resultats - informe'!$G$16),1,0)</f>
        <v>1</v>
      </c>
      <c r="M6474" s="369" cm="1">
        <f t="array" ref="M6474">+_xlfn.IFS((C6474&gt;='Resultats - informe'!$D$26)*(C6474&lt;='Resultats - informe'!$E$26),0,(C6474&gt;='Resultats - informe'!$D$27)*(C6474&lt;='Resultats - informe'!$E$27),0,(C6474&gt;='Resultats - informe'!$D$28)*(C6474&lt;='Resultats - informe'!$E$28),0,(C6474&gt;='Resultats - informe'!$D$29)*(C6474&lt;='Resultats - informe'!$E$29),0,1,1)</f>
        <v>0</v>
      </c>
      <c r="N6474" s="366">
        <f>+VLOOKUP(D6474,'Resultats - informe'!$Y$18:$AG$42,'Introducció dades consum'!K6474+1,0)</f>
        <v>0</v>
      </c>
      <c r="O6474" s="370" cm="1">
        <f t="array" ref="O6474">+_xlfn.SWITCH(MONTH(C6474),1,1,2,1,3,1,4,2,5,2,6,3,7,3,8,3,9,3,10,2,11,2,12,1,2)</f>
        <v>1</v>
      </c>
      <c r="P6474" s="43"/>
    </row>
    <row r="6475" spans="1:16" ht="18" x14ac:dyDescent="0.35">
      <c r="A6475" s="9"/>
      <c r="C6475" s="393"/>
      <c r="E6475" s="394"/>
      <c r="F6475" s="394"/>
      <c r="G6475" s="394"/>
      <c r="I6475" s="368">
        <f t="shared" si="306"/>
        <v>0</v>
      </c>
      <c r="J6475" s="365">
        <f t="shared" si="307"/>
        <v>0</v>
      </c>
      <c r="K6475" s="369">
        <f t="shared" si="308"/>
        <v>6</v>
      </c>
      <c r="L6475" s="369">
        <f>+IF((C6475&gt;='Resultats - informe'!$E$16)*(C6475&lt;='Resultats - informe'!$G$16),1,0)</f>
        <v>1</v>
      </c>
      <c r="M6475" s="369" cm="1">
        <f t="array" ref="M6475">+_xlfn.IFS((C6475&gt;='Resultats - informe'!$D$26)*(C6475&lt;='Resultats - informe'!$E$26),0,(C6475&gt;='Resultats - informe'!$D$27)*(C6475&lt;='Resultats - informe'!$E$27),0,(C6475&gt;='Resultats - informe'!$D$28)*(C6475&lt;='Resultats - informe'!$E$28),0,(C6475&gt;='Resultats - informe'!$D$29)*(C6475&lt;='Resultats - informe'!$E$29),0,1,1)</f>
        <v>0</v>
      </c>
      <c r="N6475" s="366">
        <f>+VLOOKUP(D6475,'Resultats - informe'!$Y$18:$AG$42,'Introducció dades consum'!K6475+1,0)</f>
        <v>0</v>
      </c>
      <c r="O6475" s="370" cm="1">
        <f t="array" ref="O6475">+_xlfn.SWITCH(MONTH(C6475),1,1,2,1,3,1,4,2,5,2,6,3,7,3,8,3,9,3,10,2,11,2,12,1,2)</f>
        <v>1</v>
      </c>
      <c r="P6475" s="43"/>
    </row>
    <row r="6476" spans="1:16" ht="18" x14ac:dyDescent="0.35">
      <c r="A6476" s="9"/>
      <c r="C6476" s="393"/>
      <c r="E6476" s="394"/>
      <c r="F6476" s="394"/>
      <c r="G6476" s="394"/>
      <c r="I6476" s="368">
        <f t="shared" si="306"/>
        <v>0</v>
      </c>
      <c r="J6476" s="365">
        <f t="shared" si="307"/>
        <v>0</v>
      </c>
      <c r="K6476" s="369">
        <f t="shared" si="308"/>
        <v>6</v>
      </c>
      <c r="L6476" s="369">
        <f>+IF((C6476&gt;='Resultats - informe'!$E$16)*(C6476&lt;='Resultats - informe'!$G$16),1,0)</f>
        <v>1</v>
      </c>
      <c r="M6476" s="369" cm="1">
        <f t="array" ref="M6476">+_xlfn.IFS((C6476&gt;='Resultats - informe'!$D$26)*(C6476&lt;='Resultats - informe'!$E$26),0,(C6476&gt;='Resultats - informe'!$D$27)*(C6476&lt;='Resultats - informe'!$E$27),0,(C6476&gt;='Resultats - informe'!$D$28)*(C6476&lt;='Resultats - informe'!$E$28),0,(C6476&gt;='Resultats - informe'!$D$29)*(C6476&lt;='Resultats - informe'!$E$29),0,1,1)</f>
        <v>0</v>
      </c>
      <c r="N6476" s="366">
        <f>+VLOOKUP(D6476,'Resultats - informe'!$Y$18:$AG$42,'Introducció dades consum'!K6476+1,0)</f>
        <v>0</v>
      </c>
      <c r="O6476" s="370" cm="1">
        <f t="array" ref="O6476">+_xlfn.SWITCH(MONTH(C6476),1,1,2,1,3,1,4,2,5,2,6,3,7,3,8,3,9,3,10,2,11,2,12,1,2)</f>
        <v>1</v>
      </c>
      <c r="P6476" s="43"/>
    </row>
    <row r="6477" spans="1:16" ht="18" x14ac:dyDescent="0.35">
      <c r="A6477" s="9"/>
      <c r="C6477" s="393"/>
      <c r="E6477" s="394"/>
      <c r="F6477" s="394"/>
      <c r="G6477" s="394"/>
      <c r="I6477" s="368">
        <f t="shared" si="306"/>
        <v>0</v>
      </c>
      <c r="J6477" s="365">
        <f t="shared" si="307"/>
        <v>0</v>
      </c>
      <c r="K6477" s="369">
        <f t="shared" si="308"/>
        <v>6</v>
      </c>
      <c r="L6477" s="369">
        <f>+IF((C6477&gt;='Resultats - informe'!$E$16)*(C6477&lt;='Resultats - informe'!$G$16),1,0)</f>
        <v>1</v>
      </c>
      <c r="M6477" s="369" cm="1">
        <f t="array" ref="M6477">+_xlfn.IFS((C6477&gt;='Resultats - informe'!$D$26)*(C6477&lt;='Resultats - informe'!$E$26),0,(C6477&gt;='Resultats - informe'!$D$27)*(C6477&lt;='Resultats - informe'!$E$27),0,(C6477&gt;='Resultats - informe'!$D$28)*(C6477&lt;='Resultats - informe'!$E$28),0,(C6477&gt;='Resultats - informe'!$D$29)*(C6477&lt;='Resultats - informe'!$E$29),0,1,1)</f>
        <v>0</v>
      </c>
      <c r="N6477" s="366">
        <f>+VLOOKUP(D6477,'Resultats - informe'!$Y$18:$AG$42,'Introducció dades consum'!K6477+1,0)</f>
        <v>0</v>
      </c>
      <c r="O6477" s="370" cm="1">
        <f t="array" ref="O6477">+_xlfn.SWITCH(MONTH(C6477),1,1,2,1,3,1,4,2,5,2,6,3,7,3,8,3,9,3,10,2,11,2,12,1,2)</f>
        <v>1</v>
      </c>
      <c r="P6477" s="43"/>
    </row>
    <row r="6478" spans="1:16" ht="18" x14ac:dyDescent="0.35">
      <c r="A6478" s="9"/>
      <c r="C6478" s="393"/>
      <c r="E6478" s="394"/>
      <c r="F6478" s="394"/>
      <c r="G6478" s="394"/>
      <c r="I6478" s="368">
        <f t="shared" si="306"/>
        <v>0</v>
      </c>
      <c r="J6478" s="365">
        <f t="shared" si="307"/>
        <v>0</v>
      </c>
      <c r="K6478" s="369">
        <f t="shared" si="308"/>
        <v>6</v>
      </c>
      <c r="L6478" s="369">
        <f>+IF((C6478&gt;='Resultats - informe'!$E$16)*(C6478&lt;='Resultats - informe'!$G$16),1,0)</f>
        <v>1</v>
      </c>
      <c r="M6478" s="369" cm="1">
        <f t="array" ref="M6478">+_xlfn.IFS((C6478&gt;='Resultats - informe'!$D$26)*(C6478&lt;='Resultats - informe'!$E$26),0,(C6478&gt;='Resultats - informe'!$D$27)*(C6478&lt;='Resultats - informe'!$E$27),0,(C6478&gt;='Resultats - informe'!$D$28)*(C6478&lt;='Resultats - informe'!$E$28),0,(C6478&gt;='Resultats - informe'!$D$29)*(C6478&lt;='Resultats - informe'!$E$29),0,1,1)</f>
        <v>0</v>
      </c>
      <c r="N6478" s="366">
        <f>+VLOOKUP(D6478,'Resultats - informe'!$Y$18:$AG$42,'Introducció dades consum'!K6478+1,0)</f>
        <v>0</v>
      </c>
      <c r="O6478" s="370" cm="1">
        <f t="array" ref="O6478">+_xlfn.SWITCH(MONTH(C6478),1,1,2,1,3,1,4,2,5,2,6,3,7,3,8,3,9,3,10,2,11,2,12,1,2)</f>
        <v>1</v>
      </c>
      <c r="P6478" s="43"/>
    </row>
    <row r="6479" spans="1:16" ht="18" x14ac:dyDescent="0.35">
      <c r="A6479" s="9"/>
      <c r="C6479" s="393"/>
      <c r="E6479" s="394"/>
      <c r="F6479" s="394"/>
      <c r="G6479" s="394"/>
      <c r="I6479" s="368">
        <f t="shared" si="306"/>
        <v>0</v>
      </c>
      <c r="J6479" s="365">
        <f t="shared" si="307"/>
        <v>0</v>
      </c>
      <c r="K6479" s="369">
        <f t="shared" si="308"/>
        <v>6</v>
      </c>
      <c r="L6479" s="369">
        <f>+IF((C6479&gt;='Resultats - informe'!$E$16)*(C6479&lt;='Resultats - informe'!$G$16),1,0)</f>
        <v>1</v>
      </c>
      <c r="M6479" s="369" cm="1">
        <f t="array" ref="M6479">+_xlfn.IFS((C6479&gt;='Resultats - informe'!$D$26)*(C6479&lt;='Resultats - informe'!$E$26),0,(C6479&gt;='Resultats - informe'!$D$27)*(C6479&lt;='Resultats - informe'!$E$27),0,(C6479&gt;='Resultats - informe'!$D$28)*(C6479&lt;='Resultats - informe'!$E$28),0,(C6479&gt;='Resultats - informe'!$D$29)*(C6479&lt;='Resultats - informe'!$E$29),0,1,1)</f>
        <v>0</v>
      </c>
      <c r="N6479" s="366">
        <f>+VLOOKUP(D6479,'Resultats - informe'!$Y$18:$AG$42,'Introducció dades consum'!K6479+1,0)</f>
        <v>0</v>
      </c>
      <c r="O6479" s="370" cm="1">
        <f t="array" ref="O6479">+_xlfn.SWITCH(MONTH(C6479),1,1,2,1,3,1,4,2,5,2,6,3,7,3,8,3,9,3,10,2,11,2,12,1,2)</f>
        <v>1</v>
      </c>
      <c r="P6479" s="43"/>
    </row>
    <row r="6480" spans="1:16" ht="18" x14ac:dyDescent="0.35">
      <c r="A6480" s="9"/>
      <c r="C6480" s="393"/>
      <c r="E6480" s="394"/>
      <c r="F6480" s="394"/>
      <c r="G6480" s="394"/>
      <c r="I6480" s="368">
        <f t="shared" si="306"/>
        <v>0</v>
      </c>
      <c r="J6480" s="365">
        <f t="shared" si="307"/>
        <v>0</v>
      </c>
      <c r="K6480" s="369">
        <f t="shared" si="308"/>
        <v>6</v>
      </c>
      <c r="L6480" s="369">
        <f>+IF((C6480&gt;='Resultats - informe'!$E$16)*(C6480&lt;='Resultats - informe'!$G$16),1,0)</f>
        <v>1</v>
      </c>
      <c r="M6480" s="369" cm="1">
        <f t="array" ref="M6480">+_xlfn.IFS((C6480&gt;='Resultats - informe'!$D$26)*(C6480&lt;='Resultats - informe'!$E$26),0,(C6480&gt;='Resultats - informe'!$D$27)*(C6480&lt;='Resultats - informe'!$E$27),0,(C6480&gt;='Resultats - informe'!$D$28)*(C6480&lt;='Resultats - informe'!$E$28),0,(C6480&gt;='Resultats - informe'!$D$29)*(C6480&lt;='Resultats - informe'!$E$29),0,1,1)</f>
        <v>0</v>
      </c>
      <c r="N6480" s="366">
        <f>+VLOOKUP(D6480,'Resultats - informe'!$Y$18:$AG$42,'Introducció dades consum'!K6480+1,0)</f>
        <v>0</v>
      </c>
      <c r="O6480" s="370" cm="1">
        <f t="array" ref="O6480">+_xlfn.SWITCH(MONTH(C6480),1,1,2,1,3,1,4,2,5,2,6,3,7,3,8,3,9,3,10,2,11,2,12,1,2)</f>
        <v>1</v>
      </c>
      <c r="P6480" s="43"/>
    </row>
    <row r="6481" spans="1:16" ht="18" x14ac:dyDescent="0.35">
      <c r="A6481" s="9"/>
      <c r="C6481" s="393"/>
      <c r="E6481" s="394"/>
      <c r="F6481" s="394"/>
      <c r="G6481" s="394"/>
      <c r="I6481" s="368">
        <f t="shared" si="306"/>
        <v>0</v>
      </c>
      <c r="J6481" s="365">
        <f t="shared" si="307"/>
        <v>0</v>
      </c>
      <c r="K6481" s="369">
        <f t="shared" si="308"/>
        <v>6</v>
      </c>
      <c r="L6481" s="369">
        <f>+IF((C6481&gt;='Resultats - informe'!$E$16)*(C6481&lt;='Resultats - informe'!$G$16),1,0)</f>
        <v>1</v>
      </c>
      <c r="M6481" s="369" cm="1">
        <f t="array" ref="M6481">+_xlfn.IFS((C6481&gt;='Resultats - informe'!$D$26)*(C6481&lt;='Resultats - informe'!$E$26),0,(C6481&gt;='Resultats - informe'!$D$27)*(C6481&lt;='Resultats - informe'!$E$27),0,(C6481&gt;='Resultats - informe'!$D$28)*(C6481&lt;='Resultats - informe'!$E$28),0,(C6481&gt;='Resultats - informe'!$D$29)*(C6481&lt;='Resultats - informe'!$E$29),0,1,1)</f>
        <v>0</v>
      </c>
      <c r="N6481" s="366">
        <f>+VLOOKUP(D6481,'Resultats - informe'!$Y$18:$AG$42,'Introducció dades consum'!K6481+1,0)</f>
        <v>0</v>
      </c>
      <c r="O6481" s="370" cm="1">
        <f t="array" ref="O6481">+_xlfn.SWITCH(MONTH(C6481),1,1,2,1,3,1,4,2,5,2,6,3,7,3,8,3,9,3,10,2,11,2,12,1,2)</f>
        <v>1</v>
      </c>
      <c r="P6481" s="43"/>
    </row>
    <row r="6482" spans="1:16" ht="18" x14ac:dyDescent="0.35">
      <c r="A6482" s="9"/>
      <c r="C6482" s="393"/>
      <c r="E6482" s="394"/>
      <c r="F6482" s="394"/>
      <c r="G6482" s="394"/>
      <c r="I6482" s="368">
        <f t="shared" ref="I6482:I6545" si="309">+E6482+G6482</f>
        <v>0</v>
      </c>
      <c r="J6482" s="365">
        <f t="shared" ref="J6482:J6545" si="310">+C6482</f>
        <v>0</v>
      </c>
      <c r="K6482" s="369">
        <f t="shared" ref="K6482:K6545" si="311">+WEEKDAY(C6482,2)</f>
        <v>6</v>
      </c>
      <c r="L6482" s="369">
        <f>+IF((C6482&gt;='Resultats - informe'!$E$16)*(C6482&lt;='Resultats - informe'!$G$16),1,0)</f>
        <v>1</v>
      </c>
      <c r="M6482" s="369" cm="1">
        <f t="array" ref="M6482">+_xlfn.IFS((C6482&gt;='Resultats - informe'!$D$26)*(C6482&lt;='Resultats - informe'!$E$26),0,(C6482&gt;='Resultats - informe'!$D$27)*(C6482&lt;='Resultats - informe'!$E$27),0,(C6482&gt;='Resultats - informe'!$D$28)*(C6482&lt;='Resultats - informe'!$E$28),0,(C6482&gt;='Resultats - informe'!$D$29)*(C6482&lt;='Resultats - informe'!$E$29),0,1,1)</f>
        <v>0</v>
      </c>
      <c r="N6482" s="366">
        <f>+VLOOKUP(D6482,'Resultats - informe'!$Y$18:$AG$42,'Introducció dades consum'!K6482+1,0)</f>
        <v>0</v>
      </c>
      <c r="O6482" s="370" cm="1">
        <f t="array" ref="O6482">+_xlfn.SWITCH(MONTH(C6482),1,1,2,1,3,1,4,2,5,2,6,3,7,3,8,3,9,3,10,2,11,2,12,1,2)</f>
        <v>1</v>
      </c>
      <c r="P6482" s="43"/>
    </row>
    <row r="6483" spans="1:16" ht="18" x14ac:dyDescent="0.35">
      <c r="A6483" s="9"/>
      <c r="C6483" s="393"/>
      <c r="E6483" s="394"/>
      <c r="F6483" s="394"/>
      <c r="G6483" s="394"/>
      <c r="I6483" s="368">
        <f t="shared" si="309"/>
        <v>0</v>
      </c>
      <c r="J6483" s="365">
        <f t="shared" si="310"/>
        <v>0</v>
      </c>
      <c r="K6483" s="369">
        <f t="shared" si="311"/>
        <v>6</v>
      </c>
      <c r="L6483" s="369">
        <f>+IF((C6483&gt;='Resultats - informe'!$E$16)*(C6483&lt;='Resultats - informe'!$G$16),1,0)</f>
        <v>1</v>
      </c>
      <c r="M6483" s="369" cm="1">
        <f t="array" ref="M6483">+_xlfn.IFS((C6483&gt;='Resultats - informe'!$D$26)*(C6483&lt;='Resultats - informe'!$E$26),0,(C6483&gt;='Resultats - informe'!$D$27)*(C6483&lt;='Resultats - informe'!$E$27),0,(C6483&gt;='Resultats - informe'!$D$28)*(C6483&lt;='Resultats - informe'!$E$28),0,(C6483&gt;='Resultats - informe'!$D$29)*(C6483&lt;='Resultats - informe'!$E$29),0,1,1)</f>
        <v>0</v>
      </c>
      <c r="N6483" s="366">
        <f>+VLOOKUP(D6483,'Resultats - informe'!$Y$18:$AG$42,'Introducció dades consum'!K6483+1,0)</f>
        <v>0</v>
      </c>
      <c r="O6483" s="370" cm="1">
        <f t="array" ref="O6483">+_xlfn.SWITCH(MONTH(C6483),1,1,2,1,3,1,4,2,5,2,6,3,7,3,8,3,9,3,10,2,11,2,12,1,2)</f>
        <v>1</v>
      </c>
      <c r="P6483" s="43"/>
    </row>
    <row r="6484" spans="1:16" ht="18" x14ac:dyDescent="0.35">
      <c r="A6484" s="9"/>
      <c r="C6484" s="393"/>
      <c r="E6484" s="394"/>
      <c r="F6484" s="394"/>
      <c r="G6484" s="394"/>
      <c r="I6484" s="368">
        <f t="shared" si="309"/>
        <v>0</v>
      </c>
      <c r="J6484" s="365">
        <f t="shared" si="310"/>
        <v>0</v>
      </c>
      <c r="K6484" s="369">
        <f t="shared" si="311"/>
        <v>6</v>
      </c>
      <c r="L6484" s="369">
        <f>+IF((C6484&gt;='Resultats - informe'!$E$16)*(C6484&lt;='Resultats - informe'!$G$16),1,0)</f>
        <v>1</v>
      </c>
      <c r="M6484" s="369" cm="1">
        <f t="array" ref="M6484">+_xlfn.IFS((C6484&gt;='Resultats - informe'!$D$26)*(C6484&lt;='Resultats - informe'!$E$26),0,(C6484&gt;='Resultats - informe'!$D$27)*(C6484&lt;='Resultats - informe'!$E$27),0,(C6484&gt;='Resultats - informe'!$D$28)*(C6484&lt;='Resultats - informe'!$E$28),0,(C6484&gt;='Resultats - informe'!$D$29)*(C6484&lt;='Resultats - informe'!$E$29),0,1,1)</f>
        <v>0</v>
      </c>
      <c r="N6484" s="366">
        <f>+VLOOKUP(D6484,'Resultats - informe'!$Y$18:$AG$42,'Introducció dades consum'!K6484+1,0)</f>
        <v>0</v>
      </c>
      <c r="O6484" s="370" cm="1">
        <f t="array" ref="O6484">+_xlfn.SWITCH(MONTH(C6484),1,1,2,1,3,1,4,2,5,2,6,3,7,3,8,3,9,3,10,2,11,2,12,1,2)</f>
        <v>1</v>
      </c>
      <c r="P6484" s="43"/>
    </row>
    <row r="6485" spans="1:16" ht="18" x14ac:dyDescent="0.35">
      <c r="A6485" s="9"/>
      <c r="C6485" s="393"/>
      <c r="E6485" s="394"/>
      <c r="F6485" s="394"/>
      <c r="G6485" s="394"/>
      <c r="I6485" s="368">
        <f t="shared" si="309"/>
        <v>0</v>
      </c>
      <c r="J6485" s="365">
        <f t="shared" si="310"/>
        <v>0</v>
      </c>
      <c r="K6485" s="369">
        <f t="shared" si="311"/>
        <v>6</v>
      </c>
      <c r="L6485" s="369">
        <f>+IF((C6485&gt;='Resultats - informe'!$E$16)*(C6485&lt;='Resultats - informe'!$G$16),1,0)</f>
        <v>1</v>
      </c>
      <c r="M6485" s="369" cm="1">
        <f t="array" ref="M6485">+_xlfn.IFS((C6485&gt;='Resultats - informe'!$D$26)*(C6485&lt;='Resultats - informe'!$E$26),0,(C6485&gt;='Resultats - informe'!$D$27)*(C6485&lt;='Resultats - informe'!$E$27),0,(C6485&gt;='Resultats - informe'!$D$28)*(C6485&lt;='Resultats - informe'!$E$28),0,(C6485&gt;='Resultats - informe'!$D$29)*(C6485&lt;='Resultats - informe'!$E$29),0,1,1)</f>
        <v>0</v>
      </c>
      <c r="N6485" s="366">
        <f>+VLOOKUP(D6485,'Resultats - informe'!$Y$18:$AG$42,'Introducció dades consum'!K6485+1,0)</f>
        <v>0</v>
      </c>
      <c r="O6485" s="370" cm="1">
        <f t="array" ref="O6485">+_xlfn.SWITCH(MONTH(C6485),1,1,2,1,3,1,4,2,5,2,6,3,7,3,8,3,9,3,10,2,11,2,12,1,2)</f>
        <v>1</v>
      </c>
      <c r="P6485" s="43"/>
    </row>
    <row r="6486" spans="1:16" ht="18" x14ac:dyDescent="0.35">
      <c r="A6486" s="9"/>
      <c r="C6486" s="393"/>
      <c r="E6486" s="394"/>
      <c r="F6486" s="394"/>
      <c r="G6486" s="394"/>
      <c r="I6486" s="368">
        <f t="shared" si="309"/>
        <v>0</v>
      </c>
      <c r="J6486" s="365">
        <f t="shared" si="310"/>
        <v>0</v>
      </c>
      <c r="K6486" s="369">
        <f t="shared" si="311"/>
        <v>6</v>
      </c>
      <c r="L6486" s="369">
        <f>+IF((C6486&gt;='Resultats - informe'!$E$16)*(C6486&lt;='Resultats - informe'!$G$16),1,0)</f>
        <v>1</v>
      </c>
      <c r="M6486" s="369" cm="1">
        <f t="array" ref="M6486">+_xlfn.IFS((C6486&gt;='Resultats - informe'!$D$26)*(C6486&lt;='Resultats - informe'!$E$26),0,(C6486&gt;='Resultats - informe'!$D$27)*(C6486&lt;='Resultats - informe'!$E$27),0,(C6486&gt;='Resultats - informe'!$D$28)*(C6486&lt;='Resultats - informe'!$E$28),0,(C6486&gt;='Resultats - informe'!$D$29)*(C6486&lt;='Resultats - informe'!$E$29),0,1,1)</f>
        <v>0</v>
      </c>
      <c r="N6486" s="366">
        <f>+VLOOKUP(D6486,'Resultats - informe'!$Y$18:$AG$42,'Introducció dades consum'!K6486+1,0)</f>
        <v>0</v>
      </c>
      <c r="O6486" s="370" cm="1">
        <f t="array" ref="O6486">+_xlfn.SWITCH(MONTH(C6486),1,1,2,1,3,1,4,2,5,2,6,3,7,3,8,3,9,3,10,2,11,2,12,1,2)</f>
        <v>1</v>
      </c>
      <c r="P6486" s="43"/>
    </row>
    <row r="6487" spans="1:16" ht="18" x14ac:dyDescent="0.35">
      <c r="A6487" s="9"/>
      <c r="C6487" s="393"/>
      <c r="E6487" s="394"/>
      <c r="F6487" s="394"/>
      <c r="G6487" s="394"/>
      <c r="I6487" s="368">
        <f t="shared" si="309"/>
        <v>0</v>
      </c>
      <c r="J6487" s="365">
        <f t="shared" si="310"/>
        <v>0</v>
      </c>
      <c r="K6487" s="369">
        <f t="shared" si="311"/>
        <v>6</v>
      </c>
      <c r="L6487" s="369">
        <f>+IF((C6487&gt;='Resultats - informe'!$E$16)*(C6487&lt;='Resultats - informe'!$G$16),1,0)</f>
        <v>1</v>
      </c>
      <c r="M6487" s="369" cm="1">
        <f t="array" ref="M6487">+_xlfn.IFS((C6487&gt;='Resultats - informe'!$D$26)*(C6487&lt;='Resultats - informe'!$E$26),0,(C6487&gt;='Resultats - informe'!$D$27)*(C6487&lt;='Resultats - informe'!$E$27),0,(C6487&gt;='Resultats - informe'!$D$28)*(C6487&lt;='Resultats - informe'!$E$28),0,(C6487&gt;='Resultats - informe'!$D$29)*(C6487&lt;='Resultats - informe'!$E$29),0,1,1)</f>
        <v>0</v>
      </c>
      <c r="N6487" s="366">
        <f>+VLOOKUP(D6487,'Resultats - informe'!$Y$18:$AG$42,'Introducció dades consum'!K6487+1,0)</f>
        <v>0</v>
      </c>
      <c r="O6487" s="370" cm="1">
        <f t="array" ref="O6487">+_xlfn.SWITCH(MONTH(C6487),1,1,2,1,3,1,4,2,5,2,6,3,7,3,8,3,9,3,10,2,11,2,12,1,2)</f>
        <v>1</v>
      </c>
      <c r="P6487" s="43"/>
    </row>
    <row r="6488" spans="1:16" ht="18" x14ac:dyDescent="0.35">
      <c r="A6488" s="9"/>
      <c r="C6488" s="393"/>
      <c r="E6488" s="394"/>
      <c r="F6488" s="394"/>
      <c r="G6488" s="394"/>
      <c r="I6488" s="368">
        <f t="shared" si="309"/>
        <v>0</v>
      </c>
      <c r="J6488" s="365">
        <f t="shared" si="310"/>
        <v>0</v>
      </c>
      <c r="K6488" s="369">
        <f t="shared" si="311"/>
        <v>6</v>
      </c>
      <c r="L6488" s="369">
        <f>+IF((C6488&gt;='Resultats - informe'!$E$16)*(C6488&lt;='Resultats - informe'!$G$16),1,0)</f>
        <v>1</v>
      </c>
      <c r="M6488" s="369" cm="1">
        <f t="array" ref="M6488">+_xlfn.IFS((C6488&gt;='Resultats - informe'!$D$26)*(C6488&lt;='Resultats - informe'!$E$26),0,(C6488&gt;='Resultats - informe'!$D$27)*(C6488&lt;='Resultats - informe'!$E$27),0,(C6488&gt;='Resultats - informe'!$D$28)*(C6488&lt;='Resultats - informe'!$E$28),0,(C6488&gt;='Resultats - informe'!$D$29)*(C6488&lt;='Resultats - informe'!$E$29),0,1,1)</f>
        <v>0</v>
      </c>
      <c r="N6488" s="366">
        <f>+VLOOKUP(D6488,'Resultats - informe'!$Y$18:$AG$42,'Introducció dades consum'!K6488+1,0)</f>
        <v>0</v>
      </c>
      <c r="O6488" s="370" cm="1">
        <f t="array" ref="O6488">+_xlfn.SWITCH(MONTH(C6488),1,1,2,1,3,1,4,2,5,2,6,3,7,3,8,3,9,3,10,2,11,2,12,1,2)</f>
        <v>1</v>
      </c>
      <c r="P6488" s="43"/>
    </row>
    <row r="6489" spans="1:16" ht="18" x14ac:dyDescent="0.35">
      <c r="A6489" s="9"/>
      <c r="C6489" s="393"/>
      <c r="E6489" s="394"/>
      <c r="F6489" s="394"/>
      <c r="G6489" s="394"/>
      <c r="I6489" s="368">
        <f t="shared" si="309"/>
        <v>0</v>
      </c>
      <c r="J6489" s="365">
        <f t="shared" si="310"/>
        <v>0</v>
      </c>
      <c r="K6489" s="369">
        <f t="shared" si="311"/>
        <v>6</v>
      </c>
      <c r="L6489" s="369">
        <f>+IF((C6489&gt;='Resultats - informe'!$E$16)*(C6489&lt;='Resultats - informe'!$G$16),1,0)</f>
        <v>1</v>
      </c>
      <c r="M6489" s="369" cm="1">
        <f t="array" ref="M6489">+_xlfn.IFS((C6489&gt;='Resultats - informe'!$D$26)*(C6489&lt;='Resultats - informe'!$E$26),0,(C6489&gt;='Resultats - informe'!$D$27)*(C6489&lt;='Resultats - informe'!$E$27),0,(C6489&gt;='Resultats - informe'!$D$28)*(C6489&lt;='Resultats - informe'!$E$28),0,(C6489&gt;='Resultats - informe'!$D$29)*(C6489&lt;='Resultats - informe'!$E$29),0,1,1)</f>
        <v>0</v>
      </c>
      <c r="N6489" s="366">
        <f>+VLOOKUP(D6489,'Resultats - informe'!$Y$18:$AG$42,'Introducció dades consum'!K6489+1,0)</f>
        <v>0</v>
      </c>
      <c r="O6489" s="370" cm="1">
        <f t="array" ref="O6489">+_xlfn.SWITCH(MONTH(C6489),1,1,2,1,3,1,4,2,5,2,6,3,7,3,8,3,9,3,10,2,11,2,12,1,2)</f>
        <v>1</v>
      </c>
      <c r="P6489" s="43"/>
    </row>
    <row r="6490" spans="1:16" ht="18" x14ac:dyDescent="0.35">
      <c r="A6490" s="9"/>
      <c r="C6490" s="393"/>
      <c r="E6490" s="394"/>
      <c r="F6490" s="394"/>
      <c r="G6490" s="394"/>
      <c r="I6490" s="368">
        <f t="shared" si="309"/>
        <v>0</v>
      </c>
      <c r="J6490" s="365">
        <f t="shared" si="310"/>
        <v>0</v>
      </c>
      <c r="K6490" s="369">
        <f t="shared" si="311"/>
        <v>6</v>
      </c>
      <c r="L6490" s="369">
        <f>+IF((C6490&gt;='Resultats - informe'!$E$16)*(C6490&lt;='Resultats - informe'!$G$16),1,0)</f>
        <v>1</v>
      </c>
      <c r="M6490" s="369" cm="1">
        <f t="array" ref="M6490">+_xlfn.IFS((C6490&gt;='Resultats - informe'!$D$26)*(C6490&lt;='Resultats - informe'!$E$26),0,(C6490&gt;='Resultats - informe'!$D$27)*(C6490&lt;='Resultats - informe'!$E$27),0,(C6490&gt;='Resultats - informe'!$D$28)*(C6490&lt;='Resultats - informe'!$E$28),0,(C6490&gt;='Resultats - informe'!$D$29)*(C6490&lt;='Resultats - informe'!$E$29),0,1,1)</f>
        <v>0</v>
      </c>
      <c r="N6490" s="366">
        <f>+VLOOKUP(D6490,'Resultats - informe'!$Y$18:$AG$42,'Introducció dades consum'!K6490+1,0)</f>
        <v>0</v>
      </c>
      <c r="O6490" s="370" cm="1">
        <f t="array" ref="O6490">+_xlfn.SWITCH(MONTH(C6490),1,1,2,1,3,1,4,2,5,2,6,3,7,3,8,3,9,3,10,2,11,2,12,1,2)</f>
        <v>1</v>
      </c>
      <c r="P6490" s="43"/>
    </row>
    <row r="6491" spans="1:16" ht="18" x14ac:dyDescent="0.35">
      <c r="A6491" s="9"/>
      <c r="C6491" s="393"/>
      <c r="E6491" s="394"/>
      <c r="F6491" s="394"/>
      <c r="G6491" s="394"/>
      <c r="I6491" s="368">
        <f t="shared" si="309"/>
        <v>0</v>
      </c>
      <c r="J6491" s="365">
        <f t="shared" si="310"/>
        <v>0</v>
      </c>
      <c r="K6491" s="369">
        <f t="shared" si="311"/>
        <v>6</v>
      </c>
      <c r="L6491" s="369">
        <f>+IF((C6491&gt;='Resultats - informe'!$E$16)*(C6491&lt;='Resultats - informe'!$G$16),1,0)</f>
        <v>1</v>
      </c>
      <c r="M6491" s="369" cm="1">
        <f t="array" ref="M6491">+_xlfn.IFS((C6491&gt;='Resultats - informe'!$D$26)*(C6491&lt;='Resultats - informe'!$E$26),0,(C6491&gt;='Resultats - informe'!$D$27)*(C6491&lt;='Resultats - informe'!$E$27),0,(C6491&gt;='Resultats - informe'!$D$28)*(C6491&lt;='Resultats - informe'!$E$28),0,(C6491&gt;='Resultats - informe'!$D$29)*(C6491&lt;='Resultats - informe'!$E$29),0,1,1)</f>
        <v>0</v>
      </c>
      <c r="N6491" s="366">
        <f>+VLOOKUP(D6491,'Resultats - informe'!$Y$18:$AG$42,'Introducció dades consum'!K6491+1,0)</f>
        <v>0</v>
      </c>
      <c r="O6491" s="370" cm="1">
        <f t="array" ref="O6491">+_xlfn.SWITCH(MONTH(C6491),1,1,2,1,3,1,4,2,5,2,6,3,7,3,8,3,9,3,10,2,11,2,12,1,2)</f>
        <v>1</v>
      </c>
      <c r="P6491" s="43"/>
    </row>
    <row r="6492" spans="1:16" ht="18" x14ac:dyDescent="0.35">
      <c r="A6492" s="9"/>
      <c r="C6492" s="393"/>
      <c r="E6492" s="394"/>
      <c r="F6492" s="394"/>
      <c r="G6492" s="394"/>
      <c r="I6492" s="368">
        <f t="shared" si="309"/>
        <v>0</v>
      </c>
      <c r="J6492" s="365">
        <f t="shared" si="310"/>
        <v>0</v>
      </c>
      <c r="K6492" s="369">
        <f t="shared" si="311"/>
        <v>6</v>
      </c>
      <c r="L6492" s="369">
        <f>+IF((C6492&gt;='Resultats - informe'!$E$16)*(C6492&lt;='Resultats - informe'!$G$16),1,0)</f>
        <v>1</v>
      </c>
      <c r="M6492" s="369" cm="1">
        <f t="array" ref="M6492">+_xlfn.IFS((C6492&gt;='Resultats - informe'!$D$26)*(C6492&lt;='Resultats - informe'!$E$26),0,(C6492&gt;='Resultats - informe'!$D$27)*(C6492&lt;='Resultats - informe'!$E$27),0,(C6492&gt;='Resultats - informe'!$D$28)*(C6492&lt;='Resultats - informe'!$E$28),0,(C6492&gt;='Resultats - informe'!$D$29)*(C6492&lt;='Resultats - informe'!$E$29),0,1,1)</f>
        <v>0</v>
      </c>
      <c r="N6492" s="366">
        <f>+VLOOKUP(D6492,'Resultats - informe'!$Y$18:$AG$42,'Introducció dades consum'!K6492+1,0)</f>
        <v>0</v>
      </c>
      <c r="O6492" s="370" cm="1">
        <f t="array" ref="O6492">+_xlfn.SWITCH(MONTH(C6492),1,1,2,1,3,1,4,2,5,2,6,3,7,3,8,3,9,3,10,2,11,2,12,1,2)</f>
        <v>1</v>
      </c>
      <c r="P6492" s="43"/>
    </row>
    <row r="6493" spans="1:16" ht="18" x14ac:dyDescent="0.35">
      <c r="A6493" s="9"/>
      <c r="C6493" s="393"/>
      <c r="E6493" s="394"/>
      <c r="F6493" s="394"/>
      <c r="G6493" s="394"/>
      <c r="I6493" s="368">
        <f t="shared" si="309"/>
        <v>0</v>
      </c>
      <c r="J6493" s="365">
        <f t="shared" si="310"/>
        <v>0</v>
      </c>
      <c r="K6493" s="369">
        <f t="shared" si="311"/>
        <v>6</v>
      </c>
      <c r="L6493" s="369">
        <f>+IF((C6493&gt;='Resultats - informe'!$E$16)*(C6493&lt;='Resultats - informe'!$G$16),1,0)</f>
        <v>1</v>
      </c>
      <c r="M6493" s="369" cm="1">
        <f t="array" ref="M6493">+_xlfn.IFS((C6493&gt;='Resultats - informe'!$D$26)*(C6493&lt;='Resultats - informe'!$E$26),0,(C6493&gt;='Resultats - informe'!$D$27)*(C6493&lt;='Resultats - informe'!$E$27),0,(C6493&gt;='Resultats - informe'!$D$28)*(C6493&lt;='Resultats - informe'!$E$28),0,(C6493&gt;='Resultats - informe'!$D$29)*(C6493&lt;='Resultats - informe'!$E$29),0,1,1)</f>
        <v>0</v>
      </c>
      <c r="N6493" s="366">
        <f>+VLOOKUP(D6493,'Resultats - informe'!$Y$18:$AG$42,'Introducció dades consum'!K6493+1,0)</f>
        <v>0</v>
      </c>
      <c r="O6493" s="370" cm="1">
        <f t="array" ref="O6493">+_xlfn.SWITCH(MONTH(C6493),1,1,2,1,3,1,4,2,5,2,6,3,7,3,8,3,9,3,10,2,11,2,12,1,2)</f>
        <v>1</v>
      </c>
      <c r="P6493" s="43"/>
    </row>
    <row r="6494" spans="1:16" ht="18" x14ac:dyDescent="0.35">
      <c r="A6494" s="9"/>
      <c r="C6494" s="393"/>
      <c r="E6494" s="394"/>
      <c r="F6494" s="394"/>
      <c r="G6494" s="394"/>
      <c r="I6494" s="368">
        <f t="shared" si="309"/>
        <v>0</v>
      </c>
      <c r="J6494" s="365">
        <f t="shared" si="310"/>
        <v>0</v>
      </c>
      <c r="K6494" s="369">
        <f t="shared" si="311"/>
        <v>6</v>
      </c>
      <c r="L6494" s="369">
        <f>+IF((C6494&gt;='Resultats - informe'!$E$16)*(C6494&lt;='Resultats - informe'!$G$16),1,0)</f>
        <v>1</v>
      </c>
      <c r="M6494" s="369" cm="1">
        <f t="array" ref="M6494">+_xlfn.IFS((C6494&gt;='Resultats - informe'!$D$26)*(C6494&lt;='Resultats - informe'!$E$26),0,(C6494&gt;='Resultats - informe'!$D$27)*(C6494&lt;='Resultats - informe'!$E$27),0,(C6494&gt;='Resultats - informe'!$D$28)*(C6494&lt;='Resultats - informe'!$E$28),0,(C6494&gt;='Resultats - informe'!$D$29)*(C6494&lt;='Resultats - informe'!$E$29),0,1,1)</f>
        <v>0</v>
      </c>
      <c r="N6494" s="366">
        <f>+VLOOKUP(D6494,'Resultats - informe'!$Y$18:$AG$42,'Introducció dades consum'!K6494+1,0)</f>
        <v>0</v>
      </c>
      <c r="O6494" s="370" cm="1">
        <f t="array" ref="O6494">+_xlfn.SWITCH(MONTH(C6494),1,1,2,1,3,1,4,2,5,2,6,3,7,3,8,3,9,3,10,2,11,2,12,1,2)</f>
        <v>1</v>
      </c>
      <c r="P6494" s="43"/>
    </row>
    <row r="6495" spans="1:16" ht="18" x14ac:dyDescent="0.35">
      <c r="A6495" s="9"/>
      <c r="C6495" s="393"/>
      <c r="E6495" s="394"/>
      <c r="F6495" s="394"/>
      <c r="G6495" s="394"/>
      <c r="I6495" s="368">
        <f t="shared" si="309"/>
        <v>0</v>
      </c>
      <c r="J6495" s="365">
        <f t="shared" si="310"/>
        <v>0</v>
      </c>
      <c r="K6495" s="369">
        <f t="shared" si="311"/>
        <v>6</v>
      </c>
      <c r="L6495" s="369">
        <f>+IF((C6495&gt;='Resultats - informe'!$E$16)*(C6495&lt;='Resultats - informe'!$G$16),1,0)</f>
        <v>1</v>
      </c>
      <c r="M6495" s="369" cm="1">
        <f t="array" ref="M6495">+_xlfn.IFS((C6495&gt;='Resultats - informe'!$D$26)*(C6495&lt;='Resultats - informe'!$E$26),0,(C6495&gt;='Resultats - informe'!$D$27)*(C6495&lt;='Resultats - informe'!$E$27),0,(C6495&gt;='Resultats - informe'!$D$28)*(C6495&lt;='Resultats - informe'!$E$28),0,(C6495&gt;='Resultats - informe'!$D$29)*(C6495&lt;='Resultats - informe'!$E$29),0,1,1)</f>
        <v>0</v>
      </c>
      <c r="N6495" s="366">
        <f>+VLOOKUP(D6495,'Resultats - informe'!$Y$18:$AG$42,'Introducció dades consum'!K6495+1,0)</f>
        <v>0</v>
      </c>
      <c r="O6495" s="370" cm="1">
        <f t="array" ref="O6495">+_xlfn.SWITCH(MONTH(C6495),1,1,2,1,3,1,4,2,5,2,6,3,7,3,8,3,9,3,10,2,11,2,12,1,2)</f>
        <v>1</v>
      </c>
      <c r="P6495" s="43"/>
    </row>
    <row r="6496" spans="1:16" ht="18" x14ac:dyDescent="0.35">
      <c r="A6496" s="9"/>
      <c r="C6496" s="393"/>
      <c r="E6496" s="394"/>
      <c r="F6496" s="394"/>
      <c r="G6496" s="394"/>
      <c r="I6496" s="368">
        <f t="shared" si="309"/>
        <v>0</v>
      </c>
      <c r="J6496" s="365">
        <f t="shared" si="310"/>
        <v>0</v>
      </c>
      <c r="K6496" s="369">
        <f t="shared" si="311"/>
        <v>6</v>
      </c>
      <c r="L6496" s="369">
        <f>+IF((C6496&gt;='Resultats - informe'!$E$16)*(C6496&lt;='Resultats - informe'!$G$16),1,0)</f>
        <v>1</v>
      </c>
      <c r="M6496" s="369" cm="1">
        <f t="array" ref="M6496">+_xlfn.IFS((C6496&gt;='Resultats - informe'!$D$26)*(C6496&lt;='Resultats - informe'!$E$26),0,(C6496&gt;='Resultats - informe'!$D$27)*(C6496&lt;='Resultats - informe'!$E$27),0,(C6496&gt;='Resultats - informe'!$D$28)*(C6496&lt;='Resultats - informe'!$E$28),0,(C6496&gt;='Resultats - informe'!$D$29)*(C6496&lt;='Resultats - informe'!$E$29),0,1,1)</f>
        <v>0</v>
      </c>
      <c r="N6496" s="366">
        <f>+VLOOKUP(D6496,'Resultats - informe'!$Y$18:$AG$42,'Introducció dades consum'!K6496+1,0)</f>
        <v>0</v>
      </c>
      <c r="O6496" s="370" cm="1">
        <f t="array" ref="O6496">+_xlfn.SWITCH(MONTH(C6496),1,1,2,1,3,1,4,2,5,2,6,3,7,3,8,3,9,3,10,2,11,2,12,1,2)</f>
        <v>1</v>
      </c>
      <c r="P6496" s="43"/>
    </row>
    <row r="6497" spans="1:16" ht="18" x14ac:dyDescent="0.35">
      <c r="A6497" s="9"/>
      <c r="C6497" s="393"/>
      <c r="E6497" s="394"/>
      <c r="F6497" s="394"/>
      <c r="G6497" s="394"/>
      <c r="I6497" s="368">
        <f t="shared" si="309"/>
        <v>0</v>
      </c>
      <c r="J6497" s="365">
        <f t="shared" si="310"/>
        <v>0</v>
      </c>
      <c r="K6497" s="369">
        <f t="shared" si="311"/>
        <v>6</v>
      </c>
      <c r="L6497" s="369">
        <f>+IF((C6497&gt;='Resultats - informe'!$E$16)*(C6497&lt;='Resultats - informe'!$G$16),1,0)</f>
        <v>1</v>
      </c>
      <c r="M6497" s="369" cm="1">
        <f t="array" ref="M6497">+_xlfn.IFS((C6497&gt;='Resultats - informe'!$D$26)*(C6497&lt;='Resultats - informe'!$E$26),0,(C6497&gt;='Resultats - informe'!$D$27)*(C6497&lt;='Resultats - informe'!$E$27),0,(C6497&gt;='Resultats - informe'!$D$28)*(C6497&lt;='Resultats - informe'!$E$28),0,(C6497&gt;='Resultats - informe'!$D$29)*(C6497&lt;='Resultats - informe'!$E$29),0,1,1)</f>
        <v>0</v>
      </c>
      <c r="N6497" s="366">
        <f>+VLOOKUP(D6497,'Resultats - informe'!$Y$18:$AG$42,'Introducció dades consum'!K6497+1,0)</f>
        <v>0</v>
      </c>
      <c r="O6497" s="370" cm="1">
        <f t="array" ref="O6497">+_xlfn.SWITCH(MONTH(C6497),1,1,2,1,3,1,4,2,5,2,6,3,7,3,8,3,9,3,10,2,11,2,12,1,2)</f>
        <v>1</v>
      </c>
      <c r="P6497" s="43"/>
    </row>
    <row r="6498" spans="1:16" ht="18" x14ac:dyDescent="0.35">
      <c r="A6498" s="9"/>
      <c r="C6498" s="393"/>
      <c r="E6498" s="394"/>
      <c r="F6498" s="394"/>
      <c r="G6498" s="394"/>
      <c r="I6498" s="368">
        <f t="shared" si="309"/>
        <v>0</v>
      </c>
      <c r="J6498" s="365">
        <f t="shared" si="310"/>
        <v>0</v>
      </c>
      <c r="K6498" s="369">
        <f t="shared" si="311"/>
        <v>6</v>
      </c>
      <c r="L6498" s="369">
        <f>+IF((C6498&gt;='Resultats - informe'!$E$16)*(C6498&lt;='Resultats - informe'!$G$16),1,0)</f>
        <v>1</v>
      </c>
      <c r="M6498" s="369" cm="1">
        <f t="array" ref="M6498">+_xlfn.IFS((C6498&gt;='Resultats - informe'!$D$26)*(C6498&lt;='Resultats - informe'!$E$26),0,(C6498&gt;='Resultats - informe'!$D$27)*(C6498&lt;='Resultats - informe'!$E$27),0,(C6498&gt;='Resultats - informe'!$D$28)*(C6498&lt;='Resultats - informe'!$E$28),0,(C6498&gt;='Resultats - informe'!$D$29)*(C6498&lt;='Resultats - informe'!$E$29),0,1,1)</f>
        <v>0</v>
      </c>
      <c r="N6498" s="366">
        <f>+VLOOKUP(D6498,'Resultats - informe'!$Y$18:$AG$42,'Introducció dades consum'!K6498+1,0)</f>
        <v>0</v>
      </c>
      <c r="O6498" s="370" cm="1">
        <f t="array" ref="O6498">+_xlfn.SWITCH(MONTH(C6498),1,1,2,1,3,1,4,2,5,2,6,3,7,3,8,3,9,3,10,2,11,2,12,1,2)</f>
        <v>1</v>
      </c>
      <c r="P6498" s="43"/>
    </row>
    <row r="6499" spans="1:16" ht="18" x14ac:dyDescent="0.35">
      <c r="A6499" s="9"/>
      <c r="C6499" s="393"/>
      <c r="E6499" s="394"/>
      <c r="F6499" s="394"/>
      <c r="G6499" s="394"/>
      <c r="I6499" s="368">
        <f t="shared" si="309"/>
        <v>0</v>
      </c>
      <c r="J6499" s="365">
        <f t="shared" si="310"/>
        <v>0</v>
      </c>
      <c r="K6499" s="369">
        <f t="shared" si="311"/>
        <v>6</v>
      </c>
      <c r="L6499" s="369">
        <f>+IF((C6499&gt;='Resultats - informe'!$E$16)*(C6499&lt;='Resultats - informe'!$G$16),1,0)</f>
        <v>1</v>
      </c>
      <c r="M6499" s="369" cm="1">
        <f t="array" ref="M6499">+_xlfn.IFS((C6499&gt;='Resultats - informe'!$D$26)*(C6499&lt;='Resultats - informe'!$E$26),0,(C6499&gt;='Resultats - informe'!$D$27)*(C6499&lt;='Resultats - informe'!$E$27),0,(C6499&gt;='Resultats - informe'!$D$28)*(C6499&lt;='Resultats - informe'!$E$28),0,(C6499&gt;='Resultats - informe'!$D$29)*(C6499&lt;='Resultats - informe'!$E$29),0,1,1)</f>
        <v>0</v>
      </c>
      <c r="N6499" s="366">
        <f>+VLOOKUP(D6499,'Resultats - informe'!$Y$18:$AG$42,'Introducció dades consum'!K6499+1,0)</f>
        <v>0</v>
      </c>
      <c r="O6499" s="370" cm="1">
        <f t="array" ref="O6499">+_xlfn.SWITCH(MONTH(C6499),1,1,2,1,3,1,4,2,5,2,6,3,7,3,8,3,9,3,10,2,11,2,12,1,2)</f>
        <v>1</v>
      </c>
      <c r="P6499" s="43"/>
    </row>
    <row r="6500" spans="1:16" ht="18" x14ac:dyDescent="0.35">
      <c r="A6500" s="9"/>
      <c r="C6500" s="393"/>
      <c r="E6500" s="394"/>
      <c r="F6500" s="394"/>
      <c r="G6500" s="394"/>
      <c r="I6500" s="368">
        <f t="shared" si="309"/>
        <v>0</v>
      </c>
      <c r="J6500" s="365">
        <f t="shared" si="310"/>
        <v>0</v>
      </c>
      <c r="K6500" s="369">
        <f t="shared" si="311"/>
        <v>6</v>
      </c>
      <c r="L6500" s="369">
        <f>+IF((C6500&gt;='Resultats - informe'!$E$16)*(C6500&lt;='Resultats - informe'!$G$16),1,0)</f>
        <v>1</v>
      </c>
      <c r="M6500" s="369" cm="1">
        <f t="array" ref="M6500">+_xlfn.IFS((C6500&gt;='Resultats - informe'!$D$26)*(C6500&lt;='Resultats - informe'!$E$26),0,(C6500&gt;='Resultats - informe'!$D$27)*(C6500&lt;='Resultats - informe'!$E$27),0,(C6500&gt;='Resultats - informe'!$D$28)*(C6500&lt;='Resultats - informe'!$E$28),0,(C6500&gt;='Resultats - informe'!$D$29)*(C6500&lt;='Resultats - informe'!$E$29),0,1,1)</f>
        <v>0</v>
      </c>
      <c r="N6500" s="366">
        <f>+VLOOKUP(D6500,'Resultats - informe'!$Y$18:$AG$42,'Introducció dades consum'!K6500+1,0)</f>
        <v>0</v>
      </c>
      <c r="O6500" s="370" cm="1">
        <f t="array" ref="O6500">+_xlfn.SWITCH(MONTH(C6500),1,1,2,1,3,1,4,2,5,2,6,3,7,3,8,3,9,3,10,2,11,2,12,1,2)</f>
        <v>1</v>
      </c>
      <c r="P6500" s="43"/>
    </row>
    <row r="6501" spans="1:16" ht="18" x14ac:dyDescent="0.35">
      <c r="A6501" s="9"/>
      <c r="C6501" s="393"/>
      <c r="E6501" s="394"/>
      <c r="F6501" s="394"/>
      <c r="G6501" s="394"/>
      <c r="I6501" s="368">
        <f t="shared" si="309"/>
        <v>0</v>
      </c>
      <c r="J6501" s="365">
        <f t="shared" si="310"/>
        <v>0</v>
      </c>
      <c r="K6501" s="369">
        <f t="shared" si="311"/>
        <v>6</v>
      </c>
      <c r="L6501" s="369">
        <f>+IF((C6501&gt;='Resultats - informe'!$E$16)*(C6501&lt;='Resultats - informe'!$G$16),1,0)</f>
        <v>1</v>
      </c>
      <c r="M6501" s="369" cm="1">
        <f t="array" ref="M6501">+_xlfn.IFS((C6501&gt;='Resultats - informe'!$D$26)*(C6501&lt;='Resultats - informe'!$E$26),0,(C6501&gt;='Resultats - informe'!$D$27)*(C6501&lt;='Resultats - informe'!$E$27),0,(C6501&gt;='Resultats - informe'!$D$28)*(C6501&lt;='Resultats - informe'!$E$28),0,(C6501&gt;='Resultats - informe'!$D$29)*(C6501&lt;='Resultats - informe'!$E$29),0,1,1)</f>
        <v>0</v>
      </c>
      <c r="N6501" s="366">
        <f>+VLOOKUP(D6501,'Resultats - informe'!$Y$18:$AG$42,'Introducció dades consum'!K6501+1,0)</f>
        <v>0</v>
      </c>
      <c r="O6501" s="370" cm="1">
        <f t="array" ref="O6501">+_xlfn.SWITCH(MONTH(C6501),1,1,2,1,3,1,4,2,5,2,6,3,7,3,8,3,9,3,10,2,11,2,12,1,2)</f>
        <v>1</v>
      </c>
      <c r="P6501" s="43"/>
    </row>
    <row r="6502" spans="1:16" ht="18" x14ac:dyDescent="0.35">
      <c r="A6502" s="9"/>
      <c r="C6502" s="393"/>
      <c r="E6502" s="394"/>
      <c r="F6502" s="394"/>
      <c r="G6502" s="394"/>
      <c r="I6502" s="368">
        <f t="shared" si="309"/>
        <v>0</v>
      </c>
      <c r="J6502" s="365">
        <f t="shared" si="310"/>
        <v>0</v>
      </c>
      <c r="K6502" s="369">
        <f t="shared" si="311"/>
        <v>6</v>
      </c>
      <c r="L6502" s="369">
        <f>+IF((C6502&gt;='Resultats - informe'!$E$16)*(C6502&lt;='Resultats - informe'!$G$16),1,0)</f>
        <v>1</v>
      </c>
      <c r="M6502" s="369" cm="1">
        <f t="array" ref="M6502">+_xlfn.IFS((C6502&gt;='Resultats - informe'!$D$26)*(C6502&lt;='Resultats - informe'!$E$26),0,(C6502&gt;='Resultats - informe'!$D$27)*(C6502&lt;='Resultats - informe'!$E$27),0,(C6502&gt;='Resultats - informe'!$D$28)*(C6502&lt;='Resultats - informe'!$E$28),0,(C6502&gt;='Resultats - informe'!$D$29)*(C6502&lt;='Resultats - informe'!$E$29),0,1,1)</f>
        <v>0</v>
      </c>
      <c r="N6502" s="366">
        <f>+VLOOKUP(D6502,'Resultats - informe'!$Y$18:$AG$42,'Introducció dades consum'!K6502+1,0)</f>
        <v>0</v>
      </c>
      <c r="O6502" s="370" cm="1">
        <f t="array" ref="O6502">+_xlfn.SWITCH(MONTH(C6502),1,1,2,1,3,1,4,2,5,2,6,3,7,3,8,3,9,3,10,2,11,2,12,1,2)</f>
        <v>1</v>
      </c>
      <c r="P6502" s="43"/>
    </row>
    <row r="6503" spans="1:16" ht="18" x14ac:dyDescent="0.35">
      <c r="A6503" s="9"/>
      <c r="C6503" s="393"/>
      <c r="E6503" s="394"/>
      <c r="F6503" s="394"/>
      <c r="G6503" s="394"/>
      <c r="I6503" s="368">
        <f t="shared" si="309"/>
        <v>0</v>
      </c>
      <c r="J6503" s="365">
        <f t="shared" si="310"/>
        <v>0</v>
      </c>
      <c r="K6503" s="369">
        <f t="shared" si="311"/>
        <v>6</v>
      </c>
      <c r="L6503" s="369">
        <f>+IF((C6503&gt;='Resultats - informe'!$E$16)*(C6503&lt;='Resultats - informe'!$G$16),1,0)</f>
        <v>1</v>
      </c>
      <c r="M6503" s="369" cm="1">
        <f t="array" ref="M6503">+_xlfn.IFS((C6503&gt;='Resultats - informe'!$D$26)*(C6503&lt;='Resultats - informe'!$E$26),0,(C6503&gt;='Resultats - informe'!$D$27)*(C6503&lt;='Resultats - informe'!$E$27),0,(C6503&gt;='Resultats - informe'!$D$28)*(C6503&lt;='Resultats - informe'!$E$28),0,(C6503&gt;='Resultats - informe'!$D$29)*(C6503&lt;='Resultats - informe'!$E$29),0,1,1)</f>
        <v>0</v>
      </c>
      <c r="N6503" s="366">
        <f>+VLOOKUP(D6503,'Resultats - informe'!$Y$18:$AG$42,'Introducció dades consum'!K6503+1,0)</f>
        <v>0</v>
      </c>
      <c r="O6503" s="370" cm="1">
        <f t="array" ref="O6503">+_xlfn.SWITCH(MONTH(C6503),1,1,2,1,3,1,4,2,5,2,6,3,7,3,8,3,9,3,10,2,11,2,12,1,2)</f>
        <v>1</v>
      </c>
      <c r="P6503" s="43"/>
    </row>
    <row r="6504" spans="1:16" ht="18" x14ac:dyDescent="0.35">
      <c r="A6504" s="9"/>
      <c r="C6504" s="393"/>
      <c r="E6504" s="394"/>
      <c r="F6504" s="394"/>
      <c r="G6504" s="394"/>
      <c r="I6504" s="368">
        <f t="shared" si="309"/>
        <v>0</v>
      </c>
      <c r="J6504" s="365">
        <f t="shared" si="310"/>
        <v>0</v>
      </c>
      <c r="K6504" s="369">
        <f t="shared" si="311"/>
        <v>6</v>
      </c>
      <c r="L6504" s="369">
        <f>+IF((C6504&gt;='Resultats - informe'!$E$16)*(C6504&lt;='Resultats - informe'!$G$16),1,0)</f>
        <v>1</v>
      </c>
      <c r="M6504" s="369" cm="1">
        <f t="array" ref="M6504">+_xlfn.IFS((C6504&gt;='Resultats - informe'!$D$26)*(C6504&lt;='Resultats - informe'!$E$26),0,(C6504&gt;='Resultats - informe'!$D$27)*(C6504&lt;='Resultats - informe'!$E$27),0,(C6504&gt;='Resultats - informe'!$D$28)*(C6504&lt;='Resultats - informe'!$E$28),0,(C6504&gt;='Resultats - informe'!$D$29)*(C6504&lt;='Resultats - informe'!$E$29),0,1,1)</f>
        <v>0</v>
      </c>
      <c r="N6504" s="366">
        <f>+VLOOKUP(D6504,'Resultats - informe'!$Y$18:$AG$42,'Introducció dades consum'!K6504+1,0)</f>
        <v>0</v>
      </c>
      <c r="O6504" s="370" cm="1">
        <f t="array" ref="O6504">+_xlfn.SWITCH(MONTH(C6504),1,1,2,1,3,1,4,2,5,2,6,3,7,3,8,3,9,3,10,2,11,2,12,1,2)</f>
        <v>1</v>
      </c>
      <c r="P6504" s="43"/>
    </row>
    <row r="6505" spans="1:16" ht="18" x14ac:dyDescent="0.35">
      <c r="A6505" s="9"/>
      <c r="C6505" s="393"/>
      <c r="E6505" s="394"/>
      <c r="F6505" s="394"/>
      <c r="G6505" s="394"/>
      <c r="I6505" s="368">
        <f t="shared" si="309"/>
        <v>0</v>
      </c>
      <c r="J6505" s="365">
        <f t="shared" si="310"/>
        <v>0</v>
      </c>
      <c r="K6505" s="369">
        <f t="shared" si="311"/>
        <v>6</v>
      </c>
      <c r="L6505" s="369">
        <f>+IF((C6505&gt;='Resultats - informe'!$E$16)*(C6505&lt;='Resultats - informe'!$G$16),1,0)</f>
        <v>1</v>
      </c>
      <c r="M6505" s="369" cm="1">
        <f t="array" ref="M6505">+_xlfn.IFS((C6505&gt;='Resultats - informe'!$D$26)*(C6505&lt;='Resultats - informe'!$E$26),0,(C6505&gt;='Resultats - informe'!$D$27)*(C6505&lt;='Resultats - informe'!$E$27),0,(C6505&gt;='Resultats - informe'!$D$28)*(C6505&lt;='Resultats - informe'!$E$28),0,(C6505&gt;='Resultats - informe'!$D$29)*(C6505&lt;='Resultats - informe'!$E$29),0,1,1)</f>
        <v>0</v>
      </c>
      <c r="N6505" s="366">
        <f>+VLOOKUP(D6505,'Resultats - informe'!$Y$18:$AG$42,'Introducció dades consum'!K6505+1,0)</f>
        <v>0</v>
      </c>
      <c r="O6505" s="370" cm="1">
        <f t="array" ref="O6505">+_xlfn.SWITCH(MONTH(C6505),1,1,2,1,3,1,4,2,5,2,6,3,7,3,8,3,9,3,10,2,11,2,12,1,2)</f>
        <v>1</v>
      </c>
      <c r="P6505" s="43"/>
    </row>
    <row r="6506" spans="1:16" ht="18" x14ac:dyDescent="0.35">
      <c r="A6506" s="9"/>
      <c r="C6506" s="393"/>
      <c r="E6506" s="394"/>
      <c r="F6506" s="394"/>
      <c r="G6506" s="394"/>
      <c r="I6506" s="368">
        <f t="shared" si="309"/>
        <v>0</v>
      </c>
      <c r="J6506" s="365">
        <f t="shared" si="310"/>
        <v>0</v>
      </c>
      <c r="K6506" s="369">
        <f t="shared" si="311"/>
        <v>6</v>
      </c>
      <c r="L6506" s="369">
        <f>+IF((C6506&gt;='Resultats - informe'!$E$16)*(C6506&lt;='Resultats - informe'!$G$16),1,0)</f>
        <v>1</v>
      </c>
      <c r="M6506" s="369" cm="1">
        <f t="array" ref="M6506">+_xlfn.IFS((C6506&gt;='Resultats - informe'!$D$26)*(C6506&lt;='Resultats - informe'!$E$26),0,(C6506&gt;='Resultats - informe'!$D$27)*(C6506&lt;='Resultats - informe'!$E$27),0,(C6506&gt;='Resultats - informe'!$D$28)*(C6506&lt;='Resultats - informe'!$E$28),0,(C6506&gt;='Resultats - informe'!$D$29)*(C6506&lt;='Resultats - informe'!$E$29),0,1,1)</f>
        <v>0</v>
      </c>
      <c r="N6506" s="366">
        <f>+VLOOKUP(D6506,'Resultats - informe'!$Y$18:$AG$42,'Introducció dades consum'!K6506+1,0)</f>
        <v>0</v>
      </c>
      <c r="O6506" s="370" cm="1">
        <f t="array" ref="O6506">+_xlfn.SWITCH(MONTH(C6506),1,1,2,1,3,1,4,2,5,2,6,3,7,3,8,3,9,3,10,2,11,2,12,1,2)</f>
        <v>1</v>
      </c>
      <c r="P6506" s="43"/>
    </row>
    <row r="6507" spans="1:16" ht="18" x14ac:dyDescent="0.35">
      <c r="A6507" s="9"/>
      <c r="C6507" s="393"/>
      <c r="E6507" s="394"/>
      <c r="F6507" s="394"/>
      <c r="G6507" s="394"/>
      <c r="I6507" s="368">
        <f t="shared" si="309"/>
        <v>0</v>
      </c>
      <c r="J6507" s="365">
        <f t="shared" si="310"/>
        <v>0</v>
      </c>
      <c r="K6507" s="369">
        <f t="shared" si="311"/>
        <v>6</v>
      </c>
      <c r="L6507" s="369">
        <f>+IF((C6507&gt;='Resultats - informe'!$E$16)*(C6507&lt;='Resultats - informe'!$G$16),1,0)</f>
        <v>1</v>
      </c>
      <c r="M6507" s="369" cm="1">
        <f t="array" ref="M6507">+_xlfn.IFS((C6507&gt;='Resultats - informe'!$D$26)*(C6507&lt;='Resultats - informe'!$E$26),0,(C6507&gt;='Resultats - informe'!$D$27)*(C6507&lt;='Resultats - informe'!$E$27),0,(C6507&gt;='Resultats - informe'!$D$28)*(C6507&lt;='Resultats - informe'!$E$28),0,(C6507&gt;='Resultats - informe'!$D$29)*(C6507&lt;='Resultats - informe'!$E$29),0,1,1)</f>
        <v>0</v>
      </c>
      <c r="N6507" s="366">
        <f>+VLOOKUP(D6507,'Resultats - informe'!$Y$18:$AG$42,'Introducció dades consum'!K6507+1,0)</f>
        <v>0</v>
      </c>
      <c r="O6507" s="370" cm="1">
        <f t="array" ref="O6507">+_xlfn.SWITCH(MONTH(C6507),1,1,2,1,3,1,4,2,5,2,6,3,7,3,8,3,9,3,10,2,11,2,12,1,2)</f>
        <v>1</v>
      </c>
      <c r="P6507" s="43"/>
    </row>
    <row r="6508" spans="1:16" ht="18" x14ac:dyDescent="0.35">
      <c r="A6508" s="9"/>
      <c r="C6508" s="393"/>
      <c r="E6508" s="394"/>
      <c r="F6508" s="394"/>
      <c r="G6508" s="394"/>
      <c r="I6508" s="368">
        <f t="shared" si="309"/>
        <v>0</v>
      </c>
      <c r="J6508" s="365">
        <f t="shared" si="310"/>
        <v>0</v>
      </c>
      <c r="K6508" s="369">
        <f t="shared" si="311"/>
        <v>6</v>
      </c>
      <c r="L6508" s="369">
        <f>+IF((C6508&gt;='Resultats - informe'!$E$16)*(C6508&lt;='Resultats - informe'!$G$16),1,0)</f>
        <v>1</v>
      </c>
      <c r="M6508" s="369" cm="1">
        <f t="array" ref="M6508">+_xlfn.IFS((C6508&gt;='Resultats - informe'!$D$26)*(C6508&lt;='Resultats - informe'!$E$26),0,(C6508&gt;='Resultats - informe'!$D$27)*(C6508&lt;='Resultats - informe'!$E$27),0,(C6508&gt;='Resultats - informe'!$D$28)*(C6508&lt;='Resultats - informe'!$E$28),0,(C6508&gt;='Resultats - informe'!$D$29)*(C6508&lt;='Resultats - informe'!$E$29),0,1,1)</f>
        <v>0</v>
      </c>
      <c r="N6508" s="366">
        <f>+VLOOKUP(D6508,'Resultats - informe'!$Y$18:$AG$42,'Introducció dades consum'!K6508+1,0)</f>
        <v>0</v>
      </c>
      <c r="O6508" s="370" cm="1">
        <f t="array" ref="O6508">+_xlfn.SWITCH(MONTH(C6508),1,1,2,1,3,1,4,2,5,2,6,3,7,3,8,3,9,3,10,2,11,2,12,1,2)</f>
        <v>1</v>
      </c>
      <c r="P6508" s="43"/>
    </row>
    <row r="6509" spans="1:16" ht="18" x14ac:dyDescent="0.35">
      <c r="A6509" s="9"/>
      <c r="C6509" s="393"/>
      <c r="E6509" s="394"/>
      <c r="F6509" s="394"/>
      <c r="G6509" s="394"/>
      <c r="I6509" s="368">
        <f t="shared" si="309"/>
        <v>0</v>
      </c>
      <c r="J6509" s="365">
        <f t="shared" si="310"/>
        <v>0</v>
      </c>
      <c r="K6509" s="369">
        <f t="shared" si="311"/>
        <v>6</v>
      </c>
      <c r="L6509" s="369">
        <f>+IF((C6509&gt;='Resultats - informe'!$E$16)*(C6509&lt;='Resultats - informe'!$G$16),1,0)</f>
        <v>1</v>
      </c>
      <c r="M6509" s="369" cm="1">
        <f t="array" ref="M6509">+_xlfn.IFS((C6509&gt;='Resultats - informe'!$D$26)*(C6509&lt;='Resultats - informe'!$E$26),0,(C6509&gt;='Resultats - informe'!$D$27)*(C6509&lt;='Resultats - informe'!$E$27),0,(C6509&gt;='Resultats - informe'!$D$28)*(C6509&lt;='Resultats - informe'!$E$28),0,(C6509&gt;='Resultats - informe'!$D$29)*(C6509&lt;='Resultats - informe'!$E$29),0,1,1)</f>
        <v>0</v>
      </c>
      <c r="N6509" s="366">
        <f>+VLOOKUP(D6509,'Resultats - informe'!$Y$18:$AG$42,'Introducció dades consum'!K6509+1,0)</f>
        <v>0</v>
      </c>
      <c r="O6509" s="370" cm="1">
        <f t="array" ref="O6509">+_xlfn.SWITCH(MONTH(C6509),1,1,2,1,3,1,4,2,5,2,6,3,7,3,8,3,9,3,10,2,11,2,12,1,2)</f>
        <v>1</v>
      </c>
      <c r="P6509" s="43"/>
    </row>
    <row r="6510" spans="1:16" ht="18" x14ac:dyDescent="0.35">
      <c r="A6510" s="9"/>
      <c r="C6510" s="393"/>
      <c r="E6510" s="394"/>
      <c r="F6510" s="394"/>
      <c r="G6510" s="394"/>
      <c r="I6510" s="368">
        <f t="shared" si="309"/>
        <v>0</v>
      </c>
      <c r="J6510" s="365">
        <f t="shared" si="310"/>
        <v>0</v>
      </c>
      <c r="K6510" s="369">
        <f t="shared" si="311"/>
        <v>6</v>
      </c>
      <c r="L6510" s="369">
        <f>+IF((C6510&gt;='Resultats - informe'!$E$16)*(C6510&lt;='Resultats - informe'!$G$16),1,0)</f>
        <v>1</v>
      </c>
      <c r="M6510" s="369" cm="1">
        <f t="array" ref="M6510">+_xlfn.IFS((C6510&gt;='Resultats - informe'!$D$26)*(C6510&lt;='Resultats - informe'!$E$26),0,(C6510&gt;='Resultats - informe'!$D$27)*(C6510&lt;='Resultats - informe'!$E$27),0,(C6510&gt;='Resultats - informe'!$D$28)*(C6510&lt;='Resultats - informe'!$E$28),0,(C6510&gt;='Resultats - informe'!$D$29)*(C6510&lt;='Resultats - informe'!$E$29),0,1,1)</f>
        <v>0</v>
      </c>
      <c r="N6510" s="366">
        <f>+VLOOKUP(D6510,'Resultats - informe'!$Y$18:$AG$42,'Introducció dades consum'!K6510+1,0)</f>
        <v>0</v>
      </c>
      <c r="O6510" s="370" cm="1">
        <f t="array" ref="O6510">+_xlfn.SWITCH(MONTH(C6510),1,1,2,1,3,1,4,2,5,2,6,3,7,3,8,3,9,3,10,2,11,2,12,1,2)</f>
        <v>1</v>
      </c>
      <c r="P6510" s="43"/>
    </row>
    <row r="6511" spans="1:16" ht="18" x14ac:dyDescent="0.35">
      <c r="A6511" s="9"/>
      <c r="C6511" s="393"/>
      <c r="E6511" s="394"/>
      <c r="F6511" s="394"/>
      <c r="G6511" s="394"/>
      <c r="I6511" s="368">
        <f t="shared" si="309"/>
        <v>0</v>
      </c>
      <c r="J6511" s="365">
        <f t="shared" si="310"/>
        <v>0</v>
      </c>
      <c r="K6511" s="369">
        <f t="shared" si="311"/>
        <v>6</v>
      </c>
      <c r="L6511" s="369">
        <f>+IF((C6511&gt;='Resultats - informe'!$E$16)*(C6511&lt;='Resultats - informe'!$G$16),1,0)</f>
        <v>1</v>
      </c>
      <c r="M6511" s="369" cm="1">
        <f t="array" ref="M6511">+_xlfn.IFS((C6511&gt;='Resultats - informe'!$D$26)*(C6511&lt;='Resultats - informe'!$E$26),0,(C6511&gt;='Resultats - informe'!$D$27)*(C6511&lt;='Resultats - informe'!$E$27),0,(C6511&gt;='Resultats - informe'!$D$28)*(C6511&lt;='Resultats - informe'!$E$28),0,(C6511&gt;='Resultats - informe'!$D$29)*(C6511&lt;='Resultats - informe'!$E$29),0,1,1)</f>
        <v>0</v>
      </c>
      <c r="N6511" s="366">
        <f>+VLOOKUP(D6511,'Resultats - informe'!$Y$18:$AG$42,'Introducció dades consum'!K6511+1,0)</f>
        <v>0</v>
      </c>
      <c r="O6511" s="370" cm="1">
        <f t="array" ref="O6511">+_xlfn.SWITCH(MONTH(C6511),1,1,2,1,3,1,4,2,5,2,6,3,7,3,8,3,9,3,10,2,11,2,12,1,2)</f>
        <v>1</v>
      </c>
      <c r="P6511" s="43"/>
    </row>
    <row r="6512" spans="1:16" ht="18" x14ac:dyDescent="0.35">
      <c r="A6512" s="9"/>
      <c r="C6512" s="393"/>
      <c r="E6512" s="394"/>
      <c r="F6512" s="394"/>
      <c r="G6512" s="394"/>
      <c r="I6512" s="368">
        <f t="shared" si="309"/>
        <v>0</v>
      </c>
      <c r="J6512" s="365">
        <f t="shared" si="310"/>
        <v>0</v>
      </c>
      <c r="K6512" s="369">
        <f t="shared" si="311"/>
        <v>6</v>
      </c>
      <c r="L6512" s="369">
        <f>+IF((C6512&gt;='Resultats - informe'!$E$16)*(C6512&lt;='Resultats - informe'!$G$16),1,0)</f>
        <v>1</v>
      </c>
      <c r="M6512" s="369" cm="1">
        <f t="array" ref="M6512">+_xlfn.IFS((C6512&gt;='Resultats - informe'!$D$26)*(C6512&lt;='Resultats - informe'!$E$26),0,(C6512&gt;='Resultats - informe'!$D$27)*(C6512&lt;='Resultats - informe'!$E$27),0,(C6512&gt;='Resultats - informe'!$D$28)*(C6512&lt;='Resultats - informe'!$E$28),0,(C6512&gt;='Resultats - informe'!$D$29)*(C6512&lt;='Resultats - informe'!$E$29),0,1,1)</f>
        <v>0</v>
      </c>
      <c r="N6512" s="366">
        <f>+VLOOKUP(D6512,'Resultats - informe'!$Y$18:$AG$42,'Introducció dades consum'!K6512+1,0)</f>
        <v>0</v>
      </c>
      <c r="O6512" s="370" cm="1">
        <f t="array" ref="O6512">+_xlfn.SWITCH(MONTH(C6512),1,1,2,1,3,1,4,2,5,2,6,3,7,3,8,3,9,3,10,2,11,2,12,1,2)</f>
        <v>1</v>
      </c>
      <c r="P6512" s="43"/>
    </row>
    <row r="6513" spans="1:16" ht="18" x14ac:dyDescent="0.35">
      <c r="A6513" s="9"/>
      <c r="C6513" s="393"/>
      <c r="E6513" s="394"/>
      <c r="F6513" s="394"/>
      <c r="G6513" s="394"/>
      <c r="I6513" s="368">
        <f t="shared" si="309"/>
        <v>0</v>
      </c>
      <c r="J6513" s="365">
        <f t="shared" si="310"/>
        <v>0</v>
      </c>
      <c r="K6513" s="369">
        <f t="shared" si="311"/>
        <v>6</v>
      </c>
      <c r="L6513" s="369">
        <f>+IF((C6513&gt;='Resultats - informe'!$E$16)*(C6513&lt;='Resultats - informe'!$G$16),1,0)</f>
        <v>1</v>
      </c>
      <c r="M6513" s="369" cm="1">
        <f t="array" ref="M6513">+_xlfn.IFS((C6513&gt;='Resultats - informe'!$D$26)*(C6513&lt;='Resultats - informe'!$E$26),0,(C6513&gt;='Resultats - informe'!$D$27)*(C6513&lt;='Resultats - informe'!$E$27),0,(C6513&gt;='Resultats - informe'!$D$28)*(C6513&lt;='Resultats - informe'!$E$28),0,(C6513&gt;='Resultats - informe'!$D$29)*(C6513&lt;='Resultats - informe'!$E$29),0,1,1)</f>
        <v>0</v>
      </c>
      <c r="N6513" s="366">
        <f>+VLOOKUP(D6513,'Resultats - informe'!$Y$18:$AG$42,'Introducció dades consum'!K6513+1,0)</f>
        <v>0</v>
      </c>
      <c r="O6513" s="370" cm="1">
        <f t="array" ref="O6513">+_xlfn.SWITCH(MONTH(C6513),1,1,2,1,3,1,4,2,5,2,6,3,7,3,8,3,9,3,10,2,11,2,12,1,2)</f>
        <v>1</v>
      </c>
      <c r="P6513" s="43"/>
    </row>
    <row r="6514" spans="1:16" ht="18" x14ac:dyDescent="0.35">
      <c r="A6514" s="9"/>
      <c r="C6514" s="393"/>
      <c r="E6514" s="394"/>
      <c r="F6514" s="394"/>
      <c r="G6514" s="394"/>
      <c r="I6514" s="368">
        <f t="shared" si="309"/>
        <v>0</v>
      </c>
      <c r="J6514" s="365">
        <f t="shared" si="310"/>
        <v>0</v>
      </c>
      <c r="K6514" s="369">
        <f t="shared" si="311"/>
        <v>6</v>
      </c>
      <c r="L6514" s="369">
        <f>+IF((C6514&gt;='Resultats - informe'!$E$16)*(C6514&lt;='Resultats - informe'!$G$16),1,0)</f>
        <v>1</v>
      </c>
      <c r="M6514" s="369" cm="1">
        <f t="array" ref="M6514">+_xlfn.IFS((C6514&gt;='Resultats - informe'!$D$26)*(C6514&lt;='Resultats - informe'!$E$26),0,(C6514&gt;='Resultats - informe'!$D$27)*(C6514&lt;='Resultats - informe'!$E$27),0,(C6514&gt;='Resultats - informe'!$D$28)*(C6514&lt;='Resultats - informe'!$E$28),0,(C6514&gt;='Resultats - informe'!$D$29)*(C6514&lt;='Resultats - informe'!$E$29),0,1,1)</f>
        <v>0</v>
      </c>
      <c r="N6514" s="366">
        <f>+VLOOKUP(D6514,'Resultats - informe'!$Y$18:$AG$42,'Introducció dades consum'!K6514+1,0)</f>
        <v>0</v>
      </c>
      <c r="O6514" s="370" cm="1">
        <f t="array" ref="O6514">+_xlfn.SWITCH(MONTH(C6514),1,1,2,1,3,1,4,2,5,2,6,3,7,3,8,3,9,3,10,2,11,2,12,1,2)</f>
        <v>1</v>
      </c>
      <c r="P6514" s="43"/>
    </row>
    <row r="6515" spans="1:16" ht="18" x14ac:dyDescent="0.35">
      <c r="A6515" s="9"/>
      <c r="C6515" s="393"/>
      <c r="E6515" s="394"/>
      <c r="F6515" s="394"/>
      <c r="G6515" s="394"/>
      <c r="I6515" s="368">
        <f t="shared" si="309"/>
        <v>0</v>
      </c>
      <c r="J6515" s="365">
        <f t="shared" si="310"/>
        <v>0</v>
      </c>
      <c r="K6515" s="369">
        <f t="shared" si="311"/>
        <v>6</v>
      </c>
      <c r="L6515" s="369">
        <f>+IF((C6515&gt;='Resultats - informe'!$E$16)*(C6515&lt;='Resultats - informe'!$G$16),1,0)</f>
        <v>1</v>
      </c>
      <c r="M6515" s="369" cm="1">
        <f t="array" ref="M6515">+_xlfn.IFS((C6515&gt;='Resultats - informe'!$D$26)*(C6515&lt;='Resultats - informe'!$E$26),0,(C6515&gt;='Resultats - informe'!$D$27)*(C6515&lt;='Resultats - informe'!$E$27),0,(C6515&gt;='Resultats - informe'!$D$28)*(C6515&lt;='Resultats - informe'!$E$28),0,(C6515&gt;='Resultats - informe'!$D$29)*(C6515&lt;='Resultats - informe'!$E$29),0,1,1)</f>
        <v>0</v>
      </c>
      <c r="N6515" s="366">
        <f>+VLOOKUP(D6515,'Resultats - informe'!$Y$18:$AG$42,'Introducció dades consum'!K6515+1,0)</f>
        <v>0</v>
      </c>
      <c r="O6515" s="370" cm="1">
        <f t="array" ref="O6515">+_xlfn.SWITCH(MONTH(C6515),1,1,2,1,3,1,4,2,5,2,6,3,7,3,8,3,9,3,10,2,11,2,12,1,2)</f>
        <v>1</v>
      </c>
      <c r="P6515" s="43"/>
    </row>
    <row r="6516" spans="1:16" ht="18" x14ac:dyDescent="0.35">
      <c r="A6516" s="9"/>
      <c r="C6516" s="393"/>
      <c r="E6516" s="394"/>
      <c r="F6516" s="394"/>
      <c r="G6516" s="394"/>
      <c r="I6516" s="368">
        <f t="shared" si="309"/>
        <v>0</v>
      </c>
      <c r="J6516" s="365">
        <f t="shared" si="310"/>
        <v>0</v>
      </c>
      <c r="K6516" s="369">
        <f t="shared" si="311"/>
        <v>6</v>
      </c>
      <c r="L6516" s="369">
        <f>+IF((C6516&gt;='Resultats - informe'!$E$16)*(C6516&lt;='Resultats - informe'!$G$16),1,0)</f>
        <v>1</v>
      </c>
      <c r="M6516" s="369" cm="1">
        <f t="array" ref="M6516">+_xlfn.IFS((C6516&gt;='Resultats - informe'!$D$26)*(C6516&lt;='Resultats - informe'!$E$26),0,(C6516&gt;='Resultats - informe'!$D$27)*(C6516&lt;='Resultats - informe'!$E$27),0,(C6516&gt;='Resultats - informe'!$D$28)*(C6516&lt;='Resultats - informe'!$E$28),0,(C6516&gt;='Resultats - informe'!$D$29)*(C6516&lt;='Resultats - informe'!$E$29),0,1,1)</f>
        <v>0</v>
      </c>
      <c r="N6516" s="366">
        <f>+VLOOKUP(D6516,'Resultats - informe'!$Y$18:$AG$42,'Introducció dades consum'!K6516+1,0)</f>
        <v>0</v>
      </c>
      <c r="O6516" s="370" cm="1">
        <f t="array" ref="O6516">+_xlfn.SWITCH(MONTH(C6516),1,1,2,1,3,1,4,2,5,2,6,3,7,3,8,3,9,3,10,2,11,2,12,1,2)</f>
        <v>1</v>
      </c>
      <c r="P6516" s="43"/>
    </row>
    <row r="6517" spans="1:16" ht="18" x14ac:dyDescent="0.35">
      <c r="A6517" s="9"/>
      <c r="C6517" s="393"/>
      <c r="E6517" s="394"/>
      <c r="F6517" s="394"/>
      <c r="G6517" s="394"/>
      <c r="I6517" s="368">
        <f t="shared" si="309"/>
        <v>0</v>
      </c>
      <c r="J6517" s="365">
        <f t="shared" si="310"/>
        <v>0</v>
      </c>
      <c r="K6517" s="369">
        <f t="shared" si="311"/>
        <v>6</v>
      </c>
      <c r="L6517" s="369">
        <f>+IF((C6517&gt;='Resultats - informe'!$E$16)*(C6517&lt;='Resultats - informe'!$G$16),1,0)</f>
        <v>1</v>
      </c>
      <c r="M6517" s="369" cm="1">
        <f t="array" ref="M6517">+_xlfn.IFS((C6517&gt;='Resultats - informe'!$D$26)*(C6517&lt;='Resultats - informe'!$E$26),0,(C6517&gt;='Resultats - informe'!$D$27)*(C6517&lt;='Resultats - informe'!$E$27),0,(C6517&gt;='Resultats - informe'!$D$28)*(C6517&lt;='Resultats - informe'!$E$28),0,(C6517&gt;='Resultats - informe'!$D$29)*(C6517&lt;='Resultats - informe'!$E$29),0,1,1)</f>
        <v>0</v>
      </c>
      <c r="N6517" s="366">
        <f>+VLOOKUP(D6517,'Resultats - informe'!$Y$18:$AG$42,'Introducció dades consum'!K6517+1,0)</f>
        <v>0</v>
      </c>
      <c r="O6517" s="370" cm="1">
        <f t="array" ref="O6517">+_xlfn.SWITCH(MONTH(C6517),1,1,2,1,3,1,4,2,5,2,6,3,7,3,8,3,9,3,10,2,11,2,12,1,2)</f>
        <v>1</v>
      </c>
      <c r="P6517" s="43"/>
    </row>
    <row r="6518" spans="1:16" ht="18" x14ac:dyDescent="0.35">
      <c r="A6518" s="9"/>
      <c r="C6518" s="393"/>
      <c r="E6518" s="394"/>
      <c r="F6518" s="394"/>
      <c r="G6518" s="394"/>
      <c r="I6518" s="368">
        <f t="shared" si="309"/>
        <v>0</v>
      </c>
      <c r="J6518" s="365">
        <f t="shared" si="310"/>
        <v>0</v>
      </c>
      <c r="K6518" s="369">
        <f t="shared" si="311"/>
        <v>6</v>
      </c>
      <c r="L6518" s="369">
        <f>+IF((C6518&gt;='Resultats - informe'!$E$16)*(C6518&lt;='Resultats - informe'!$G$16),1,0)</f>
        <v>1</v>
      </c>
      <c r="M6518" s="369" cm="1">
        <f t="array" ref="M6518">+_xlfn.IFS((C6518&gt;='Resultats - informe'!$D$26)*(C6518&lt;='Resultats - informe'!$E$26),0,(C6518&gt;='Resultats - informe'!$D$27)*(C6518&lt;='Resultats - informe'!$E$27),0,(C6518&gt;='Resultats - informe'!$D$28)*(C6518&lt;='Resultats - informe'!$E$28),0,(C6518&gt;='Resultats - informe'!$D$29)*(C6518&lt;='Resultats - informe'!$E$29),0,1,1)</f>
        <v>0</v>
      </c>
      <c r="N6518" s="366">
        <f>+VLOOKUP(D6518,'Resultats - informe'!$Y$18:$AG$42,'Introducció dades consum'!K6518+1,0)</f>
        <v>0</v>
      </c>
      <c r="O6518" s="370" cm="1">
        <f t="array" ref="O6518">+_xlfn.SWITCH(MONTH(C6518),1,1,2,1,3,1,4,2,5,2,6,3,7,3,8,3,9,3,10,2,11,2,12,1,2)</f>
        <v>1</v>
      </c>
      <c r="P6518" s="43"/>
    </row>
    <row r="6519" spans="1:16" ht="18" x14ac:dyDescent="0.35">
      <c r="A6519" s="9"/>
      <c r="C6519" s="393"/>
      <c r="E6519" s="394"/>
      <c r="F6519" s="394"/>
      <c r="G6519" s="394"/>
      <c r="I6519" s="368">
        <f t="shared" si="309"/>
        <v>0</v>
      </c>
      <c r="J6519" s="365">
        <f t="shared" si="310"/>
        <v>0</v>
      </c>
      <c r="K6519" s="369">
        <f t="shared" si="311"/>
        <v>6</v>
      </c>
      <c r="L6519" s="369">
        <f>+IF((C6519&gt;='Resultats - informe'!$E$16)*(C6519&lt;='Resultats - informe'!$G$16),1,0)</f>
        <v>1</v>
      </c>
      <c r="M6519" s="369" cm="1">
        <f t="array" ref="M6519">+_xlfn.IFS((C6519&gt;='Resultats - informe'!$D$26)*(C6519&lt;='Resultats - informe'!$E$26),0,(C6519&gt;='Resultats - informe'!$D$27)*(C6519&lt;='Resultats - informe'!$E$27),0,(C6519&gt;='Resultats - informe'!$D$28)*(C6519&lt;='Resultats - informe'!$E$28),0,(C6519&gt;='Resultats - informe'!$D$29)*(C6519&lt;='Resultats - informe'!$E$29),0,1,1)</f>
        <v>0</v>
      </c>
      <c r="N6519" s="366">
        <f>+VLOOKUP(D6519,'Resultats - informe'!$Y$18:$AG$42,'Introducció dades consum'!K6519+1,0)</f>
        <v>0</v>
      </c>
      <c r="O6519" s="370" cm="1">
        <f t="array" ref="O6519">+_xlfn.SWITCH(MONTH(C6519),1,1,2,1,3,1,4,2,5,2,6,3,7,3,8,3,9,3,10,2,11,2,12,1,2)</f>
        <v>1</v>
      </c>
      <c r="P6519" s="43"/>
    </row>
    <row r="6520" spans="1:16" ht="18" x14ac:dyDescent="0.35">
      <c r="A6520" s="9"/>
      <c r="C6520" s="393"/>
      <c r="E6520" s="394"/>
      <c r="F6520" s="394"/>
      <c r="G6520" s="394"/>
      <c r="I6520" s="368">
        <f t="shared" si="309"/>
        <v>0</v>
      </c>
      <c r="J6520" s="365">
        <f t="shared" si="310"/>
        <v>0</v>
      </c>
      <c r="K6520" s="369">
        <f t="shared" si="311"/>
        <v>6</v>
      </c>
      <c r="L6520" s="369">
        <f>+IF((C6520&gt;='Resultats - informe'!$E$16)*(C6520&lt;='Resultats - informe'!$G$16),1,0)</f>
        <v>1</v>
      </c>
      <c r="M6520" s="369" cm="1">
        <f t="array" ref="M6520">+_xlfn.IFS((C6520&gt;='Resultats - informe'!$D$26)*(C6520&lt;='Resultats - informe'!$E$26),0,(C6520&gt;='Resultats - informe'!$D$27)*(C6520&lt;='Resultats - informe'!$E$27),0,(C6520&gt;='Resultats - informe'!$D$28)*(C6520&lt;='Resultats - informe'!$E$28),0,(C6520&gt;='Resultats - informe'!$D$29)*(C6520&lt;='Resultats - informe'!$E$29),0,1,1)</f>
        <v>0</v>
      </c>
      <c r="N6520" s="366">
        <f>+VLOOKUP(D6520,'Resultats - informe'!$Y$18:$AG$42,'Introducció dades consum'!K6520+1,0)</f>
        <v>0</v>
      </c>
      <c r="O6520" s="370" cm="1">
        <f t="array" ref="O6520">+_xlfn.SWITCH(MONTH(C6520),1,1,2,1,3,1,4,2,5,2,6,3,7,3,8,3,9,3,10,2,11,2,12,1,2)</f>
        <v>1</v>
      </c>
      <c r="P6520" s="43"/>
    </row>
    <row r="6521" spans="1:16" ht="18" x14ac:dyDescent="0.35">
      <c r="A6521" s="9"/>
      <c r="C6521" s="393"/>
      <c r="E6521" s="394"/>
      <c r="F6521" s="394"/>
      <c r="G6521" s="394"/>
      <c r="I6521" s="368">
        <f t="shared" si="309"/>
        <v>0</v>
      </c>
      <c r="J6521" s="365">
        <f t="shared" si="310"/>
        <v>0</v>
      </c>
      <c r="K6521" s="369">
        <f t="shared" si="311"/>
        <v>6</v>
      </c>
      <c r="L6521" s="369">
        <f>+IF((C6521&gt;='Resultats - informe'!$E$16)*(C6521&lt;='Resultats - informe'!$G$16),1,0)</f>
        <v>1</v>
      </c>
      <c r="M6521" s="369" cm="1">
        <f t="array" ref="M6521">+_xlfn.IFS((C6521&gt;='Resultats - informe'!$D$26)*(C6521&lt;='Resultats - informe'!$E$26),0,(C6521&gt;='Resultats - informe'!$D$27)*(C6521&lt;='Resultats - informe'!$E$27),0,(C6521&gt;='Resultats - informe'!$D$28)*(C6521&lt;='Resultats - informe'!$E$28),0,(C6521&gt;='Resultats - informe'!$D$29)*(C6521&lt;='Resultats - informe'!$E$29),0,1,1)</f>
        <v>0</v>
      </c>
      <c r="N6521" s="366">
        <f>+VLOOKUP(D6521,'Resultats - informe'!$Y$18:$AG$42,'Introducció dades consum'!K6521+1,0)</f>
        <v>0</v>
      </c>
      <c r="O6521" s="370" cm="1">
        <f t="array" ref="O6521">+_xlfn.SWITCH(MONTH(C6521),1,1,2,1,3,1,4,2,5,2,6,3,7,3,8,3,9,3,10,2,11,2,12,1,2)</f>
        <v>1</v>
      </c>
      <c r="P6521" s="43"/>
    </row>
    <row r="6522" spans="1:16" ht="18" x14ac:dyDescent="0.35">
      <c r="A6522" s="9"/>
      <c r="C6522" s="393"/>
      <c r="E6522" s="394"/>
      <c r="F6522" s="394"/>
      <c r="G6522" s="394"/>
      <c r="I6522" s="368">
        <f t="shared" si="309"/>
        <v>0</v>
      </c>
      <c r="J6522" s="365">
        <f t="shared" si="310"/>
        <v>0</v>
      </c>
      <c r="K6522" s="369">
        <f t="shared" si="311"/>
        <v>6</v>
      </c>
      <c r="L6522" s="369">
        <f>+IF((C6522&gt;='Resultats - informe'!$E$16)*(C6522&lt;='Resultats - informe'!$G$16),1,0)</f>
        <v>1</v>
      </c>
      <c r="M6522" s="369" cm="1">
        <f t="array" ref="M6522">+_xlfn.IFS((C6522&gt;='Resultats - informe'!$D$26)*(C6522&lt;='Resultats - informe'!$E$26),0,(C6522&gt;='Resultats - informe'!$D$27)*(C6522&lt;='Resultats - informe'!$E$27),0,(C6522&gt;='Resultats - informe'!$D$28)*(C6522&lt;='Resultats - informe'!$E$28),0,(C6522&gt;='Resultats - informe'!$D$29)*(C6522&lt;='Resultats - informe'!$E$29),0,1,1)</f>
        <v>0</v>
      </c>
      <c r="N6522" s="366">
        <f>+VLOOKUP(D6522,'Resultats - informe'!$Y$18:$AG$42,'Introducció dades consum'!K6522+1,0)</f>
        <v>0</v>
      </c>
      <c r="O6522" s="370" cm="1">
        <f t="array" ref="O6522">+_xlfn.SWITCH(MONTH(C6522),1,1,2,1,3,1,4,2,5,2,6,3,7,3,8,3,9,3,10,2,11,2,12,1,2)</f>
        <v>1</v>
      </c>
      <c r="P6522" s="43"/>
    </row>
    <row r="6523" spans="1:16" ht="18" x14ac:dyDescent="0.35">
      <c r="A6523" s="9"/>
      <c r="C6523" s="393"/>
      <c r="E6523" s="394"/>
      <c r="F6523" s="394"/>
      <c r="G6523" s="394"/>
      <c r="I6523" s="368">
        <f t="shared" si="309"/>
        <v>0</v>
      </c>
      <c r="J6523" s="365">
        <f t="shared" si="310"/>
        <v>0</v>
      </c>
      <c r="K6523" s="369">
        <f t="shared" si="311"/>
        <v>6</v>
      </c>
      <c r="L6523" s="369">
        <f>+IF((C6523&gt;='Resultats - informe'!$E$16)*(C6523&lt;='Resultats - informe'!$G$16),1,0)</f>
        <v>1</v>
      </c>
      <c r="M6523" s="369" cm="1">
        <f t="array" ref="M6523">+_xlfn.IFS((C6523&gt;='Resultats - informe'!$D$26)*(C6523&lt;='Resultats - informe'!$E$26),0,(C6523&gt;='Resultats - informe'!$D$27)*(C6523&lt;='Resultats - informe'!$E$27),0,(C6523&gt;='Resultats - informe'!$D$28)*(C6523&lt;='Resultats - informe'!$E$28),0,(C6523&gt;='Resultats - informe'!$D$29)*(C6523&lt;='Resultats - informe'!$E$29),0,1,1)</f>
        <v>0</v>
      </c>
      <c r="N6523" s="366">
        <f>+VLOOKUP(D6523,'Resultats - informe'!$Y$18:$AG$42,'Introducció dades consum'!K6523+1,0)</f>
        <v>0</v>
      </c>
      <c r="O6523" s="370" cm="1">
        <f t="array" ref="O6523">+_xlfn.SWITCH(MONTH(C6523),1,1,2,1,3,1,4,2,5,2,6,3,7,3,8,3,9,3,10,2,11,2,12,1,2)</f>
        <v>1</v>
      </c>
      <c r="P6523" s="43"/>
    </row>
    <row r="6524" spans="1:16" ht="18" x14ac:dyDescent="0.35">
      <c r="A6524" s="9"/>
      <c r="C6524" s="393"/>
      <c r="E6524" s="394"/>
      <c r="F6524" s="394"/>
      <c r="G6524" s="394"/>
      <c r="I6524" s="368">
        <f t="shared" si="309"/>
        <v>0</v>
      </c>
      <c r="J6524" s="365">
        <f t="shared" si="310"/>
        <v>0</v>
      </c>
      <c r="K6524" s="369">
        <f t="shared" si="311"/>
        <v>6</v>
      </c>
      <c r="L6524" s="369">
        <f>+IF((C6524&gt;='Resultats - informe'!$E$16)*(C6524&lt;='Resultats - informe'!$G$16),1,0)</f>
        <v>1</v>
      </c>
      <c r="M6524" s="369" cm="1">
        <f t="array" ref="M6524">+_xlfn.IFS((C6524&gt;='Resultats - informe'!$D$26)*(C6524&lt;='Resultats - informe'!$E$26),0,(C6524&gt;='Resultats - informe'!$D$27)*(C6524&lt;='Resultats - informe'!$E$27),0,(C6524&gt;='Resultats - informe'!$D$28)*(C6524&lt;='Resultats - informe'!$E$28),0,(C6524&gt;='Resultats - informe'!$D$29)*(C6524&lt;='Resultats - informe'!$E$29),0,1,1)</f>
        <v>0</v>
      </c>
      <c r="N6524" s="366">
        <f>+VLOOKUP(D6524,'Resultats - informe'!$Y$18:$AG$42,'Introducció dades consum'!K6524+1,0)</f>
        <v>0</v>
      </c>
      <c r="O6524" s="370" cm="1">
        <f t="array" ref="O6524">+_xlfn.SWITCH(MONTH(C6524),1,1,2,1,3,1,4,2,5,2,6,3,7,3,8,3,9,3,10,2,11,2,12,1,2)</f>
        <v>1</v>
      </c>
      <c r="P6524" s="43"/>
    </row>
    <row r="6525" spans="1:16" ht="18" x14ac:dyDescent="0.35">
      <c r="A6525" s="9"/>
      <c r="C6525" s="393"/>
      <c r="E6525" s="394"/>
      <c r="F6525" s="394"/>
      <c r="G6525" s="394"/>
      <c r="I6525" s="368">
        <f t="shared" si="309"/>
        <v>0</v>
      </c>
      <c r="J6525" s="365">
        <f t="shared" si="310"/>
        <v>0</v>
      </c>
      <c r="K6525" s="369">
        <f t="shared" si="311"/>
        <v>6</v>
      </c>
      <c r="L6525" s="369">
        <f>+IF((C6525&gt;='Resultats - informe'!$E$16)*(C6525&lt;='Resultats - informe'!$G$16),1,0)</f>
        <v>1</v>
      </c>
      <c r="M6525" s="369" cm="1">
        <f t="array" ref="M6525">+_xlfn.IFS((C6525&gt;='Resultats - informe'!$D$26)*(C6525&lt;='Resultats - informe'!$E$26),0,(C6525&gt;='Resultats - informe'!$D$27)*(C6525&lt;='Resultats - informe'!$E$27),0,(C6525&gt;='Resultats - informe'!$D$28)*(C6525&lt;='Resultats - informe'!$E$28),0,(C6525&gt;='Resultats - informe'!$D$29)*(C6525&lt;='Resultats - informe'!$E$29),0,1,1)</f>
        <v>0</v>
      </c>
      <c r="N6525" s="366">
        <f>+VLOOKUP(D6525,'Resultats - informe'!$Y$18:$AG$42,'Introducció dades consum'!K6525+1,0)</f>
        <v>0</v>
      </c>
      <c r="O6525" s="370" cm="1">
        <f t="array" ref="O6525">+_xlfn.SWITCH(MONTH(C6525),1,1,2,1,3,1,4,2,5,2,6,3,7,3,8,3,9,3,10,2,11,2,12,1,2)</f>
        <v>1</v>
      </c>
      <c r="P6525" s="43"/>
    </row>
    <row r="6526" spans="1:16" ht="18" x14ac:dyDescent="0.35">
      <c r="A6526" s="9"/>
      <c r="C6526" s="393"/>
      <c r="E6526" s="394"/>
      <c r="F6526" s="394"/>
      <c r="G6526" s="394"/>
      <c r="I6526" s="368">
        <f t="shared" si="309"/>
        <v>0</v>
      </c>
      <c r="J6526" s="365">
        <f t="shared" si="310"/>
        <v>0</v>
      </c>
      <c r="K6526" s="369">
        <f t="shared" si="311"/>
        <v>6</v>
      </c>
      <c r="L6526" s="369">
        <f>+IF((C6526&gt;='Resultats - informe'!$E$16)*(C6526&lt;='Resultats - informe'!$G$16),1,0)</f>
        <v>1</v>
      </c>
      <c r="M6526" s="369" cm="1">
        <f t="array" ref="M6526">+_xlfn.IFS((C6526&gt;='Resultats - informe'!$D$26)*(C6526&lt;='Resultats - informe'!$E$26),0,(C6526&gt;='Resultats - informe'!$D$27)*(C6526&lt;='Resultats - informe'!$E$27),0,(C6526&gt;='Resultats - informe'!$D$28)*(C6526&lt;='Resultats - informe'!$E$28),0,(C6526&gt;='Resultats - informe'!$D$29)*(C6526&lt;='Resultats - informe'!$E$29),0,1,1)</f>
        <v>0</v>
      </c>
      <c r="N6526" s="366">
        <f>+VLOOKUP(D6526,'Resultats - informe'!$Y$18:$AG$42,'Introducció dades consum'!K6526+1,0)</f>
        <v>0</v>
      </c>
      <c r="O6526" s="370" cm="1">
        <f t="array" ref="O6526">+_xlfn.SWITCH(MONTH(C6526),1,1,2,1,3,1,4,2,5,2,6,3,7,3,8,3,9,3,10,2,11,2,12,1,2)</f>
        <v>1</v>
      </c>
      <c r="P6526" s="43"/>
    </row>
    <row r="6527" spans="1:16" ht="18" x14ac:dyDescent="0.35">
      <c r="A6527" s="9"/>
      <c r="C6527" s="393"/>
      <c r="E6527" s="394"/>
      <c r="F6527" s="394"/>
      <c r="G6527" s="394"/>
      <c r="I6527" s="368">
        <f t="shared" si="309"/>
        <v>0</v>
      </c>
      <c r="J6527" s="365">
        <f t="shared" si="310"/>
        <v>0</v>
      </c>
      <c r="K6527" s="369">
        <f t="shared" si="311"/>
        <v>6</v>
      </c>
      <c r="L6527" s="369">
        <f>+IF((C6527&gt;='Resultats - informe'!$E$16)*(C6527&lt;='Resultats - informe'!$G$16),1,0)</f>
        <v>1</v>
      </c>
      <c r="M6527" s="369" cm="1">
        <f t="array" ref="M6527">+_xlfn.IFS((C6527&gt;='Resultats - informe'!$D$26)*(C6527&lt;='Resultats - informe'!$E$26),0,(C6527&gt;='Resultats - informe'!$D$27)*(C6527&lt;='Resultats - informe'!$E$27),0,(C6527&gt;='Resultats - informe'!$D$28)*(C6527&lt;='Resultats - informe'!$E$28),0,(C6527&gt;='Resultats - informe'!$D$29)*(C6527&lt;='Resultats - informe'!$E$29),0,1,1)</f>
        <v>0</v>
      </c>
      <c r="N6527" s="366">
        <f>+VLOOKUP(D6527,'Resultats - informe'!$Y$18:$AG$42,'Introducció dades consum'!K6527+1,0)</f>
        <v>0</v>
      </c>
      <c r="O6527" s="370" cm="1">
        <f t="array" ref="O6527">+_xlfn.SWITCH(MONTH(C6527),1,1,2,1,3,1,4,2,5,2,6,3,7,3,8,3,9,3,10,2,11,2,12,1,2)</f>
        <v>1</v>
      </c>
      <c r="P6527" s="43"/>
    </row>
    <row r="6528" spans="1:16" ht="18" x14ac:dyDescent="0.35">
      <c r="A6528" s="9"/>
      <c r="C6528" s="393"/>
      <c r="E6528" s="394"/>
      <c r="F6528" s="394"/>
      <c r="G6528" s="394"/>
      <c r="I6528" s="368">
        <f t="shared" si="309"/>
        <v>0</v>
      </c>
      <c r="J6528" s="365">
        <f t="shared" si="310"/>
        <v>0</v>
      </c>
      <c r="K6528" s="369">
        <f t="shared" si="311"/>
        <v>6</v>
      </c>
      <c r="L6528" s="369">
        <f>+IF((C6528&gt;='Resultats - informe'!$E$16)*(C6528&lt;='Resultats - informe'!$G$16),1,0)</f>
        <v>1</v>
      </c>
      <c r="M6528" s="369" cm="1">
        <f t="array" ref="M6528">+_xlfn.IFS((C6528&gt;='Resultats - informe'!$D$26)*(C6528&lt;='Resultats - informe'!$E$26),0,(C6528&gt;='Resultats - informe'!$D$27)*(C6528&lt;='Resultats - informe'!$E$27),0,(C6528&gt;='Resultats - informe'!$D$28)*(C6528&lt;='Resultats - informe'!$E$28),0,(C6528&gt;='Resultats - informe'!$D$29)*(C6528&lt;='Resultats - informe'!$E$29),0,1,1)</f>
        <v>0</v>
      </c>
      <c r="N6528" s="366">
        <f>+VLOOKUP(D6528,'Resultats - informe'!$Y$18:$AG$42,'Introducció dades consum'!K6528+1,0)</f>
        <v>0</v>
      </c>
      <c r="O6528" s="370" cm="1">
        <f t="array" ref="O6528">+_xlfn.SWITCH(MONTH(C6528),1,1,2,1,3,1,4,2,5,2,6,3,7,3,8,3,9,3,10,2,11,2,12,1,2)</f>
        <v>1</v>
      </c>
      <c r="P6528" s="43"/>
    </row>
    <row r="6529" spans="1:16" ht="18" x14ac:dyDescent="0.35">
      <c r="A6529" s="9"/>
      <c r="C6529" s="393"/>
      <c r="E6529" s="394"/>
      <c r="F6529" s="394"/>
      <c r="G6529" s="394"/>
      <c r="I6529" s="368">
        <f t="shared" si="309"/>
        <v>0</v>
      </c>
      <c r="J6529" s="365">
        <f t="shared" si="310"/>
        <v>0</v>
      </c>
      <c r="K6529" s="369">
        <f t="shared" si="311"/>
        <v>6</v>
      </c>
      <c r="L6529" s="369">
        <f>+IF((C6529&gt;='Resultats - informe'!$E$16)*(C6529&lt;='Resultats - informe'!$G$16),1,0)</f>
        <v>1</v>
      </c>
      <c r="M6529" s="369" cm="1">
        <f t="array" ref="M6529">+_xlfn.IFS((C6529&gt;='Resultats - informe'!$D$26)*(C6529&lt;='Resultats - informe'!$E$26),0,(C6529&gt;='Resultats - informe'!$D$27)*(C6529&lt;='Resultats - informe'!$E$27),0,(C6529&gt;='Resultats - informe'!$D$28)*(C6529&lt;='Resultats - informe'!$E$28),0,(C6529&gt;='Resultats - informe'!$D$29)*(C6529&lt;='Resultats - informe'!$E$29),0,1,1)</f>
        <v>0</v>
      </c>
      <c r="N6529" s="366">
        <f>+VLOOKUP(D6529,'Resultats - informe'!$Y$18:$AG$42,'Introducció dades consum'!K6529+1,0)</f>
        <v>0</v>
      </c>
      <c r="O6529" s="370" cm="1">
        <f t="array" ref="O6529">+_xlfn.SWITCH(MONTH(C6529),1,1,2,1,3,1,4,2,5,2,6,3,7,3,8,3,9,3,10,2,11,2,12,1,2)</f>
        <v>1</v>
      </c>
      <c r="P6529" s="43"/>
    </row>
    <row r="6530" spans="1:16" ht="18" x14ac:dyDescent="0.35">
      <c r="A6530" s="9"/>
      <c r="C6530" s="393"/>
      <c r="E6530" s="394"/>
      <c r="F6530" s="394"/>
      <c r="G6530" s="394"/>
      <c r="I6530" s="368">
        <f t="shared" si="309"/>
        <v>0</v>
      </c>
      <c r="J6530" s="365">
        <f t="shared" si="310"/>
        <v>0</v>
      </c>
      <c r="K6530" s="369">
        <f t="shared" si="311"/>
        <v>6</v>
      </c>
      <c r="L6530" s="369">
        <f>+IF((C6530&gt;='Resultats - informe'!$E$16)*(C6530&lt;='Resultats - informe'!$G$16),1,0)</f>
        <v>1</v>
      </c>
      <c r="M6530" s="369" cm="1">
        <f t="array" ref="M6530">+_xlfn.IFS((C6530&gt;='Resultats - informe'!$D$26)*(C6530&lt;='Resultats - informe'!$E$26),0,(C6530&gt;='Resultats - informe'!$D$27)*(C6530&lt;='Resultats - informe'!$E$27),0,(C6530&gt;='Resultats - informe'!$D$28)*(C6530&lt;='Resultats - informe'!$E$28),0,(C6530&gt;='Resultats - informe'!$D$29)*(C6530&lt;='Resultats - informe'!$E$29),0,1,1)</f>
        <v>0</v>
      </c>
      <c r="N6530" s="366">
        <f>+VLOOKUP(D6530,'Resultats - informe'!$Y$18:$AG$42,'Introducció dades consum'!K6530+1,0)</f>
        <v>0</v>
      </c>
      <c r="O6530" s="370" cm="1">
        <f t="array" ref="O6530">+_xlfn.SWITCH(MONTH(C6530),1,1,2,1,3,1,4,2,5,2,6,3,7,3,8,3,9,3,10,2,11,2,12,1,2)</f>
        <v>1</v>
      </c>
      <c r="P6530" s="43"/>
    </row>
    <row r="6531" spans="1:16" ht="18" x14ac:dyDescent="0.35">
      <c r="A6531" s="9"/>
      <c r="C6531" s="393"/>
      <c r="E6531" s="394"/>
      <c r="F6531" s="394"/>
      <c r="G6531" s="394"/>
      <c r="I6531" s="368">
        <f t="shared" si="309"/>
        <v>0</v>
      </c>
      <c r="J6531" s="365">
        <f t="shared" si="310"/>
        <v>0</v>
      </c>
      <c r="K6531" s="369">
        <f t="shared" si="311"/>
        <v>6</v>
      </c>
      <c r="L6531" s="369">
        <f>+IF((C6531&gt;='Resultats - informe'!$E$16)*(C6531&lt;='Resultats - informe'!$G$16),1,0)</f>
        <v>1</v>
      </c>
      <c r="M6531" s="369" cm="1">
        <f t="array" ref="M6531">+_xlfn.IFS((C6531&gt;='Resultats - informe'!$D$26)*(C6531&lt;='Resultats - informe'!$E$26),0,(C6531&gt;='Resultats - informe'!$D$27)*(C6531&lt;='Resultats - informe'!$E$27),0,(C6531&gt;='Resultats - informe'!$D$28)*(C6531&lt;='Resultats - informe'!$E$28),0,(C6531&gt;='Resultats - informe'!$D$29)*(C6531&lt;='Resultats - informe'!$E$29),0,1,1)</f>
        <v>0</v>
      </c>
      <c r="N6531" s="366">
        <f>+VLOOKUP(D6531,'Resultats - informe'!$Y$18:$AG$42,'Introducció dades consum'!K6531+1,0)</f>
        <v>0</v>
      </c>
      <c r="O6531" s="370" cm="1">
        <f t="array" ref="O6531">+_xlfn.SWITCH(MONTH(C6531),1,1,2,1,3,1,4,2,5,2,6,3,7,3,8,3,9,3,10,2,11,2,12,1,2)</f>
        <v>1</v>
      </c>
      <c r="P6531" s="43"/>
    </row>
    <row r="6532" spans="1:16" ht="18" x14ac:dyDescent="0.35">
      <c r="A6532" s="9"/>
      <c r="C6532" s="393"/>
      <c r="E6532" s="394"/>
      <c r="F6532" s="394"/>
      <c r="G6532" s="394"/>
      <c r="I6532" s="368">
        <f t="shared" si="309"/>
        <v>0</v>
      </c>
      <c r="J6532" s="365">
        <f t="shared" si="310"/>
        <v>0</v>
      </c>
      <c r="K6532" s="369">
        <f t="shared" si="311"/>
        <v>6</v>
      </c>
      <c r="L6532" s="369">
        <f>+IF((C6532&gt;='Resultats - informe'!$E$16)*(C6532&lt;='Resultats - informe'!$G$16),1,0)</f>
        <v>1</v>
      </c>
      <c r="M6532" s="369" cm="1">
        <f t="array" ref="M6532">+_xlfn.IFS((C6532&gt;='Resultats - informe'!$D$26)*(C6532&lt;='Resultats - informe'!$E$26),0,(C6532&gt;='Resultats - informe'!$D$27)*(C6532&lt;='Resultats - informe'!$E$27),0,(C6532&gt;='Resultats - informe'!$D$28)*(C6532&lt;='Resultats - informe'!$E$28),0,(C6532&gt;='Resultats - informe'!$D$29)*(C6532&lt;='Resultats - informe'!$E$29),0,1,1)</f>
        <v>0</v>
      </c>
      <c r="N6532" s="366">
        <f>+VLOOKUP(D6532,'Resultats - informe'!$Y$18:$AG$42,'Introducció dades consum'!K6532+1,0)</f>
        <v>0</v>
      </c>
      <c r="O6532" s="370" cm="1">
        <f t="array" ref="O6532">+_xlfn.SWITCH(MONTH(C6532),1,1,2,1,3,1,4,2,5,2,6,3,7,3,8,3,9,3,10,2,11,2,12,1,2)</f>
        <v>1</v>
      </c>
      <c r="P6532" s="43"/>
    </row>
    <row r="6533" spans="1:16" ht="18" x14ac:dyDescent="0.35">
      <c r="A6533" s="9"/>
      <c r="C6533" s="393"/>
      <c r="E6533" s="394"/>
      <c r="F6533" s="394"/>
      <c r="G6533" s="394"/>
      <c r="I6533" s="368">
        <f t="shared" si="309"/>
        <v>0</v>
      </c>
      <c r="J6533" s="365">
        <f t="shared" si="310"/>
        <v>0</v>
      </c>
      <c r="K6533" s="369">
        <f t="shared" si="311"/>
        <v>6</v>
      </c>
      <c r="L6533" s="369">
        <f>+IF((C6533&gt;='Resultats - informe'!$E$16)*(C6533&lt;='Resultats - informe'!$G$16),1,0)</f>
        <v>1</v>
      </c>
      <c r="M6533" s="369" cm="1">
        <f t="array" ref="M6533">+_xlfn.IFS((C6533&gt;='Resultats - informe'!$D$26)*(C6533&lt;='Resultats - informe'!$E$26),0,(C6533&gt;='Resultats - informe'!$D$27)*(C6533&lt;='Resultats - informe'!$E$27),0,(C6533&gt;='Resultats - informe'!$D$28)*(C6533&lt;='Resultats - informe'!$E$28),0,(C6533&gt;='Resultats - informe'!$D$29)*(C6533&lt;='Resultats - informe'!$E$29),0,1,1)</f>
        <v>0</v>
      </c>
      <c r="N6533" s="366">
        <f>+VLOOKUP(D6533,'Resultats - informe'!$Y$18:$AG$42,'Introducció dades consum'!K6533+1,0)</f>
        <v>0</v>
      </c>
      <c r="O6533" s="370" cm="1">
        <f t="array" ref="O6533">+_xlfn.SWITCH(MONTH(C6533),1,1,2,1,3,1,4,2,5,2,6,3,7,3,8,3,9,3,10,2,11,2,12,1,2)</f>
        <v>1</v>
      </c>
      <c r="P6533" s="43"/>
    </row>
    <row r="6534" spans="1:16" ht="18" x14ac:dyDescent="0.35">
      <c r="A6534" s="9"/>
      <c r="C6534" s="393"/>
      <c r="E6534" s="394"/>
      <c r="F6534" s="394"/>
      <c r="G6534" s="394"/>
      <c r="I6534" s="368">
        <f t="shared" si="309"/>
        <v>0</v>
      </c>
      <c r="J6534" s="365">
        <f t="shared" si="310"/>
        <v>0</v>
      </c>
      <c r="K6534" s="369">
        <f t="shared" si="311"/>
        <v>6</v>
      </c>
      <c r="L6534" s="369">
        <f>+IF((C6534&gt;='Resultats - informe'!$E$16)*(C6534&lt;='Resultats - informe'!$G$16),1,0)</f>
        <v>1</v>
      </c>
      <c r="M6534" s="369" cm="1">
        <f t="array" ref="M6534">+_xlfn.IFS((C6534&gt;='Resultats - informe'!$D$26)*(C6534&lt;='Resultats - informe'!$E$26),0,(C6534&gt;='Resultats - informe'!$D$27)*(C6534&lt;='Resultats - informe'!$E$27),0,(C6534&gt;='Resultats - informe'!$D$28)*(C6534&lt;='Resultats - informe'!$E$28),0,(C6534&gt;='Resultats - informe'!$D$29)*(C6534&lt;='Resultats - informe'!$E$29),0,1,1)</f>
        <v>0</v>
      </c>
      <c r="N6534" s="366">
        <f>+VLOOKUP(D6534,'Resultats - informe'!$Y$18:$AG$42,'Introducció dades consum'!K6534+1,0)</f>
        <v>0</v>
      </c>
      <c r="O6534" s="370" cm="1">
        <f t="array" ref="O6534">+_xlfn.SWITCH(MONTH(C6534),1,1,2,1,3,1,4,2,5,2,6,3,7,3,8,3,9,3,10,2,11,2,12,1,2)</f>
        <v>1</v>
      </c>
      <c r="P6534" s="43"/>
    </row>
    <row r="6535" spans="1:16" ht="18" x14ac:dyDescent="0.35">
      <c r="A6535" s="9"/>
      <c r="C6535" s="393"/>
      <c r="E6535" s="394"/>
      <c r="F6535" s="394"/>
      <c r="G6535" s="394"/>
      <c r="I6535" s="368">
        <f t="shared" si="309"/>
        <v>0</v>
      </c>
      <c r="J6535" s="365">
        <f t="shared" si="310"/>
        <v>0</v>
      </c>
      <c r="K6535" s="369">
        <f t="shared" si="311"/>
        <v>6</v>
      </c>
      <c r="L6535" s="369">
        <f>+IF((C6535&gt;='Resultats - informe'!$E$16)*(C6535&lt;='Resultats - informe'!$G$16),1,0)</f>
        <v>1</v>
      </c>
      <c r="M6535" s="369" cm="1">
        <f t="array" ref="M6535">+_xlfn.IFS((C6535&gt;='Resultats - informe'!$D$26)*(C6535&lt;='Resultats - informe'!$E$26),0,(C6535&gt;='Resultats - informe'!$D$27)*(C6535&lt;='Resultats - informe'!$E$27),0,(C6535&gt;='Resultats - informe'!$D$28)*(C6535&lt;='Resultats - informe'!$E$28),0,(C6535&gt;='Resultats - informe'!$D$29)*(C6535&lt;='Resultats - informe'!$E$29),0,1,1)</f>
        <v>0</v>
      </c>
      <c r="N6535" s="366">
        <f>+VLOOKUP(D6535,'Resultats - informe'!$Y$18:$AG$42,'Introducció dades consum'!K6535+1,0)</f>
        <v>0</v>
      </c>
      <c r="O6535" s="370" cm="1">
        <f t="array" ref="O6535">+_xlfn.SWITCH(MONTH(C6535),1,1,2,1,3,1,4,2,5,2,6,3,7,3,8,3,9,3,10,2,11,2,12,1,2)</f>
        <v>1</v>
      </c>
      <c r="P6535" s="43"/>
    </row>
    <row r="6536" spans="1:16" ht="18" x14ac:dyDescent="0.35">
      <c r="A6536" s="9"/>
      <c r="C6536" s="393"/>
      <c r="E6536" s="394"/>
      <c r="F6536" s="394"/>
      <c r="G6536" s="394"/>
      <c r="I6536" s="368">
        <f t="shared" si="309"/>
        <v>0</v>
      </c>
      <c r="J6536" s="365">
        <f t="shared" si="310"/>
        <v>0</v>
      </c>
      <c r="K6536" s="369">
        <f t="shared" si="311"/>
        <v>6</v>
      </c>
      <c r="L6536" s="369">
        <f>+IF((C6536&gt;='Resultats - informe'!$E$16)*(C6536&lt;='Resultats - informe'!$G$16),1,0)</f>
        <v>1</v>
      </c>
      <c r="M6536" s="369" cm="1">
        <f t="array" ref="M6536">+_xlfn.IFS((C6536&gt;='Resultats - informe'!$D$26)*(C6536&lt;='Resultats - informe'!$E$26),0,(C6536&gt;='Resultats - informe'!$D$27)*(C6536&lt;='Resultats - informe'!$E$27),0,(C6536&gt;='Resultats - informe'!$D$28)*(C6536&lt;='Resultats - informe'!$E$28),0,(C6536&gt;='Resultats - informe'!$D$29)*(C6536&lt;='Resultats - informe'!$E$29),0,1,1)</f>
        <v>0</v>
      </c>
      <c r="N6536" s="366">
        <f>+VLOOKUP(D6536,'Resultats - informe'!$Y$18:$AG$42,'Introducció dades consum'!K6536+1,0)</f>
        <v>0</v>
      </c>
      <c r="O6536" s="370" cm="1">
        <f t="array" ref="O6536">+_xlfn.SWITCH(MONTH(C6536),1,1,2,1,3,1,4,2,5,2,6,3,7,3,8,3,9,3,10,2,11,2,12,1,2)</f>
        <v>1</v>
      </c>
      <c r="P6536" s="43"/>
    </row>
    <row r="6537" spans="1:16" ht="18" x14ac:dyDescent="0.35">
      <c r="A6537" s="9"/>
      <c r="C6537" s="393"/>
      <c r="E6537" s="394"/>
      <c r="F6537" s="394"/>
      <c r="G6537" s="394"/>
      <c r="I6537" s="368">
        <f t="shared" si="309"/>
        <v>0</v>
      </c>
      <c r="J6537" s="365">
        <f t="shared" si="310"/>
        <v>0</v>
      </c>
      <c r="K6537" s="369">
        <f t="shared" si="311"/>
        <v>6</v>
      </c>
      <c r="L6537" s="369">
        <f>+IF((C6537&gt;='Resultats - informe'!$E$16)*(C6537&lt;='Resultats - informe'!$G$16),1,0)</f>
        <v>1</v>
      </c>
      <c r="M6537" s="369" cm="1">
        <f t="array" ref="M6537">+_xlfn.IFS((C6537&gt;='Resultats - informe'!$D$26)*(C6537&lt;='Resultats - informe'!$E$26),0,(C6537&gt;='Resultats - informe'!$D$27)*(C6537&lt;='Resultats - informe'!$E$27),0,(C6537&gt;='Resultats - informe'!$D$28)*(C6537&lt;='Resultats - informe'!$E$28),0,(C6537&gt;='Resultats - informe'!$D$29)*(C6537&lt;='Resultats - informe'!$E$29),0,1,1)</f>
        <v>0</v>
      </c>
      <c r="N6537" s="366">
        <f>+VLOOKUP(D6537,'Resultats - informe'!$Y$18:$AG$42,'Introducció dades consum'!K6537+1,0)</f>
        <v>0</v>
      </c>
      <c r="O6537" s="370" cm="1">
        <f t="array" ref="O6537">+_xlfn.SWITCH(MONTH(C6537),1,1,2,1,3,1,4,2,5,2,6,3,7,3,8,3,9,3,10,2,11,2,12,1,2)</f>
        <v>1</v>
      </c>
      <c r="P6537" s="43"/>
    </row>
    <row r="6538" spans="1:16" ht="18" x14ac:dyDescent="0.35">
      <c r="A6538" s="9"/>
      <c r="C6538" s="393"/>
      <c r="E6538" s="394"/>
      <c r="F6538" s="394"/>
      <c r="G6538" s="394"/>
      <c r="I6538" s="368">
        <f t="shared" si="309"/>
        <v>0</v>
      </c>
      <c r="J6538" s="365">
        <f t="shared" si="310"/>
        <v>0</v>
      </c>
      <c r="K6538" s="369">
        <f t="shared" si="311"/>
        <v>6</v>
      </c>
      <c r="L6538" s="369">
        <f>+IF((C6538&gt;='Resultats - informe'!$E$16)*(C6538&lt;='Resultats - informe'!$G$16),1,0)</f>
        <v>1</v>
      </c>
      <c r="M6538" s="369" cm="1">
        <f t="array" ref="M6538">+_xlfn.IFS((C6538&gt;='Resultats - informe'!$D$26)*(C6538&lt;='Resultats - informe'!$E$26),0,(C6538&gt;='Resultats - informe'!$D$27)*(C6538&lt;='Resultats - informe'!$E$27),0,(C6538&gt;='Resultats - informe'!$D$28)*(C6538&lt;='Resultats - informe'!$E$28),0,(C6538&gt;='Resultats - informe'!$D$29)*(C6538&lt;='Resultats - informe'!$E$29),0,1,1)</f>
        <v>0</v>
      </c>
      <c r="N6538" s="366">
        <f>+VLOOKUP(D6538,'Resultats - informe'!$Y$18:$AG$42,'Introducció dades consum'!K6538+1,0)</f>
        <v>0</v>
      </c>
      <c r="O6538" s="370" cm="1">
        <f t="array" ref="O6538">+_xlfn.SWITCH(MONTH(C6538),1,1,2,1,3,1,4,2,5,2,6,3,7,3,8,3,9,3,10,2,11,2,12,1,2)</f>
        <v>1</v>
      </c>
      <c r="P6538" s="43"/>
    </row>
    <row r="6539" spans="1:16" ht="18" x14ac:dyDescent="0.35">
      <c r="A6539" s="9"/>
      <c r="C6539" s="393"/>
      <c r="E6539" s="394"/>
      <c r="F6539" s="394"/>
      <c r="G6539" s="394"/>
      <c r="I6539" s="368">
        <f t="shared" si="309"/>
        <v>0</v>
      </c>
      <c r="J6539" s="365">
        <f t="shared" si="310"/>
        <v>0</v>
      </c>
      <c r="K6539" s="369">
        <f t="shared" si="311"/>
        <v>6</v>
      </c>
      <c r="L6539" s="369">
        <f>+IF((C6539&gt;='Resultats - informe'!$E$16)*(C6539&lt;='Resultats - informe'!$G$16),1,0)</f>
        <v>1</v>
      </c>
      <c r="M6539" s="369" cm="1">
        <f t="array" ref="M6539">+_xlfn.IFS((C6539&gt;='Resultats - informe'!$D$26)*(C6539&lt;='Resultats - informe'!$E$26),0,(C6539&gt;='Resultats - informe'!$D$27)*(C6539&lt;='Resultats - informe'!$E$27),0,(C6539&gt;='Resultats - informe'!$D$28)*(C6539&lt;='Resultats - informe'!$E$28),0,(C6539&gt;='Resultats - informe'!$D$29)*(C6539&lt;='Resultats - informe'!$E$29),0,1,1)</f>
        <v>0</v>
      </c>
      <c r="N6539" s="366">
        <f>+VLOOKUP(D6539,'Resultats - informe'!$Y$18:$AG$42,'Introducció dades consum'!K6539+1,0)</f>
        <v>0</v>
      </c>
      <c r="O6539" s="370" cm="1">
        <f t="array" ref="O6539">+_xlfn.SWITCH(MONTH(C6539),1,1,2,1,3,1,4,2,5,2,6,3,7,3,8,3,9,3,10,2,11,2,12,1,2)</f>
        <v>1</v>
      </c>
      <c r="P6539" s="43"/>
    </row>
    <row r="6540" spans="1:16" ht="18" x14ac:dyDescent="0.35">
      <c r="A6540" s="9"/>
      <c r="C6540" s="393"/>
      <c r="E6540" s="394"/>
      <c r="F6540" s="394"/>
      <c r="G6540" s="394"/>
      <c r="I6540" s="368">
        <f t="shared" si="309"/>
        <v>0</v>
      </c>
      <c r="J6540" s="365">
        <f t="shared" si="310"/>
        <v>0</v>
      </c>
      <c r="K6540" s="369">
        <f t="shared" si="311"/>
        <v>6</v>
      </c>
      <c r="L6540" s="369">
        <f>+IF((C6540&gt;='Resultats - informe'!$E$16)*(C6540&lt;='Resultats - informe'!$G$16),1,0)</f>
        <v>1</v>
      </c>
      <c r="M6540" s="369" cm="1">
        <f t="array" ref="M6540">+_xlfn.IFS((C6540&gt;='Resultats - informe'!$D$26)*(C6540&lt;='Resultats - informe'!$E$26),0,(C6540&gt;='Resultats - informe'!$D$27)*(C6540&lt;='Resultats - informe'!$E$27),0,(C6540&gt;='Resultats - informe'!$D$28)*(C6540&lt;='Resultats - informe'!$E$28),0,(C6540&gt;='Resultats - informe'!$D$29)*(C6540&lt;='Resultats - informe'!$E$29),0,1,1)</f>
        <v>0</v>
      </c>
      <c r="N6540" s="366">
        <f>+VLOOKUP(D6540,'Resultats - informe'!$Y$18:$AG$42,'Introducció dades consum'!K6540+1,0)</f>
        <v>0</v>
      </c>
      <c r="O6540" s="370" cm="1">
        <f t="array" ref="O6540">+_xlfn.SWITCH(MONTH(C6540),1,1,2,1,3,1,4,2,5,2,6,3,7,3,8,3,9,3,10,2,11,2,12,1,2)</f>
        <v>1</v>
      </c>
      <c r="P6540" s="43"/>
    </row>
    <row r="6541" spans="1:16" ht="18" x14ac:dyDescent="0.35">
      <c r="A6541" s="9"/>
      <c r="C6541" s="393"/>
      <c r="E6541" s="394"/>
      <c r="F6541" s="394"/>
      <c r="G6541" s="394"/>
      <c r="I6541" s="368">
        <f t="shared" si="309"/>
        <v>0</v>
      </c>
      <c r="J6541" s="365">
        <f t="shared" si="310"/>
        <v>0</v>
      </c>
      <c r="K6541" s="369">
        <f t="shared" si="311"/>
        <v>6</v>
      </c>
      <c r="L6541" s="369">
        <f>+IF((C6541&gt;='Resultats - informe'!$E$16)*(C6541&lt;='Resultats - informe'!$G$16),1,0)</f>
        <v>1</v>
      </c>
      <c r="M6541" s="369" cm="1">
        <f t="array" ref="M6541">+_xlfn.IFS((C6541&gt;='Resultats - informe'!$D$26)*(C6541&lt;='Resultats - informe'!$E$26),0,(C6541&gt;='Resultats - informe'!$D$27)*(C6541&lt;='Resultats - informe'!$E$27),0,(C6541&gt;='Resultats - informe'!$D$28)*(C6541&lt;='Resultats - informe'!$E$28),0,(C6541&gt;='Resultats - informe'!$D$29)*(C6541&lt;='Resultats - informe'!$E$29),0,1,1)</f>
        <v>0</v>
      </c>
      <c r="N6541" s="366">
        <f>+VLOOKUP(D6541,'Resultats - informe'!$Y$18:$AG$42,'Introducció dades consum'!K6541+1,0)</f>
        <v>0</v>
      </c>
      <c r="O6541" s="370" cm="1">
        <f t="array" ref="O6541">+_xlfn.SWITCH(MONTH(C6541),1,1,2,1,3,1,4,2,5,2,6,3,7,3,8,3,9,3,10,2,11,2,12,1,2)</f>
        <v>1</v>
      </c>
      <c r="P6541" s="43"/>
    </row>
    <row r="6542" spans="1:16" ht="18" x14ac:dyDescent="0.35">
      <c r="A6542" s="9"/>
      <c r="C6542" s="393"/>
      <c r="E6542" s="394"/>
      <c r="F6542" s="394"/>
      <c r="G6542" s="394"/>
      <c r="I6542" s="368">
        <f t="shared" si="309"/>
        <v>0</v>
      </c>
      <c r="J6542" s="365">
        <f t="shared" si="310"/>
        <v>0</v>
      </c>
      <c r="K6542" s="369">
        <f t="shared" si="311"/>
        <v>6</v>
      </c>
      <c r="L6542" s="369">
        <f>+IF((C6542&gt;='Resultats - informe'!$E$16)*(C6542&lt;='Resultats - informe'!$G$16),1,0)</f>
        <v>1</v>
      </c>
      <c r="M6542" s="369" cm="1">
        <f t="array" ref="M6542">+_xlfn.IFS((C6542&gt;='Resultats - informe'!$D$26)*(C6542&lt;='Resultats - informe'!$E$26),0,(C6542&gt;='Resultats - informe'!$D$27)*(C6542&lt;='Resultats - informe'!$E$27),0,(C6542&gt;='Resultats - informe'!$D$28)*(C6542&lt;='Resultats - informe'!$E$28),0,(C6542&gt;='Resultats - informe'!$D$29)*(C6542&lt;='Resultats - informe'!$E$29),0,1,1)</f>
        <v>0</v>
      </c>
      <c r="N6542" s="366">
        <f>+VLOOKUP(D6542,'Resultats - informe'!$Y$18:$AG$42,'Introducció dades consum'!K6542+1,0)</f>
        <v>0</v>
      </c>
      <c r="O6542" s="370" cm="1">
        <f t="array" ref="O6542">+_xlfn.SWITCH(MONTH(C6542),1,1,2,1,3,1,4,2,5,2,6,3,7,3,8,3,9,3,10,2,11,2,12,1,2)</f>
        <v>1</v>
      </c>
      <c r="P6542" s="43"/>
    </row>
    <row r="6543" spans="1:16" ht="18" x14ac:dyDescent="0.35">
      <c r="A6543" s="9"/>
      <c r="C6543" s="393"/>
      <c r="E6543" s="394"/>
      <c r="F6543" s="394"/>
      <c r="G6543" s="394"/>
      <c r="I6543" s="368">
        <f t="shared" si="309"/>
        <v>0</v>
      </c>
      <c r="J6543" s="365">
        <f t="shared" si="310"/>
        <v>0</v>
      </c>
      <c r="K6543" s="369">
        <f t="shared" si="311"/>
        <v>6</v>
      </c>
      <c r="L6543" s="369">
        <f>+IF((C6543&gt;='Resultats - informe'!$E$16)*(C6543&lt;='Resultats - informe'!$G$16),1,0)</f>
        <v>1</v>
      </c>
      <c r="M6543" s="369" cm="1">
        <f t="array" ref="M6543">+_xlfn.IFS((C6543&gt;='Resultats - informe'!$D$26)*(C6543&lt;='Resultats - informe'!$E$26),0,(C6543&gt;='Resultats - informe'!$D$27)*(C6543&lt;='Resultats - informe'!$E$27),0,(C6543&gt;='Resultats - informe'!$D$28)*(C6543&lt;='Resultats - informe'!$E$28),0,(C6543&gt;='Resultats - informe'!$D$29)*(C6543&lt;='Resultats - informe'!$E$29),0,1,1)</f>
        <v>0</v>
      </c>
      <c r="N6543" s="366">
        <f>+VLOOKUP(D6543,'Resultats - informe'!$Y$18:$AG$42,'Introducció dades consum'!K6543+1,0)</f>
        <v>0</v>
      </c>
      <c r="O6543" s="370" cm="1">
        <f t="array" ref="O6543">+_xlfn.SWITCH(MONTH(C6543),1,1,2,1,3,1,4,2,5,2,6,3,7,3,8,3,9,3,10,2,11,2,12,1,2)</f>
        <v>1</v>
      </c>
      <c r="P6543" s="43"/>
    </row>
    <row r="6544" spans="1:16" ht="18" x14ac:dyDescent="0.35">
      <c r="A6544" s="9"/>
      <c r="C6544" s="393"/>
      <c r="E6544" s="394"/>
      <c r="F6544" s="394"/>
      <c r="G6544" s="394"/>
      <c r="I6544" s="368">
        <f t="shared" si="309"/>
        <v>0</v>
      </c>
      <c r="J6544" s="365">
        <f t="shared" si="310"/>
        <v>0</v>
      </c>
      <c r="K6544" s="369">
        <f t="shared" si="311"/>
        <v>6</v>
      </c>
      <c r="L6544" s="369">
        <f>+IF((C6544&gt;='Resultats - informe'!$E$16)*(C6544&lt;='Resultats - informe'!$G$16),1,0)</f>
        <v>1</v>
      </c>
      <c r="M6544" s="369" cm="1">
        <f t="array" ref="M6544">+_xlfn.IFS((C6544&gt;='Resultats - informe'!$D$26)*(C6544&lt;='Resultats - informe'!$E$26),0,(C6544&gt;='Resultats - informe'!$D$27)*(C6544&lt;='Resultats - informe'!$E$27),0,(C6544&gt;='Resultats - informe'!$D$28)*(C6544&lt;='Resultats - informe'!$E$28),0,(C6544&gt;='Resultats - informe'!$D$29)*(C6544&lt;='Resultats - informe'!$E$29),0,1,1)</f>
        <v>0</v>
      </c>
      <c r="N6544" s="366">
        <f>+VLOOKUP(D6544,'Resultats - informe'!$Y$18:$AG$42,'Introducció dades consum'!K6544+1,0)</f>
        <v>0</v>
      </c>
      <c r="O6544" s="370" cm="1">
        <f t="array" ref="O6544">+_xlfn.SWITCH(MONTH(C6544),1,1,2,1,3,1,4,2,5,2,6,3,7,3,8,3,9,3,10,2,11,2,12,1,2)</f>
        <v>1</v>
      </c>
      <c r="P6544" s="43"/>
    </row>
    <row r="6545" spans="1:16" ht="18" x14ac:dyDescent="0.35">
      <c r="A6545" s="9"/>
      <c r="C6545" s="393"/>
      <c r="E6545" s="394"/>
      <c r="F6545" s="394"/>
      <c r="G6545" s="394"/>
      <c r="I6545" s="368">
        <f t="shared" si="309"/>
        <v>0</v>
      </c>
      <c r="J6545" s="365">
        <f t="shared" si="310"/>
        <v>0</v>
      </c>
      <c r="K6545" s="369">
        <f t="shared" si="311"/>
        <v>6</v>
      </c>
      <c r="L6545" s="369">
        <f>+IF((C6545&gt;='Resultats - informe'!$E$16)*(C6545&lt;='Resultats - informe'!$G$16),1,0)</f>
        <v>1</v>
      </c>
      <c r="M6545" s="369" cm="1">
        <f t="array" ref="M6545">+_xlfn.IFS((C6545&gt;='Resultats - informe'!$D$26)*(C6545&lt;='Resultats - informe'!$E$26),0,(C6545&gt;='Resultats - informe'!$D$27)*(C6545&lt;='Resultats - informe'!$E$27),0,(C6545&gt;='Resultats - informe'!$D$28)*(C6545&lt;='Resultats - informe'!$E$28),0,(C6545&gt;='Resultats - informe'!$D$29)*(C6545&lt;='Resultats - informe'!$E$29),0,1,1)</f>
        <v>0</v>
      </c>
      <c r="N6545" s="366">
        <f>+VLOOKUP(D6545,'Resultats - informe'!$Y$18:$AG$42,'Introducció dades consum'!K6545+1,0)</f>
        <v>0</v>
      </c>
      <c r="O6545" s="370" cm="1">
        <f t="array" ref="O6545">+_xlfn.SWITCH(MONTH(C6545),1,1,2,1,3,1,4,2,5,2,6,3,7,3,8,3,9,3,10,2,11,2,12,1,2)</f>
        <v>1</v>
      </c>
      <c r="P6545" s="43"/>
    </row>
    <row r="6546" spans="1:16" ht="18" x14ac:dyDescent="0.35">
      <c r="A6546" s="9"/>
      <c r="C6546" s="393"/>
      <c r="E6546" s="394"/>
      <c r="F6546" s="394"/>
      <c r="G6546" s="394"/>
      <c r="I6546" s="368">
        <f t="shared" ref="I6546:I6609" si="312">+E6546+G6546</f>
        <v>0</v>
      </c>
      <c r="J6546" s="365">
        <f t="shared" ref="J6546:J6609" si="313">+C6546</f>
        <v>0</v>
      </c>
      <c r="K6546" s="369">
        <f t="shared" ref="K6546:K6609" si="314">+WEEKDAY(C6546,2)</f>
        <v>6</v>
      </c>
      <c r="L6546" s="369">
        <f>+IF((C6546&gt;='Resultats - informe'!$E$16)*(C6546&lt;='Resultats - informe'!$G$16),1,0)</f>
        <v>1</v>
      </c>
      <c r="M6546" s="369" cm="1">
        <f t="array" ref="M6546">+_xlfn.IFS((C6546&gt;='Resultats - informe'!$D$26)*(C6546&lt;='Resultats - informe'!$E$26),0,(C6546&gt;='Resultats - informe'!$D$27)*(C6546&lt;='Resultats - informe'!$E$27),0,(C6546&gt;='Resultats - informe'!$D$28)*(C6546&lt;='Resultats - informe'!$E$28),0,(C6546&gt;='Resultats - informe'!$D$29)*(C6546&lt;='Resultats - informe'!$E$29),0,1,1)</f>
        <v>0</v>
      </c>
      <c r="N6546" s="366">
        <f>+VLOOKUP(D6546,'Resultats - informe'!$Y$18:$AG$42,'Introducció dades consum'!K6546+1,0)</f>
        <v>0</v>
      </c>
      <c r="O6546" s="370" cm="1">
        <f t="array" ref="O6546">+_xlfn.SWITCH(MONTH(C6546),1,1,2,1,3,1,4,2,5,2,6,3,7,3,8,3,9,3,10,2,11,2,12,1,2)</f>
        <v>1</v>
      </c>
      <c r="P6546" s="43"/>
    </row>
    <row r="6547" spans="1:16" ht="18" x14ac:dyDescent="0.35">
      <c r="A6547" s="9"/>
      <c r="C6547" s="393"/>
      <c r="E6547" s="394"/>
      <c r="F6547" s="394"/>
      <c r="G6547" s="394"/>
      <c r="I6547" s="368">
        <f t="shared" si="312"/>
        <v>0</v>
      </c>
      <c r="J6547" s="365">
        <f t="shared" si="313"/>
        <v>0</v>
      </c>
      <c r="K6547" s="369">
        <f t="shared" si="314"/>
        <v>6</v>
      </c>
      <c r="L6547" s="369">
        <f>+IF((C6547&gt;='Resultats - informe'!$E$16)*(C6547&lt;='Resultats - informe'!$G$16),1,0)</f>
        <v>1</v>
      </c>
      <c r="M6547" s="369" cm="1">
        <f t="array" ref="M6547">+_xlfn.IFS((C6547&gt;='Resultats - informe'!$D$26)*(C6547&lt;='Resultats - informe'!$E$26),0,(C6547&gt;='Resultats - informe'!$D$27)*(C6547&lt;='Resultats - informe'!$E$27),0,(C6547&gt;='Resultats - informe'!$D$28)*(C6547&lt;='Resultats - informe'!$E$28),0,(C6547&gt;='Resultats - informe'!$D$29)*(C6547&lt;='Resultats - informe'!$E$29),0,1,1)</f>
        <v>0</v>
      </c>
      <c r="N6547" s="366">
        <f>+VLOOKUP(D6547,'Resultats - informe'!$Y$18:$AG$42,'Introducció dades consum'!K6547+1,0)</f>
        <v>0</v>
      </c>
      <c r="O6547" s="370" cm="1">
        <f t="array" ref="O6547">+_xlfn.SWITCH(MONTH(C6547),1,1,2,1,3,1,4,2,5,2,6,3,7,3,8,3,9,3,10,2,11,2,12,1,2)</f>
        <v>1</v>
      </c>
      <c r="P6547" s="43"/>
    </row>
    <row r="6548" spans="1:16" ht="18" x14ac:dyDescent="0.35">
      <c r="A6548" s="9"/>
      <c r="C6548" s="393"/>
      <c r="E6548" s="394"/>
      <c r="F6548" s="394"/>
      <c r="G6548" s="394"/>
      <c r="I6548" s="368">
        <f t="shared" si="312"/>
        <v>0</v>
      </c>
      <c r="J6548" s="365">
        <f t="shared" si="313"/>
        <v>0</v>
      </c>
      <c r="K6548" s="369">
        <f t="shared" si="314"/>
        <v>6</v>
      </c>
      <c r="L6548" s="369">
        <f>+IF((C6548&gt;='Resultats - informe'!$E$16)*(C6548&lt;='Resultats - informe'!$G$16),1,0)</f>
        <v>1</v>
      </c>
      <c r="M6548" s="369" cm="1">
        <f t="array" ref="M6548">+_xlfn.IFS((C6548&gt;='Resultats - informe'!$D$26)*(C6548&lt;='Resultats - informe'!$E$26),0,(C6548&gt;='Resultats - informe'!$D$27)*(C6548&lt;='Resultats - informe'!$E$27),0,(C6548&gt;='Resultats - informe'!$D$28)*(C6548&lt;='Resultats - informe'!$E$28),0,(C6548&gt;='Resultats - informe'!$D$29)*(C6548&lt;='Resultats - informe'!$E$29),0,1,1)</f>
        <v>0</v>
      </c>
      <c r="N6548" s="366">
        <f>+VLOOKUP(D6548,'Resultats - informe'!$Y$18:$AG$42,'Introducció dades consum'!K6548+1,0)</f>
        <v>0</v>
      </c>
      <c r="O6548" s="370" cm="1">
        <f t="array" ref="O6548">+_xlfn.SWITCH(MONTH(C6548),1,1,2,1,3,1,4,2,5,2,6,3,7,3,8,3,9,3,10,2,11,2,12,1,2)</f>
        <v>1</v>
      </c>
      <c r="P6548" s="43"/>
    </row>
    <row r="6549" spans="1:16" ht="18" x14ac:dyDescent="0.35">
      <c r="A6549" s="9"/>
      <c r="C6549" s="393"/>
      <c r="E6549" s="394"/>
      <c r="F6549" s="394"/>
      <c r="G6549" s="394"/>
      <c r="I6549" s="368">
        <f t="shared" si="312"/>
        <v>0</v>
      </c>
      <c r="J6549" s="365">
        <f t="shared" si="313"/>
        <v>0</v>
      </c>
      <c r="K6549" s="369">
        <f t="shared" si="314"/>
        <v>6</v>
      </c>
      <c r="L6549" s="369">
        <f>+IF((C6549&gt;='Resultats - informe'!$E$16)*(C6549&lt;='Resultats - informe'!$G$16),1,0)</f>
        <v>1</v>
      </c>
      <c r="M6549" s="369" cm="1">
        <f t="array" ref="M6549">+_xlfn.IFS((C6549&gt;='Resultats - informe'!$D$26)*(C6549&lt;='Resultats - informe'!$E$26),0,(C6549&gt;='Resultats - informe'!$D$27)*(C6549&lt;='Resultats - informe'!$E$27),0,(C6549&gt;='Resultats - informe'!$D$28)*(C6549&lt;='Resultats - informe'!$E$28),0,(C6549&gt;='Resultats - informe'!$D$29)*(C6549&lt;='Resultats - informe'!$E$29),0,1,1)</f>
        <v>0</v>
      </c>
      <c r="N6549" s="366">
        <f>+VLOOKUP(D6549,'Resultats - informe'!$Y$18:$AG$42,'Introducció dades consum'!K6549+1,0)</f>
        <v>0</v>
      </c>
      <c r="O6549" s="370" cm="1">
        <f t="array" ref="O6549">+_xlfn.SWITCH(MONTH(C6549),1,1,2,1,3,1,4,2,5,2,6,3,7,3,8,3,9,3,10,2,11,2,12,1,2)</f>
        <v>1</v>
      </c>
      <c r="P6549" s="43"/>
    </row>
    <row r="6550" spans="1:16" ht="18" x14ac:dyDescent="0.35">
      <c r="A6550" s="9"/>
      <c r="C6550" s="393"/>
      <c r="E6550" s="394"/>
      <c r="F6550" s="394"/>
      <c r="G6550" s="394"/>
      <c r="I6550" s="368">
        <f t="shared" si="312"/>
        <v>0</v>
      </c>
      <c r="J6550" s="365">
        <f t="shared" si="313"/>
        <v>0</v>
      </c>
      <c r="K6550" s="369">
        <f t="shared" si="314"/>
        <v>6</v>
      </c>
      <c r="L6550" s="369">
        <f>+IF((C6550&gt;='Resultats - informe'!$E$16)*(C6550&lt;='Resultats - informe'!$G$16),1,0)</f>
        <v>1</v>
      </c>
      <c r="M6550" s="369" cm="1">
        <f t="array" ref="M6550">+_xlfn.IFS((C6550&gt;='Resultats - informe'!$D$26)*(C6550&lt;='Resultats - informe'!$E$26),0,(C6550&gt;='Resultats - informe'!$D$27)*(C6550&lt;='Resultats - informe'!$E$27),0,(C6550&gt;='Resultats - informe'!$D$28)*(C6550&lt;='Resultats - informe'!$E$28),0,(C6550&gt;='Resultats - informe'!$D$29)*(C6550&lt;='Resultats - informe'!$E$29),0,1,1)</f>
        <v>0</v>
      </c>
      <c r="N6550" s="366">
        <f>+VLOOKUP(D6550,'Resultats - informe'!$Y$18:$AG$42,'Introducció dades consum'!K6550+1,0)</f>
        <v>0</v>
      </c>
      <c r="O6550" s="370" cm="1">
        <f t="array" ref="O6550">+_xlfn.SWITCH(MONTH(C6550),1,1,2,1,3,1,4,2,5,2,6,3,7,3,8,3,9,3,10,2,11,2,12,1,2)</f>
        <v>1</v>
      </c>
      <c r="P6550" s="43"/>
    </row>
    <row r="6551" spans="1:16" ht="18" x14ac:dyDescent="0.35">
      <c r="A6551" s="9"/>
      <c r="C6551" s="393"/>
      <c r="E6551" s="394"/>
      <c r="F6551" s="394"/>
      <c r="G6551" s="394"/>
      <c r="I6551" s="368">
        <f t="shared" si="312"/>
        <v>0</v>
      </c>
      <c r="J6551" s="365">
        <f t="shared" si="313"/>
        <v>0</v>
      </c>
      <c r="K6551" s="369">
        <f t="shared" si="314"/>
        <v>6</v>
      </c>
      <c r="L6551" s="369">
        <f>+IF((C6551&gt;='Resultats - informe'!$E$16)*(C6551&lt;='Resultats - informe'!$G$16),1,0)</f>
        <v>1</v>
      </c>
      <c r="M6551" s="369" cm="1">
        <f t="array" ref="M6551">+_xlfn.IFS((C6551&gt;='Resultats - informe'!$D$26)*(C6551&lt;='Resultats - informe'!$E$26),0,(C6551&gt;='Resultats - informe'!$D$27)*(C6551&lt;='Resultats - informe'!$E$27),0,(C6551&gt;='Resultats - informe'!$D$28)*(C6551&lt;='Resultats - informe'!$E$28),0,(C6551&gt;='Resultats - informe'!$D$29)*(C6551&lt;='Resultats - informe'!$E$29),0,1,1)</f>
        <v>0</v>
      </c>
      <c r="N6551" s="366">
        <f>+VLOOKUP(D6551,'Resultats - informe'!$Y$18:$AG$42,'Introducció dades consum'!K6551+1,0)</f>
        <v>0</v>
      </c>
      <c r="O6551" s="370" cm="1">
        <f t="array" ref="O6551">+_xlfn.SWITCH(MONTH(C6551),1,1,2,1,3,1,4,2,5,2,6,3,7,3,8,3,9,3,10,2,11,2,12,1,2)</f>
        <v>1</v>
      </c>
      <c r="P6551" s="43"/>
    </row>
    <row r="6552" spans="1:16" ht="18" x14ac:dyDescent="0.35">
      <c r="A6552" s="9"/>
      <c r="C6552" s="393"/>
      <c r="E6552" s="394"/>
      <c r="F6552" s="394"/>
      <c r="G6552" s="394"/>
      <c r="I6552" s="368">
        <f t="shared" si="312"/>
        <v>0</v>
      </c>
      <c r="J6552" s="365">
        <f t="shared" si="313"/>
        <v>0</v>
      </c>
      <c r="K6552" s="369">
        <f t="shared" si="314"/>
        <v>6</v>
      </c>
      <c r="L6552" s="369">
        <f>+IF((C6552&gt;='Resultats - informe'!$E$16)*(C6552&lt;='Resultats - informe'!$G$16),1,0)</f>
        <v>1</v>
      </c>
      <c r="M6552" s="369" cm="1">
        <f t="array" ref="M6552">+_xlfn.IFS((C6552&gt;='Resultats - informe'!$D$26)*(C6552&lt;='Resultats - informe'!$E$26),0,(C6552&gt;='Resultats - informe'!$D$27)*(C6552&lt;='Resultats - informe'!$E$27),0,(C6552&gt;='Resultats - informe'!$D$28)*(C6552&lt;='Resultats - informe'!$E$28),0,(C6552&gt;='Resultats - informe'!$D$29)*(C6552&lt;='Resultats - informe'!$E$29),0,1,1)</f>
        <v>0</v>
      </c>
      <c r="N6552" s="366">
        <f>+VLOOKUP(D6552,'Resultats - informe'!$Y$18:$AG$42,'Introducció dades consum'!K6552+1,0)</f>
        <v>0</v>
      </c>
      <c r="O6552" s="370" cm="1">
        <f t="array" ref="O6552">+_xlfn.SWITCH(MONTH(C6552),1,1,2,1,3,1,4,2,5,2,6,3,7,3,8,3,9,3,10,2,11,2,12,1,2)</f>
        <v>1</v>
      </c>
      <c r="P6552" s="43"/>
    </row>
    <row r="6553" spans="1:16" ht="18" x14ac:dyDescent="0.35">
      <c r="A6553" s="9"/>
      <c r="C6553" s="393"/>
      <c r="E6553" s="394"/>
      <c r="F6553" s="394"/>
      <c r="G6553" s="394"/>
      <c r="I6553" s="368">
        <f t="shared" si="312"/>
        <v>0</v>
      </c>
      <c r="J6553" s="365">
        <f t="shared" si="313"/>
        <v>0</v>
      </c>
      <c r="K6553" s="369">
        <f t="shared" si="314"/>
        <v>6</v>
      </c>
      <c r="L6553" s="369">
        <f>+IF((C6553&gt;='Resultats - informe'!$E$16)*(C6553&lt;='Resultats - informe'!$G$16),1,0)</f>
        <v>1</v>
      </c>
      <c r="M6553" s="369" cm="1">
        <f t="array" ref="M6553">+_xlfn.IFS((C6553&gt;='Resultats - informe'!$D$26)*(C6553&lt;='Resultats - informe'!$E$26),0,(C6553&gt;='Resultats - informe'!$D$27)*(C6553&lt;='Resultats - informe'!$E$27),0,(C6553&gt;='Resultats - informe'!$D$28)*(C6553&lt;='Resultats - informe'!$E$28),0,(C6553&gt;='Resultats - informe'!$D$29)*(C6553&lt;='Resultats - informe'!$E$29),0,1,1)</f>
        <v>0</v>
      </c>
      <c r="N6553" s="366">
        <f>+VLOOKUP(D6553,'Resultats - informe'!$Y$18:$AG$42,'Introducció dades consum'!K6553+1,0)</f>
        <v>0</v>
      </c>
      <c r="O6553" s="370" cm="1">
        <f t="array" ref="O6553">+_xlfn.SWITCH(MONTH(C6553),1,1,2,1,3,1,4,2,5,2,6,3,7,3,8,3,9,3,10,2,11,2,12,1,2)</f>
        <v>1</v>
      </c>
      <c r="P6553" s="43"/>
    </row>
    <row r="6554" spans="1:16" ht="18" x14ac:dyDescent="0.35">
      <c r="A6554" s="9"/>
      <c r="C6554" s="393"/>
      <c r="E6554" s="394"/>
      <c r="F6554" s="394"/>
      <c r="G6554" s="394"/>
      <c r="I6554" s="368">
        <f t="shared" si="312"/>
        <v>0</v>
      </c>
      <c r="J6554" s="365">
        <f t="shared" si="313"/>
        <v>0</v>
      </c>
      <c r="K6554" s="369">
        <f t="shared" si="314"/>
        <v>6</v>
      </c>
      <c r="L6554" s="369">
        <f>+IF((C6554&gt;='Resultats - informe'!$E$16)*(C6554&lt;='Resultats - informe'!$G$16),1,0)</f>
        <v>1</v>
      </c>
      <c r="M6554" s="369" cm="1">
        <f t="array" ref="M6554">+_xlfn.IFS((C6554&gt;='Resultats - informe'!$D$26)*(C6554&lt;='Resultats - informe'!$E$26),0,(C6554&gt;='Resultats - informe'!$D$27)*(C6554&lt;='Resultats - informe'!$E$27),0,(C6554&gt;='Resultats - informe'!$D$28)*(C6554&lt;='Resultats - informe'!$E$28),0,(C6554&gt;='Resultats - informe'!$D$29)*(C6554&lt;='Resultats - informe'!$E$29),0,1,1)</f>
        <v>0</v>
      </c>
      <c r="N6554" s="366">
        <f>+VLOOKUP(D6554,'Resultats - informe'!$Y$18:$AG$42,'Introducció dades consum'!K6554+1,0)</f>
        <v>0</v>
      </c>
      <c r="O6554" s="370" cm="1">
        <f t="array" ref="O6554">+_xlfn.SWITCH(MONTH(C6554),1,1,2,1,3,1,4,2,5,2,6,3,7,3,8,3,9,3,10,2,11,2,12,1,2)</f>
        <v>1</v>
      </c>
      <c r="P6554" s="43"/>
    </row>
    <row r="6555" spans="1:16" ht="18" x14ac:dyDescent="0.35">
      <c r="A6555" s="9"/>
      <c r="C6555" s="393"/>
      <c r="E6555" s="394"/>
      <c r="F6555" s="394"/>
      <c r="G6555" s="394"/>
      <c r="I6555" s="368">
        <f t="shared" si="312"/>
        <v>0</v>
      </c>
      <c r="J6555" s="365">
        <f t="shared" si="313"/>
        <v>0</v>
      </c>
      <c r="K6555" s="369">
        <f t="shared" si="314"/>
        <v>6</v>
      </c>
      <c r="L6555" s="369">
        <f>+IF((C6555&gt;='Resultats - informe'!$E$16)*(C6555&lt;='Resultats - informe'!$G$16),1,0)</f>
        <v>1</v>
      </c>
      <c r="M6555" s="369" cm="1">
        <f t="array" ref="M6555">+_xlfn.IFS((C6555&gt;='Resultats - informe'!$D$26)*(C6555&lt;='Resultats - informe'!$E$26),0,(C6555&gt;='Resultats - informe'!$D$27)*(C6555&lt;='Resultats - informe'!$E$27),0,(C6555&gt;='Resultats - informe'!$D$28)*(C6555&lt;='Resultats - informe'!$E$28),0,(C6555&gt;='Resultats - informe'!$D$29)*(C6555&lt;='Resultats - informe'!$E$29),0,1,1)</f>
        <v>0</v>
      </c>
      <c r="N6555" s="366">
        <f>+VLOOKUP(D6555,'Resultats - informe'!$Y$18:$AG$42,'Introducció dades consum'!K6555+1,0)</f>
        <v>0</v>
      </c>
      <c r="O6555" s="370" cm="1">
        <f t="array" ref="O6555">+_xlfn.SWITCH(MONTH(C6555),1,1,2,1,3,1,4,2,5,2,6,3,7,3,8,3,9,3,10,2,11,2,12,1,2)</f>
        <v>1</v>
      </c>
      <c r="P6555" s="43"/>
    </row>
    <row r="6556" spans="1:16" ht="18" x14ac:dyDescent="0.35">
      <c r="A6556" s="9"/>
      <c r="C6556" s="393"/>
      <c r="E6556" s="394"/>
      <c r="F6556" s="394"/>
      <c r="G6556" s="394"/>
      <c r="I6556" s="368">
        <f t="shared" si="312"/>
        <v>0</v>
      </c>
      <c r="J6556" s="365">
        <f t="shared" si="313"/>
        <v>0</v>
      </c>
      <c r="K6556" s="369">
        <f t="shared" si="314"/>
        <v>6</v>
      </c>
      <c r="L6556" s="369">
        <f>+IF((C6556&gt;='Resultats - informe'!$E$16)*(C6556&lt;='Resultats - informe'!$G$16),1,0)</f>
        <v>1</v>
      </c>
      <c r="M6556" s="369" cm="1">
        <f t="array" ref="M6556">+_xlfn.IFS((C6556&gt;='Resultats - informe'!$D$26)*(C6556&lt;='Resultats - informe'!$E$26),0,(C6556&gt;='Resultats - informe'!$D$27)*(C6556&lt;='Resultats - informe'!$E$27),0,(C6556&gt;='Resultats - informe'!$D$28)*(C6556&lt;='Resultats - informe'!$E$28),0,(C6556&gt;='Resultats - informe'!$D$29)*(C6556&lt;='Resultats - informe'!$E$29),0,1,1)</f>
        <v>0</v>
      </c>
      <c r="N6556" s="366">
        <f>+VLOOKUP(D6556,'Resultats - informe'!$Y$18:$AG$42,'Introducció dades consum'!K6556+1,0)</f>
        <v>0</v>
      </c>
      <c r="O6556" s="370" cm="1">
        <f t="array" ref="O6556">+_xlfn.SWITCH(MONTH(C6556),1,1,2,1,3,1,4,2,5,2,6,3,7,3,8,3,9,3,10,2,11,2,12,1,2)</f>
        <v>1</v>
      </c>
      <c r="P6556" s="43"/>
    </row>
    <row r="6557" spans="1:16" ht="18" x14ac:dyDescent="0.35">
      <c r="A6557" s="9"/>
      <c r="C6557" s="393"/>
      <c r="E6557" s="394"/>
      <c r="F6557" s="394"/>
      <c r="G6557" s="394"/>
      <c r="I6557" s="368">
        <f t="shared" si="312"/>
        <v>0</v>
      </c>
      <c r="J6557" s="365">
        <f t="shared" si="313"/>
        <v>0</v>
      </c>
      <c r="K6557" s="369">
        <f t="shared" si="314"/>
        <v>6</v>
      </c>
      <c r="L6557" s="369">
        <f>+IF((C6557&gt;='Resultats - informe'!$E$16)*(C6557&lt;='Resultats - informe'!$G$16),1,0)</f>
        <v>1</v>
      </c>
      <c r="M6557" s="369" cm="1">
        <f t="array" ref="M6557">+_xlfn.IFS((C6557&gt;='Resultats - informe'!$D$26)*(C6557&lt;='Resultats - informe'!$E$26),0,(C6557&gt;='Resultats - informe'!$D$27)*(C6557&lt;='Resultats - informe'!$E$27),0,(C6557&gt;='Resultats - informe'!$D$28)*(C6557&lt;='Resultats - informe'!$E$28),0,(C6557&gt;='Resultats - informe'!$D$29)*(C6557&lt;='Resultats - informe'!$E$29),0,1,1)</f>
        <v>0</v>
      </c>
      <c r="N6557" s="366">
        <f>+VLOOKUP(D6557,'Resultats - informe'!$Y$18:$AG$42,'Introducció dades consum'!K6557+1,0)</f>
        <v>0</v>
      </c>
      <c r="O6557" s="370" cm="1">
        <f t="array" ref="O6557">+_xlfn.SWITCH(MONTH(C6557),1,1,2,1,3,1,4,2,5,2,6,3,7,3,8,3,9,3,10,2,11,2,12,1,2)</f>
        <v>1</v>
      </c>
      <c r="P6557" s="43"/>
    </row>
    <row r="6558" spans="1:16" ht="18" x14ac:dyDescent="0.35">
      <c r="A6558" s="9"/>
      <c r="C6558" s="393"/>
      <c r="E6558" s="394"/>
      <c r="F6558" s="394"/>
      <c r="G6558" s="394"/>
      <c r="I6558" s="368">
        <f t="shared" si="312"/>
        <v>0</v>
      </c>
      <c r="J6558" s="365">
        <f t="shared" si="313"/>
        <v>0</v>
      </c>
      <c r="K6558" s="369">
        <f t="shared" si="314"/>
        <v>6</v>
      </c>
      <c r="L6558" s="369">
        <f>+IF((C6558&gt;='Resultats - informe'!$E$16)*(C6558&lt;='Resultats - informe'!$G$16),1,0)</f>
        <v>1</v>
      </c>
      <c r="M6558" s="369" cm="1">
        <f t="array" ref="M6558">+_xlfn.IFS((C6558&gt;='Resultats - informe'!$D$26)*(C6558&lt;='Resultats - informe'!$E$26),0,(C6558&gt;='Resultats - informe'!$D$27)*(C6558&lt;='Resultats - informe'!$E$27),0,(C6558&gt;='Resultats - informe'!$D$28)*(C6558&lt;='Resultats - informe'!$E$28),0,(C6558&gt;='Resultats - informe'!$D$29)*(C6558&lt;='Resultats - informe'!$E$29),0,1,1)</f>
        <v>0</v>
      </c>
      <c r="N6558" s="366">
        <f>+VLOOKUP(D6558,'Resultats - informe'!$Y$18:$AG$42,'Introducció dades consum'!K6558+1,0)</f>
        <v>0</v>
      </c>
      <c r="O6558" s="370" cm="1">
        <f t="array" ref="O6558">+_xlfn.SWITCH(MONTH(C6558),1,1,2,1,3,1,4,2,5,2,6,3,7,3,8,3,9,3,10,2,11,2,12,1,2)</f>
        <v>1</v>
      </c>
      <c r="P6558" s="43"/>
    </row>
    <row r="6559" spans="1:16" ht="18" x14ac:dyDescent="0.35">
      <c r="A6559" s="9"/>
      <c r="C6559" s="393"/>
      <c r="E6559" s="394"/>
      <c r="F6559" s="394"/>
      <c r="G6559" s="394"/>
      <c r="I6559" s="368">
        <f t="shared" si="312"/>
        <v>0</v>
      </c>
      <c r="J6559" s="365">
        <f t="shared" si="313"/>
        <v>0</v>
      </c>
      <c r="K6559" s="369">
        <f t="shared" si="314"/>
        <v>6</v>
      </c>
      <c r="L6559" s="369">
        <f>+IF((C6559&gt;='Resultats - informe'!$E$16)*(C6559&lt;='Resultats - informe'!$G$16),1,0)</f>
        <v>1</v>
      </c>
      <c r="M6559" s="369" cm="1">
        <f t="array" ref="M6559">+_xlfn.IFS((C6559&gt;='Resultats - informe'!$D$26)*(C6559&lt;='Resultats - informe'!$E$26),0,(C6559&gt;='Resultats - informe'!$D$27)*(C6559&lt;='Resultats - informe'!$E$27),0,(C6559&gt;='Resultats - informe'!$D$28)*(C6559&lt;='Resultats - informe'!$E$28),0,(C6559&gt;='Resultats - informe'!$D$29)*(C6559&lt;='Resultats - informe'!$E$29),0,1,1)</f>
        <v>0</v>
      </c>
      <c r="N6559" s="366">
        <f>+VLOOKUP(D6559,'Resultats - informe'!$Y$18:$AG$42,'Introducció dades consum'!K6559+1,0)</f>
        <v>0</v>
      </c>
      <c r="O6559" s="370" cm="1">
        <f t="array" ref="O6559">+_xlfn.SWITCH(MONTH(C6559),1,1,2,1,3,1,4,2,5,2,6,3,7,3,8,3,9,3,10,2,11,2,12,1,2)</f>
        <v>1</v>
      </c>
      <c r="P6559" s="43"/>
    </row>
    <row r="6560" spans="1:16" ht="18" x14ac:dyDescent="0.35">
      <c r="A6560" s="9"/>
      <c r="C6560" s="393"/>
      <c r="E6560" s="394"/>
      <c r="F6560" s="394"/>
      <c r="G6560" s="394"/>
      <c r="I6560" s="368">
        <f t="shared" si="312"/>
        <v>0</v>
      </c>
      <c r="J6560" s="365">
        <f t="shared" si="313"/>
        <v>0</v>
      </c>
      <c r="K6560" s="369">
        <f t="shared" si="314"/>
        <v>6</v>
      </c>
      <c r="L6560" s="369">
        <f>+IF((C6560&gt;='Resultats - informe'!$E$16)*(C6560&lt;='Resultats - informe'!$G$16),1,0)</f>
        <v>1</v>
      </c>
      <c r="M6560" s="369" cm="1">
        <f t="array" ref="M6560">+_xlfn.IFS((C6560&gt;='Resultats - informe'!$D$26)*(C6560&lt;='Resultats - informe'!$E$26),0,(C6560&gt;='Resultats - informe'!$D$27)*(C6560&lt;='Resultats - informe'!$E$27),0,(C6560&gt;='Resultats - informe'!$D$28)*(C6560&lt;='Resultats - informe'!$E$28),0,(C6560&gt;='Resultats - informe'!$D$29)*(C6560&lt;='Resultats - informe'!$E$29),0,1,1)</f>
        <v>0</v>
      </c>
      <c r="N6560" s="366">
        <f>+VLOOKUP(D6560,'Resultats - informe'!$Y$18:$AG$42,'Introducció dades consum'!K6560+1,0)</f>
        <v>0</v>
      </c>
      <c r="O6560" s="370" cm="1">
        <f t="array" ref="O6560">+_xlfn.SWITCH(MONTH(C6560),1,1,2,1,3,1,4,2,5,2,6,3,7,3,8,3,9,3,10,2,11,2,12,1,2)</f>
        <v>1</v>
      </c>
      <c r="P6560" s="43"/>
    </row>
    <row r="6561" spans="1:16" ht="18" x14ac:dyDescent="0.35">
      <c r="A6561" s="9"/>
      <c r="C6561" s="393"/>
      <c r="E6561" s="394"/>
      <c r="F6561" s="394"/>
      <c r="G6561" s="394"/>
      <c r="I6561" s="368">
        <f t="shared" si="312"/>
        <v>0</v>
      </c>
      <c r="J6561" s="365">
        <f t="shared" si="313"/>
        <v>0</v>
      </c>
      <c r="K6561" s="369">
        <f t="shared" si="314"/>
        <v>6</v>
      </c>
      <c r="L6561" s="369">
        <f>+IF((C6561&gt;='Resultats - informe'!$E$16)*(C6561&lt;='Resultats - informe'!$G$16),1,0)</f>
        <v>1</v>
      </c>
      <c r="M6561" s="369" cm="1">
        <f t="array" ref="M6561">+_xlfn.IFS((C6561&gt;='Resultats - informe'!$D$26)*(C6561&lt;='Resultats - informe'!$E$26),0,(C6561&gt;='Resultats - informe'!$D$27)*(C6561&lt;='Resultats - informe'!$E$27),0,(C6561&gt;='Resultats - informe'!$D$28)*(C6561&lt;='Resultats - informe'!$E$28),0,(C6561&gt;='Resultats - informe'!$D$29)*(C6561&lt;='Resultats - informe'!$E$29),0,1,1)</f>
        <v>0</v>
      </c>
      <c r="N6561" s="366">
        <f>+VLOOKUP(D6561,'Resultats - informe'!$Y$18:$AG$42,'Introducció dades consum'!K6561+1,0)</f>
        <v>0</v>
      </c>
      <c r="O6561" s="370" cm="1">
        <f t="array" ref="O6561">+_xlfn.SWITCH(MONTH(C6561),1,1,2,1,3,1,4,2,5,2,6,3,7,3,8,3,9,3,10,2,11,2,12,1,2)</f>
        <v>1</v>
      </c>
      <c r="P6561" s="43"/>
    </row>
    <row r="6562" spans="1:16" ht="18" x14ac:dyDescent="0.35">
      <c r="A6562" s="9"/>
      <c r="C6562" s="393"/>
      <c r="E6562" s="394"/>
      <c r="F6562" s="394"/>
      <c r="G6562" s="394"/>
      <c r="I6562" s="368">
        <f t="shared" si="312"/>
        <v>0</v>
      </c>
      <c r="J6562" s="365">
        <f t="shared" si="313"/>
        <v>0</v>
      </c>
      <c r="K6562" s="369">
        <f t="shared" si="314"/>
        <v>6</v>
      </c>
      <c r="L6562" s="369">
        <f>+IF((C6562&gt;='Resultats - informe'!$E$16)*(C6562&lt;='Resultats - informe'!$G$16),1,0)</f>
        <v>1</v>
      </c>
      <c r="M6562" s="369" cm="1">
        <f t="array" ref="M6562">+_xlfn.IFS((C6562&gt;='Resultats - informe'!$D$26)*(C6562&lt;='Resultats - informe'!$E$26),0,(C6562&gt;='Resultats - informe'!$D$27)*(C6562&lt;='Resultats - informe'!$E$27),0,(C6562&gt;='Resultats - informe'!$D$28)*(C6562&lt;='Resultats - informe'!$E$28),0,(C6562&gt;='Resultats - informe'!$D$29)*(C6562&lt;='Resultats - informe'!$E$29),0,1,1)</f>
        <v>0</v>
      </c>
      <c r="N6562" s="366">
        <f>+VLOOKUP(D6562,'Resultats - informe'!$Y$18:$AG$42,'Introducció dades consum'!K6562+1,0)</f>
        <v>0</v>
      </c>
      <c r="O6562" s="370" cm="1">
        <f t="array" ref="O6562">+_xlfn.SWITCH(MONTH(C6562),1,1,2,1,3,1,4,2,5,2,6,3,7,3,8,3,9,3,10,2,11,2,12,1,2)</f>
        <v>1</v>
      </c>
      <c r="P6562" s="43"/>
    </row>
    <row r="6563" spans="1:16" ht="18" x14ac:dyDescent="0.35">
      <c r="A6563" s="9"/>
      <c r="C6563" s="393"/>
      <c r="E6563" s="394"/>
      <c r="F6563" s="394"/>
      <c r="G6563" s="394"/>
      <c r="I6563" s="368">
        <f t="shared" si="312"/>
        <v>0</v>
      </c>
      <c r="J6563" s="365">
        <f t="shared" si="313"/>
        <v>0</v>
      </c>
      <c r="K6563" s="369">
        <f t="shared" si="314"/>
        <v>6</v>
      </c>
      <c r="L6563" s="369">
        <f>+IF((C6563&gt;='Resultats - informe'!$E$16)*(C6563&lt;='Resultats - informe'!$G$16),1,0)</f>
        <v>1</v>
      </c>
      <c r="M6563" s="369" cm="1">
        <f t="array" ref="M6563">+_xlfn.IFS((C6563&gt;='Resultats - informe'!$D$26)*(C6563&lt;='Resultats - informe'!$E$26),0,(C6563&gt;='Resultats - informe'!$D$27)*(C6563&lt;='Resultats - informe'!$E$27),0,(C6563&gt;='Resultats - informe'!$D$28)*(C6563&lt;='Resultats - informe'!$E$28),0,(C6563&gt;='Resultats - informe'!$D$29)*(C6563&lt;='Resultats - informe'!$E$29),0,1,1)</f>
        <v>0</v>
      </c>
      <c r="N6563" s="366">
        <f>+VLOOKUP(D6563,'Resultats - informe'!$Y$18:$AG$42,'Introducció dades consum'!K6563+1,0)</f>
        <v>0</v>
      </c>
      <c r="O6563" s="370" cm="1">
        <f t="array" ref="O6563">+_xlfn.SWITCH(MONTH(C6563),1,1,2,1,3,1,4,2,5,2,6,3,7,3,8,3,9,3,10,2,11,2,12,1,2)</f>
        <v>1</v>
      </c>
      <c r="P6563" s="43"/>
    </row>
    <row r="6564" spans="1:16" ht="18" x14ac:dyDescent="0.35">
      <c r="A6564" s="9"/>
      <c r="C6564" s="393"/>
      <c r="E6564" s="394"/>
      <c r="F6564" s="394"/>
      <c r="G6564" s="394"/>
      <c r="I6564" s="368">
        <f t="shared" si="312"/>
        <v>0</v>
      </c>
      <c r="J6564" s="365">
        <f t="shared" si="313"/>
        <v>0</v>
      </c>
      <c r="K6564" s="369">
        <f t="shared" si="314"/>
        <v>6</v>
      </c>
      <c r="L6564" s="369">
        <f>+IF((C6564&gt;='Resultats - informe'!$E$16)*(C6564&lt;='Resultats - informe'!$G$16),1,0)</f>
        <v>1</v>
      </c>
      <c r="M6564" s="369" cm="1">
        <f t="array" ref="M6564">+_xlfn.IFS((C6564&gt;='Resultats - informe'!$D$26)*(C6564&lt;='Resultats - informe'!$E$26),0,(C6564&gt;='Resultats - informe'!$D$27)*(C6564&lt;='Resultats - informe'!$E$27),0,(C6564&gt;='Resultats - informe'!$D$28)*(C6564&lt;='Resultats - informe'!$E$28),0,(C6564&gt;='Resultats - informe'!$D$29)*(C6564&lt;='Resultats - informe'!$E$29),0,1,1)</f>
        <v>0</v>
      </c>
      <c r="N6564" s="366">
        <f>+VLOOKUP(D6564,'Resultats - informe'!$Y$18:$AG$42,'Introducció dades consum'!K6564+1,0)</f>
        <v>0</v>
      </c>
      <c r="O6564" s="370" cm="1">
        <f t="array" ref="O6564">+_xlfn.SWITCH(MONTH(C6564),1,1,2,1,3,1,4,2,5,2,6,3,7,3,8,3,9,3,10,2,11,2,12,1,2)</f>
        <v>1</v>
      </c>
      <c r="P6564" s="43"/>
    </row>
    <row r="6565" spans="1:16" ht="18" x14ac:dyDescent="0.35">
      <c r="A6565" s="9"/>
      <c r="C6565" s="393"/>
      <c r="E6565" s="394"/>
      <c r="F6565" s="394"/>
      <c r="G6565" s="394"/>
      <c r="I6565" s="368">
        <f t="shared" si="312"/>
        <v>0</v>
      </c>
      <c r="J6565" s="365">
        <f t="shared" si="313"/>
        <v>0</v>
      </c>
      <c r="K6565" s="369">
        <f t="shared" si="314"/>
        <v>6</v>
      </c>
      <c r="L6565" s="369">
        <f>+IF((C6565&gt;='Resultats - informe'!$E$16)*(C6565&lt;='Resultats - informe'!$G$16),1,0)</f>
        <v>1</v>
      </c>
      <c r="M6565" s="369" cm="1">
        <f t="array" ref="M6565">+_xlfn.IFS((C6565&gt;='Resultats - informe'!$D$26)*(C6565&lt;='Resultats - informe'!$E$26),0,(C6565&gt;='Resultats - informe'!$D$27)*(C6565&lt;='Resultats - informe'!$E$27),0,(C6565&gt;='Resultats - informe'!$D$28)*(C6565&lt;='Resultats - informe'!$E$28),0,(C6565&gt;='Resultats - informe'!$D$29)*(C6565&lt;='Resultats - informe'!$E$29),0,1,1)</f>
        <v>0</v>
      </c>
      <c r="N6565" s="366">
        <f>+VLOOKUP(D6565,'Resultats - informe'!$Y$18:$AG$42,'Introducció dades consum'!K6565+1,0)</f>
        <v>0</v>
      </c>
      <c r="O6565" s="370" cm="1">
        <f t="array" ref="O6565">+_xlfn.SWITCH(MONTH(C6565),1,1,2,1,3,1,4,2,5,2,6,3,7,3,8,3,9,3,10,2,11,2,12,1,2)</f>
        <v>1</v>
      </c>
      <c r="P6565" s="43"/>
    </row>
    <row r="6566" spans="1:16" ht="18" x14ac:dyDescent="0.35">
      <c r="A6566" s="9"/>
      <c r="C6566" s="393"/>
      <c r="E6566" s="394"/>
      <c r="F6566" s="394"/>
      <c r="G6566" s="394"/>
      <c r="I6566" s="368">
        <f t="shared" si="312"/>
        <v>0</v>
      </c>
      <c r="J6566" s="365">
        <f t="shared" si="313"/>
        <v>0</v>
      </c>
      <c r="K6566" s="369">
        <f t="shared" si="314"/>
        <v>6</v>
      </c>
      <c r="L6566" s="369">
        <f>+IF((C6566&gt;='Resultats - informe'!$E$16)*(C6566&lt;='Resultats - informe'!$G$16),1,0)</f>
        <v>1</v>
      </c>
      <c r="M6566" s="369" cm="1">
        <f t="array" ref="M6566">+_xlfn.IFS((C6566&gt;='Resultats - informe'!$D$26)*(C6566&lt;='Resultats - informe'!$E$26),0,(C6566&gt;='Resultats - informe'!$D$27)*(C6566&lt;='Resultats - informe'!$E$27),0,(C6566&gt;='Resultats - informe'!$D$28)*(C6566&lt;='Resultats - informe'!$E$28),0,(C6566&gt;='Resultats - informe'!$D$29)*(C6566&lt;='Resultats - informe'!$E$29),0,1,1)</f>
        <v>0</v>
      </c>
      <c r="N6566" s="366">
        <f>+VLOOKUP(D6566,'Resultats - informe'!$Y$18:$AG$42,'Introducció dades consum'!K6566+1,0)</f>
        <v>0</v>
      </c>
      <c r="O6566" s="370" cm="1">
        <f t="array" ref="O6566">+_xlfn.SWITCH(MONTH(C6566),1,1,2,1,3,1,4,2,5,2,6,3,7,3,8,3,9,3,10,2,11,2,12,1,2)</f>
        <v>1</v>
      </c>
      <c r="P6566" s="43"/>
    </row>
    <row r="6567" spans="1:16" ht="18" x14ac:dyDescent="0.35">
      <c r="A6567" s="9"/>
      <c r="C6567" s="393"/>
      <c r="E6567" s="394"/>
      <c r="F6567" s="394"/>
      <c r="G6567" s="394"/>
      <c r="I6567" s="368">
        <f t="shared" si="312"/>
        <v>0</v>
      </c>
      <c r="J6567" s="365">
        <f t="shared" si="313"/>
        <v>0</v>
      </c>
      <c r="K6567" s="369">
        <f t="shared" si="314"/>
        <v>6</v>
      </c>
      <c r="L6567" s="369">
        <f>+IF((C6567&gt;='Resultats - informe'!$E$16)*(C6567&lt;='Resultats - informe'!$G$16),1,0)</f>
        <v>1</v>
      </c>
      <c r="M6567" s="369" cm="1">
        <f t="array" ref="M6567">+_xlfn.IFS((C6567&gt;='Resultats - informe'!$D$26)*(C6567&lt;='Resultats - informe'!$E$26),0,(C6567&gt;='Resultats - informe'!$D$27)*(C6567&lt;='Resultats - informe'!$E$27),0,(C6567&gt;='Resultats - informe'!$D$28)*(C6567&lt;='Resultats - informe'!$E$28),0,(C6567&gt;='Resultats - informe'!$D$29)*(C6567&lt;='Resultats - informe'!$E$29),0,1,1)</f>
        <v>0</v>
      </c>
      <c r="N6567" s="366">
        <f>+VLOOKUP(D6567,'Resultats - informe'!$Y$18:$AG$42,'Introducció dades consum'!K6567+1,0)</f>
        <v>0</v>
      </c>
      <c r="O6567" s="370" cm="1">
        <f t="array" ref="O6567">+_xlfn.SWITCH(MONTH(C6567),1,1,2,1,3,1,4,2,5,2,6,3,7,3,8,3,9,3,10,2,11,2,12,1,2)</f>
        <v>1</v>
      </c>
      <c r="P6567" s="43"/>
    </row>
    <row r="6568" spans="1:16" ht="18" x14ac:dyDescent="0.35">
      <c r="A6568" s="9"/>
      <c r="C6568" s="393"/>
      <c r="E6568" s="394"/>
      <c r="F6568" s="394"/>
      <c r="G6568" s="394"/>
      <c r="I6568" s="368">
        <f t="shared" si="312"/>
        <v>0</v>
      </c>
      <c r="J6568" s="365">
        <f t="shared" si="313"/>
        <v>0</v>
      </c>
      <c r="K6568" s="369">
        <f t="shared" si="314"/>
        <v>6</v>
      </c>
      <c r="L6568" s="369">
        <f>+IF((C6568&gt;='Resultats - informe'!$E$16)*(C6568&lt;='Resultats - informe'!$G$16),1,0)</f>
        <v>1</v>
      </c>
      <c r="M6568" s="369" cm="1">
        <f t="array" ref="M6568">+_xlfn.IFS((C6568&gt;='Resultats - informe'!$D$26)*(C6568&lt;='Resultats - informe'!$E$26),0,(C6568&gt;='Resultats - informe'!$D$27)*(C6568&lt;='Resultats - informe'!$E$27),0,(C6568&gt;='Resultats - informe'!$D$28)*(C6568&lt;='Resultats - informe'!$E$28),0,(C6568&gt;='Resultats - informe'!$D$29)*(C6568&lt;='Resultats - informe'!$E$29),0,1,1)</f>
        <v>0</v>
      </c>
      <c r="N6568" s="366">
        <f>+VLOOKUP(D6568,'Resultats - informe'!$Y$18:$AG$42,'Introducció dades consum'!K6568+1,0)</f>
        <v>0</v>
      </c>
      <c r="O6568" s="370" cm="1">
        <f t="array" ref="O6568">+_xlfn.SWITCH(MONTH(C6568),1,1,2,1,3,1,4,2,5,2,6,3,7,3,8,3,9,3,10,2,11,2,12,1,2)</f>
        <v>1</v>
      </c>
      <c r="P6568" s="43"/>
    </row>
    <row r="6569" spans="1:16" ht="18" x14ac:dyDescent="0.35">
      <c r="A6569" s="9"/>
      <c r="C6569" s="393"/>
      <c r="E6569" s="394"/>
      <c r="F6569" s="394"/>
      <c r="G6569" s="394"/>
      <c r="I6569" s="368">
        <f t="shared" si="312"/>
        <v>0</v>
      </c>
      <c r="J6569" s="365">
        <f t="shared" si="313"/>
        <v>0</v>
      </c>
      <c r="K6569" s="369">
        <f t="shared" si="314"/>
        <v>6</v>
      </c>
      <c r="L6569" s="369">
        <f>+IF((C6569&gt;='Resultats - informe'!$E$16)*(C6569&lt;='Resultats - informe'!$G$16),1,0)</f>
        <v>1</v>
      </c>
      <c r="M6569" s="369" cm="1">
        <f t="array" ref="M6569">+_xlfn.IFS((C6569&gt;='Resultats - informe'!$D$26)*(C6569&lt;='Resultats - informe'!$E$26),0,(C6569&gt;='Resultats - informe'!$D$27)*(C6569&lt;='Resultats - informe'!$E$27),0,(C6569&gt;='Resultats - informe'!$D$28)*(C6569&lt;='Resultats - informe'!$E$28),0,(C6569&gt;='Resultats - informe'!$D$29)*(C6569&lt;='Resultats - informe'!$E$29),0,1,1)</f>
        <v>0</v>
      </c>
      <c r="N6569" s="366">
        <f>+VLOOKUP(D6569,'Resultats - informe'!$Y$18:$AG$42,'Introducció dades consum'!K6569+1,0)</f>
        <v>0</v>
      </c>
      <c r="O6569" s="370" cm="1">
        <f t="array" ref="O6569">+_xlfn.SWITCH(MONTH(C6569),1,1,2,1,3,1,4,2,5,2,6,3,7,3,8,3,9,3,10,2,11,2,12,1,2)</f>
        <v>1</v>
      </c>
      <c r="P6569" s="43"/>
    </row>
    <row r="6570" spans="1:16" ht="18" x14ac:dyDescent="0.35">
      <c r="A6570" s="9"/>
      <c r="C6570" s="393"/>
      <c r="E6570" s="394"/>
      <c r="F6570" s="394"/>
      <c r="G6570" s="394"/>
      <c r="I6570" s="368">
        <f t="shared" si="312"/>
        <v>0</v>
      </c>
      <c r="J6570" s="365">
        <f t="shared" si="313"/>
        <v>0</v>
      </c>
      <c r="K6570" s="369">
        <f t="shared" si="314"/>
        <v>6</v>
      </c>
      <c r="L6570" s="369">
        <f>+IF((C6570&gt;='Resultats - informe'!$E$16)*(C6570&lt;='Resultats - informe'!$G$16),1,0)</f>
        <v>1</v>
      </c>
      <c r="M6570" s="369" cm="1">
        <f t="array" ref="M6570">+_xlfn.IFS((C6570&gt;='Resultats - informe'!$D$26)*(C6570&lt;='Resultats - informe'!$E$26),0,(C6570&gt;='Resultats - informe'!$D$27)*(C6570&lt;='Resultats - informe'!$E$27),0,(C6570&gt;='Resultats - informe'!$D$28)*(C6570&lt;='Resultats - informe'!$E$28),0,(C6570&gt;='Resultats - informe'!$D$29)*(C6570&lt;='Resultats - informe'!$E$29),0,1,1)</f>
        <v>0</v>
      </c>
      <c r="N6570" s="366">
        <f>+VLOOKUP(D6570,'Resultats - informe'!$Y$18:$AG$42,'Introducció dades consum'!K6570+1,0)</f>
        <v>0</v>
      </c>
      <c r="O6570" s="370" cm="1">
        <f t="array" ref="O6570">+_xlfn.SWITCH(MONTH(C6570),1,1,2,1,3,1,4,2,5,2,6,3,7,3,8,3,9,3,10,2,11,2,12,1,2)</f>
        <v>1</v>
      </c>
      <c r="P6570" s="43"/>
    </row>
    <row r="6571" spans="1:16" ht="18" x14ac:dyDescent="0.35">
      <c r="A6571" s="9"/>
      <c r="C6571" s="393"/>
      <c r="E6571" s="394"/>
      <c r="F6571" s="394"/>
      <c r="G6571" s="394"/>
      <c r="I6571" s="368">
        <f t="shared" si="312"/>
        <v>0</v>
      </c>
      <c r="J6571" s="365">
        <f t="shared" si="313"/>
        <v>0</v>
      </c>
      <c r="K6571" s="369">
        <f t="shared" si="314"/>
        <v>6</v>
      </c>
      <c r="L6571" s="369">
        <f>+IF((C6571&gt;='Resultats - informe'!$E$16)*(C6571&lt;='Resultats - informe'!$G$16),1,0)</f>
        <v>1</v>
      </c>
      <c r="M6571" s="369" cm="1">
        <f t="array" ref="M6571">+_xlfn.IFS((C6571&gt;='Resultats - informe'!$D$26)*(C6571&lt;='Resultats - informe'!$E$26),0,(C6571&gt;='Resultats - informe'!$D$27)*(C6571&lt;='Resultats - informe'!$E$27),0,(C6571&gt;='Resultats - informe'!$D$28)*(C6571&lt;='Resultats - informe'!$E$28),0,(C6571&gt;='Resultats - informe'!$D$29)*(C6571&lt;='Resultats - informe'!$E$29),0,1,1)</f>
        <v>0</v>
      </c>
      <c r="N6571" s="366">
        <f>+VLOOKUP(D6571,'Resultats - informe'!$Y$18:$AG$42,'Introducció dades consum'!K6571+1,0)</f>
        <v>0</v>
      </c>
      <c r="O6571" s="370" cm="1">
        <f t="array" ref="O6571">+_xlfn.SWITCH(MONTH(C6571),1,1,2,1,3,1,4,2,5,2,6,3,7,3,8,3,9,3,10,2,11,2,12,1,2)</f>
        <v>1</v>
      </c>
      <c r="P6571" s="43"/>
    </row>
    <row r="6572" spans="1:16" ht="18" x14ac:dyDescent="0.35">
      <c r="A6572" s="9"/>
      <c r="C6572" s="393"/>
      <c r="E6572" s="394"/>
      <c r="F6572" s="394"/>
      <c r="G6572" s="394"/>
      <c r="I6572" s="368">
        <f t="shared" si="312"/>
        <v>0</v>
      </c>
      <c r="J6572" s="365">
        <f t="shared" si="313"/>
        <v>0</v>
      </c>
      <c r="K6572" s="369">
        <f t="shared" si="314"/>
        <v>6</v>
      </c>
      <c r="L6572" s="369">
        <f>+IF((C6572&gt;='Resultats - informe'!$E$16)*(C6572&lt;='Resultats - informe'!$G$16),1,0)</f>
        <v>1</v>
      </c>
      <c r="M6572" s="369" cm="1">
        <f t="array" ref="M6572">+_xlfn.IFS((C6572&gt;='Resultats - informe'!$D$26)*(C6572&lt;='Resultats - informe'!$E$26),0,(C6572&gt;='Resultats - informe'!$D$27)*(C6572&lt;='Resultats - informe'!$E$27),0,(C6572&gt;='Resultats - informe'!$D$28)*(C6572&lt;='Resultats - informe'!$E$28),0,(C6572&gt;='Resultats - informe'!$D$29)*(C6572&lt;='Resultats - informe'!$E$29),0,1,1)</f>
        <v>0</v>
      </c>
      <c r="N6572" s="366">
        <f>+VLOOKUP(D6572,'Resultats - informe'!$Y$18:$AG$42,'Introducció dades consum'!K6572+1,0)</f>
        <v>0</v>
      </c>
      <c r="O6572" s="370" cm="1">
        <f t="array" ref="O6572">+_xlfn.SWITCH(MONTH(C6572),1,1,2,1,3,1,4,2,5,2,6,3,7,3,8,3,9,3,10,2,11,2,12,1,2)</f>
        <v>1</v>
      </c>
      <c r="P6572" s="43"/>
    </row>
    <row r="6573" spans="1:16" ht="18" x14ac:dyDescent="0.35">
      <c r="A6573" s="9"/>
      <c r="C6573" s="393"/>
      <c r="E6573" s="394"/>
      <c r="F6573" s="394"/>
      <c r="G6573" s="394"/>
      <c r="I6573" s="368">
        <f t="shared" si="312"/>
        <v>0</v>
      </c>
      <c r="J6573" s="365">
        <f t="shared" si="313"/>
        <v>0</v>
      </c>
      <c r="K6573" s="369">
        <f t="shared" si="314"/>
        <v>6</v>
      </c>
      <c r="L6573" s="369">
        <f>+IF((C6573&gt;='Resultats - informe'!$E$16)*(C6573&lt;='Resultats - informe'!$G$16),1,0)</f>
        <v>1</v>
      </c>
      <c r="M6573" s="369" cm="1">
        <f t="array" ref="M6573">+_xlfn.IFS((C6573&gt;='Resultats - informe'!$D$26)*(C6573&lt;='Resultats - informe'!$E$26),0,(C6573&gt;='Resultats - informe'!$D$27)*(C6573&lt;='Resultats - informe'!$E$27),0,(C6573&gt;='Resultats - informe'!$D$28)*(C6573&lt;='Resultats - informe'!$E$28),0,(C6573&gt;='Resultats - informe'!$D$29)*(C6573&lt;='Resultats - informe'!$E$29),0,1,1)</f>
        <v>0</v>
      </c>
      <c r="N6573" s="366">
        <f>+VLOOKUP(D6573,'Resultats - informe'!$Y$18:$AG$42,'Introducció dades consum'!K6573+1,0)</f>
        <v>0</v>
      </c>
      <c r="O6573" s="370" cm="1">
        <f t="array" ref="O6573">+_xlfn.SWITCH(MONTH(C6573),1,1,2,1,3,1,4,2,5,2,6,3,7,3,8,3,9,3,10,2,11,2,12,1,2)</f>
        <v>1</v>
      </c>
      <c r="P6573" s="43"/>
    </row>
    <row r="6574" spans="1:16" ht="18" x14ac:dyDescent="0.35">
      <c r="A6574" s="9"/>
      <c r="C6574" s="393"/>
      <c r="E6574" s="394"/>
      <c r="F6574" s="394"/>
      <c r="G6574" s="394"/>
      <c r="I6574" s="368">
        <f t="shared" si="312"/>
        <v>0</v>
      </c>
      <c r="J6574" s="365">
        <f t="shared" si="313"/>
        <v>0</v>
      </c>
      <c r="K6574" s="369">
        <f t="shared" si="314"/>
        <v>6</v>
      </c>
      <c r="L6574" s="369">
        <f>+IF((C6574&gt;='Resultats - informe'!$E$16)*(C6574&lt;='Resultats - informe'!$G$16),1,0)</f>
        <v>1</v>
      </c>
      <c r="M6574" s="369" cm="1">
        <f t="array" ref="M6574">+_xlfn.IFS((C6574&gt;='Resultats - informe'!$D$26)*(C6574&lt;='Resultats - informe'!$E$26),0,(C6574&gt;='Resultats - informe'!$D$27)*(C6574&lt;='Resultats - informe'!$E$27),0,(C6574&gt;='Resultats - informe'!$D$28)*(C6574&lt;='Resultats - informe'!$E$28),0,(C6574&gt;='Resultats - informe'!$D$29)*(C6574&lt;='Resultats - informe'!$E$29),0,1,1)</f>
        <v>0</v>
      </c>
      <c r="N6574" s="366">
        <f>+VLOOKUP(D6574,'Resultats - informe'!$Y$18:$AG$42,'Introducció dades consum'!K6574+1,0)</f>
        <v>0</v>
      </c>
      <c r="O6574" s="370" cm="1">
        <f t="array" ref="O6574">+_xlfn.SWITCH(MONTH(C6574),1,1,2,1,3,1,4,2,5,2,6,3,7,3,8,3,9,3,10,2,11,2,12,1,2)</f>
        <v>1</v>
      </c>
      <c r="P6574" s="43"/>
    </row>
    <row r="6575" spans="1:16" ht="18" x14ac:dyDescent="0.35">
      <c r="A6575" s="9"/>
      <c r="C6575" s="393"/>
      <c r="E6575" s="394"/>
      <c r="F6575" s="394"/>
      <c r="G6575" s="394"/>
      <c r="I6575" s="368">
        <f t="shared" si="312"/>
        <v>0</v>
      </c>
      <c r="J6575" s="365">
        <f t="shared" si="313"/>
        <v>0</v>
      </c>
      <c r="K6575" s="369">
        <f t="shared" si="314"/>
        <v>6</v>
      </c>
      <c r="L6575" s="369">
        <f>+IF((C6575&gt;='Resultats - informe'!$E$16)*(C6575&lt;='Resultats - informe'!$G$16),1,0)</f>
        <v>1</v>
      </c>
      <c r="M6575" s="369" cm="1">
        <f t="array" ref="M6575">+_xlfn.IFS((C6575&gt;='Resultats - informe'!$D$26)*(C6575&lt;='Resultats - informe'!$E$26),0,(C6575&gt;='Resultats - informe'!$D$27)*(C6575&lt;='Resultats - informe'!$E$27),0,(C6575&gt;='Resultats - informe'!$D$28)*(C6575&lt;='Resultats - informe'!$E$28),0,(C6575&gt;='Resultats - informe'!$D$29)*(C6575&lt;='Resultats - informe'!$E$29),0,1,1)</f>
        <v>0</v>
      </c>
      <c r="N6575" s="366">
        <f>+VLOOKUP(D6575,'Resultats - informe'!$Y$18:$AG$42,'Introducció dades consum'!K6575+1,0)</f>
        <v>0</v>
      </c>
      <c r="O6575" s="370" cm="1">
        <f t="array" ref="O6575">+_xlfn.SWITCH(MONTH(C6575),1,1,2,1,3,1,4,2,5,2,6,3,7,3,8,3,9,3,10,2,11,2,12,1,2)</f>
        <v>1</v>
      </c>
      <c r="P6575" s="43"/>
    </row>
    <row r="6576" spans="1:16" ht="18" x14ac:dyDescent="0.35">
      <c r="A6576" s="9"/>
      <c r="C6576" s="393"/>
      <c r="E6576" s="394"/>
      <c r="F6576" s="394"/>
      <c r="G6576" s="394"/>
      <c r="I6576" s="368">
        <f t="shared" si="312"/>
        <v>0</v>
      </c>
      <c r="J6576" s="365">
        <f t="shared" si="313"/>
        <v>0</v>
      </c>
      <c r="K6576" s="369">
        <f t="shared" si="314"/>
        <v>6</v>
      </c>
      <c r="L6576" s="369">
        <f>+IF((C6576&gt;='Resultats - informe'!$E$16)*(C6576&lt;='Resultats - informe'!$G$16),1,0)</f>
        <v>1</v>
      </c>
      <c r="M6576" s="369" cm="1">
        <f t="array" ref="M6576">+_xlfn.IFS((C6576&gt;='Resultats - informe'!$D$26)*(C6576&lt;='Resultats - informe'!$E$26),0,(C6576&gt;='Resultats - informe'!$D$27)*(C6576&lt;='Resultats - informe'!$E$27),0,(C6576&gt;='Resultats - informe'!$D$28)*(C6576&lt;='Resultats - informe'!$E$28),0,(C6576&gt;='Resultats - informe'!$D$29)*(C6576&lt;='Resultats - informe'!$E$29),0,1,1)</f>
        <v>0</v>
      </c>
      <c r="N6576" s="366">
        <f>+VLOOKUP(D6576,'Resultats - informe'!$Y$18:$AG$42,'Introducció dades consum'!K6576+1,0)</f>
        <v>0</v>
      </c>
      <c r="O6576" s="370" cm="1">
        <f t="array" ref="O6576">+_xlfn.SWITCH(MONTH(C6576),1,1,2,1,3,1,4,2,5,2,6,3,7,3,8,3,9,3,10,2,11,2,12,1,2)</f>
        <v>1</v>
      </c>
      <c r="P6576" s="43"/>
    </row>
    <row r="6577" spans="1:16" ht="18" x14ac:dyDescent="0.35">
      <c r="A6577" s="9"/>
      <c r="C6577" s="393"/>
      <c r="E6577" s="394"/>
      <c r="F6577" s="394"/>
      <c r="G6577" s="394"/>
      <c r="I6577" s="368">
        <f t="shared" si="312"/>
        <v>0</v>
      </c>
      <c r="J6577" s="365">
        <f t="shared" si="313"/>
        <v>0</v>
      </c>
      <c r="K6577" s="369">
        <f t="shared" si="314"/>
        <v>6</v>
      </c>
      <c r="L6577" s="369">
        <f>+IF((C6577&gt;='Resultats - informe'!$E$16)*(C6577&lt;='Resultats - informe'!$G$16),1,0)</f>
        <v>1</v>
      </c>
      <c r="M6577" s="369" cm="1">
        <f t="array" ref="M6577">+_xlfn.IFS((C6577&gt;='Resultats - informe'!$D$26)*(C6577&lt;='Resultats - informe'!$E$26),0,(C6577&gt;='Resultats - informe'!$D$27)*(C6577&lt;='Resultats - informe'!$E$27),0,(C6577&gt;='Resultats - informe'!$D$28)*(C6577&lt;='Resultats - informe'!$E$28),0,(C6577&gt;='Resultats - informe'!$D$29)*(C6577&lt;='Resultats - informe'!$E$29),0,1,1)</f>
        <v>0</v>
      </c>
      <c r="N6577" s="366">
        <f>+VLOOKUP(D6577,'Resultats - informe'!$Y$18:$AG$42,'Introducció dades consum'!K6577+1,0)</f>
        <v>0</v>
      </c>
      <c r="O6577" s="370" cm="1">
        <f t="array" ref="O6577">+_xlfn.SWITCH(MONTH(C6577),1,1,2,1,3,1,4,2,5,2,6,3,7,3,8,3,9,3,10,2,11,2,12,1,2)</f>
        <v>1</v>
      </c>
      <c r="P6577" s="43"/>
    </row>
    <row r="6578" spans="1:16" ht="18" x14ac:dyDescent="0.35">
      <c r="A6578" s="9"/>
      <c r="C6578" s="393"/>
      <c r="E6578" s="394"/>
      <c r="F6578" s="394"/>
      <c r="G6578" s="394"/>
      <c r="I6578" s="368">
        <f t="shared" si="312"/>
        <v>0</v>
      </c>
      <c r="J6578" s="365">
        <f t="shared" si="313"/>
        <v>0</v>
      </c>
      <c r="K6578" s="369">
        <f t="shared" si="314"/>
        <v>6</v>
      </c>
      <c r="L6578" s="369">
        <f>+IF((C6578&gt;='Resultats - informe'!$E$16)*(C6578&lt;='Resultats - informe'!$G$16),1,0)</f>
        <v>1</v>
      </c>
      <c r="M6578" s="369" cm="1">
        <f t="array" ref="M6578">+_xlfn.IFS((C6578&gt;='Resultats - informe'!$D$26)*(C6578&lt;='Resultats - informe'!$E$26),0,(C6578&gt;='Resultats - informe'!$D$27)*(C6578&lt;='Resultats - informe'!$E$27),0,(C6578&gt;='Resultats - informe'!$D$28)*(C6578&lt;='Resultats - informe'!$E$28),0,(C6578&gt;='Resultats - informe'!$D$29)*(C6578&lt;='Resultats - informe'!$E$29),0,1,1)</f>
        <v>0</v>
      </c>
      <c r="N6578" s="366">
        <f>+VLOOKUP(D6578,'Resultats - informe'!$Y$18:$AG$42,'Introducció dades consum'!K6578+1,0)</f>
        <v>0</v>
      </c>
      <c r="O6578" s="370" cm="1">
        <f t="array" ref="O6578">+_xlfn.SWITCH(MONTH(C6578),1,1,2,1,3,1,4,2,5,2,6,3,7,3,8,3,9,3,10,2,11,2,12,1,2)</f>
        <v>1</v>
      </c>
      <c r="P6578" s="43"/>
    </row>
    <row r="6579" spans="1:16" ht="18" x14ac:dyDescent="0.35">
      <c r="A6579" s="9"/>
      <c r="C6579" s="393"/>
      <c r="E6579" s="394"/>
      <c r="F6579" s="394"/>
      <c r="G6579" s="394"/>
      <c r="I6579" s="368">
        <f t="shared" si="312"/>
        <v>0</v>
      </c>
      <c r="J6579" s="365">
        <f t="shared" si="313"/>
        <v>0</v>
      </c>
      <c r="K6579" s="369">
        <f t="shared" si="314"/>
        <v>6</v>
      </c>
      <c r="L6579" s="369">
        <f>+IF((C6579&gt;='Resultats - informe'!$E$16)*(C6579&lt;='Resultats - informe'!$G$16),1,0)</f>
        <v>1</v>
      </c>
      <c r="M6579" s="369" cm="1">
        <f t="array" ref="M6579">+_xlfn.IFS((C6579&gt;='Resultats - informe'!$D$26)*(C6579&lt;='Resultats - informe'!$E$26),0,(C6579&gt;='Resultats - informe'!$D$27)*(C6579&lt;='Resultats - informe'!$E$27),0,(C6579&gt;='Resultats - informe'!$D$28)*(C6579&lt;='Resultats - informe'!$E$28),0,(C6579&gt;='Resultats - informe'!$D$29)*(C6579&lt;='Resultats - informe'!$E$29),0,1,1)</f>
        <v>0</v>
      </c>
      <c r="N6579" s="366">
        <f>+VLOOKUP(D6579,'Resultats - informe'!$Y$18:$AG$42,'Introducció dades consum'!K6579+1,0)</f>
        <v>0</v>
      </c>
      <c r="O6579" s="370" cm="1">
        <f t="array" ref="O6579">+_xlfn.SWITCH(MONTH(C6579),1,1,2,1,3,1,4,2,5,2,6,3,7,3,8,3,9,3,10,2,11,2,12,1,2)</f>
        <v>1</v>
      </c>
      <c r="P6579" s="43"/>
    </row>
    <row r="6580" spans="1:16" ht="18" x14ac:dyDescent="0.35">
      <c r="A6580" s="9"/>
      <c r="C6580" s="393"/>
      <c r="E6580" s="394"/>
      <c r="F6580" s="394"/>
      <c r="G6580" s="394"/>
      <c r="I6580" s="368">
        <f t="shared" si="312"/>
        <v>0</v>
      </c>
      <c r="J6580" s="365">
        <f t="shared" si="313"/>
        <v>0</v>
      </c>
      <c r="K6580" s="369">
        <f t="shared" si="314"/>
        <v>6</v>
      </c>
      <c r="L6580" s="369">
        <f>+IF((C6580&gt;='Resultats - informe'!$E$16)*(C6580&lt;='Resultats - informe'!$G$16),1,0)</f>
        <v>1</v>
      </c>
      <c r="M6580" s="369" cm="1">
        <f t="array" ref="M6580">+_xlfn.IFS((C6580&gt;='Resultats - informe'!$D$26)*(C6580&lt;='Resultats - informe'!$E$26),0,(C6580&gt;='Resultats - informe'!$D$27)*(C6580&lt;='Resultats - informe'!$E$27),0,(C6580&gt;='Resultats - informe'!$D$28)*(C6580&lt;='Resultats - informe'!$E$28),0,(C6580&gt;='Resultats - informe'!$D$29)*(C6580&lt;='Resultats - informe'!$E$29),0,1,1)</f>
        <v>0</v>
      </c>
      <c r="N6580" s="366">
        <f>+VLOOKUP(D6580,'Resultats - informe'!$Y$18:$AG$42,'Introducció dades consum'!K6580+1,0)</f>
        <v>0</v>
      </c>
      <c r="O6580" s="370" cm="1">
        <f t="array" ref="O6580">+_xlfn.SWITCH(MONTH(C6580),1,1,2,1,3,1,4,2,5,2,6,3,7,3,8,3,9,3,10,2,11,2,12,1,2)</f>
        <v>1</v>
      </c>
      <c r="P6580" s="43"/>
    </row>
    <row r="6581" spans="1:16" ht="18" x14ac:dyDescent="0.35">
      <c r="A6581" s="9"/>
      <c r="C6581" s="393"/>
      <c r="E6581" s="394"/>
      <c r="F6581" s="394"/>
      <c r="G6581" s="394"/>
      <c r="I6581" s="368">
        <f t="shared" si="312"/>
        <v>0</v>
      </c>
      <c r="J6581" s="365">
        <f t="shared" si="313"/>
        <v>0</v>
      </c>
      <c r="K6581" s="369">
        <f t="shared" si="314"/>
        <v>6</v>
      </c>
      <c r="L6581" s="369">
        <f>+IF((C6581&gt;='Resultats - informe'!$E$16)*(C6581&lt;='Resultats - informe'!$G$16),1,0)</f>
        <v>1</v>
      </c>
      <c r="M6581" s="369" cm="1">
        <f t="array" ref="M6581">+_xlfn.IFS((C6581&gt;='Resultats - informe'!$D$26)*(C6581&lt;='Resultats - informe'!$E$26),0,(C6581&gt;='Resultats - informe'!$D$27)*(C6581&lt;='Resultats - informe'!$E$27),0,(C6581&gt;='Resultats - informe'!$D$28)*(C6581&lt;='Resultats - informe'!$E$28),0,(C6581&gt;='Resultats - informe'!$D$29)*(C6581&lt;='Resultats - informe'!$E$29),0,1,1)</f>
        <v>0</v>
      </c>
      <c r="N6581" s="366">
        <f>+VLOOKUP(D6581,'Resultats - informe'!$Y$18:$AG$42,'Introducció dades consum'!K6581+1,0)</f>
        <v>0</v>
      </c>
      <c r="O6581" s="370" cm="1">
        <f t="array" ref="O6581">+_xlfn.SWITCH(MONTH(C6581),1,1,2,1,3,1,4,2,5,2,6,3,7,3,8,3,9,3,10,2,11,2,12,1,2)</f>
        <v>1</v>
      </c>
      <c r="P6581" s="43"/>
    </row>
    <row r="6582" spans="1:16" ht="18" x14ac:dyDescent="0.35">
      <c r="A6582" s="9"/>
      <c r="C6582" s="393"/>
      <c r="E6582" s="394"/>
      <c r="F6582" s="394"/>
      <c r="G6582" s="394"/>
      <c r="I6582" s="368">
        <f t="shared" si="312"/>
        <v>0</v>
      </c>
      <c r="J6582" s="365">
        <f t="shared" si="313"/>
        <v>0</v>
      </c>
      <c r="K6582" s="369">
        <f t="shared" si="314"/>
        <v>6</v>
      </c>
      <c r="L6582" s="369">
        <f>+IF((C6582&gt;='Resultats - informe'!$E$16)*(C6582&lt;='Resultats - informe'!$G$16),1,0)</f>
        <v>1</v>
      </c>
      <c r="M6582" s="369" cm="1">
        <f t="array" ref="M6582">+_xlfn.IFS((C6582&gt;='Resultats - informe'!$D$26)*(C6582&lt;='Resultats - informe'!$E$26),0,(C6582&gt;='Resultats - informe'!$D$27)*(C6582&lt;='Resultats - informe'!$E$27),0,(C6582&gt;='Resultats - informe'!$D$28)*(C6582&lt;='Resultats - informe'!$E$28),0,(C6582&gt;='Resultats - informe'!$D$29)*(C6582&lt;='Resultats - informe'!$E$29),0,1,1)</f>
        <v>0</v>
      </c>
      <c r="N6582" s="366">
        <f>+VLOOKUP(D6582,'Resultats - informe'!$Y$18:$AG$42,'Introducció dades consum'!K6582+1,0)</f>
        <v>0</v>
      </c>
      <c r="O6582" s="370" cm="1">
        <f t="array" ref="O6582">+_xlfn.SWITCH(MONTH(C6582),1,1,2,1,3,1,4,2,5,2,6,3,7,3,8,3,9,3,10,2,11,2,12,1,2)</f>
        <v>1</v>
      </c>
      <c r="P6582" s="43"/>
    </row>
    <row r="6583" spans="1:16" ht="18" x14ac:dyDescent="0.35">
      <c r="A6583" s="9"/>
      <c r="C6583" s="393"/>
      <c r="E6583" s="394"/>
      <c r="F6583" s="394"/>
      <c r="G6583" s="394"/>
      <c r="I6583" s="368">
        <f t="shared" si="312"/>
        <v>0</v>
      </c>
      <c r="J6583" s="365">
        <f t="shared" si="313"/>
        <v>0</v>
      </c>
      <c r="K6583" s="369">
        <f t="shared" si="314"/>
        <v>6</v>
      </c>
      <c r="L6583" s="369">
        <f>+IF((C6583&gt;='Resultats - informe'!$E$16)*(C6583&lt;='Resultats - informe'!$G$16),1,0)</f>
        <v>1</v>
      </c>
      <c r="M6583" s="369" cm="1">
        <f t="array" ref="M6583">+_xlfn.IFS((C6583&gt;='Resultats - informe'!$D$26)*(C6583&lt;='Resultats - informe'!$E$26),0,(C6583&gt;='Resultats - informe'!$D$27)*(C6583&lt;='Resultats - informe'!$E$27),0,(C6583&gt;='Resultats - informe'!$D$28)*(C6583&lt;='Resultats - informe'!$E$28),0,(C6583&gt;='Resultats - informe'!$D$29)*(C6583&lt;='Resultats - informe'!$E$29),0,1,1)</f>
        <v>0</v>
      </c>
      <c r="N6583" s="366">
        <f>+VLOOKUP(D6583,'Resultats - informe'!$Y$18:$AG$42,'Introducció dades consum'!K6583+1,0)</f>
        <v>0</v>
      </c>
      <c r="O6583" s="370" cm="1">
        <f t="array" ref="O6583">+_xlfn.SWITCH(MONTH(C6583),1,1,2,1,3,1,4,2,5,2,6,3,7,3,8,3,9,3,10,2,11,2,12,1,2)</f>
        <v>1</v>
      </c>
      <c r="P6583" s="43"/>
    </row>
    <row r="6584" spans="1:16" ht="18" x14ac:dyDescent="0.35">
      <c r="A6584" s="9"/>
      <c r="C6584" s="393"/>
      <c r="E6584" s="394"/>
      <c r="F6584" s="394"/>
      <c r="G6584" s="394"/>
      <c r="I6584" s="368">
        <f t="shared" si="312"/>
        <v>0</v>
      </c>
      <c r="J6584" s="365">
        <f t="shared" si="313"/>
        <v>0</v>
      </c>
      <c r="K6584" s="369">
        <f t="shared" si="314"/>
        <v>6</v>
      </c>
      <c r="L6584" s="369">
        <f>+IF((C6584&gt;='Resultats - informe'!$E$16)*(C6584&lt;='Resultats - informe'!$G$16),1,0)</f>
        <v>1</v>
      </c>
      <c r="M6584" s="369" cm="1">
        <f t="array" ref="M6584">+_xlfn.IFS((C6584&gt;='Resultats - informe'!$D$26)*(C6584&lt;='Resultats - informe'!$E$26),0,(C6584&gt;='Resultats - informe'!$D$27)*(C6584&lt;='Resultats - informe'!$E$27),0,(C6584&gt;='Resultats - informe'!$D$28)*(C6584&lt;='Resultats - informe'!$E$28),0,(C6584&gt;='Resultats - informe'!$D$29)*(C6584&lt;='Resultats - informe'!$E$29),0,1,1)</f>
        <v>0</v>
      </c>
      <c r="N6584" s="366">
        <f>+VLOOKUP(D6584,'Resultats - informe'!$Y$18:$AG$42,'Introducció dades consum'!K6584+1,0)</f>
        <v>0</v>
      </c>
      <c r="O6584" s="370" cm="1">
        <f t="array" ref="O6584">+_xlfn.SWITCH(MONTH(C6584),1,1,2,1,3,1,4,2,5,2,6,3,7,3,8,3,9,3,10,2,11,2,12,1,2)</f>
        <v>1</v>
      </c>
      <c r="P6584" s="43"/>
    </row>
    <row r="6585" spans="1:16" ht="18" x14ac:dyDescent="0.35">
      <c r="A6585" s="9"/>
      <c r="C6585" s="393"/>
      <c r="E6585" s="394"/>
      <c r="F6585" s="394"/>
      <c r="G6585" s="394"/>
      <c r="I6585" s="368">
        <f t="shared" si="312"/>
        <v>0</v>
      </c>
      <c r="J6585" s="365">
        <f t="shared" si="313"/>
        <v>0</v>
      </c>
      <c r="K6585" s="369">
        <f t="shared" si="314"/>
        <v>6</v>
      </c>
      <c r="L6585" s="369">
        <f>+IF((C6585&gt;='Resultats - informe'!$E$16)*(C6585&lt;='Resultats - informe'!$G$16),1,0)</f>
        <v>1</v>
      </c>
      <c r="M6585" s="369" cm="1">
        <f t="array" ref="M6585">+_xlfn.IFS((C6585&gt;='Resultats - informe'!$D$26)*(C6585&lt;='Resultats - informe'!$E$26),0,(C6585&gt;='Resultats - informe'!$D$27)*(C6585&lt;='Resultats - informe'!$E$27),0,(C6585&gt;='Resultats - informe'!$D$28)*(C6585&lt;='Resultats - informe'!$E$28),0,(C6585&gt;='Resultats - informe'!$D$29)*(C6585&lt;='Resultats - informe'!$E$29),0,1,1)</f>
        <v>0</v>
      </c>
      <c r="N6585" s="366">
        <f>+VLOOKUP(D6585,'Resultats - informe'!$Y$18:$AG$42,'Introducció dades consum'!K6585+1,0)</f>
        <v>0</v>
      </c>
      <c r="O6585" s="370" cm="1">
        <f t="array" ref="O6585">+_xlfn.SWITCH(MONTH(C6585),1,1,2,1,3,1,4,2,5,2,6,3,7,3,8,3,9,3,10,2,11,2,12,1,2)</f>
        <v>1</v>
      </c>
      <c r="P6585" s="43"/>
    </row>
    <row r="6586" spans="1:16" ht="18" x14ac:dyDescent="0.35">
      <c r="A6586" s="9"/>
      <c r="C6586" s="393"/>
      <c r="E6586" s="394"/>
      <c r="F6586" s="394"/>
      <c r="G6586" s="394"/>
      <c r="I6586" s="368">
        <f t="shared" si="312"/>
        <v>0</v>
      </c>
      <c r="J6586" s="365">
        <f t="shared" si="313"/>
        <v>0</v>
      </c>
      <c r="K6586" s="369">
        <f t="shared" si="314"/>
        <v>6</v>
      </c>
      <c r="L6586" s="369">
        <f>+IF((C6586&gt;='Resultats - informe'!$E$16)*(C6586&lt;='Resultats - informe'!$G$16),1,0)</f>
        <v>1</v>
      </c>
      <c r="M6586" s="369" cm="1">
        <f t="array" ref="M6586">+_xlfn.IFS((C6586&gt;='Resultats - informe'!$D$26)*(C6586&lt;='Resultats - informe'!$E$26),0,(C6586&gt;='Resultats - informe'!$D$27)*(C6586&lt;='Resultats - informe'!$E$27),0,(C6586&gt;='Resultats - informe'!$D$28)*(C6586&lt;='Resultats - informe'!$E$28),0,(C6586&gt;='Resultats - informe'!$D$29)*(C6586&lt;='Resultats - informe'!$E$29),0,1,1)</f>
        <v>0</v>
      </c>
      <c r="N6586" s="366">
        <f>+VLOOKUP(D6586,'Resultats - informe'!$Y$18:$AG$42,'Introducció dades consum'!K6586+1,0)</f>
        <v>0</v>
      </c>
      <c r="O6586" s="370" cm="1">
        <f t="array" ref="O6586">+_xlfn.SWITCH(MONTH(C6586),1,1,2,1,3,1,4,2,5,2,6,3,7,3,8,3,9,3,10,2,11,2,12,1,2)</f>
        <v>1</v>
      </c>
      <c r="P6586" s="43"/>
    </row>
    <row r="6587" spans="1:16" ht="18" x14ac:dyDescent="0.35">
      <c r="A6587" s="9"/>
      <c r="C6587" s="393"/>
      <c r="E6587" s="394"/>
      <c r="F6587" s="394"/>
      <c r="G6587" s="394"/>
      <c r="I6587" s="368">
        <f t="shared" si="312"/>
        <v>0</v>
      </c>
      <c r="J6587" s="365">
        <f t="shared" si="313"/>
        <v>0</v>
      </c>
      <c r="K6587" s="369">
        <f t="shared" si="314"/>
        <v>6</v>
      </c>
      <c r="L6587" s="369">
        <f>+IF((C6587&gt;='Resultats - informe'!$E$16)*(C6587&lt;='Resultats - informe'!$G$16),1,0)</f>
        <v>1</v>
      </c>
      <c r="M6587" s="369" cm="1">
        <f t="array" ref="M6587">+_xlfn.IFS((C6587&gt;='Resultats - informe'!$D$26)*(C6587&lt;='Resultats - informe'!$E$26),0,(C6587&gt;='Resultats - informe'!$D$27)*(C6587&lt;='Resultats - informe'!$E$27),0,(C6587&gt;='Resultats - informe'!$D$28)*(C6587&lt;='Resultats - informe'!$E$28),0,(C6587&gt;='Resultats - informe'!$D$29)*(C6587&lt;='Resultats - informe'!$E$29),0,1,1)</f>
        <v>0</v>
      </c>
      <c r="N6587" s="366">
        <f>+VLOOKUP(D6587,'Resultats - informe'!$Y$18:$AG$42,'Introducció dades consum'!K6587+1,0)</f>
        <v>0</v>
      </c>
      <c r="O6587" s="370" cm="1">
        <f t="array" ref="O6587">+_xlfn.SWITCH(MONTH(C6587),1,1,2,1,3,1,4,2,5,2,6,3,7,3,8,3,9,3,10,2,11,2,12,1,2)</f>
        <v>1</v>
      </c>
      <c r="P6587" s="43"/>
    </row>
    <row r="6588" spans="1:16" ht="18" x14ac:dyDescent="0.35">
      <c r="A6588" s="9"/>
      <c r="C6588" s="393"/>
      <c r="E6588" s="394"/>
      <c r="F6588" s="394"/>
      <c r="G6588" s="394"/>
      <c r="I6588" s="368">
        <f t="shared" si="312"/>
        <v>0</v>
      </c>
      <c r="J6588" s="365">
        <f t="shared" si="313"/>
        <v>0</v>
      </c>
      <c r="K6588" s="369">
        <f t="shared" si="314"/>
        <v>6</v>
      </c>
      <c r="L6588" s="369">
        <f>+IF((C6588&gt;='Resultats - informe'!$E$16)*(C6588&lt;='Resultats - informe'!$G$16),1,0)</f>
        <v>1</v>
      </c>
      <c r="M6588" s="369" cm="1">
        <f t="array" ref="M6588">+_xlfn.IFS((C6588&gt;='Resultats - informe'!$D$26)*(C6588&lt;='Resultats - informe'!$E$26),0,(C6588&gt;='Resultats - informe'!$D$27)*(C6588&lt;='Resultats - informe'!$E$27),0,(C6588&gt;='Resultats - informe'!$D$28)*(C6588&lt;='Resultats - informe'!$E$28),0,(C6588&gt;='Resultats - informe'!$D$29)*(C6588&lt;='Resultats - informe'!$E$29),0,1,1)</f>
        <v>0</v>
      </c>
      <c r="N6588" s="366">
        <f>+VLOOKUP(D6588,'Resultats - informe'!$Y$18:$AG$42,'Introducció dades consum'!K6588+1,0)</f>
        <v>0</v>
      </c>
      <c r="O6588" s="370" cm="1">
        <f t="array" ref="O6588">+_xlfn.SWITCH(MONTH(C6588),1,1,2,1,3,1,4,2,5,2,6,3,7,3,8,3,9,3,10,2,11,2,12,1,2)</f>
        <v>1</v>
      </c>
      <c r="P6588" s="43"/>
    </row>
    <row r="6589" spans="1:16" ht="18" x14ac:dyDescent="0.35">
      <c r="A6589" s="9"/>
      <c r="C6589" s="393"/>
      <c r="E6589" s="394"/>
      <c r="F6589" s="394"/>
      <c r="G6589" s="394"/>
      <c r="I6589" s="368">
        <f t="shared" si="312"/>
        <v>0</v>
      </c>
      <c r="J6589" s="365">
        <f t="shared" si="313"/>
        <v>0</v>
      </c>
      <c r="K6589" s="369">
        <f t="shared" si="314"/>
        <v>6</v>
      </c>
      <c r="L6589" s="369">
        <f>+IF((C6589&gt;='Resultats - informe'!$E$16)*(C6589&lt;='Resultats - informe'!$G$16),1,0)</f>
        <v>1</v>
      </c>
      <c r="M6589" s="369" cm="1">
        <f t="array" ref="M6589">+_xlfn.IFS((C6589&gt;='Resultats - informe'!$D$26)*(C6589&lt;='Resultats - informe'!$E$26),0,(C6589&gt;='Resultats - informe'!$D$27)*(C6589&lt;='Resultats - informe'!$E$27),0,(C6589&gt;='Resultats - informe'!$D$28)*(C6589&lt;='Resultats - informe'!$E$28),0,(C6589&gt;='Resultats - informe'!$D$29)*(C6589&lt;='Resultats - informe'!$E$29),0,1,1)</f>
        <v>0</v>
      </c>
      <c r="N6589" s="366">
        <f>+VLOOKUP(D6589,'Resultats - informe'!$Y$18:$AG$42,'Introducció dades consum'!K6589+1,0)</f>
        <v>0</v>
      </c>
      <c r="O6589" s="370" cm="1">
        <f t="array" ref="O6589">+_xlfn.SWITCH(MONTH(C6589),1,1,2,1,3,1,4,2,5,2,6,3,7,3,8,3,9,3,10,2,11,2,12,1,2)</f>
        <v>1</v>
      </c>
      <c r="P6589" s="43"/>
    </row>
    <row r="6590" spans="1:16" ht="18" x14ac:dyDescent="0.35">
      <c r="A6590" s="9"/>
      <c r="C6590" s="393"/>
      <c r="E6590" s="394"/>
      <c r="F6590" s="394"/>
      <c r="G6590" s="394"/>
      <c r="I6590" s="368">
        <f t="shared" si="312"/>
        <v>0</v>
      </c>
      <c r="J6590" s="365">
        <f t="shared" si="313"/>
        <v>0</v>
      </c>
      <c r="K6590" s="369">
        <f t="shared" si="314"/>
        <v>6</v>
      </c>
      <c r="L6590" s="369">
        <f>+IF((C6590&gt;='Resultats - informe'!$E$16)*(C6590&lt;='Resultats - informe'!$G$16),1,0)</f>
        <v>1</v>
      </c>
      <c r="M6590" s="369" cm="1">
        <f t="array" ref="M6590">+_xlfn.IFS((C6590&gt;='Resultats - informe'!$D$26)*(C6590&lt;='Resultats - informe'!$E$26),0,(C6590&gt;='Resultats - informe'!$D$27)*(C6590&lt;='Resultats - informe'!$E$27),0,(C6590&gt;='Resultats - informe'!$D$28)*(C6590&lt;='Resultats - informe'!$E$28),0,(C6590&gt;='Resultats - informe'!$D$29)*(C6590&lt;='Resultats - informe'!$E$29),0,1,1)</f>
        <v>0</v>
      </c>
      <c r="N6590" s="366">
        <f>+VLOOKUP(D6590,'Resultats - informe'!$Y$18:$AG$42,'Introducció dades consum'!K6590+1,0)</f>
        <v>0</v>
      </c>
      <c r="O6590" s="370" cm="1">
        <f t="array" ref="O6590">+_xlfn.SWITCH(MONTH(C6590),1,1,2,1,3,1,4,2,5,2,6,3,7,3,8,3,9,3,10,2,11,2,12,1,2)</f>
        <v>1</v>
      </c>
      <c r="P6590" s="43"/>
    </row>
    <row r="6591" spans="1:16" ht="18" x14ac:dyDescent="0.35">
      <c r="A6591" s="9"/>
      <c r="C6591" s="393"/>
      <c r="E6591" s="394"/>
      <c r="F6591" s="394"/>
      <c r="G6591" s="394"/>
      <c r="I6591" s="368">
        <f t="shared" si="312"/>
        <v>0</v>
      </c>
      <c r="J6591" s="365">
        <f t="shared" si="313"/>
        <v>0</v>
      </c>
      <c r="K6591" s="369">
        <f t="shared" si="314"/>
        <v>6</v>
      </c>
      <c r="L6591" s="369">
        <f>+IF((C6591&gt;='Resultats - informe'!$E$16)*(C6591&lt;='Resultats - informe'!$G$16),1,0)</f>
        <v>1</v>
      </c>
      <c r="M6591" s="369" cm="1">
        <f t="array" ref="M6591">+_xlfn.IFS((C6591&gt;='Resultats - informe'!$D$26)*(C6591&lt;='Resultats - informe'!$E$26),0,(C6591&gt;='Resultats - informe'!$D$27)*(C6591&lt;='Resultats - informe'!$E$27),0,(C6591&gt;='Resultats - informe'!$D$28)*(C6591&lt;='Resultats - informe'!$E$28),0,(C6591&gt;='Resultats - informe'!$D$29)*(C6591&lt;='Resultats - informe'!$E$29),0,1,1)</f>
        <v>0</v>
      </c>
      <c r="N6591" s="366">
        <f>+VLOOKUP(D6591,'Resultats - informe'!$Y$18:$AG$42,'Introducció dades consum'!K6591+1,0)</f>
        <v>0</v>
      </c>
      <c r="O6591" s="370" cm="1">
        <f t="array" ref="O6591">+_xlfn.SWITCH(MONTH(C6591),1,1,2,1,3,1,4,2,5,2,6,3,7,3,8,3,9,3,10,2,11,2,12,1,2)</f>
        <v>1</v>
      </c>
      <c r="P6591" s="43"/>
    </row>
    <row r="6592" spans="1:16" ht="18" x14ac:dyDescent="0.35">
      <c r="A6592" s="9"/>
      <c r="C6592" s="393"/>
      <c r="E6592" s="394"/>
      <c r="F6592" s="394"/>
      <c r="G6592" s="394"/>
      <c r="I6592" s="368">
        <f t="shared" si="312"/>
        <v>0</v>
      </c>
      <c r="J6592" s="365">
        <f t="shared" si="313"/>
        <v>0</v>
      </c>
      <c r="K6592" s="369">
        <f t="shared" si="314"/>
        <v>6</v>
      </c>
      <c r="L6592" s="369">
        <f>+IF((C6592&gt;='Resultats - informe'!$E$16)*(C6592&lt;='Resultats - informe'!$G$16),1,0)</f>
        <v>1</v>
      </c>
      <c r="M6592" s="369" cm="1">
        <f t="array" ref="M6592">+_xlfn.IFS((C6592&gt;='Resultats - informe'!$D$26)*(C6592&lt;='Resultats - informe'!$E$26),0,(C6592&gt;='Resultats - informe'!$D$27)*(C6592&lt;='Resultats - informe'!$E$27),0,(C6592&gt;='Resultats - informe'!$D$28)*(C6592&lt;='Resultats - informe'!$E$28),0,(C6592&gt;='Resultats - informe'!$D$29)*(C6592&lt;='Resultats - informe'!$E$29),0,1,1)</f>
        <v>0</v>
      </c>
      <c r="N6592" s="366">
        <f>+VLOOKUP(D6592,'Resultats - informe'!$Y$18:$AG$42,'Introducció dades consum'!K6592+1,0)</f>
        <v>0</v>
      </c>
      <c r="O6592" s="370" cm="1">
        <f t="array" ref="O6592">+_xlfn.SWITCH(MONTH(C6592),1,1,2,1,3,1,4,2,5,2,6,3,7,3,8,3,9,3,10,2,11,2,12,1,2)</f>
        <v>1</v>
      </c>
      <c r="P6592" s="43"/>
    </row>
    <row r="6593" spans="1:16" ht="18" x14ac:dyDescent="0.35">
      <c r="A6593" s="9"/>
      <c r="C6593" s="393"/>
      <c r="E6593" s="394"/>
      <c r="F6593" s="394"/>
      <c r="G6593" s="394"/>
      <c r="I6593" s="368">
        <f t="shared" si="312"/>
        <v>0</v>
      </c>
      <c r="J6593" s="365">
        <f t="shared" si="313"/>
        <v>0</v>
      </c>
      <c r="K6593" s="369">
        <f t="shared" si="314"/>
        <v>6</v>
      </c>
      <c r="L6593" s="369">
        <f>+IF((C6593&gt;='Resultats - informe'!$E$16)*(C6593&lt;='Resultats - informe'!$G$16),1,0)</f>
        <v>1</v>
      </c>
      <c r="M6593" s="369" cm="1">
        <f t="array" ref="M6593">+_xlfn.IFS((C6593&gt;='Resultats - informe'!$D$26)*(C6593&lt;='Resultats - informe'!$E$26),0,(C6593&gt;='Resultats - informe'!$D$27)*(C6593&lt;='Resultats - informe'!$E$27),0,(C6593&gt;='Resultats - informe'!$D$28)*(C6593&lt;='Resultats - informe'!$E$28),0,(C6593&gt;='Resultats - informe'!$D$29)*(C6593&lt;='Resultats - informe'!$E$29),0,1,1)</f>
        <v>0</v>
      </c>
      <c r="N6593" s="366">
        <f>+VLOOKUP(D6593,'Resultats - informe'!$Y$18:$AG$42,'Introducció dades consum'!K6593+1,0)</f>
        <v>0</v>
      </c>
      <c r="O6593" s="370" cm="1">
        <f t="array" ref="O6593">+_xlfn.SWITCH(MONTH(C6593),1,1,2,1,3,1,4,2,5,2,6,3,7,3,8,3,9,3,10,2,11,2,12,1,2)</f>
        <v>1</v>
      </c>
      <c r="P6593" s="43"/>
    </row>
    <row r="6594" spans="1:16" ht="18" x14ac:dyDescent="0.35">
      <c r="A6594" s="9"/>
      <c r="C6594" s="393"/>
      <c r="E6594" s="394"/>
      <c r="F6594" s="394"/>
      <c r="G6594" s="394"/>
      <c r="I6594" s="368">
        <f t="shared" si="312"/>
        <v>0</v>
      </c>
      <c r="J6594" s="365">
        <f t="shared" si="313"/>
        <v>0</v>
      </c>
      <c r="K6594" s="369">
        <f t="shared" si="314"/>
        <v>6</v>
      </c>
      <c r="L6594" s="369">
        <f>+IF((C6594&gt;='Resultats - informe'!$E$16)*(C6594&lt;='Resultats - informe'!$G$16),1,0)</f>
        <v>1</v>
      </c>
      <c r="M6594" s="369" cm="1">
        <f t="array" ref="M6594">+_xlfn.IFS((C6594&gt;='Resultats - informe'!$D$26)*(C6594&lt;='Resultats - informe'!$E$26),0,(C6594&gt;='Resultats - informe'!$D$27)*(C6594&lt;='Resultats - informe'!$E$27),0,(C6594&gt;='Resultats - informe'!$D$28)*(C6594&lt;='Resultats - informe'!$E$28),0,(C6594&gt;='Resultats - informe'!$D$29)*(C6594&lt;='Resultats - informe'!$E$29),0,1,1)</f>
        <v>0</v>
      </c>
      <c r="N6594" s="366">
        <f>+VLOOKUP(D6594,'Resultats - informe'!$Y$18:$AG$42,'Introducció dades consum'!K6594+1,0)</f>
        <v>0</v>
      </c>
      <c r="O6594" s="370" cm="1">
        <f t="array" ref="O6594">+_xlfn.SWITCH(MONTH(C6594),1,1,2,1,3,1,4,2,5,2,6,3,7,3,8,3,9,3,10,2,11,2,12,1,2)</f>
        <v>1</v>
      </c>
      <c r="P6594" s="43"/>
    </row>
    <row r="6595" spans="1:16" ht="18" x14ac:dyDescent="0.35">
      <c r="A6595" s="9"/>
      <c r="C6595" s="393"/>
      <c r="E6595" s="394"/>
      <c r="F6595" s="394"/>
      <c r="G6595" s="394"/>
      <c r="I6595" s="368">
        <f t="shared" si="312"/>
        <v>0</v>
      </c>
      <c r="J6595" s="365">
        <f t="shared" si="313"/>
        <v>0</v>
      </c>
      <c r="K6595" s="369">
        <f t="shared" si="314"/>
        <v>6</v>
      </c>
      <c r="L6595" s="369">
        <f>+IF((C6595&gt;='Resultats - informe'!$E$16)*(C6595&lt;='Resultats - informe'!$G$16),1,0)</f>
        <v>1</v>
      </c>
      <c r="M6595" s="369" cm="1">
        <f t="array" ref="M6595">+_xlfn.IFS((C6595&gt;='Resultats - informe'!$D$26)*(C6595&lt;='Resultats - informe'!$E$26),0,(C6595&gt;='Resultats - informe'!$D$27)*(C6595&lt;='Resultats - informe'!$E$27),0,(C6595&gt;='Resultats - informe'!$D$28)*(C6595&lt;='Resultats - informe'!$E$28),0,(C6595&gt;='Resultats - informe'!$D$29)*(C6595&lt;='Resultats - informe'!$E$29),0,1,1)</f>
        <v>0</v>
      </c>
      <c r="N6595" s="366">
        <f>+VLOOKUP(D6595,'Resultats - informe'!$Y$18:$AG$42,'Introducció dades consum'!K6595+1,0)</f>
        <v>0</v>
      </c>
      <c r="O6595" s="370" cm="1">
        <f t="array" ref="O6595">+_xlfn.SWITCH(MONTH(C6595),1,1,2,1,3,1,4,2,5,2,6,3,7,3,8,3,9,3,10,2,11,2,12,1,2)</f>
        <v>1</v>
      </c>
      <c r="P6595" s="43"/>
    </row>
    <row r="6596" spans="1:16" ht="18" x14ac:dyDescent="0.35">
      <c r="A6596" s="9"/>
      <c r="C6596" s="393"/>
      <c r="E6596" s="394"/>
      <c r="F6596" s="394"/>
      <c r="G6596" s="394"/>
      <c r="I6596" s="368">
        <f t="shared" si="312"/>
        <v>0</v>
      </c>
      <c r="J6596" s="365">
        <f t="shared" si="313"/>
        <v>0</v>
      </c>
      <c r="K6596" s="369">
        <f t="shared" si="314"/>
        <v>6</v>
      </c>
      <c r="L6596" s="369">
        <f>+IF((C6596&gt;='Resultats - informe'!$E$16)*(C6596&lt;='Resultats - informe'!$G$16),1,0)</f>
        <v>1</v>
      </c>
      <c r="M6596" s="369" cm="1">
        <f t="array" ref="M6596">+_xlfn.IFS((C6596&gt;='Resultats - informe'!$D$26)*(C6596&lt;='Resultats - informe'!$E$26),0,(C6596&gt;='Resultats - informe'!$D$27)*(C6596&lt;='Resultats - informe'!$E$27),0,(C6596&gt;='Resultats - informe'!$D$28)*(C6596&lt;='Resultats - informe'!$E$28),0,(C6596&gt;='Resultats - informe'!$D$29)*(C6596&lt;='Resultats - informe'!$E$29),0,1,1)</f>
        <v>0</v>
      </c>
      <c r="N6596" s="366">
        <f>+VLOOKUP(D6596,'Resultats - informe'!$Y$18:$AG$42,'Introducció dades consum'!K6596+1,0)</f>
        <v>0</v>
      </c>
      <c r="O6596" s="370" cm="1">
        <f t="array" ref="O6596">+_xlfn.SWITCH(MONTH(C6596),1,1,2,1,3,1,4,2,5,2,6,3,7,3,8,3,9,3,10,2,11,2,12,1,2)</f>
        <v>1</v>
      </c>
      <c r="P6596" s="43"/>
    </row>
    <row r="6597" spans="1:16" ht="18" x14ac:dyDescent="0.35">
      <c r="A6597" s="9"/>
      <c r="C6597" s="393"/>
      <c r="E6597" s="394"/>
      <c r="F6597" s="394"/>
      <c r="G6597" s="394"/>
      <c r="I6597" s="368">
        <f t="shared" si="312"/>
        <v>0</v>
      </c>
      <c r="J6597" s="365">
        <f t="shared" si="313"/>
        <v>0</v>
      </c>
      <c r="K6597" s="369">
        <f t="shared" si="314"/>
        <v>6</v>
      </c>
      <c r="L6597" s="369">
        <f>+IF((C6597&gt;='Resultats - informe'!$E$16)*(C6597&lt;='Resultats - informe'!$G$16),1,0)</f>
        <v>1</v>
      </c>
      <c r="M6597" s="369" cm="1">
        <f t="array" ref="M6597">+_xlfn.IFS((C6597&gt;='Resultats - informe'!$D$26)*(C6597&lt;='Resultats - informe'!$E$26),0,(C6597&gt;='Resultats - informe'!$D$27)*(C6597&lt;='Resultats - informe'!$E$27),0,(C6597&gt;='Resultats - informe'!$D$28)*(C6597&lt;='Resultats - informe'!$E$28),0,(C6597&gt;='Resultats - informe'!$D$29)*(C6597&lt;='Resultats - informe'!$E$29),0,1,1)</f>
        <v>0</v>
      </c>
      <c r="N6597" s="366">
        <f>+VLOOKUP(D6597,'Resultats - informe'!$Y$18:$AG$42,'Introducció dades consum'!K6597+1,0)</f>
        <v>0</v>
      </c>
      <c r="O6597" s="370" cm="1">
        <f t="array" ref="O6597">+_xlfn.SWITCH(MONTH(C6597),1,1,2,1,3,1,4,2,5,2,6,3,7,3,8,3,9,3,10,2,11,2,12,1,2)</f>
        <v>1</v>
      </c>
      <c r="P6597" s="43"/>
    </row>
    <row r="6598" spans="1:16" ht="18" x14ac:dyDescent="0.35">
      <c r="A6598" s="9"/>
      <c r="C6598" s="393"/>
      <c r="E6598" s="394"/>
      <c r="F6598" s="394"/>
      <c r="G6598" s="394"/>
      <c r="I6598" s="368">
        <f t="shared" si="312"/>
        <v>0</v>
      </c>
      <c r="J6598" s="365">
        <f t="shared" si="313"/>
        <v>0</v>
      </c>
      <c r="K6598" s="369">
        <f t="shared" si="314"/>
        <v>6</v>
      </c>
      <c r="L6598" s="369">
        <f>+IF((C6598&gt;='Resultats - informe'!$E$16)*(C6598&lt;='Resultats - informe'!$G$16),1,0)</f>
        <v>1</v>
      </c>
      <c r="M6598" s="369" cm="1">
        <f t="array" ref="M6598">+_xlfn.IFS((C6598&gt;='Resultats - informe'!$D$26)*(C6598&lt;='Resultats - informe'!$E$26),0,(C6598&gt;='Resultats - informe'!$D$27)*(C6598&lt;='Resultats - informe'!$E$27),0,(C6598&gt;='Resultats - informe'!$D$28)*(C6598&lt;='Resultats - informe'!$E$28),0,(C6598&gt;='Resultats - informe'!$D$29)*(C6598&lt;='Resultats - informe'!$E$29),0,1,1)</f>
        <v>0</v>
      </c>
      <c r="N6598" s="366">
        <f>+VLOOKUP(D6598,'Resultats - informe'!$Y$18:$AG$42,'Introducció dades consum'!K6598+1,0)</f>
        <v>0</v>
      </c>
      <c r="O6598" s="370" cm="1">
        <f t="array" ref="O6598">+_xlfn.SWITCH(MONTH(C6598),1,1,2,1,3,1,4,2,5,2,6,3,7,3,8,3,9,3,10,2,11,2,12,1,2)</f>
        <v>1</v>
      </c>
      <c r="P6598" s="43"/>
    </row>
    <row r="6599" spans="1:16" ht="18" x14ac:dyDescent="0.35">
      <c r="A6599" s="9"/>
      <c r="C6599" s="393"/>
      <c r="E6599" s="394"/>
      <c r="F6599" s="394"/>
      <c r="G6599" s="394"/>
      <c r="I6599" s="368">
        <f t="shared" si="312"/>
        <v>0</v>
      </c>
      <c r="J6599" s="365">
        <f t="shared" si="313"/>
        <v>0</v>
      </c>
      <c r="K6599" s="369">
        <f t="shared" si="314"/>
        <v>6</v>
      </c>
      <c r="L6599" s="369">
        <f>+IF((C6599&gt;='Resultats - informe'!$E$16)*(C6599&lt;='Resultats - informe'!$G$16),1,0)</f>
        <v>1</v>
      </c>
      <c r="M6599" s="369" cm="1">
        <f t="array" ref="M6599">+_xlfn.IFS((C6599&gt;='Resultats - informe'!$D$26)*(C6599&lt;='Resultats - informe'!$E$26),0,(C6599&gt;='Resultats - informe'!$D$27)*(C6599&lt;='Resultats - informe'!$E$27),0,(C6599&gt;='Resultats - informe'!$D$28)*(C6599&lt;='Resultats - informe'!$E$28),0,(C6599&gt;='Resultats - informe'!$D$29)*(C6599&lt;='Resultats - informe'!$E$29),0,1,1)</f>
        <v>0</v>
      </c>
      <c r="N6599" s="366">
        <f>+VLOOKUP(D6599,'Resultats - informe'!$Y$18:$AG$42,'Introducció dades consum'!K6599+1,0)</f>
        <v>0</v>
      </c>
      <c r="O6599" s="370" cm="1">
        <f t="array" ref="O6599">+_xlfn.SWITCH(MONTH(C6599),1,1,2,1,3,1,4,2,5,2,6,3,7,3,8,3,9,3,10,2,11,2,12,1,2)</f>
        <v>1</v>
      </c>
      <c r="P6599" s="43"/>
    </row>
    <row r="6600" spans="1:16" ht="18" x14ac:dyDescent="0.35">
      <c r="A6600" s="9"/>
      <c r="C6600" s="393"/>
      <c r="E6600" s="394"/>
      <c r="F6600" s="394"/>
      <c r="G6600" s="394"/>
      <c r="I6600" s="368">
        <f t="shared" si="312"/>
        <v>0</v>
      </c>
      <c r="J6600" s="365">
        <f t="shared" si="313"/>
        <v>0</v>
      </c>
      <c r="K6600" s="369">
        <f t="shared" si="314"/>
        <v>6</v>
      </c>
      <c r="L6600" s="369">
        <f>+IF((C6600&gt;='Resultats - informe'!$E$16)*(C6600&lt;='Resultats - informe'!$G$16),1,0)</f>
        <v>1</v>
      </c>
      <c r="M6600" s="369" cm="1">
        <f t="array" ref="M6600">+_xlfn.IFS((C6600&gt;='Resultats - informe'!$D$26)*(C6600&lt;='Resultats - informe'!$E$26),0,(C6600&gt;='Resultats - informe'!$D$27)*(C6600&lt;='Resultats - informe'!$E$27),0,(C6600&gt;='Resultats - informe'!$D$28)*(C6600&lt;='Resultats - informe'!$E$28),0,(C6600&gt;='Resultats - informe'!$D$29)*(C6600&lt;='Resultats - informe'!$E$29),0,1,1)</f>
        <v>0</v>
      </c>
      <c r="N6600" s="366">
        <f>+VLOOKUP(D6600,'Resultats - informe'!$Y$18:$AG$42,'Introducció dades consum'!K6600+1,0)</f>
        <v>0</v>
      </c>
      <c r="O6600" s="370" cm="1">
        <f t="array" ref="O6600">+_xlfn.SWITCH(MONTH(C6600),1,1,2,1,3,1,4,2,5,2,6,3,7,3,8,3,9,3,10,2,11,2,12,1,2)</f>
        <v>1</v>
      </c>
      <c r="P6600" s="43"/>
    </row>
    <row r="6601" spans="1:16" ht="18" x14ac:dyDescent="0.35">
      <c r="A6601" s="9"/>
      <c r="C6601" s="393"/>
      <c r="E6601" s="394"/>
      <c r="F6601" s="394"/>
      <c r="G6601" s="394"/>
      <c r="I6601" s="368">
        <f t="shared" si="312"/>
        <v>0</v>
      </c>
      <c r="J6601" s="365">
        <f t="shared" si="313"/>
        <v>0</v>
      </c>
      <c r="K6601" s="369">
        <f t="shared" si="314"/>
        <v>6</v>
      </c>
      <c r="L6601" s="369">
        <f>+IF((C6601&gt;='Resultats - informe'!$E$16)*(C6601&lt;='Resultats - informe'!$G$16),1,0)</f>
        <v>1</v>
      </c>
      <c r="M6601" s="369" cm="1">
        <f t="array" ref="M6601">+_xlfn.IFS((C6601&gt;='Resultats - informe'!$D$26)*(C6601&lt;='Resultats - informe'!$E$26),0,(C6601&gt;='Resultats - informe'!$D$27)*(C6601&lt;='Resultats - informe'!$E$27),0,(C6601&gt;='Resultats - informe'!$D$28)*(C6601&lt;='Resultats - informe'!$E$28),0,(C6601&gt;='Resultats - informe'!$D$29)*(C6601&lt;='Resultats - informe'!$E$29),0,1,1)</f>
        <v>0</v>
      </c>
      <c r="N6601" s="366">
        <f>+VLOOKUP(D6601,'Resultats - informe'!$Y$18:$AG$42,'Introducció dades consum'!K6601+1,0)</f>
        <v>0</v>
      </c>
      <c r="O6601" s="370" cm="1">
        <f t="array" ref="O6601">+_xlfn.SWITCH(MONTH(C6601),1,1,2,1,3,1,4,2,5,2,6,3,7,3,8,3,9,3,10,2,11,2,12,1,2)</f>
        <v>1</v>
      </c>
      <c r="P6601" s="43"/>
    </row>
    <row r="6602" spans="1:16" ht="18" x14ac:dyDescent="0.35">
      <c r="A6602" s="9"/>
      <c r="C6602" s="393"/>
      <c r="E6602" s="394"/>
      <c r="F6602" s="394"/>
      <c r="G6602" s="394"/>
      <c r="I6602" s="368">
        <f t="shared" si="312"/>
        <v>0</v>
      </c>
      <c r="J6602" s="365">
        <f t="shared" si="313"/>
        <v>0</v>
      </c>
      <c r="K6602" s="369">
        <f t="shared" si="314"/>
        <v>6</v>
      </c>
      <c r="L6602" s="369">
        <f>+IF((C6602&gt;='Resultats - informe'!$E$16)*(C6602&lt;='Resultats - informe'!$G$16),1,0)</f>
        <v>1</v>
      </c>
      <c r="M6602" s="369" cm="1">
        <f t="array" ref="M6602">+_xlfn.IFS((C6602&gt;='Resultats - informe'!$D$26)*(C6602&lt;='Resultats - informe'!$E$26),0,(C6602&gt;='Resultats - informe'!$D$27)*(C6602&lt;='Resultats - informe'!$E$27),0,(C6602&gt;='Resultats - informe'!$D$28)*(C6602&lt;='Resultats - informe'!$E$28),0,(C6602&gt;='Resultats - informe'!$D$29)*(C6602&lt;='Resultats - informe'!$E$29),0,1,1)</f>
        <v>0</v>
      </c>
      <c r="N6602" s="366">
        <f>+VLOOKUP(D6602,'Resultats - informe'!$Y$18:$AG$42,'Introducció dades consum'!K6602+1,0)</f>
        <v>0</v>
      </c>
      <c r="O6602" s="370" cm="1">
        <f t="array" ref="O6602">+_xlfn.SWITCH(MONTH(C6602),1,1,2,1,3,1,4,2,5,2,6,3,7,3,8,3,9,3,10,2,11,2,12,1,2)</f>
        <v>1</v>
      </c>
      <c r="P6602" s="43"/>
    </row>
    <row r="6603" spans="1:16" ht="18" x14ac:dyDescent="0.35">
      <c r="A6603" s="9"/>
      <c r="C6603" s="393"/>
      <c r="E6603" s="394"/>
      <c r="F6603" s="394"/>
      <c r="G6603" s="394"/>
      <c r="I6603" s="368">
        <f t="shared" si="312"/>
        <v>0</v>
      </c>
      <c r="J6603" s="365">
        <f t="shared" si="313"/>
        <v>0</v>
      </c>
      <c r="K6603" s="369">
        <f t="shared" si="314"/>
        <v>6</v>
      </c>
      <c r="L6603" s="369">
        <f>+IF((C6603&gt;='Resultats - informe'!$E$16)*(C6603&lt;='Resultats - informe'!$G$16),1,0)</f>
        <v>1</v>
      </c>
      <c r="M6603" s="369" cm="1">
        <f t="array" ref="M6603">+_xlfn.IFS((C6603&gt;='Resultats - informe'!$D$26)*(C6603&lt;='Resultats - informe'!$E$26),0,(C6603&gt;='Resultats - informe'!$D$27)*(C6603&lt;='Resultats - informe'!$E$27),0,(C6603&gt;='Resultats - informe'!$D$28)*(C6603&lt;='Resultats - informe'!$E$28),0,(C6603&gt;='Resultats - informe'!$D$29)*(C6603&lt;='Resultats - informe'!$E$29),0,1,1)</f>
        <v>0</v>
      </c>
      <c r="N6603" s="366">
        <f>+VLOOKUP(D6603,'Resultats - informe'!$Y$18:$AG$42,'Introducció dades consum'!K6603+1,0)</f>
        <v>0</v>
      </c>
      <c r="O6603" s="370" cm="1">
        <f t="array" ref="O6603">+_xlfn.SWITCH(MONTH(C6603),1,1,2,1,3,1,4,2,5,2,6,3,7,3,8,3,9,3,10,2,11,2,12,1,2)</f>
        <v>1</v>
      </c>
      <c r="P6603" s="43"/>
    </row>
    <row r="6604" spans="1:16" ht="18" x14ac:dyDescent="0.35">
      <c r="A6604" s="9"/>
      <c r="C6604" s="393"/>
      <c r="E6604" s="394"/>
      <c r="F6604" s="394"/>
      <c r="G6604" s="394"/>
      <c r="I6604" s="368">
        <f t="shared" si="312"/>
        <v>0</v>
      </c>
      <c r="J6604" s="365">
        <f t="shared" si="313"/>
        <v>0</v>
      </c>
      <c r="K6604" s="369">
        <f t="shared" si="314"/>
        <v>6</v>
      </c>
      <c r="L6604" s="369">
        <f>+IF((C6604&gt;='Resultats - informe'!$E$16)*(C6604&lt;='Resultats - informe'!$G$16),1,0)</f>
        <v>1</v>
      </c>
      <c r="M6604" s="369" cm="1">
        <f t="array" ref="M6604">+_xlfn.IFS((C6604&gt;='Resultats - informe'!$D$26)*(C6604&lt;='Resultats - informe'!$E$26),0,(C6604&gt;='Resultats - informe'!$D$27)*(C6604&lt;='Resultats - informe'!$E$27),0,(C6604&gt;='Resultats - informe'!$D$28)*(C6604&lt;='Resultats - informe'!$E$28),0,(C6604&gt;='Resultats - informe'!$D$29)*(C6604&lt;='Resultats - informe'!$E$29),0,1,1)</f>
        <v>0</v>
      </c>
      <c r="N6604" s="366">
        <f>+VLOOKUP(D6604,'Resultats - informe'!$Y$18:$AG$42,'Introducció dades consum'!K6604+1,0)</f>
        <v>0</v>
      </c>
      <c r="O6604" s="370" cm="1">
        <f t="array" ref="O6604">+_xlfn.SWITCH(MONTH(C6604),1,1,2,1,3,1,4,2,5,2,6,3,7,3,8,3,9,3,10,2,11,2,12,1,2)</f>
        <v>1</v>
      </c>
      <c r="P6604" s="43"/>
    </row>
    <row r="6605" spans="1:16" ht="18" x14ac:dyDescent="0.35">
      <c r="A6605" s="9"/>
      <c r="C6605" s="393"/>
      <c r="E6605" s="394"/>
      <c r="F6605" s="394"/>
      <c r="G6605" s="394"/>
      <c r="I6605" s="368">
        <f t="shared" si="312"/>
        <v>0</v>
      </c>
      <c r="J6605" s="365">
        <f t="shared" si="313"/>
        <v>0</v>
      </c>
      <c r="K6605" s="369">
        <f t="shared" si="314"/>
        <v>6</v>
      </c>
      <c r="L6605" s="369">
        <f>+IF((C6605&gt;='Resultats - informe'!$E$16)*(C6605&lt;='Resultats - informe'!$G$16),1,0)</f>
        <v>1</v>
      </c>
      <c r="M6605" s="369" cm="1">
        <f t="array" ref="M6605">+_xlfn.IFS((C6605&gt;='Resultats - informe'!$D$26)*(C6605&lt;='Resultats - informe'!$E$26),0,(C6605&gt;='Resultats - informe'!$D$27)*(C6605&lt;='Resultats - informe'!$E$27),0,(C6605&gt;='Resultats - informe'!$D$28)*(C6605&lt;='Resultats - informe'!$E$28),0,(C6605&gt;='Resultats - informe'!$D$29)*(C6605&lt;='Resultats - informe'!$E$29),0,1,1)</f>
        <v>0</v>
      </c>
      <c r="N6605" s="366">
        <f>+VLOOKUP(D6605,'Resultats - informe'!$Y$18:$AG$42,'Introducció dades consum'!K6605+1,0)</f>
        <v>0</v>
      </c>
      <c r="O6605" s="370" cm="1">
        <f t="array" ref="O6605">+_xlfn.SWITCH(MONTH(C6605),1,1,2,1,3,1,4,2,5,2,6,3,7,3,8,3,9,3,10,2,11,2,12,1,2)</f>
        <v>1</v>
      </c>
      <c r="P6605" s="43"/>
    </row>
    <row r="6606" spans="1:16" ht="18" x14ac:dyDescent="0.35">
      <c r="A6606" s="9"/>
      <c r="C6606" s="393"/>
      <c r="E6606" s="394"/>
      <c r="F6606" s="394"/>
      <c r="G6606" s="394"/>
      <c r="I6606" s="368">
        <f t="shared" si="312"/>
        <v>0</v>
      </c>
      <c r="J6606" s="365">
        <f t="shared" si="313"/>
        <v>0</v>
      </c>
      <c r="K6606" s="369">
        <f t="shared" si="314"/>
        <v>6</v>
      </c>
      <c r="L6606" s="369">
        <f>+IF((C6606&gt;='Resultats - informe'!$E$16)*(C6606&lt;='Resultats - informe'!$G$16),1,0)</f>
        <v>1</v>
      </c>
      <c r="M6606" s="369" cm="1">
        <f t="array" ref="M6606">+_xlfn.IFS((C6606&gt;='Resultats - informe'!$D$26)*(C6606&lt;='Resultats - informe'!$E$26),0,(C6606&gt;='Resultats - informe'!$D$27)*(C6606&lt;='Resultats - informe'!$E$27),0,(C6606&gt;='Resultats - informe'!$D$28)*(C6606&lt;='Resultats - informe'!$E$28),0,(C6606&gt;='Resultats - informe'!$D$29)*(C6606&lt;='Resultats - informe'!$E$29),0,1,1)</f>
        <v>0</v>
      </c>
      <c r="N6606" s="366">
        <f>+VLOOKUP(D6606,'Resultats - informe'!$Y$18:$AG$42,'Introducció dades consum'!K6606+1,0)</f>
        <v>0</v>
      </c>
      <c r="O6606" s="370" cm="1">
        <f t="array" ref="O6606">+_xlfn.SWITCH(MONTH(C6606),1,1,2,1,3,1,4,2,5,2,6,3,7,3,8,3,9,3,10,2,11,2,12,1,2)</f>
        <v>1</v>
      </c>
      <c r="P6606" s="43"/>
    </row>
    <row r="6607" spans="1:16" ht="18" x14ac:dyDescent="0.35">
      <c r="A6607" s="9"/>
      <c r="C6607" s="393"/>
      <c r="E6607" s="394"/>
      <c r="F6607" s="394"/>
      <c r="G6607" s="394"/>
      <c r="I6607" s="368">
        <f t="shared" si="312"/>
        <v>0</v>
      </c>
      <c r="J6607" s="365">
        <f t="shared" si="313"/>
        <v>0</v>
      </c>
      <c r="K6607" s="369">
        <f t="shared" si="314"/>
        <v>6</v>
      </c>
      <c r="L6607" s="369">
        <f>+IF((C6607&gt;='Resultats - informe'!$E$16)*(C6607&lt;='Resultats - informe'!$G$16),1,0)</f>
        <v>1</v>
      </c>
      <c r="M6607" s="369" cm="1">
        <f t="array" ref="M6607">+_xlfn.IFS((C6607&gt;='Resultats - informe'!$D$26)*(C6607&lt;='Resultats - informe'!$E$26),0,(C6607&gt;='Resultats - informe'!$D$27)*(C6607&lt;='Resultats - informe'!$E$27),0,(C6607&gt;='Resultats - informe'!$D$28)*(C6607&lt;='Resultats - informe'!$E$28),0,(C6607&gt;='Resultats - informe'!$D$29)*(C6607&lt;='Resultats - informe'!$E$29),0,1,1)</f>
        <v>0</v>
      </c>
      <c r="N6607" s="366">
        <f>+VLOOKUP(D6607,'Resultats - informe'!$Y$18:$AG$42,'Introducció dades consum'!K6607+1,0)</f>
        <v>0</v>
      </c>
      <c r="O6607" s="370" cm="1">
        <f t="array" ref="O6607">+_xlfn.SWITCH(MONTH(C6607),1,1,2,1,3,1,4,2,5,2,6,3,7,3,8,3,9,3,10,2,11,2,12,1,2)</f>
        <v>1</v>
      </c>
      <c r="P6607" s="43"/>
    </row>
    <row r="6608" spans="1:16" ht="18" x14ac:dyDescent="0.35">
      <c r="A6608" s="9"/>
      <c r="C6608" s="393"/>
      <c r="E6608" s="394"/>
      <c r="F6608" s="394"/>
      <c r="G6608" s="394"/>
      <c r="I6608" s="368">
        <f t="shared" si="312"/>
        <v>0</v>
      </c>
      <c r="J6608" s="365">
        <f t="shared" si="313"/>
        <v>0</v>
      </c>
      <c r="K6608" s="369">
        <f t="shared" si="314"/>
        <v>6</v>
      </c>
      <c r="L6608" s="369">
        <f>+IF((C6608&gt;='Resultats - informe'!$E$16)*(C6608&lt;='Resultats - informe'!$G$16),1,0)</f>
        <v>1</v>
      </c>
      <c r="M6608" s="369" cm="1">
        <f t="array" ref="M6608">+_xlfn.IFS((C6608&gt;='Resultats - informe'!$D$26)*(C6608&lt;='Resultats - informe'!$E$26),0,(C6608&gt;='Resultats - informe'!$D$27)*(C6608&lt;='Resultats - informe'!$E$27),0,(C6608&gt;='Resultats - informe'!$D$28)*(C6608&lt;='Resultats - informe'!$E$28),0,(C6608&gt;='Resultats - informe'!$D$29)*(C6608&lt;='Resultats - informe'!$E$29),0,1,1)</f>
        <v>0</v>
      </c>
      <c r="N6608" s="366">
        <f>+VLOOKUP(D6608,'Resultats - informe'!$Y$18:$AG$42,'Introducció dades consum'!K6608+1,0)</f>
        <v>0</v>
      </c>
      <c r="O6608" s="370" cm="1">
        <f t="array" ref="O6608">+_xlfn.SWITCH(MONTH(C6608),1,1,2,1,3,1,4,2,5,2,6,3,7,3,8,3,9,3,10,2,11,2,12,1,2)</f>
        <v>1</v>
      </c>
      <c r="P6608" s="43"/>
    </row>
    <row r="6609" spans="1:16" ht="18" x14ac:dyDescent="0.35">
      <c r="A6609" s="9"/>
      <c r="C6609" s="393"/>
      <c r="E6609" s="394"/>
      <c r="F6609" s="394"/>
      <c r="G6609" s="394"/>
      <c r="I6609" s="368">
        <f t="shared" si="312"/>
        <v>0</v>
      </c>
      <c r="J6609" s="365">
        <f t="shared" si="313"/>
        <v>0</v>
      </c>
      <c r="K6609" s="369">
        <f t="shared" si="314"/>
        <v>6</v>
      </c>
      <c r="L6609" s="369">
        <f>+IF((C6609&gt;='Resultats - informe'!$E$16)*(C6609&lt;='Resultats - informe'!$G$16),1,0)</f>
        <v>1</v>
      </c>
      <c r="M6609" s="369" cm="1">
        <f t="array" ref="M6609">+_xlfn.IFS((C6609&gt;='Resultats - informe'!$D$26)*(C6609&lt;='Resultats - informe'!$E$26),0,(C6609&gt;='Resultats - informe'!$D$27)*(C6609&lt;='Resultats - informe'!$E$27),0,(C6609&gt;='Resultats - informe'!$D$28)*(C6609&lt;='Resultats - informe'!$E$28),0,(C6609&gt;='Resultats - informe'!$D$29)*(C6609&lt;='Resultats - informe'!$E$29),0,1,1)</f>
        <v>0</v>
      </c>
      <c r="N6609" s="366">
        <f>+VLOOKUP(D6609,'Resultats - informe'!$Y$18:$AG$42,'Introducció dades consum'!K6609+1,0)</f>
        <v>0</v>
      </c>
      <c r="O6609" s="370" cm="1">
        <f t="array" ref="O6609">+_xlfn.SWITCH(MONTH(C6609),1,1,2,1,3,1,4,2,5,2,6,3,7,3,8,3,9,3,10,2,11,2,12,1,2)</f>
        <v>1</v>
      </c>
      <c r="P6609" s="43"/>
    </row>
    <row r="6610" spans="1:16" ht="18" x14ac:dyDescent="0.35">
      <c r="A6610" s="9"/>
      <c r="C6610" s="393"/>
      <c r="E6610" s="394"/>
      <c r="F6610" s="394"/>
      <c r="G6610" s="394"/>
      <c r="I6610" s="368">
        <f t="shared" ref="I6610:I6673" si="315">+E6610+G6610</f>
        <v>0</v>
      </c>
      <c r="J6610" s="365">
        <f t="shared" ref="J6610:J6673" si="316">+C6610</f>
        <v>0</v>
      </c>
      <c r="K6610" s="369">
        <f t="shared" ref="K6610:K6673" si="317">+WEEKDAY(C6610,2)</f>
        <v>6</v>
      </c>
      <c r="L6610" s="369">
        <f>+IF((C6610&gt;='Resultats - informe'!$E$16)*(C6610&lt;='Resultats - informe'!$G$16),1,0)</f>
        <v>1</v>
      </c>
      <c r="M6610" s="369" cm="1">
        <f t="array" ref="M6610">+_xlfn.IFS((C6610&gt;='Resultats - informe'!$D$26)*(C6610&lt;='Resultats - informe'!$E$26),0,(C6610&gt;='Resultats - informe'!$D$27)*(C6610&lt;='Resultats - informe'!$E$27),0,(C6610&gt;='Resultats - informe'!$D$28)*(C6610&lt;='Resultats - informe'!$E$28),0,(C6610&gt;='Resultats - informe'!$D$29)*(C6610&lt;='Resultats - informe'!$E$29),0,1,1)</f>
        <v>0</v>
      </c>
      <c r="N6610" s="366">
        <f>+VLOOKUP(D6610,'Resultats - informe'!$Y$18:$AG$42,'Introducció dades consum'!K6610+1,0)</f>
        <v>0</v>
      </c>
      <c r="O6610" s="370" cm="1">
        <f t="array" ref="O6610">+_xlfn.SWITCH(MONTH(C6610),1,1,2,1,3,1,4,2,5,2,6,3,7,3,8,3,9,3,10,2,11,2,12,1,2)</f>
        <v>1</v>
      </c>
      <c r="P6610" s="43"/>
    </row>
    <row r="6611" spans="1:16" ht="18" x14ac:dyDescent="0.35">
      <c r="A6611" s="9"/>
      <c r="C6611" s="393"/>
      <c r="E6611" s="394"/>
      <c r="F6611" s="394"/>
      <c r="G6611" s="394"/>
      <c r="I6611" s="368">
        <f t="shared" si="315"/>
        <v>0</v>
      </c>
      <c r="J6611" s="365">
        <f t="shared" si="316"/>
        <v>0</v>
      </c>
      <c r="K6611" s="369">
        <f t="shared" si="317"/>
        <v>6</v>
      </c>
      <c r="L6611" s="369">
        <f>+IF((C6611&gt;='Resultats - informe'!$E$16)*(C6611&lt;='Resultats - informe'!$G$16),1,0)</f>
        <v>1</v>
      </c>
      <c r="M6611" s="369" cm="1">
        <f t="array" ref="M6611">+_xlfn.IFS((C6611&gt;='Resultats - informe'!$D$26)*(C6611&lt;='Resultats - informe'!$E$26),0,(C6611&gt;='Resultats - informe'!$D$27)*(C6611&lt;='Resultats - informe'!$E$27),0,(C6611&gt;='Resultats - informe'!$D$28)*(C6611&lt;='Resultats - informe'!$E$28),0,(C6611&gt;='Resultats - informe'!$D$29)*(C6611&lt;='Resultats - informe'!$E$29),0,1,1)</f>
        <v>0</v>
      </c>
      <c r="N6611" s="366">
        <f>+VLOOKUP(D6611,'Resultats - informe'!$Y$18:$AG$42,'Introducció dades consum'!K6611+1,0)</f>
        <v>0</v>
      </c>
      <c r="O6611" s="370" cm="1">
        <f t="array" ref="O6611">+_xlfn.SWITCH(MONTH(C6611),1,1,2,1,3,1,4,2,5,2,6,3,7,3,8,3,9,3,10,2,11,2,12,1,2)</f>
        <v>1</v>
      </c>
      <c r="P6611" s="43"/>
    </row>
    <row r="6612" spans="1:16" ht="18" x14ac:dyDescent="0.35">
      <c r="A6612" s="9"/>
      <c r="C6612" s="393"/>
      <c r="E6612" s="394"/>
      <c r="F6612" s="394"/>
      <c r="G6612" s="394"/>
      <c r="I6612" s="368">
        <f t="shared" si="315"/>
        <v>0</v>
      </c>
      <c r="J6612" s="365">
        <f t="shared" si="316"/>
        <v>0</v>
      </c>
      <c r="K6612" s="369">
        <f t="shared" si="317"/>
        <v>6</v>
      </c>
      <c r="L6612" s="369">
        <f>+IF((C6612&gt;='Resultats - informe'!$E$16)*(C6612&lt;='Resultats - informe'!$G$16),1,0)</f>
        <v>1</v>
      </c>
      <c r="M6612" s="369" cm="1">
        <f t="array" ref="M6612">+_xlfn.IFS((C6612&gt;='Resultats - informe'!$D$26)*(C6612&lt;='Resultats - informe'!$E$26),0,(C6612&gt;='Resultats - informe'!$D$27)*(C6612&lt;='Resultats - informe'!$E$27),0,(C6612&gt;='Resultats - informe'!$D$28)*(C6612&lt;='Resultats - informe'!$E$28),0,(C6612&gt;='Resultats - informe'!$D$29)*(C6612&lt;='Resultats - informe'!$E$29),0,1,1)</f>
        <v>0</v>
      </c>
      <c r="N6612" s="366">
        <f>+VLOOKUP(D6612,'Resultats - informe'!$Y$18:$AG$42,'Introducció dades consum'!K6612+1,0)</f>
        <v>0</v>
      </c>
      <c r="O6612" s="370" cm="1">
        <f t="array" ref="O6612">+_xlfn.SWITCH(MONTH(C6612),1,1,2,1,3,1,4,2,5,2,6,3,7,3,8,3,9,3,10,2,11,2,12,1,2)</f>
        <v>1</v>
      </c>
      <c r="P6612" s="43"/>
    </row>
    <row r="6613" spans="1:16" ht="18" x14ac:dyDescent="0.35">
      <c r="A6613" s="9"/>
      <c r="C6613" s="393"/>
      <c r="E6613" s="394"/>
      <c r="F6613" s="394"/>
      <c r="G6613" s="394"/>
      <c r="I6613" s="368">
        <f t="shared" si="315"/>
        <v>0</v>
      </c>
      <c r="J6613" s="365">
        <f t="shared" si="316"/>
        <v>0</v>
      </c>
      <c r="K6613" s="369">
        <f t="shared" si="317"/>
        <v>6</v>
      </c>
      <c r="L6613" s="369">
        <f>+IF((C6613&gt;='Resultats - informe'!$E$16)*(C6613&lt;='Resultats - informe'!$G$16),1,0)</f>
        <v>1</v>
      </c>
      <c r="M6613" s="369" cm="1">
        <f t="array" ref="M6613">+_xlfn.IFS((C6613&gt;='Resultats - informe'!$D$26)*(C6613&lt;='Resultats - informe'!$E$26),0,(C6613&gt;='Resultats - informe'!$D$27)*(C6613&lt;='Resultats - informe'!$E$27),0,(C6613&gt;='Resultats - informe'!$D$28)*(C6613&lt;='Resultats - informe'!$E$28),0,(C6613&gt;='Resultats - informe'!$D$29)*(C6613&lt;='Resultats - informe'!$E$29),0,1,1)</f>
        <v>0</v>
      </c>
      <c r="N6613" s="366">
        <f>+VLOOKUP(D6613,'Resultats - informe'!$Y$18:$AG$42,'Introducció dades consum'!K6613+1,0)</f>
        <v>0</v>
      </c>
      <c r="O6613" s="370" cm="1">
        <f t="array" ref="O6613">+_xlfn.SWITCH(MONTH(C6613),1,1,2,1,3,1,4,2,5,2,6,3,7,3,8,3,9,3,10,2,11,2,12,1,2)</f>
        <v>1</v>
      </c>
      <c r="P6613" s="43"/>
    </row>
    <row r="6614" spans="1:16" ht="18" x14ac:dyDescent="0.35">
      <c r="A6614" s="9"/>
      <c r="C6614" s="393"/>
      <c r="E6614" s="394"/>
      <c r="F6614" s="394"/>
      <c r="G6614" s="394"/>
      <c r="I6614" s="368">
        <f t="shared" si="315"/>
        <v>0</v>
      </c>
      <c r="J6614" s="365">
        <f t="shared" si="316"/>
        <v>0</v>
      </c>
      <c r="K6614" s="369">
        <f t="shared" si="317"/>
        <v>6</v>
      </c>
      <c r="L6614" s="369">
        <f>+IF((C6614&gt;='Resultats - informe'!$E$16)*(C6614&lt;='Resultats - informe'!$G$16),1,0)</f>
        <v>1</v>
      </c>
      <c r="M6614" s="369" cm="1">
        <f t="array" ref="M6614">+_xlfn.IFS((C6614&gt;='Resultats - informe'!$D$26)*(C6614&lt;='Resultats - informe'!$E$26),0,(C6614&gt;='Resultats - informe'!$D$27)*(C6614&lt;='Resultats - informe'!$E$27),0,(C6614&gt;='Resultats - informe'!$D$28)*(C6614&lt;='Resultats - informe'!$E$28),0,(C6614&gt;='Resultats - informe'!$D$29)*(C6614&lt;='Resultats - informe'!$E$29),0,1,1)</f>
        <v>0</v>
      </c>
      <c r="N6614" s="366">
        <f>+VLOOKUP(D6614,'Resultats - informe'!$Y$18:$AG$42,'Introducció dades consum'!K6614+1,0)</f>
        <v>0</v>
      </c>
      <c r="O6614" s="370" cm="1">
        <f t="array" ref="O6614">+_xlfn.SWITCH(MONTH(C6614),1,1,2,1,3,1,4,2,5,2,6,3,7,3,8,3,9,3,10,2,11,2,12,1,2)</f>
        <v>1</v>
      </c>
      <c r="P6614" s="43"/>
    </row>
    <row r="6615" spans="1:16" ht="18" x14ac:dyDescent="0.35">
      <c r="A6615" s="9"/>
      <c r="C6615" s="393"/>
      <c r="E6615" s="394"/>
      <c r="F6615" s="394"/>
      <c r="G6615" s="394"/>
      <c r="I6615" s="368">
        <f t="shared" si="315"/>
        <v>0</v>
      </c>
      <c r="J6615" s="365">
        <f t="shared" si="316"/>
        <v>0</v>
      </c>
      <c r="K6615" s="369">
        <f t="shared" si="317"/>
        <v>6</v>
      </c>
      <c r="L6615" s="369">
        <f>+IF((C6615&gt;='Resultats - informe'!$E$16)*(C6615&lt;='Resultats - informe'!$G$16),1,0)</f>
        <v>1</v>
      </c>
      <c r="M6615" s="369" cm="1">
        <f t="array" ref="M6615">+_xlfn.IFS((C6615&gt;='Resultats - informe'!$D$26)*(C6615&lt;='Resultats - informe'!$E$26),0,(C6615&gt;='Resultats - informe'!$D$27)*(C6615&lt;='Resultats - informe'!$E$27),0,(C6615&gt;='Resultats - informe'!$D$28)*(C6615&lt;='Resultats - informe'!$E$28),0,(C6615&gt;='Resultats - informe'!$D$29)*(C6615&lt;='Resultats - informe'!$E$29),0,1,1)</f>
        <v>0</v>
      </c>
      <c r="N6615" s="366">
        <f>+VLOOKUP(D6615,'Resultats - informe'!$Y$18:$AG$42,'Introducció dades consum'!K6615+1,0)</f>
        <v>0</v>
      </c>
      <c r="O6615" s="370" cm="1">
        <f t="array" ref="O6615">+_xlfn.SWITCH(MONTH(C6615),1,1,2,1,3,1,4,2,5,2,6,3,7,3,8,3,9,3,10,2,11,2,12,1,2)</f>
        <v>1</v>
      </c>
      <c r="P6615" s="43"/>
    </row>
    <row r="6616" spans="1:16" ht="18" x14ac:dyDescent="0.35">
      <c r="A6616" s="9"/>
      <c r="C6616" s="393"/>
      <c r="E6616" s="394"/>
      <c r="F6616" s="394"/>
      <c r="G6616" s="394"/>
      <c r="I6616" s="368">
        <f t="shared" si="315"/>
        <v>0</v>
      </c>
      <c r="J6616" s="365">
        <f t="shared" si="316"/>
        <v>0</v>
      </c>
      <c r="K6616" s="369">
        <f t="shared" si="317"/>
        <v>6</v>
      </c>
      <c r="L6616" s="369">
        <f>+IF((C6616&gt;='Resultats - informe'!$E$16)*(C6616&lt;='Resultats - informe'!$G$16),1,0)</f>
        <v>1</v>
      </c>
      <c r="M6616" s="369" cm="1">
        <f t="array" ref="M6616">+_xlfn.IFS((C6616&gt;='Resultats - informe'!$D$26)*(C6616&lt;='Resultats - informe'!$E$26),0,(C6616&gt;='Resultats - informe'!$D$27)*(C6616&lt;='Resultats - informe'!$E$27),0,(C6616&gt;='Resultats - informe'!$D$28)*(C6616&lt;='Resultats - informe'!$E$28),0,(C6616&gt;='Resultats - informe'!$D$29)*(C6616&lt;='Resultats - informe'!$E$29),0,1,1)</f>
        <v>0</v>
      </c>
      <c r="N6616" s="366">
        <f>+VLOOKUP(D6616,'Resultats - informe'!$Y$18:$AG$42,'Introducció dades consum'!K6616+1,0)</f>
        <v>0</v>
      </c>
      <c r="O6616" s="370" cm="1">
        <f t="array" ref="O6616">+_xlfn.SWITCH(MONTH(C6616),1,1,2,1,3,1,4,2,5,2,6,3,7,3,8,3,9,3,10,2,11,2,12,1,2)</f>
        <v>1</v>
      </c>
      <c r="P6616" s="43"/>
    </row>
    <row r="6617" spans="1:16" ht="18" x14ac:dyDescent="0.35">
      <c r="A6617" s="9"/>
      <c r="C6617" s="393"/>
      <c r="E6617" s="394"/>
      <c r="F6617" s="394"/>
      <c r="G6617" s="394"/>
      <c r="I6617" s="368">
        <f t="shared" si="315"/>
        <v>0</v>
      </c>
      <c r="J6617" s="365">
        <f t="shared" si="316"/>
        <v>0</v>
      </c>
      <c r="K6617" s="369">
        <f t="shared" si="317"/>
        <v>6</v>
      </c>
      <c r="L6617" s="369">
        <f>+IF((C6617&gt;='Resultats - informe'!$E$16)*(C6617&lt;='Resultats - informe'!$G$16),1,0)</f>
        <v>1</v>
      </c>
      <c r="M6617" s="369" cm="1">
        <f t="array" ref="M6617">+_xlfn.IFS((C6617&gt;='Resultats - informe'!$D$26)*(C6617&lt;='Resultats - informe'!$E$26),0,(C6617&gt;='Resultats - informe'!$D$27)*(C6617&lt;='Resultats - informe'!$E$27),0,(C6617&gt;='Resultats - informe'!$D$28)*(C6617&lt;='Resultats - informe'!$E$28),0,(C6617&gt;='Resultats - informe'!$D$29)*(C6617&lt;='Resultats - informe'!$E$29),0,1,1)</f>
        <v>0</v>
      </c>
      <c r="N6617" s="366">
        <f>+VLOOKUP(D6617,'Resultats - informe'!$Y$18:$AG$42,'Introducció dades consum'!K6617+1,0)</f>
        <v>0</v>
      </c>
      <c r="O6617" s="370" cm="1">
        <f t="array" ref="O6617">+_xlfn.SWITCH(MONTH(C6617),1,1,2,1,3,1,4,2,5,2,6,3,7,3,8,3,9,3,10,2,11,2,12,1,2)</f>
        <v>1</v>
      </c>
      <c r="P6617" s="43"/>
    </row>
    <row r="6618" spans="1:16" ht="18" x14ac:dyDescent="0.35">
      <c r="A6618" s="9"/>
      <c r="C6618" s="393"/>
      <c r="E6618" s="394"/>
      <c r="F6618" s="394"/>
      <c r="G6618" s="394"/>
      <c r="I6618" s="368">
        <f t="shared" si="315"/>
        <v>0</v>
      </c>
      <c r="J6618" s="365">
        <f t="shared" si="316"/>
        <v>0</v>
      </c>
      <c r="K6618" s="369">
        <f t="shared" si="317"/>
        <v>6</v>
      </c>
      <c r="L6618" s="369">
        <f>+IF((C6618&gt;='Resultats - informe'!$E$16)*(C6618&lt;='Resultats - informe'!$G$16),1,0)</f>
        <v>1</v>
      </c>
      <c r="M6618" s="369" cm="1">
        <f t="array" ref="M6618">+_xlfn.IFS((C6618&gt;='Resultats - informe'!$D$26)*(C6618&lt;='Resultats - informe'!$E$26),0,(C6618&gt;='Resultats - informe'!$D$27)*(C6618&lt;='Resultats - informe'!$E$27),0,(C6618&gt;='Resultats - informe'!$D$28)*(C6618&lt;='Resultats - informe'!$E$28),0,(C6618&gt;='Resultats - informe'!$D$29)*(C6618&lt;='Resultats - informe'!$E$29),0,1,1)</f>
        <v>0</v>
      </c>
      <c r="N6618" s="366">
        <f>+VLOOKUP(D6618,'Resultats - informe'!$Y$18:$AG$42,'Introducció dades consum'!K6618+1,0)</f>
        <v>0</v>
      </c>
      <c r="O6618" s="370" cm="1">
        <f t="array" ref="O6618">+_xlfn.SWITCH(MONTH(C6618),1,1,2,1,3,1,4,2,5,2,6,3,7,3,8,3,9,3,10,2,11,2,12,1,2)</f>
        <v>1</v>
      </c>
      <c r="P6618" s="43"/>
    </row>
    <row r="6619" spans="1:16" ht="18" x14ac:dyDescent="0.35">
      <c r="A6619" s="9"/>
      <c r="C6619" s="393"/>
      <c r="E6619" s="394"/>
      <c r="F6619" s="394"/>
      <c r="G6619" s="394"/>
      <c r="I6619" s="368">
        <f t="shared" si="315"/>
        <v>0</v>
      </c>
      <c r="J6619" s="365">
        <f t="shared" si="316"/>
        <v>0</v>
      </c>
      <c r="K6619" s="369">
        <f t="shared" si="317"/>
        <v>6</v>
      </c>
      <c r="L6619" s="369">
        <f>+IF((C6619&gt;='Resultats - informe'!$E$16)*(C6619&lt;='Resultats - informe'!$G$16),1,0)</f>
        <v>1</v>
      </c>
      <c r="M6619" s="369" cm="1">
        <f t="array" ref="M6619">+_xlfn.IFS((C6619&gt;='Resultats - informe'!$D$26)*(C6619&lt;='Resultats - informe'!$E$26),0,(C6619&gt;='Resultats - informe'!$D$27)*(C6619&lt;='Resultats - informe'!$E$27),0,(C6619&gt;='Resultats - informe'!$D$28)*(C6619&lt;='Resultats - informe'!$E$28),0,(C6619&gt;='Resultats - informe'!$D$29)*(C6619&lt;='Resultats - informe'!$E$29),0,1,1)</f>
        <v>0</v>
      </c>
      <c r="N6619" s="366">
        <f>+VLOOKUP(D6619,'Resultats - informe'!$Y$18:$AG$42,'Introducció dades consum'!K6619+1,0)</f>
        <v>0</v>
      </c>
      <c r="O6619" s="370" cm="1">
        <f t="array" ref="O6619">+_xlfn.SWITCH(MONTH(C6619),1,1,2,1,3,1,4,2,5,2,6,3,7,3,8,3,9,3,10,2,11,2,12,1,2)</f>
        <v>1</v>
      </c>
      <c r="P6619" s="43"/>
    </row>
    <row r="6620" spans="1:16" ht="18" x14ac:dyDescent="0.35">
      <c r="A6620" s="9"/>
      <c r="C6620" s="393"/>
      <c r="E6620" s="394"/>
      <c r="F6620" s="394"/>
      <c r="G6620" s="394"/>
      <c r="I6620" s="368">
        <f t="shared" si="315"/>
        <v>0</v>
      </c>
      <c r="J6620" s="365">
        <f t="shared" si="316"/>
        <v>0</v>
      </c>
      <c r="K6620" s="369">
        <f t="shared" si="317"/>
        <v>6</v>
      </c>
      <c r="L6620" s="369">
        <f>+IF((C6620&gt;='Resultats - informe'!$E$16)*(C6620&lt;='Resultats - informe'!$G$16),1,0)</f>
        <v>1</v>
      </c>
      <c r="M6620" s="369" cm="1">
        <f t="array" ref="M6620">+_xlfn.IFS((C6620&gt;='Resultats - informe'!$D$26)*(C6620&lt;='Resultats - informe'!$E$26),0,(C6620&gt;='Resultats - informe'!$D$27)*(C6620&lt;='Resultats - informe'!$E$27),0,(C6620&gt;='Resultats - informe'!$D$28)*(C6620&lt;='Resultats - informe'!$E$28),0,(C6620&gt;='Resultats - informe'!$D$29)*(C6620&lt;='Resultats - informe'!$E$29),0,1,1)</f>
        <v>0</v>
      </c>
      <c r="N6620" s="366">
        <f>+VLOOKUP(D6620,'Resultats - informe'!$Y$18:$AG$42,'Introducció dades consum'!K6620+1,0)</f>
        <v>0</v>
      </c>
      <c r="O6620" s="370" cm="1">
        <f t="array" ref="O6620">+_xlfn.SWITCH(MONTH(C6620),1,1,2,1,3,1,4,2,5,2,6,3,7,3,8,3,9,3,10,2,11,2,12,1,2)</f>
        <v>1</v>
      </c>
      <c r="P6620" s="43"/>
    </row>
    <row r="6621" spans="1:16" ht="18" x14ac:dyDescent="0.35">
      <c r="A6621" s="9"/>
      <c r="C6621" s="393"/>
      <c r="E6621" s="394"/>
      <c r="F6621" s="394"/>
      <c r="G6621" s="394"/>
      <c r="I6621" s="368">
        <f t="shared" si="315"/>
        <v>0</v>
      </c>
      <c r="J6621" s="365">
        <f t="shared" si="316"/>
        <v>0</v>
      </c>
      <c r="K6621" s="369">
        <f t="shared" si="317"/>
        <v>6</v>
      </c>
      <c r="L6621" s="369">
        <f>+IF((C6621&gt;='Resultats - informe'!$E$16)*(C6621&lt;='Resultats - informe'!$G$16),1,0)</f>
        <v>1</v>
      </c>
      <c r="M6621" s="369" cm="1">
        <f t="array" ref="M6621">+_xlfn.IFS((C6621&gt;='Resultats - informe'!$D$26)*(C6621&lt;='Resultats - informe'!$E$26),0,(C6621&gt;='Resultats - informe'!$D$27)*(C6621&lt;='Resultats - informe'!$E$27),0,(C6621&gt;='Resultats - informe'!$D$28)*(C6621&lt;='Resultats - informe'!$E$28),0,(C6621&gt;='Resultats - informe'!$D$29)*(C6621&lt;='Resultats - informe'!$E$29),0,1,1)</f>
        <v>0</v>
      </c>
      <c r="N6621" s="366">
        <f>+VLOOKUP(D6621,'Resultats - informe'!$Y$18:$AG$42,'Introducció dades consum'!K6621+1,0)</f>
        <v>0</v>
      </c>
      <c r="O6621" s="370" cm="1">
        <f t="array" ref="O6621">+_xlfn.SWITCH(MONTH(C6621),1,1,2,1,3,1,4,2,5,2,6,3,7,3,8,3,9,3,10,2,11,2,12,1,2)</f>
        <v>1</v>
      </c>
      <c r="P6621" s="43"/>
    </row>
    <row r="6622" spans="1:16" ht="18" x14ac:dyDescent="0.35">
      <c r="A6622" s="9"/>
      <c r="C6622" s="393"/>
      <c r="E6622" s="394"/>
      <c r="F6622" s="394"/>
      <c r="G6622" s="394"/>
      <c r="I6622" s="368">
        <f t="shared" si="315"/>
        <v>0</v>
      </c>
      <c r="J6622" s="365">
        <f t="shared" si="316"/>
        <v>0</v>
      </c>
      <c r="K6622" s="369">
        <f t="shared" si="317"/>
        <v>6</v>
      </c>
      <c r="L6622" s="369">
        <f>+IF((C6622&gt;='Resultats - informe'!$E$16)*(C6622&lt;='Resultats - informe'!$G$16),1,0)</f>
        <v>1</v>
      </c>
      <c r="M6622" s="369" cm="1">
        <f t="array" ref="M6622">+_xlfn.IFS((C6622&gt;='Resultats - informe'!$D$26)*(C6622&lt;='Resultats - informe'!$E$26),0,(C6622&gt;='Resultats - informe'!$D$27)*(C6622&lt;='Resultats - informe'!$E$27),0,(C6622&gt;='Resultats - informe'!$D$28)*(C6622&lt;='Resultats - informe'!$E$28),0,(C6622&gt;='Resultats - informe'!$D$29)*(C6622&lt;='Resultats - informe'!$E$29),0,1,1)</f>
        <v>0</v>
      </c>
      <c r="N6622" s="366">
        <f>+VLOOKUP(D6622,'Resultats - informe'!$Y$18:$AG$42,'Introducció dades consum'!K6622+1,0)</f>
        <v>0</v>
      </c>
      <c r="O6622" s="370" cm="1">
        <f t="array" ref="O6622">+_xlfn.SWITCH(MONTH(C6622),1,1,2,1,3,1,4,2,5,2,6,3,7,3,8,3,9,3,10,2,11,2,12,1,2)</f>
        <v>1</v>
      </c>
      <c r="P6622" s="43"/>
    </row>
    <row r="6623" spans="1:16" ht="18" x14ac:dyDescent="0.35">
      <c r="A6623" s="9"/>
      <c r="C6623" s="393"/>
      <c r="E6623" s="394"/>
      <c r="F6623" s="394"/>
      <c r="G6623" s="394"/>
      <c r="I6623" s="368">
        <f t="shared" si="315"/>
        <v>0</v>
      </c>
      <c r="J6623" s="365">
        <f t="shared" si="316"/>
        <v>0</v>
      </c>
      <c r="K6623" s="369">
        <f t="shared" si="317"/>
        <v>6</v>
      </c>
      <c r="L6623" s="369">
        <f>+IF((C6623&gt;='Resultats - informe'!$E$16)*(C6623&lt;='Resultats - informe'!$G$16),1,0)</f>
        <v>1</v>
      </c>
      <c r="M6623" s="369" cm="1">
        <f t="array" ref="M6623">+_xlfn.IFS((C6623&gt;='Resultats - informe'!$D$26)*(C6623&lt;='Resultats - informe'!$E$26),0,(C6623&gt;='Resultats - informe'!$D$27)*(C6623&lt;='Resultats - informe'!$E$27),0,(C6623&gt;='Resultats - informe'!$D$28)*(C6623&lt;='Resultats - informe'!$E$28),0,(C6623&gt;='Resultats - informe'!$D$29)*(C6623&lt;='Resultats - informe'!$E$29),0,1,1)</f>
        <v>0</v>
      </c>
      <c r="N6623" s="366">
        <f>+VLOOKUP(D6623,'Resultats - informe'!$Y$18:$AG$42,'Introducció dades consum'!K6623+1,0)</f>
        <v>0</v>
      </c>
      <c r="O6623" s="370" cm="1">
        <f t="array" ref="O6623">+_xlfn.SWITCH(MONTH(C6623),1,1,2,1,3,1,4,2,5,2,6,3,7,3,8,3,9,3,10,2,11,2,12,1,2)</f>
        <v>1</v>
      </c>
      <c r="P6623" s="43"/>
    </row>
    <row r="6624" spans="1:16" ht="18" x14ac:dyDescent="0.35">
      <c r="A6624" s="9"/>
      <c r="C6624" s="393"/>
      <c r="E6624" s="394"/>
      <c r="F6624" s="394"/>
      <c r="G6624" s="394"/>
      <c r="I6624" s="368">
        <f t="shared" si="315"/>
        <v>0</v>
      </c>
      <c r="J6624" s="365">
        <f t="shared" si="316"/>
        <v>0</v>
      </c>
      <c r="K6624" s="369">
        <f t="shared" si="317"/>
        <v>6</v>
      </c>
      <c r="L6624" s="369">
        <f>+IF((C6624&gt;='Resultats - informe'!$E$16)*(C6624&lt;='Resultats - informe'!$G$16),1,0)</f>
        <v>1</v>
      </c>
      <c r="M6624" s="369" cm="1">
        <f t="array" ref="M6624">+_xlfn.IFS((C6624&gt;='Resultats - informe'!$D$26)*(C6624&lt;='Resultats - informe'!$E$26),0,(C6624&gt;='Resultats - informe'!$D$27)*(C6624&lt;='Resultats - informe'!$E$27),0,(C6624&gt;='Resultats - informe'!$D$28)*(C6624&lt;='Resultats - informe'!$E$28),0,(C6624&gt;='Resultats - informe'!$D$29)*(C6624&lt;='Resultats - informe'!$E$29),0,1,1)</f>
        <v>0</v>
      </c>
      <c r="N6624" s="366">
        <f>+VLOOKUP(D6624,'Resultats - informe'!$Y$18:$AG$42,'Introducció dades consum'!K6624+1,0)</f>
        <v>0</v>
      </c>
      <c r="O6624" s="370" cm="1">
        <f t="array" ref="O6624">+_xlfn.SWITCH(MONTH(C6624),1,1,2,1,3,1,4,2,5,2,6,3,7,3,8,3,9,3,10,2,11,2,12,1,2)</f>
        <v>1</v>
      </c>
      <c r="P6624" s="43"/>
    </row>
    <row r="6625" spans="1:16" ht="18" x14ac:dyDescent="0.35">
      <c r="A6625" s="9"/>
      <c r="C6625" s="393"/>
      <c r="E6625" s="394"/>
      <c r="F6625" s="394"/>
      <c r="G6625" s="394"/>
      <c r="I6625" s="368">
        <f t="shared" si="315"/>
        <v>0</v>
      </c>
      <c r="J6625" s="365">
        <f t="shared" si="316"/>
        <v>0</v>
      </c>
      <c r="K6625" s="369">
        <f t="shared" si="317"/>
        <v>6</v>
      </c>
      <c r="L6625" s="369">
        <f>+IF((C6625&gt;='Resultats - informe'!$E$16)*(C6625&lt;='Resultats - informe'!$G$16),1,0)</f>
        <v>1</v>
      </c>
      <c r="M6625" s="369" cm="1">
        <f t="array" ref="M6625">+_xlfn.IFS((C6625&gt;='Resultats - informe'!$D$26)*(C6625&lt;='Resultats - informe'!$E$26),0,(C6625&gt;='Resultats - informe'!$D$27)*(C6625&lt;='Resultats - informe'!$E$27),0,(C6625&gt;='Resultats - informe'!$D$28)*(C6625&lt;='Resultats - informe'!$E$28),0,(C6625&gt;='Resultats - informe'!$D$29)*(C6625&lt;='Resultats - informe'!$E$29),0,1,1)</f>
        <v>0</v>
      </c>
      <c r="N6625" s="366">
        <f>+VLOOKUP(D6625,'Resultats - informe'!$Y$18:$AG$42,'Introducció dades consum'!K6625+1,0)</f>
        <v>0</v>
      </c>
      <c r="O6625" s="370" cm="1">
        <f t="array" ref="O6625">+_xlfn.SWITCH(MONTH(C6625),1,1,2,1,3,1,4,2,5,2,6,3,7,3,8,3,9,3,10,2,11,2,12,1,2)</f>
        <v>1</v>
      </c>
      <c r="P6625" s="43"/>
    </row>
    <row r="6626" spans="1:16" ht="18" x14ac:dyDescent="0.35">
      <c r="A6626" s="9"/>
      <c r="C6626" s="393"/>
      <c r="E6626" s="394"/>
      <c r="F6626" s="394"/>
      <c r="G6626" s="394"/>
      <c r="I6626" s="368">
        <f t="shared" si="315"/>
        <v>0</v>
      </c>
      <c r="J6626" s="365">
        <f t="shared" si="316"/>
        <v>0</v>
      </c>
      <c r="K6626" s="369">
        <f t="shared" si="317"/>
        <v>6</v>
      </c>
      <c r="L6626" s="369">
        <f>+IF((C6626&gt;='Resultats - informe'!$E$16)*(C6626&lt;='Resultats - informe'!$G$16),1,0)</f>
        <v>1</v>
      </c>
      <c r="M6626" s="369" cm="1">
        <f t="array" ref="M6626">+_xlfn.IFS((C6626&gt;='Resultats - informe'!$D$26)*(C6626&lt;='Resultats - informe'!$E$26),0,(C6626&gt;='Resultats - informe'!$D$27)*(C6626&lt;='Resultats - informe'!$E$27),0,(C6626&gt;='Resultats - informe'!$D$28)*(C6626&lt;='Resultats - informe'!$E$28),0,(C6626&gt;='Resultats - informe'!$D$29)*(C6626&lt;='Resultats - informe'!$E$29),0,1,1)</f>
        <v>0</v>
      </c>
      <c r="N6626" s="366">
        <f>+VLOOKUP(D6626,'Resultats - informe'!$Y$18:$AG$42,'Introducció dades consum'!K6626+1,0)</f>
        <v>0</v>
      </c>
      <c r="O6626" s="370" cm="1">
        <f t="array" ref="O6626">+_xlfn.SWITCH(MONTH(C6626),1,1,2,1,3,1,4,2,5,2,6,3,7,3,8,3,9,3,10,2,11,2,12,1,2)</f>
        <v>1</v>
      </c>
      <c r="P6626" s="43"/>
    </row>
    <row r="6627" spans="1:16" ht="18" x14ac:dyDescent="0.35">
      <c r="A6627" s="9"/>
      <c r="C6627" s="393"/>
      <c r="E6627" s="394"/>
      <c r="F6627" s="394"/>
      <c r="G6627" s="394"/>
      <c r="I6627" s="368">
        <f t="shared" si="315"/>
        <v>0</v>
      </c>
      <c r="J6627" s="365">
        <f t="shared" si="316"/>
        <v>0</v>
      </c>
      <c r="K6627" s="369">
        <f t="shared" si="317"/>
        <v>6</v>
      </c>
      <c r="L6627" s="369">
        <f>+IF((C6627&gt;='Resultats - informe'!$E$16)*(C6627&lt;='Resultats - informe'!$G$16),1,0)</f>
        <v>1</v>
      </c>
      <c r="M6627" s="369" cm="1">
        <f t="array" ref="M6627">+_xlfn.IFS((C6627&gt;='Resultats - informe'!$D$26)*(C6627&lt;='Resultats - informe'!$E$26),0,(C6627&gt;='Resultats - informe'!$D$27)*(C6627&lt;='Resultats - informe'!$E$27),0,(C6627&gt;='Resultats - informe'!$D$28)*(C6627&lt;='Resultats - informe'!$E$28),0,(C6627&gt;='Resultats - informe'!$D$29)*(C6627&lt;='Resultats - informe'!$E$29),0,1,1)</f>
        <v>0</v>
      </c>
      <c r="N6627" s="366">
        <f>+VLOOKUP(D6627,'Resultats - informe'!$Y$18:$AG$42,'Introducció dades consum'!K6627+1,0)</f>
        <v>0</v>
      </c>
      <c r="O6627" s="370" cm="1">
        <f t="array" ref="O6627">+_xlfn.SWITCH(MONTH(C6627),1,1,2,1,3,1,4,2,5,2,6,3,7,3,8,3,9,3,10,2,11,2,12,1,2)</f>
        <v>1</v>
      </c>
      <c r="P6627" s="43"/>
    </row>
    <row r="6628" spans="1:16" ht="18" x14ac:dyDescent="0.35">
      <c r="A6628" s="9"/>
      <c r="C6628" s="393"/>
      <c r="E6628" s="394"/>
      <c r="F6628" s="394"/>
      <c r="G6628" s="394"/>
      <c r="I6628" s="368">
        <f t="shared" si="315"/>
        <v>0</v>
      </c>
      <c r="J6628" s="365">
        <f t="shared" si="316"/>
        <v>0</v>
      </c>
      <c r="K6628" s="369">
        <f t="shared" si="317"/>
        <v>6</v>
      </c>
      <c r="L6628" s="369">
        <f>+IF((C6628&gt;='Resultats - informe'!$E$16)*(C6628&lt;='Resultats - informe'!$G$16),1,0)</f>
        <v>1</v>
      </c>
      <c r="M6628" s="369" cm="1">
        <f t="array" ref="M6628">+_xlfn.IFS((C6628&gt;='Resultats - informe'!$D$26)*(C6628&lt;='Resultats - informe'!$E$26),0,(C6628&gt;='Resultats - informe'!$D$27)*(C6628&lt;='Resultats - informe'!$E$27),0,(C6628&gt;='Resultats - informe'!$D$28)*(C6628&lt;='Resultats - informe'!$E$28),0,(C6628&gt;='Resultats - informe'!$D$29)*(C6628&lt;='Resultats - informe'!$E$29),0,1,1)</f>
        <v>0</v>
      </c>
      <c r="N6628" s="366">
        <f>+VLOOKUP(D6628,'Resultats - informe'!$Y$18:$AG$42,'Introducció dades consum'!K6628+1,0)</f>
        <v>0</v>
      </c>
      <c r="O6628" s="370" cm="1">
        <f t="array" ref="O6628">+_xlfn.SWITCH(MONTH(C6628),1,1,2,1,3,1,4,2,5,2,6,3,7,3,8,3,9,3,10,2,11,2,12,1,2)</f>
        <v>1</v>
      </c>
      <c r="P6628" s="43"/>
    </row>
    <row r="6629" spans="1:16" ht="18" x14ac:dyDescent="0.35">
      <c r="A6629" s="9"/>
      <c r="C6629" s="393"/>
      <c r="E6629" s="394"/>
      <c r="F6629" s="394"/>
      <c r="G6629" s="394"/>
      <c r="I6629" s="368">
        <f t="shared" si="315"/>
        <v>0</v>
      </c>
      <c r="J6629" s="365">
        <f t="shared" si="316"/>
        <v>0</v>
      </c>
      <c r="K6629" s="369">
        <f t="shared" si="317"/>
        <v>6</v>
      </c>
      <c r="L6629" s="369">
        <f>+IF((C6629&gt;='Resultats - informe'!$E$16)*(C6629&lt;='Resultats - informe'!$G$16),1,0)</f>
        <v>1</v>
      </c>
      <c r="M6629" s="369" cm="1">
        <f t="array" ref="M6629">+_xlfn.IFS((C6629&gt;='Resultats - informe'!$D$26)*(C6629&lt;='Resultats - informe'!$E$26),0,(C6629&gt;='Resultats - informe'!$D$27)*(C6629&lt;='Resultats - informe'!$E$27),0,(C6629&gt;='Resultats - informe'!$D$28)*(C6629&lt;='Resultats - informe'!$E$28),0,(C6629&gt;='Resultats - informe'!$D$29)*(C6629&lt;='Resultats - informe'!$E$29),0,1,1)</f>
        <v>0</v>
      </c>
      <c r="N6629" s="366">
        <f>+VLOOKUP(D6629,'Resultats - informe'!$Y$18:$AG$42,'Introducció dades consum'!K6629+1,0)</f>
        <v>0</v>
      </c>
      <c r="O6629" s="370" cm="1">
        <f t="array" ref="O6629">+_xlfn.SWITCH(MONTH(C6629),1,1,2,1,3,1,4,2,5,2,6,3,7,3,8,3,9,3,10,2,11,2,12,1,2)</f>
        <v>1</v>
      </c>
      <c r="P6629" s="43"/>
    </row>
    <row r="6630" spans="1:16" ht="18" x14ac:dyDescent="0.35">
      <c r="A6630" s="9"/>
      <c r="C6630" s="393"/>
      <c r="E6630" s="394"/>
      <c r="F6630" s="394"/>
      <c r="G6630" s="394"/>
      <c r="I6630" s="368">
        <f t="shared" si="315"/>
        <v>0</v>
      </c>
      <c r="J6630" s="365">
        <f t="shared" si="316"/>
        <v>0</v>
      </c>
      <c r="K6630" s="369">
        <f t="shared" si="317"/>
        <v>6</v>
      </c>
      <c r="L6630" s="369">
        <f>+IF((C6630&gt;='Resultats - informe'!$E$16)*(C6630&lt;='Resultats - informe'!$G$16),1,0)</f>
        <v>1</v>
      </c>
      <c r="M6630" s="369" cm="1">
        <f t="array" ref="M6630">+_xlfn.IFS((C6630&gt;='Resultats - informe'!$D$26)*(C6630&lt;='Resultats - informe'!$E$26),0,(C6630&gt;='Resultats - informe'!$D$27)*(C6630&lt;='Resultats - informe'!$E$27),0,(C6630&gt;='Resultats - informe'!$D$28)*(C6630&lt;='Resultats - informe'!$E$28),0,(C6630&gt;='Resultats - informe'!$D$29)*(C6630&lt;='Resultats - informe'!$E$29),0,1,1)</f>
        <v>0</v>
      </c>
      <c r="N6630" s="366">
        <f>+VLOOKUP(D6630,'Resultats - informe'!$Y$18:$AG$42,'Introducció dades consum'!K6630+1,0)</f>
        <v>0</v>
      </c>
      <c r="O6630" s="370" cm="1">
        <f t="array" ref="O6630">+_xlfn.SWITCH(MONTH(C6630),1,1,2,1,3,1,4,2,5,2,6,3,7,3,8,3,9,3,10,2,11,2,12,1,2)</f>
        <v>1</v>
      </c>
      <c r="P6630" s="43"/>
    </row>
    <row r="6631" spans="1:16" ht="18" x14ac:dyDescent="0.35">
      <c r="A6631" s="9"/>
      <c r="C6631" s="393"/>
      <c r="E6631" s="394"/>
      <c r="F6631" s="394"/>
      <c r="G6631" s="394"/>
      <c r="I6631" s="368">
        <f t="shared" si="315"/>
        <v>0</v>
      </c>
      <c r="J6631" s="365">
        <f t="shared" si="316"/>
        <v>0</v>
      </c>
      <c r="K6631" s="369">
        <f t="shared" si="317"/>
        <v>6</v>
      </c>
      <c r="L6631" s="369">
        <f>+IF((C6631&gt;='Resultats - informe'!$E$16)*(C6631&lt;='Resultats - informe'!$G$16),1,0)</f>
        <v>1</v>
      </c>
      <c r="M6631" s="369" cm="1">
        <f t="array" ref="M6631">+_xlfn.IFS((C6631&gt;='Resultats - informe'!$D$26)*(C6631&lt;='Resultats - informe'!$E$26),0,(C6631&gt;='Resultats - informe'!$D$27)*(C6631&lt;='Resultats - informe'!$E$27),0,(C6631&gt;='Resultats - informe'!$D$28)*(C6631&lt;='Resultats - informe'!$E$28),0,(C6631&gt;='Resultats - informe'!$D$29)*(C6631&lt;='Resultats - informe'!$E$29),0,1,1)</f>
        <v>0</v>
      </c>
      <c r="N6631" s="366">
        <f>+VLOOKUP(D6631,'Resultats - informe'!$Y$18:$AG$42,'Introducció dades consum'!K6631+1,0)</f>
        <v>0</v>
      </c>
      <c r="O6631" s="370" cm="1">
        <f t="array" ref="O6631">+_xlfn.SWITCH(MONTH(C6631),1,1,2,1,3,1,4,2,5,2,6,3,7,3,8,3,9,3,10,2,11,2,12,1,2)</f>
        <v>1</v>
      </c>
      <c r="P6631" s="43"/>
    </row>
    <row r="6632" spans="1:16" ht="18" x14ac:dyDescent="0.35">
      <c r="A6632" s="9"/>
      <c r="C6632" s="393"/>
      <c r="E6632" s="394"/>
      <c r="F6632" s="394"/>
      <c r="G6632" s="394"/>
      <c r="I6632" s="368">
        <f t="shared" si="315"/>
        <v>0</v>
      </c>
      <c r="J6632" s="365">
        <f t="shared" si="316"/>
        <v>0</v>
      </c>
      <c r="K6632" s="369">
        <f t="shared" si="317"/>
        <v>6</v>
      </c>
      <c r="L6632" s="369">
        <f>+IF((C6632&gt;='Resultats - informe'!$E$16)*(C6632&lt;='Resultats - informe'!$G$16),1,0)</f>
        <v>1</v>
      </c>
      <c r="M6632" s="369" cm="1">
        <f t="array" ref="M6632">+_xlfn.IFS((C6632&gt;='Resultats - informe'!$D$26)*(C6632&lt;='Resultats - informe'!$E$26),0,(C6632&gt;='Resultats - informe'!$D$27)*(C6632&lt;='Resultats - informe'!$E$27),0,(C6632&gt;='Resultats - informe'!$D$28)*(C6632&lt;='Resultats - informe'!$E$28),0,(C6632&gt;='Resultats - informe'!$D$29)*(C6632&lt;='Resultats - informe'!$E$29),0,1,1)</f>
        <v>0</v>
      </c>
      <c r="N6632" s="366">
        <f>+VLOOKUP(D6632,'Resultats - informe'!$Y$18:$AG$42,'Introducció dades consum'!K6632+1,0)</f>
        <v>0</v>
      </c>
      <c r="O6632" s="370" cm="1">
        <f t="array" ref="O6632">+_xlfn.SWITCH(MONTH(C6632),1,1,2,1,3,1,4,2,5,2,6,3,7,3,8,3,9,3,10,2,11,2,12,1,2)</f>
        <v>1</v>
      </c>
      <c r="P6632" s="43"/>
    </row>
    <row r="6633" spans="1:16" ht="18" x14ac:dyDescent="0.35">
      <c r="A6633" s="9"/>
      <c r="C6633" s="393"/>
      <c r="E6633" s="394"/>
      <c r="F6633" s="394"/>
      <c r="G6633" s="394"/>
      <c r="I6633" s="368">
        <f t="shared" si="315"/>
        <v>0</v>
      </c>
      <c r="J6633" s="365">
        <f t="shared" si="316"/>
        <v>0</v>
      </c>
      <c r="K6633" s="369">
        <f t="shared" si="317"/>
        <v>6</v>
      </c>
      <c r="L6633" s="369">
        <f>+IF((C6633&gt;='Resultats - informe'!$E$16)*(C6633&lt;='Resultats - informe'!$G$16),1,0)</f>
        <v>1</v>
      </c>
      <c r="M6633" s="369" cm="1">
        <f t="array" ref="M6633">+_xlfn.IFS((C6633&gt;='Resultats - informe'!$D$26)*(C6633&lt;='Resultats - informe'!$E$26),0,(C6633&gt;='Resultats - informe'!$D$27)*(C6633&lt;='Resultats - informe'!$E$27),0,(C6633&gt;='Resultats - informe'!$D$28)*(C6633&lt;='Resultats - informe'!$E$28),0,(C6633&gt;='Resultats - informe'!$D$29)*(C6633&lt;='Resultats - informe'!$E$29),0,1,1)</f>
        <v>0</v>
      </c>
      <c r="N6633" s="366">
        <f>+VLOOKUP(D6633,'Resultats - informe'!$Y$18:$AG$42,'Introducció dades consum'!K6633+1,0)</f>
        <v>0</v>
      </c>
      <c r="O6633" s="370" cm="1">
        <f t="array" ref="O6633">+_xlfn.SWITCH(MONTH(C6633),1,1,2,1,3,1,4,2,5,2,6,3,7,3,8,3,9,3,10,2,11,2,12,1,2)</f>
        <v>1</v>
      </c>
      <c r="P6633" s="43"/>
    </row>
    <row r="6634" spans="1:16" ht="18" x14ac:dyDescent="0.35">
      <c r="A6634" s="9"/>
      <c r="C6634" s="393"/>
      <c r="E6634" s="394"/>
      <c r="F6634" s="394"/>
      <c r="G6634" s="394"/>
      <c r="I6634" s="368">
        <f t="shared" si="315"/>
        <v>0</v>
      </c>
      <c r="J6634" s="365">
        <f t="shared" si="316"/>
        <v>0</v>
      </c>
      <c r="K6634" s="369">
        <f t="shared" si="317"/>
        <v>6</v>
      </c>
      <c r="L6634" s="369">
        <f>+IF((C6634&gt;='Resultats - informe'!$E$16)*(C6634&lt;='Resultats - informe'!$G$16),1,0)</f>
        <v>1</v>
      </c>
      <c r="M6634" s="369" cm="1">
        <f t="array" ref="M6634">+_xlfn.IFS((C6634&gt;='Resultats - informe'!$D$26)*(C6634&lt;='Resultats - informe'!$E$26),0,(C6634&gt;='Resultats - informe'!$D$27)*(C6634&lt;='Resultats - informe'!$E$27),0,(C6634&gt;='Resultats - informe'!$D$28)*(C6634&lt;='Resultats - informe'!$E$28),0,(C6634&gt;='Resultats - informe'!$D$29)*(C6634&lt;='Resultats - informe'!$E$29),0,1,1)</f>
        <v>0</v>
      </c>
      <c r="N6634" s="366">
        <f>+VLOOKUP(D6634,'Resultats - informe'!$Y$18:$AG$42,'Introducció dades consum'!K6634+1,0)</f>
        <v>0</v>
      </c>
      <c r="O6634" s="370" cm="1">
        <f t="array" ref="O6634">+_xlfn.SWITCH(MONTH(C6634),1,1,2,1,3,1,4,2,5,2,6,3,7,3,8,3,9,3,10,2,11,2,12,1,2)</f>
        <v>1</v>
      </c>
      <c r="P6634" s="43"/>
    </row>
    <row r="6635" spans="1:16" ht="18" x14ac:dyDescent="0.35">
      <c r="A6635" s="9"/>
      <c r="C6635" s="393"/>
      <c r="E6635" s="394"/>
      <c r="F6635" s="394"/>
      <c r="G6635" s="394"/>
      <c r="I6635" s="368">
        <f t="shared" si="315"/>
        <v>0</v>
      </c>
      <c r="J6635" s="365">
        <f t="shared" si="316"/>
        <v>0</v>
      </c>
      <c r="K6635" s="369">
        <f t="shared" si="317"/>
        <v>6</v>
      </c>
      <c r="L6635" s="369">
        <f>+IF((C6635&gt;='Resultats - informe'!$E$16)*(C6635&lt;='Resultats - informe'!$G$16),1,0)</f>
        <v>1</v>
      </c>
      <c r="M6635" s="369" cm="1">
        <f t="array" ref="M6635">+_xlfn.IFS((C6635&gt;='Resultats - informe'!$D$26)*(C6635&lt;='Resultats - informe'!$E$26),0,(C6635&gt;='Resultats - informe'!$D$27)*(C6635&lt;='Resultats - informe'!$E$27),0,(C6635&gt;='Resultats - informe'!$D$28)*(C6635&lt;='Resultats - informe'!$E$28),0,(C6635&gt;='Resultats - informe'!$D$29)*(C6635&lt;='Resultats - informe'!$E$29),0,1,1)</f>
        <v>0</v>
      </c>
      <c r="N6635" s="366">
        <f>+VLOOKUP(D6635,'Resultats - informe'!$Y$18:$AG$42,'Introducció dades consum'!K6635+1,0)</f>
        <v>0</v>
      </c>
      <c r="O6635" s="370" cm="1">
        <f t="array" ref="O6635">+_xlfn.SWITCH(MONTH(C6635),1,1,2,1,3,1,4,2,5,2,6,3,7,3,8,3,9,3,10,2,11,2,12,1,2)</f>
        <v>1</v>
      </c>
      <c r="P6635" s="43"/>
    </row>
    <row r="6636" spans="1:16" ht="18" x14ac:dyDescent="0.35">
      <c r="A6636" s="9"/>
      <c r="C6636" s="393"/>
      <c r="E6636" s="394"/>
      <c r="F6636" s="394"/>
      <c r="G6636" s="394"/>
      <c r="I6636" s="368">
        <f t="shared" si="315"/>
        <v>0</v>
      </c>
      <c r="J6636" s="365">
        <f t="shared" si="316"/>
        <v>0</v>
      </c>
      <c r="K6636" s="369">
        <f t="shared" si="317"/>
        <v>6</v>
      </c>
      <c r="L6636" s="369">
        <f>+IF((C6636&gt;='Resultats - informe'!$E$16)*(C6636&lt;='Resultats - informe'!$G$16),1,0)</f>
        <v>1</v>
      </c>
      <c r="M6636" s="369" cm="1">
        <f t="array" ref="M6636">+_xlfn.IFS((C6636&gt;='Resultats - informe'!$D$26)*(C6636&lt;='Resultats - informe'!$E$26),0,(C6636&gt;='Resultats - informe'!$D$27)*(C6636&lt;='Resultats - informe'!$E$27),0,(C6636&gt;='Resultats - informe'!$D$28)*(C6636&lt;='Resultats - informe'!$E$28),0,(C6636&gt;='Resultats - informe'!$D$29)*(C6636&lt;='Resultats - informe'!$E$29),0,1,1)</f>
        <v>0</v>
      </c>
      <c r="N6636" s="366">
        <f>+VLOOKUP(D6636,'Resultats - informe'!$Y$18:$AG$42,'Introducció dades consum'!K6636+1,0)</f>
        <v>0</v>
      </c>
      <c r="O6636" s="370" cm="1">
        <f t="array" ref="O6636">+_xlfn.SWITCH(MONTH(C6636),1,1,2,1,3,1,4,2,5,2,6,3,7,3,8,3,9,3,10,2,11,2,12,1,2)</f>
        <v>1</v>
      </c>
      <c r="P6636" s="43"/>
    </row>
    <row r="6637" spans="1:16" ht="18" x14ac:dyDescent="0.35">
      <c r="A6637" s="9"/>
      <c r="C6637" s="393"/>
      <c r="E6637" s="394"/>
      <c r="F6637" s="394"/>
      <c r="G6637" s="394"/>
      <c r="I6637" s="368">
        <f t="shared" si="315"/>
        <v>0</v>
      </c>
      <c r="J6637" s="365">
        <f t="shared" si="316"/>
        <v>0</v>
      </c>
      <c r="K6637" s="369">
        <f t="shared" si="317"/>
        <v>6</v>
      </c>
      <c r="L6637" s="369">
        <f>+IF((C6637&gt;='Resultats - informe'!$E$16)*(C6637&lt;='Resultats - informe'!$G$16),1,0)</f>
        <v>1</v>
      </c>
      <c r="M6637" s="369" cm="1">
        <f t="array" ref="M6637">+_xlfn.IFS((C6637&gt;='Resultats - informe'!$D$26)*(C6637&lt;='Resultats - informe'!$E$26),0,(C6637&gt;='Resultats - informe'!$D$27)*(C6637&lt;='Resultats - informe'!$E$27),0,(C6637&gt;='Resultats - informe'!$D$28)*(C6637&lt;='Resultats - informe'!$E$28),0,(C6637&gt;='Resultats - informe'!$D$29)*(C6637&lt;='Resultats - informe'!$E$29),0,1,1)</f>
        <v>0</v>
      </c>
      <c r="N6637" s="366">
        <f>+VLOOKUP(D6637,'Resultats - informe'!$Y$18:$AG$42,'Introducció dades consum'!K6637+1,0)</f>
        <v>0</v>
      </c>
      <c r="O6637" s="370" cm="1">
        <f t="array" ref="O6637">+_xlfn.SWITCH(MONTH(C6637),1,1,2,1,3,1,4,2,5,2,6,3,7,3,8,3,9,3,10,2,11,2,12,1,2)</f>
        <v>1</v>
      </c>
      <c r="P6637" s="43"/>
    </row>
    <row r="6638" spans="1:16" ht="18" x14ac:dyDescent="0.35">
      <c r="A6638" s="9"/>
      <c r="C6638" s="393"/>
      <c r="E6638" s="394"/>
      <c r="F6638" s="394"/>
      <c r="G6638" s="394"/>
      <c r="I6638" s="368">
        <f t="shared" si="315"/>
        <v>0</v>
      </c>
      <c r="J6638" s="365">
        <f t="shared" si="316"/>
        <v>0</v>
      </c>
      <c r="K6638" s="369">
        <f t="shared" si="317"/>
        <v>6</v>
      </c>
      <c r="L6638" s="369">
        <f>+IF((C6638&gt;='Resultats - informe'!$E$16)*(C6638&lt;='Resultats - informe'!$G$16),1,0)</f>
        <v>1</v>
      </c>
      <c r="M6638" s="369" cm="1">
        <f t="array" ref="M6638">+_xlfn.IFS((C6638&gt;='Resultats - informe'!$D$26)*(C6638&lt;='Resultats - informe'!$E$26),0,(C6638&gt;='Resultats - informe'!$D$27)*(C6638&lt;='Resultats - informe'!$E$27),0,(C6638&gt;='Resultats - informe'!$D$28)*(C6638&lt;='Resultats - informe'!$E$28),0,(C6638&gt;='Resultats - informe'!$D$29)*(C6638&lt;='Resultats - informe'!$E$29),0,1,1)</f>
        <v>0</v>
      </c>
      <c r="N6638" s="366">
        <f>+VLOOKUP(D6638,'Resultats - informe'!$Y$18:$AG$42,'Introducció dades consum'!K6638+1,0)</f>
        <v>0</v>
      </c>
      <c r="O6638" s="370" cm="1">
        <f t="array" ref="O6638">+_xlfn.SWITCH(MONTH(C6638),1,1,2,1,3,1,4,2,5,2,6,3,7,3,8,3,9,3,10,2,11,2,12,1,2)</f>
        <v>1</v>
      </c>
      <c r="P6638" s="43"/>
    </row>
    <row r="6639" spans="1:16" ht="18" x14ac:dyDescent="0.35">
      <c r="A6639" s="9"/>
      <c r="C6639" s="393"/>
      <c r="E6639" s="394"/>
      <c r="F6639" s="394"/>
      <c r="G6639" s="394"/>
      <c r="I6639" s="368">
        <f t="shared" si="315"/>
        <v>0</v>
      </c>
      <c r="J6639" s="365">
        <f t="shared" si="316"/>
        <v>0</v>
      </c>
      <c r="K6639" s="369">
        <f t="shared" si="317"/>
        <v>6</v>
      </c>
      <c r="L6639" s="369">
        <f>+IF((C6639&gt;='Resultats - informe'!$E$16)*(C6639&lt;='Resultats - informe'!$G$16),1,0)</f>
        <v>1</v>
      </c>
      <c r="M6639" s="369" cm="1">
        <f t="array" ref="M6639">+_xlfn.IFS((C6639&gt;='Resultats - informe'!$D$26)*(C6639&lt;='Resultats - informe'!$E$26),0,(C6639&gt;='Resultats - informe'!$D$27)*(C6639&lt;='Resultats - informe'!$E$27),0,(C6639&gt;='Resultats - informe'!$D$28)*(C6639&lt;='Resultats - informe'!$E$28),0,(C6639&gt;='Resultats - informe'!$D$29)*(C6639&lt;='Resultats - informe'!$E$29),0,1,1)</f>
        <v>0</v>
      </c>
      <c r="N6639" s="366">
        <f>+VLOOKUP(D6639,'Resultats - informe'!$Y$18:$AG$42,'Introducció dades consum'!K6639+1,0)</f>
        <v>0</v>
      </c>
      <c r="O6639" s="370" cm="1">
        <f t="array" ref="O6639">+_xlfn.SWITCH(MONTH(C6639),1,1,2,1,3,1,4,2,5,2,6,3,7,3,8,3,9,3,10,2,11,2,12,1,2)</f>
        <v>1</v>
      </c>
      <c r="P6639" s="43"/>
    </row>
    <row r="6640" spans="1:16" ht="18" x14ac:dyDescent="0.35">
      <c r="A6640" s="9"/>
      <c r="C6640" s="393"/>
      <c r="E6640" s="394"/>
      <c r="F6640" s="394"/>
      <c r="G6640" s="394"/>
      <c r="I6640" s="368">
        <f t="shared" si="315"/>
        <v>0</v>
      </c>
      <c r="J6640" s="365">
        <f t="shared" si="316"/>
        <v>0</v>
      </c>
      <c r="K6640" s="369">
        <f t="shared" si="317"/>
        <v>6</v>
      </c>
      <c r="L6640" s="369">
        <f>+IF((C6640&gt;='Resultats - informe'!$E$16)*(C6640&lt;='Resultats - informe'!$G$16),1,0)</f>
        <v>1</v>
      </c>
      <c r="M6640" s="369" cm="1">
        <f t="array" ref="M6640">+_xlfn.IFS((C6640&gt;='Resultats - informe'!$D$26)*(C6640&lt;='Resultats - informe'!$E$26),0,(C6640&gt;='Resultats - informe'!$D$27)*(C6640&lt;='Resultats - informe'!$E$27),0,(C6640&gt;='Resultats - informe'!$D$28)*(C6640&lt;='Resultats - informe'!$E$28),0,(C6640&gt;='Resultats - informe'!$D$29)*(C6640&lt;='Resultats - informe'!$E$29),0,1,1)</f>
        <v>0</v>
      </c>
      <c r="N6640" s="366">
        <f>+VLOOKUP(D6640,'Resultats - informe'!$Y$18:$AG$42,'Introducció dades consum'!K6640+1,0)</f>
        <v>0</v>
      </c>
      <c r="O6640" s="370" cm="1">
        <f t="array" ref="O6640">+_xlfn.SWITCH(MONTH(C6640),1,1,2,1,3,1,4,2,5,2,6,3,7,3,8,3,9,3,10,2,11,2,12,1,2)</f>
        <v>1</v>
      </c>
      <c r="P6640" s="43"/>
    </row>
    <row r="6641" spans="1:16" ht="18" x14ac:dyDescent="0.35">
      <c r="A6641" s="9"/>
      <c r="C6641" s="393"/>
      <c r="E6641" s="394"/>
      <c r="F6641" s="394"/>
      <c r="G6641" s="394"/>
      <c r="I6641" s="368">
        <f t="shared" si="315"/>
        <v>0</v>
      </c>
      <c r="J6641" s="365">
        <f t="shared" si="316"/>
        <v>0</v>
      </c>
      <c r="K6641" s="369">
        <f t="shared" si="317"/>
        <v>6</v>
      </c>
      <c r="L6641" s="369">
        <f>+IF((C6641&gt;='Resultats - informe'!$E$16)*(C6641&lt;='Resultats - informe'!$G$16),1,0)</f>
        <v>1</v>
      </c>
      <c r="M6641" s="369" cm="1">
        <f t="array" ref="M6641">+_xlfn.IFS((C6641&gt;='Resultats - informe'!$D$26)*(C6641&lt;='Resultats - informe'!$E$26),0,(C6641&gt;='Resultats - informe'!$D$27)*(C6641&lt;='Resultats - informe'!$E$27),0,(C6641&gt;='Resultats - informe'!$D$28)*(C6641&lt;='Resultats - informe'!$E$28),0,(C6641&gt;='Resultats - informe'!$D$29)*(C6641&lt;='Resultats - informe'!$E$29),0,1,1)</f>
        <v>0</v>
      </c>
      <c r="N6641" s="366">
        <f>+VLOOKUP(D6641,'Resultats - informe'!$Y$18:$AG$42,'Introducció dades consum'!K6641+1,0)</f>
        <v>0</v>
      </c>
      <c r="O6641" s="370" cm="1">
        <f t="array" ref="O6641">+_xlfn.SWITCH(MONTH(C6641),1,1,2,1,3,1,4,2,5,2,6,3,7,3,8,3,9,3,10,2,11,2,12,1,2)</f>
        <v>1</v>
      </c>
      <c r="P6641" s="43"/>
    </row>
    <row r="6642" spans="1:16" ht="18" x14ac:dyDescent="0.35">
      <c r="A6642" s="9"/>
      <c r="C6642" s="393"/>
      <c r="E6642" s="394"/>
      <c r="F6642" s="394"/>
      <c r="G6642" s="394"/>
      <c r="I6642" s="368">
        <f t="shared" si="315"/>
        <v>0</v>
      </c>
      <c r="J6642" s="365">
        <f t="shared" si="316"/>
        <v>0</v>
      </c>
      <c r="K6642" s="369">
        <f t="shared" si="317"/>
        <v>6</v>
      </c>
      <c r="L6642" s="369">
        <f>+IF((C6642&gt;='Resultats - informe'!$E$16)*(C6642&lt;='Resultats - informe'!$G$16),1,0)</f>
        <v>1</v>
      </c>
      <c r="M6642" s="369" cm="1">
        <f t="array" ref="M6642">+_xlfn.IFS((C6642&gt;='Resultats - informe'!$D$26)*(C6642&lt;='Resultats - informe'!$E$26),0,(C6642&gt;='Resultats - informe'!$D$27)*(C6642&lt;='Resultats - informe'!$E$27),0,(C6642&gt;='Resultats - informe'!$D$28)*(C6642&lt;='Resultats - informe'!$E$28),0,(C6642&gt;='Resultats - informe'!$D$29)*(C6642&lt;='Resultats - informe'!$E$29),0,1,1)</f>
        <v>0</v>
      </c>
      <c r="N6642" s="366">
        <f>+VLOOKUP(D6642,'Resultats - informe'!$Y$18:$AG$42,'Introducció dades consum'!K6642+1,0)</f>
        <v>0</v>
      </c>
      <c r="O6642" s="370" cm="1">
        <f t="array" ref="O6642">+_xlfn.SWITCH(MONTH(C6642),1,1,2,1,3,1,4,2,5,2,6,3,7,3,8,3,9,3,10,2,11,2,12,1,2)</f>
        <v>1</v>
      </c>
      <c r="P6642" s="43"/>
    </row>
    <row r="6643" spans="1:16" ht="18" x14ac:dyDescent="0.35">
      <c r="A6643" s="9"/>
      <c r="C6643" s="393"/>
      <c r="E6643" s="394"/>
      <c r="F6643" s="394"/>
      <c r="G6643" s="394"/>
      <c r="I6643" s="368">
        <f t="shared" si="315"/>
        <v>0</v>
      </c>
      <c r="J6643" s="365">
        <f t="shared" si="316"/>
        <v>0</v>
      </c>
      <c r="K6643" s="369">
        <f t="shared" si="317"/>
        <v>6</v>
      </c>
      <c r="L6643" s="369">
        <f>+IF((C6643&gt;='Resultats - informe'!$E$16)*(C6643&lt;='Resultats - informe'!$G$16),1,0)</f>
        <v>1</v>
      </c>
      <c r="M6643" s="369" cm="1">
        <f t="array" ref="M6643">+_xlfn.IFS((C6643&gt;='Resultats - informe'!$D$26)*(C6643&lt;='Resultats - informe'!$E$26),0,(C6643&gt;='Resultats - informe'!$D$27)*(C6643&lt;='Resultats - informe'!$E$27),0,(C6643&gt;='Resultats - informe'!$D$28)*(C6643&lt;='Resultats - informe'!$E$28),0,(C6643&gt;='Resultats - informe'!$D$29)*(C6643&lt;='Resultats - informe'!$E$29),0,1,1)</f>
        <v>0</v>
      </c>
      <c r="N6643" s="366">
        <f>+VLOOKUP(D6643,'Resultats - informe'!$Y$18:$AG$42,'Introducció dades consum'!K6643+1,0)</f>
        <v>0</v>
      </c>
      <c r="O6643" s="370" cm="1">
        <f t="array" ref="O6643">+_xlfn.SWITCH(MONTH(C6643),1,1,2,1,3,1,4,2,5,2,6,3,7,3,8,3,9,3,10,2,11,2,12,1,2)</f>
        <v>1</v>
      </c>
      <c r="P6643" s="43"/>
    </row>
    <row r="6644" spans="1:16" ht="18" x14ac:dyDescent="0.35">
      <c r="A6644" s="9"/>
      <c r="C6644" s="393"/>
      <c r="E6644" s="394"/>
      <c r="F6644" s="394"/>
      <c r="G6644" s="394"/>
      <c r="I6644" s="368">
        <f t="shared" si="315"/>
        <v>0</v>
      </c>
      <c r="J6644" s="365">
        <f t="shared" si="316"/>
        <v>0</v>
      </c>
      <c r="K6644" s="369">
        <f t="shared" si="317"/>
        <v>6</v>
      </c>
      <c r="L6644" s="369">
        <f>+IF((C6644&gt;='Resultats - informe'!$E$16)*(C6644&lt;='Resultats - informe'!$G$16),1,0)</f>
        <v>1</v>
      </c>
      <c r="M6644" s="369" cm="1">
        <f t="array" ref="M6644">+_xlfn.IFS((C6644&gt;='Resultats - informe'!$D$26)*(C6644&lt;='Resultats - informe'!$E$26),0,(C6644&gt;='Resultats - informe'!$D$27)*(C6644&lt;='Resultats - informe'!$E$27),0,(C6644&gt;='Resultats - informe'!$D$28)*(C6644&lt;='Resultats - informe'!$E$28),0,(C6644&gt;='Resultats - informe'!$D$29)*(C6644&lt;='Resultats - informe'!$E$29),0,1,1)</f>
        <v>0</v>
      </c>
      <c r="N6644" s="366">
        <f>+VLOOKUP(D6644,'Resultats - informe'!$Y$18:$AG$42,'Introducció dades consum'!K6644+1,0)</f>
        <v>0</v>
      </c>
      <c r="O6644" s="370" cm="1">
        <f t="array" ref="O6644">+_xlfn.SWITCH(MONTH(C6644),1,1,2,1,3,1,4,2,5,2,6,3,7,3,8,3,9,3,10,2,11,2,12,1,2)</f>
        <v>1</v>
      </c>
      <c r="P6644" s="43"/>
    </row>
    <row r="6645" spans="1:16" ht="18" x14ac:dyDescent="0.35">
      <c r="A6645" s="9"/>
      <c r="C6645" s="393"/>
      <c r="E6645" s="394"/>
      <c r="F6645" s="394"/>
      <c r="G6645" s="394"/>
      <c r="I6645" s="368">
        <f t="shared" si="315"/>
        <v>0</v>
      </c>
      <c r="J6645" s="365">
        <f t="shared" si="316"/>
        <v>0</v>
      </c>
      <c r="K6645" s="369">
        <f t="shared" si="317"/>
        <v>6</v>
      </c>
      <c r="L6645" s="369">
        <f>+IF((C6645&gt;='Resultats - informe'!$E$16)*(C6645&lt;='Resultats - informe'!$G$16),1,0)</f>
        <v>1</v>
      </c>
      <c r="M6645" s="369" cm="1">
        <f t="array" ref="M6645">+_xlfn.IFS((C6645&gt;='Resultats - informe'!$D$26)*(C6645&lt;='Resultats - informe'!$E$26),0,(C6645&gt;='Resultats - informe'!$D$27)*(C6645&lt;='Resultats - informe'!$E$27),0,(C6645&gt;='Resultats - informe'!$D$28)*(C6645&lt;='Resultats - informe'!$E$28),0,(C6645&gt;='Resultats - informe'!$D$29)*(C6645&lt;='Resultats - informe'!$E$29),0,1,1)</f>
        <v>0</v>
      </c>
      <c r="N6645" s="366">
        <f>+VLOOKUP(D6645,'Resultats - informe'!$Y$18:$AG$42,'Introducció dades consum'!K6645+1,0)</f>
        <v>0</v>
      </c>
      <c r="O6645" s="370" cm="1">
        <f t="array" ref="O6645">+_xlfn.SWITCH(MONTH(C6645),1,1,2,1,3,1,4,2,5,2,6,3,7,3,8,3,9,3,10,2,11,2,12,1,2)</f>
        <v>1</v>
      </c>
      <c r="P6645" s="43"/>
    </row>
    <row r="6646" spans="1:16" ht="18" x14ac:dyDescent="0.35">
      <c r="A6646" s="9"/>
      <c r="C6646" s="393"/>
      <c r="E6646" s="394"/>
      <c r="F6646" s="394"/>
      <c r="G6646" s="394"/>
      <c r="I6646" s="368">
        <f t="shared" si="315"/>
        <v>0</v>
      </c>
      <c r="J6646" s="365">
        <f t="shared" si="316"/>
        <v>0</v>
      </c>
      <c r="K6646" s="369">
        <f t="shared" si="317"/>
        <v>6</v>
      </c>
      <c r="L6646" s="369">
        <f>+IF((C6646&gt;='Resultats - informe'!$E$16)*(C6646&lt;='Resultats - informe'!$G$16),1,0)</f>
        <v>1</v>
      </c>
      <c r="M6646" s="369" cm="1">
        <f t="array" ref="M6646">+_xlfn.IFS((C6646&gt;='Resultats - informe'!$D$26)*(C6646&lt;='Resultats - informe'!$E$26),0,(C6646&gt;='Resultats - informe'!$D$27)*(C6646&lt;='Resultats - informe'!$E$27),0,(C6646&gt;='Resultats - informe'!$D$28)*(C6646&lt;='Resultats - informe'!$E$28),0,(C6646&gt;='Resultats - informe'!$D$29)*(C6646&lt;='Resultats - informe'!$E$29),0,1,1)</f>
        <v>0</v>
      </c>
      <c r="N6646" s="366">
        <f>+VLOOKUP(D6646,'Resultats - informe'!$Y$18:$AG$42,'Introducció dades consum'!K6646+1,0)</f>
        <v>0</v>
      </c>
      <c r="O6646" s="370" cm="1">
        <f t="array" ref="O6646">+_xlfn.SWITCH(MONTH(C6646),1,1,2,1,3,1,4,2,5,2,6,3,7,3,8,3,9,3,10,2,11,2,12,1,2)</f>
        <v>1</v>
      </c>
      <c r="P6646" s="43"/>
    </row>
    <row r="6647" spans="1:16" ht="18" x14ac:dyDescent="0.35">
      <c r="A6647" s="9"/>
      <c r="C6647" s="393"/>
      <c r="E6647" s="394"/>
      <c r="F6647" s="394"/>
      <c r="G6647" s="394"/>
      <c r="I6647" s="368">
        <f t="shared" si="315"/>
        <v>0</v>
      </c>
      <c r="J6647" s="365">
        <f t="shared" si="316"/>
        <v>0</v>
      </c>
      <c r="K6647" s="369">
        <f t="shared" si="317"/>
        <v>6</v>
      </c>
      <c r="L6647" s="369">
        <f>+IF((C6647&gt;='Resultats - informe'!$E$16)*(C6647&lt;='Resultats - informe'!$G$16),1,0)</f>
        <v>1</v>
      </c>
      <c r="M6647" s="369" cm="1">
        <f t="array" ref="M6647">+_xlfn.IFS((C6647&gt;='Resultats - informe'!$D$26)*(C6647&lt;='Resultats - informe'!$E$26),0,(C6647&gt;='Resultats - informe'!$D$27)*(C6647&lt;='Resultats - informe'!$E$27),0,(C6647&gt;='Resultats - informe'!$D$28)*(C6647&lt;='Resultats - informe'!$E$28),0,(C6647&gt;='Resultats - informe'!$D$29)*(C6647&lt;='Resultats - informe'!$E$29),0,1,1)</f>
        <v>0</v>
      </c>
      <c r="N6647" s="366">
        <f>+VLOOKUP(D6647,'Resultats - informe'!$Y$18:$AG$42,'Introducció dades consum'!K6647+1,0)</f>
        <v>0</v>
      </c>
      <c r="O6647" s="370" cm="1">
        <f t="array" ref="O6647">+_xlfn.SWITCH(MONTH(C6647),1,1,2,1,3,1,4,2,5,2,6,3,7,3,8,3,9,3,10,2,11,2,12,1,2)</f>
        <v>1</v>
      </c>
      <c r="P6647" s="43"/>
    </row>
    <row r="6648" spans="1:16" ht="18" x14ac:dyDescent="0.35">
      <c r="A6648" s="9"/>
      <c r="C6648" s="393"/>
      <c r="E6648" s="394"/>
      <c r="F6648" s="394"/>
      <c r="G6648" s="394"/>
      <c r="I6648" s="368">
        <f t="shared" si="315"/>
        <v>0</v>
      </c>
      <c r="J6648" s="365">
        <f t="shared" si="316"/>
        <v>0</v>
      </c>
      <c r="K6648" s="369">
        <f t="shared" si="317"/>
        <v>6</v>
      </c>
      <c r="L6648" s="369">
        <f>+IF((C6648&gt;='Resultats - informe'!$E$16)*(C6648&lt;='Resultats - informe'!$G$16),1,0)</f>
        <v>1</v>
      </c>
      <c r="M6648" s="369" cm="1">
        <f t="array" ref="M6648">+_xlfn.IFS((C6648&gt;='Resultats - informe'!$D$26)*(C6648&lt;='Resultats - informe'!$E$26),0,(C6648&gt;='Resultats - informe'!$D$27)*(C6648&lt;='Resultats - informe'!$E$27),0,(C6648&gt;='Resultats - informe'!$D$28)*(C6648&lt;='Resultats - informe'!$E$28),0,(C6648&gt;='Resultats - informe'!$D$29)*(C6648&lt;='Resultats - informe'!$E$29),0,1,1)</f>
        <v>0</v>
      </c>
      <c r="N6648" s="366">
        <f>+VLOOKUP(D6648,'Resultats - informe'!$Y$18:$AG$42,'Introducció dades consum'!K6648+1,0)</f>
        <v>0</v>
      </c>
      <c r="O6648" s="370" cm="1">
        <f t="array" ref="O6648">+_xlfn.SWITCH(MONTH(C6648),1,1,2,1,3,1,4,2,5,2,6,3,7,3,8,3,9,3,10,2,11,2,12,1,2)</f>
        <v>1</v>
      </c>
      <c r="P6648" s="43"/>
    </row>
    <row r="6649" spans="1:16" ht="18" x14ac:dyDescent="0.35">
      <c r="A6649" s="9"/>
      <c r="C6649" s="393"/>
      <c r="E6649" s="394"/>
      <c r="F6649" s="394"/>
      <c r="G6649" s="394"/>
      <c r="I6649" s="368">
        <f t="shared" si="315"/>
        <v>0</v>
      </c>
      <c r="J6649" s="365">
        <f t="shared" si="316"/>
        <v>0</v>
      </c>
      <c r="K6649" s="369">
        <f t="shared" si="317"/>
        <v>6</v>
      </c>
      <c r="L6649" s="369">
        <f>+IF((C6649&gt;='Resultats - informe'!$E$16)*(C6649&lt;='Resultats - informe'!$G$16),1,0)</f>
        <v>1</v>
      </c>
      <c r="M6649" s="369" cm="1">
        <f t="array" ref="M6649">+_xlfn.IFS((C6649&gt;='Resultats - informe'!$D$26)*(C6649&lt;='Resultats - informe'!$E$26),0,(C6649&gt;='Resultats - informe'!$D$27)*(C6649&lt;='Resultats - informe'!$E$27),0,(C6649&gt;='Resultats - informe'!$D$28)*(C6649&lt;='Resultats - informe'!$E$28),0,(C6649&gt;='Resultats - informe'!$D$29)*(C6649&lt;='Resultats - informe'!$E$29),0,1,1)</f>
        <v>0</v>
      </c>
      <c r="N6649" s="366">
        <f>+VLOOKUP(D6649,'Resultats - informe'!$Y$18:$AG$42,'Introducció dades consum'!K6649+1,0)</f>
        <v>0</v>
      </c>
      <c r="O6649" s="370" cm="1">
        <f t="array" ref="O6649">+_xlfn.SWITCH(MONTH(C6649),1,1,2,1,3,1,4,2,5,2,6,3,7,3,8,3,9,3,10,2,11,2,12,1,2)</f>
        <v>1</v>
      </c>
      <c r="P6649" s="43"/>
    </row>
    <row r="6650" spans="1:16" ht="18" x14ac:dyDescent="0.35">
      <c r="A6650" s="9"/>
      <c r="C6650" s="393"/>
      <c r="E6650" s="394"/>
      <c r="F6650" s="394"/>
      <c r="G6650" s="394"/>
      <c r="I6650" s="368">
        <f t="shared" si="315"/>
        <v>0</v>
      </c>
      <c r="J6650" s="365">
        <f t="shared" si="316"/>
        <v>0</v>
      </c>
      <c r="K6650" s="369">
        <f t="shared" si="317"/>
        <v>6</v>
      </c>
      <c r="L6650" s="369">
        <f>+IF((C6650&gt;='Resultats - informe'!$E$16)*(C6650&lt;='Resultats - informe'!$G$16),1,0)</f>
        <v>1</v>
      </c>
      <c r="M6650" s="369" cm="1">
        <f t="array" ref="M6650">+_xlfn.IFS((C6650&gt;='Resultats - informe'!$D$26)*(C6650&lt;='Resultats - informe'!$E$26),0,(C6650&gt;='Resultats - informe'!$D$27)*(C6650&lt;='Resultats - informe'!$E$27),0,(C6650&gt;='Resultats - informe'!$D$28)*(C6650&lt;='Resultats - informe'!$E$28),0,(C6650&gt;='Resultats - informe'!$D$29)*(C6650&lt;='Resultats - informe'!$E$29),0,1,1)</f>
        <v>0</v>
      </c>
      <c r="N6650" s="366">
        <f>+VLOOKUP(D6650,'Resultats - informe'!$Y$18:$AG$42,'Introducció dades consum'!K6650+1,0)</f>
        <v>0</v>
      </c>
      <c r="O6650" s="370" cm="1">
        <f t="array" ref="O6650">+_xlfn.SWITCH(MONTH(C6650),1,1,2,1,3,1,4,2,5,2,6,3,7,3,8,3,9,3,10,2,11,2,12,1,2)</f>
        <v>1</v>
      </c>
      <c r="P6650" s="43"/>
    </row>
    <row r="6651" spans="1:16" ht="18" x14ac:dyDescent="0.35">
      <c r="A6651" s="9"/>
      <c r="C6651" s="393"/>
      <c r="E6651" s="394"/>
      <c r="F6651" s="394"/>
      <c r="G6651" s="394"/>
      <c r="I6651" s="368">
        <f t="shared" si="315"/>
        <v>0</v>
      </c>
      <c r="J6651" s="365">
        <f t="shared" si="316"/>
        <v>0</v>
      </c>
      <c r="K6651" s="369">
        <f t="shared" si="317"/>
        <v>6</v>
      </c>
      <c r="L6651" s="369">
        <f>+IF((C6651&gt;='Resultats - informe'!$E$16)*(C6651&lt;='Resultats - informe'!$G$16),1,0)</f>
        <v>1</v>
      </c>
      <c r="M6651" s="369" cm="1">
        <f t="array" ref="M6651">+_xlfn.IFS((C6651&gt;='Resultats - informe'!$D$26)*(C6651&lt;='Resultats - informe'!$E$26),0,(C6651&gt;='Resultats - informe'!$D$27)*(C6651&lt;='Resultats - informe'!$E$27),0,(C6651&gt;='Resultats - informe'!$D$28)*(C6651&lt;='Resultats - informe'!$E$28),0,(C6651&gt;='Resultats - informe'!$D$29)*(C6651&lt;='Resultats - informe'!$E$29),0,1,1)</f>
        <v>0</v>
      </c>
      <c r="N6651" s="366">
        <f>+VLOOKUP(D6651,'Resultats - informe'!$Y$18:$AG$42,'Introducció dades consum'!K6651+1,0)</f>
        <v>0</v>
      </c>
      <c r="O6651" s="370" cm="1">
        <f t="array" ref="O6651">+_xlfn.SWITCH(MONTH(C6651),1,1,2,1,3,1,4,2,5,2,6,3,7,3,8,3,9,3,10,2,11,2,12,1,2)</f>
        <v>1</v>
      </c>
      <c r="P6651" s="43"/>
    </row>
    <row r="6652" spans="1:16" ht="18" x14ac:dyDescent="0.35">
      <c r="A6652" s="9"/>
      <c r="C6652" s="393"/>
      <c r="E6652" s="394"/>
      <c r="F6652" s="394"/>
      <c r="G6652" s="394"/>
      <c r="I6652" s="368">
        <f t="shared" si="315"/>
        <v>0</v>
      </c>
      <c r="J6652" s="365">
        <f t="shared" si="316"/>
        <v>0</v>
      </c>
      <c r="K6652" s="369">
        <f t="shared" si="317"/>
        <v>6</v>
      </c>
      <c r="L6652" s="369">
        <f>+IF((C6652&gt;='Resultats - informe'!$E$16)*(C6652&lt;='Resultats - informe'!$G$16),1,0)</f>
        <v>1</v>
      </c>
      <c r="M6652" s="369" cm="1">
        <f t="array" ref="M6652">+_xlfn.IFS((C6652&gt;='Resultats - informe'!$D$26)*(C6652&lt;='Resultats - informe'!$E$26),0,(C6652&gt;='Resultats - informe'!$D$27)*(C6652&lt;='Resultats - informe'!$E$27),0,(C6652&gt;='Resultats - informe'!$D$28)*(C6652&lt;='Resultats - informe'!$E$28),0,(C6652&gt;='Resultats - informe'!$D$29)*(C6652&lt;='Resultats - informe'!$E$29),0,1,1)</f>
        <v>0</v>
      </c>
      <c r="N6652" s="366">
        <f>+VLOOKUP(D6652,'Resultats - informe'!$Y$18:$AG$42,'Introducció dades consum'!K6652+1,0)</f>
        <v>0</v>
      </c>
      <c r="O6652" s="370" cm="1">
        <f t="array" ref="O6652">+_xlfn.SWITCH(MONTH(C6652),1,1,2,1,3,1,4,2,5,2,6,3,7,3,8,3,9,3,10,2,11,2,12,1,2)</f>
        <v>1</v>
      </c>
      <c r="P6652" s="43"/>
    </row>
    <row r="6653" spans="1:16" ht="18" x14ac:dyDescent="0.35">
      <c r="A6653" s="9"/>
      <c r="C6653" s="393"/>
      <c r="E6653" s="394"/>
      <c r="F6653" s="394"/>
      <c r="G6653" s="394"/>
      <c r="I6653" s="368">
        <f t="shared" si="315"/>
        <v>0</v>
      </c>
      <c r="J6653" s="365">
        <f t="shared" si="316"/>
        <v>0</v>
      </c>
      <c r="K6653" s="369">
        <f t="shared" si="317"/>
        <v>6</v>
      </c>
      <c r="L6653" s="369">
        <f>+IF((C6653&gt;='Resultats - informe'!$E$16)*(C6653&lt;='Resultats - informe'!$G$16),1,0)</f>
        <v>1</v>
      </c>
      <c r="M6653" s="369" cm="1">
        <f t="array" ref="M6653">+_xlfn.IFS((C6653&gt;='Resultats - informe'!$D$26)*(C6653&lt;='Resultats - informe'!$E$26),0,(C6653&gt;='Resultats - informe'!$D$27)*(C6653&lt;='Resultats - informe'!$E$27),0,(C6653&gt;='Resultats - informe'!$D$28)*(C6653&lt;='Resultats - informe'!$E$28),0,(C6653&gt;='Resultats - informe'!$D$29)*(C6653&lt;='Resultats - informe'!$E$29),0,1,1)</f>
        <v>0</v>
      </c>
      <c r="N6653" s="366">
        <f>+VLOOKUP(D6653,'Resultats - informe'!$Y$18:$AG$42,'Introducció dades consum'!K6653+1,0)</f>
        <v>0</v>
      </c>
      <c r="O6653" s="370" cm="1">
        <f t="array" ref="O6653">+_xlfn.SWITCH(MONTH(C6653),1,1,2,1,3,1,4,2,5,2,6,3,7,3,8,3,9,3,10,2,11,2,12,1,2)</f>
        <v>1</v>
      </c>
      <c r="P6653" s="43"/>
    </row>
    <row r="6654" spans="1:16" ht="18" x14ac:dyDescent="0.35">
      <c r="A6654" s="9"/>
      <c r="C6654" s="393"/>
      <c r="E6654" s="394"/>
      <c r="F6654" s="394"/>
      <c r="G6654" s="394"/>
      <c r="I6654" s="368">
        <f t="shared" si="315"/>
        <v>0</v>
      </c>
      <c r="J6654" s="365">
        <f t="shared" si="316"/>
        <v>0</v>
      </c>
      <c r="K6654" s="369">
        <f t="shared" si="317"/>
        <v>6</v>
      </c>
      <c r="L6654" s="369">
        <f>+IF((C6654&gt;='Resultats - informe'!$E$16)*(C6654&lt;='Resultats - informe'!$G$16),1,0)</f>
        <v>1</v>
      </c>
      <c r="M6654" s="369" cm="1">
        <f t="array" ref="M6654">+_xlfn.IFS((C6654&gt;='Resultats - informe'!$D$26)*(C6654&lt;='Resultats - informe'!$E$26),0,(C6654&gt;='Resultats - informe'!$D$27)*(C6654&lt;='Resultats - informe'!$E$27),0,(C6654&gt;='Resultats - informe'!$D$28)*(C6654&lt;='Resultats - informe'!$E$28),0,(C6654&gt;='Resultats - informe'!$D$29)*(C6654&lt;='Resultats - informe'!$E$29),0,1,1)</f>
        <v>0</v>
      </c>
      <c r="N6654" s="366">
        <f>+VLOOKUP(D6654,'Resultats - informe'!$Y$18:$AG$42,'Introducció dades consum'!K6654+1,0)</f>
        <v>0</v>
      </c>
      <c r="O6654" s="370" cm="1">
        <f t="array" ref="O6654">+_xlfn.SWITCH(MONTH(C6654),1,1,2,1,3,1,4,2,5,2,6,3,7,3,8,3,9,3,10,2,11,2,12,1,2)</f>
        <v>1</v>
      </c>
      <c r="P6654" s="43"/>
    </row>
    <row r="6655" spans="1:16" ht="18" x14ac:dyDescent="0.35">
      <c r="A6655" s="9"/>
      <c r="C6655" s="393"/>
      <c r="E6655" s="394"/>
      <c r="F6655" s="394"/>
      <c r="G6655" s="394"/>
      <c r="I6655" s="368">
        <f t="shared" si="315"/>
        <v>0</v>
      </c>
      <c r="J6655" s="365">
        <f t="shared" si="316"/>
        <v>0</v>
      </c>
      <c r="K6655" s="369">
        <f t="shared" si="317"/>
        <v>6</v>
      </c>
      <c r="L6655" s="369">
        <f>+IF((C6655&gt;='Resultats - informe'!$E$16)*(C6655&lt;='Resultats - informe'!$G$16),1,0)</f>
        <v>1</v>
      </c>
      <c r="M6655" s="369" cm="1">
        <f t="array" ref="M6655">+_xlfn.IFS((C6655&gt;='Resultats - informe'!$D$26)*(C6655&lt;='Resultats - informe'!$E$26),0,(C6655&gt;='Resultats - informe'!$D$27)*(C6655&lt;='Resultats - informe'!$E$27),0,(C6655&gt;='Resultats - informe'!$D$28)*(C6655&lt;='Resultats - informe'!$E$28),0,(C6655&gt;='Resultats - informe'!$D$29)*(C6655&lt;='Resultats - informe'!$E$29),0,1,1)</f>
        <v>0</v>
      </c>
      <c r="N6655" s="366">
        <f>+VLOOKUP(D6655,'Resultats - informe'!$Y$18:$AG$42,'Introducció dades consum'!K6655+1,0)</f>
        <v>0</v>
      </c>
      <c r="O6655" s="370" cm="1">
        <f t="array" ref="O6655">+_xlfn.SWITCH(MONTH(C6655),1,1,2,1,3,1,4,2,5,2,6,3,7,3,8,3,9,3,10,2,11,2,12,1,2)</f>
        <v>1</v>
      </c>
      <c r="P6655" s="43"/>
    </row>
    <row r="6656" spans="1:16" ht="18" x14ac:dyDescent="0.35">
      <c r="A6656" s="9"/>
      <c r="C6656" s="393"/>
      <c r="E6656" s="394"/>
      <c r="F6656" s="394"/>
      <c r="G6656" s="394"/>
      <c r="I6656" s="368">
        <f t="shared" si="315"/>
        <v>0</v>
      </c>
      <c r="J6656" s="365">
        <f t="shared" si="316"/>
        <v>0</v>
      </c>
      <c r="K6656" s="369">
        <f t="shared" si="317"/>
        <v>6</v>
      </c>
      <c r="L6656" s="369">
        <f>+IF((C6656&gt;='Resultats - informe'!$E$16)*(C6656&lt;='Resultats - informe'!$G$16),1,0)</f>
        <v>1</v>
      </c>
      <c r="M6656" s="369" cm="1">
        <f t="array" ref="M6656">+_xlfn.IFS((C6656&gt;='Resultats - informe'!$D$26)*(C6656&lt;='Resultats - informe'!$E$26),0,(C6656&gt;='Resultats - informe'!$D$27)*(C6656&lt;='Resultats - informe'!$E$27),0,(C6656&gt;='Resultats - informe'!$D$28)*(C6656&lt;='Resultats - informe'!$E$28),0,(C6656&gt;='Resultats - informe'!$D$29)*(C6656&lt;='Resultats - informe'!$E$29),0,1,1)</f>
        <v>0</v>
      </c>
      <c r="N6656" s="366">
        <f>+VLOOKUP(D6656,'Resultats - informe'!$Y$18:$AG$42,'Introducció dades consum'!K6656+1,0)</f>
        <v>0</v>
      </c>
      <c r="O6656" s="370" cm="1">
        <f t="array" ref="O6656">+_xlfn.SWITCH(MONTH(C6656),1,1,2,1,3,1,4,2,5,2,6,3,7,3,8,3,9,3,10,2,11,2,12,1,2)</f>
        <v>1</v>
      </c>
      <c r="P6656" s="43"/>
    </row>
    <row r="6657" spans="1:16" ht="18" x14ac:dyDescent="0.35">
      <c r="A6657" s="9"/>
      <c r="C6657" s="393"/>
      <c r="E6657" s="394"/>
      <c r="F6657" s="394"/>
      <c r="G6657" s="394"/>
      <c r="I6657" s="368">
        <f t="shared" si="315"/>
        <v>0</v>
      </c>
      <c r="J6657" s="365">
        <f t="shared" si="316"/>
        <v>0</v>
      </c>
      <c r="K6657" s="369">
        <f t="shared" si="317"/>
        <v>6</v>
      </c>
      <c r="L6657" s="369">
        <f>+IF((C6657&gt;='Resultats - informe'!$E$16)*(C6657&lt;='Resultats - informe'!$G$16),1,0)</f>
        <v>1</v>
      </c>
      <c r="M6657" s="369" cm="1">
        <f t="array" ref="M6657">+_xlfn.IFS((C6657&gt;='Resultats - informe'!$D$26)*(C6657&lt;='Resultats - informe'!$E$26),0,(C6657&gt;='Resultats - informe'!$D$27)*(C6657&lt;='Resultats - informe'!$E$27),0,(C6657&gt;='Resultats - informe'!$D$28)*(C6657&lt;='Resultats - informe'!$E$28),0,(C6657&gt;='Resultats - informe'!$D$29)*(C6657&lt;='Resultats - informe'!$E$29),0,1,1)</f>
        <v>0</v>
      </c>
      <c r="N6657" s="366">
        <f>+VLOOKUP(D6657,'Resultats - informe'!$Y$18:$AG$42,'Introducció dades consum'!K6657+1,0)</f>
        <v>0</v>
      </c>
      <c r="O6657" s="370" cm="1">
        <f t="array" ref="O6657">+_xlfn.SWITCH(MONTH(C6657),1,1,2,1,3,1,4,2,5,2,6,3,7,3,8,3,9,3,10,2,11,2,12,1,2)</f>
        <v>1</v>
      </c>
      <c r="P6657" s="43"/>
    </row>
    <row r="6658" spans="1:16" ht="18" x14ac:dyDescent="0.35">
      <c r="A6658" s="9"/>
      <c r="C6658" s="393"/>
      <c r="E6658" s="394"/>
      <c r="F6658" s="394"/>
      <c r="G6658" s="394"/>
      <c r="I6658" s="368">
        <f t="shared" si="315"/>
        <v>0</v>
      </c>
      <c r="J6658" s="365">
        <f t="shared" si="316"/>
        <v>0</v>
      </c>
      <c r="K6658" s="369">
        <f t="shared" si="317"/>
        <v>6</v>
      </c>
      <c r="L6658" s="369">
        <f>+IF((C6658&gt;='Resultats - informe'!$E$16)*(C6658&lt;='Resultats - informe'!$G$16),1,0)</f>
        <v>1</v>
      </c>
      <c r="M6658" s="369" cm="1">
        <f t="array" ref="M6658">+_xlfn.IFS((C6658&gt;='Resultats - informe'!$D$26)*(C6658&lt;='Resultats - informe'!$E$26),0,(C6658&gt;='Resultats - informe'!$D$27)*(C6658&lt;='Resultats - informe'!$E$27),0,(C6658&gt;='Resultats - informe'!$D$28)*(C6658&lt;='Resultats - informe'!$E$28),0,(C6658&gt;='Resultats - informe'!$D$29)*(C6658&lt;='Resultats - informe'!$E$29),0,1,1)</f>
        <v>0</v>
      </c>
      <c r="N6658" s="366">
        <f>+VLOOKUP(D6658,'Resultats - informe'!$Y$18:$AG$42,'Introducció dades consum'!K6658+1,0)</f>
        <v>0</v>
      </c>
      <c r="O6658" s="370" cm="1">
        <f t="array" ref="O6658">+_xlfn.SWITCH(MONTH(C6658),1,1,2,1,3,1,4,2,5,2,6,3,7,3,8,3,9,3,10,2,11,2,12,1,2)</f>
        <v>1</v>
      </c>
      <c r="P6658" s="43"/>
    </row>
    <row r="6659" spans="1:16" ht="18" x14ac:dyDescent="0.35">
      <c r="A6659" s="9"/>
      <c r="C6659" s="393"/>
      <c r="E6659" s="394"/>
      <c r="F6659" s="394"/>
      <c r="G6659" s="394"/>
      <c r="I6659" s="368">
        <f t="shared" si="315"/>
        <v>0</v>
      </c>
      <c r="J6659" s="365">
        <f t="shared" si="316"/>
        <v>0</v>
      </c>
      <c r="K6659" s="369">
        <f t="shared" si="317"/>
        <v>6</v>
      </c>
      <c r="L6659" s="369">
        <f>+IF((C6659&gt;='Resultats - informe'!$E$16)*(C6659&lt;='Resultats - informe'!$G$16),1,0)</f>
        <v>1</v>
      </c>
      <c r="M6659" s="369" cm="1">
        <f t="array" ref="M6659">+_xlfn.IFS((C6659&gt;='Resultats - informe'!$D$26)*(C6659&lt;='Resultats - informe'!$E$26),0,(C6659&gt;='Resultats - informe'!$D$27)*(C6659&lt;='Resultats - informe'!$E$27),0,(C6659&gt;='Resultats - informe'!$D$28)*(C6659&lt;='Resultats - informe'!$E$28),0,(C6659&gt;='Resultats - informe'!$D$29)*(C6659&lt;='Resultats - informe'!$E$29),0,1,1)</f>
        <v>0</v>
      </c>
      <c r="N6659" s="366">
        <f>+VLOOKUP(D6659,'Resultats - informe'!$Y$18:$AG$42,'Introducció dades consum'!K6659+1,0)</f>
        <v>0</v>
      </c>
      <c r="O6659" s="370" cm="1">
        <f t="array" ref="O6659">+_xlfn.SWITCH(MONTH(C6659),1,1,2,1,3,1,4,2,5,2,6,3,7,3,8,3,9,3,10,2,11,2,12,1,2)</f>
        <v>1</v>
      </c>
      <c r="P6659" s="43"/>
    </row>
    <row r="6660" spans="1:16" ht="18" x14ac:dyDescent="0.35">
      <c r="A6660" s="9"/>
      <c r="C6660" s="393"/>
      <c r="E6660" s="394"/>
      <c r="F6660" s="394"/>
      <c r="G6660" s="394"/>
      <c r="I6660" s="368">
        <f t="shared" si="315"/>
        <v>0</v>
      </c>
      <c r="J6660" s="365">
        <f t="shared" si="316"/>
        <v>0</v>
      </c>
      <c r="K6660" s="369">
        <f t="shared" si="317"/>
        <v>6</v>
      </c>
      <c r="L6660" s="369">
        <f>+IF((C6660&gt;='Resultats - informe'!$E$16)*(C6660&lt;='Resultats - informe'!$G$16),1,0)</f>
        <v>1</v>
      </c>
      <c r="M6660" s="369" cm="1">
        <f t="array" ref="M6660">+_xlfn.IFS((C6660&gt;='Resultats - informe'!$D$26)*(C6660&lt;='Resultats - informe'!$E$26),0,(C6660&gt;='Resultats - informe'!$D$27)*(C6660&lt;='Resultats - informe'!$E$27),0,(C6660&gt;='Resultats - informe'!$D$28)*(C6660&lt;='Resultats - informe'!$E$28),0,(C6660&gt;='Resultats - informe'!$D$29)*(C6660&lt;='Resultats - informe'!$E$29),0,1,1)</f>
        <v>0</v>
      </c>
      <c r="N6660" s="366">
        <f>+VLOOKUP(D6660,'Resultats - informe'!$Y$18:$AG$42,'Introducció dades consum'!K6660+1,0)</f>
        <v>0</v>
      </c>
      <c r="O6660" s="370" cm="1">
        <f t="array" ref="O6660">+_xlfn.SWITCH(MONTH(C6660),1,1,2,1,3,1,4,2,5,2,6,3,7,3,8,3,9,3,10,2,11,2,12,1,2)</f>
        <v>1</v>
      </c>
      <c r="P6660" s="43"/>
    </row>
    <row r="6661" spans="1:16" ht="18" x14ac:dyDescent="0.35">
      <c r="A6661" s="9"/>
      <c r="C6661" s="393"/>
      <c r="E6661" s="394"/>
      <c r="F6661" s="394"/>
      <c r="G6661" s="394"/>
      <c r="I6661" s="368">
        <f t="shared" si="315"/>
        <v>0</v>
      </c>
      <c r="J6661" s="365">
        <f t="shared" si="316"/>
        <v>0</v>
      </c>
      <c r="K6661" s="369">
        <f t="shared" si="317"/>
        <v>6</v>
      </c>
      <c r="L6661" s="369">
        <f>+IF((C6661&gt;='Resultats - informe'!$E$16)*(C6661&lt;='Resultats - informe'!$G$16),1,0)</f>
        <v>1</v>
      </c>
      <c r="M6661" s="369" cm="1">
        <f t="array" ref="M6661">+_xlfn.IFS((C6661&gt;='Resultats - informe'!$D$26)*(C6661&lt;='Resultats - informe'!$E$26),0,(C6661&gt;='Resultats - informe'!$D$27)*(C6661&lt;='Resultats - informe'!$E$27),0,(C6661&gt;='Resultats - informe'!$D$28)*(C6661&lt;='Resultats - informe'!$E$28),0,(C6661&gt;='Resultats - informe'!$D$29)*(C6661&lt;='Resultats - informe'!$E$29),0,1,1)</f>
        <v>0</v>
      </c>
      <c r="N6661" s="366">
        <f>+VLOOKUP(D6661,'Resultats - informe'!$Y$18:$AG$42,'Introducció dades consum'!K6661+1,0)</f>
        <v>0</v>
      </c>
      <c r="O6661" s="370" cm="1">
        <f t="array" ref="O6661">+_xlfn.SWITCH(MONTH(C6661),1,1,2,1,3,1,4,2,5,2,6,3,7,3,8,3,9,3,10,2,11,2,12,1,2)</f>
        <v>1</v>
      </c>
      <c r="P6661" s="43"/>
    </row>
    <row r="6662" spans="1:16" ht="18" x14ac:dyDescent="0.35">
      <c r="A6662" s="9"/>
      <c r="C6662" s="393"/>
      <c r="E6662" s="394"/>
      <c r="F6662" s="394"/>
      <c r="G6662" s="394"/>
      <c r="I6662" s="368">
        <f t="shared" si="315"/>
        <v>0</v>
      </c>
      <c r="J6662" s="365">
        <f t="shared" si="316"/>
        <v>0</v>
      </c>
      <c r="K6662" s="369">
        <f t="shared" si="317"/>
        <v>6</v>
      </c>
      <c r="L6662" s="369">
        <f>+IF((C6662&gt;='Resultats - informe'!$E$16)*(C6662&lt;='Resultats - informe'!$G$16),1,0)</f>
        <v>1</v>
      </c>
      <c r="M6662" s="369" cm="1">
        <f t="array" ref="M6662">+_xlfn.IFS((C6662&gt;='Resultats - informe'!$D$26)*(C6662&lt;='Resultats - informe'!$E$26),0,(C6662&gt;='Resultats - informe'!$D$27)*(C6662&lt;='Resultats - informe'!$E$27),0,(C6662&gt;='Resultats - informe'!$D$28)*(C6662&lt;='Resultats - informe'!$E$28),0,(C6662&gt;='Resultats - informe'!$D$29)*(C6662&lt;='Resultats - informe'!$E$29),0,1,1)</f>
        <v>0</v>
      </c>
      <c r="N6662" s="366">
        <f>+VLOOKUP(D6662,'Resultats - informe'!$Y$18:$AG$42,'Introducció dades consum'!K6662+1,0)</f>
        <v>0</v>
      </c>
      <c r="O6662" s="370" cm="1">
        <f t="array" ref="O6662">+_xlfn.SWITCH(MONTH(C6662),1,1,2,1,3,1,4,2,5,2,6,3,7,3,8,3,9,3,10,2,11,2,12,1,2)</f>
        <v>1</v>
      </c>
      <c r="P6662" s="43"/>
    </row>
    <row r="6663" spans="1:16" ht="18" x14ac:dyDescent="0.35">
      <c r="A6663" s="9"/>
      <c r="C6663" s="393"/>
      <c r="E6663" s="394"/>
      <c r="F6663" s="394"/>
      <c r="G6663" s="394"/>
      <c r="I6663" s="368">
        <f t="shared" si="315"/>
        <v>0</v>
      </c>
      <c r="J6663" s="365">
        <f t="shared" si="316"/>
        <v>0</v>
      </c>
      <c r="K6663" s="369">
        <f t="shared" si="317"/>
        <v>6</v>
      </c>
      <c r="L6663" s="369">
        <f>+IF((C6663&gt;='Resultats - informe'!$E$16)*(C6663&lt;='Resultats - informe'!$G$16),1,0)</f>
        <v>1</v>
      </c>
      <c r="M6663" s="369" cm="1">
        <f t="array" ref="M6663">+_xlfn.IFS((C6663&gt;='Resultats - informe'!$D$26)*(C6663&lt;='Resultats - informe'!$E$26),0,(C6663&gt;='Resultats - informe'!$D$27)*(C6663&lt;='Resultats - informe'!$E$27),0,(C6663&gt;='Resultats - informe'!$D$28)*(C6663&lt;='Resultats - informe'!$E$28),0,(C6663&gt;='Resultats - informe'!$D$29)*(C6663&lt;='Resultats - informe'!$E$29),0,1,1)</f>
        <v>0</v>
      </c>
      <c r="N6663" s="366">
        <f>+VLOOKUP(D6663,'Resultats - informe'!$Y$18:$AG$42,'Introducció dades consum'!K6663+1,0)</f>
        <v>0</v>
      </c>
      <c r="O6663" s="370" cm="1">
        <f t="array" ref="O6663">+_xlfn.SWITCH(MONTH(C6663),1,1,2,1,3,1,4,2,5,2,6,3,7,3,8,3,9,3,10,2,11,2,12,1,2)</f>
        <v>1</v>
      </c>
      <c r="P6663" s="43"/>
    </row>
    <row r="6664" spans="1:16" ht="18" x14ac:dyDescent="0.35">
      <c r="A6664" s="9"/>
      <c r="C6664" s="393"/>
      <c r="E6664" s="394"/>
      <c r="F6664" s="394"/>
      <c r="G6664" s="394"/>
      <c r="I6664" s="368">
        <f t="shared" si="315"/>
        <v>0</v>
      </c>
      <c r="J6664" s="365">
        <f t="shared" si="316"/>
        <v>0</v>
      </c>
      <c r="K6664" s="369">
        <f t="shared" si="317"/>
        <v>6</v>
      </c>
      <c r="L6664" s="369">
        <f>+IF((C6664&gt;='Resultats - informe'!$E$16)*(C6664&lt;='Resultats - informe'!$G$16),1,0)</f>
        <v>1</v>
      </c>
      <c r="M6664" s="369" cm="1">
        <f t="array" ref="M6664">+_xlfn.IFS((C6664&gt;='Resultats - informe'!$D$26)*(C6664&lt;='Resultats - informe'!$E$26),0,(C6664&gt;='Resultats - informe'!$D$27)*(C6664&lt;='Resultats - informe'!$E$27),0,(C6664&gt;='Resultats - informe'!$D$28)*(C6664&lt;='Resultats - informe'!$E$28),0,(C6664&gt;='Resultats - informe'!$D$29)*(C6664&lt;='Resultats - informe'!$E$29),0,1,1)</f>
        <v>0</v>
      </c>
      <c r="N6664" s="366">
        <f>+VLOOKUP(D6664,'Resultats - informe'!$Y$18:$AG$42,'Introducció dades consum'!K6664+1,0)</f>
        <v>0</v>
      </c>
      <c r="O6664" s="370" cm="1">
        <f t="array" ref="O6664">+_xlfn.SWITCH(MONTH(C6664),1,1,2,1,3,1,4,2,5,2,6,3,7,3,8,3,9,3,10,2,11,2,12,1,2)</f>
        <v>1</v>
      </c>
      <c r="P6664" s="43"/>
    </row>
    <row r="6665" spans="1:16" ht="18" x14ac:dyDescent="0.35">
      <c r="A6665" s="9"/>
      <c r="C6665" s="393"/>
      <c r="E6665" s="394"/>
      <c r="F6665" s="394"/>
      <c r="G6665" s="394"/>
      <c r="I6665" s="368">
        <f t="shared" si="315"/>
        <v>0</v>
      </c>
      <c r="J6665" s="365">
        <f t="shared" si="316"/>
        <v>0</v>
      </c>
      <c r="K6665" s="369">
        <f t="shared" si="317"/>
        <v>6</v>
      </c>
      <c r="L6665" s="369">
        <f>+IF((C6665&gt;='Resultats - informe'!$E$16)*(C6665&lt;='Resultats - informe'!$G$16),1,0)</f>
        <v>1</v>
      </c>
      <c r="M6665" s="369" cm="1">
        <f t="array" ref="M6665">+_xlfn.IFS((C6665&gt;='Resultats - informe'!$D$26)*(C6665&lt;='Resultats - informe'!$E$26),0,(C6665&gt;='Resultats - informe'!$D$27)*(C6665&lt;='Resultats - informe'!$E$27),0,(C6665&gt;='Resultats - informe'!$D$28)*(C6665&lt;='Resultats - informe'!$E$28),0,(C6665&gt;='Resultats - informe'!$D$29)*(C6665&lt;='Resultats - informe'!$E$29),0,1,1)</f>
        <v>0</v>
      </c>
      <c r="N6665" s="366">
        <f>+VLOOKUP(D6665,'Resultats - informe'!$Y$18:$AG$42,'Introducció dades consum'!K6665+1,0)</f>
        <v>0</v>
      </c>
      <c r="O6665" s="370" cm="1">
        <f t="array" ref="O6665">+_xlfn.SWITCH(MONTH(C6665),1,1,2,1,3,1,4,2,5,2,6,3,7,3,8,3,9,3,10,2,11,2,12,1,2)</f>
        <v>1</v>
      </c>
      <c r="P6665" s="43"/>
    </row>
    <row r="6666" spans="1:16" ht="18" x14ac:dyDescent="0.35">
      <c r="A6666" s="9"/>
      <c r="C6666" s="393"/>
      <c r="E6666" s="394"/>
      <c r="F6666" s="394"/>
      <c r="G6666" s="394"/>
      <c r="I6666" s="368">
        <f t="shared" si="315"/>
        <v>0</v>
      </c>
      <c r="J6666" s="365">
        <f t="shared" si="316"/>
        <v>0</v>
      </c>
      <c r="K6666" s="369">
        <f t="shared" si="317"/>
        <v>6</v>
      </c>
      <c r="L6666" s="369">
        <f>+IF((C6666&gt;='Resultats - informe'!$E$16)*(C6666&lt;='Resultats - informe'!$G$16),1,0)</f>
        <v>1</v>
      </c>
      <c r="M6666" s="369" cm="1">
        <f t="array" ref="M6666">+_xlfn.IFS((C6666&gt;='Resultats - informe'!$D$26)*(C6666&lt;='Resultats - informe'!$E$26),0,(C6666&gt;='Resultats - informe'!$D$27)*(C6666&lt;='Resultats - informe'!$E$27),0,(C6666&gt;='Resultats - informe'!$D$28)*(C6666&lt;='Resultats - informe'!$E$28),0,(C6666&gt;='Resultats - informe'!$D$29)*(C6666&lt;='Resultats - informe'!$E$29),0,1,1)</f>
        <v>0</v>
      </c>
      <c r="N6666" s="366">
        <f>+VLOOKUP(D6666,'Resultats - informe'!$Y$18:$AG$42,'Introducció dades consum'!K6666+1,0)</f>
        <v>0</v>
      </c>
      <c r="O6666" s="370" cm="1">
        <f t="array" ref="O6666">+_xlfn.SWITCH(MONTH(C6666),1,1,2,1,3,1,4,2,5,2,6,3,7,3,8,3,9,3,10,2,11,2,12,1,2)</f>
        <v>1</v>
      </c>
      <c r="P6666" s="43"/>
    </row>
    <row r="6667" spans="1:16" ht="18" x14ac:dyDescent="0.35">
      <c r="A6667" s="9"/>
      <c r="C6667" s="393"/>
      <c r="E6667" s="394"/>
      <c r="F6667" s="394"/>
      <c r="G6667" s="394"/>
      <c r="I6667" s="368">
        <f t="shared" si="315"/>
        <v>0</v>
      </c>
      <c r="J6667" s="365">
        <f t="shared" si="316"/>
        <v>0</v>
      </c>
      <c r="K6667" s="369">
        <f t="shared" si="317"/>
        <v>6</v>
      </c>
      <c r="L6667" s="369">
        <f>+IF((C6667&gt;='Resultats - informe'!$E$16)*(C6667&lt;='Resultats - informe'!$G$16),1,0)</f>
        <v>1</v>
      </c>
      <c r="M6667" s="369" cm="1">
        <f t="array" ref="M6667">+_xlfn.IFS((C6667&gt;='Resultats - informe'!$D$26)*(C6667&lt;='Resultats - informe'!$E$26),0,(C6667&gt;='Resultats - informe'!$D$27)*(C6667&lt;='Resultats - informe'!$E$27),0,(C6667&gt;='Resultats - informe'!$D$28)*(C6667&lt;='Resultats - informe'!$E$28),0,(C6667&gt;='Resultats - informe'!$D$29)*(C6667&lt;='Resultats - informe'!$E$29),0,1,1)</f>
        <v>0</v>
      </c>
      <c r="N6667" s="366">
        <f>+VLOOKUP(D6667,'Resultats - informe'!$Y$18:$AG$42,'Introducció dades consum'!K6667+1,0)</f>
        <v>0</v>
      </c>
      <c r="O6667" s="370" cm="1">
        <f t="array" ref="O6667">+_xlfn.SWITCH(MONTH(C6667),1,1,2,1,3,1,4,2,5,2,6,3,7,3,8,3,9,3,10,2,11,2,12,1,2)</f>
        <v>1</v>
      </c>
      <c r="P6667" s="43"/>
    </row>
    <row r="6668" spans="1:16" ht="18" x14ac:dyDescent="0.35">
      <c r="A6668" s="9"/>
      <c r="C6668" s="393"/>
      <c r="E6668" s="394"/>
      <c r="F6668" s="394"/>
      <c r="G6668" s="394"/>
      <c r="I6668" s="368">
        <f t="shared" si="315"/>
        <v>0</v>
      </c>
      <c r="J6668" s="365">
        <f t="shared" si="316"/>
        <v>0</v>
      </c>
      <c r="K6668" s="369">
        <f t="shared" si="317"/>
        <v>6</v>
      </c>
      <c r="L6668" s="369">
        <f>+IF((C6668&gt;='Resultats - informe'!$E$16)*(C6668&lt;='Resultats - informe'!$G$16),1,0)</f>
        <v>1</v>
      </c>
      <c r="M6668" s="369" cm="1">
        <f t="array" ref="M6668">+_xlfn.IFS((C6668&gt;='Resultats - informe'!$D$26)*(C6668&lt;='Resultats - informe'!$E$26),0,(C6668&gt;='Resultats - informe'!$D$27)*(C6668&lt;='Resultats - informe'!$E$27),0,(C6668&gt;='Resultats - informe'!$D$28)*(C6668&lt;='Resultats - informe'!$E$28),0,(C6668&gt;='Resultats - informe'!$D$29)*(C6668&lt;='Resultats - informe'!$E$29),0,1,1)</f>
        <v>0</v>
      </c>
      <c r="N6668" s="366">
        <f>+VLOOKUP(D6668,'Resultats - informe'!$Y$18:$AG$42,'Introducció dades consum'!K6668+1,0)</f>
        <v>0</v>
      </c>
      <c r="O6668" s="370" cm="1">
        <f t="array" ref="O6668">+_xlfn.SWITCH(MONTH(C6668),1,1,2,1,3,1,4,2,5,2,6,3,7,3,8,3,9,3,10,2,11,2,12,1,2)</f>
        <v>1</v>
      </c>
      <c r="P6668" s="43"/>
    </row>
    <row r="6669" spans="1:16" ht="18" x14ac:dyDescent="0.35">
      <c r="A6669" s="9"/>
      <c r="C6669" s="393"/>
      <c r="E6669" s="394"/>
      <c r="F6669" s="394"/>
      <c r="G6669" s="394"/>
      <c r="I6669" s="368">
        <f t="shared" si="315"/>
        <v>0</v>
      </c>
      <c r="J6669" s="365">
        <f t="shared" si="316"/>
        <v>0</v>
      </c>
      <c r="K6669" s="369">
        <f t="shared" si="317"/>
        <v>6</v>
      </c>
      <c r="L6669" s="369">
        <f>+IF((C6669&gt;='Resultats - informe'!$E$16)*(C6669&lt;='Resultats - informe'!$G$16),1,0)</f>
        <v>1</v>
      </c>
      <c r="M6669" s="369" cm="1">
        <f t="array" ref="M6669">+_xlfn.IFS((C6669&gt;='Resultats - informe'!$D$26)*(C6669&lt;='Resultats - informe'!$E$26),0,(C6669&gt;='Resultats - informe'!$D$27)*(C6669&lt;='Resultats - informe'!$E$27),0,(C6669&gt;='Resultats - informe'!$D$28)*(C6669&lt;='Resultats - informe'!$E$28),0,(C6669&gt;='Resultats - informe'!$D$29)*(C6669&lt;='Resultats - informe'!$E$29),0,1,1)</f>
        <v>0</v>
      </c>
      <c r="N6669" s="366">
        <f>+VLOOKUP(D6669,'Resultats - informe'!$Y$18:$AG$42,'Introducció dades consum'!K6669+1,0)</f>
        <v>0</v>
      </c>
      <c r="O6669" s="370" cm="1">
        <f t="array" ref="O6669">+_xlfn.SWITCH(MONTH(C6669),1,1,2,1,3,1,4,2,5,2,6,3,7,3,8,3,9,3,10,2,11,2,12,1,2)</f>
        <v>1</v>
      </c>
      <c r="P6669" s="43"/>
    </row>
    <row r="6670" spans="1:16" ht="18" x14ac:dyDescent="0.35">
      <c r="A6670" s="9"/>
      <c r="C6670" s="393"/>
      <c r="E6670" s="394"/>
      <c r="F6670" s="394"/>
      <c r="G6670" s="394"/>
      <c r="I6670" s="368">
        <f t="shared" si="315"/>
        <v>0</v>
      </c>
      <c r="J6670" s="365">
        <f t="shared" si="316"/>
        <v>0</v>
      </c>
      <c r="K6670" s="369">
        <f t="shared" si="317"/>
        <v>6</v>
      </c>
      <c r="L6670" s="369">
        <f>+IF((C6670&gt;='Resultats - informe'!$E$16)*(C6670&lt;='Resultats - informe'!$G$16),1,0)</f>
        <v>1</v>
      </c>
      <c r="M6670" s="369" cm="1">
        <f t="array" ref="M6670">+_xlfn.IFS((C6670&gt;='Resultats - informe'!$D$26)*(C6670&lt;='Resultats - informe'!$E$26),0,(C6670&gt;='Resultats - informe'!$D$27)*(C6670&lt;='Resultats - informe'!$E$27),0,(C6670&gt;='Resultats - informe'!$D$28)*(C6670&lt;='Resultats - informe'!$E$28),0,(C6670&gt;='Resultats - informe'!$D$29)*(C6670&lt;='Resultats - informe'!$E$29),0,1,1)</f>
        <v>0</v>
      </c>
      <c r="N6670" s="366">
        <f>+VLOOKUP(D6670,'Resultats - informe'!$Y$18:$AG$42,'Introducció dades consum'!K6670+1,0)</f>
        <v>0</v>
      </c>
      <c r="O6670" s="370" cm="1">
        <f t="array" ref="O6670">+_xlfn.SWITCH(MONTH(C6670),1,1,2,1,3,1,4,2,5,2,6,3,7,3,8,3,9,3,10,2,11,2,12,1,2)</f>
        <v>1</v>
      </c>
      <c r="P6670" s="43"/>
    </row>
    <row r="6671" spans="1:16" ht="18" x14ac:dyDescent="0.35">
      <c r="A6671" s="9"/>
      <c r="C6671" s="393"/>
      <c r="E6671" s="394"/>
      <c r="F6671" s="394"/>
      <c r="G6671" s="394"/>
      <c r="I6671" s="368">
        <f t="shared" si="315"/>
        <v>0</v>
      </c>
      <c r="J6671" s="365">
        <f t="shared" si="316"/>
        <v>0</v>
      </c>
      <c r="K6671" s="369">
        <f t="shared" si="317"/>
        <v>6</v>
      </c>
      <c r="L6671" s="369">
        <f>+IF((C6671&gt;='Resultats - informe'!$E$16)*(C6671&lt;='Resultats - informe'!$G$16),1,0)</f>
        <v>1</v>
      </c>
      <c r="M6671" s="369" cm="1">
        <f t="array" ref="M6671">+_xlfn.IFS((C6671&gt;='Resultats - informe'!$D$26)*(C6671&lt;='Resultats - informe'!$E$26),0,(C6671&gt;='Resultats - informe'!$D$27)*(C6671&lt;='Resultats - informe'!$E$27),0,(C6671&gt;='Resultats - informe'!$D$28)*(C6671&lt;='Resultats - informe'!$E$28),0,(C6671&gt;='Resultats - informe'!$D$29)*(C6671&lt;='Resultats - informe'!$E$29),0,1,1)</f>
        <v>0</v>
      </c>
      <c r="N6671" s="366">
        <f>+VLOOKUP(D6671,'Resultats - informe'!$Y$18:$AG$42,'Introducció dades consum'!K6671+1,0)</f>
        <v>0</v>
      </c>
      <c r="O6671" s="370" cm="1">
        <f t="array" ref="O6671">+_xlfn.SWITCH(MONTH(C6671),1,1,2,1,3,1,4,2,5,2,6,3,7,3,8,3,9,3,10,2,11,2,12,1,2)</f>
        <v>1</v>
      </c>
      <c r="P6671" s="43"/>
    </row>
    <row r="6672" spans="1:16" ht="18" x14ac:dyDescent="0.35">
      <c r="A6672" s="9"/>
      <c r="C6672" s="393"/>
      <c r="E6672" s="394"/>
      <c r="F6672" s="394"/>
      <c r="G6672" s="394"/>
      <c r="I6672" s="368">
        <f t="shared" si="315"/>
        <v>0</v>
      </c>
      <c r="J6672" s="365">
        <f t="shared" si="316"/>
        <v>0</v>
      </c>
      <c r="K6672" s="369">
        <f t="shared" si="317"/>
        <v>6</v>
      </c>
      <c r="L6672" s="369">
        <f>+IF((C6672&gt;='Resultats - informe'!$E$16)*(C6672&lt;='Resultats - informe'!$G$16),1,0)</f>
        <v>1</v>
      </c>
      <c r="M6672" s="369" cm="1">
        <f t="array" ref="M6672">+_xlfn.IFS((C6672&gt;='Resultats - informe'!$D$26)*(C6672&lt;='Resultats - informe'!$E$26),0,(C6672&gt;='Resultats - informe'!$D$27)*(C6672&lt;='Resultats - informe'!$E$27),0,(C6672&gt;='Resultats - informe'!$D$28)*(C6672&lt;='Resultats - informe'!$E$28),0,(C6672&gt;='Resultats - informe'!$D$29)*(C6672&lt;='Resultats - informe'!$E$29),0,1,1)</f>
        <v>0</v>
      </c>
      <c r="N6672" s="366">
        <f>+VLOOKUP(D6672,'Resultats - informe'!$Y$18:$AG$42,'Introducció dades consum'!K6672+1,0)</f>
        <v>0</v>
      </c>
      <c r="O6672" s="370" cm="1">
        <f t="array" ref="O6672">+_xlfn.SWITCH(MONTH(C6672),1,1,2,1,3,1,4,2,5,2,6,3,7,3,8,3,9,3,10,2,11,2,12,1,2)</f>
        <v>1</v>
      </c>
      <c r="P6672" s="43"/>
    </row>
    <row r="6673" spans="1:16" ht="18" x14ac:dyDescent="0.35">
      <c r="A6673" s="9"/>
      <c r="C6673" s="393"/>
      <c r="E6673" s="394"/>
      <c r="F6673" s="394"/>
      <c r="G6673" s="394"/>
      <c r="I6673" s="368">
        <f t="shared" si="315"/>
        <v>0</v>
      </c>
      <c r="J6673" s="365">
        <f t="shared" si="316"/>
        <v>0</v>
      </c>
      <c r="K6673" s="369">
        <f t="shared" si="317"/>
        <v>6</v>
      </c>
      <c r="L6673" s="369">
        <f>+IF((C6673&gt;='Resultats - informe'!$E$16)*(C6673&lt;='Resultats - informe'!$G$16),1,0)</f>
        <v>1</v>
      </c>
      <c r="M6673" s="369" cm="1">
        <f t="array" ref="M6673">+_xlfn.IFS((C6673&gt;='Resultats - informe'!$D$26)*(C6673&lt;='Resultats - informe'!$E$26),0,(C6673&gt;='Resultats - informe'!$D$27)*(C6673&lt;='Resultats - informe'!$E$27),0,(C6673&gt;='Resultats - informe'!$D$28)*(C6673&lt;='Resultats - informe'!$E$28),0,(C6673&gt;='Resultats - informe'!$D$29)*(C6673&lt;='Resultats - informe'!$E$29),0,1,1)</f>
        <v>0</v>
      </c>
      <c r="N6673" s="366">
        <f>+VLOOKUP(D6673,'Resultats - informe'!$Y$18:$AG$42,'Introducció dades consum'!K6673+1,0)</f>
        <v>0</v>
      </c>
      <c r="O6673" s="370" cm="1">
        <f t="array" ref="O6673">+_xlfn.SWITCH(MONTH(C6673),1,1,2,1,3,1,4,2,5,2,6,3,7,3,8,3,9,3,10,2,11,2,12,1,2)</f>
        <v>1</v>
      </c>
      <c r="P6673" s="43"/>
    </row>
    <row r="6674" spans="1:16" ht="18" x14ac:dyDescent="0.35">
      <c r="A6674" s="9"/>
      <c r="C6674" s="393"/>
      <c r="E6674" s="394"/>
      <c r="F6674" s="394"/>
      <c r="G6674" s="394"/>
      <c r="I6674" s="368">
        <f t="shared" ref="I6674:I6737" si="318">+E6674+G6674</f>
        <v>0</v>
      </c>
      <c r="J6674" s="365">
        <f t="shared" ref="J6674:J6737" si="319">+C6674</f>
        <v>0</v>
      </c>
      <c r="K6674" s="369">
        <f t="shared" ref="K6674:K6737" si="320">+WEEKDAY(C6674,2)</f>
        <v>6</v>
      </c>
      <c r="L6674" s="369">
        <f>+IF((C6674&gt;='Resultats - informe'!$E$16)*(C6674&lt;='Resultats - informe'!$G$16),1,0)</f>
        <v>1</v>
      </c>
      <c r="M6674" s="369" cm="1">
        <f t="array" ref="M6674">+_xlfn.IFS((C6674&gt;='Resultats - informe'!$D$26)*(C6674&lt;='Resultats - informe'!$E$26),0,(C6674&gt;='Resultats - informe'!$D$27)*(C6674&lt;='Resultats - informe'!$E$27),0,(C6674&gt;='Resultats - informe'!$D$28)*(C6674&lt;='Resultats - informe'!$E$28),0,(C6674&gt;='Resultats - informe'!$D$29)*(C6674&lt;='Resultats - informe'!$E$29),0,1,1)</f>
        <v>0</v>
      </c>
      <c r="N6674" s="366">
        <f>+VLOOKUP(D6674,'Resultats - informe'!$Y$18:$AG$42,'Introducció dades consum'!K6674+1,0)</f>
        <v>0</v>
      </c>
      <c r="O6674" s="370" cm="1">
        <f t="array" ref="O6674">+_xlfn.SWITCH(MONTH(C6674),1,1,2,1,3,1,4,2,5,2,6,3,7,3,8,3,9,3,10,2,11,2,12,1,2)</f>
        <v>1</v>
      </c>
      <c r="P6674" s="43"/>
    </row>
    <row r="6675" spans="1:16" ht="18" x14ac:dyDescent="0.35">
      <c r="A6675" s="9"/>
      <c r="C6675" s="393"/>
      <c r="E6675" s="394"/>
      <c r="F6675" s="394"/>
      <c r="G6675" s="394"/>
      <c r="I6675" s="368">
        <f t="shared" si="318"/>
        <v>0</v>
      </c>
      <c r="J6675" s="365">
        <f t="shared" si="319"/>
        <v>0</v>
      </c>
      <c r="K6675" s="369">
        <f t="shared" si="320"/>
        <v>6</v>
      </c>
      <c r="L6675" s="369">
        <f>+IF((C6675&gt;='Resultats - informe'!$E$16)*(C6675&lt;='Resultats - informe'!$G$16),1,0)</f>
        <v>1</v>
      </c>
      <c r="M6675" s="369" cm="1">
        <f t="array" ref="M6675">+_xlfn.IFS((C6675&gt;='Resultats - informe'!$D$26)*(C6675&lt;='Resultats - informe'!$E$26),0,(C6675&gt;='Resultats - informe'!$D$27)*(C6675&lt;='Resultats - informe'!$E$27),0,(C6675&gt;='Resultats - informe'!$D$28)*(C6675&lt;='Resultats - informe'!$E$28),0,(C6675&gt;='Resultats - informe'!$D$29)*(C6675&lt;='Resultats - informe'!$E$29),0,1,1)</f>
        <v>0</v>
      </c>
      <c r="N6675" s="366">
        <f>+VLOOKUP(D6675,'Resultats - informe'!$Y$18:$AG$42,'Introducció dades consum'!K6675+1,0)</f>
        <v>0</v>
      </c>
      <c r="O6675" s="370" cm="1">
        <f t="array" ref="O6675">+_xlfn.SWITCH(MONTH(C6675),1,1,2,1,3,1,4,2,5,2,6,3,7,3,8,3,9,3,10,2,11,2,12,1,2)</f>
        <v>1</v>
      </c>
      <c r="P6675" s="43"/>
    </row>
    <row r="6676" spans="1:16" ht="18" x14ac:dyDescent="0.35">
      <c r="A6676" s="9"/>
      <c r="C6676" s="393"/>
      <c r="E6676" s="394"/>
      <c r="F6676" s="394"/>
      <c r="G6676" s="394"/>
      <c r="I6676" s="368">
        <f t="shared" si="318"/>
        <v>0</v>
      </c>
      <c r="J6676" s="365">
        <f t="shared" si="319"/>
        <v>0</v>
      </c>
      <c r="K6676" s="369">
        <f t="shared" si="320"/>
        <v>6</v>
      </c>
      <c r="L6676" s="369">
        <f>+IF((C6676&gt;='Resultats - informe'!$E$16)*(C6676&lt;='Resultats - informe'!$G$16),1,0)</f>
        <v>1</v>
      </c>
      <c r="M6676" s="369" cm="1">
        <f t="array" ref="M6676">+_xlfn.IFS((C6676&gt;='Resultats - informe'!$D$26)*(C6676&lt;='Resultats - informe'!$E$26),0,(C6676&gt;='Resultats - informe'!$D$27)*(C6676&lt;='Resultats - informe'!$E$27),0,(C6676&gt;='Resultats - informe'!$D$28)*(C6676&lt;='Resultats - informe'!$E$28),0,(C6676&gt;='Resultats - informe'!$D$29)*(C6676&lt;='Resultats - informe'!$E$29),0,1,1)</f>
        <v>0</v>
      </c>
      <c r="N6676" s="366">
        <f>+VLOOKUP(D6676,'Resultats - informe'!$Y$18:$AG$42,'Introducció dades consum'!K6676+1,0)</f>
        <v>0</v>
      </c>
      <c r="O6676" s="370" cm="1">
        <f t="array" ref="O6676">+_xlfn.SWITCH(MONTH(C6676),1,1,2,1,3,1,4,2,5,2,6,3,7,3,8,3,9,3,10,2,11,2,12,1,2)</f>
        <v>1</v>
      </c>
      <c r="P6676" s="43"/>
    </row>
    <row r="6677" spans="1:16" ht="18" x14ac:dyDescent="0.35">
      <c r="A6677" s="9"/>
      <c r="C6677" s="393"/>
      <c r="E6677" s="394"/>
      <c r="F6677" s="394"/>
      <c r="G6677" s="394"/>
      <c r="I6677" s="368">
        <f t="shared" si="318"/>
        <v>0</v>
      </c>
      <c r="J6677" s="365">
        <f t="shared" si="319"/>
        <v>0</v>
      </c>
      <c r="K6677" s="369">
        <f t="shared" si="320"/>
        <v>6</v>
      </c>
      <c r="L6677" s="369">
        <f>+IF((C6677&gt;='Resultats - informe'!$E$16)*(C6677&lt;='Resultats - informe'!$G$16),1,0)</f>
        <v>1</v>
      </c>
      <c r="M6677" s="369" cm="1">
        <f t="array" ref="M6677">+_xlfn.IFS((C6677&gt;='Resultats - informe'!$D$26)*(C6677&lt;='Resultats - informe'!$E$26),0,(C6677&gt;='Resultats - informe'!$D$27)*(C6677&lt;='Resultats - informe'!$E$27),0,(C6677&gt;='Resultats - informe'!$D$28)*(C6677&lt;='Resultats - informe'!$E$28),0,(C6677&gt;='Resultats - informe'!$D$29)*(C6677&lt;='Resultats - informe'!$E$29),0,1,1)</f>
        <v>0</v>
      </c>
      <c r="N6677" s="366">
        <f>+VLOOKUP(D6677,'Resultats - informe'!$Y$18:$AG$42,'Introducció dades consum'!K6677+1,0)</f>
        <v>0</v>
      </c>
      <c r="O6677" s="370" cm="1">
        <f t="array" ref="O6677">+_xlfn.SWITCH(MONTH(C6677),1,1,2,1,3,1,4,2,5,2,6,3,7,3,8,3,9,3,10,2,11,2,12,1,2)</f>
        <v>1</v>
      </c>
      <c r="P6677" s="43"/>
    </row>
    <row r="6678" spans="1:16" ht="18" x14ac:dyDescent="0.35">
      <c r="A6678" s="9"/>
      <c r="C6678" s="393"/>
      <c r="E6678" s="394"/>
      <c r="F6678" s="394"/>
      <c r="G6678" s="394"/>
      <c r="I6678" s="368">
        <f t="shared" si="318"/>
        <v>0</v>
      </c>
      <c r="J6678" s="365">
        <f t="shared" si="319"/>
        <v>0</v>
      </c>
      <c r="K6678" s="369">
        <f t="shared" si="320"/>
        <v>6</v>
      </c>
      <c r="L6678" s="369">
        <f>+IF((C6678&gt;='Resultats - informe'!$E$16)*(C6678&lt;='Resultats - informe'!$G$16),1,0)</f>
        <v>1</v>
      </c>
      <c r="M6678" s="369" cm="1">
        <f t="array" ref="M6678">+_xlfn.IFS((C6678&gt;='Resultats - informe'!$D$26)*(C6678&lt;='Resultats - informe'!$E$26),0,(C6678&gt;='Resultats - informe'!$D$27)*(C6678&lt;='Resultats - informe'!$E$27),0,(C6678&gt;='Resultats - informe'!$D$28)*(C6678&lt;='Resultats - informe'!$E$28),0,(C6678&gt;='Resultats - informe'!$D$29)*(C6678&lt;='Resultats - informe'!$E$29),0,1,1)</f>
        <v>0</v>
      </c>
      <c r="N6678" s="366">
        <f>+VLOOKUP(D6678,'Resultats - informe'!$Y$18:$AG$42,'Introducció dades consum'!K6678+1,0)</f>
        <v>0</v>
      </c>
      <c r="O6678" s="370" cm="1">
        <f t="array" ref="O6678">+_xlfn.SWITCH(MONTH(C6678),1,1,2,1,3,1,4,2,5,2,6,3,7,3,8,3,9,3,10,2,11,2,12,1,2)</f>
        <v>1</v>
      </c>
      <c r="P6678" s="43"/>
    </row>
    <row r="6679" spans="1:16" ht="18" x14ac:dyDescent="0.35">
      <c r="A6679" s="9"/>
      <c r="C6679" s="393"/>
      <c r="E6679" s="394"/>
      <c r="F6679" s="394"/>
      <c r="G6679" s="394"/>
      <c r="I6679" s="368">
        <f t="shared" si="318"/>
        <v>0</v>
      </c>
      <c r="J6679" s="365">
        <f t="shared" si="319"/>
        <v>0</v>
      </c>
      <c r="K6679" s="369">
        <f t="shared" si="320"/>
        <v>6</v>
      </c>
      <c r="L6679" s="369">
        <f>+IF((C6679&gt;='Resultats - informe'!$E$16)*(C6679&lt;='Resultats - informe'!$G$16),1,0)</f>
        <v>1</v>
      </c>
      <c r="M6679" s="369" cm="1">
        <f t="array" ref="M6679">+_xlfn.IFS((C6679&gt;='Resultats - informe'!$D$26)*(C6679&lt;='Resultats - informe'!$E$26),0,(C6679&gt;='Resultats - informe'!$D$27)*(C6679&lt;='Resultats - informe'!$E$27),0,(C6679&gt;='Resultats - informe'!$D$28)*(C6679&lt;='Resultats - informe'!$E$28),0,(C6679&gt;='Resultats - informe'!$D$29)*(C6679&lt;='Resultats - informe'!$E$29),0,1,1)</f>
        <v>0</v>
      </c>
      <c r="N6679" s="366">
        <f>+VLOOKUP(D6679,'Resultats - informe'!$Y$18:$AG$42,'Introducció dades consum'!K6679+1,0)</f>
        <v>0</v>
      </c>
      <c r="O6679" s="370" cm="1">
        <f t="array" ref="O6679">+_xlfn.SWITCH(MONTH(C6679),1,1,2,1,3,1,4,2,5,2,6,3,7,3,8,3,9,3,10,2,11,2,12,1,2)</f>
        <v>1</v>
      </c>
      <c r="P6679" s="43"/>
    </row>
    <row r="6680" spans="1:16" ht="18" x14ac:dyDescent="0.35">
      <c r="A6680" s="9"/>
      <c r="C6680" s="393"/>
      <c r="E6680" s="394"/>
      <c r="F6680" s="394"/>
      <c r="G6680" s="394"/>
      <c r="I6680" s="368">
        <f t="shared" si="318"/>
        <v>0</v>
      </c>
      <c r="J6680" s="365">
        <f t="shared" si="319"/>
        <v>0</v>
      </c>
      <c r="K6680" s="369">
        <f t="shared" si="320"/>
        <v>6</v>
      </c>
      <c r="L6680" s="369">
        <f>+IF((C6680&gt;='Resultats - informe'!$E$16)*(C6680&lt;='Resultats - informe'!$G$16),1,0)</f>
        <v>1</v>
      </c>
      <c r="M6680" s="369" cm="1">
        <f t="array" ref="M6680">+_xlfn.IFS((C6680&gt;='Resultats - informe'!$D$26)*(C6680&lt;='Resultats - informe'!$E$26),0,(C6680&gt;='Resultats - informe'!$D$27)*(C6680&lt;='Resultats - informe'!$E$27),0,(C6680&gt;='Resultats - informe'!$D$28)*(C6680&lt;='Resultats - informe'!$E$28),0,(C6680&gt;='Resultats - informe'!$D$29)*(C6680&lt;='Resultats - informe'!$E$29),0,1,1)</f>
        <v>0</v>
      </c>
      <c r="N6680" s="366">
        <f>+VLOOKUP(D6680,'Resultats - informe'!$Y$18:$AG$42,'Introducció dades consum'!K6680+1,0)</f>
        <v>0</v>
      </c>
      <c r="O6680" s="370" cm="1">
        <f t="array" ref="O6680">+_xlfn.SWITCH(MONTH(C6680),1,1,2,1,3,1,4,2,5,2,6,3,7,3,8,3,9,3,10,2,11,2,12,1,2)</f>
        <v>1</v>
      </c>
      <c r="P6680" s="43"/>
    </row>
    <row r="6681" spans="1:16" ht="18" x14ac:dyDescent="0.35">
      <c r="A6681" s="9"/>
      <c r="C6681" s="393"/>
      <c r="E6681" s="394"/>
      <c r="F6681" s="394"/>
      <c r="G6681" s="394"/>
      <c r="I6681" s="368">
        <f t="shared" si="318"/>
        <v>0</v>
      </c>
      <c r="J6681" s="365">
        <f t="shared" si="319"/>
        <v>0</v>
      </c>
      <c r="K6681" s="369">
        <f t="shared" si="320"/>
        <v>6</v>
      </c>
      <c r="L6681" s="369">
        <f>+IF((C6681&gt;='Resultats - informe'!$E$16)*(C6681&lt;='Resultats - informe'!$G$16),1,0)</f>
        <v>1</v>
      </c>
      <c r="M6681" s="369" cm="1">
        <f t="array" ref="M6681">+_xlfn.IFS((C6681&gt;='Resultats - informe'!$D$26)*(C6681&lt;='Resultats - informe'!$E$26),0,(C6681&gt;='Resultats - informe'!$D$27)*(C6681&lt;='Resultats - informe'!$E$27),0,(C6681&gt;='Resultats - informe'!$D$28)*(C6681&lt;='Resultats - informe'!$E$28),0,(C6681&gt;='Resultats - informe'!$D$29)*(C6681&lt;='Resultats - informe'!$E$29),0,1,1)</f>
        <v>0</v>
      </c>
      <c r="N6681" s="366">
        <f>+VLOOKUP(D6681,'Resultats - informe'!$Y$18:$AG$42,'Introducció dades consum'!K6681+1,0)</f>
        <v>0</v>
      </c>
      <c r="O6681" s="370" cm="1">
        <f t="array" ref="O6681">+_xlfn.SWITCH(MONTH(C6681),1,1,2,1,3,1,4,2,5,2,6,3,7,3,8,3,9,3,10,2,11,2,12,1,2)</f>
        <v>1</v>
      </c>
      <c r="P6681" s="43"/>
    </row>
    <row r="6682" spans="1:16" ht="18" x14ac:dyDescent="0.35">
      <c r="A6682" s="9"/>
      <c r="C6682" s="393"/>
      <c r="E6682" s="394"/>
      <c r="F6682" s="394"/>
      <c r="G6682" s="394"/>
      <c r="I6682" s="368">
        <f t="shared" si="318"/>
        <v>0</v>
      </c>
      <c r="J6682" s="365">
        <f t="shared" si="319"/>
        <v>0</v>
      </c>
      <c r="K6682" s="369">
        <f t="shared" si="320"/>
        <v>6</v>
      </c>
      <c r="L6682" s="369">
        <f>+IF((C6682&gt;='Resultats - informe'!$E$16)*(C6682&lt;='Resultats - informe'!$G$16),1,0)</f>
        <v>1</v>
      </c>
      <c r="M6682" s="369" cm="1">
        <f t="array" ref="M6682">+_xlfn.IFS((C6682&gt;='Resultats - informe'!$D$26)*(C6682&lt;='Resultats - informe'!$E$26),0,(C6682&gt;='Resultats - informe'!$D$27)*(C6682&lt;='Resultats - informe'!$E$27),0,(C6682&gt;='Resultats - informe'!$D$28)*(C6682&lt;='Resultats - informe'!$E$28),0,(C6682&gt;='Resultats - informe'!$D$29)*(C6682&lt;='Resultats - informe'!$E$29),0,1,1)</f>
        <v>0</v>
      </c>
      <c r="N6682" s="366">
        <f>+VLOOKUP(D6682,'Resultats - informe'!$Y$18:$AG$42,'Introducció dades consum'!K6682+1,0)</f>
        <v>0</v>
      </c>
      <c r="O6682" s="370" cm="1">
        <f t="array" ref="O6682">+_xlfn.SWITCH(MONTH(C6682),1,1,2,1,3,1,4,2,5,2,6,3,7,3,8,3,9,3,10,2,11,2,12,1,2)</f>
        <v>1</v>
      </c>
      <c r="P6682" s="43"/>
    </row>
    <row r="6683" spans="1:16" ht="18" x14ac:dyDescent="0.35">
      <c r="A6683" s="9"/>
      <c r="C6683" s="393"/>
      <c r="E6683" s="394"/>
      <c r="F6683" s="394"/>
      <c r="G6683" s="394"/>
      <c r="I6683" s="368">
        <f t="shared" si="318"/>
        <v>0</v>
      </c>
      <c r="J6683" s="365">
        <f t="shared" si="319"/>
        <v>0</v>
      </c>
      <c r="K6683" s="369">
        <f t="shared" si="320"/>
        <v>6</v>
      </c>
      <c r="L6683" s="369">
        <f>+IF((C6683&gt;='Resultats - informe'!$E$16)*(C6683&lt;='Resultats - informe'!$G$16),1,0)</f>
        <v>1</v>
      </c>
      <c r="M6683" s="369" cm="1">
        <f t="array" ref="M6683">+_xlfn.IFS((C6683&gt;='Resultats - informe'!$D$26)*(C6683&lt;='Resultats - informe'!$E$26),0,(C6683&gt;='Resultats - informe'!$D$27)*(C6683&lt;='Resultats - informe'!$E$27),0,(C6683&gt;='Resultats - informe'!$D$28)*(C6683&lt;='Resultats - informe'!$E$28),0,(C6683&gt;='Resultats - informe'!$D$29)*(C6683&lt;='Resultats - informe'!$E$29),0,1,1)</f>
        <v>0</v>
      </c>
      <c r="N6683" s="366">
        <f>+VLOOKUP(D6683,'Resultats - informe'!$Y$18:$AG$42,'Introducció dades consum'!K6683+1,0)</f>
        <v>0</v>
      </c>
      <c r="O6683" s="370" cm="1">
        <f t="array" ref="O6683">+_xlfn.SWITCH(MONTH(C6683),1,1,2,1,3,1,4,2,5,2,6,3,7,3,8,3,9,3,10,2,11,2,12,1,2)</f>
        <v>1</v>
      </c>
      <c r="P6683" s="43"/>
    </row>
    <row r="6684" spans="1:16" ht="18" x14ac:dyDescent="0.35">
      <c r="A6684" s="9"/>
      <c r="C6684" s="393"/>
      <c r="E6684" s="394"/>
      <c r="F6684" s="394"/>
      <c r="G6684" s="394"/>
      <c r="I6684" s="368">
        <f t="shared" si="318"/>
        <v>0</v>
      </c>
      <c r="J6684" s="365">
        <f t="shared" si="319"/>
        <v>0</v>
      </c>
      <c r="K6684" s="369">
        <f t="shared" si="320"/>
        <v>6</v>
      </c>
      <c r="L6684" s="369">
        <f>+IF((C6684&gt;='Resultats - informe'!$E$16)*(C6684&lt;='Resultats - informe'!$G$16),1,0)</f>
        <v>1</v>
      </c>
      <c r="M6684" s="369" cm="1">
        <f t="array" ref="M6684">+_xlfn.IFS((C6684&gt;='Resultats - informe'!$D$26)*(C6684&lt;='Resultats - informe'!$E$26),0,(C6684&gt;='Resultats - informe'!$D$27)*(C6684&lt;='Resultats - informe'!$E$27),0,(C6684&gt;='Resultats - informe'!$D$28)*(C6684&lt;='Resultats - informe'!$E$28),0,(C6684&gt;='Resultats - informe'!$D$29)*(C6684&lt;='Resultats - informe'!$E$29),0,1,1)</f>
        <v>0</v>
      </c>
      <c r="N6684" s="366">
        <f>+VLOOKUP(D6684,'Resultats - informe'!$Y$18:$AG$42,'Introducció dades consum'!K6684+1,0)</f>
        <v>0</v>
      </c>
      <c r="O6684" s="370" cm="1">
        <f t="array" ref="O6684">+_xlfn.SWITCH(MONTH(C6684),1,1,2,1,3,1,4,2,5,2,6,3,7,3,8,3,9,3,10,2,11,2,12,1,2)</f>
        <v>1</v>
      </c>
      <c r="P6684" s="43"/>
    </row>
    <row r="6685" spans="1:16" ht="18" x14ac:dyDescent="0.35">
      <c r="A6685" s="9"/>
      <c r="C6685" s="393"/>
      <c r="E6685" s="394"/>
      <c r="F6685" s="394"/>
      <c r="G6685" s="394"/>
      <c r="I6685" s="368">
        <f t="shared" si="318"/>
        <v>0</v>
      </c>
      <c r="J6685" s="365">
        <f t="shared" si="319"/>
        <v>0</v>
      </c>
      <c r="K6685" s="369">
        <f t="shared" si="320"/>
        <v>6</v>
      </c>
      <c r="L6685" s="369">
        <f>+IF((C6685&gt;='Resultats - informe'!$E$16)*(C6685&lt;='Resultats - informe'!$G$16),1,0)</f>
        <v>1</v>
      </c>
      <c r="M6685" s="369" cm="1">
        <f t="array" ref="M6685">+_xlfn.IFS((C6685&gt;='Resultats - informe'!$D$26)*(C6685&lt;='Resultats - informe'!$E$26),0,(C6685&gt;='Resultats - informe'!$D$27)*(C6685&lt;='Resultats - informe'!$E$27),0,(C6685&gt;='Resultats - informe'!$D$28)*(C6685&lt;='Resultats - informe'!$E$28),0,(C6685&gt;='Resultats - informe'!$D$29)*(C6685&lt;='Resultats - informe'!$E$29),0,1,1)</f>
        <v>0</v>
      </c>
      <c r="N6685" s="366">
        <f>+VLOOKUP(D6685,'Resultats - informe'!$Y$18:$AG$42,'Introducció dades consum'!K6685+1,0)</f>
        <v>0</v>
      </c>
      <c r="O6685" s="370" cm="1">
        <f t="array" ref="O6685">+_xlfn.SWITCH(MONTH(C6685),1,1,2,1,3,1,4,2,5,2,6,3,7,3,8,3,9,3,10,2,11,2,12,1,2)</f>
        <v>1</v>
      </c>
      <c r="P6685" s="43"/>
    </row>
    <row r="6686" spans="1:16" ht="18" x14ac:dyDescent="0.35">
      <c r="A6686" s="9"/>
      <c r="C6686" s="393"/>
      <c r="E6686" s="394"/>
      <c r="F6686" s="394"/>
      <c r="G6686" s="394"/>
      <c r="I6686" s="368">
        <f t="shared" si="318"/>
        <v>0</v>
      </c>
      <c r="J6686" s="365">
        <f t="shared" si="319"/>
        <v>0</v>
      </c>
      <c r="K6686" s="369">
        <f t="shared" si="320"/>
        <v>6</v>
      </c>
      <c r="L6686" s="369">
        <f>+IF((C6686&gt;='Resultats - informe'!$E$16)*(C6686&lt;='Resultats - informe'!$G$16),1,0)</f>
        <v>1</v>
      </c>
      <c r="M6686" s="369" cm="1">
        <f t="array" ref="M6686">+_xlfn.IFS((C6686&gt;='Resultats - informe'!$D$26)*(C6686&lt;='Resultats - informe'!$E$26),0,(C6686&gt;='Resultats - informe'!$D$27)*(C6686&lt;='Resultats - informe'!$E$27),0,(C6686&gt;='Resultats - informe'!$D$28)*(C6686&lt;='Resultats - informe'!$E$28),0,(C6686&gt;='Resultats - informe'!$D$29)*(C6686&lt;='Resultats - informe'!$E$29),0,1,1)</f>
        <v>0</v>
      </c>
      <c r="N6686" s="366">
        <f>+VLOOKUP(D6686,'Resultats - informe'!$Y$18:$AG$42,'Introducció dades consum'!K6686+1,0)</f>
        <v>0</v>
      </c>
      <c r="O6686" s="370" cm="1">
        <f t="array" ref="O6686">+_xlfn.SWITCH(MONTH(C6686),1,1,2,1,3,1,4,2,5,2,6,3,7,3,8,3,9,3,10,2,11,2,12,1,2)</f>
        <v>1</v>
      </c>
      <c r="P6686" s="43"/>
    </row>
    <row r="6687" spans="1:16" ht="18" x14ac:dyDescent="0.35">
      <c r="A6687" s="9"/>
      <c r="C6687" s="393"/>
      <c r="E6687" s="394"/>
      <c r="F6687" s="394"/>
      <c r="G6687" s="394"/>
      <c r="I6687" s="368">
        <f t="shared" si="318"/>
        <v>0</v>
      </c>
      <c r="J6687" s="365">
        <f t="shared" si="319"/>
        <v>0</v>
      </c>
      <c r="K6687" s="369">
        <f t="shared" si="320"/>
        <v>6</v>
      </c>
      <c r="L6687" s="369">
        <f>+IF((C6687&gt;='Resultats - informe'!$E$16)*(C6687&lt;='Resultats - informe'!$G$16),1,0)</f>
        <v>1</v>
      </c>
      <c r="M6687" s="369" cm="1">
        <f t="array" ref="M6687">+_xlfn.IFS((C6687&gt;='Resultats - informe'!$D$26)*(C6687&lt;='Resultats - informe'!$E$26),0,(C6687&gt;='Resultats - informe'!$D$27)*(C6687&lt;='Resultats - informe'!$E$27),0,(C6687&gt;='Resultats - informe'!$D$28)*(C6687&lt;='Resultats - informe'!$E$28),0,(C6687&gt;='Resultats - informe'!$D$29)*(C6687&lt;='Resultats - informe'!$E$29),0,1,1)</f>
        <v>0</v>
      </c>
      <c r="N6687" s="366">
        <f>+VLOOKUP(D6687,'Resultats - informe'!$Y$18:$AG$42,'Introducció dades consum'!K6687+1,0)</f>
        <v>0</v>
      </c>
      <c r="O6687" s="370" cm="1">
        <f t="array" ref="O6687">+_xlfn.SWITCH(MONTH(C6687),1,1,2,1,3,1,4,2,5,2,6,3,7,3,8,3,9,3,10,2,11,2,12,1,2)</f>
        <v>1</v>
      </c>
      <c r="P6687" s="43"/>
    </row>
    <row r="6688" spans="1:16" ht="18" x14ac:dyDescent="0.35">
      <c r="A6688" s="9"/>
      <c r="C6688" s="393"/>
      <c r="E6688" s="394"/>
      <c r="F6688" s="394"/>
      <c r="G6688" s="394"/>
      <c r="I6688" s="368">
        <f t="shared" si="318"/>
        <v>0</v>
      </c>
      <c r="J6688" s="365">
        <f t="shared" si="319"/>
        <v>0</v>
      </c>
      <c r="K6688" s="369">
        <f t="shared" si="320"/>
        <v>6</v>
      </c>
      <c r="L6688" s="369">
        <f>+IF((C6688&gt;='Resultats - informe'!$E$16)*(C6688&lt;='Resultats - informe'!$G$16),1,0)</f>
        <v>1</v>
      </c>
      <c r="M6688" s="369" cm="1">
        <f t="array" ref="M6688">+_xlfn.IFS((C6688&gt;='Resultats - informe'!$D$26)*(C6688&lt;='Resultats - informe'!$E$26),0,(C6688&gt;='Resultats - informe'!$D$27)*(C6688&lt;='Resultats - informe'!$E$27),0,(C6688&gt;='Resultats - informe'!$D$28)*(C6688&lt;='Resultats - informe'!$E$28),0,(C6688&gt;='Resultats - informe'!$D$29)*(C6688&lt;='Resultats - informe'!$E$29),0,1,1)</f>
        <v>0</v>
      </c>
      <c r="N6688" s="366">
        <f>+VLOOKUP(D6688,'Resultats - informe'!$Y$18:$AG$42,'Introducció dades consum'!K6688+1,0)</f>
        <v>0</v>
      </c>
      <c r="O6688" s="370" cm="1">
        <f t="array" ref="O6688">+_xlfn.SWITCH(MONTH(C6688),1,1,2,1,3,1,4,2,5,2,6,3,7,3,8,3,9,3,10,2,11,2,12,1,2)</f>
        <v>1</v>
      </c>
      <c r="P6688" s="43"/>
    </row>
    <row r="6689" spans="1:16" ht="18" x14ac:dyDescent="0.35">
      <c r="A6689" s="9"/>
      <c r="C6689" s="393"/>
      <c r="E6689" s="394"/>
      <c r="F6689" s="394"/>
      <c r="G6689" s="394"/>
      <c r="I6689" s="368">
        <f t="shared" si="318"/>
        <v>0</v>
      </c>
      <c r="J6689" s="365">
        <f t="shared" si="319"/>
        <v>0</v>
      </c>
      <c r="K6689" s="369">
        <f t="shared" si="320"/>
        <v>6</v>
      </c>
      <c r="L6689" s="369">
        <f>+IF((C6689&gt;='Resultats - informe'!$E$16)*(C6689&lt;='Resultats - informe'!$G$16),1,0)</f>
        <v>1</v>
      </c>
      <c r="M6689" s="369" cm="1">
        <f t="array" ref="M6689">+_xlfn.IFS((C6689&gt;='Resultats - informe'!$D$26)*(C6689&lt;='Resultats - informe'!$E$26),0,(C6689&gt;='Resultats - informe'!$D$27)*(C6689&lt;='Resultats - informe'!$E$27),0,(C6689&gt;='Resultats - informe'!$D$28)*(C6689&lt;='Resultats - informe'!$E$28),0,(C6689&gt;='Resultats - informe'!$D$29)*(C6689&lt;='Resultats - informe'!$E$29),0,1,1)</f>
        <v>0</v>
      </c>
      <c r="N6689" s="366">
        <f>+VLOOKUP(D6689,'Resultats - informe'!$Y$18:$AG$42,'Introducció dades consum'!K6689+1,0)</f>
        <v>0</v>
      </c>
      <c r="O6689" s="370" cm="1">
        <f t="array" ref="O6689">+_xlfn.SWITCH(MONTH(C6689),1,1,2,1,3,1,4,2,5,2,6,3,7,3,8,3,9,3,10,2,11,2,12,1,2)</f>
        <v>1</v>
      </c>
      <c r="P6689" s="43"/>
    </row>
    <row r="6690" spans="1:16" ht="18" x14ac:dyDescent="0.35">
      <c r="A6690" s="9"/>
      <c r="C6690" s="393"/>
      <c r="E6690" s="394"/>
      <c r="F6690" s="394"/>
      <c r="G6690" s="394"/>
      <c r="I6690" s="368">
        <f t="shared" si="318"/>
        <v>0</v>
      </c>
      <c r="J6690" s="365">
        <f t="shared" si="319"/>
        <v>0</v>
      </c>
      <c r="K6690" s="369">
        <f t="shared" si="320"/>
        <v>6</v>
      </c>
      <c r="L6690" s="369">
        <f>+IF((C6690&gt;='Resultats - informe'!$E$16)*(C6690&lt;='Resultats - informe'!$G$16),1,0)</f>
        <v>1</v>
      </c>
      <c r="M6690" s="369" cm="1">
        <f t="array" ref="M6690">+_xlfn.IFS((C6690&gt;='Resultats - informe'!$D$26)*(C6690&lt;='Resultats - informe'!$E$26),0,(C6690&gt;='Resultats - informe'!$D$27)*(C6690&lt;='Resultats - informe'!$E$27),0,(C6690&gt;='Resultats - informe'!$D$28)*(C6690&lt;='Resultats - informe'!$E$28),0,(C6690&gt;='Resultats - informe'!$D$29)*(C6690&lt;='Resultats - informe'!$E$29),0,1,1)</f>
        <v>0</v>
      </c>
      <c r="N6690" s="366">
        <f>+VLOOKUP(D6690,'Resultats - informe'!$Y$18:$AG$42,'Introducció dades consum'!K6690+1,0)</f>
        <v>0</v>
      </c>
      <c r="O6690" s="370" cm="1">
        <f t="array" ref="O6690">+_xlfn.SWITCH(MONTH(C6690),1,1,2,1,3,1,4,2,5,2,6,3,7,3,8,3,9,3,10,2,11,2,12,1,2)</f>
        <v>1</v>
      </c>
      <c r="P6690" s="43"/>
    </row>
    <row r="6691" spans="1:16" ht="18" x14ac:dyDescent="0.35">
      <c r="A6691" s="9"/>
      <c r="C6691" s="393"/>
      <c r="E6691" s="394"/>
      <c r="F6691" s="394"/>
      <c r="G6691" s="394"/>
      <c r="I6691" s="368">
        <f t="shared" si="318"/>
        <v>0</v>
      </c>
      <c r="J6691" s="365">
        <f t="shared" si="319"/>
        <v>0</v>
      </c>
      <c r="K6691" s="369">
        <f t="shared" si="320"/>
        <v>6</v>
      </c>
      <c r="L6691" s="369">
        <f>+IF((C6691&gt;='Resultats - informe'!$E$16)*(C6691&lt;='Resultats - informe'!$G$16),1,0)</f>
        <v>1</v>
      </c>
      <c r="M6691" s="369" cm="1">
        <f t="array" ref="M6691">+_xlfn.IFS((C6691&gt;='Resultats - informe'!$D$26)*(C6691&lt;='Resultats - informe'!$E$26),0,(C6691&gt;='Resultats - informe'!$D$27)*(C6691&lt;='Resultats - informe'!$E$27),0,(C6691&gt;='Resultats - informe'!$D$28)*(C6691&lt;='Resultats - informe'!$E$28),0,(C6691&gt;='Resultats - informe'!$D$29)*(C6691&lt;='Resultats - informe'!$E$29),0,1,1)</f>
        <v>0</v>
      </c>
      <c r="N6691" s="366">
        <f>+VLOOKUP(D6691,'Resultats - informe'!$Y$18:$AG$42,'Introducció dades consum'!K6691+1,0)</f>
        <v>0</v>
      </c>
      <c r="O6691" s="370" cm="1">
        <f t="array" ref="O6691">+_xlfn.SWITCH(MONTH(C6691),1,1,2,1,3,1,4,2,5,2,6,3,7,3,8,3,9,3,10,2,11,2,12,1,2)</f>
        <v>1</v>
      </c>
      <c r="P6691" s="43"/>
    </row>
    <row r="6692" spans="1:16" ht="18" x14ac:dyDescent="0.35">
      <c r="A6692" s="9"/>
      <c r="C6692" s="393"/>
      <c r="E6692" s="394"/>
      <c r="F6692" s="394"/>
      <c r="G6692" s="394"/>
      <c r="I6692" s="368">
        <f t="shared" si="318"/>
        <v>0</v>
      </c>
      <c r="J6692" s="365">
        <f t="shared" si="319"/>
        <v>0</v>
      </c>
      <c r="K6692" s="369">
        <f t="shared" si="320"/>
        <v>6</v>
      </c>
      <c r="L6692" s="369">
        <f>+IF((C6692&gt;='Resultats - informe'!$E$16)*(C6692&lt;='Resultats - informe'!$G$16),1,0)</f>
        <v>1</v>
      </c>
      <c r="M6692" s="369" cm="1">
        <f t="array" ref="M6692">+_xlfn.IFS((C6692&gt;='Resultats - informe'!$D$26)*(C6692&lt;='Resultats - informe'!$E$26),0,(C6692&gt;='Resultats - informe'!$D$27)*(C6692&lt;='Resultats - informe'!$E$27),0,(C6692&gt;='Resultats - informe'!$D$28)*(C6692&lt;='Resultats - informe'!$E$28),0,(C6692&gt;='Resultats - informe'!$D$29)*(C6692&lt;='Resultats - informe'!$E$29),0,1,1)</f>
        <v>0</v>
      </c>
      <c r="N6692" s="366">
        <f>+VLOOKUP(D6692,'Resultats - informe'!$Y$18:$AG$42,'Introducció dades consum'!K6692+1,0)</f>
        <v>0</v>
      </c>
      <c r="O6692" s="370" cm="1">
        <f t="array" ref="O6692">+_xlfn.SWITCH(MONTH(C6692),1,1,2,1,3,1,4,2,5,2,6,3,7,3,8,3,9,3,10,2,11,2,12,1,2)</f>
        <v>1</v>
      </c>
      <c r="P6692" s="43"/>
    </row>
    <row r="6693" spans="1:16" ht="18" x14ac:dyDescent="0.35">
      <c r="A6693" s="9"/>
      <c r="C6693" s="393"/>
      <c r="E6693" s="394"/>
      <c r="F6693" s="394"/>
      <c r="G6693" s="394"/>
      <c r="I6693" s="368">
        <f t="shared" si="318"/>
        <v>0</v>
      </c>
      <c r="J6693" s="365">
        <f t="shared" si="319"/>
        <v>0</v>
      </c>
      <c r="K6693" s="369">
        <f t="shared" si="320"/>
        <v>6</v>
      </c>
      <c r="L6693" s="369">
        <f>+IF((C6693&gt;='Resultats - informe'!$E$16)*(C6693&lt;='Resultats - informe'!$G$16),1,0)</f>
        <v>1</v>
      </c>
      <c r="M6693" s="369" cm="1">
        <f t="array" ref="M6693">+_xlfn.IFS((C6693&gt;='Resultats - informe'!$D$26)*(C6693&lt;='Resultats - informe'!$E$26),0,(C6693&gt;='Resultats - informe'!$D$27)*(C6693&lt;='Resultats - informe'!$E$27),0,(C6693&gt;='Resultats - informe'!$D$28)*(C6693&lt;='Resultats - informe'!$E$28),0,(C6693&gt;='Resultats - informe'!$D$29)*(C6693&lt;='Resultats - informe'!$E$29),0,1,1)</f>
        <v>0</v>
      </c>
      <c r="N6693" s="366">
        <f>+VLOOKUP(D6693,'Resultats - informe'!$Y$18:$AG$42,'Introducció dades consum'!K6693+1,0)</f>
        <v>0</v>
      </c>
      <c r="O6693" s="370" cm="1">
        <f t="array" ref="O6693">+_xlfn.SWITCH(MONTH(C6693),1,1,2,1,3,1,4,2,5,2,6,3,7,3,8,3,9,3,10,2,11,2,12,1,2)</f>
        <v>1</v>
      </c>
      <c r="P6693" s="43"/>
    </row>
    <row r="6694" spans="1:16" ht="18" x14ac:dyDescent="0.35">
      <c r="A6694" s="9"/>
      <c r="C6694" s="393"/>
      <c r="E6694" s="394"/>
      <c r="F6694" s="394"/>
      <c r="G6694" s="394"/>
      <c r="I6694" s="368">
        <f t="shared" si="318"/>
        <v>0</v>
      </c>
      <c r="J6694" s="365">
        <f t="shared" si="319"/>
        <v>0</v>
      </c>
      <c r="K6694" s="369">
        <f t="shared" si="320"/>
        <v>6</v>
      </c>
      <c r="L6694" s="369">
        <f>+IF((C6694&gt;='Resultats - informe'!$E$16)*(C6694&lt;='Resultats - informe'!$G$16),1,0)</f>
        <v>1</v>
      </c>
      <c r="M6694" s="369" cm="1">
        <f t="array" ref="M6694">+_xlfn.IFS((C6694&gt;='Resultats - informe'!$D$26)*(C6694&lt;='Resultats - informe'!$E$26),0,(C6694&gt;='Resultats - informe'!$D$27)*(C6694&lt;='Resultats - informe'!$E$27),0,(C6694&gt;='Resultats - informe'!$D$28)*(C6694&lt;='Resultats - informe'!$E$28),0,(C6694&gt;='Resultats - informe'!$D$29)*(C6694&lt;='Resultats - informe'!$E$29),0,1,1)</f>
        <v>0</v>
      </c>
      <c r="N6694" s="366">
        <f>+VLOOKUP(D6694,'Resultats - informe'!$Y$18:$AG$42,'Introducció dades consum'!K6694+1,0)</f>
        <v>0</v>
      </c>
      <c r="O6694" s="370" cm="1">
        <f t="array" ref="O6694">+_xlfn.SWITCH(MONTH(C6694),1,1,2,1,3,1,4,2,5,2,6,3,7,3,8,3,9,3,10,2,11,2,12,1,2)</f>
        <v>1</v>
      </c>
      <c r="P6694" s="43"/>
    </row>
    <row r="6695" spans="1:16" ht="18" x14ac:dyDescent="0.35">
      <c r="A6695" s="9"/>
      <c r="C6695" s="393"/>
      <c r="E6695" s="394"/>
      <c r="F6695" s="394"/>
      <c r="G6695" s="394"/>
      <c r="I6695" s="368">
        <f t="shared" si="318"/>
        <v>0</v>
      </c>
      <c r="J6695" s="365">
        <f t="shared" si="319"/>
        <v>0</v>
      </c>
      <c r="K6695" s="369">
        <f t="shared" si="320"/>
        <v>6</v>
      </c>
      <c r="L6695" s="369">
        <f>+IF((C6695&gt;='Resultats - informe'!$E$16)*(C6695&lt;='Resultats - informe'!$G$16),1,0)</f>
        <v>1</v>
      </c>
      <c r="M6695" s="369" cm="1">
        <f t="array" ref="M6695">+_xlfn.IFS((C6695&gt;='Resultats - informe'!$D$26)*(C6695&lt;='Resultats - informe'!$E$26),0,(C6695&gt;='Resultats - informe'!$D$27)*(C6695&lt;='Resultats - informe'!$E$27),0,(C6695&gt;='Resultats - informe'!$D$28)*(C6695&lt;='Resultats - informe'!$E$28),0,(C6695&gt;='Resultats - informe'!$D$29)*(C6695&lt;='Resultats - informe'!$E$29),0,1,1)</f>
        <v>0</v>
      </c>
      <c r="N6695" s="366">
        <f>+VLOOKUP(D6695,'Resultats - informe'!$Y$18:$AG$42,'Introducció dades consum'!K6695+1,0)</f>
        <v>0</v>
      </c>
      <c r="O6695" s="370" cm="1">
        <f t="array" ref="O6695">+_xlfn.SWITCH(MONTH(C6695),1,1,2,1,3,1,4,2,5,2,6,3,7,3,8,3,9,3,10,2,11,2,12,1,2)</f>
        <v>1</v>
      </c>
      <c r="P6695" s="43"/>
    </row>
    <row r="6696" spans="1:16" ht="18" x14ac:dyDescent="0.35">
      <c r="A6696" s="9"/>
      <c r="C6696" s="393"/>
      <c r="E6696" s="394"/>
      <c r="F6696" s="394"/>
      <c r="G6696" s="394"/>
      <c r="I6696" s="368">
        <f t="shared" si="318"/>
        <v>0</v>
      </c>
      <c r="J6696" s="365">
        <f t="shared" si="319"/>
        <v>0</v>
      </c>
      <c r="K6696" s="369">
        <f t="shared" si="320"/>
        <v>6</v>
      </c>
      <c r="L6696" s="369">
        <f>+IF((C6696&gt;='Resultats - informe'!$E$16)*(C6696&lt;='Resultats - informe'!$G$16),1,0)</f>
        <v>1</v>
      </c>
      <c r="M6696" s="369" cm="1">
        <f t="array" ref="M6696">+_xlfn.IFS((C6696&gt;='Resultats - informe'!$D$26)*(C6696&lt;='Resultats - informe'!$E$26),0,(C6696&gt;='Resultats - informe'!$D$27)*(C6696&lt;='Resultats - informe'!$E$27),0,(C6696&gt;='Resultats - informe'!$D$28)*(C6696&lt;='Resultats - informe'!$E$28),0,(C6696&gt;='Resultats - informe'!$D$29)*(C6696&lt;='Resultats - informe'!$E$29),0,1,1)</f>
        <v>0</v>
      </c>
      <c r="N6696" s="366">
        <f>+VLOOKUP(D6696,'Resultats - informe'!$Y$18:$AG$42,'Introducció dades consum'!K6696+1,0)</f>
        <v>0</v>
      </c>
      <c r="O6696" s="370" cm="1">
        <f t="array" ref="O6696">+_xlfn.SWITCH(MONTH(C6696),1,1,2,1,3,1,4,2,5,2,6,3,7,3,8,3,9,3,10,2,11,2,12,1,2)</f>
        <v>1</v>
      </c>
      <c r="P6696" s="43"/>
    </row>
    <row r="6697" spans="1:16" ht="18" x14ac:dyDescent="0.35">
      <c r="A6697" s="9"/>
      <c r="C6697" s="393"/>
      <c r="E6697" s="394"/>
      <c r="F6697" s="394"/>
      <c r="G6697" s="394"/>
      <c r="I6697" s="368">
        <f t="shared" si="318"/>
        <v>0</v>
      </c>
      <c r="J6697" s="365">
        <f t="shared" si="319"/>
        <v>0</v>
      </c>
      <c r="K6697" s="369">
        <f t="shared" si="320"/>
        <v>6</v>
      </c>
      <c r="L6697" s="369">
        <f>+IF((C6697&gt;='Resultats - informe'!$E$16)*(C6697&lt;='Resultats - informe'!$G$16),1,0)</f>
        <v>1</v>
      </c>
      <c r="M6697" s="369" cm="1">
        <f t="array" ref="M6697">+_xlfn.IFS((C6697&gt;='Resultats - informe'!$D$26)*(C6697&lt;='Resultats - informe'!$E$26),0,(C6697&gt;='Resultats - informe'!$D$27)*(C6697&lt;='Resultats - informe'!$E$27),0,(C6697&gt;='Resultats - informe'!$D$28)*(C6697&lt;='Resultats - informe'!$E$28),0,(C6697&gt;='Resultats - informe'!$D$29)*(C6697&lt;='Resultats - informe'!$E$29),0,1,1)</f>
        <v>0</v>
      </c>
      <c r="N6697" s="366">
        <f>+VLOOKUP(D6697,'Resultats - informe'!$Y$18:$AG$42,'Introducció dades consum'!K6697+1,0)</f>
        <v>0</v>
      </c>
      <c r="O6697" s="370" cm="1">
        <f t="array" ref="O6697">+_xlfn.SWITCH(MONTH(C6697),1,1,2,1,3,1,4,2,5,2,6,3,7,3,8,3,9,3,10,2,11,2,12,1,2)</f>
        <v>1</v>
      </c>
      <c r="P6697" s="43"/>
    </row>
    <row r="6698" spans="1:16" ht="18" x14ac:dyDescent="0.35">
      <c r="A6698" s="9"/>
      <c r="C6698" s="393"/>
      <c r="E6698" s="394"/>
      <c r="F6698" s="394"/>
      <c r="G6698" s="394"/>
      <c r="I6698" s="368">
        <f t="shared" si="318"/>
        <v>0</v>
      </c>
      <c r="J6698" s="365">
        <f t="shared" si="319"/>
        <v>0</v>
      </c>
      <c r="K6698" s="369">
        <f t="shared" si="320"/>
        <v>6</v>
      </c>
      <c r="L6698" s="369">
        <f>+IF((C6698&gt;='Resultats - informe'!$E$16)*(C6698&lt;='Resultats - informe'!$G$16),1,0)</f>
        <v>1</v>
      </c>
      <c r="M6698" s="369" cm="1">
        <f t="array" ref="M6698">+_xlfn.IFS((C6698&gt;='Resultats - informe'!$D$26)*(C6698&lt;='Resultats - informe'!$E$26),0,(C6698&gt;='Resultats - informe'!$D$27)*(C6698&lt;='Resultats - informe'!$E$27),0,(C6698&gt;='Resultats - informe'!$D$28)*(C6698&lt;='Resultats - informe'!$E$28),0,(C6698&gt;='Resultats - informe'!$D$29)*(C6698&lt;='Resultats - informe'!$E$29),0,1,1)</f>
        <v>0</v>
      </c>
      <c r="N6698" s="366">
        <f>+VLOOKUP(D6698,'Resultats - informe'!$Y$18:$AG$42,'Introducció dades consum'!K6698+1,0)</f>
        <v>0</v>
      </c>
      <c r="O6698" s="370" cm="1">
        <f t="array" ref="O6698">+_xlfn.SWITCH(MONTH(C6698),1,1,2,1,3,1,4,2,5,2,6,3,7,3,8,3,9,3,10,2,11,2,12,1,2)</f>
        <v>1</v>
      </c>
      <c r="P6698" s="43"/>
    </row>
    <row r="6699" spans="1:16" ht="18" x14ac:dyDescent="0.35">
      <c r="A6699" s="9"/>
      <c r="C6699" s="393"/>
      <c r="E6699" s="394"/>
      <c r="F6699" s="394"/>
      <c r="G6699" s="394"/>
      <c r="I6699" s="368">
        <f t="shared" si="318"/>
        <v>0</v>
      </c>
      <c r="J6699" s="365">
        <f t="shared" si="319"/>
        <v>0</v>
      </c>
      <c r="K6699" s="369">
        <f t="shared" si="320"/>
        <v>6</v>
      </c>
      <c r="L6699" s="369">
        <f>+IF((C6699&gt;='Resultats - informe'!$E$16)*(C6699&lt;='Resultats - informe'!$G$16),1,0)</f>
        <v>1</v>
      </c>
      <c r="M6699" s="369" cm="1">
        <f t="array" ref="M6699">+_xlfn.IFS((C6699&gt;='Resultats - informe'!$D$26)*(C6699&lt;='Resultats - informe'!$E$26),0,(C6699&gt;='Resultats - informe'!$D$27)*(C6699&lt;='Resultats - informe'!$E$27),0,(C6699&gt;='Resultats - informe'!$D$28)*(C6699&lt;='Resultats - informe'!$E$28),0,(C6699&gt;='Resultats - informe'!$D$29)*(C6699&lt;='Resultats - informe'!$E$29),0,1,1)</f>
        <v>0</v>
      </c>
      <c r="N6699" s="366">
        <f>+VLOOKUP(D6699,'Resultats - informe'!$Y$18:$AG$42,'Introducció dades consum'!K6699+1,0)</f>
        <v>0</v>
      </c>
      <c r="O6699" s="370" cm="1">
        <f t="array" ref="O6699">+_xlfn.SWITCH(MONTH(C6699),1,1,2,1,3,1,4,2,5,2,6,3,7,3,8,3,9,3,10,2,11,2,12,1,2)</f>
        <v>1</v>
      </c>
      <c r="P6699" s="43"/>
    </row>
    <row r="6700" spans="1:16" ht="18" x14ac:dyDescent="0.35">
      <c r="A6700" s="9"/>
      <c r="C6700" s="393"/>
      <c r="E6700" s="394"/>
      <c r="F6700" s="394"/>
      <c r="G6700" s="394"/>
      <c r="I6700" s="368">
        <f t="shared" si="318"/>
        <v>0</v>
      </c>
      <c r="J6700" s="365">
        <f t="shared" si="319"/>
        <v>0</v>
      </c>
      <c r="K6700" s="369">
        <f t="shared" si="320"/>
        <v>6</v>
      </c>
      <c r="L6700" s="369">
        <f>+IF((C6700&gt;='Resultats - informe'!$E$16)*(C6700&lt;='Resultats - informe'!$G$16),1,0)</f>
        <v>1</v>
      </c>
      <c r="M6700" s="369" cm="1">
        <f t="array" ref="M6700">+_xlfn.IFS((C6700&gt;='Resultats - informe'!$D$26)*(C6700&lt;='Resultats - informe'!$E$26),0,(C6700&gt;='Resultats - informe'!$D$27)*(C6700&lt;='Resultats - informe'!$E$27),0,(C6700&gt;='Resultats - informe'!$D$28)*(C6700&lt;='Resultats - informe'!$E$28),0,(C6700&gt;='Resultats - informe'!$D$29)*(C6700&lt;='Resultats - informe'!$E$29),0,1,1)</f>
        <v>0</v>
      </c>
      <c r="N6700" s="366">
        <f>+VLOOKUP(D6700,'Resultats - informe'!$Y$18:$AG$42,'Introducció dades consum'!K6700+1,0)</f>
        <v>0</v>
      </c>
      <c r="O6700" s="370" cm="1">
        <f t="array" ref="O6700">+_xlfn.SWITCH(MONTH(C6700),1,1,2,1,3,1,4,2,5,2,6,3,7,3,8,3,9,3,10,2,11,2,12,1,2)</f>
        <v>1</v>
      </c>
      <c r="P6700" s="43"/>
    </row>
    <row r="6701" spans="1:16" ht="18" x14ac:dyDescent="0.35">
      <c r="A6701" s="9"/>
      <c r="C6701" s="393"/>
      <c r="E6701" s="394"/>
      <c r="F6701" s="394"/>
      <c r="G6701" s="394"/>
      <c r="I6701" s="368">
        <f t="shared" si="318"/>
        <v>0</v>
      </c>
      <c r="J6701" s="365">
        <f t="shared" si="319"/>
        <v>0</v>
      </c>
      <c r="K6701" s="369">
        <f t="shared" si="320"/>
        <v>6</v>
      </c>
      <c r="L6701" s="369">
        <f>+IF((C6701&gt;='Resultats - informe'!$E$16)*(C6701&lt;='Resultats - informe'!$G$16),1,0)</f>
        <v>1</v>
      </c>
      <c r="M6701" s="369" cm="1">
        <f t="array" ref="M6701">+_xlfn.IFS((C6701&gt;='Resultats - informe'!$D$26)*(C6701&lt;='Resultats - informe'!$E$26),0,(C6701&gt;='Resultats - informe'!$D$27)*(C6701&lt;='Resultats - informe'!$E$27),0,(C6701&gt;='Resultats - informe'!$D$28)*(C6701&lt;='Resultats - informe'!$E$28),0,(C6701&gt;='Resultats - informe'!$D$29)*(C6701&lt;='Resultats - informe'!$E$29),0,1,1)</f>
        <v>0</v>
      </c>
      <c r="N6701" s="366">
        <f>+VLOOKUP(D6701,'Resultats - informe'!$Y$18:$AG$42,'Introducció dades consum'!K6701+1,0)</f>
        <v>0</v>
      </c>
      <c r="O6701" s="370" cm="1">
        <f t="array" ref="O6701">+_xlfn.SWITCH(MONTH(C6701),1,1,2,1,3,1,4,2,5,2,6,3,7,3,8,3,9,3,10,2,11,2,12,1,2)</f>
        <v>1</v>
      </c>
      <c r="P6701" s="43"/>
    </row>
    <row r="6702" spans="1:16" ht="18" x14ac:dyDescent="0.35">
      <c r="A6702" s="9"/>
      <c r="C6702" s="393"/>
      <c r="E6702" s="394"/>
      <c r="F6702" s="394"/>
      <c r="G6702" s="394"/>
      <c r="I6702" s="368">
        <f t="shared" si="318"/>
        <v>0</v>
      </c>
      <c r="J6702" s="365">
        <f t="shared" si="319"/>
        <v>0</v>
      </c>
      <c r="K6702" s="369">
        <f t="shared" si="320"/>
        <v>6</v>
      </c>
      <c r="L6702" s="369">
        <f>+IF((C6702&gt;='Resultats - informe'!$E$16)*(C6702&lt;='Resultats - informe'!$G$16),1,0)</f>
        <v>1</v>
      </c>
      <c r="M6702" s="369" cm="1">
        <f t="array" ref="M6702">+_xlfn.IFS((C6702&gt;='Resultats - informe'!$D$26)*(C6702&lt;='Resultats - informe'!$E$26),0,(C6702&gt;='Resultats - informe'!$D$27)*(C6702&lt;='Resultats - informe'!$E$27),0,(C6702&gt;='Resultats - informe'!$D$28)*(C6702&lt;='Resultats - informe'!$E$28),0,(C6702&gt;='Resultats - informe'!$D$29)*(C6702&lt;='Resultats - informe'!$E$29),0,1,1)</f>
        <v>0</v>
      </c>
      <c r="N6702" s="366">
        <f>+VLOOKUP(D6702,'Resultats - informe'!$Y$18:$AG$42,'Introducció dades consum'!K6702+1,0)</f>
        <v>0</v>
      </c>
      <c r="O6702" s="370" cm="1">
        <f t="array" ref="O6702">+_xlfn.SWITCH(MONTH(C6702),1,1,2,1,3,1,4,2,5,2,6,3,7,3,8,3,9,3,10,2,11,2,12,1,2)</f>
        <v>1</v>
      </c>
      <c r="P6702" s="43"/>
    </row>
    <row r="6703" spans="1:16" ht="18" x14ac:dyDescent="0.35">
      <c r="A6703" s="9"/>
      <c r="C6703" s="393"/>
      <c r="E6703" s="394"/>
      <c r="F6703" s="394"/>
      <c r="G6703" s="394"/>
      <c r="I6703" s="368">
        <f t="shared" si="318"/>
        <v>0</v>
      </c>
      <c r="J6703" s="365">
        <f t="shared" si="319"/>
        <v>0</v>
      </c>
      <c r="K6703" s="369">
        <f t="shared" si="320"/>
        <v>6</v>
      </c>
      <c r="L6703" s="369">
        <f>+IF((C6703&gt;='Resultats - informe'!$E$16)*(C6703&lt;='Resultats - informe'!$G$16),1,0)</f>
        <v>1</v>
      </c>
      <c r="M6703" s="369" cm="1">
        <f t="array" ref="M6703">+_xlfn.IFS((C6703&gt;='Resultats - informe'!$D$26)*(C6703&lt;='Resultats - informe'!$E$26),0,(C6703&gt;='Resultats - informe'!$D$27)*(C6703&lt;='Resultats - informe'!$E$27),0,(C6703&gt;='Resultats - informe'!$D$28)*(C6703&lt;='Resultats - informe'!$E$28),0,(C6703&gt;='Resultats - informe'!$D$29)*(C6703&lt;='Resultats - informe'!$E$29),0,1,1)</f>
        <v>0</v>
      </c>
      <c r="N6703" s="366">
        <f>+VLOOKUP(D6703,'Resultats - informe'!$Y$18:$AG$42,'Introducció dades consum'!K6703+1,0)</f>
        <v>0</v>
      </c>
      <c r="O6703" s="370" cm="1">
        <f t="array" ref="O6703">+_xlfn.SWITCH(MONTH(C6703),1,1,2,1,3,1,4,2,5,2,6,3,7,3,8,3,9,3,10,2,11,2,12,1,2)</f>
        <v>1</v>
      </c>
      <c r="P6703" s="43"/>
    </row>
    <row r="6704" spans="1:16" ht="18" x14ac:dyDescent="0.35">
      <c r="A6704" s="9"/>
      <c r="C6704" s="393"/>
      <c r="E6704" s="394"/>
      <c r="F6704" s="394"/>
      <c r="G6704" s="394"/>
      <c r="I6704" s="368">
        <f t="shared" si="318"/>
        <v>0</v>
      </c>
      <c r="J6704" s="365">
        <f t="shared" si="319"/>
        <v>0</v>
      </c>
      <c r="K6704" s="369">
        <f t="shared" si="320"/>
        <v>6</v>
      </c>
      <c r="L6704" s="369">
        <f>+IF((C6704&gt;='Resultats - informe'!$E$16)*(C6704&lt;='Resultats - informe'!$G$16),1,0)</f>
        <v>1</v>
      </c>
      <c r="M6704" s="369" cm="1">
        <f t="array" ref="M6704">+_xlfn.IFS((C6704&gt;='Resultats - informe'!$D$26)*(C6704&lt;='Resultats - informe'!$E$26),0,(C6704&gt;='Resultats - informe'!$D$27)*(C6704&lt;='Resultats - informe'!$E$27),0,(C6704&gt;='Resultats - informe'!$D$28)*(C6704&lt;='Resultats - informe'!$E$28),0,(C6704&gt;='Resultats - informe'!$D$29)*(C6704&lt;='Resultats - informe'!$E$29),0,1,1)</f>
        <v>0</v>
      </c>
      <c r="N6704" s="366">
        <f>+VLOOKUP(D6704,'Resultats - informe'!$Y$18:$AG$42,'Introducció dades consum'!K6704+1,0)</f>
        <v>0</v>
      </c>
      <c r="O6704" s="370" cm="1">
        <f t="array" ref="O6704">+_xlfn.SWITCH(MONTH(C6704),1,1,2,1,3,1,4,2,5,2,6,3,7,3,8,3,9,3,10,2,11,2,12,1,2)</f>
        <v>1</v>
      </c>
      <c r="P6704" s="43"/>
    </row>
    <row r="6705" spans="1:16" ht="18" x14ac:dyDescent="0.35">
      <c r="A6705" s="9"/>
      <c r="C6705" s="393"/>
      <c r="E6705" s="394"/>
      <c r="F6705" s="394"/>
      <c r="G6705" s="394"/>
      <c r="I6705" s="368">
        <f t="shared" si="318"/>
        <v>0</v>
      </c>
      <c r="J6705" s="365">
        <f t="shared" si="319"/>
        <v>0</v>
      </c>
      <c r="K6705" s="369">
        <f t="shared" si="320"/>
        <v>6</v>
      </c>
      <c r="L6705" s="369">
        <f>+IF((C6705&gt;='Resultats - informe'!$E$16)*(C6705&lt;='Resultats - informe'!$G$16),1,0)</f>
        <v>1</v>
      </c>
      <c r="M6705" s="369" cm="1">
        <f t="array" ref="M6705">+_xlfn.IFS((C6705&gt;='Resultats - informe'!$D$26)*(C6705&lt;='Resultats - informe'!$E$26),0,(C6705&gt;='Resultats - informe'!$D$27)*(C6705&lt;='Resultats - informe'!$E$27),0,(C6705&gt;='Resultats - informe'!$D$28)*(C6705&lt;='Resultats - informe'!$E$28),0,(C6705&gt;='Resultats - informe'!$D$29)*(C6705&lt;='Resultats - informe'!$E$29),0,1,1)</f>
        <v>0</v>
      </c>
      <c r="N6705" s="366">
        <f>+VLOOKUP(D6705,'Resultats - informe'!$Y$18:$AG$42,'Introducció dades consum'!K6705+1,0)</f>
        <v>0</v>
      </c>
      <c r="O6705" s="370" cm="1">
        <f t="array" ref="O6705">+_xlfn.SWITCH(MONTH(C6705),1,1,2,1,3,1,4,2,5,2,6,3,7,3,8,3,9,3,10,2,11,2,12,1,2)</f>
        <v>1</v>
      </c>
      <c r="P6705" s="43"/>
    </row>
    <row r="6706" spans="1:16" ht="18" x14ac:dyDescent="0.35">
      <c r="A6706" s="9"/>
      <c r="C6706" s="393"/>
      <c r="E6706" s="394"/>
      <c r="F6706" s="394"/>
      <c r="G6706" s="394"/>
      <c r="I6706" s="368">
        <f t="shared" si="318"/>
        <v>0</v>
      </c>
      <c r="J6706" s="365">
        <f t="shared" si="319"/>
        <v>0</v>
      </c>
      <c r="K6706" s="369">
        <f t="shared" si="320"/>
        <v>6</v>
      </c>
      <c r="L6706" s="369">
        <f>+IF((C6706&gt;='Resultats - informe'!$E$16)*(C6706&lt;='Resultats - informe'!$G$16),1,0)</f>
        <v>1</v>
      </c>
      <c r="M6706" s="369" cm="1">
        <f t="array" ref="M6706">+_xlfn.IFS((C6706&gt;='Resultats - informe'!$D$26)*(C6706&lt;='Resultats - informe'!$E$26),0,(C6706&gt;='Resultats - informe'!$D$27)*(C6706&lt;='Resultats - informe'!$E$27),0,(C6706&gt;='Resultats - informe'!$D$28)*(C6706&lt;='Resultats - informe'!$E$28),0,(C6706&gt;='Resultats - informe'!$D$29)*(C6706&lt;='Resultats - informe'!$E$29),0,1,1)</f>
        <v>0</v>
      </c>
      <c r="N6706" s="366">
        <f>+VLOOKUP(D6706,'Resultats - informe'!$Y$18:$AG$42,'Introducció dades consum'!K6706+1,0)</f>
        <v>0</v>
      </c>
      <c r="O6706" s="370" cm="1">
        <f t="array" ref="O6706">+_xlfn.SWITCH(MONTH(C6706),1,1,2,1,3,1,4,2,5,2,6,3,7,3,8,3,9,3,10,2,11,2,12,1,2)</f>
        <v>1</v>
      </c>
      <c r="P6706" s="43"/>
    </row>
    <row r="6707" spans="1:16" ht="18" x14ac:dyDescent="0.35">
      <c r="A6707" s="9"/>
      <c r="C6707" s="393"/>
      <c r="E6707" s="394"/>
      <c r="F6707" s="394"/>
      <c r="G6707" s="394"/>
      <c r="I6707" s="368">
        <f t="shared" si="318"/>
        <v>0</v>
      </c>
      <c r="J6707" s="365">
        <f t="shared" si="319"/>
        <v>0</v>
      </c>
      <c r="K6707" s="369">
        <f t="shared" si="320"/>
        <v>6</v>
      </c>
      <c r="L6707" s="369">
        <f>+IF((C6707&gt;='Resultats - informe'!$E$16)*(C6707&lt;='Resultats - informe'!$G$16),1,0)</f>
        <v>1</v>
      </c>
      <c r="M6707" s="369" cm="1">
        <f t="array" ref="M6707">+_xlfn.IFS((C6707&gt;='Resultats - informe'!$D$26)*(C6707&lt;='Resultats - informe'!$E$26),0,(C6707&gt;='Resultats - informe'!$D$27)*(C6707&lt;='Resultats - informe'!$E$27),0,(C6707&gt;='Resultats - informe'!$D$28)*(C6707&lt;='Resultats - informe'!$E$28),0,(C6707&gt;='Resultats - informe'!$D$29)*(C6707&lt;='Resultats - informe'!$E$29),0,1,1)</f>
        <v>0</v>
      </c>
      <c r="N6707" s="366">
        <f>+VLOOKUP(D6707,'Resultats - informe'!$Y$18:$AG$42,'Introducció dades consum'!K6707+1,0)</f>
        <v>0</v>
      </c>
      <c r="O6707" s="370" cm="1">
        <f t="array" ref="O6707">+_xlfn.SWITCH(MONTH(C6707),1,1,2,1,3,1,4,2,5,2,6,3,7,3,8,3,9,3,10,2,11,2,12,1,2)</f>
        <v>1</v>
      </c>
      <c r="P6707" s="43"/>
    </row>
    <row r="6708" spans="1:16" ht="18" x14ac:dyDescent="0.35">
      <c r="A6708" s="9"/>
      <c r="C6708" s="393"/>
      <c r="E6708" s="394"/>
      <c r="F6708" s="394"/>
      <c r="G6708" s="394"/>
      <c r="I6708" s="368">
        <f t="shared" si="318"/>
        <v>0</v>
      </c>
      <c r="J6708" s="365">
        <f t="shared" si="319"/>
        <v>0</v>
      </c>
      <c r="K6708" s="369">
        <f t="shared" si="320"/>
        <v>6</v>
      </c>
      <c r="L6708" s="369">
        <f>+IF((C6708&gt;='Resultats - informe'!$E$16)*(C6708&lt;='Resultats - informe'!$G$16),1,0)</f>
        <v>1</v>
      </c>
      <c r="M6708" s="369" cm="1">
        <f t="array" ref="M6708">+_xlfn.IFS((C6708&gt;='Resultats - informe'!$D$26)*(C6708&lt;='Resultats - informe'!$E$26),0,(C6708&gt;='Resultats - informe'!$D$27)*(C6708&lt;='Resultats - informe'!$E$27),0,(C6708&gt;='Resultats - informe'!$D$28)*(C6708&lt;='Resultats - informe'!$E$28),0,(C6708&gt;='Resultats - informe'!$D$29)*(C6708&lt;='Resultats - informe'!$E$29),0,1,1)</f>
        <v>0</v>
      </c>
      <c r="N6708" s="366">
        <f>+VLOOKUP(D6708,'Resultats - informe'!$Y$18:$AG$42,'Introducció dades consum'!K6708+1,0)</f>
        <v>0</v>
      </c>
      <c r="O6708" s="370" cm="1">
        <f t="array" ref="O6708">+_xlfn.SWITCH(MONTH(C6708),1,1,2,1,3,1,4,2,5,2,6,3,7,3,8,3,9,3,10,2,11,2,12,1,2)</f>
        <v>1</v>
      </c>
      <c r="P6708" s="43"/>
    </row>
    <row r="6709" spans="1:16" ht="18" x14ac:dyDescent="0.35">
      <c r="A6709" s="9"/>
      <c r="C6709" s="393"/>
      <c r="E6709" s="394"/>
      <c r="F6709" s="394"/>
      <c r="G6709" s="394"/>
      <c r="I6709" s="368">
        <f t="shared" si="318"/>
        <v>0</v>
      </c>
      <c r="J6709" s="365">
        <f t="shared" si="319"/>
        <v>0</v>
      </c>
      <c r="K6709" s="369">
        <f t="shared" si="320"/>
        <v>6</v>
      </c>
      <c r="L6709" s="369">
        <f>+IF((C6709&gt;='Resultats - informe'!$E$16)*(C6709&lt;='Resultats - informe'!$G$16),1,0)</f>
        <v>1</v>
      </c>
      <c r="M6709" s="369" cm="1">
        <f t="array" ref="M6709">+_xlfn.IFS((C6709&gt;='Resultats - informe'!$D$26)*(C6709&lt;='Resultats - informe'!$E$26),0,(C6709&gt;='Resultats - informe'!$D$27)*(C6709&lt;='Resultats - informe'!$E$27),0,(C6709&gt;='Resultats - informe'!$D$28)*(C6709&lt;='Resultats - informe'!$E$28),0,(C6709&gt;='Resultats - informe'!$D$29)*(C6709&lt;='Resultats - informe'!$E$29),0,1,1)</f>
        <v>0</v>
      </c>
      <c r="N6709" s="366">
        <f>+VLOOKUP(D6709,'Resultats - informe'!$Y$18:$AG$42,'Introducció dades consum'!K6709+1,0)</f>
        <v>0</v>
      </c>
      <c r="O6709" s="370" cm="1">
        <f t="array" ref="O6709">+_xlfn.SWITCH(MONTH(C6709),1,1,2,1,3,1,4,2,5,2,6,3,7,3,8,3,9,3,10,2,11,2,12,1,2)</f>
        <v>1</v>
      </c>
      <c r="P6709" s="43"/>
    </row>
    <row r="6710" spans="1:16" ht="18" x14ac:dyDescent="0.35">
      <c r="A6710" s="9"/>
      <c r="C6710" s="393"/>
      <c r="E6710" s="394"/>
      <c r="F6710" s="394"/>
      <c r="G6710" s="394"/>
      <c r="I6710" s="368">
        <f t="shared" si="318"/>
        <v>0</v>
      </c>
      <c r="J6710" s="365">
        <f t="shared" si="319"/>
        <v>0</v>
      </c>
      <c r="K6710" s="369">
        <f t="shared" si="320"/>
        <v>6</v>
      </c>
      <c r="L6710" s="369">
        <f>+IF((C6710&gt;='Resultats - informe'!$E$16)*(C6710&lt;='Resultats - informe'!$G$16),1,0)</f>
        <v>1</v>
      </c>
      <c r="M6710" s="369" cm="1">
        <f t="array" ref="M6710">+_xlfn.IFS((C6710&gt;='Resultats - informe'!$D$26)*(C6710&lt;='Resultats - informe'!$E$26),0,(C6710&gt;='Resultats - informe'!$D$27)*(C6710&lt;='Resultats - informe'!$E$27),0,(C6710&gt;='Resultats - informe'!$D$28)*(C6710&lt;='Resultats - informe'!$E$28),0,(C6710&gt;='Resultats - informe'!$D$29)*(C6710&lt;='Resultats - informe'!$E$29),0,1,1)</f>
        <v>0</v>
      </c>
      <c r="N6710" s="366">
        <f>+VLOOKUP(D6710,'Resultats - informe'!$Y$18:$AG$42,'Introducció dades consum'!K6710+1,0)</f>
        <v>0</v>
      </c>
      <c r="O6710" s="370" cm="1">
        <f t="array" ref="O6710">+_xlfn.SWITCH(MONTH(C6710),1,1,2,1,3,1,4,2,5,2,6,3,7,3,8,3,9,3,10,2,11,2,12,1,2)</f>
        <v>1</v>
      </c>
      <c r="P6710" s="43"/>
    </row>
    <row r="6711" spans="1:16" ht="18" x14ac:dyDescent="0.35">
      <c r="A6711" s="9"/>
      <c r="C6711" s="393"/>
      <c r="E6711" s="394"/>
      <c r="F6711" s="394"/>
      <c r="G6711" s="394"/>
      <c r="I6711" s="368">
        <f t="shared" si="318"/>
        <v>0</v>
      </c>
      <c r="J6711" s="365">
        <f t="shared" si="319"/>
        <v>0</v>
      </c>
      <c r="K6711" s="369">
        <f t="shared" si="320"/>
        <v>6</v>
      </c>
      <c r="L6711" s="369">
        <f>+IF((C6711&gt;='Resultats - informe'!$E$16)*(C6711&lt;='Resultats - informe'!$G$16),1,0)</f>
        <v>1</v>
      </c>
      <c r="M6711" s="369" cm="1">
        <f t="array" ref="M6711">+_xlfn.IFS((C6711&gt;='Resultats - informe'!$D$26)*(C6711&lt;='Resultats - informe'!$E$26),0,(C6711&gt;='Resultats - informe'!$D$27)*(C6711&lt;='Resultats - informe'!$E$27),0,(C6711&gt;='Resultats - informe'!$D$28)*(C6711&lt;='Resultats - informe'!$E$28),0,(C6711&gt;='Resultats - informe'!$D$29)*(C6711&lt;='Resultats - informe'!$E$29),0,1,1)</f>
        <v>0</v>
      </c>
      <c r="N6711" s="366">
        <f>+VLOOKUP(D6711,'Resultats - informe'!$Y$18:$AG$42,'Introducció dades consum'!K6711+1,0)</f>
        <v>0</v>
      </c>
      <c r="O6711" s="370" cm="1">
        <f t="array" ref="O6711">+_xlfn.SWITCH(MONTH(C6711),1,1,2,1,3,1,4,2,5,2,6,3,7,3,8,3,9,3,10,2,11,2,12,1,2)</f>
        <v>1</v>
      </c>
      <c r="P6711" s="43"/>
    </row>
    <row r="6712" spans="1:16" ht="18" x14ac:dyDescent="0.35">
      <c r="A6712" s="9"/>
      <c r="C6712" s="393"/>
      <c r="E6712" s="394"/>
      <c r="F6712" s="394"/>
      <c r="G6712" s="394"/>
      <c r="I6712" s="368">
        <f t="shared" si="318"/>
        <v>0</v>
      </c>
      <c r="J6712" s="365">
        <f t="shared" si="319"/>
        <v>0</v>
      </c>
      <c r="K6712" s="369">
        <f t="shared" si="320"/>
        <v>6</v>
      </c>
      <c r="L6712" s="369">
        <f>+IF((C6712&gt;='Resultats - informe'!$E$16)*(C6712&lt;='Resultats - informe'!$G$16),1,0)</f>
        <v>1</v>
      </c>
      <c r="M6712" s="369" cm="1">
        <f t="array" ref="M6712">+_xlfn.IFS((C6712&gt;='Resultats - informe'!$D$26)*(C6712&lt;='Resultats - informe'!$E$26),0,(C6712&gt;='Resultats - informe'!$D$27)*(C6712&lt;='Resultats - informe'!$E$27),0,(C6712&gt;='Resultats - informe'!$D$28)*(C6712&lt;='Resultats - informe'!$E$28),0,(C6712&gt;='Resultats - informe'!$D$29)*(C6712&lt;='Resultats - informe'!$E$29),0,1,1)</f>
        <v>0</v>
      </c>
      <c r="N6712" s="366">
        <f>+VLOOKUP(D6712,'Resultats - informe'!$Y$18:$AG$42,'Introducció dades consum'!K6712+1,0)</f>
        <v>0</v>
      </c>
      <c r="O6712" s="370" cm="1">
        <f t="array" ref="O6712">+_xlfn.SWITCH(MONTH(C6712),1,1,2,1,3,1,4,2,5,2,6,3,7,3,8,3,9,3,10,2,11,2,12,1,2)</f>
        <v>1</v>
      </c>
      <c r="P6712" s="43"/>
    </row>
    <row r="6713" spans="1:16" ht="18" x14ac:dyDescent="0.35">
      <c r="A6713" s="9"/>
      <c r="C6713" s="393"/>
      <c r="E6713" s="394"/>
      <c r="F6713" s="394"/>
      <c r="G6713" s="394"/>
      <c r="I6713" s="368">
        <f t="shared" si="318"/>
        <v>0</v>
      </c>
      <c r="J6713" s="365">
        <f t="shared" si="319"/>
        <v>0</v>
      </c>
      <c r="K6713" s="369">
        <f t="shared" si="320"/>
        <v>6</v>
      </c>
      <c r="L6713" s="369">
        <f>+IF((C6713&gt;='Resultats - informe'!$E$16)*(C6713&lt;='Resultats - informe'!$G$16),1,0)</f>
        <v>1</v>
      </c>
      <c r="M6713" s="369" cm="1">
        <f t="array" ref="M6713">+_xlfn.IFS((C6713&gt;='Resultats - informe'!$D$26)*(C6713&lt;='Resultats - informe'!$E$26),0,(C6713&gt;='Resultats - informe'!$D$27)*(C6713&lt;='Resultats - informe'!$E$27),0,(C6713&gt;='Resultats - informe'!$D$28)*(C6713&lt;='Resultats - informe'!$E$28),0,(C6713&gt;='Resultats - informe'!$D$29)*(C6713&lt;='Resultats - informe'!$E$29),0,1,1)</f>
        <v>0</v>
      </c>
      <c r="N6713" s="366">
        <f>+VLOOKUP(D6713,'Resultats - informe'!$Y$18:$AG$42,'Introducció dades consum'!K6713+1,0)</f>
        <v>0</v>
      </c>
      <c r="O6713" s="370" cm="1">
        <f t="array" ref="O6713">+_xlfn.SWITCH(MONTH(C6713),1,1,2,1,3,1,4,2,5,2,6,3,7,3,8,3,9,3,10,2,11,2,12,1,2)</f>
        <v>1</v>
      </c>
      <c r="P6713" s="43"/>
    </row>
    <row r="6714" spans="1:16" ht="18" x14ac:dyDescent="0.35">
      <c r="A6714" s="9"/>
      <c r="C6714" s="393"/>
      <c r="E6714" s="394"/>
      <c r="F6714" s="394"/>
      <c r="G6714" s="394"/>
      <c r="I6714" s="368">
        <f t="shared" si="318"/>
        <v>0</v>
      </c>
      <c r="J6714" s="365">
        <f t="shared" si="319"/>
        <v>0</v>
      </c>
      <c r="K6714" s="369">
        <f t="shared" si="320"/>
        <v>6</v>
      </c>
      <c r="L6714" s="369">
        <f>+IF((C6714&gt;='Resultats - informe'!$E$16)*(C6714&lt;='Resultats - informe'!$G$16),1,0)</f>
        <v>1</v>
      </c>
      <c r="M6714" s="369" cm="1">
        <f t="array" ref="M6714">+_xlfn.IFS((C6714&gt;='Resultats - informe'!$D$26)*(C6714&lt;='Resultats - informe'!$E$26),0,(C6714&gt;='Resultats - informe'!$D$27)*(C6714&lt;='Resultats - informe'!$E$27),0,(C6714&gt;='Resultats - informe'!$D$28)*(C6714&lt;='Resultats - informe'!$E$28),0,(C6714&gt;='Resultats - informe'!$D$29)*(C6714&lt;='Resultats - informe'!$E$29),0,1,1)</f>
        <v>0</v>
      </c>
      <c r="N6714" s="366">
        <f>+VLOOKUP(D6714,'Resultats - informe'!$Y$18:$AG$42,'Introducció dades consum'!K6714+1,0)</f>
        <v>0</v>
      </c>
      <c r="O6714" s="370" cm="1">
        <f t="array" ref="O6714">+_xlfn.SWITCH(MONTH(C6714),1,1,2,1,3,1,4,2,5,2,6,3,7,3,8,3,9,3,10,2,11,2,12,1,2)</f>
        <v>1</v>
      </c>
      <c r="P6714" s="43"/>
    </row>
    <row r="6715" spans="1:16" ht="18" x14ac:dyDescent="0.35">
      <c r="A6715" s="9"/>
      <c r="C6715" s="393"/>
      <c r="E6715" s="394"/>
      <c r="F6715" s="394"/>
      <c r="G6715" s="394"/>
      <c r="I6715" s="368">
        <f t="shared" si="318"/>
        <v>0</v>
      </c>
      <c r="J6715" s="365">
        <f t="shared" si="319"/>
        <v>0</v>
      </c>
      <c r="K6715" s="369">
        <f t="shared" si="320"/>
        <v>6</v>
      </c>
      <c r="L6715" s="369">
        <f>+IF((C6715&gt;='Resultats - informe'!$E$16)*(C6715&lt;='Resultats - informe'!$G$16),1,0)</f>
        <v>1</v>
      </c>
      <c r="M6715" s="369" cm="1">
        <f t="array" ref="M6715">+_xlfn.IFS((C6715&gt;='Resultats - informe'!$D$26)*(C6715&lt;='Resultats - informe'!$E$26),0,(C6715&gt;='Resultats - informe'!$D$27)*(C6715&lt;='Resultats - informe'!$E$27),0,(C6715&gt;='Resultats - informe'!$D$28)*(C6715&lt;='Resultats - informe'!$E$28),0,(C6715&gt;='Resultats - informe'!$D$29)*(C6715&lt;='Resultats - informe'!$E$29),0,1,1)</f>
        <v>0</v>
      </c>
      <c r="N6715" s="366">
        <f>+VLOOKUP(D6715,'Resultats - informe'!$Y$18:$AG$42,'Introducció dades consum'!K6715+1,0)</f>
        <v>0</v>
      </c>
      <c r="O6715" s="370" cm="1">
        <f t="array" ref="O6715">+_xlfn.SWITCH(MONTH(C6715),1,1,2,1,3,1,4,2,5,2,6,3,7,3,8,3,9,3,10,2,11,2,12,1,2)</f>
        <v>1</v>
      </c>
      <c r="P6715" s="43"/>
    </row>
    <row r="6716" spans="1:16" ht="18" x14ac:dyDescent="0.35">
      <c r="A6716" s="9"/>
      <c r="C6716" s="393"/>
      <c r="E6716" s="394"/>
      <c r="F6716" s="394"/>
      <c r="G6716" s="394"/>
      <c r="I6716" s="368">
        <f t="shared" si="318"/>
        <v>0</v>
      </c>
      <c r="J6716" s="365">
        <f t="shared" si="319"/>
        <v>0</v>
      </c>
      <c r="K6716" s="369">
        <f t="shared" si="320"/>
        <v>6</v>
      </c>
      <c r="L6716" s="369">
        <f>+IF((C6716&gt;='Resultats - informe'!$E$16)*(C6716&lt;='Resultats - informe'!$G$16),1,0)</f>
        <v>1</v>
      </c>
      <c r="M6716" s="369" cm="1">
        <f t="array" ref="M6716">+_xlfn.IFS((C6716&gt;='Resultats - informe'!$D$26)*(C6716&lt;='Resultats - informe'!$E$26),0,(C6716&gt;='Resultats - informe'!$D$27)*(C6716&lt;='Resultats - informe'!$E$27),0,(C6716&gt;='Resultats - informe'!$D$28)*(C6716&lt;='Resultats - informe'!$E$28),0,(C6716&gt;='Resultats - informe'!$D$29)*(C6716&lt;='Resultats - informe'!$E$29),0,1,1)</f>
        <v>0</v>
      </c>
      <c r="N6716" s="366">
        <f>+VLOOKUP(D6716,'Resultats - informe'!$Y$18:$AG$42,'Introducció dades consum'!K6716+1,0)</f>
        <v>0</v>
      </c>
      <c r="O6716" s="370" cm="1">
        <f t="array" ref="O6716">+_xlfn.SWITCH(MONTH(C6716),1,1,2,1,3,1,4,2,5,2,6,3,7,3,8,3,9,3,10,2,11,2,12,1,2)</f>
        <v>1</v>
      </c>
      <c r="P6716" s="43"/>
    </row>
    <row r="6717" spans="1:16" ht="18" x14ac:dyDescent="0.35">
      <c r="A6717" s="9"/>
      <c r="C6717" s="393"/>
      <c r="E6717" s="394"/>
      <c r="F6717" s="394"/>
      <c r="G6717" s="394"/>
      <c r="I6717" s="368">
        <f t="shared" si="318"/>
        <v>0</v>
      </c>
      <c r="J6717" s="365">
        <f t="shared" si="319"/>
        <v>0</v>
      </c>
      <c r="K6717" s="369">
        <f t="shared" si="320"/>
        <v>6</v>
      </c>
      <c r="L6717" s="369">
        <f>+IF((C6717&gt;='Resultats - informe'!$E$16)*(C6717&lt;='Resultats - informe'!$G$16),1,0)</f>
        <v>1</v>
      </c>
      <c r="M6717" s="369" cm="1">
        <f t="array" ref="M6717">+_xlfn.IFS((C6717&gt;='Resultats - informe'!$D$26)*(C6717&lt;='Resultats - informe'!$E$26),0,(C6717&gt;='Resultats - informe'!$D$27)*(C6717&lt;='Resultats - informe'!$E$27),0,(C6717&gt;='Resultats - informe'!$D$28)*(C6717&lt;='Resultats - informe'!$E$28),0,(C6717&gt;='Resultats - informe'!$D$29)*(C6717&lt;='Resultats - informe'!$E$29),0,1,1)</f>
        <v>0</v>
      </c>
      <c r="N6717" s="366">
        <f>+VLOOKUP(D6717,'Resultats - informe'!$Y$18:$AG$42,'Introducció dades consum'!K6717+1,0)</f>
        <v>0</v>
      </c>
      <c r="O6717" s="370" cm="1">
        <f t="array" ref="O6717">+_xlfn.SWITCH(MONTH(C6717),1,1,2,1,3,1,4,2,5,2,6,3,7,3,8,3,9,3,10,2,11,2,12,1,2)</f>
        <v>1</v>
      </c>
      <c r="P6717" s="43"/>
    </row>
    <row r="6718" spans="1:16" ht="18" x14ac:dyDescent="0.35">
      <c r="A6718" s="9"/>
      <c r="C6718" s="393"/>
      <c r="E6718" s="394"/>
      <c r="F6718" s="394"/>
      <c r="G6718" s="394"/>
      <c r="I6718" s="368">
        <f t="shared" si="318"/>
        <v>0</v>
      </c>
      <c r="J6718" s="365">
        <f t="shared" si="319"/>
        <v>0</v>
      </c>
      <c r="K6718" s="369">
        <f t="shared" si="320"/>
        <v>6</v>
      </c>
      <c r="L6718" s="369">
        <f>+IF((C6718&gt;='Resultats - informe'!$E$16)*(C6718&lt;='Resultats - informe'!$G$16),1,0)</f>
        <v>1</v>
      </c>
      <c r="M6718" s="369" cm="1">
        <f t="array" ref="M6718">+_xlfn.IFS((C6718&gt;='Resultats - informe'!$D$26)*(C6718&lt;='Resultats - informe'!$E$26),0,(C6718&gt;='Resultats - informe'!$D$27)*(C6718&lt;='Resultats - informe'!$E$27),0,(C6718&gt;='Resultats - informe'!$D$28)*(C6718&lt;='Resultats - informe'!$E$28),0,(C6718&gt;='Resultats - informe'!$D$29)*(C6718&lt;='Resultats - informe'!$E$29),0,1,1)</f>
        <v>0</v>
      </c>
      <c r="N6718" s="366">
        <f>+VLOOKUP(D6718,'Resultats - informe'!$Y$18:$AG$42,'Introducció dades consum'!K6718+1,0)</f>
        <v>0</v>
      </c>
      <c r="O6718" s="370" cm="1">
        <f t="array" ref="O6718">+_xlfn.SWITCH(MONTH(C6718),1,1,2,1,3,1,4,2,5,2,6,3,7,3,8,3,9,3,10,2,11,2,12,1,2)</f>
        <v>1</v>
      </c>
      <c r="P6718" s="43"/>
    </row>
    <row r="6719" spans="1:16" ht="18" x14ac:dyDescent="0.35">
      <c r="A6719" s="9"/>
      <c r="C6719" s="393"/>
      <c r="E6719" s="394"/>
      <c r="F6719" s="394"/>
      <c r="G6719" s="394"/>
      <c r="I6719" s="368">
        <f t="shared" si="318"/>
        <v>0</v>
      </c>
      <c r="J6719" s="365">
        <f t="shared" si="319"/>
        <v>0</v>
      </c>
      <c r="K6719" s="369">
        <f t="shared" si="320"/>
        <v>6</v>
      </c>
      <c r="L6719" s="369">
        <f>+IF((C6719&gt;='Resultats - informe'!$E$16)*(C6719&lt;='Resultats - informe'!$G$16),1,0)</f>
        <v>1</v>
      </c>
      <c r="M6719" s="369" cm="1">
        <f t="array" ref="M6719">+_xlfn.IFS((C6719&gt;='Resultats - informe'!$D$26)*(C6719&lt;='Resultats - informe'!$E$26),0,(C6719&gt;='Resultats - informe'!$D$27)*(C6719&lt;='Resultats - informe'!$E$27),0,(C6719&gt;='Resultats - informe'!$D$28)*(C6719&lt;='Resultats - informe'!$E$28),0,(C6719&gt;='Resultats - informe'!$D$29)*(C6719&lt;='Resultats - informe'!$E$29),0,1,1)</f>
        <v>0</v>
      </c>
      <c r="N6719" s="366">
        <f>+VLOOKUP(D6719,'Resultats - informe'!$Y$18:$AG$42,'Introducció dades consum'!K6719+1,0)</f>
        <v>0</v>
      </c>
      <c r="O6719" s="370" cm="1">
        <f t="array" ref="O6719">+_xlfn.SWITCH(MONTH(C6719),1,1,2,1,3,1,4,2,5,2,6,3,7,3,8,3,9,3,10,2,11,2,12,1,2)</f>
        <v>1</v>
      </c>
      <c r="P6719" s="43"/>
    </row>
    <row r="6720" spans="1:16" ht="18" x14ac:dyDescent="0.35">
      <c r="A6720" s="9"/>
      <c r="C6720" s="393"/>
      <c r="E6720" s="394"/>
      <c r="F6720" s="394"/>
      <c r="G6720" s="394"/>
      <c r="I6720" s="368">
        <f t="shared" si="318"/>
        <v>0</v>
      </c>
      <c r="J6720" s="365">
        <f t="shared" si="319"/>
        <v>0</v>
      </c>
      <c r="K6720" s="369">
        <f t="shared" si="320"/>
        <v>6</v>
      </c>
      <c r="L6720" s="369">
        <f>+IF((C6720&gt;='Resultats - informe'!$E$16)*(C6720&lt;='Resultats - informe'!$G$16),1,0)</f>
        <v>1</v>
      </c>
      <c r="M6720" s="369" cm="1">
        <f t="array" ref="M6720">+_xlfn.IFS((C6720&gt;='Resultats - informe'!$D$26)*(C6720&lt;='Resultats - informe'!$E$26),0,(C6720&gt;='Resultats - informe'!$D$27)*(C6720&lt;='Resultats - informe'!$E$27),0,(C6720&gt;='Resultats - informe'!$D$28)*(C6720&lt;='Resultats - informe'!$E$28),0,(C6720&gt;='Resultats - informe'!$D$29)*(C6720&lt;='Resultats - informe'!$E$29),0,1,1)</f>
        <v>0</v>
      </c>
      <c r="N6720" s="366">
        <f>+VLOOKUP(D6720,'Resultats - informe'!$Y$18:$AG$42,'Introducció dades consum'!K6720+1,0)</f>
        <v>0</v>
      </c>
      <c r="O6720" s="370" cm="1">
        <f t="array" ref="O6720">+_xlfn.SWITCH(MONTH(C6720),1,1,2,1,3,1,4,2,5,2,6,3,7,3,8,3,9,3,10,2,11,2,12,1,2)</f>
        <v>1</v>
      </c>
      <c r="P6720" s="43"/>
    </row>
    <row r="6721" spans="1:16" ht="18" x14ac:dyDescent="0.35">
      <c r="A6721" s="9"/>
      <c r="C6721" s="393"/>
      <c r="E6721" s="394"/>
      <c r="F6721" s="394"/>
      <c r="G6721" s="394"/>
      <c r="I6721" s="368">
        <f t="shared" si="318"/>
        <v>0</v>
      </c>
      <c r="J6721" s="365">
        <f t="shared" si="319"/>
        <v>0</v>
      </c>
      <c r="K6721" s="369">
        <f t="shared" si="320"/>
        <v>6</v>
      </c>
      <c r="L6721" s="369">
        <f>+IF((C6721&gt;='Resultats - informe'!$E$16)*(C6721&lt;='Resultats - informe'!$G$16),1,0)</f>
        <v>1</v>
      </c>
      <c r="M6721" s="369" cm="1">
        <f t="array" ref="M6721">+_xlfn.IFS((C6721&gt;='Resultats - informe'!$D$26)*(C6721&lt;='Resultats - informe'!$E$26),0,(C6721&gt;='Resultats - informe'!$D$27)*(C6721&lt;='Resultats - informe'!$E$27),0,(C6721&gt;='Resultats - informe'!$D$28)*(C6721&lt;='Resultats - informe'!$E$28),0,(C6721&gt;='Resultats - informe'!$D$29)*(C6721&lt;='Resultats - informe'!$E$29),0,1,1)</f>
        <v>0</v>
      </c>
      <c r="N6721" s="366">
        <f>+VLOOKUP(D6721,'Resultats - informe'!$Y$18:$AG$42,'Introducció dades consum'!K6721+1,0)</f>
        <v>0</v>
      </c>
      <c r="O6721" s="370" cm="1">
        <f t="array" ref="O6721">+_xlfn.SWITCH(MONTH(C6721),1,1,2,1,3,1,4,2,5,2,6,3,7,3,8,3,9,3,10,2,11,2,12,1,2)</f>
        <v>1</v>
      </c>
      <c r="P6721" s="43"/>
    </row>
    <row r="6722" spans="1:16" ht="18" x14ac:dyDescent="0.35">
      <c r="A6722" s="9"/>
      <c r="C6722" s="393"/>
      <c r="E6722" s="394"/>
      <c r="F6722" s="394"/>
      <c r="G6722" s="394"/>
      <c r="I6722" s="368">
        <f t="shared" si="318"/>
        <v>0</v>
      </c>
      <c r="J6722" s="365">
        <f t="shared" si="319"/>
        <v>0</v>
      </c>
      <c r="K6722" s="369">
        <f t="shared" si="320"/>
        <v>6</v>
      </c>
      <c r="L6722" s="369">
        <f>+IF((C6722&gt;='Resultats - informe'!$E$16)*(C6722&lt;='Resultats - informe'!$G$16),1,0)</f>
        <v>1</v>
      </c>
      <c r="M6722" s="369" cm="1">
        <f t="array" ref="M6722">+_xlfn.IFS((C6722&gt;='Resultats - informe'!$D$26)*(C6722&lt;='Resultats - informe'!$E$26),0,(C6722&gt;='Resultats - informe'!$D$27)*(C6722&lt;='Resultats - informe'!$E$27),0,(C6722&gt;='Resultats - informe'!$D$28)*(C6722&lt;='Resultats - informe'!$E$28),0,(C6722&gt;='Resultats - informe'!$D$29)*(C6722&lt;='Resultats - informe'!$E$29),0,1,1)</f>
        <v>0</v>
      </c>
      <c r="N6722" s="366">
        <f>+VLOOKUP(D6722,'Resultats - informe'!$Y$18:$AG$42,'Introducció dades consum'!K6722+1,0)</f>
        <v>0</v>
      </c>
      <c r="O6722" s="370" cm="1">
        <f t="array" ref="O6722">+_xlfn.SWITCH(MONTH(C6722),1,1,2,1,3,1,4,2,5,2,6,3,7,3,8,3,9,3,10,2,11,2,12,1,2)</f>
        <v>1</v>
      </c>
      <c r="P6722" s="43"/>
    </row>
    <row r="6723" spans="1:16" ht="18" x14ac:dyDescent="0.35">
      <c r="A6723" s="9"/>
      <c r="C6723" s="393"/>
      <c r="E6723" s="394"/>
      <c r="F6723" s="394"/>
      <c r="G6723" s="394"/>
      <c r="I6723" s="368">
        <f t="shared" si="318"/>
        <v>0</v>
      </c>
      <c r="J6723" s="365">
        <f t="shared" si="319"/>
        <v>0</v>
      </c>
      <c r="K6723" s="369">
        <f t="shared" si="320"/>
        <v>6</v>
      </c>
      <c r="L6723" s="369">
        <f>+IF((C6723&gt;='Resultats - informe'!$E$16)*(C6723&lt;='Resultats - informe'!$G$16),1,0)</f>
        <v>1</v>
      </c>
      <c r="M6723" s="369" cm="1">
        <f t="array" ref="M6723">+_xlfn.IFS((C6723&gt;='Resultats - informe'!$D$26)*(C6723&lt;='Resultats - informe'!$E$26),0,(C6723&gt;='Resultats - informe'!$D$27)*(C6723&lt;='Resultats - informe'!$E$27),0,(C6723&gt;='Resultats - informe'!$D$28)*(C6723&lt;='Resultats - informe'!$E$28),0,(C6723&gt;='Resultats - informe'!$D$29)*(C6723&lt;='Resultats - informe'!$E$29),0,1,1)</f>
        <v>0</v>
      </c>
      <c r="N6723" s="366">
        <f>+VLOOKUP(D6723,'Resultats - informe'!$Y$18:$AG$42,'Introducció dades consum'!K6723+1,0)</f>
        <v>0</v>
      </c>
      <c r="O6723" s="370" cm="1">
        <f t="array" ref="O6723">+_xlfn.SWITCH(MONTH(C6723),1,1,2,1,3,1,4,2,5,2,6,3,7,3,8,3,9,3,10,2,11,2,12,1,2)</f>
        <v>1</v>
      </c>
      <c r="P6723" s="43"/>
    </row>
    <row r="6724" spans="1:16" ht="18" x14ac:dyDescent="0.35">
      <c r="A6724" s="9"/>
      <c r="C6724" s="393"/>
      <c r="E6724" s="394"/>
      <c r="F6724" s="394"/>
      <c r="G6724" s="394"/>
      <c r="I6724" s="368">
        <f t="shared" si="318"/>
        <v>0</v>
      </c>
      <c r="J6724" s="365">
        <f t="shared" si="319"/>
        <v>0</v>
      </c>
      <c r="K6724" s="369">
        <f t="shared" si="320"/>
        <v>6</v>
      </c>
      <c r="L6724" s="369">
        <f>+IF((C6724&gt;='Resultats - informe'!$E$16)*(C6724&lt;='Resultats - informe'!$G$16),1,0)</f>
        <v>1</v>
      </c>
      <c r="M6724" s="369" cm="1">
        <f t="array" ref="M6724">+_xlfn.IFS((C6724&gt;='Resultats - informe'!$D$26)*(C6724&lt;='Resultats - informe'!$E$26),0,(C6724&gt;='Resultats - informe'!$D$27)*(C6724&lt;='Resultats - informe'!$E$27),0,(C6724&gt;='Resultats - informe'!$D$28)*(C6724&lt;='Resultats - informe'!$E$28),0,(C6724&gt;='Resultats - informe'!$D$29)*(C6724&lt;='Resultats - informe'!$E$29),0,1,1)</f>
        <v>0</v>
      </c>
      <c r="N6724" s="366">
        <f>+VLOOKUP(D6724,'Resultats - informe'!$Y$18:$AG$42,'Introducció dades consum'!K6724+1,0)</f>
        <v>0</v>
      </c>
      <c r="O6724" s="370" cm="1">
        <f t="array" ref="O6724">+_xlfn.SWITCH(MONTH(C6724),1,1,2,1,3,1,4,2,5,2,6,3,7,3,8,3,9,3,10,2,11,2,12,1,2)</f>
        <v>1</v>
      </c>
      <c r="P6724" s="43"/>
    </row>
    <row r="6725" spans="1:16" ht="18" x14ac:dyDescent="0.35">
      <c r="A6725" s="9"/>
      <c r="C6725" s="393"/>
      <c r="E6725" s="394"/>
      <c r="F6725" s="394"/>
      <c r="G6725" s="394"/>
      <c r="I6725" s="368">
        <f t="shared" si="318"/>
        <v>0</v>
      </c>
      <c r="J6725" s="365">
        <f t="shared" si="319"/>
        <v>0</v>
      </c>
      <c r="K6725" s="369">
        <f t="shared" si="320"/>
        <v>6</v>
      </c>
      <c r="L6725" s="369">
        <f>+IF((C6725&gt;='Resultats - informe'!$E$16)*(C6725&lt;='Resultats - informe'!$G$16),1,0)</f>
        <v>1</v>
      </c>
      <c r="M6725" s="369" cm="1">
        <f t="array" ref="M6725">+_xlfn.IFS((C6725&gt;='Resultats - informe'!$D$26)*(C6725&lt;='Resultats - informe'!$E$26),0,(C6725&gt;='Resultats - informe'!$D$27)*(C6725&lt;='Resultats - informe'!$E$27),0,(C6725&gt;='Resultats - informe'!$D$28)*(C6725&lt;='Resultats - informe'!$E$28),0,(C6725&gt;='Resultats - informe'!$D$29)*(C6725&lt;='Resultats - informe'!$E$29),0,1,1)</f>
        <v>0</v>
      </c>
      <c r="N6725" s="366">
        <f>+VLOOKUP(D6725,'Resultats - informe'!$Y$18:$AG$42,'Introducció dades consum'!K6725+1,0)</f>
        <v>0</v>
      </c>
      <c r="O6725" s="370" cm="1">
        <f t="array" ref="O6725">+_xlfn.SWITCH(MONTH(C6725),1,1,2,1,3,1,4,2,5,2,6,3,7,3,8,3,9,3,10,2,11,2,12,1,2)</f>
        <v>1</v>
      </c>
      <c r="P6725" s="43"/>
    </row>
    <row r="6726" spans="1:16" ht="18" x14ac:dyDescent="0.35">
      <c r="A6726" s="9"/>
      <c r="C6726" s="393"/>
      <c r="E6726" s="394"/>
      <c r="F6726" s="394"/>
      <c r="G6726" s="394"/>
      <c r="I6726" s="368">
        <f t="shared" si="318"/>
        <v>0</v>
      </c>
      <c r="J6726" s="365">
        <f t="shared" si="319"/>
        <v>0</v>
      </c>
      <c r="K6726" s="369">
        <f t="shared" si="320"/>
        <v>6</v>
      </c>
      <c r="L6726" s="369">
        <f>+IF((C6726&gt;='Resultats - informe'!$E$16)*(C6726&lt;='Resultats - informe'!$G$16),1,0)</f>
        <v>1</v>
      </c>
      <c r="M6726" s="369" cm="1">
        <f t="array" ref="M6726">+_xlfn.IFS((C6726&gt;='Resultats - informe'!$D$26)*(C6726&lt;='Resultats - informe'!$E$26),0,(C6726&gt;='Resultats - informe'!$D$27)*(C6726&lt;='Resultats - informe'!$E$27),0,(C6726&gt;='Resultats - informe'!$D$28)*(C6726&lt;='Resultats - informe'!$E$28),0,(C6726&gt;='Resultats - informe'!$D$29)*(C6726&lt;='Resultats - informe'!$E$29),0,1,1)</f>
        <v>0</v>
      </c>
      <c r="N6726" s="366">
        <f>+VLOOKUP(D6726,'Resultats - informe'!$Y$18:$AG$42,'Introducció dades consum'!K6726+1,0)</f>
        <v>0</v>
      </c>
      <c r="O6726" s="370" cm="1">
        <f t="array" ref="O6726">+_xlfn.SWITCH(MONTH(C6726),1,1,2,1,3,1,4,2,5,2,6,3,7,3,8,3,9,3,10,2,11,2,12,1,2)</f>
        <v>1</v>
      </c>
      <c r="P6726" s="43"/>
    </row>
    <row r="6727" spans="1:16" ht="18" x14ac:dyDescent="0.35">
      <c r="A6727" s="9"/>
      <c r="C6727" s="393"/>
      <c r="E6727" s="394"/>
      <c r="F6727" s="394"/>
      <c r="G6727" s="394"/>
      <c r="I6727" s="368">
        <f t="shared" si="318"/>
        <v>0</v>
      </c>
      <c r="J6727" s="365">
        <f t="shared" si="319"/>
        <v>0</v>
      </c>
      <c r="K6727" s="369">
        <f t="shared" si="320"/>
        <v>6</v>
      </c>
      <c r="L6727" s="369">
        <f>+IF((C6727&gt;='Resultats - informe'!$E$16)*(C6727&lt;='Resultats - informe'!$G$16),1,0)</f>
        <v>1</v>
      </c>
      <c r="M6727" s="369" cm="1">
        <f t="array" ref="M6727">+_xlfn.IFS((C6727&gt;='Resultats - informe'!$D$26)*(C6727&lt;='Resultats - informe'!$E$26),0,(C6727&gt;='Resultats - informe'!$D$27)*(C6727&lt;='Resultats - informe'!$E$27),0,(C6727&gt;='Resultats - informe'!$D$28)*(C6727&lt;='Resultats - informe'!$E$28),0,(C6727&gt;='Resultats - informe'!$D$29)*(C6727&lt;='Resultats - informe'!$E$29),0,1,1)</f>
        <v>0</v>
      </c>
      <c r="N6727" s="366">
        <f>+VLOOKUP(D6727,'Resultats - informe'!$Y$18:$AG$42,'Introducció dades consum'!K6727+1,0)</f>
        <v>0</v>
      </c>
      <c r="O6727" s="370" cm="1">
        <f t="array" ref="O6727">+_xlfn.SWITCH(MONTH(C6727),1,1,2,1,3,1,4,2,5,2,6,3,7,3,8,3,9,3,10,2,11,2,12,1,2)</f>
        <v>1</v>
      </c>
      <c r="P6727" s="43"/>
    </row>
    <row r="6728" spans="1:16" ht="18" x14ac:dyDescent="0.35">
      <c r="A6728" s="9"/>
      <c r="C6728" s="393"/>
      <c r="E6728" s="394"/>
      <c r="F6728" s="394"/>
      <c r="G6728" s="394"/>
      <c r="I6728" s="368">
        <f t="shared" si="318"/>
        <v>0</v>
      </c>
      <c r="J6728" s="365">
        <f t="shared" si="319"/>
        <v>0</v>
      </c>
      <c r="K6728" s="369">
        <f t="shared" si="320"/>
        <v>6</v>
      </c>
      <c r="L6728" s="369">
        <f>+IF((C6728&gt;='Resultats - informe'!$E$16)*(C6728&lt;='Resultats - informe'!$G$16),1,0)</f>
        <v>1</v>
      </c>
      <c r="M6728" s="369" cm="1">
        <f t="array" ref="M6728">+_xlfn.IFS((C6728&gt;='Resultats - informe'!$D$26)*(C6728&lt;='Resultats - informe'!$E$26),0,(C6728&gt;='Resultats - informe'!$D$27)*(C6728&lt;='Resultats - informe'!$E$27),0,(C6728&gt;='Resultats - informe'!$D$28)*(C6728&lt;='Resultats - informe'!$E$28),0,(C6728&gt;='Resultats - informe'!$D$29)*(C6728&lt;='Resultats - informe'!$E$29),0,1,1)</f>
        <v>0</v>
      </c>
      <c r="N6728" s="366">
        <f>+VLOOKUP(D6728,'Resultats - informe'!$Y$18:$AG$42,'Introducció dades consum'!K6728+1,0)</f>
        <v>0</v>
      </c>
      <c r="O6728" s="370" cm="1">
        <f t="array" ref="O6728">+_xlfn.SWITCH(MONTH(C6728),1,1,2,1,3,1,4,2,5,2,6,3,7,3,8,3,9,3,10,2,11,2,12,1,2)</f>
        <v>1</v>
      </c>
      <c r="P6728" s="43"/>
    </row>
    <row r="6729" spans="1:16" ht="18" x14ac:dyDescent="0.35">
      <c r="A6729" s="9"/>
      <c r="C6729" s="393"/>
      <c r="E6729" s="394"/>
      <c r="F6729" s="394"/>
      <c r="G6729" s="394"/>
      <c r="I6729" s="368">
        <f t="shared" si="318"/>
        <v>0</v>
      </c>
      <c r="J6729" s="365">
        <f t="shared" si="319"/>
        <v>0</v>
      </c>
      <c r="K6729" s="369">
        <f t="shared" si="320"/>
        <v>6</v>
      </c>
      <c r="L6729" s="369">
        <f>+IF((C6729&gt;='Resultats - informe'!$E$16)*(C6729&lt;='Resultats - informe'!$G$16),1,0)</f>
        <v>1</v>
      </c>
      <c r="M6729" s="369" cm="1">
        <f t="array" ref="M6729">+_xlfn.IFS((C6729&gt;='Resultats - informe'!$D$26)*(C6729&lt;='Resultats - informe'!$E$26),0,(C6729&gt;='Resultats - informe'!$D$27)*(C6729&lt;='Resultats - informe'!$E$27),0,(C6729&gt;='Resultats - informe'!$D$28)*(C6729&lt;='Resultats - informe'!$E$28),0,(C6729&gt;='Resultats - informe'!$D$29)*(C6729&lt;='Resultats - informe'!$E$29),0,1,1)</f>
        <v>0</v>
      </c>
      <c r="N6729" s="366">
        <f>+VLOOKUP(D6729,'Resultats - informe'!$Y$18:$AG$42,'Introducció dades consum'!K6729+1,0)</f>
        <v>0</v>
      </c>
      <c r="O6729" s="370" cm="1">
        <f t="array" ref="O6729">+_xlfn.SWITCH(MONTH(C6729),1,1,2,1,3,1,4,2,5,2,6,3,7,3,8,3,9,3,10,2,11,2,12,1,2)</f>
        <v>1</v>
      </c>
      <c r="P6729" s="43"/>
    </row>
    <row r="6730" spans="1:16" ht="18" x14ac:dyDescent="0.35">
      <c r="A6730" s="9"/>
      <c r="C6730" s="393"/>
      <c r="E6730" s="394"/>
      <c r="F6730" s="394"/>
      <c r="G6730" s="394"/>
      <c r="I6730" s="368">
        <f t="shared" si="318"/>
        <v>0</v>
      </c>
      <c r="J6730" s="365">
        <f t="shared" si="319"/>
        <v>0</v>
      </c>
      <c r="K6730" s="369">
        <f t="shared" si="320"/>
        <v>6</v>
      </c>
      <c r="L6730" s="369">
        <f>+IF((C6730&gt;='Resultats - informe'!$E$16)*(C6730&lt;='Resultats - informe'!$G$16),1,0)</f>
        <v>1</v>
      </c>
      <c r="M6730" s="369" cm="1">
        <f t="array" ref="M6730">+_xlfn.IFS((C6730&gt;='Resultats - informe'!$D$26)*(C6730&lt;='Resultats - informe'!$E$26),0,(C6730&gt;='Resultats - informe'!$D$27)*(C6730&lt;='Resultats - informe'!$E$27),0,(C6730&gt;='Resultats - informe'!$D$28)*(C6730&lt;='Resultats - informe'!$E$28),0,(C6730&gt;='Resultats - informe'!$D$29)*(C6730&lt;='Resultats - informe'!$E$29),0,1,1)</f>
        <v>0</v>
      </c>
      <c r="N6730" s="366">
        <f>+VLOOKUP(D6730,'Resultats - informe'!$Y$18:$AG$42,'Introducció dades consum'!K6730+1,0)</f>
        <v>0</v>
      </c>
      <c r="O6730" s="370" cm="1">
        <f t="array" ref="O6730">+_xlfn.SWITCH(MONTH(C6730),1,1,2,1,3,1,4,2,5,2,6,3,7,3,8,3,9,3,10,2,11,2,12,1,2)</f>
        <v>1</v>
      </c>
      <c r="P6730" s="43"/>
    </row>
    <row r="6731" spans="1:16" ht="18" x14ac:dyDescent="0.35">
      <c r="A6731" s="9"/>
      <c r="C6731" s="393"/>
      <c r="E6731" s="394"/>
      <c r="F6731" s="394"/>
      <c r="G6731" s="394"/>
      <c r="I6731" s="368">
        <f t="shared" si="318"/>
        <v>0</v>
      </c>
      <c r="J6731" s="365">
        <f t="shared" si="319"/>
        <v>0</v>
      </c>
      <c r="K6731" s="369">
        <f t="shared" si="320"/>
        <v>6</v>
      </c>
      <c r="L6731" s="369">
        <f>+IF((C6731&gt;='Resultats - informe'!$E$16)*(C6731&lt;='Resultats - informe'!$G$16),1,0)</f>
        <v>1</v>
      </c>
      <c r="M6731" s="369" cm="1">
        <f t="array" ref="M6731">+_xlfn.IFS((C6731&gt;='Resultats - informe'!$D$26)*(C6731&lt;='Resultats - informe'!$E$26),0,(C6731&gt;='Resultats - informe'!$D$27)*(C6731&lt;='Resultats - informe'!$E$27),0,(C6731&gt;='Resultats - informe'!$D$28)*(C6731&lt;='Resultats - informe'!$E$28),0,(C6731&gt;='Resultats - informe'!$D$29)*(C6731&lt;='Resultats - informe'!$E$29),0,1,1)</f>
        <v>0</v>
      </c>
      <c r="N6731" s="366">
        <f>+VLOOKUP(D6731,'Resultats - informe'!$Y$18:$AG$42,'Introducció dades consum'!K6731+1,0)</f>
        <v>0</v>
      </c>
      <c r="O6731" s="370" cm="1">
        <f t="array" ref="O6731">+_xlfn.SWITCH(MONTH(C6731),1,1,2,1,3,1,4,2,5,2,6,3,7,3,8,3,9,3,10,2,11,2,12,1,2)</f>
        <v>1</v>
      </c>
      <c r="P6731" s="43"/>
    </row>
    <row r="6732" spans="1:16" ht="18" x14ac:dyDescent="0.35">
      <c r="A6732" s="9"/>
      <c r="C6732" s="393"/>
      <c r="E6732" s="394"/>
      <c r="F6732" s="394"/>
      <c r="G6732" s="394"/>
      <c r="I6732" s="368">
        <f t="shared" si="318"/>
        <v>0</v>
      </c>
      <c r="J6732" s="365">
        <f t="shared" si="319"/>
        <v>0</v>
      </c>
      <c r="K6732" s="369">
        <f t="shared" si="320"/>
        <v>6</v>
      </c>
      <c r="L6732" s="369">
        <f>+IF((C6732&gt;='Resultats - informe'!$E$16)*(C6732&lt;='Resultats - informe'!$G$16),1,0)</f>
        <v>1</v>
      </c>
      <c r="M6732" s="369" cm="1">
        <f t="array" ref="M6732">+_xlfn.IFS((C6732&gt;='Resultats - informe'!$D$26)*(C6732&lt;='Resultats - informe'!$E$26),0,(C6732&gt;='Resultats - informe'!$D$27)*(C6732&lt;='Resultats - informe'!$E$27),0,(C6732&gt;='Resultats - informe'!$D$28)*(C6732&lt;='Resultats - informe'!$E$28),0,(C6732&gt;='Resultats - informe'!$D$29)*(C6732&lt;='Resultats - informe'!$E$29),0,1,1)</f>
        <v>0</v>
      </c>
      <c r="N6732" s="366">
        <f>+VLOOKUP(D6732,'Resultats - informe'!$Y$18:$AG$42,'Introducció dades consum'!K6732+1,0)</f>
        <v>0</v>
      </c>
      <c r="O6732" s="370" cm="1">
        <f t="array" ref="O6732">+_xlfn.SWITCH(MONTH(C6732),1,1,2,1,3,1,4,2,5,2,6,3,7,3,8,3,9,3,10,2,11,2,12,1,2)</f>
        <v>1</v>
      </c>
      <c r="P6732" s="43"/>
    </row>
    <row r="6733" spans="1:16" ht="18" x14ac:dyDescent="0.35">
      <c r="A6733" s="9"/>
      <c r="C6733" s="393"/>
      <c r="E6733" s="394"/>
      <c r="F6733" s="394"/>
      <c r="G6733" s="394"/>
      <c r="I6733" s="368">
        <f t="shared" si="318"/>
        <v>0</v>
      </c>
      <c r="J6733" s="365">
        <f t="shared" si="319"/>
        <v>0</v>
      </c>
      <c r="K6733" s="369">
        <f t="shared" si="320"/>
        <v>6</v>
      </c>
      <c r="L6733" s="369">
        <f>+IF((C6733&gt;='Resultats - informe'!$E$16)*(C6733&lt;='Resultats - informe'!$G$16),1,0)</f>
        <v>1</v>
      </c>
      <c r="M6733" s="369" cm="1">
        <f t="array" ref="M6733">+_xlfn.IFS((C6733&gt;='Resultats - informe'!$D$26)*(C6733&lt;='Resultats - informe'!$E$26),0,(C6733&gt;='Resultats - informe'!$D$27)*(C6733&lt;='Resultats - informe'!$E$27),0,(C6733&gt;='Resultats - informe'!$D$28)*(C6733&lt;='Resultats - informe'!$E$28),0,(C6733&gt;='Resultats - informe'!$D$29)*(C6733&lt;='Resultats - informe'!$E$29),0,1,1)</f>
        <v>0</v>
      </c>
      <c r="N6733" s="366">
        <f>+VLOOKUP(D6733,'Resultats - informe'!$Y$18:$AG$42,'Introducció dades consum'!K6733+1,0)</f>
        <v>0</v>
      </c>
      <c r="O6733" s="370" cm="1">
        <f t="array" ref="O6733">+_xlfn.SWITCH(MONTH(C6733),1,1,2,1,3,1,4,2,5,2,6,3,7,3,8,3,9,3,10,2,11,2,12,1,2)</f>
        <v>1</v>
      </c>
      <c r="P6733" s="43"/>
    </row>
    <row r="6734" spans="1:16" ht="18" x14ac:dyDescent="0.35">
      <c r="A6734" s="9"/>
      <c r="C6734" s="393"/>
      <c r="E6734" s="394"/>
      <c r="F6734" s="394"/>
      <c r="G6734" s="394"/>
      <c r="I6734" s="368">
        <f t="shared" si="318"/>
        <v>0</v>
      </c>
      <c r="J6734" s="365">
        <f t="shared" si="319"/>
        <v>0</v>
      </c>
      <c r="K6734" s="369">
        <f t="shared" si="320"/>
        <v>6</v>
      </c>
      <c r="L6734" s="369">
        <f>+IF((C6734&gt;='Resultats - informe'!$E$16)*(C6734&lt;='Resultats - informe'!$G$16),1,0)</f>
        <v>1</v>
      </c>
      <c r="M6734" s="369" cm="1">
        <f t="array" ref="M6734">+_xlfn.IFS((C6734&gt;='Resultats - informe'!$D$26)*(C6734&lt;='Resultats - informe'!$E$26),0,(C6734&gt;='Resultats - informe'!$D$27)*(C6734&lt;='Resultats - informe'!$E$27),0,(C6734&gt;='Resultats - informe'!$D$28)*(C6734&lt;='Resultats - informe'!$E$28),0,(C6734&gt;='Resultats - informe'!$D$29)*(C6734&lt;='Resultats - informe'!$E$29),0,1,1)</f>
        <v>0</v>
      </c>
      <c r="N6734" s="366">
        <f>+VLOOKUP(D6734,'Resultats - informe'!$Y$18:$AG$42,'Introducció dades consum'!K6734+1,0)</f>
        <v>0</v>
      </c>
      <c r="O6734" s="370" cm="1">
        <f t="array" ref="O6734">+_xlfn.SWITCH(MONTH(C6734),1,1,2,1,3,1,4,2,5,2,6,3,7,3,8,3,9,3,10,2,11,2,12,1,2)</f>
        <v>1</v>
      </c>
      <c r="P6734" s="43"/>
    </row>
    <row r="6735" spans="1:16" ht="18" x14ac:dyDescent="0.35">
      <c r="A6735" s="9"/>
      <c r="C6735" s="393"/>
      <c r="E6735" s="394"/>
      <c r="F6735" s="394"/>
      <c r="G6735" s="394"/>
      <c r="I6735" s="368">
        <f t="shared" si="318"/>
        <v>0</v>
      </c>
      <c r="J6735" s="365">
        <f t="shared" si="319"/>
        <v>0</v>
      </c>
      <c r="K6735" s="369">
        <f t="shared" si="320"/>
        <v>6</v>
      </c>
      <c r="L6735" s="369">
        <f>+IF((C6735&gt;='Resultats - informe'!$E$16)*(C6735&lt;='Resultats - informe'!$G$16),1,0)</f>
        <v>1</v>
      </c>
      <c r="M6735" s="369" cm="1">
        <f t="array" ref="M6735">+_xlfn.IFS((C6735&gt;='Resultats - informe'!$D$26)*(C6735&lt;='Resultats - informe'!$E$26),0,(C6735&gt;='Resultats - informe'!$D$27)*(C6735&lt;='Resultats - informe'!$E$27),0,(C6735&gt;='Resultats - informe'!$D$28)*(C6735&lt;='Resultats - informe'!$E$28),0,(C6735&gt;='Resultats - informe'!$D$29)*(C6735&lt;='Resultats - informe'!$E$29),0,1,1)</f>
        <v>0</v>
      </c>
      <c r="N6735" s="366">
        <f>+VLOOKUP(D6735,'Resultats - informe'!$Y$18:$AG$42,'Introducció dades consum'!K6735+1,0)</f>
        <v>0</v>
      </c>
      <c r="O6735" s="370" cm="1">
        <f t="array" ref="O6735">+_xlfn.SWITCH(MONTH(C6735),1,1,2,1,3,1,4,2,5,2,6,3,7,3,8,3,9,3,10,2,11,2,12,1,2)</f>
        <v>1</v>
      </c>
      <c r="P6735" s="43"/>
    </row>
    <row r="6736" spans="1:16" ht="18" x14ac:dyDescent="0.35">
      <c r="A6736" s="9"/>
      <c r="C6736" s="393"/>
      <c r="E6736" s="394"/>
      <c r="F6736" s="394"/>
      <c r="G6736" s="394"/>
      <c r="I6736" s="368">
        <f t="shared" si="318"/>
        <v>0</v>
      </c>
      <c r="J6736" s="365">
        <f t="shared" si="319"/>
        <v>0</v>
      </c>
      <c r="K6736" s="369">
        <f t="shared" si="320"/>
        <v>6</v>
      </c>
      <c r="L6736" s="369">
        <f>+IF((C6736&gt;='Resultats - informe'!$E$16)*(C6736&lt;='Resultats - informe'!$G$16),1,0)</f>
        <v>1</v>
      </c>
      <c r="M6736" s="369" cm="1">
        <f t="array" ref="M6736">+_xlfn.IFS((C6736&gt;='Resultats - informe'!$D$26)*(C6736&lt;='Resultats - informe'!$E$26),0,(C6736&gt;='Resultats - informe'!$D$27)*(C6736&lt;='Resultats - informe'!$E$27),0,(C6736&gt;='Resultats - informe'!$D$28)*(C6736&lt;='Resultats - informe'!$E$28),0,(C6736&gt;='Resultats - informe'!$D$29)*(C6736&lt;='Resultats - informe'!$E$29),0,1,1)</f>
        <v>0</v>
      </c>
      <c r="N6736" s="366">
        <f>+VLOOKUP(D6736,'Resultats - informe'!$Y$18:$AG$42,'Introducció dades consum'!K6736+1,0)</f>
        <v>0</v>
      </c>
      <c r="O6736" s="370" cm="1">
        <f t="array" ref="O6736">+_xlfn.SWITCH(MONTH(C6736),1,1,2,1,3,1,4,2,5,2,6,3,7,3,8,3,9,3,10,2,11,2,12,1,2)</f>
        <v>1</v>
      </c>
      <c r="P6736" s="43"/>
    </row>
    <row r="6737" spans="1:16" ht="18" x14ac:dyDescent="0.35">
      <c r="A6737" s="9"/>
      <c r="C6737" s="393"/>
      <c r="E6737" s="394"/>
      <c r="F6737" s="394"/>
      <c r="G6737" s="394"/>
      <c r="I6737" s="368">
        <f t="shared" si="318"/>
        <v>0</v>
      </c>
      <c r="J6737" s="365">
        <f t="shared" si="319"/>
        <v>0</v>
      </c>
      <c r="K6737" s="369">
        <f t="shared" si="320"/>
        <v>6</v>
      </c>
      <c r="L6737" s="369">
        <f>+IF((C6737&gt;='Resultats - informe'!$E$16)*(C6737&lt;='Resultats - informe'!$G$16),1,0)</f>
        <v>1</v>
      </c>
      <c r="M6737" s="369" cm="1">
        <f t="array" ref="M6737">+_xlfn.IFS((C6737&gt;='Resultats - informe'!$D$26)*(C6737&lt;='Resultats - informe'!$E$26),0,(C6737&gt;='Resultats - informe'!$D$27)*(C6737&lt;='Resultats - informe'!$E$27),0,(C6737&gt;='Resultats - informe'!$D$28)*(C6737&lt;='Resultats - informe'!$E$28),0,(C6737&gt;='Resultats - informe'!$D$29)*(C6737&lt;='Resultats - informe'!$E$29),0,1,1)</f>
        <v>0</v>
      </c>
      <c r="N6737" s="366">
        <f>+VLOOKUP(D6737,'Resultats - informe'!$Y$18:$AG$42,'Introducció dades consum'!K6737+1,0)</f>
        <v>0</v>
      </c>
      <c r="O6737" s="370" cm="1">
        <f t="array" ref="O6737">+_xlfn.SWITCH(MONTH(C6737),1,1,2,1,3,1,4,2,5,2,6,3,7,3,8,3,9,3,10,2,11,2,12,1,2)</f>
        <v>1</v>
      </c>
      <c r="P6737" s="43"/>
    </row>
    <row r="6738" spans="1:16" ht="18" x14ac:dyDescent="0.35">
      <c r="A6738" s="9"/>
      <c r="C6738" s="393"/>
      <c r="E6738" s="394"/>
      <c r="F6738" s="394"/>
      <c r="G6738" s="394"/>
      <c r="I6738" s="368">
        <f t="shared" ref="I6738:I6801" si="321">+E6738+G6738</f>
        <v>0</v>
      </c>
      <c r="J6738" s="365">
        <f t="shared" ref="J6738:J6801" si="322">+C6738</f>
        <v>0</v>
      </c>
      <c r="K6738" s="369">
        <f t="shared" ref="K6738:K6801" si="323">+WEEKDAY(C6738,2)</f>
        <v>6</v>
      </c>
      <c r="L6738" s="369">
        <f>+IF((C6738&gt;='Resultats - informe'!$E$16)*(C6738&lt;='Resultats - informe'!$G$16),1,0)</f>
        <v>1</v>
      </c>
      <c r="M6738" s="369" cm="1">
        <f t="array" ref="M6738">+_xlfn.IFS((C6738&gt;='Resultats - informe'!$D$26)*(C6738&lt;='Resultats - informe'!$E$26),0,(C6738&gt;='Resultats - informe'!$D$27)*(C6738&lt;='Resultats - informe'!$E$27),0,(C6738&gt;='Resultats - informe'!$D$28)*(C6738&lt;='Resultats - informe'!$E$28),0,(C6738&gt;='Resultats - informe'!$D$29)*(C6738&lt;='Resultats - informe'!$E$29),0,1,1)</f>
        <v>0</v>
      </c>
      <c r="N6738" s="366">
        <f>+VLOOKUP(D6738,'Resultats - informe'!$Y$18:$AG$42,'Introducció dades consum'!K6738+1,0)</f>
        <v>0</v>
      </c>
      <c r="O6738" s="370" cm="1">
        <f t="array" ref="O6738">+_xlfn.SWITCH(MONTH(C6738),1,1,2,1,3,1,4,2,5,2,6,3,7,3,8,3,9,3,10,2,11,2,12,1,2)</f>
        <v>1</v>
      </c>
      <c r="P6738" s="43"/>
    </row>
    <row r="6739" spans="1:16" ht="18" x14ac:dyDescent="0.35">
      <c r="A6739" s="9"/>
      <c r="C6739" s="393"/>
      <c r="E6739" s="394"/>
      <c r="F6739" s="394"/>
      <c r="G6739" s="394"/>
      <c r="I6739" s="368">
        <f t="shared" si="321"/>
        <v>0</v>
      </c>
      <c r="J6739" s="365">
        <f t="shared" si="322"/>
        <v>0</v>
      </c>
      <c r="K6739" s="369">
        <f t="shared" si="323"/>
        <v>6</v>
      </c>
      <c r="L6739" s="369">
        <f>+IF((C6739&gt;='Resultats - informe'!$E$16)*(C6739&lt;='Resultats - informe'!$G$16),1,0)</f>
        <v>1</v>
      </c>
      <c r="M6739" s="369" cm="1">
        <f t="array" ref="M6739">+_xlfn.IFS((C6739&gt;='Resultats - informe'!$D$26)*(C6739&lt;='Resultats - informe'!$E$26),0,(C6739&gt;='Resultats - informe'!$D$27)*(C6739&lt;='Resultats - informe'!$E$27),0,(C6739&gt;='Resultats - informe'!$D$28)*(C6739&lt;='Resultats - informe'!$E$28),0,(C6739&gt;='Resultats - informe'!$D$29)*(C6739&lt;='Resultats - informe'!$E$29),0,1,1)</f>
        <v>0</v>
      </c>
      <c r="N6739" s="366">
        <f>+VLOOKUP(D6739,'Resultats - informe'!$Y$18:$AG$42,'Introducció dades consum'!K6739+1,0)</f>
        <v>0</v>
      </c>
      <c r="O6739" s="370" cm="1">
        <f t="array" ref="O6739">+_xlfn.SWITCH(MONTH(C6739),1,1,2,1,3,1,4,2,5,2,6,3,7,3,8,3,9,3,10,2,11,2,12,1,2)</f>
        <v>1</v>
      </c>
      <c r="P6739" s="43"/>
    </row>
    <row r="6740" spans="1:16" ht="18" x14ac:dyDescent="0.35">
      <c r="A6740" s="9"/>
      <c r="C6740" s="393"/>
      <c r="E6740" s="394"/>
      <c r="F6740" s="394"/>
      <c r="G6740" s="394"/>
      <c r="I6740" s="368">
        <f t="shared" si="321"/>
        <v>0</v>
      </c>
      <c r="J6740" s="365">
        <f t="shared" si="322"/>
        <v>0</v>
      </c>
      <c r="K6740" s="369">
        <f t="shared" si="323"/>
        <v>6</v>
      </c>
      <c r="L6740" s="369">
        <f>+IF((C6740&gt;='Resultats - informe'!$E$16)*(C6740&lt;='Resultats - informe'!$G$16),1,0)</f>
        <v>1</v>
      </c>
      <c r="M6740" s="369" cm="1">
        <f t="array" ref="M6740">+_xlfn.IFS((C6740&gt;='Resultats - informe'!$D$26)*(C6740&lt;='Resultats - informe'!$E$26),0,(C6740&gt;='Resultats - informe'!$D$27)*(C6740&lt;='Resultats - informe'!$E$27),0,(C6740&gt;='Resultats - informe'!$D$28)*(C6740&lt;='Resultats - informe'!$E$28),0,(C6740&gt;='Resultats - informe'!$D$29)*(C6740&lt;='Resultats - informe'!$E$29),0,1,1)</f>
        <v>0</v>
      </c>
      <c r="N6740" s="366">
        <f>+VLOOKUP(D6740,'Resultats - informe'!$Y$18:$AG$42,'Introducció dades consum'!K6740+1,0)</f>
        <v>0</v>
      </c>
      <c r="O6740" s="370" cm="1">
        <f t="array" ref="O6740">+_xlfn.SWITCH(MONTH(C6740),1,1,2,1,3,1,4,2,5,2,6,3,7,3,8,3,9,3,10,2,11,2,12,1,2)</f>
        <v>1</v>
      </c>
      <c r="P6740" s="43"/>
    </row>
    <row r="6741" spans="1:16" ht="18" x14ac:dyDescent="0.35">
      <c r="A6741" s="9"/>
      <c r="C6741" s="393"/>
      <c r="E6741" s="394"/>
      <c r="F6741" s="394"/>
      <c r="G6741" s="394"/>
      <c r="I6741" s="368">
        <f t="shared" si="321"/>
        <v>0</v>
      </c>
      <c r="J6741" s="365">
        <f t="shared" si="322"/>
        <v>0</v>
      </c>
      <c r="K6741" s="369">
        <f t="shared" si="323"/>
        <v>6</v>
      </c>
      <c r="L6741" s="369">
        <f>+IF((C6741&gt;='Resultats - informe'!$E$16)*(C6741&lt;='Resultats - informe'!$G$16),1,0)</f>
        <v>1</v>
      </c>
      <c r="M6741" s="369" cm="1">
        <f t="array" ref="M6741">+_xlfn.IFS((C6741&gt;='Resultats - informe'!$D$26)*(C6741&lt;='Resultats - informe'!$E$26),0,(C6741&gt;='Resultats - informe'!$D$27)*(C6741&lt;='Resultats - informe'!$E$27),0,(C6741&gt;='Resultats - informe'!$D$28)*(C6741&lt;='Resultats - informe'!$E$28),0,(C6741&gt;='Resultats - informe'!$D$29)*(C6741&lt;='Resultats - informe'!$E$29),0,1,1)</f>
        <v>0</v>
      </c>
      <c r="N6741" s="366">
        <f>+VLOOKUP(D6741,'Resultats - informe'!$Y$18:$AG$42,'Introducció dades consum'!K6741+1,0)</f>
        <v>0</v>
      </c>
      <c r="O6741" s="370" cm="1">
        <f t="array" ref="O6741">+_xlfn.SWITCH(MONTH(C6741),1,1,2,1,3,1,4,2,5,2,6,3,7,3,8,3,9,3,10,2,11,2,12,1,2)</f>
        <v>1</v>
      </c>
      <c r="P6741" s="43"/>
    </row>
    <row r="6742" spans="1:16" ht="18" x14ac:dyDescent="0.35">
      <c r="A6742" s="9"/>
      <c r="C6742" s="393"/>
      <c r="E6742" s="394"/>
      <c r="F6742" s="394"/>
      <c r="G6742" s="394"/>
      <c r="I6742" s="368">
        <f t="shared" si="321"/>
        <v>0</v>
      </c>
      <c r="J6742" s="365">
        <f t="shared" si="322"/>
        <v>0</v>
      </c>
      <c r="K6742" s="369">
        <f t="shared" si="323"/>
        <v>6</v>
      </c>
      <c r="L6742" s="369">
        <f>+IF((C6742&gt;='Resultats - informe'!$E$16)*(C6742&lt;='Resultats - informe'!$G$16),1,0)</f>
        <v>1</v>
      </c>
      <c r="M6742" s="369" cm="1">
        <f t="array" ref="M6742">+_xlfn.IFS((C6742&gt;='Resultats - informe'!$D$26)*(C6742&lt;='Resultats - informe'!$E$26),0,(C6742&gt;='Resultats - informe'!$D$27)*(C6742&lt;='Resultats - informe'!$E$27),0,(C6742&gt;='Resultats - informe'!$D$28)*(C6742&lt;='Resultats - informe'!$E$28),0,(C6742&gt;='Resultats - informe'!$D$29)*(C6742&lt;='Resultats - informe'!$E$29),0,1,1)</f>
        <v>0</v>
      </c>
      <c r="N6742" s="366">
        <f>+VLOOKUP(D6742,'Resultats - informe'!$Y$18:$AG$42,'Introducció dades consum'!K6742+1,0)</f>
        <v>0</v>
      </c>
      <c r="O6742" s="370" cm="1">
        <f t="array" ref="O6742">+_xlfn.SWITCH(MONTH(C6742),1,1,2,1,3,1,4,2,5,2,6,3,7,3,8,3,9,3,10,2,11,2,12,1,2)</f>
        <v>1</v>
      </c>
      <c r="P6742" s="43"/>
    </row>
    <row r="6743" spans="1:16" ht="18" x14ac:dyDescent="0.35">
      <c r="A6743" s="9"/>
      <c r="C6743" s="393"/>
      <c r="E6743" s="394"/>
      <c r="F6743" s="394"/>
      <c r="G6743" s="394"/>
      <c r="I6743" s="368">
        <f t="shared" si="321"/>
        <v>0</v>
      </c>
      <c r="J6743" s="365">
        <f t="shared" si="322"/>
        <v>0</v>
      </c>
      <c r="K6743" s="369">
        <f t="shared" si="323"/>
        <v>6</v>
      </c>
      <c r="L6743" s="369">
        <f>+IF((C6743&gt;='Resultats - informe'!$E$16)*(C6743&lt;='Resultats - informe'!$G$16),1,0)</f>
        <v>1</v>
      </c>
      <c r="M6743" s="369" cm="1">
        <f t="array" ref="M6743">+_xlfn.IFS((C6743&gt;='Resultats - informe'!$D$26)*(C6743&lt;='Resultats - informe'!$E$26),0,(C6743&gt;='Resultats - informe'!$D$27)*(C6743&lt;='Resultats - informe'!$E$27),0,(C6743&gt;='Resultats - informe'!$D$28)*(C6743&lt;='Resultats - informe'!$E$28),0,(C6743&gt;='Resultats - informe'!$D$29)*(C6743&lt;='Resultats - informe'!$E$29),0,1,1)</f>
        <v>0</v>
      </c>
      <c r="N6743" s="366">
        <f>+VLOOKUP(D6743,'Resultats - informe'!$Y$18:$AG$42,'Introducció dades consum'!K6743+1,0)</f>
        <v>0</v>
      </c>
      <c r="O6743" s="370" cm="1">
        <f t="array" ref="O6743">+_xlfn.SWITCH(MONTH(C6743),1,1,2,1,3,1,4,2,5,2,6,3,7,3,8,3,9,3,10,2,11,2,12,1,2)</f>
        <v>1</v>
      </c>
      <c r="P6743" s="43"/>
    </row>
    <row r="6744" spans="1:16" ht="18" x14ac:dyDescent="0.35">
      <c r="A6744" s="9"/>
      <c r="C6744" s="393"/>
      <c r="E6744" s="394"/>
      <c r="F6744" s="394"/>
      <c r="G6744" s="394"/>
      <c r="I6744" s="368">
        <f t="shared" si="321"/>
        <v>0</v>
      </c>
      <c r="J6744" s="365">
        <f t="shared" si="322"/>
        <v>0</v>
      </c>
      <c r="K6744" s="369">
        <f t="shared" si="323"/>
        <v>6</v>
      </c>
      <c r="L6744" s="369">
        <f>+IF((C6744&gt;='Resultats - informe'!$E$16)*(C6744&lt;='Resultats - informe'!$G$16),1,0)</f>
        <v>1</v>
      </c>
      <c r="M6744" s="369" cm="1">
        <f t="array" ref="M6744">+_xlfn.IFS((C6744&gt;='Resultats - informe'!$D$26)*(C6744&lt;='Resultats - informe'!$E$26),0,(C6744&gt;='Resultats - informe'!$D$27)*(C6744&lt;='Resultats - informe'!$E$27),0,(C6744&gt;='Resultats - informe'!$D$28)*(C6744&lt;='Resultats - informe'!$E$28),0,(C6744&gt;='Resultats - informe'!$D$29)*(C6744&lt;='Resultats - informe'!$E$29),0,1,1)</f>
        <v>0</v>
      </c>
      <c r="N6744" s="366">
        <f>+VLOOKUP(D6744,'Resultats - informe'!$Y$18:$AG$42,'Introducció dades consum'!K6744+1,0)</f>
        <v>0</v>
      </c>
      <c r="O6744" s="370" cm="1">
        <f t="array" ref="O6744">+_xlfn.SWITCH(MONTH(C6744),1,1,2,1,3,1,4,2,5,2,6,3,7,3,8,3,9,3,10,2,11,2,12,1,2)</f>
        <v>1</v>
      </c>
      <c r="P6744" s="43"/>
    </row>
    <row r="6745" spans="1:16" ht="18" x14ac:dyDescent="0.35">
      <c r="A6745" s="9"/>
      <c r="C6745" s="393"/>
      <c r="E6745" s="394"/>
      <c r="F6745" s="394"/>
      <c r="G6745" s="394"/>
      <c r="I6745" s="368">
        <f t="shared" si="321"/>
        <v>0</v>
      </c>
      <c r="J6745" s="365">
        <f t="shared" si="322"/>
        <v>0</v>
      </c>
      <c r="K6745" s="369">
        <f t="shared" si="323"/>
        <v>6</v>
      </c>
      <c r="L6745" s="369">
        <f>+IF((C6745&gt;='Resultats - informe'!$E$16)*(C6745&lt;='Resultats - informe'!$G$16),1,0)</f>
        <v>1</v>
      </c>
      <c r="M6745" s="369" cm="1">
        <f t="array" ref="M6745">+_xlfn.IFS((C6745&gt;='Resultats - informe'!$D$26)*(C6745&lt;='Resultats - informe'!$E$26),0,(C6745&gt;='Resultats - informe'!$D$27)*(C6745&lt;='Resultats - informe'!$E$27),0,(C6745&gt;='Resultats - informe'!$D$28)*(C6745&lt;='Resultats - informe'!$E$28),0,(C6745&gt;='Resultats - informe'!$D$29)*(C6745&lt;='Resultats - informe'!$E$29),0,1,1)</f>
        <v>0</v>
      </c>
      <c r="N6745" s="366">
        <f>+VLOOKUP(D6745,'Resultats - informe'!$Y$18:$AG$42,'Introducció dades consum'!K6745+1,0)</f>
        <v>0</v>
      </c>
      <c r="O6745" s="370" cm="1">
        <f t="array" ref="O6745">+_xlfn.SWITCH(MONTH(C6745),1,1,2,1,3,1,4,2,5,2,6,3,7,3,8,3,9,3,10,2,11,2,12,1,2)</f>
        <v>1</v>
      </c>
      <c r="P6745" s="43"/>
    </row>
    <row r="6746" spans="1:16" ht="18" x14ac:dyDescent="0.35">
      <c r="A6746" s="9"/>
      <c r="C6746" s="393"/>
      <c r="E6746" s="394"/>
      <c r="F6746" s="394"/>
      <c r="G6746" s="394"/>
      <c r="I6746" s="368">
        <f t="shared" si="321"/>
        <v>0</v>
      </c>
      <c r="J6746" s="365">
        <f t="shared" si="322"/>
        <v>0</v>
      </c>
      <c r="K6746" s="369">
        <f t="shared" si="323"/>
        <v>6</v>
      </c>
      <c r="L6746" s="369">
        <f>+IF((C6746&gt;='Resultats - informe'!$E$16)*(C6746&lt;='Resultats - informe'!$G$16),1,0)</f>
        <v>1</v>
      </c>
      <c r="M6746" s="369" cm="1">
        <f t="array" ref="M6746">+_xlfn.IFS((C6746&gt;='Resultats - informe'!$D$26)*(C6746&lt;='Resultats - informe'!$E$26),0,(C6746&gt;='Resultats - informe'!$D$27)*(C6746&lt;='Resultats - informe'!$E$27),0,(C6746&gt;='Resultats - informe'!$D$28)*(C6746&lt;='Resultats - informe'!$E$28),0,(C6746&gt;='Resultats - informe'!$D$29)*(C6746&lt;='Resultats - informe'!$E$29),0,1,1)</f>
        <v>0</v>
      </c>
      <c r="N6746" s="366">
        <f>+VLOOKUP(D6746,'Resultats - informe'!$Y$18:$AG$42,'Introducció dades consum'!K6746+1,0)</f>
        <v>0</v>
      </c>
      <c r="O6746" s="370" cm="1">
        <f t="array" ref="O6746">+_xlfn.SWITCH(MONTH(C6746),1,1,2,1,3,1,4,2,5,2,6,3,7,3,8,3,9,3,10,2,11,2,12,1,2)</f>
        <v>1</v>
      </c>
      <c r="P6746" s="43"/>
    </row>
    <row r="6747" spans="1:16" ht="18" x14ac:dyDescent="0.35">
      <c r="A6747" s="9"/>
      <c r="C6747" s="393"/>
      <c r="E6747" s="394"/>
      <c r="F6747" s="394"/>
      <c r="G6747" s="394"/>
      <c r="I6747" s="368">
        <f t="shared" si="321"/>
        <v>0</v>
      </c>
      <c r="J6747" s="365">
        <f t="shared" si="322"/>
        <v>0</v>
      </c>
      <c r="K6747" s="369">
        <f t="shared" si="323"/>
        <v>6</v>
      </c>
      <c r="L6747" s="369">
        <f>+IF((C6747&gt;='Resultats - informe'!$E$16)*(C6747&lt;='Resultats - informe'!$G$16),1,0)</f>
        <v>1</v>
      </c>
      <c r="M6747" s="369" cm="1">
        <f t="array" ref="M6747">+_xlfn.IFS((C6747&gt;='Resultats - informe'!$D$26)*(C6747&lt;='Resultats - informe'!$E$26),0,(C6747&gt;='Resultats - informe'!$D$27)*(C6747&lt;='Resultats - informe'!$E$27),0,(C6747&gt;='Resultats - informe'!$D$28)*(C6747&lt;='Resultats - informe'!$E$28),0,(C6747&gt;='Resultats - informe'!$D$29)*(C6747&lt;='Resultats - informe'!$E$29),0,1,1)</f>
        <v>0</v>
      </c>
      <c r="N6747" s="366">
        <f>+VLOOKUP(D6747,'Resultats - informe'!$Y$18:$AG$42,'Introducció dades consum'!K6747+1,0)</f>
        <v>0</v>
      </c>
      <c r="O6747" s="370" cm="1">
        <f t="array" ref="O6747">+_xlfn.SWITCH(MONTH(C6747),1,1,2,1,3,1,4,2,5,2,6,3,7,3,8,3,9,3,10,2,11,2,12,1,2)</f>
        <v>1</v>
      </c>
      <c r="P6747" s="43"/>
    </row>
    <row r="6748" spans="1:16" ht="18" x14ac:dyDescent="0.35">
      <c r="A6748" s="9"/>
      <c r="C6748" s="393"/>
      <c r="E6748" s="394"/>
      <c r="F6748" s="394"/>
      <c r="G6748" s="394"/>
      <c r="I6748" s="368">
        <f t="shared" si="321"/>
        <v>0</v>
      </c>
      <c r="J6748" s="365">
        <f t="shared" si="322"/>
        <v>0</v>
      </c>
      <c r="K6748" s="369">
        <f t="shared" si="323"/>
        <v>6</v>
      </c>
      <c r="L6748" s="369">
        <f>+IF((C6748&gt;='Resultats - informe'!$E$16)*(C6748&lt;='Resultats - informe'!$G$16),1,0)</f>
        <v>1</v>
      </c>
      <c r="M6748" s="369" cm="1">
        <f t="array" ref="M6748">+_xlfn.IFS((C6748&gt;='Resultats - informe'!$D$26)*(C6748&lt;='Resultats - informe'!$E$26),0,(C6748&gt;='Resultats - informe'!$D$27)*(C6748&lt;='Resultats - informe'!$E$27),0,(C6748&gt;='Resultats - informe'!$D$28)*(C6748&lt;='Resultats - informe'!$E$28),0,(C6748&gt;='Resultats - informe'!$D$29)*(C6748&lt;='Resultats - informe'!$E$29),0,1,1)</f>
        <v>0</v>
      </c>
      <c r="N6748" s="366">
        <f>+VLOOKUP(D6748,'Resultats - informe'!$Y$18:$AG$42,'Introducció dades consum'!K6748+1,0)</f>
        <v>0</v>
      </c>
      <c r="O6748" s="370" cm="1">
        <f t="array" ref="O6748">+_xlfn.SWITCH(MONTH(C6748),1,1,2,1,3,1,4,2,5,2,6,3,7,3,8,3,9,3,10,2,11,2,12,1,2)</f>
        <v>1</v>
      </c>
      <c r="P6748" s="43"/>
    </row>
    <row r="6749" spans="1:16" ht="18" x14ac:dyDescent="0.35">
      <c r="A6749" s="9"/>
      <c r="C6749" s="393"/>
      <c r="E6749" s="394"/>
      <c r="F6749" s="394"/>
      <c r="G6749" s="394"/>
      <c r="I6749" s="368">
        <f t="shared" si="321"/>
        <v>0</v>
      </c>
      <c r="J6749" s="365">
        <f t="shared" si="322"/>
        <v>0</v>
      </c>
      <c r="K6749" s="369">
        <f t="shared" si="323"/>
        <v>6</v>
      </c>
      <c r="L6749" s="369">
        <f>+IF((C6749&gt;='Resultats - informe'!$E$16)*(C6749&lt;='Resultats - informe'!$G$16),1,0)</f>
        <v>1</v>
      </c>
      <c r="M6749" s="369" cm="1">
        <f t="array" ref="M6749">+_xlfn.IFS((C6749&gt;='Resultats - informe'!$D$26)*(C6749&lt;='Resultats - informe'!$E$26),0,(C6749&gt;='Resultats - informe'!$D$27)*(C6749&lt;='Resultats - informe'!$E$27),0,(C6749&gt;='Resultats - informe'!$D$28)*(C6749&lt;='Resultats - informe'!$E$28),0,(C6749&gt;='Resultats - informe'!$D$29)*(C6749&lt;='Resultats - informe'!$E$29),0,1,1)</f>
        <v>0</v>
      </c>
      <c r="N6749" s="366">
        <f>+VLOOKUP(D6749,'Resultats - informe'!$Y$18:$AG$42,'Introducció dades consum'!K6749+1,0)</f>
        <v>0</v>
      </c>
      <c r="O6749" s="370" cm="1">
        <f t="array" ref="O6749">+_xlfn.SWITCH(MONTH(C6749),1,1,2,1,3,1,4,2,5,2,6,3,7,3,8,3,9,3,10,2,11,2,12,1,2)</f>
        <v>1</v>
      </c>
      <c r="P6749" s="43"/>
    </row>
    <row r="6750" spans="1:16" ht="18" x14ac:dyDescent="0.35">
      <c r="A6750" s="9"/>
      <c r="C6750" s="393"/>
      <c r="E6750" s="394"/>
      <c r="F6750" s="394"/>
      <c r="G6750" s="394"/>
      <c r="I6750" s="368">
        <f t="shared" si="321"/>
        <v>0</v>
      </c>
      <c r="J6750" s="365">
        <f t="shared" si="322"/>
        <v>0</v>
      </c>
      <c r="K6750" s="369">
        <f t="shared" si="323"/>
        <v>6</v>
      </c>
      <c r="L6750" s="369">
        <f>+IF((C6750&gt;='Resultats - informe'!$E$16)*(C6750&lt;='Resultats - informe'!$G$16),1,0)</f>
        <v>1</v>
      </c>
      <c r="M6750" s="369" cm="1">
        <f t="array" ref="M6750">+_xlfn.IFS((C6750&gt;='Resultats - informe'!$D$26)*(C6750&lt;='Resultats - informe'!$E$26),0,(C6750&gt;='Resultats - informe'!$D$27)*(C6750&lt;='Resultats - informe'!$E$27),0,(C6750&gt;='Resultats - informe'!$D$28)*(C6750&lt;='Resultats - informe'!$E$28),0,(C6750&gt;='Resultats - informe'!$D$29)*(C6750&lt;='Resultats - informe'!$E$29),0,1,1)</f>
        <v>0</v>
      </c>
      <c r="N6750" s="366">
        <f>+VLOOKUP(D6750,'Resultats - informe'!$Y$18:$AG$42,'Introducció dades consum'!K6750+1,0)</f>
        <v>0</v>
      </c>
      <c r="O6750" s="370" cm="1">
        <f t="array" ref="O6750">+_xlfn.SWITCH(MONTH(C6750),1,1,2,1,3,1,4,2,5,2,6,3,7,3,8,3,9,3,10,2,11,2,12,1,2)</f>
        <v>1</v>
      </c>
      <c r="P6750" s="43"/>
    </row>
    <row r="6751" spans="1:16" ht="18" x14ac:dyDescent="0.35">
      <c r="A6751" s="9"/>
      <c r="C6751" s="393"/>
      <c r="E6751" s="394"/>
      <c r="F6751" s="394"/>
      <c r="G6751" s="394"/>
      <c r="I6751" s="368">
        <f t="shared" si="321"/>
        <v>0</v>
      </c>
      <c r="J6751" s="365">
        <f t="shared" si="322"/>
        <v>0</v>
      </c>
      <c r="K6751" s="369">
        <f t="shared" si="323"/>
        <v>6</v>
      </c>
      <c r="L6751" s="369">
        <f>+IF((C6751&gt;='Resultats - informe'!$E$16)*(C6751&lt;='Resultats - informe'!$G$16),1,0)</f>
        <v>1</v>
      </c>
      <c r="M6751" s="369" cm="1">
        <f t="array" ref="M6751">+_xlfn.IFS((C6751&gt;='Resultats - informe'!$D$26)*(C6751&lt;='Resultats - informe'!$E$26),0,(C6751&gt;='Resultats - informe'!$D$27)*(C6751&lt;='Resultats - informe'!$E$27),0,(C6751&gt;='Resultats - informe'!$D$28)*(C6751&lt;='Resultats - informe'!$E$28),0,(C6751&gt;='Resultats - informe'!$D$29)*(C6751&lt;='Resultats - informe'!$E$29),0,1,1)</f>
        <v>0</v>
      </c>
      <c r="N6751" s="366">
        <f>+VLOOKUP(D6751,'Resultats - informe'!$Y$18:$AG$42,'Introducció dades consum'!K6751+1,0)</f>
        <v>0</v>
      </c>
      <c r="O6751" s="370" cm="1">
        <f t="array" ref="O6751">+_xlfn.SWITCH(MONTH(C6751),1,1,2,1,3,1,4,2,5,2,6,3,7,3,8,3,9,3,10,2,11,2,12,1,2)</f>
        <v>1</v>
      </c>
      <c r="P6751" s="43"/>
    </row>
    <row r="6752" spans="1:16" ht="18" x14ac:dyDescent="0.35">
      <c r="A6752" s="9"/>
      <c r="C6752" s="393"/>
      <c r="E6752" s="394"/>
      <c r="F6752" s="394"/>
      <c r="G6752" s="394"/>
      <c r="I6752" s="368">
        <f t="shared" si="321"/>
        <v>0</v>
      </c>
      <c r="J6752" s="365">
        <f t="shared" si="322"/>
        <v>0</v>
      </c>
      <c r="K6752" s="369">
        <f t="shared" si="323"/>
        <v>6</v>
      </c>
      <c r="L6752" s="369">
        <f>+IF((C6752&gt;='Resultats - informe'!$E$16)*(C6752&lt;='Resultats - informe'!$G$16),1,0)</f>
        <v>1</v>
      </c>
      <c r="M6752" s="369" cm="1">
        <f t="array" ref="M6752">+_xlfn.IFS((C6752&gt;='Resultats - informe'!$D$26)*(C6752&lt;='Resultats - informe'!$E$26),0,(C6752&gt;='Resultats - informe'!$D$27)*(C6752&lt;='Resultats - informe'!$E$27),0,(C6752&gt;='Resultats - informe'!$D$28)*(C6752&lt;='Resultats - informe'!$E$28),0,(C6752&gt;='Resultats - informe'!$D$29)*(C6752&lt;='Resultats - informe'!$E$29),0,1,1)</f>
        <v>0</v>
      </c>
      <c r="N6752" s="366">
        <f>+VLOOKUP(D6752,'Resultats - informe'!$Y$18:$AG$42,'Introducció dades consum'!K6752+1,0)</f>
        <v>0</v>
      </c>
      <c r="O6752" s="370" cm="1">
        <f t="array" ref="O6752">+_xlfn.SWITCH(MONTH(C6752),1,1,2,1,3,1,4,2,5,2,6,3,7,3,8,3,9,3,10,2,11,2,12,1,2)</f>
        <v>1</v>
      </c>
      <c r="P6752" s="43"/>
    </row>
    <row r="6753" spans="1:16" ht="18" x14ac:dyDescent="0.35">
      <c r="A6753" s="9"/>
      <c r="C6753" s="393"/>
      <c r="E6753" s="394"/>
      <c r="F6753" s="394"/>
      <c r="G6753" s="394"/>
      <c r="I6753" s="368">
        <f t="shared" si="321"/>
        <v>0</v>
      </c>
      <c r="J6753" s="365">
        <f t="shared" si="322"/>
        <v>0</v>
      </c>
      <c r="K6753" s="369">
        <f t="shared" si="323"/>
        <v>6</v>
      </c>
      <c r="L6753" s="369">
        <f>+IF((C6753&gt;='Resultats - informe'!$E$16)*(C6753&lt;='Resultats - informe'!$G$16),1,0)</f>
        <v>1</v>
      </c>
      <c r="M6753" s="369" cm="1">
        <f t="array" ref="M6753">+_xlfn.IFS((C6753&gt;='Resultats - informe'!$D$26)*(C6753&lt;='Resultats - informe'!$E$26),0,(C6753&gt;='Resultats - informe'!$D$27)*(C6753&lt;='Resultats - informe'!$E$27),0,(C6753&gt;='Resultats - informe'!$D$28)*(C6753&lt;='Resultats - informe'!$E$28),0,(C6753&gt;='Resultats - informe'!$D$29)*(C6753&lt;='Resultats - informe'!$E$29),0,1,1)</f>
        <v>0</v>
      </c>
      <c r="N6753" s="366">
        <f>+VLOOKUP(D6753,'Resultats - informe'!$Y$18:$AG$42,'Introducció dades consum'!K6753+1,0)</f>
        <v>0</v>
      </c>
      <c r="O6753" s="370" cm="1">
        <f t="array" ref="O6753">+_xlfn.SWITCH(MONTH(C6753),1,1,2,1,3,1,4,2,5,2,6,3,7,3,8,3,9,3,10,2,11,2,12,1,2)</f>
        <v>1</v>
      </c>
      <c r="P6753" s="43"/>
    </row>
    <row r="6754" spans="1:16" ht="18" x14ac:dyDescent="0.35">
      <c r="A6754" s="9"/>
      <c r="C6754" s="393"/>
      <c r="E6754" s="394"/>
      <c r="F6754" s="394"/>
      <c r="G6754" s="394"/>
      <c r="I6754" s="368">
        <f t="shared" si="321"/>
        <v>0</v>
      </c>
      <c r="J6754" s="365">
        <f t="shared" si="322"/>
        <v>0</v>
      </c>
      <c r="K6754" s="369">
        <f t="shared" si="323"/>
        <v>6</v>
      </c>
      <c r="L6754" s="369">
        <f>+IF((C6754&gt;='Resultats - informe'!$E$16)*(C6754&lt;='Resultats - informe'!$G$16),1,0)</f>
        <v>1</v>
      </c>
      <c r="M6754" s="369" cm="1">
        <f t="array" ref="M6754">+_xlfn.IFS((C6754&gt;='Resultats - informe'!$D$26)*(C6754&lt;='Resultats - informe'!$E$26),0,(C6754&gt;='Resultats - informe'!$D$27)*(C6754&lt;='Resultats - informe'!$E$27),0,(C6754&gt;='Resultats - informe'!$D$28)*(C6754&lt;='Resultats - informe'!$E$28),0,(C6754&gt;='Resultats - informe'!$D$29)*(C6754&lt;='Resultats - informe'!$E$29),0,1,1)</f>
        <v>0</v>
      </c>
      <c r="N6754" s="366">
        <f>+VLOOKUP(D6754,'Resultats - informe'!$Y$18:$AG$42,'Introducció dades consum'!K6754+1,0)</f>
        <v>0</v>
      </c>
      <c r="O6754" s="370" cm="1">
        <f t="array" ref="O6754">+_xlfn.SWITCH(MONTH(C6754),1,1,2,1,3,1,4,2,5,2,6,3,7,3,8,3,9,3,10,2,11,2,12,1,2)</f>
        <v>1</v>
      </c>
      <c r="P6754" s="43"/>
    </row>
    <row r="6755" spans="1:16" ht="18" x14ac:dyDescent="0.35">
      <c r="A6755" s="9"/>
      <c r="C6755" s="393"/>
      <c r="E6755" s="394"/>
      <c r="F6755" s="394"/>
      <c r="G6755" s="394"/>
      <c r="I6755" s="368">
        <f t="shared" si="321"/>
        <v>0</v>
      </c>
      <c r="J6755" s="365">
        <f t="shared" si="322"/>
        <v>0</v>
      </c>
      <c r="K6755" s="369">
        <f t="shared" si="323"/>
        <v>6</v>
      </c>
      <c r="L6755" s="369">
        <f>+IF((C6755&gt;='Resultats - informe'!$E$16)*(C6755&lt;='Resultats - informe'!$G$16),1,0)</f>
        <v>1</v>
      </c>
      <c r="M6755" s="369" cm="1">
        <f t="array" ref="M6755">+_xlfn.IFS((C6755&gt;='Resultats - informe'!$D$26)*(C6755&lt;='Resultats - informe'!$E$26),0,(C6755&gt;='Resultats - informe'!$D$27)*(C6755&lt;='Resultats - informe'!$E$27),0,(C6755&gt;='Resultats - informe'!$D$28)*(C6755&lt;='Resultats - informe'!$E$28),0,(C6755&gt;='Resultats - informe'!$D$29)*(C6755&lt;='Resultats - informe'!$E$29),0,1,1)</f>
        <v>0</v>
      </c>
      <c r="N6755" s="366">
        <f>+VLOOKUP(D6755,'Resultats - informe'!$Y$18:$AG$42,'Introducció dades consum'!K6755+1,0)</f>
        <v>0</v>
      </c>
      <c r="O6755" s="370" cm="1">
        <f t="array" ref="O6755">+_xlfn.SWITCH(MONTH(C6755),1,1,2,1,3,1,4,2,5,2,6,3,7,3,8,3,9,3,10,2,11,2,12,1,2)</f>
        <v>1</v>
      </c>
      <c r="P6755" s="43"/>
    </row>
    <row r="6756" spans="1:16" ht="18" x14ac:dyDescent="0.35">
      <c r="A6756" s="9"/>
      <c r="C6756" s="393"/>
      <c r="E6756" s="394"/>
      <c r="F6756" s="394"/>
      <c r="G6756" s="394"/>
      <c r="I6756" s="368">
        <f t="shared" si="321"/>
        <v>0</v>
      </c>
      <c r="J6756" s="365">
        <f t="shared" si="322"/>
        <v>0</v>
      </c>
      <c r="K6756" s="369">
        <f t="shared" si="323"/>
        <v>6</v>
      </c>
      <c r="L6756" s="369">
        <f>+IF((C6756&gt;='Resultats - informe'!$E$16)*(C6756&lt;='Resultats - informe'!$G$16),1,0)</f>
        <v>1</v>
      </c>
      <c r="M6756" s="369" cm="1">
        <f t="array" ref="M6756">+_xlfn.IFS((C6756&gt;='Resultats - informe'!$D$26)*(C6756&lt;='Resultats - informe'!$E$26),0,(C6756&gt;='Resultats - informe'!$D$27)*(C6756&lt;='Resultats - informe'!$E$27),0,(C6756&gt;='Resultats - informe'!$D$28)*(C6756&lt;='Resultats - informe'!$E$28),0,(C6756&gt;='Resultats - informe'!$D$29)*(C6756&lt;='Resultats - informe'!$E$29),0,1,1)</f>
        <v>0</v>
      </c>
      <c r="N6756" s="366">
        <f>+VLOOKUP(D6756,'Resultats - informe'!$Y$18:$AG$42,'Introducció dades consum'!K6756+1,0)</f>
        <v>0</v>
      </c>
      <c r="O6756" s="370" cm="1">
        <f t="array" ref="O6756">+_xlfn.SWITCH(MONTH(C6756),1,1,2,1,3,1,4,2,5,2,6,3,7,3,8,3,9,3,10,2,11,2,12,1,2)</f>
        <v>1</v>
      </c>
      <c r="P6756" s="43"/>
    </row>
    <row r="6757" spans="1:16" ht="18" x14ac:dyDescent="0.35">
      <c r="A6757" s="9"/>
      <c r="C6757" s="393"/>
      <c r="E6757" s="394"/>
      <c r="F6757" s="394"/>
      <c r="G6757" s="394"/>
      <c r="I6757" s="368">
        <f t="shared" si="321"/>
        <v>0</v>
      </c>
      <c r="J6757" s="365">
        <f t="shared" si="322"/>
        <v>0</v>
      </c>
      <c r="K6757" s="369">
        <f t="shared" si="323"/>
        <v>6</v>
      </c>
      <c r="L6757" s="369">
        <f>+IF((C6757&gt;='Resultats - informe'!$E$16)*(C6757&lt;='Resultats - informe'!$G$16),1,0)</f>
        <v>1</v>
      </c>
      <c r="M6757" s="369" cm="1">
        <f t="array" ref="M6757">+_xlfn.IFS((C6757&gt;='Resultats - informe'!$D$26)*(C6757&lt;='Resultats - informe'!$E$26),0,(C6757&gt;='Resultats - informe'!$D$27)*(C6757&lt;='Resultats - informe'!$E$27),0,(C6757&gt;='Resultats - informe'!$D$28)*(C6757&lt;='Resultats - informe'!$E$28),0,(C6757&gt;='Resultats - informe'!$D$29)*(C6757&lt;='Resultats - informe'!$E$29),0,1,1)</f>
        <v>0</v>
      </c>
      <c r="N6757" s="366">
        <f>+VLOOKUP(D6757,'Resultats - informe'!$Y$18:$AG$42,'Introducció dades consum'!K6757+1,0)</f>
        <v>0</v>
      </c>
      <c r="O6757" s="370" cm="1">
        <f t="array" ref="O6757">+_xlfn.SWITCH(MONTH(C6757),1,1,2,1,3,1,4,2,5,2,6,3,7,3,8,3,9,3,10,2,11,2,12,1,2)</f>
        <v>1</v>
      </c>
      <c r="P6757" s="43"/>
    </row>
    <row r="6758" spans="1:16" ht="18" x14ac:dyDescent="0.35">
      <c r="A6758" s="9"/>
      <c r="C6758" s="393"/>
      <c r="E6758" s="394"/>
      <c r="F6758" s="394"/>
      <c r="G6758" s="394"/>
      <c r="I6758" s="368">
        <f t="shared" si="321"/>
        <v>0</v>
      </c>
      <c r="J6758" s="365">
        <f t="shared" si="322"/>
        <v>0</v>
      </c>
      <c r="K6758" s="369">
        <f t="shared" si="323"/>
        <v>6</v>
      </c>
      <c r="L6758" s="369">
        <f>+IF((C6758&gt;='Resultats - informe'!$E$16)*(C6758&lt;='Resultats - informe'!$G$16),1,0)</f>
        <v>1</v>
      </c>
      <c r="M6758" s="369" cm="1">
        <f t="array" ref="M6758">+_xlfn.IFS((C6758&gt;='Resultats - informe'!$D$26)*(C6758&lt;='Resultats - informe'!$E$26),0,(C6758&gt;='Resultats - informe'!$D$27)*(C6758&lt;='Resultats - informe'!$E$27),0,(C6758&gt;='Resultats - informe'!$D$28)*(C6758&lt;='Resultats - informe'!$E$28),0,(C6758&gt;='Resultats - informe'!$D$29)*(C6758&lt;='Resultats - informe'!$E$29),0,1,1)</f>
        <v>0</v>
      </c>
      <c r="N6758" s="366">
        <f>+VLOOKUP(D6758,'Resultats - informe'!$Y$18:$AG$42,'Introducció dades consum'!K6758+1,0)</f>
        <v>0</v>
      </c>
      <c r="O6758" s="370" cm="1">
        <f t="array" ref="O6758">+_xlfn.SWITCH(MONTH(C6758),1,1,2,1,3,1,4,2,5,2,6,3,7,3,8,3,9,3,10,2,11,2,12,1,2)</f>
        <v>1</v>
      </c>
      <c r="P6758" s="43"/>
    </row>
    <row r="6759" spans="1:16" ht="18" x14ac:dyDescent="0.35">
      <c r="A6759" s="9"/>
      <c r="C6759" s="393"/>
      <c r="E6759" s="394"/>
      <c r="F6759" s="394"/>
      <c r="G6759" s="394"/>
      <c r="I6759" s="368">
        <f t="shared" si="321"/>
        <v>0</v>
      </c>
      <c r="J6759" s="365">
        <f t="shared" si="322"/>
        <v>0</v>
      </c>
      <c r="K6759" s="369">
        <f t="shared" si="323"/>
        <v>6</v>
      </c>
      <c r="L6759" s="369">
        <f>+IF((C6759&gt;='Resultats - informe'!$E$16)*(C6759&lt;='Resultats - informe'!$G$16),1,0)</f>
        <v>1</v>
      </c>
      <c r="M6759" s="369" cm="1">
        <f t="array" ref="M6759">+_xlfn.IFS((C6759&gt;='Resultats - informe'!$D$26)*(C6759&lt;='Resultats - informe'!$E$26),0,(C6759&gt;='Resultats - informe'!$D$27)*(C6759&lt;='Resultats - informe'!$E$27),0,(C6759&gt;='Resultats - informe'!$D$28)*(C6759&lt;='Resultats - informe'!$E$28),0,(C6759&gt;='Resultats - informe'!$D$29)*(C6759&lt;='Resultats - informe'!$E$29),0,1,1)</f>
        <v>0</v>
      </c>
      <c r="N6759" s="366">
        <f>+VLOOKUP(D6759,'Resultats - informe'!$Y$18:$AG$42,'Introducció dades consum'!K6759+1,0)</f>
        <v>0</v>
      </c>
      <c r="O6759" s="370" cm="1">
        <f t="array" ref="O6759">+_xlfn.SWITCH(MONTH(C6759),1,1,2,1,3,1,4,2,5,2,6,3,7,3,8,3,9,3,10,2,11,2,12,1,2)</f>
        <v>1</v>
      </c>
      <c r="P6759" s="43"/>
    </row>
    <row r="6760" spans="1:16" ht="18" x14ac:dyDescent="0.35">
      <c r="A6760" s="9"/>
      <c r="C6760" s="393"/>
      <c r="E6760" s="394"/>
      <c r="F6760" s="394"/>
      <c r="G6760" s="394"/>
      <c r="I6760" s="368">
        <f t="shared" si="321"/>
        <v>0</v>
      </c>
      <c r="J6760" s="365">
        <f t="shared" si="322"/>
        <v>0</v>
      </c>
      <c r="K6760" s="369">
        <f t="shared" si="323"/>
        <v>6</v>
      </c>
      <c r="L6760" s="369">
        <f>+IF((C6760&gt;='Resultats - informe'!$E$16)*(C6760&lt;='Resultats - informe'!$G$16),1,0)</f>
        <v>1</v>
      </c>
      <c r="M6760" s="369" cm="1">
        <f t="array" ref="M6760">+_xlfn.IFS((C6760&gt;='Resultats - informe'!$D$26)*(C6760&lt;='Resultats - informe'!$E$26),0,(C6760&gt;='Resultats - informe'!$D$27)*(C6760&lt;='Resultats - informe'!$E$27),0,(C6760&gt;='Resultats - informe'!$D$28)*(C6760&lt;='Resultats - informe'!$E$28),0,(C6760&gt;='Resultats - informe'!$D$29)*(C6760&lt;='Resultats - informe'!$E$29),0,1,1)</f>
        <v>0</v>
      </c>
      <c r="N6760" s="366">
        <f>+VLOOKUP(D6760,'Resultats - informe'!$Y$18:$AG$42,'Introducció dades consum'!K6760+1,0)</f>
        <v>0</v>
      </c>
      <c r="O6760" s="370" cm="1">
        <f t="array" ref="O6760">+_xlfn.SWITCH(MONTH(C6760),1,1,2,1,3,1,4,2,5,2,6,3,7,3,8,3,9,3,10,2,11,2,12,1,2)</f>
        <v>1</v>
      </c>
      <c r="P6760" s="43"/>
    </row>
    <row r="6761" spans="1:16" ht="18" x14ac:dyDescent="0.35">
      <c r="A6761" s="9"/>
      <c r="C6761" s="393"/>
      <c r="E6761" s="394"/>
      <c r="F6761" s="394"/>
      <c r="G6761" s="394"/>
      <c r="I6761" s="368">
        <f t="shared" si="321"/>
        <v>0</v>
      </c>
      <c r="J6761" s="365">
        <f t="shared" si="322"/>
        <v>0</v>
      </c>
      <c r="K6761" s="369">
        <f t="shared" si="323"/>
        <v>6</v>
      </c>
      <c r="L6761" s="369">
        <f>+IF((C6761&gt;='Resultats - informe'!$E$16)*(C6761&lt;='Resultats - informe'!$G$16),1,0)</f>
        <v>1</v>
      </c>
      <c r="M6761" s="369" cm="1">
        <f t="array" ref="M6761">+_xlfn.IFS((C6761&gt;='Resultats - informe'!$D$26)*(C6761&lt;='Resultats - informe'!$E$26),0,(C6761&gt;='Resultats - informe'!$D$27)*(C6761&lt;='Resultats - informe'!$E$27),0,(C6761&gt;='Resultats - informe'!$D$28)*(C6761&lt;='Resultats - informe'!$E$28),0,(C6761&gt;='Resultats - informe'!$D$29)*(C6761&lt;='Resultats - informe'!$E$29),0,1,1)</f>
        <v>0</v>
      </c>
      <c r="N6761" s="366">
        <f>+VLOOKUP(D6761,'Resultats - informe'!$Y$18:$AG$42,'Introducció dades consum'!K6761+1,0)</f>
        <v>0</v>
      </c>
      <c r="O6761" s="370" cm="1">
        <f t="array" ref="O6761">+_xlfn.SWITCH(MONTH(C6761),1,1,2,1,3,1,4,2,5,2,6,3,7,3,8,3,9,3,10,2,11,2,12,1,2)</f>
        <v>1</v>
      </c>
      <c r="P6761" s="43"/>
    </row>
    <row r="6762" spans="1:16" ht="18" x14ac:dyDescent="0.35">
      <c r="A6762" s="9"/>
      <c r="C6762" s="393"/>
      <c r="E6762" s="394"/>
      <c r="F6762" s="394"/>
      <c r="G6762" s="394"/>
      <c r="I6762" s="368">
        <f t="shared" si="321"/>
        <v>0</v>
      </c>
      <c r="J6762" s="365">
        <f t="shared" si="322"/>
        <v>0</v>
      </c>
      <c r="K6762" s="369">
        <f t="shared" si="323"/>
        <v>6</v>
      </c>
      <c r="L6762" s="369">
        <f>+IF((C6762&gt;='Resultats - informe'!$E$16)*(C6762&lt;='Resultats - informe'!$G$16),1,0)</f>
        <v>1</v>
      </c>
      <c r="M6762" s="369" cm="1">
        <f t="array" ref="M6762">+_xlfn.IFS((C6762&gt;='Resultats - informe'!$D$26)*(C6762&lt;='Resultats - informe'!$E$26),0,(C6762&gt;='Resultats - informe'!$D$27)*(C6762&lt;='Resultats - informe'!$E$27),0,(C6762&gt;='Resultats - informe'!$D$28)*(C6762&lt;='Resultats - informe'!$E$28),0,(C6762&gt;='Resultats - informe'!$D$29)*(C6762&lt;='Resultats - informe'!$E$29),0,1,1)</f>
        <v>0</v>
      </c>
      <c r="N6762" s="366">
        <f>+VLOOKUP(D6762,'Resultats - informe'!$Y$18:$AG$42,'Introducció dades consum'!K6762+1,0)</f>
        <v>0</v>
      </c>
      <c r="O6762" s="370" cm="1">
        <f t="array" ref="O6762">+_xlfn.SWITCH(MONTH(C6762),1,1,2,1,3,1,4,2,5,2,6,3,7,3,8,3,9,3,10,2,11,2,12,1,2)</f>
        <v>1</v>
      </c>
      <c r="P6762" s="43"/>
    </row>
    <row r="6763" spans="1:16" ht="18" x14ac:dyDescent="0.35">
      <c r="A6763" s="9"/>
      <c r="C6763" s="393"/>
      <c r="E6763" s="394"/>
      <c r="F6763" s="394"/>
      <c r="G6763" s="394"/>
      <c r="I6763" s="368">
        <f t="shared" si="321"/>
        <v>0</v>
      </c>
      <c r="J6763" s="365">
        <f t="shared" si="322"/>
        <v>0</v>
      </c>
      <c r="K6763" s="369">
        <f t="shared" si="323"/>
        <v>6</v>
      </c>
      <c r="L6763" s="369">
        <f>+IF((C6763&gt;='Resultats - informe'!$E$16)*(C6763&lt;='Resultats - informe'!$G$16),1,0)</f>
        <v>1</v>
      </c>
      <c r="M6763" s="369" cm="1">
        <f t="array" ref="M6763">+_xlfn.IFS((C6763&gt;='Resultats - informe'!$D$26)*(C6763&lt;='Resultats - informe'!$E$26),0,(C6763&gt;='Resultats - informe'!$D$27)*(C6763&lt;='Resultats - informe'!$E$27),0,(C6763&gt;='Resultats - informe'!$D$28)*(C6763&lt;='Resultats - informe'!$E$28),0,(C6763&gt;='Resultats - informe'!$D$29)*(C6763&lt;='Resultats - informe'!$E$29),0,1,1)</f>
        <v>0</v>
      </c>
      <c r="N6763" s="366">
        <f>+VLOOKUP(D6763,'Resultats - informe'!$Y$18:$AG$42,'Introducció dades consum'!K6763+1,0)</f>
        <v>0</v>
      </c>
      <c r="O6763" s="370" cm="1">
        <f t="array" ref="O6763">+_xlfn.SWITCH(MONTH(C6763),1,1,2,1,3,1,4,2,5,2,6,3,7,3,8,3,9,3,10,2,11,2,12,1,2)</f>
        <v>1</v>
      </c>
      <c r="P6763" s="43"/>
    </row>
    <row r="6764" spans="1:16" ht="18" x14ac:dyDescent="0.35">
      <c r="A6764" s="9"/>
      <c r="C6764" s="393"/>
      <c r="E6764" s="394"/>
      <c r="F6764" s="394"/>
      <c r="G6764" s="394"/>
      <c r="I6764" s="368">
        <f t="shared" si="321"/>
        <v>0</v>
      </c>
      <c r="J6764" s="365">
        <f t="shared" si="322"/>
        <v>0</v>
      </c>
      <c r="K6764" s="369">
        <f t="shared" si="323"/>
        <v>6</v>
      </c>
      <c r="L6764" s="369">
        <f>+IF((C6764&gt;='Resultats - informe'!$E$16)*(C6764&lt;='Resultats - informe'!$G$16),1,0)</f>
        <v>1</v>
      </c>
      <c r="M6764" s="369" cm="1">
        <f t="array" ref="M6764">+_xlfn.IFS((C6764&gt;='Resultats - informe'!$D$26)*(C6764&lt;='Resultats - informe'!$E$26),0,(C6764&gt;='Resultats - informe'!$D$27)*(C6764&lt;='Resultats - informe'!$E$27),0,(C6764&gt;='Resultats - informe'!$D$28)*(C6764&lt;='Resultats - informe'!$E$28),0,(C6764&gt;='Resultats - informe'!$D$29)*(C6764&lt;='Resultats - informe'!$E$29),0,1,1)</f>
        <v>0</v>
      </c>
      <c r="N6764" s="366">
        <f>+VLOOKUP(D6764,'Resultats - informe'!$Y$18:$AG$42,'Introducció dades consum'!K6764+1,0)</f>
        <v>0</v>
      </c>
      <c r="O6764" s="370" cm="1">
        <f t="array" ref="O6764">+_xlfn.SWITCH(MONTH(C6764),1,1,2,1,3,1,4,2,5,2,6,3,7,3,8,3,9,3,10,2,11,2,12,1,2)</f>
        <v>1</v>
      </c>
      <c r="P6764" s="43"/>
    </row>
    <row r="6765" spans="1:16" ht="18" x14ac:dyDescent="0.35">
      <c r="A6765" s="9"/>
      <c r="C6765" s="393"/>
      <c r="E6765" s="394"/>
      <c r="F6765" s="394"/>
      <c r="G6765" s="394"/>
      <c r="I6765" s="368">
        <f t="shared" si="321"/>
        <v>0</v>
      </c>
      <c r="J6765" s="365">
        <f t="shared" si="322"/>
        <v>0</v>
      </c>
      <c r="K6765" s="369">
        <f t="shared" si="323"/>
        <v>6</v>
      </c>
      <c r="L6765" s="369">
        <f>+IF((C6765&gt;='Resultats - informe'!$E$16)*(C6765&lt;='Resultats - informe'!$G$16),1,0)</f>
        <v>1</v>
      </c>
      <c r="M6765" s="369" cm="1">
        <f t="array" ref="M6765">+_xlfn.IFS((C6765&gt;='Resultats - informe'!$D$26)*(C6765&lt;='Resultats - informe'!$E$26),0,(C6765&gt;='Resultats - informe'!$D$27)*(C6765&lt;='Resultats - informe'!$E$27),0,(C6765&gt;='Resultats - informe'!$D$28)*(C6765&lt;='Resultats - informe'!$E$28),0,(C6765&gt;='Resultats - informe'!$D$29)*(C6765&lt;='Resultats - informe'!$E$29),0,1,1)</f>
        <v>0</v>
      </c>
      <c r="N6765" s="366">
        <f>+VLOOKUP(D6765,'Resultats - informe'!$Y$18:$AG$42,'Introducció dades consum'!K6765+1,0)</f>
        <v>0</v>
      </c>
      <c r="O6765" s="370" cm="1">
        <f t="array" ref="O6765">+_xlfn.SWITCH(MONTH(C6765),1,1,2,1,3,1,4,2,5,2,6,3,7,3,8,3,9,3,10,2,11,2,12,1,2)</f>
        <v>1</v>
      </c>
      <c r="P6765" s="43"/>
    </row>
    <row r="6766" spans="1:16" ht="18" x14ac:dyDescent="0.35">
      <c r="A6766" s="9"/>
      <c r="C6766" s="393"/>
      <c r="E6766" s="394"/>
      <c r="F6766" s="394"/>
      <c r="G6766" s="394"/>
      <c r="I6766" s="368">
        <f t="shared" si="321"/>
        <v>0</v>
      </c>
      <c r="J6766" s="365">
        <f t="shared" si="322"/>
        <v>0</v>
      </c>
      <c r="K6766" s="369">
        <f t="shared" si="323"/>
        <v>6</v>
      </c>
      <c r="L6766" s="369">
        <f>+IF((C6766&gt;='Resultats - informe'!$E$16)*(C6766&lt;='Resultats - informe'!$G$16),1,0)</f>
        <v>1</v>
      </c>
      <c r="M6766" s="369" cm="1">
        <f t="array" ref="M6766">+_xlfn.IFS((C6766&gt;='Resultats - informe'!$D$26)*(C6766&lt;='Resultats - informe'!$E$26),0,(C6766&gt;='Resultats - informe'!$D$27)*(C6766&lt;='Resultats - informe'!$E$27),0,(C6766&gt;='Resultats - informe'!$D$28)*(C6766&lt;='Resultats - informe'!$E$28),0,(C6766&gt;='Resultats - informe'!$D$29)*(C6766&lt;='Resultats - informe'!$E$29),0,1,1)</f>
        <v>0</v>
      </c>
      <c r="N6766" s="366">
        <f>+VLOOKUP(D6766,'Resultats - informe'!$Y$18:$AG$42,'Introducció dades consum'!K6766+1,0)</f>
        <v>0</v>
      </c>
      <c r="O6766" s="370" cm="1">
        <f t="array" ref="O6766">+_xlfn.SWITCH(MONTH(C6766),1,1,2,1,3,1,4,2,5,2,6,3,7,3,8,3,9,3,10,2,11,2,12,1,2)</f>
        <v>1</v>
      </c>
      <c r="P6766" s="43"/>
    </row>
    <row r="6767" spans="1:16" ht="18" x14ac:dyDescent="0.35">
      <c r="A6767" s="9"/>
      <c r="C6767" s="393"/>
      <c r="E6767" s="394"/>
      <c r="F6767" s="394"/>
      <c r="G6767" s="394"/>
      <c r="I6767" s="368">
        <f t="shared" si="321"/>
        <v>0</v>
      </c>
      <c r="J6767" s="365">
        <f t="shared" si="322"/>
        <v>0</v>
      </c>
      <c r="K6767" s="369">
        <f t="shared" si="323"/>
        <v>6</v>
      </c>
      <c r="L6767" s="369">
        <f>+IF((C6767&gt;='Resultats - informe'!$E$16)*(C6767&lt;='Resultats - informe'!$G$16),1,0)</f>
        <v>1</v>
      </c>
      <c r="M6767" s="369" cm="1">
        <f t="array" ref="M6767">+_xlfn.IFS((C6767&gt;='Resultats - informe'!$D$26)*(C6767&lt;='Resultats - informe'!$E$26),0,(C6767&gt;='Resultats - informe'!$D$27)*(C6767&lt;='Resultats - informe'!$E$27),0,(C6767&gt;='Resultats - informe'!$D$28)*(C6767&lt;='Resultats - informe'!$E$28),0,(C6767&gt;='Resultats - informe'!$D$29)*(C6767&lt;='Resultats - informe'!$E$29),0,1,1)</f>
        <v>0</v>
      </c>
      <c r="N6767" s="366">
        <f>+VLOOKUP(D6767,'Resultats - informe'!$Y$18:$AG$42,'Introducció dades consum'!K6767+1,0)</f>
        <v>0</v>
      </c>
      <c r="O6767" s="370" cm="1">
        <f t="array" ref="O6767">+_xlfn.SWITCH(MONTH(C6767),1,1,2,1,3,1,4,2,5,2,6,3,7,3,8,3,9,3,10,2,11,2,12,1,2)</f>
        <v>1</v>
      </c>
      <c r="P6767" s="43"/>
    </row>
    <row r="6768" spans="1:16" ht="18" x14ac:dyDescent="0.35">
      <c r="A6768" s="9"/>
      <c r="C6768" s="393"/>
      <c r="E6768" s="394"/>
      <c r="F6768" s="394"/>
      <c r="G6768" s="394"/>
      <c r="I6768" s="368">
        <f t="shared" si="321"/>
        <v>0</v>
      </c>
      <c r="J6768" s="365">
        <f t="shared" si="322"/>
        <v>0</v>
      </c>
      <c r="K6768" s="369">
        <f t="shared" si="323"/>
        <v>6</v>
      </c>
      <c r="L6768" s="369">
        <f>+IF((C6768&gt;='Resultats - informe'!$E$16)*(C6768&lt;='Resultats - informe'!$G$16),1,0)</f>
        <v>1</v>
      </c>
      <c r="M6768" s="369" cm="1">
        <f t="array" ref="M6768">+_xlfn.IFS((C6768&gt;='Resultats - informe'!$D$26)*(C6768&lt;='Resultats - informe'!$E$26),0,(C6768&gt;='Resultats - informe'!$D$27)*(C6768&lt;='Resultats - informe'!$E$27),0,(C6768&gt;='Resultats - informe'!$D$28)*(C6768&lt;='Resultats - informe'!$E$28),0,(C6768&gt;='Resultats - informe'!$D$29)*(C6768&lt;='Resultats - informe'!$E$29),0,1,1)</f>
        <v>0</v>
      </c>
      <c r="N6768" s="366">
        <f>+VLOOKUP(D6768,'Resultats - informe'!$Y$18:$AG$42,'Introducció dades consum'!K6768+1,0)</f>
        <v>0</v>
      </c>
      <c r="O6768" s="370" cm="1">
        <f t="array" ref="O6768">+_xlfn.SWITCH(MONTH(C6768),1,1,2,1,3,1,4,2,5,2,6,3,7,3,8,3,9,3,10,2,11,2,12,1,2)</f>
        <v>1</v>
      </c>
      <c r="P6768" s="43"/>
    </row>
    <row r="6769" spans="1:16" ht="18" x14ac:dyDescent="0.35">
      <c r="A6769" s="9"/>
      <c r="C6769" s="393"/>
      <c r="E6769" s="394"/>
      <c r="F6769" s="394"/>
      <c r="G6769" s="394"/>
      <c r="I6769" s="368">
        <f t="shared" si="321"/>
        <v>0</v>
      </c>
      <c r="J6769" s="365">
        <f t="shared" si="322"/>
        <v>0</v>
      </c>
      <c r="K6769" s="369">
        <f t="shared" si="323"/>
        <v>6</v>
      </c>
      <c r="L6769" s="369">
        <f>+IF((C6769&gt;='Resultats - informe'!$E$16)*(C6769&lt;='Resultats - informe'!$G$16),1,0)</f>
        <v>1</v>
      </c>
      <c r="M6769" s="369" cm="1">
        <f t="array" ref="M6769">+_xlfn.IFS((C6769&gt;='Resultats - informe'!$D$26)*(C6769&lt;='Resultats - informe'!$E$26),0,(C6769&gt;='Resultats - informe'!$D$27)*(C6769&lt;='Resultats - informe'!$E$27),0,(C6769&gt;='Resultats - informe'!$D$28)*(C6769&lt;='Resultats - informe'!$E$28),0,(C6769&gt;='Resultats - informe'!$D$29)*(C6769&lt;='Resultats - informe'!$E$29),0,1,1)</f>
        <v>0</v>
      </c>
      <c r="N6769" s="366">
        <f>+VLOOKUP(D6769,'Resultats - informe'!$Y$18:$AG$42,'Introducció dades consum'!K6769+1,0)</f>
        <v>0</v>
      </c>
      <c r="O6769" s="370" cm="1">
        <f t="array" ref="O6769">+_xlfn.SWITCH(MONTH(C6769),1,1,2,1,3,1,4,2,5,2,6,3,7,3,8,3,9,3,10,2,11,2,12,1,2)</f>
        <v>1</v>
      </c>
      <c r="P6769" s="43"/>
    </row>
    <row r="6770" spans="1:16" ht="18" x14ac:dyDescent="0.35">
      <c r="A6770" s="9"/>
      <c r="C6770" s="393"/>
      <c r="E6770" s="394"/>
      <c r="F6770" s="394"/>
      <c r="G6770" s="394"/>
      <c r="I6770" s="368">
        <f t="shared" si="321"/>
        <v>0</v>
      </c>
      <c r="J6770" s="365">
        <f t="shared" si="322"/>
        <v>0</v>
      </c>
      <c r="K6770" s="369">
        <f t="shared" si="323"/>
        <v>6</v>
      </c>
      <c r="L6770" s="369">
        <f>+IF((C6770&gt;='Resultats - informe'!$E$16)*(C6770&lt;='Resultats - informe'!$G$16),1,0)</f>
        <v>1</v>
      </c>
      <c r="M6770" s="369" cm="1">
        <f t="array" ref="M6770">+_xlfn.IFS((C6770&gt;='Resultats - informe'!$D$26)*(C6770&lt;='Resultats - informe'!$E$26),0,(C6770&gt;='Resultats - informe'!$D$27)*(C6770&lt;='Resultats - informe'!$E$27),0,(C6770&gt;='Resultats - informe'!$D$28)*(C6770&lt;='Resultats - informe'!$E$28),0,(C6770&gt;='Resultats - informe'!$D$29)*(C6770&lt;='Resultats - informe'!$E$29),0,1,1)</f>
        <v>0</v>
      </c>
      <c r="N6770" s="366">
        <f>+VLOOKUP(D6770,'Resultats - informe'!$Y$18:$AG$42,'Introducció dades consum'!K6770+1,0)</f>
        <v>0</v>
      </c>
      <c r="O6770" s="370" cm="1">
        <f t="array" ref="O6770">+_xlfn.SWITCH(MONTH(C6770),1,1,2,1,3,1,4,2,5,2,6,3,7,3,8,3,9,3,10,2,11,2,12,1,2)</f>
        <v>1</v>
      </c>
      <c r="P6770" s="43"/>
    </row>
    <row r="6771" spans="1:16" ht="18" x14ac:dyDescent="0.35">
      <c r="A6771" s="9"/>
      <c r="C6771" s="393"/>
      <c r="E6771" s="394"/>
      <c r="F6771" s="394"/>
      <c r="G6771" s="394"/>
      <c r="I6771" s="368">
        <f t="shared" si="321"/>
        <v>0</v>
      </c>
      <c r="J6771" s="365">
        <f t="shared" si="322"/>
        <v>0</v>
      </c>
      <c r="K6771" s="369">
        <f t="shared" si="323"/>
        <v>6</v>
      </c>
      <c r="L6771" s="369">
        <f>+IF((C6771&gt;='Resultats - informe'!$E$16)*(C6771&lt;='Resultats - informe'!$G$16),1,0)</f>
        <v>1</v>
      </c>
      <c r="M6771" s="369" cm="1">
        <f t="array" ref="M6771">+_xlfn.IFS((C6771&gt;='Resultats - informe'!$D$26)*(C6771&lt;='Resultats - informe'!$E$26),0,(C6771&gt;='Resultats - informe'!$D$27)*(C6771&lt;='Resultats - informe'!$E$27),0,(C6771&gt;='Resultats - informe'!$D$28)*(C6771&lt;='Resultats - informe'!$E$28),0,(C6771&gt;='Resultats - informe'!$D$29)*(C6771&lt;='Resultats - informe'!$E$29),0,1,1)</f>
        <v>0</v>
      </c>
      <c r="N6771" s="366">
        <f>+VLOOKUP(D6771,'Resultats - informe'!$Y$18:$AG$42,'Introducció dades consum'!K6771+1,0)</f>
        <v>0</v>
      </c>
      <c r="O6771" s="370" cm="1">
        <f t="array" ref="O6771">+_xlfn.SWITCH(MONTH(C6771),1,1,2,1,3,1,4,2,5,2,6,3,7,3,8,3,9,3,10,2,11,2,12,1,2)</f>
        <v>1</v>
      </c>
      <c r="P6771" s="43"/>
    </row>
    <row r="6772" spans="1:16" ht="18" x14ac:dyDescent="0.35">
      <c r="A6772" s="9"/>
      <c r="C6772" s="393"/>
      <c r="E6772" s="394"/>
      <c r="F6772" s="394"/>
      <c r="G6772" s="394"/>
      <c r="I6772" s="368">
        <f t="shared" si="321"/>
        <v>0</v>
      </c>
      <c r="J6772" s="365">
        <f t="shared" si="322"/>
        <v>0</v>
      </c>
      <c r="K6772" s="369">
        <f t="shared" si="323"/>
        <v>6</v>
      </c>
      <c r="L6772" s="369">
        <f>+IF((C6772&gt;='Resultats - informe'!$E$16)*(C6772&lt;='Resultats - informe'!$G$16),1,0)</f>
        <v>1</v>
      </c>
      <c r="M6772" s="369" cm="1">
        <f t="array" ref="M6772">+_xlfn.IFS((C6772&gt;='Resultats - informe'!$D$26)*(C6772&lt;='Resultats - informe'!$E$26),0,(C6772&gt;='Resultats - informe'!$D$27)*(C6772&lt;='Resultats - informe'!$E$27),0,(C6772&gt;='Resultats - informe'!$D$28)*(C6772&lt;='Resultats - informe'!$E$28),0,(C6772&gt;='Resultats - informe'!$D$29)*(C6772&lt;='Resultats - informe'!$E$29),0,1,1)</f>
        <v>0</v>
      </c>
      <c r="N6772" s="366">
        <f>+VLOOKUP(D6772,'Resultats - informe'!$Y$18:$AG$42,'Introducció dades consum'!K6772+1,0)</f>
        <v>0</v>
      </c>
      <c r="O6772" s="370" cm="1">
        <f t="array" ref="O6772">+_xlfn.SWITCH(MONTH(C6772),1,1,2,1,3,1,4,2,5,2,6,3,7,3,8,3,9,3,10,2,11,2,12,1,2)</f>
        <v>1</v>
      </c>
      <c r="P6772" s="43"/>
    </row>
    <row r="6773" spans="1:16" ht="18" x14ac:dyDescent="0.35">
      <c r="A6773" s="9"/>
      <c r="C6773" s="393"/>
      <c r="E6773" s="394"/>
      <c r="F6773" s="394"/>
      <c r="G6773" s="394"/>
      <c r="I6773" s="368">
        <f t="shared" si="321"/>
        <v>0</v>
      </c>
      <c r="J6773" s="365">
        <f t="shared" si="322"/>
        <v>0</v>
      </c>
      <c r="K6773" s="369">
        <f t="shared" si="323"/>
        <v>6</v>
      </c>
      <c r="L6773" s="369">
        <f>+IF((C6773&gt;='Resultats - informe'!$E$16)*(C6773&lt;='Resultats - informe'!$G$16),1,0)</f>
        <v>1</v>
      </c>
      <c r="M6773" s="369" cm="1">
        <f t="array" ref="M6773">+_xlfn.IFS((C6773&gt;='Resultats - informe'!$D$26)*(C6773&lt;='Resultats - informe'!$E$26),0,(C6773&gt;='Resultats - informe'!$D$27)*(C6773&lt;='Resultats - informe'!$E$27),0,(C6773&gt;='Resultats - informe'!$D$28)*(C6773&lt;='Resultats - informe'!$E$28),0,(C6773&gt;='Resultats - informe'!$D$29)*(C6773&lt;='Resultats - informe'!$E$29),0,1,1)</f>
        <v>0</v>
      </c>
      <c r="N6773" s="366">
        <f>+VLOOKUP(D6773,'Resultats - informe'!$Y$18:$AG$42,'Introducció dades consum'!K6773+1,0)</f>
        <v>0</v>
      </c>
      <c r="O6773" s="370" cm="1">
        <f t="array" ref="O6773">+_xlfn.SWITCH(MONTH(C6773),1,1,2,1,3,1,4,2,5,2,6,3,7,3,8,3,9,3,10,2,11,2,12,1,2)</f>
        <v>1</v>
      </c>
      <c r="P6773" s="43"/>
    </row>
    <row r="6774" spans="1:16" ht="18" x14ac:dyDescent="0.35">
      <c r="A6774" s="9"/>
      <c r="C6774" s="393"/>
      <c r="E6774" s="394"/>
      <c r="F6774" s="394"/>
      <c r="G6774" s="394"/>
      <c r="I6774" s="368">
        <f t="shared" si="321"/>
        <v>0</v>
      </c>
      <c r="J6774" s="365">
        <f t="shared" si="322"/>
        <v>0</v>
      </c>
      <c r="K6774" s="369">
        <f t="shared" si="323"/>
        <v>6</v>
      </c>
      <c r="L6774" s="369">
        <f>+IF((C6774&gt;='Resultats - informe'!$E$16)*(C6774&lt;='Resultats - informe'!$G$16),1,0)</f>
        <v>1</v>
      </c>
      <c r="M6774" s="369" cm="1">
        <f t="array" ref="M6774">+_xlfn.IFS((C6774&gt;='Resultats - informe'!$D$26)*(C6774&lt;='Resultats - informe'!$E$26),0,(C6774&gt;='Resultats - informe'!$D$27)*(C6774&lt;='Resultats - informe'!$E$27),0,(C6774&gt;='Resultats - informe'!$D$28)*(C6774&lt;='Resultats - informe'!$E$28),0,(C6774&gt;='Resultats - informe'!$D$29)*(C6774&lt;='Resultats - informe'!$E$29),0,1,1)</f>
        <v>0</v>
      </c>
      <c r="N6774" s="366">
        <f>+VLOOKUP(D6774,'Resultats - informe'!$Y$18:$AG$42,'Introducció dades consum'!K6774+1,0)</f>
        <v>0</v>
      </c>
      <c r="O6774" s="370" cm="1">
        <f t="array" ref="O6774">+_xlfn.SWITCH(MONTH(C6774),1,1,2,1,3,1,4,2,5,2,6,3,7,3,8,3,9,3,10,2,11,2,12,1,2)</f>
        <v>1</v>
      </c>
      <c r="P6774" s="43"/>
    </row>
    <row r="6775" spans="1:16" ht="18" x14ac:dyDescent="0.35">
      <c r="A6775" s="9"/>
      <c r="C6775" s="393"/>
      <c r="E6775" s="394"/>
      <c r="F6775" s="394"/>
      <c r="G6775" s="394"/>
      <c r="I6775" s="368">
        <f t="shared" si="321"/>
        <v>0</v>
      </c>
      <c r="J6775" s="365">
        <f t="shared" si="322"/>
        <v>0</v>
      </c>
      <c r="K6775" s="369">
        <f t="shared" si="323"/>
        <v>6</v>
      </c>
      <c r="L6775" s="369">
        <f>+IF((C6775&gt;='Resultats - informe'!$E$16)*(C6775&lt;='Resultats - informe'!$G$16),1,0)</f>
        <v>1</v>
      </c>
      <c r="M6775" s="369" cm="1">
        <f t="array" ref="M6775">+_xlfn.IFS((C6775&gt;='Resultats - informe'!$D$26)*(C6775&lt;='Resultats - informe'!$E$26),0,(C6775&gt;='Resultats - informe'!$D$27)*(C6775&lt;='Resultats - informe'!$E$27),0,(C6775&gt;='Resultats - informe'!$D$28)*(C6775&lt;='Resultats - informe'!$E$28),0,(C6775&gt;='Resultats - informe'!$D$29)*(C6775&lt;='Resultats - informe'!$E$29),0,1,1)</f>
        <v>0</v>
      </c>
      <c r="N6775" s="366">
        <f>+VLOOKUP(D6775,'Resultats - informe'!$Y$18:$AG$42,'Introducció dades consum'!K6775+1,0)</f>
        <v>0</v>
      </c>
      <c r="O6775" s="370" cm="1">
        <f t="array" ref="O6775">+_xlfn.SWITCH(MONTH(C6775),1,1,2,1,3,1,4,2,5,2,6,3,7,3,8,3,9,3,10,2,11,2,12,1,2)</f>
        <v>1</v>
      </c>
      <c r="P6775" s="43"/>
    </row>
    <row r="6776" spans="1:16" ht="18" x14ac:dyDescent="0.35">
      <c r="A6776" s="9"/>
      <c r="C6776" s="393"/>
      <c r="E6776" s="394"/>
      <c r="F6776" s="394"/>
      <c r="G6776" s="394"/>
      <c r="I6776" s="368">
        <f t="shared" si="321"/>
        <v>0</v>
      </c>
      <c r="J6776" s="365">
        <f t="shared" si="322"/>
        <v>0</v>
      </c>
      <c r="K6776" s="369">
        <f t="shared" si="323"/>
        <v>6</v>
      </c>
      <c r="L6776" s="369">
        <f>+IF((C6776&gt;='Resultats - informe'!$E$16)*(C6776&lt;='Resultats - informe'!$G$16),1,0)</f>
        <v>1</v>
      </c>
      <c r="M6776" s="369" cm="1">
        <f t="array" ref="M6776">+_xlfn.IFS((C6776&gt;='Resultats - informe'!$D$26)*(C6776&lt;='Resultats - informe'!$E$26),0,(C6776&gt;='Resultats - informe'!$D$27)*(C6776&lt;='Resultats - informe'!$E$27),0,(C6776&gt;='Resultats - informe'!$D$28)*(C6776&lt;='Resultats - informe'!$E$28),0,(C6776&gt;='Resultats - informe'!$D$29)*(C6776&lt;='Resultats - informe'!$E$29),0,1,1)</f>
        <v>0</v>
      </c>
      <c r="N6776" s="366">
        <f>+VLOOKUP(D6776,'Resultats - informe'!$Y$18:$AG$42,'Introducció dades consum'!K6776+1,0)</f>
        <v>0</v>
      </c>
      <c r="O6776" s="370" cm="1">
        <f t="array" ref="O6776">+_xlfn.SWITCH(MONTH(C6776),1,1,2,1,3,1,4,2,5,2,6,3,7,3,8,3,9,3,10,2,11,2,12,1,2)</f>
        <v>1</v>
      </c>
      <c r="P6776" s="43"/>
    </row>
    <row r="6777" spans="1:16" ht="18" x14ac:dyDescent="0.35">
      <c r="A6777" s="9"/>
      <c r="C6777" s="393"/>
      <c r="E6777" s="394"/>
      <c r="F6777" s="394"/>
      <c r="G6777" s="394"/>
      <c r="I6777" s="368">
        <f t="shared" si="321"/>
        <v>0</v>
      </c>
      <c r="J6777" s="365">
        <f t="shared" si="322"/>
        <v>0</v>
      </c>
      <c r="K6777" s="369">
        <f t="shared" si="323"/>
        <v>6</v>
      </c>
      <c r="L6777" s="369">
        <f>+IF((C6777&gt;='Resultats - informe'!$E$16)*(C6777&lt;='Resultats - informe'!$G$16),1,0)</f>
        <v>1</v>
      </c>
      <c r="M6777" s="369" cm="1">
        <f t="array" ref="M6777">+_xlfn.IFS((C6777&gt;='Resultats - informe'!$D$26)*(C6777&lt;='Resultats - informe'!$E$26),0,(C6777&gt;='Resultats - informe'!$D$27)*(C6777&lt;='Resultats - informe'!$E$27),0,(C6777&gt;='Resultats - informe'!$D$28)*(C6777&lt;='Resultats - informe'!$E$28),0,(C6777&gt;='Resultats - informe'!$D$29)*(C6777&lt;='Resultats - informe'!$E$29),0,1,1)</f>
        <v>0</v>
      </c>
      <c r="N6777" s="366">
        <f>+VLOOKUP(D6777,'Resultats - informe'!$Y$18:$AG$42,'Introducció dades consum'!K6777+1,0)</f>
        <v>0</v>
      </c>
      <c r="O6777" s="370" cm="1">
        <f t="array" ref="O6777">+_xlfn.SWITCH(MONTH(C6777),1,1,2,1,3,1,4,2,5,2,6,3,7,3,8,3,9,3,10,2,11,2,12,1,2)</f>
        <v>1</v>
      </c>
      <c r="P6777" s="43"/>
    </row>
    <row r="6778" spans="1:16" ht="18" x14ac:dyDescent="0.35">
      <c r="A6778" s="9"/>
      <c r="C6778" s="393"/>
      <c r="E6778" s="394"/>
      <c r="F6778" s="394"/>
      <c r="G6778" s="394"/>
      <c r="I6778" s="368">
        <f t="shared" si="321"/>
        <v>0</v>
      </c>
      <c r="J6778" s="365">
        <f t="shared" si="322"/>
        <v>0</v>
      </c>
      <c r="K6778" s="369">
        <f t="shared" si="323"/>
        <v>6</v>
      </c>
      <c r="L6778" s="369">
        <f>+IF((C6778&gt;='Resultats - informe'!$E$16)*(C6778&lt;='Resultats - informe'!$G$16),1,0)</f>
        <v>1</v>
      </c>
      <c r="M6778" s="369" cm="1">
        <f t="array" ref="M6778">+_xlfn.IFS((C6778&gt;='Resultats - informe'!$D$26)*(C6778&lt;='Resultats - informe'!$E$26),0,(C6778&gt;='Resultats - informe'!$D$27)*(C6778&lt;='Resultats - informe'!$E$27),0,(C6778&gt;='Resultats - informe'!$D$28)*(C6778&lt;='Resultats - informe'!$E$28),0,(C6778&gt;='Resultats - informe'!$D$29)*(C6778&lt;='Resultats - informe'!$E$29),0,1,1)</f>
        <v>0</v>
      </c>
      <c r="N6778" s="366">
        <f>+VLOOKUP(D6778,'Resultats - informe'!$Y$18:$AG$42,'Introducció dades consum'!K6778+1,0)</f>
        <v>0</v>
      </c>
      <c r="O6778" s="370" cm="1">
        <f t="array" ref="O6778">+_xlfn.SWITCH(MONTH(C6778),1,1,2,1,3,1,4,2,5,2,6,3,7,3,8,3,9,3,10,2,11,2,12,1,2)</f>
        <v>1</v>
      </c>
      <c r="P6778" s="43"/>
    </row>
    <row r="6779" spans="1:16" ht="18" x14ac:dyDescent="0.35">
      <c r="A6779" s="9"/>
      <c r="C6779" s="393"/>
      <c r="E6779" s="394"/>
      <c r="F6779" s="394"/>
      <c r="G6779" s="394"/>
      <c r="I6779" s="368">
        <f t="shared" si="321"/>
        <v>0</v>
      </c>
      <c r="J6779" s="365">
        <f t="shared" si="322"/>
        <v>0</v>
      </c>
      <c r="K6779" s="369">
        <f t="shared" si="323"/>
        <v>6</v>
      </c>
      <c r="L6779" s="369">
        <f>+IF((C6779&gt;='Resultats - informe'!$E$16)*(C6779&lt;='Resultats - informe'!$G$16),1,0)</f>
        <v>1</v>
      </c>
      <c r="M6779" s="369" cm="1">
        <f t="array" ref="M6779">+_xlfn.IFS((C6779&gt;='Resultats - informe'!$D$26)*(C6779&lt;='Resultats - informe'!$E$26),0,(C6779&gt;='Resultats - informe'!$D$27)*(C6779&lt;='Resultats - informe'!$E$27),0,(C6779&gt;='Resultats - informe'!$D$28)*(C6779&lt;='Resultats - informe'!$E$28),0,(C6779&gt;='Resultats - informe'!$D$29)*(C6779&lt;='Resultats - informe'!$E$29),0,1,1)</f>
        <v>0</v>
      </c>
      <c r="N6779" s="366">
        <f>+VLOOKUP(D6779,'Resultats - informe'!$Y$18:$AG$42,'Introducció dades consum'!K6779+1,0)</f>
        <v>0</v>
      </c>
      <c r="O6779" s="370" cm="1">
        <f t="array" ref="O6779">+_xlfn.SWITCH(MONTH(C6779),1,1,2,1,3,1,4,2,5,2,6,3,7,3,8,3,9,3,10,2,11,2,12,1,2)</f>
        <v>1</v>
      </c>
      <c r="P6779" s="43"/>
    </row>
    <row r="6780" spans="1:16" ht="18" x14ac:dyDescent="0.35">
      <c r="A6780" s="9"/>
      <c r="C6780" s="393"/>
      <c r="E6780" s="394"/>
      <c r="F6780" s="394"/>
      <c r="G6780" s="394"/>
      <c r="I6780" s="368">
        <f t="shared" si="321"/>
        <v>0</v>
      </c>
      <c r="J6780" s="365">
        <f t="shared" si="322"/>
        <v>0</v>
      </c>
      <c r="K6780" s="369">
        <f t="shared" si="323"/>
        <v>6</v>
      </c>
      <c r="L6780" s="369">
        <f>+IF((C6780&gt;='Resultats - informe'!$E$16)*(C6780&lt;='Resultats - informe'!$G$16),1,0)</f>
        <v>1</v>
      </c>
      <c r="M6780" s="369" cm="1">
        <f t="array" ref="M6780">+_xlfn.IFS((C6780&gt;='Resultats - informe'!$D$26)*(C6780&lt;='Resultats - informe'!$E$26),0,(C6780&gt;='Resultats - informe'!$D$27)*(C6780&lt;='Resultats - informe'!$E$27),0,(C6780&gt;='Resultats - informe'!$D$28)*(C6780&lt;='Resultats - informe'!$E$28),0,(C6780&gt;='Resultats - informe'!$D$29)*(C6780&lt;='Resultats - informe'!$E$29),0,1,1)</f>
        <v>0</v>
      </c>
      <c r="N6780" s="366">
        <f>+VLOOKUP(D6780,'Resultats - informe'!$Y$18:$AG$42,'Introducció dades consum'!K6780+1,0)</f>
        <v>0</v>
      </c>
      <c r="O6780" s="370" cm="1">
        <f t="array" ref="O6780">+_xlfn.SWITCH(MONTH(C6780),1,1,2,1,3,1,4,2,5,2,6,3,7,3,8,3,9,3,10,2,11,2,12,1,2)</f>
        <v>1</v>
      </c>
      <c r="P6780" s="43"/>
    </row>
    <row r="6781" spans="1:16" ht="18" x14ac:dyDescent="0.35">
      <c r="A6781" s="9"/>
      <c r="C6781" s="393"/>
      <c r="E6781" s="394"/>
      <c r="F6781" s="394"/>
      <c r="G6781" s="394"/>
      <c r="I6781" s="368">
        <f t="shared" si="321"/>
        <v>0</v>
      </c>
      <c r="J6781" s="365">
        <f t="shared" si="322"/>
        <v>0</v>
      </c>
      <c r="K6781" s="369">
        <f t="shared" si="323"/>
        <v>6</v>
      </c>
      <c r="L6781" s="369">
        <f>+IF((C6781&gt;='Resultats - informe'!$E$16)*(C6781&lt;='Resultats - informe'!$G$16),1,0)</f>
        <v>1</v>
      </c>
      <c r="M6781" s="369" cm="1">
        <f t="array" ref="M6781">+_xlfn.IFS((C6781&gt;='Resultats - informe'!$D$26)*(C6781&lt;='Resultats - informe'!$E$26),0,(C6781&gt;='Resultats - informe'!$D$27)*(C6781&lt;='Resultats - informe'!$E$27),0,(C6781&gt;='Resultats - informe'!$D$28)*(C6781&lt;='Resultats - informe'!$E$28),0,(C6781&gt;='Resultats - informe'!$D$29)*(C6781&lt;='Resultats - informe'!$E$29),0,1,1)</f>
        <v>0</v>
      </c>
      <c r="N6781" s="366">
        <f>+VLOOKUP(D6781,'Resultats - informe'!$Y$18:$AG$42,'Introducció dades consum'!K6781+1,0)</f>
        <v>0</v>
      </c>
      <c r="O6781" s="370" cm="1">
        <f t="array" ref="O6781">+_xlfn.SWITCH(MONTH(C6781),1,1,2,1,3,1,4,2,5,2,6,3,7,3,8,3,9,3,10,2,11,2,12,1,2)</f>
        <v>1</v>
      </c>
      <c r="P6781" s="43"/>
    </row>
    <row r="6782" spans="1:16" ht="18" x14ac:dyDescent="0.35">
      <c r="A6782" s="9"/>
      <c r="C6782" s="393"/>
      <c r="E6782" s="394"/>
      <c r="F6782" s="394"/>
      <c r="G6782" s="394"/>
      <c r="I6782" s="368">
        <f t="shared" si="321"/>
        <v>0</v>
      </c>
      <c r="J6782" s="365">
        <f t="shared" si="322"/>
        <v>0</v>
      </c>
      <c r="K6782" s="369">
        <f t="shared" si="323"/>
        <v>6</v>
      </c>
      <c r="L6782" s="369">
        <f>+IF((C6782&gt;='Resultats - informe'!$E$16)*(C6782&lt;='Resultats - informe'!$G$16),1,0)</f>
        <v>1</v>
      </c>
      <c r="M6782" s="369" cm="1">
        <f t="array" ref="M6782">+_xlfn.IFS((C6782&gt;='Resultats - informe'!$D$26)*(C6782&lt;='Resultats - informe'!$E$26),0,(C6782&gt;='Resultats - informe'!$D$27)*(C6782&lt;='Resultats - informe'!$E$27),0,(C6782&gt;='Resultats - informe'!$D$28)*(C6782&lt;='Resultats - informe'!$E$28),0,(C6782&gt;='Resultats - informe'!$D$29)*(C6782&lt;='Resultats - informe'!$E$29),0,1,1)</f>
        <v>0</v>
      </c>
      <c r="N6782" s="366">
        <f>+VLOOKUP(D6782,'Resultats - informe'!$Y$18:$AG$42,'Introducció dades consum'!K6782+1,0)</f>
        <v>0</v>
      </c>
      <c r="O6782" s="370" cm="1">
        <f t="array" ref="O6782">+_xlfn.SWITCH(MONTH(C6782),1,1,2,1,3,1,4,2,5,2,6,3,7,3,8,3,9,3,10,2,11,2,12,1,2)</f>
        <v>1</v>
      </c>
      <c r="P6782" s="43"/>
    </row>
    <row r="6783" spans="1:16" ht="18" x14ac:dyDescent="0.35">
      <c r="A6783" s="9"/>
      <c r="C6783" s="393"/>
      <c r="E6783" s="394"/>
      <c r="F6783" s="394"/>
      <c r="G6783" s="394"/>
      <c r="I6783" s="368">
        <f t="shared" si="321"/>
        <v>0</v>
      </c>
      <c r="J6783" s="365">
        <f t="shared" si="322"/>
        <v>0</v>
      </c>
      <c r="K6783" s="369">
        <f t="shared" si="323"/>
        <v>6</v>
      </c>
      <c r="L6783" s="369">
        <f>+IF((C6783&gt;='Resultats - informe'!$E$16)*(C6783&lt;='Resultats - informe'!$G$16),1,0)</f>
        <v>1</v>
      </c>
      <c r="M6783" s="369" cm="1">
        <f t="array" ref="M6783">+_xlfn.IFS((C6783&gt;='Resultats - informe'!$D$26)*(C6783&lt;='Resultats - informe'!$E$26),0,(C6783&gt;='Resultats - informe'!$D$27)*(C6783&lt;='Resultats - informe'!$E$27),0,(C6783&gt;='Resultats - informe'!$D$28)*(C6783&lt;='Resultats - informe'!$E$28),0,(C6783&gt;='Resultats - informe'!$D$29)*(C6783&lt;='Resultats - informe'!$E$29),0,1,1)</f>
        <v>0</v>
      </c>
      <c r="N6783" s="366">
        <f>+VLOOKUP(D6783,'Resultats - informe'!$Y$18:$AG$42,'Introducció dades consum'!K6783+1,0)</f>
        <v>0</v>
      </c>
      <c r="O6783" s="370" cm="1">
        <f t="array" ref="O6783">+_xlfn.SWITCH(MONTH(C6783),1,1,2,1,3,1,4,2,5,2,6,3,7,3,8,3,9,3,10,2,11,2,12,1,2)</f>
        <v>1</v>
      </c>
      <c r="P6783" s="43"/>
    </row>
    <row r="6784" spans="1:16" ht="18" x14ac:dyDescent="0.35">
      <c r="A6784" s="9"/>
      <c r="C6784" s="393"/>
      <c r="E6784" s="394"/>
      <c r="F6784" s="394"/>
      <c r="G6784" s="394"/>
      <c r="I6784" s="368">
        <f t="shared" si="321"/>
        <v>0</v>
      </c>
      <c r="J6784" s="365">
        <f t="shared" si="322"/>
        <v>0</v>
      </c>
      <c r="K6784" s="369">
        <f t="shared" si="323"/>
        <v>6</v>
      </c>
      <c r="L6784" s="369">
        <f>+IF((C6784&gt;='Resultats - informe'!$E$16)*(C6784&lt;='Resultats - informe'!$G$16),1,0)</f>
        <v>1</v>
      </c>
      <c r="M6784" s="369" cm="1">
        <f t="array" ref="M6784">+_xlfn.IFS((C6784&gt;='Resultats - informe'!$D$26)*(C6784&lt;='Resultats - informe'!$E$26),0,(C6784&gt;='Resultats - informe'!$D$27)*(C6784&lt;='Resultats - informe'!$E$27),0,(C6784&gt;='Resultats - informe'!$D$28)*(C6784&lt;='Resultats - informe'!$E$28),0,(C6784&gt;='Resultats - informe'!$D$29)*(C6784&lt;='Resultats - informe'!$E$29),0,1,1)</f>
        <v>0</v>
      </c>
      <c r="N6784" s="366">
        <f>+VLOOKUP(D6784,'Resultats - informe'!$Y$18:$AG$42,'Introducció dades consum'!K6784+1,0)</f>
        <v>0</v>
      </c>
      <c r="O6784" s="370" cm="1">
        <f t="array" ref="O6784">+_xlfn.SWITCH(MONTH(C6784),1,1,2,1,3,1,4,2,5,2,6,3,7,3,8,3,9,3,10,2,11,2,12,1,2)</f>
        <v>1</v>
      </c>
      <c r="P6784" s="43"/>
    </row>
    <row r="6785" spans="1:16" ht="18" x14ac:dyDescent="0.35">
      <c r="A6785" s="9"/>
      <c r="C6785" s="393"/>
      <c r="E6785" s="394"/>
      <c r="F6785" s="394"/>
      <c r="G6785" s="394"/>
      <c r="I6785" s="368">
        <f t="shared" si="321"/>
        <v>0</v>
      </c>
      <c r="J6785" s="365">
        <f t="shared" si="322"/>
        <v>0</v>
      </c>
      <c r="K6785" s="369">
        <f t="shared" si="323"/>
        <v>6</v>
      </c>
      <c r="L6785" s="369">
        <f>+IF((C6785&gt;='Resultats - informe'!$E$16)*(C6785&lt;='Resultats - informe'!$G$16),1,0)</f>
        <v>1</v>
      </c>
      <c r="M6785" s="369" cm="1">
        <f t="array" ref="M6785">+_xlfn.IFS((C6785&gt;='Resultats - informe'!$D$26)*(C6785&lt;='Resultats - informe'!$E$26),0,(C6785&gt;='Resultats - informe'!$D$27)*(C6785&lt;='Resultats - informe'!$E$27),0,(C6785&gt;='Resultats - informe'!$D$28)*(C6785&lt;='Resultats - informe'!$E$28),0,(C6785&gt;='Resultats - informe'!$D$29)*(C6785&lt;='Resultats - informe'!$E$29),0,1,1)</f>
        <v>0</v>
      </c>
      <c r="N6785" s="366">
        <f>+VLOOKUP(D6785,'Resultats - informe'!$Y$18:$AG$42,'Introducció dades consum'!K6785+1,0)</f>
        <v>0</v>
      </c>
      <c r="O6785" s="370" cm="1">
        <f t="array" ref="O6785">+_xlfn.SWITCH(MONTH(C6785),1,1,2,1,3,1,4,2,5,2,6,3,7,3,8,3,9,3,10,2,11,2,12,1,2)</f>
        <v>1</v>
      </c>
      <c r="P6785" s="43"/>
    </row>
    <row r="6786" spans="1:16" ht="18" x14ac:dyDescent="0.35">
      <c r="A6786" s="9"/>
      <c r="C6786" s="393"/>
      <c r="E6786" s="394"/>
      <c r="F6786" s="394"/>
      <c r="G6786" s="394"/>
      <c r="I6786" s="368">
        <f t="shared" si="321"/>
        <v>0</v>
      </c>
      <c r="J6786" s="365">
        <f t="shared" si="322"/>
        <v>0</v>
      </c>
      <c r="K6786" s="369">
        <f t="shared" si="323"/>
        <v>6</v>
      </c>
      <c r="L6786" s="369">
        <f>+IF((C6786&gt;='Resultats - informe'!$E$16)*(C6786&lt;='Resultats - informe'!$G$16),1,0)</f>
        <v>1</v>
      </c>
      <c r="M6786" s="369" cm="1">
        <f t="array" ref="M6786">+_xlfn.IFS((C6786&gt;='Resultats - informe'!$D$26)*(C6786&lt;='Resultats - informe'!$E$26),0,(C6786&gt;='Resultats - informe'!$D$27)*(C6786&lt;='Resultats - informe'!$E$27),0,(C6786&gt;='Resultats - informe'!$D$28)*(C6786&lt;='Resultats - informe'!$E$28),0,(C6786&gt;='Resultats - informe'!$D$29)*(C6786&lt;='Resultats - informe'!$E$29),0,1,1)</f>
        <v>0</v>
      </c>
      <c r="N6786" s="366">
        <f>+VLOOKUP(D6786,'Resultats - informe'!$Y$18:$AG$42,'Introducció dades consum'!K6786+1,0)</f>
        <v>0</v>
      </c>
      <c r="O6786" s="370" cm="1">
        <f t="array" ref="O6786">+_xlfn.SWITCH(MONTH(C6786),1,1,2,1,3,1,4,2,5,2,6,3,7,3,8,3,9,3,10,2,11,2,12,1,2)</f>
        <v>1</v>
      </c>
      <c r="P6786" s="43"/>
    </row>
    <row r="6787" spans="1:16" ht="18" x14ac:dyDescent="0.35">
      <c r="A6787" s="9"/>
      <c r="C6787" s="393"/>
      <c r="E6787" s="394"/>
      <c r="F6787" s="394"/>
      <c r="G6787" s="394"/>
      <c r="I6787" s="368">
        <f t="shared" si="321"/>
        <v>0</v>
      </c>
      <c r="J6787" s="365">
        <f t="shared" si="322"/>
        <v>0</v>
      </c>
      <c r="K6787" s="369">
        <f t="shared" si="323"/>
        <v>6</v>
      </c>
      <c r="L6787" s="369">
        <f>+IF((C6787&gt;='Resultats - informe'!$E$16)*(C6787&lt;='Resultats - informe'!$G$16),1,0)</f>
        <v>1</v>
      </c>
      <c r="M6787" s="369" cm="1">
        <f t="array" ref="M6787">+_xlfn.IFS((C6787&gt;='Resultats - informe'!$D$26)*(C6787&lt;='Resultats - informe'!$E$26),0,(C6787&gt;='Resultats - informe'!$D$27)*(C6787&lt;='Resultats - informe'!$E$27),0,(C6787&gt;='Resultats - informe'!$D$28)*(C6787&lt;='Resultats - informe'!$E$28),0,(C6787&gt;='Resultats - informe'!$D$29)*(C6787&lt;='Resultats - informe'!$E$29),0,1,1)</f>
        <v>0</v>
      </c>
      <c r="N6787" s="366">
        <f>+VLOOKUP(D6787,'Resultats - informe'!$Y$18:$AG$42,'Introducció dades consum'!K6787+1,0)</f>
        <v>0</v>
      </c>
      <c r="O6787" s="370" cm="1">
        <f t="array" ref="O6787">+_xlfn.SWITCH(MONTH(C6787),1,1,2,1,3,1,4,2,5,2,6,3,7,3,8,3,9,3,10,2,11,2,12,1,2)</f>
        <v>1</v>
      </c>
      <c r="P6787" s="43"/>
    </row>
    <row r="6788" spans="1:16" ht="18" x14ac:dyDescent="0.35">
      <c r="A6788" s="9"/>
      <c r="C6788" s="393"/>
      <c r="E6788" s="394"/>
      <c r="F6788" s="394"/>
      <c r="G6788" s="394"/>
      <c r="I6788" s="368">
        <f t="shared" si="321"/>
        <v>0</v>
      </c>
      <c r="J6788" s="365">
        <f t="shared" si="322"/>
        <v>0</v>
      </c>
      <c r="K6788" s="369">
        <f t="shared" si="323"/>
        <v>6</v>
      </c>
      <c r="L6788" s="369">
        <f>+IF((C6788&gt;='Resultats - informe'!$E$16)*(C6788&lt;='Resultats - informe'!$G$16),1,0)</f>
        <v>1</v>
      </c>
      <c r="M6788" s="369" cm="1">
        <f t="array" ref="M6788">+_xlfn.IFS((C6788&gt;='Resultats - informe'!$D$26)*(C6788&lt;='Resultats - informe'!$E$26),0,(C6788&gt;='Resultats - informe'!$D$27)*(C6788&lt;='Resultats - informe'!$E$27),0,(C6788&gt;='Resultats - informe'!$D$28)*(C6788&lt;='Resultats - informe'!$E$28),0,(C6788&gt;='Resultats - informe'!$D$29)*(C6788&lt;='Resultats - informe'!$E$29),0,1,1)</f>
        <v>0</v>
      </c>
      <c r="N6788" s="366">
        <f>+VLOOKUP(D6788,'Resultats - informe'!$Y$18:$AG$42,'Introducció dades consum'!K6788+1,0)</f>
        <v>0</v>
      </c>
      <c r="O6788" s="370" cm="1">
        <f t="array" ref="O6788">+_xlfn.SWITCH(MONTH(C6788),1,1,2,1,3,1,4,2,5,2,6,3,7,3,8,3,9,3,10,2,11,2,12,1,2)</f>
        <v>1</v>
      </c>
      <c r="P6788" s="43"/>
    </row>
    <row r="6789" spans="1:16" ht="18" x14ac:dyDescent="0.35">
      <c r="A6789" s="9"/>
      <c r="C6789" s="393"/>
      <c r="E6789" s="394"/>
      <c r="F6789" s="394"/>
      <c r="G6789" s="394"/>
      <c r="I6789" s="368">
        <f t="shared" si="321"/>
        <v>0</v>
      </c>
      <c r="J6789" s="365">
        <f t="shared" si="322"/>
        <v>0</v>
      </c>
      <c r="K6789" s="369">
        <f t="shared" si="323"/>
        <v>6</v>
      </c>
      <c r="L6789" s="369">
        <f>+IF((C6789&gt;='Resultats - informe'!$E$16)*(C6789&lt;='Resultats - informe'!$G$16),1,0)</f>
        <v>1</v>
      </c>
      <c r="M6789" s="369" cm="1">
        <f t="array" ref="M6789">+_xlfn.IFS((C6789&gt;='Resultats - informe'!$D$26)*(C6789&lt;='Resultats - informe'!$E$26),0,(C6789&gt;='Resultats - informe'!$D$27)*(C6789&lt;='Resultats - informe'!$E$27),0,(C6789&gt;='Resultats - informe'!$D$28)*(C6789&lt;='Resultats - informe'!$E$28),0,(C6789&gt;='Resultats - informe'!$D$29)*(C6789&lt;='Resultats - informe'!$E$29),0,1,1)</f>
        <v>0</v>
      </c>
      <c r="N6789" s="366">
        <f>+VLOOKUP(D6789,'Resultats - informe'!$Y$18:$AG$42,'Introducció dades consum'!K6789+1,0)</f>
        <v>0</v>
      </c>
      <c r="O6789" s="370" cm="1">
        <f t="array" ref="O6789">+_xlfn.SWITCH(MONTH(C6789),1,1,2,1,3,1,4,2,5,2,6,3,7,3,8,3,9,3,10,2,11,2,12,1,2)</f>
        <v>1</v>
      </c>
      <c r="P6789" s="43"/>
    </row>
    <row r="6790" spans="1:16" ht="18" x14ac:dyDescent="0.35">
      <c r="A6790" s="9"/>
      <c r="C6790" s="393"/>
      <c r="E6790" s="394"/>
      <c r="F6790" s="394"/>
      <c r="G6790" s="394"/>
      <c r="I6790" s="368">
        <f t="shared" si="321"/>
        <v>0</v>
      </c>
      <c r="J6790" s="365">
        <f t="shared" si="322"/>
        <v>0</v>
      </c>
      <c r="K6790" s="369">
        <f t="shared" si="323"/>
        <v>6</v>
      </c>
      <c r="L6790" s="369">
        <f>+IF((C6790&gt;='Resultats - informe'!$E$16)*(C6790&lt;='Resultats - informe'!$G$16),1,0)</f>
        <v>1</v>
      </c>
      <c r="M6790" s="369" cm="1">
        <f t="array" ref="M6790">+_xlfn.IFS((C6790&gt;='Resultats - informe'!$D$26)*(C6790&lt;='Resultats - informe'!$E$26),0,(C6790&gt;='Resultats - informe'!$D$27)*(C6790&lt;='Resultats - informe'!$E$27),0,(C6790&gt;='Resultats - informe'!$D$28)*(C6790&lt;='Resultats - informe'!$E$28),0,(C6790&gt;='Resultats - informe'!$D$29)*(C6790&lt;='Resultats - informe'!$E$29),0,1,1)</f>
        <v>0</v>
      </c>
      <c r="N6790" s="366">
        <f>+VLOOKUP(D6790,'Resultats - informe'!$Y$18:$AG$42,'Introducció dades consum'!K6790+1,0)</f>
        <v>0</v>
      </c>
      <c r="O6790" s="370" cm="1">
        <f t="array" ref="O6790">+_xlfn.SWITCH(MONTH(C6790),1,1,2,1,3,1,4,2,5,2,6,3,7,3,8,3,9,3,10,2,11,2,12,1,2)</f>
        <v>1</v>
      </c>
      <c r="P6790" s="43"/>
    </row>
    <row r="6791" spans="1:16" ht="18" x14ac:dyDescent="0.35">
      <c r="A6791" s="9"/>
      <c r="C6791" s="393"/>
      <c r="E6791" s="394"/>
      <c r="F6791" s="394"/>
      <c r="G6791" s="394"/>
      <c r="I6791" s="368">
        <f t="shared" si="321"/>
        <v>0</v>
      </c>
      <c r="J6791" s="365">
        <f t="shared" si="322"/>
        <v>0</v>
      </c>
      <c r="K6791" s="369">
        <f t="shared" si="323"/>
        <v>6</v>
      </c>
      <c r="L6791" s="369">
        <f>+IF((C6791&gt;='Resultats - informe'!$E$16)*(C6791&lt;='Resultats - informe'!$G$16),1,0)</f>
        <v>1</v>
      </c>
      <c r="M6791" s="369" cm="1">
        <f t="array" ref="M6791">+_xlfn.IFS((C6791&gt;='Resultats - informe'!$D$26)*(C6791&lt;='Resultats - informe'!$E$26),0,(C6791&gt;='Resultats - informe'!$D$27)*(C6791&lt;='Resultats - informe'!$E$27),0,(C6791&gt;='Resultats - informe'!$D$28)*(C6791&lt;='Resultats - informe'!$E$28),0,(C6791&gt;='Resultats - informe'!$D$29)*(C6791&lt;='Resultats - informe'!$E$29),0,1,1)</f>
        <v>0</v>
      </c>
      <c r="N6791" s="366">
        <f>+VLOOKUP(D6791,'Resultats - informe'!$Y$18:$AG$42,'Introducció dades consum'!K6791+1,0)</f>
        <v>0</v>
      </c>
      <c r="O6791" s="370" cm="1">
        <f t="array" ref="O6791">+_xlfn.SWITCH(MONTH(C6791),1,1,2,1,3,1,4,2,5,2,6,3,7,3,8,3,9,3,10,2,11,2,12,1,2)</f>
        <v>1</v>
      </c>
      <c r="P6791" s="43"/>
    </row>
    <row r="6792" spans="1:16" ht="18" x14ac:dyDescent="0.35">
      <c r="A6792" s="9"/>
      <c r="C6792" s="393"/>
      <c r="E6792" s="394"/>
      <c r="F6792" s="394"/>
      <c r="G6792" s="394"/>
      <c r="I6792" s="368">
        <f t="shared" si="321"/>
        <v>0</v>
      </c>
      <c r="J6792" s="365">
        <f t="shared" si="322"/>
        <v>0</v>
      </c>
      <c r="K6792" s="369">
        <f t="shared" si="323"/>
        <v>6</v>
      </c>
      <c r="L6792" s="369">
        <f>+IF((C6792&gt;='Resultats - informe'!$E$16)*(C6792&lt;='Resultats - informe'!$G$16),1,0)</f>
        <v>1</v>
      </c>
      <c r="M6792" s="369" cm="1">
        <f t="array" ref="M6792">+_xlfn.IFS((C6792&gt;='Resultats - informe'!$D$26)*(C6792&lt;='Resultats - informe'!$E$26),0,(C6792&gt;='Resultats - informe'!$D$27)*(C6792&lt;='Resultats - informe'!$E$27),0,(C6792&gt;='Resultats - informe'!$D$28)*(C6792&lt;='Resultats - informe'!$E$28),0,(C6792&gt;='Resultats - informe'!$D$29)*(C6792&lt;='Resultats - informe'!$E$29),0,1,1)</f>
        <v>0</v>
      </c>
      <c r="N6792" s="366">
        <f>+VLOOKUP(D6792,'Resultats - informe'!$Y$18:$AG$42,'Introducció dades consum'!K6792+1,0)</f>
        <v>0</v>
      </c>
      <c r="O6792" s="370" cm="1">
        <f t="array" ref="O6792">+_xlfn.SWITCH(MONTH(C6792),1,1,2,1,3,1,4,2,5,2,6,3,7,3,8,3,9,3,10,2,11,2,12,1,2)</f>
        <v>1</v>
      </c>
      <c r="P6792" s="43"/>
    </row>
    <row r="6793" spans="1:16" ht="18" x14ac:dyDescent="0.35">
      <c r="A6793" s="9"/>
      <c r="C6793" s="393"/>
      <c r="E6793" s="394"/>
      <c r="F6793" s="394"/>
      <c r="G6793" s="394"/>
      <c r="I6793" s="368">
        <f t="shared" si="321"/>
        <v>0</v>
      </c>
      <c r="J6793" s="365">
        <f t="shared" si="322"/>
        <v>0</v>
      </c>
      <c r="K6793" s="369">
        <f t="shared" si="323"/>
        <v>6</v>
      </c>
      <c r="L6793" s="369">
        <f>+IF((C6793&gt;='Resultats - informe'!$E$16)*(C6793&lt;='Resultats - informe'!$G$16),1,0)</f>
        <v>1</v>
      </c>
      <c r="M6793" s="369" cm="1">
        <f t="array" ref="M6793">+_xlfn.IFS((C6793&gt;='Resultats - informe'!$D$26)*(C6793&lt;='Resultats - informe'!$E$26),0,(C6793&gt;='Resultats - informe'!$D$27)*(C6793&lt;='Resultats - informe'!$E$27),0,(C6793&gt;='Resultats - informe'!$D$28)*(C6793&lt;='Resultats - informe'!$E$28),0,(C6793&gt;='Resultats - informe'!$D$29)*(C6793&lt;='Resultats - informe'!$E$29),0,1,1)</f>
        <v>0</v>
      </c>
      <c r="N6793" s="366">
        <f>+VLOOKUP(D6793,'Resultats - informe'!$Y$18:$AG$42,'Introducció dades consum'!K6793+1,0)</f>
        <v>0</v>
      </c>
      <c r="O6793" s="370" cm="1">
        <f t="array" ref="O6793">+_xlfn.SWITCH(MONTH(C6793),1,1,2,1,3,1,4,2,5,2,6,3,7,3,8,3,9,3,10,2,11,2,12,1,2)</f>
        <v>1</v>
      </c>
      <c r="P6793" s="43"/>
    </row>
    <row r="6794" spans="1:16" ht="18" x14ac:dyDescent="0.35">
      <c r="A6794" s="9"/>
      <c r="C6794" s="393"/>
      <c r="E6794" s="394"/>
      <c r="F6794" s="394"/>
      <c r="G6794" s="394"/>
      <c r="I6794" s="368">
        <f t="shared" si="321"/>
        <v>0</v>
      </c>
      <c r="J6794" s="365">
        <f t="shared" si="322"/>
        <v>0</v>
      </c>
      <c r="K6794" s="369">
        <f t="shared" si="323"/>
        <v>6</v>
      </c>
      <c r="L6794" s="369">
        <f>+IF((C6794&gt;='Resultats - informe'!$E$16)*(C6794&lt;='Resultats - informe'!$G$16),1,0)</f>
        <v>1</v>
      </c>
      <c r="M6794" s="369" cm="1">
        <f t="array" ref="M6794">+_xlfn.IFS((C6794&gt;='Resultats - informe'!$D$26)*(C6794&lt;='Resultats - informe'!$E$26),0,(C6794&gt;='Resultats - informe'!$D$27)*(C6794&lt;='Resultats - informe'!$E$27),0,(C6794&gt;='Resultats - informe'!$D$28)*(C6794&lt;='Resultats - informe'!$E$28),0,(C6794&gt;='Resultats - informe'!$D$29)*(C6794&lt;='Resultats - informe'!$E$29),0,1,1)</f>
        <v>0</v>
      </c>
      <c r="N6794" s="366">
        <f>+VLOOKUP(D6794,'Resultats - informe'!$Y$18:$AG$42,'Introducció dades consum'!K6794+1,0)</f>
        <v>0</v>
      </c>
      <c r="O6794" s="370" cm="1">
        <f t="array" ref="O6794">+_xlfn.SWITCH(MONTH(C6794),1,1,2,1,3,1,4,2,5,2,6,3,7,3,8,3,9,3,10,2,11,2,12,1,2)</f>
        <v>1</v>
      </c>
      <c r="P6794" s="43"/>
    </row>
    <row r="6795" spans="1:16" ht="18" x14ac:dyDescent="0.35">
      <c r="A6795" s="9"/>
      <c r="C6795" s="393"/>
      <c r="E6795" s="394"/>
      <c r="F6795" s="394"/>
      <c r="G6795" s="394"/>
      <c r="I6795" s="368">
        <f t="shared" si="321"/>
        <v>0</v>
      </c>
      <c r="J6795" s="365">
        <f t="shared" si="322"/>
        <v>0</v>
      </c>
      <c r="K6795" s="369">
        <f t="shared" si="323"/>
        <v>6</v>
      </c>
      <c r="L6795" s="369">
        <f>+IF((C6795&gt;='Resultats - informe'!$E$16)*(C6795&lt;='Resultats - informe'!$G$16),1,0)</f>
        <v>1</v>
      </c>
      <c r="M6795" s="369" cm="1">
        <f t="array" ref="M6795">+_xlfn.IFS((C6795&gt;='Resultats - informe'!$D$26)*(C6795&lt;='Resultats - informe'!$E$26),0,(C6795&gt;='Resultats - informe'!$D$27)*(C6795&lt;='Resultats - informe'!$E$27),0,(C6795&gt;='Resultats - informe'!$D$28)*(C6795&lt;='Resultats - informe'!$E$28),0,(C6795&gt;='Resultats - informe'!$D$29)*(C6795&lt;='Resultats - informe'!$E$29),0,1,1)</f>
        <v>0</v>
      </c>
      <c r="N6795" s="366">
        <f>+VLOOKUP(D6795,'Resultats - informe'!$Y$18:$AG$42,'Introducció dades consum'!K6795+1,0)</f>
        <v>0</v>
      </c>
      <c r="O6795" s="370" cm="1">
        <f t="array" ref="O6795">+_xlfn.SWITCH(MONTH(C6795),1,1,2,1,3,1,4,2,5,2,6,3,7,3,8,3,9,3,10,2,11,2,12,1,2)</f>
        <v>1</v>
      </c>
      <c r="P6795" s="43"/>
    </row>
    <row r="6796" spans="1:16" ht="18" x14ac:dyDescent="0.35">
      <c r="A6796" s="9"/>
      <c r="C6796" s="393"/>
      <c r="E6796" s="394"/>
      <c r="F6796" s="394"/>
      <c r="G6796" s="394"/>
      <c r="I6796" s="368">
        <f t="shared" si="321"/>
        <v>0</v>
      </c>
      <c r="J6796" s="365">
        <f t="shared" si="322"/>
        <v>0</v>
      </c>
      <c r="K6796" s="369">
        <f t="shared" si="323"/>
        <v>6</v>
      </c>
      <c r="L6796" s="369">
        <f>+IF((C6796&gt;='Resultats - informe'!$E$16)*(C6796&lt;='Resultats - informe'!$G$16),1,0)</f>
        <v>1</v>
      </c>
      <c r="M6796" s="369" cm="1">
        <f t="array" ref="M6796">+_xlfn.IFS((C6796&gt;='Resultats - informe'!$D$26)*(C6796&lt;='Resultats - informe'!$E$26),0,(C6796&gt;='Resultats - informe'!$D$27)*(C6796&lt;='Resultats - informe'!$E$27),0,(C6796&gt;='Resultats - informe'!$D$28)*(C6796&lt;='Resultats - informe'!$E$28),0,(C6796&gt;='Resultats - informe'!$D$29)*(C6796&lt;='Resultats - informe'!$E$29),0,1,1)</f>
        <v>0</v>
      </c>
      <c r="N6796" s="366">
        <f>+VLOOKUP(D6796,'Resultats - informe'!$Y$18:$AG$42,'Introducció dades consum'!K6796+1,0)</f>
        <v>0</v>
      </c>
      <c r="O6796" s="370" cm="1">
        <f t="array" ref="O6796">+_xlfn.SWITCH(MONTH(C6796),1,1,2,1,3,1,4,2,5,2,6,3,7,3,8,3,9,3,10,2,11,2,12,1,2)</f>
        <v>1</v>
      </c>
      <c r="P6796" s="43"/>
    </row>
    <row r="6797" spans="1:16" ht="18" x14ac:dyDescent="0.35">
      <c r="A6797" s="9"/>
      <c r="C6797" s="393"/>
      <c r="E6797" s="394"/>
      <c r="F6797" s="394"/>
      <c r="G6797" s="394"/>
      <c r="I6797" s="368">
        <f t="shared" si="321"/>
        <v>0</v>
      </c>
      <c r="J6797" s="365">
        <f t="shared" si="322"/>
        <v>0</v>
      </c>
      <c r="K6797" s="369">
        <f t="shared" si="323"/>
        <v>6</v>
      </c>
      <c r="L6797" s="369">
        <f>+IF((C6797&gt;='Resultats - informe'!$E$16)*(C6797&lt;='Resultats - informe'!$G$16),1,0)</f>
        <v>1</v>
      </c>
      <c r="M6797" s="369" cm="1">
        <f t="array" ref="M6797">+_xlfn.IFS((C6797&gt;='Resultats - informe'!$D$26)*(C6797&lt;='Resultats - informe'!$E$26),0,(C6797&gt;='Resultats - informe'!$D$27)*(C6797&lt;='Resultats - informe'!$E$27),0,(C6797&gt;='Resultats - informe'!$D$28)*(C6797&lt;='Resultats - informe'!$E$28),0,(C6797&gt;='Resultats - informe'!$D$29)*(C6797&lt;='Resultats - informe'!$E$29),0,1,1)</f>
        <v>0</v>
      </c>
      <c r="N6797" s="366">
        <f>+VLOOKUP(D6797,'Resultats - informe'!$Y$18:$AG$42,'Introducció dades consum'!K6797+1,0)</f>
        <v>0</v>
      </c>
      <c r="O6797" s="370" cm="1">
        <f t="array" ref="O6797">+_xlfn.SWITCH(MONTH(C6797),1,1,2,1,3,1,4,2,5,2,6,3,7,3,8,3,9,3,10,2,11,2,12,1,2)</f>
        <v>1</v>
      </c>
      <c r="P6797" s="43"/>
    </row>
    <row r="6798" spans="1:16" ht="18" x14ac:dyDescent="0.35">
      <c r="A6798" s="9"/>
      <c r="C6798" s="393"/>
      <c r="E6798" s="394"/>
      <c r="F6798" s="394"/>
      <c r="G6798" s="394"/>
      <c r="I6798" s="368">
        <f t="shared" si="321"/>
        <v>0</v>
      </c>
      <c r="J6798" s="365">
        <f t="shared" si="322"/>
        <v>0</v>
      </c>
      <c r="K6798" s="369">
        <f t="shared" si="323"/>
        <v>6</v>
      </c>
      <c r="L6798" s="369">
        <f>+IF((C6798&gt;='Resultats - informe'!$E$16)*(C6798&lt;='Resultats - informe'!$G$16),1,0)</f>
        <v>1</v>
      </c>
      <c r="M6798" s="369" cm="1">
        <f t="array" ref="M6798">+_xlfn.IFS((C6798&gt;='Resultats - informe'!$D$26)*(C6798&lt;='Resultats - informe'!$E$26),0,(C6798&gt;='Resultats - informe'!$D$27)*(C6798&lt;='Resultats - informe'!$E$27),0,(C6798&gt;='Resultats - informe'!$D$28)*(C6798&lt;='Resultats - informe'!$E$28),0,(C6798&gt;='Resultats - informe'!$D$29)*(C6798&lt;='Resultats - informe'!$E$29),0,1,1)</f>
        <v>0</v>
      </c>
      <c r="N6798" s="366">
        <f>+VLOOKUP(D6798,'Resultats - informe'!$Y$18:$AG$42,'Introducció dades consum'!K6798+1,0)</f>
        <v>0</v>
      </c>
      <c r="O6798" s="370" cm="1">
        <f t="array" ref="O6798">+_xlfn.SWITCH(MONTH(C6798),1,1,2,1,3,1,4,2,5,2,6,3,7,3,8,3,9,3,10,2,11,2,12,1,2)</f>
        <v>1</v>
      </c>
      <c r="P6798" s="43"/>
    </row>
    <row r="6799" spans="1:16" ht="18" x14ac:dyDescent="0.35">
      <c r="A6799" s="9"/>
      <c r="C6799" s="393"/>
      <c r="E6799" s="394"/>
      <c r="F6799" s="394"/>
      <c r="G6799" s="394"/>
      <c r="I6799" s="368">
        <f t="shared" si="321"/>
        <v>0</v>
      </c>
      <c r="J6799" s="365">
        <f t="shared" si="322"/>
        <v>0</v>
      </c>
      <c r="K6799" s="369">
        <f t="shared" si="323"/>
        <v>6</v>
      </c>
      <c r="L6799" s="369">
        <f>+IF((C6799&gt;='Resultats - informe'!$E$16)*(C6799&lt;='Resultats - informe'!$G$16),1,0)</f>
        <v>1</v>
      </c>
      <c r="M6799" s="369" cm="1">
        <f t="array" ref="M6799">+_xlfn.IFS((C6799&gt;='Resultats - informe'!$D$26)*(C6799&lt;='Resultats - informe'!$E$26),0,(C6799&gt;='Resultats - informe'!$D$27)*(C6799&lt;='Resultats - informe'!$E$27),0,(C6799&gt;='Resultats - informe'!$D$28)*(C6799&lt;='Resultats - informe'!$E$28),0,(C6799&gt;='Resultats - informe'!$D$29)*(C6799&lt;='Resultats - informe'!$E$29),0,1,1)</f>
        <v>0</v>
      </c>
      <c r="N6799" s="366">
        <f>+VLOOKUP(D6799,'Resultats - informe'!$Y$18:$AG$42,'Introducció dades consum'!K6799+1,0)</f>
        <v>0</v>
      </c>
      <c r="O6799" s="370" cm="1">
        <f t="array" ref="O6799">+_xlfn.SWITCH(MONTH(C6799),1,1,2,1,3,1,4,2,5,2,6,3,7,3,8,3,9,3,10,2,11,2,12,1,2)</f>
        <v>1</v>
      </c>
      <c r="P6799" s="43"/>
    </row>
    <row r="6800" spans="1:16" ht="18" x14ac:dyDescent="0.35">
      <c r="A6800" s="9"/>
      <c r="C6800" s="393"/>
      <c r="E6800" s="394"/>
      <c r="F6800" s="394"/>
      <c r="G6800" s="394"/>
      <c r="I6800" s="368">
        <f t="shared" si="321"/>
        <v>0</v>
      </c>
      <c r="J6800" s="365">
        <f t="shared" si="322"/>
        <v>0</v>
      </c>
      <c r="K6800" s="369">
        <f t="shared" si="323"/>
        <v>6</v>
      </c>
      <c r="L6800" s="369">
        <f>+IF((C6800&gt;='Resultats - informe'!$E$16)*(C6800&lt;='Resultats - informe'!$G$16),1,0)</f>
        <v>1</v>
      </c>
      <c r="M6800" s="369" cm="1">
        <f t="array" ref="M6800">+_xlfn.IFS((C6800&gt;='Resultats - informe'!$D$26)*(C6800&lt;='Resultats - informe'!$E$26),0,(C6800&gt;='Resultats - informe'!$D$27)*(C6800&lt;='Resultats - informe'!$E$27),0,(C6800&gt;='Resultats - informe'!$D$28)*(C6800&lt;='Resultats - informe'!$E$28),0,(C6800&gt;='Resultats - informe'!$D$29)*(C6800&lt;='Resultats - informe'!$E$29),0,1,1)</f>
        <v>0</v>
      </c>
      <c r="N6800" s="366">
        <f>+VLOOKUP(D6800,'Resultats - informe'!$Y$18:$AG$42,'Introducció dades consum'!K6800+1,0)</f>
        <v>0</v>
      </c>
      <c r="O6800" s="370" cm="1">
        <f t="array" ref="O6800">+_xlfn.SWITCH(MONTH(C6800),1,1,2,1,3,1,4,2,5,2,6,3,7,3,8,3,9,3,10,2,11,2,12,1,2)</f>
        <v>1</v>
      </c>
      <c r="P6800" s="43"/>
    </row>
    <row r="6801" spans="1:16" ht="18" x14ac:dyDescent="0.35">
      <c r="A6801" s="9"/>
      <c r="C6801" s="393"/>
      <c r="E6801" s="394"/>
      <c r="F6801" s="394"/>
      <c r="G6801" s="394"/>
      <c r="I6801" s="368">
        <f t="shared" si="321"/>
        <v>0</v>
      </c>
      <c r="J6801" s="365">
        <f t="shared" si="322"/>
        <v>0</v>
      </c>
      <c r="K6801" s="369">
        <f t="shared" si="323"/>
        <v>6</v>
      </c>
      <c r="L6801" s="369">
        <f>+IF((C6801&gt;='Resultats - informe'!$E$16)*(C6801&lt;='Resultats - informe'!$G$16),1,0)</f>
        <v>1</v>
      </c>
      <c r="M6801" s="369" cm="1">
        <f t="array" ref="M6801">+_xlfn.IFS((C6801&gt;='Resultats - informe'!$D$26)*(C6801&lt;='Resultats - informe'!$E$26),0,(C6801&gt;='Resultats - informe'!$D$27)*(C6801&lt;='Resultats - informe'!$E$27),0,(C6801&gt;='Resultats - informe'!$D$28)*(C6801&lt;='Resultats - informe'!$E$28),0,(C6801&gt;='Resultats - informe'!$D$29)*(C6801&lt;='Resultats - informe'!$E$29),0,1,1)</f>
        <v>0</v>
      </c>
      <c r="N6801" s="366">
        <f>+VLOOKUP(D6801,'Resultats - informe'!$Y$18:$AG$42,'Introducció dades consum'!K6801+1,0)</f>
        <v>0</v>
      </c>
      <c r="O6801" s="370" cm="1">
        <f t="array" ref="O6801">+_xlfn.SWITCH(MONTH(C6801),1,1,2,1,3,1,4,2,5,2,6,3,7,3,8,3,9,3,10,2,11,2,12,1,2)</f>
        <v>1</v>
      </c>
      <c r="P6801" s="43"/>
    </row>
    <row r="6802" spans="1:16" ht="18" x14ac:dyDescent="0.35">
      <c r="A6802" s="9"/>
      <c r="C6802" s="393"/>
      <c r="E6802" s="394"/>
      <c r="F6802" s="394"/>
      <c r="G6802" s="394"/>
      <c r="I6802" s="368">
        <f t="shared" ref="I6802:I6865" si="324">+E6802+G6802</f>
        <v>0</v>
      </c>
      <c r="J6802" s="365">
        <f t="shared" ref="J6802:J6865" si="325">+C6802</f>
        <v>0</v>
      </c>
      <c r="K6802" s="369">
        <f t="shared" ref="K6802:K6865" si="326">+WEEKDAY(C6802,2)</f>
        <v>6</v>
      </c>
      <c r="L6802" s="369">
        <f>+IF((C6802&gt;='Resultats - informe'!$E$16)*(C6802&lt;='Resultats - informe'!$G$16),1,0)</f>
        <v>1</v>
      </c>
      <c r="M6802" s="369" cm="1">
        <f t="array" ref="M6802">+_xlfn.IFS((C6802&gt;='Resultats - informe'!$D$26)*(C6802&lt;='Resultats - informe'!$E$26),0,(C6802&gt;='Resultats - informe'!$D$27)*(C6802&lt;='Resultats - informe'!$E$27),0,(C6802&gt;='Resultats - informe'!$D$28)*(C6802&lt;='Resultats - informe'!$E$28),0,(C6802&gt;='Resultats - informe'!$D$29)*(C6802&lt;='Resultats - informe'!$E$29),0,1,1)</f>
        <v>0</v>
      </c>
      <c r="N6802" s="366">
        <f>+VLOOKUP(D6802,'Resultats - informe'!$Y$18:$AG$42,'Introducció dades consum'!K6802+1,0)</f>
        <v>0</v>
      </c>
      <c r="O6802" s="370" cm="1">
        <f t="array" ref="O6802">+_xlfn.SWITCH(MONTH(C6802),1,1,2,1,3,1,4,2,5,2,6,3,7,3,8,3,9,3,10,2,11,2,12,1,2)</f>
        <v>1</v>
      </c>
      <c r="P6802" s="43"/>
    </row>
    <row r="6803" spans="1:16" ht="18" x14ac:dyDescent="0.35">
      <c r="A6803" s="9"/>
      <c r="C6803" s="393"/>
      <c r="E6803" s="394"/>
      <c r="F6803" s="394"/>
      <c r="G6803" s="394"/>
      <c r="I6803" s="368">
        <f t="shared" si="324"/>
        <v>0</v>
      </c>
      <c r="J6803" s="365">
        <f t="shared" si="325"/>
        <v>0</v>
      </c>
      <c r="K6803" s="369">
        <f t="shared" si="326"/>
        <v>6</v>
      </c>
      <c r="L6803" s="369">
        <f>+IF((C6803&gt;='Resultats - informe'!$E$16)*(C6803&lt;='Resultats - informe'!$G$16),1,0)</f>
        <v>1</v>
      </c>
      <c r="M6803" s="369" cm="1">
        <f t="array" ref="M6803">+_xlfn.IFS((C6803&gt;='Resultats - informe'!$D$26)*(C6803&lt;='Resultats - informe'!$E$26),0,(C6803&gt;='Resultats - informe'!$D$27)*(C6803&lt;='Resultats - informe'!$E$27),0,(C6803&gt;='Resultats - informe'!$D$28)*(C6803&lt;='Resultats - informe'!$E$28),0,(C6803&gt;='Resultats - informe'!$D$29)*(C6803&lt;='Resultats - informe'!$E$29),0,1,1)</f>
        <v>0</v>
      </c>
      <c r="N6803" s="366">
        <f>+VLOOKUP(D6803,'Resultats - informe'!$Y$18:$AG$42,'Introducció dades consum'!K6803+1,0)</f>
        <v>0</v>
      </c>
      <c r="O6803" s="370" cm="1">
        <f t="array" ref="O6803">+_xlfn.SWITCH(MONTH(C6803),1,1,2,1,3,1,4,2,5,2,6,3,7,3,8,3,9,3,10,2,11,2,12,1,2)</f>
        <v>1</v>
      </c>
      <c r="P6803" s="43"/>
    </row>
    <row r="6804" spans="1:16" ht="18" x14ac:dyDescent="0.35">
      <c r="A6804" s="9"/>
      <c r="C6804" s="393"/>
      <c r="E6804" s="394"/>
      <c r="F6804" s="394"/>
      <c r="G6804" s="394"/>
      <c r="I6804" s="368">
        <f t="shared" si="324"/>
        <v>0</v>
      </c>
      <c r="J6804" s="365">
        <f t="shared" si="325"/>
        <v>0</v>
      </c>
      <c r="K6804" s="369">
        <f t="shared" si="326"/>
        <v>6</v>
      </c>
      <c r="L6804" s="369">
        <f>+IF((C6804&gt;='Resultats - informe'!$E$16)*(C6804&lt;='Resultats - informe'!$G$16),1,0)</f>
        <v>1</v>
      </c>
      <c r="M6804" s="369" cm="1">
        <f t="array" ref="M6804">+_xlfn.IFS((C6804&gt;='Resultats - informe'!$D$26)*(C6804&lt;='Resultats - informe'!$E$26),0,(C6804&gt;='Resultats - informe'!$D$27)*(C6804&lt;='Resultats - informe'!$E$27),0,(C6804&gt;='Resultats - informe'!$D$28)*(C6804&lt;='Resultats - informe'!$E$28),0,(C6804&gt;='Resultats - informe'!$D$29)*(C6804&lt;='Resultats - informe'!$E$29),0,1,1)</f>
        <v>0</v>
      </c>
      <c r="N6804" s="366">
        <f>+VLOOKUP(D6804,'Resultats - informe'!$Y$18:$AG$42,'Introducció dades consum'!K6804+1,0)</f>
        <v>0</v>
      </c>
      <c r="O6804" s="370" cm="1">
        <f t="array" ref="O6804">+_xlfn.SWITCH(MONTH(C6804),1,1,2,1,3,1,4,2,5,2,6,3,7,3,8,3,9,3,10,2,11,2,12,1,2)</f>
        <v>1</v>
      </c>
      <c r="P6804" s="43"/>
    </row>
    <row r="6805" spans="1:16" ht="18" x14ac:dyDescent="0.35">
      <c r="A6805" s="9"/>
      <c r="C6805" s="393"/>
      <c r="E6805" s="394"/>
      <c r="F6805" s="394"/>
      <c r="G6805" s="394"/>
      <c r="I6805" s="368">
        <f t="shared" si="324"/>
        <v>0</v>
      </c>
      <c r="J6805" s="365">
        <f t="shared" si="325"/>
        <v>0</v>
      </c>
      <c r="K6805" s="369">
        <f t="shared" si="326"/>
        <v>6</v>
      </c>
      <c r="L6805" s="369">
        <f>+IF((C6805&gt;='Resultats - informe'!$E$16)*(C6805&lt;='Resultats - informe'!$G$16),1,0)</f>
        <v>1</v>
      </c>
      <c r="M6805" s="369" cm="1">
        <f t="array" ref="M6805">+_xlfn.IFS((C6805&gt;='Resultats - informe'!$D$26)*(C6805&lt;='Resultats - informe'!$E$26),0,(C6805&gt;='Resultats - informe'!$D$27)*(C6805&lt;='Resultats - informe'!$E$27),0,(C6805&gt;='Resultats - informe'!$D$28)*(C6805&lt;='Resultats - informe'!$E$28),0,(C6805&gt;='Resultats - informe'!$D$29)*(C6805&lt;='Resultats - informe'!$E$29),0,1,1)</f>
        <v>0</v>
      </c>
      <c r="N6805" s="366">
        <f>+VLOOKUP(D6805,'Resultats - informe'!$Y$18:$AG$42,'Introducció dades consum'!K6805+1,0)</f>
        <v>0</v>
      </c>
      <c r="O6805" s="370" cm="1">
        <f t="array" ref="O6805">+_xlfn.SWITCH(MONTH(C6805),1,1,2,1,3,1,4,2,5,2,6,3,7,3,8,3,9,3,10,2,11,2,12,1,2)</f>
        <v>1</v>
      </c>
      <c r="P6805" s="43"/>
    </row>
    <row r="6806" spans="1:16" ht="18" x14ac:dyDescent="0.35">
      <c r="A6806" s="9"/>
      <c r="C6806" s="393"/>
      <c r="E6806" s="394"/>
      <c r="F6806" s="394"/>
      <c r="G6806" s="394"/>
      <c r="I6806" s="368">
        <f t="shared" si="324"/>
        <v>0</v>
      </c>
      <c r="J6806" s="365">
        <f t="shared" si="325"/>
        <v>0</v>
      </c>
      <c r="K6806" s="369">
        <f t="shared" si="326"/>
        <v>6</v>
      </c>
      <c r="L6806" s="369">
        <f>+IF((C6806&gt;='Resultats - informe'!$E$16)*(C6806&lt;='Resultats - informe'!$G$16),1,0)</f>
        <v>1</v>
      </c>
      <c r="M6806" s="369" cm="1">
        <f t="array" ref="M6806">+_xlfn.IFS((C6806&gt;='Resultats - informe'!$D$26)*(C6806&lt;='Resultats - informe'!$E$26),0,(C6806&gt;='Resultats - informe'!$D$27)*(C6806&lt;='Resultats - informe'!$E$27),0,(C6806&gt;='Resultats - informe'!$D$28)*(C6806&lt;='Resultats - informe'!$E$28),0,(C6806&gt;='Resultats - informe'!$D$29)*(C6806&lt;='Resultats - informe'!$E$29),0,1,1)</f>
        <v>0</v>
      </c>
      <c r="N6806" s="366">
        <f>+VLOOKUP(D6806,'Resultats - informe'!$Y$18:$AG$42,'Introducció dades consum'!K6806+1,0)</f>
        <v>0</v>
      </c>
      <c r="O6806" s="370" cm="1">
        <f t="array" ref="O6806">+_xlfn.SWITCH(MONTH(C6806),1,1,2,1,3,1,4,2,5,2,6,3,7,3,8,3,9,3,10,2,11,2,12,1,2)</f>
        <v>1</v>
      </c>
      <c r="P6806" s="43"/>
    </row>
    <row r="6807" spans="1:16" ht="18" x14ac:dyDescent="0.35">
      <c r="A6807" s="9"/>
      <c r="C6807" s="393"/>
      <c r="E6807" s="394"/>
      <c r="F6807" s="394"/>
      <c r="G6807" s="394"/>
      <c r="I6807" s="368">
        <f t="shared" si="324"/>
        <v>0</v>
      </c>
      <c r="J6807" s="365">
        <f t="shared" si="325"/>
        <v>0</v>
      </c>
      <c r="K6807" s="369">
        <f t="shared" si="326"/>
        <v>6</v>
      </c>
      <c r="L6807" s="369">
        <f>+IF((C6807&gt;='Resultats - informe'!$E$16)*(C6807&lt;='Resultats - informe'!$G$16),1,0)</f>
        <v>1</v>
      </c>
      <c r="M6807" s="369" cm="1">
        <f t="array" ref="M6807">+_xlfn.IFS((C6807&gt;='Resultats - informe'!$D$26)*(C6807&lt;='Resultats - informe'!$E$26),0,(C6807&gt;='Resultats - informe'!$D$27)*(C6807&lt;='Resultats - informe'!$E$27),0,(C6807&gt;='Resultats - informe'!$D$28)*(C6807&lt;='Resultats - informe'!$E$28),0,(C6807&gt;='Resultats - informe'!$D$29)*(C6807&lt;='Resultats - informe'!$E$29),0,1,1)</f>
        <v>0</v>
      </c>
      <c r="N6807" s="366">
        <f>+VLOOKUP(D6807,'Resultats - informe'!$Y$18:$AG$42,'Introducció dades consum'!K6807+1,0)</f>
        <v>0</v>
      </c>
      <c r="O6807" s="370" cm="1">
        <f t="array" ref="O6807">+_xlfn.SWITCH(MONTH(C6807),1,1,2,1,3,1,4,2,5,2,6,3,7,3,8,3,9,3,10,2,11,2,12,1,2)</f>
        <v>1</v>
      </c>
      <c r="P6807" s="43"/>
    </row>
    <row r="6808" spans="1:16" ht="18" x14ac:dyDescent="0.35">
      <c r="A6808" s="9"/>
      <c r="C6808" s="393"/>
      <c r="E6808" s="394"/>
      <c r="F6808" s="394"/>
      <c r="G6808" s="394"/>
      <c r="I6808" s="368">
        <f t="shared" si="324"/>
        <v>0</v>
      </c>
      <c r="J6808" s="365">
        <f t="shared" si="325"/>
        <v>0</v>
      </c>
      <c r="K6808" s="369">
        <f t="shared" si="326"/>
        <v>6</v>
      </c>
      <c r="L6808" s="369">
        <f>+IF((C6808&gt;='Resultats - informe'!$E$16)*(C6808&lt;='Resultats - informe'!$G$16),1,0)</f>
        <v>1</v>
      </c>
      <c r="M6808" s="369" cm="1">
        <f t="array" ref="M6808">+_xlfn.IFS((C6808&gt;='Resultats - informe'!$D$26)*(C6808&lt;='Resultats - informe'!$E$26),0,(C6808&gt;='Resultats - informe'!$D$27)*(C6808&lt;='Resultats - informe'!$E$27),0,(C6808&gt;='Resultats - informe'!$D$28)*(C6808&lt;='Resultats - informe'!$E$28),0,(C6808&gt;='Resultats - informe'!$D$29)*(C6808&lt;='Resultats - informe'!$E$29),0,1,1)</f>
        <v>0</v>
      </c>
      <c r="N6808" s="366">
        <f>+VLOOKUP(D6808,'Resultats - informe'!$Y$18:$AG$42,'Introducció dades consum'!K6808+1,0)</f>
        <v>0</v>
      </c>
      <c r="O6808" s="370" cm="1">
        <f t="array" ref="O6808">+_xlfn.SWITCH(MONTH(C6808),1,1,2,1,3,1,4,2,5,2,6,3,7,3,8,3,9,3,10,2,11,2,12,1,2)</f>
        <v>1</v>
      </c>
      <c r="P6808" s="43"/>
    </row>
    <row r="6809" spans="1:16" ht="18" x14ac:dyDescent="0.35">
      <c r="A6809" s="9"/>
      <c r="C6809" s="393"/>
      <c r="E6809" s="394"/>
      <c r="F6809" s="394"/>
      <c r="G6809" s="394"/>
      <c r="I6809" s="368">
        <f t="shared" si="324"/>
        <v>0</v>
      </c>
      <c r="J6809" s="365">
        <f t="shared" si="325"/>
        <v>0</v>
      </c>
      <c r="K6809" s="369">
        <f t="shared" si="326"/>
        <v>6</v>
      </c>
      <c r="L6809" s="369">
        <f>+IF((C6809&gt;='Resultats - informe'!$E$16)*(C6809&lt;='Resultats - informe'!$G$16),1,0)</f>
        <v>1</v>
      </c>
      <c r="M6809" s="369" cm="1">
        <f t="array" ref="M6809">+_xlfn.IFS((C6809&gt;='Resultats - informe'!$D$26)*(C6809&lt;='Resultats - informe'!$E$26),0,(C6809&gt;='Resultats - informe'!$D$27)*(C6809&lt;='Resultats - informe'!$E$27),0,(C6809&gt;='Resultats - informe'!$D$28)*(C6809&lt;='Resultats - informe'!$E$28),0,(C6809&gt;='Resultats - informe'!$D$29)*(C6809&lt;='Resultats - informe'!$E$29),0,1,1)</f>
        <v>0</v>
      </c>
      <c r="N6809" s="366">
        <f>+VLOOKUP(D6809,'Resultats - informe'!$Y$18:$AG$42,'Introducció dades consum'!K6809+1,0)</f>
        <v>0</v>
      </c>
      <c r="O6809" s="370" cm="1">
        <f t="array" ref="O6809">+_xlfn.SWITCH(MONTH(C6809),1,1,2,1,3,1,4,2,5,2,6,3,7,3,8,3,9,3,10,2,11,2,12,1,2)</f>
        <v>1</v>
      </c>
      <c r="P6809" s="43"/>
    </row>
    <row r="6810" spans="1:16" ht="18" x14ac:dyDescent="0.35">
      <c r="A6810" s="9"/>
      <c r="C6810" s="393"/>
      <c r="E6810" s="394"/>
      <c r="F6810" s="394"/>
      <c r="G6810" s="394"/>
      <c r="I6810" s="368">
        <f t="shared" si="324"/>
        <v>0</v>
      </c>
      <c r="J6810" s="365">
        <f t="shared" si="325"/>
        <v>0</v>
      </c>
      <c r="K6810" s="369">
        <f t="shared" si="326"/>
        <v>6</v>
      </c>
      <c r="L6810" s="369">
        <f>+IF((C6810&gt;='Resultats - informe'!$E$16)*(C6810&lt;='Resultats - informe'!$G$16),1,0)</f>
        <v>1</v>
      </c>
      <c r="M6810" s="369" cm="1">
        <f t="array" ref="M6810">+_xlfn.IFS((C6810&gt;='Resultats - informe'!$D$26)*(C6810&lt;='Resultats - informe'!$E$26),0,(C6810&gt;='Resultats - informe'!$D$27)*(C6810&lt;='Resultats - informe'!$E$27),0,(C6810&gt;='Resultats - informe'!$D$28)*(C6810&lt;='Resultats - informe'!$E$28),0,(C6810&gt;='Resultats - informe'!$D$29)*(C6810&lt;='Resultats - informe'!$E$29),0,1,1)</f>
        <v>0</v>
      </c>
      <c r="N6810" s="366">
        <f>+VLOOKUP(D6810,'Resultats - informe'!$Y$18:$AG$42,'Introducció dades consum'!K6810+1,0)</f>
        <v>0</v>
      </c>
      <c r="O6810" s="370" cm="1">
        <f t="array" ref="O6810">+_xlfn.SWITCH(MONTH(C6810),1,1,2,1,3,1,4,2,5,2,6,3,7,3,8,3,9,3,10,2,11,2,12,1,2)</f>
        <v>1</v>
      </c>
      <c r="P6810" s="43"/>
    </row>
    <row r="6811" spans="1:16" ht="18" x14ac:dyDescent="0.35">
      <c r="A6811" s="9"/>
      <c r="C6811" s="393"/>
      <c r="E6811" s="394"/>
      <c r="F6811" s="394"/>
      <c r="G6811" s="394"/>
      <c r="I6811" s="368">
        <f t="shared" si="324"/>
        <v>0</v>
      </c>
      <c r="J6811" s="365">
        <f t="shared" si="325"/>
        <v>0</v>
      </c>
      <c r="K6811" s="369">
        <f t="shared" si="326"/>
        <v>6</v>
      </c>
      <c r="L6811" s="369">
        <f>+IF((C6811&gt;='Resultats - informe'!$E$16)*(C6811&lt;='Resultats - informe'!$G$16),1,0)</f>
        <v>1</v>
      </c>
      <c r="M6811" s="369" cm="1">
        <f t="array" ref="M6811">+_xlfn.IFS((C6811&gt;='Resultats - informe'!$D$26)*(C6811&lt;='Resultats - informe'!$E$26),0,(C6811&gt;='Resultats - informe'!$D$27)*(C6811&lt;='Resultats - informe'!$E$27),0,(C6811&gt;='Resultats - informe'!$D$28)*(C6811&lt;='Resultats - informe'!$E$28),0,(C6811&gt;='Resultats - informe'!$D$29)*(C6811&lt;='Resultats - informe'!$E$29),0,1,1)</f>
        <v>0</v>
      </c>
      <c r="N6811" s="366">
        <f>+VLOOKUP(D6811,'Resultats - informe'!$Y$18:$AG$42,'Introducció dades consum'!K6811+1,0)</f>
        <v>0</v>
      </c>
      <c r="O6811" s="370" cm="1">
        <f t="array" ref="O6811">+_xlfn.SWITCH(MONTH(C6811),1,1,2,1,3,1,4,2,5,2,6,3,7,3,8,3,9,3,10,2,11,2,12,1,2)</f>
        <v>1</v>
      </c>
      <c r="P6811" s="43"/>
    </row>
    <row r="6812" spans="1:16" ht="18" x14ac:dyDescent="0.35">
      <c r="A6812" s="9"/>
      <c r="C6812" s="393"/>
      <c r="E6812" s="394"/>
      <c r="F6812" s="394"/>
      <c r="G6812" s="394"/>
      <c r="I6812" s="368">
        <f t="shared" si="324"/>
        <v>0</v>
      </c>
      <c r="J6812" s="365">
        <f t="shared" si="325"/>
        <v>0</v>
      </c>
      <c r="K6812" s="369">
        <f t="shared" si="326"/>
        <v>6</v>
      </c>
      <c r="L6812" s="369">
        <f>+IF((C6812&gt;='Resultats - informe'!$E$16)*(C6812&lt;='Resultats - informe'!$G$16),1,0)</f>
        <v>1</v>
      </c>
      <c r="M6812" s="369" cm="1">
        <f t="array" ref="M6812">+_xlfn.IFS((C6812&gt;='Resultats - informe'!$D$26)*(C6812&lt;='Resultats - informe'!$E$26),0,(C6812&gt;='Resultats - informe'!$D$27)*(C6812&lt;='Resultats - informe'!$E$27),0,(C6812&gt;='Resultats - informe'!$D$28)*(C6812&lt;='Resultats - informe'!$E$28),0,(C6812&gt;='Resultats - informe'!$D$29)*(C6812&lt;='Resultats - informe'!$E$29),0,1,1)</f>
        <v>0</v>
      </c>
      <c r="N6812" s="366">
        <f>+VLOOKUP(D6812,'Resultats - informe'!$Y$18:$AG$42,'Introducció dades consum'!K6812+1,0)</f>
        <v>0</v>
      </c>
      <c r="O6812" s="370" cm="1">
        <f t="array" ref="O6812">+_xlfn.SWITCH(MONTH(C6812),1,1,2,1,3,1,4,2,5,2,6,3,7,3,8,3,9,3,10,2,11,2,12,1,2)</f>
        <v>1</v>
      </c>
      <c r="P6812" s="43"/>
    </row>
    <row r="6813" spans="1:16" ht="18" x14ac:dyDescent="0.35">
      <c r="A6813" s="9"/>
      <c r="C6813" s="393"/>
      <c r="E6813" s="394"/>
      <c r="F6813" s="394"/>
      <c r="G6813" s="394"/>
      <c r="I6813" s="368">
        <f t="shared" si="324"/>
        <v>0</v>
      </c>
      <c r="J6813" s="365">
        <f t="shared" si="325"/>
        <v>0</v>
      </c>
      <c r="K6813" s="369">
        <f t="shared" si="326"/>
        <v>6</v>
      </c>
      <c r="L6813" s="369">
        <f>+IF((C6813&gt;='Resultats - informe'!$E$16)*(C6813&lt;='Resultats - informe'!$G$16),1,0)</f>
        <v>1</v>
      </c>
      <c r="M6813" s="369" cm="1">
        <f t="array" ref="M6813">+_xlfn.IFS((C6813&gt;='Resultats - informe'!$D$26)*(C6813&lt;='Resultats - informe'!$E$26),0,(C6813&gt;='Resultats - informe'!$D$27)*(C6813&lt;='Resultats - informe'!$E$27),0,(C6813&gt;='Resultats - informe'!$D$28)*(C6813&lt;='Resultats - informe'!$E$28),0,(C6813&gt;='Resultats - informe'!$D$29)*(C6813&lt;='Resultats - informe'!$E$29),0,1,1)</f>
        <v>0</v>
      </c>
      <c r="N6813" s="366">
        <f>+VLOOKUP(D6813,'Resultats - informe'!$Y$18:$AG$42,'Introducció dades consum'!K6813+1,0)</f>
        <v>0</v>
      </c>
      <c r="O6813" s="370" cm="1">
        <f t="array" ref="O6813">+_xlfn.SWITCH(MONTH(C6813),1,1,2,1,3,1,4,2,5,2,6,3,7,3,8,3,9,3,10,2,11,2,12,1,2)</f>
        <v>1</v>
      </c>
      <c r="P6813" s="43"/>
    </row>
    <row r="6814" spans="1:16" ht="18" x14ac:dyDescent="0.35">
      <c r="A6814" s="9"/>
      <c r="C6814" s="393"/>
      <c r="E6814" s="394"/>
      <c r="F6814" s="394"/>
      <c r="G6814" s="394"/>
      <c r="I6814" s="368">
        <f t="shared" si="324"/>
        <v>0</v>
      </c>
      <c r="J6814" s="365">
        <f t="shared" si="325"/>
        <v>0</v>
      </c>
      <c r="K6814" s="369">
        <f t="shared" si="326"/>
        <v>6</v>
      </c>
      <c r="L6814" s="369">
        <f>+IF((C6814&gt;='Resultats - informe'!$E$16)*(C6814&lt;='Resultats - informe'!$G$16),1,0)</f>
        <v>1</v>
      </c>
      <c r="M6814" s="369" cm="1">
        <f t="array" ref="M6814">+_xlfn.IFS((C6814&gt;='Resultats - informe'!$D$26)*(C6814&lt;='Resultats - informe'!$E$26),0,(C6814&gt;='Resultats - informe'!$D$27)*(C6814&lt;='Resultats - informe'!$E$27),0,(C6814&gt;='Resultats - informe'!$D$28)*(C6814&lt;='Resultats - informe'!$E$28),0,(C6814&gt;='Resultats - informe'!$D$29)*(C6814&lt;='Resultats - informe'!$E$29),0,1,1)</f>
        <v>0</v>
      </c>
      <c r="N6814" s="366">
        <f>+VLOOKUP(D6814,'Resultats - informe'!$Y$18:$AG$42,'Introducció dades consum'!K6814+1,0)</f>
        <v>0</v>
      </c>
      <c r="O6814" s="370" cm="1">
        <f t="array" ref="O6814">+_xlfn.SWITCH(MONTH(C6814),1,1,2,1,3,1,4,2,5,2,6,3,7,3,8,3,9,3,10,2,11,2,12,1,2)</f>
        <v>1</v>
      </c>
      <c r="P6814" s="43"/>
    </row>
    <row r="6815" spans="1:16" ht="18" x14ac:dyDescent="0.35">
      <c r="A6815" s="9"/>
      <c r="C6815" s="393"/>
      <c r="E6815" s="394"/>
      <c r="F6815" s="394"/>
      <c r="G6815" s="394"/>
      <c r="I6815" s="368">
        <f t="shared" si="324"/>
        <v>0</v>
      </c>
      <c r="J6815" s="365">
        <f t="shared" si="325"/>
        <v>0</v>
      </c>
      <c r="K6815" s="369">
        <f t="shared" si="326"/>
        <v>6</v>
      </c>
      <c r="L6815" s="369">
        <f>+IF((C6815&gt;='Resultats - informe'!$E$16)*(C6815&lt;='Resultats - informe'!$G$16),1,0)</f>
        <v>1</v>
      </c>
      <c r="M6815" s="369" cm="1">
        <f t="array" ref="M6815">+_xlfn.IFS((C6815&gt;='Resultats - informe'!$D$26)*(C6815&lt;='Resultats - informe'!$E$26),0,(C6815&gt;='Resultats - informe'!$D$27)*(C6815&lt;='Resultats - informe'!$E$27),0,(C6815&gt;='Resultats - informe'!$D$28)*(C6815&lt;='Resultats - informe'!$E$28),0,(C6815&gt;='Resultats - informe'!$D$29)*(C6815&lt;='Resultats - informe'!$E$29),0,1,1)</f>
        <v>0</v>
      </c>
      <c r="N6815" s="366">
        <f>+VLOOKUP(D6815,'Resultats - informe'!$Y$18:$AG$42,'Introducció dades consum'!K6815+1,0)</f>
        <v>0</v>
      </c>
      <c r="O6815" s="370" cm="1">
        <f t="array" ref="O6815">+_xlfn.SWITCH(MONTH(C6815),1,1,2,1,3,1,4,2,5,2,6,3,7,3,8,3,9,3,10,2,11,2,12,1,2)</f>
        <v>1</v>
      </c>
      <c r="P6815" s="43"/>
    </row>
    <row r="6816" spans="1:16" ht="18" x14ac:dyDescent="0.35">
      <c r="A6816" s="9"/>
      <c r="C6816" s="393"/>
      <c r="E6816" s="394"/>
      <c r="F6816" s="394"/>
      <c r="G6816" s="394"/>
      <c r="I6816" s="368">
        <f t="shared" si="324"/>
        <v>0</v>
      </c>
      <c r="J6816" s="365">
        <f t="shared" si="325"/>
        <v>0</v>
      </c>
      <c r="K6816" s="369">
        <f t="shared" si="326"/>
        <v>6</v>
      </c>
      <c r="L6816" s="369">
        <f>+IF((C6816&gt;='Resultats - informe'!$E$16)*(C6816&lt;='Resultats - informe'!$G$16),1,0)</f>
        <v>1</v>
      </c>
      <c r="M6816" s="369" cm="1">
        <f t="array" ref="M6816">+_xlfn.IFS((C6816&gt;='Resultats - informe'!$D$26)*(C6816&lt;='Resultats - informe'!$E$26),0,(C6816&gt;='Resultats - informe'!$D$27)*(C6816&lt;='Resultats - informe'!$E$27),0,(C6816&gt;='Resultats - informe'!$D$28)*(C6816&lt;='Resultats - informe'!$E$28),0,(C6816&gt;='Resultats - informe'!$D$29)*(C6816&lt;='Resultats - informe'!$E$29),0,1,1)</f>
        <v>0</v>
      </c>
      <c r="N6816" s="366">
        <f>+VLOOKUP(D6816,'Resultats - informe'!$Y$18:$AG$42,'Introducció dades consum'!K6816+1,0)</f>
        <v>0</v>
      </c>
      <c r="O6816" s="370" cm="1">
        <f t="array" ref="O6816">+_xlfn.SWITCH(MONTH(C6816),1,1,2,1,3,1,4,2,5,2,6,3,7,3,8,3,9,3,10,2,11,2,12,1,2)</f>
        <v>1</v>
      </c>
      <c r="P6816" s="43"/>
    </row>
    <row r="6817" spans="1:16" ht="18" x14ac:dyDescent="0.35">
      <c r="A6817" s="9"/>
      <c r="C6817" s="393"/>
      <c r="E6817" s="394"/>
      <c r="F6817" s="394"/>
      <c r="G6817" s="394"/>
      <c r="I6817" s="368">
        <f t="shared" si="324"/>
        <v>0</v>
      </c>
      <c r="J6817" s="365">
        <f t="shared" si="325"/>
        <v>0</v>
      </c>
      <c r="K6817" s="369">
        <f t="shared" si="326"/>
        <v>6</v>
      </c>
      <c r="L6817" s="369">
        <f>+IF((C6817&gt;='Resultats - informe'!$E$16)*(C6817&lt;='Resultats - informe'!$G$16),1,0)</f>
        <v>1</v>
      </c>
      <c r="M6817" s="369" cm="1">
        <f t="array" ref="M6817">+_xlfn.IFS((C6817&gt;='Resultats - informe'!$D$26)*(C6817&lt;='Resultats - informe'!$E$26),0,(C6817&gt;='Resultats - informe'!$D$27)*(C6817&lt;='Resultats - informe'!$E$27),0,(C6817&gt;='Resultats - informe'!$D$28)*(C6817&lt;='Resultats - informe'!$E$28),0,(C6817&gt;='Resultats - informe'!$D$29)*(C6817&lt;='Resultats - informe'!$E$29),0,1,1)</f>
        <v>0</v>
      </c>
      <c r="N6817" s="366">
        <f>+VLOOKUP(D6817,'Resultats - informe'!$Y$18:$AG$42,'Introducció dades consum'!K6817+1,0)</f>
        <v>0</v>
      </c>
      <c r="O6817" s="370" cm="1">
        <f t="array" ref="O6817">+_xlfn.SWITCH(MONTH(C6817),1,1,2,1,3,1,4,2,5,2,6,3,7,3,8,3,9,3,10,2,11,2,12,1,2)</f>
        <v>1</v>
      </c>
      <c r="P6817" s="43"/>
    </row>
    <row r="6818" spans="1:16" ht="18" x14ac:dyDescent="0.35">
      <c r="A6818" s="9"/>
      <c r="C6818" s="393"/>
      <c r="E6818" s="394"/>
      <c r="F6818" s="394"/>
      <c r="G6818" s="394"/>
      <c r="I6818" s="368">
        <f t="shared" si="324"/>
        <v>0</v>
      </c>
      <c r="J6818" s="365">
        <f t="shared" si="325"/>
        <v>0</v>
      </c>
      <c r="K6818" s="369">
        <f t="shared" si="326"/>
        <v>6</v>
      </c>
      <c r="L6818" s="369">
        <f>+IF((C6818&gt;='Resultats - informe'!$E$16)*(C6818&lt;='Resultats - informe'!$G$16),1,0)</f>
        <v>1</v>
      </c>
      <c r="M6818" s="369" cm="1">
        <f t="array" ref="M6818">+_xlfn.IFS((C6818&gt;='Resultats - informe'!$D$26)*(C6818&lt;='Resultats - informe'!$E$26),0,(C6818&gt;='Resultats - informe'!$D$27)*(C6818&lt;='Resultats - informe'!$E$27),0,(C6818&gt;='Resultats - informe'!$D$28)*(C6818&lt;='Resultats - informe'!$E$28),0,(C6818&gt;='Resultats - informe'!$D$29)*(C6818&lt;='Resultats - informe'!$E$29),0,1,1)</f>
        <v>0</v>
      </c>
      <c r="N6818" s="366">
        <f>+VLOOKUP(D6818,'Resultats - informe'!$Y$18:$AG$42,'Introducció dades consum'!K6818+1,0)</f>
        <v>0</v>
      </c>
      <c r="O6818" s="370" cm="1">
        <f t="array" ref="O6818">+_xlfn.SWITCH(MONTH(C6818),1,1,2,1,3,1,4,2,5,2,6,3,7,3,8,3,9,3,10,2,11,2,12,1,2)</f>
        <v>1</v>
      </c>
      <c r="P6818" s="43"/>
    </row>
    <row r="6819" spans="1:16" ht="18" x14ac:dyDescent="0.35">
      <c r="A6819" s="9"/>
      <c r="C6819" s="393"/>
      <c r="E6819" s="394"/>
      <c r="F6819" s="394"/>
      <c r="G6819" s="394"/>
      <c r="I6819" s="368">
        <f t="shared" si="324"/>
        <v>0</v>
      </c>
      <c r="J6819" s="365">
        <f t="shared" si="325"/>
        <v>0</v>
      </c>
      <c r="K6819" s="369">
        <f t="shared" si="326"/>
        <v>6</v>
      </c>
      <c r="L6819" s="369">
        <f>+IF((C6819&gt;='Resultats - informe'!$E$16)*(C6819&lt;='Resultats - informe'!$G$16),1,0)</f>
        <v>1</v>
      </c>
      <c r="M6819" s="369" cm="1">
        <f t="array" ref="M6819">+_xlfn.IFS((C6819&gt;='Resultats - informe'!$D$26)*(C6819&lt;='Resultats - informe'!$E$26),0,(C6819&gt;='Resultats - informe'!$D$27)*(C6819&lt;='Resultats - informe'!$E$27),0,(C6819&gt;='Resultats - informe'!$D$28)*(C6819&lt;='Resultats - informe'!$E$28),0,(C6819&gt;='Resultats - informe'!$D$29)*(C6819&lt;='Resultats - informe'!$E$29),0,1,1)</f>
        <v>0</v>
      </c>
      <c r="N6819" s="366">
        <f>+VLOOKUP(D6819,'Resultats - informe'!$Y$18:$AG$42,'Introducció dades consum'!K6819+1,0)</f>
        <v>0</v>
      </c>
      <c r="O6819" s="370" cm="1">
        <f t="array" ref="O6819">+_xlfn.SWITCH(MONTH(C6819),1,1,2,1,3,1,4,2,5,2,6,3,7,3,8,3,9,3,10,2,11,2,12,1,2)</f>
        <v>1</v>
      </c>
      <c r="P6819" s="43"/>
    </row>
    <row r="6820" spans="1:16" ht="18" x14ac:dyDescent="0.35">
      <c r="A6820" s="9"/>
      <c r="C6820" s="393"/>
      <c r="E6820" s="394"/>
      <c r="F6820" s="394"/>
      <c r="G6820" s="394"/>
      <c r="I6820" s="368">
        <f t="shared" si="324"/>
        <v>0</v>
      </c>
      <c r="J6820" s="365">
        <f t="shared" si="325"/>
        <v>0</v>
      </c>
      <c r="K6820" s="369">
        <f t="shared" si="326"/>
        <v>6</v>
      </c>
      <c r="L6820" s="369">
        <f>+IF((C6820&gt;='Resultats - informe'!$E$16)*(C6820&lt;='Resultats - informe'!$G$16),1,0)</f>
        <v>1</v>
      </c>
      <c r="M6820" s="369" cm="1">
        <f t="array" ref="M6820">+_xlfn.IFS((C6820&gt;='Resultats - informe'!$D$26)*(C6820&lt;='Resultats - informe'!$E$26),0,(C6820&gt;='Resultats - informe'!$D$27)*(C6820&lt;='Resultats - informe'!$E$27),0,(C6820&gt;='Resultats - informe'!$D$28)*(C6820&lt;='Resultats - informe'!$E$28),0,(C6820&gt;='Resultats - informe'!$D$29)*(C6820&lt;='Resultats - informe'!$E$29),0,1,1)</f>
        <v>0</v>
      </c>
      <c r="N6820" s="366">
        <f>+VLOOKUP(D6820,'Resultats - informe'!$Y$18:$AG$42,'Introducció dades consum'!K6820+1,0)</f>
        <v>0</v>
      </c>
      <c r="O6820" s="370" cm="1">
        <f t="array" ref="O6820">+_xlfn.SWITCH(MONTH(C6820),1,1,2,1,3,1,4,2,5,2,6,3,7,3,8,3,9,3,10,2,11,2,12,1,2)</f>
        <v>1</v>
      </c>
      <c r="P6820" s="43"/>
    </row>
    <row r="6821" spans="1:16" ht="18" x14ac:dyDescent="0.35">
      <c r="A6821" s="9"/>
      <c r="C6821" s="393"/>
      <c r="E6821" s="394"/>
      <c r="F6821" s="394"/>
      <c r="G6821" s="394"/>
      <c r="I6821" s="368">
        <f t="shared" si="324"/>
        <v>0</v>
      </c>
      <c r="J6821" s="365">
        <f t="shared" si="325"/>
        <v>0</v>
      </c>
      <c r="K6821" s="369">
        <f t="shared" si="326"/>
        <v>6</v>
      </c>
      <c r="L6821" s="369">
        <f>+IF((C6821&gt;='Resultats - informe'!$E$16)*(C6821&lt;='Resultats - informe'!$G$16),1,0)</f>
        <v>1</v>
      </c>
      <c r="M6821" s="369" cm="1">
        <f t="array" ref="M6821">+_xlfn.IFS((C6821&gt;='Resultats - informe'!$D$26)*(C6821&lt;='Resultats - informe'!$E$26),0,(C6821&gt;='Resultats - informe'!$D$27)*(C6821&lt;='Resultats - informe'!$E$27),0,(C6821&gt;='Resultats - informe'!$D$28)*(C6821&lt;='Resultats - informe'!$E$28),0,(C6821&gt;='Resultats - informe'!$D$29)*(C6821&lt;='Resultats - informe'!$E$29),0,1,1)</f>
        <v>0</v>
      </c>
      <c r="N6821" s="366">
        <f>+VLOOKUP(D6821,'Resultats - informe'!$Y$18:$AG$42,'Introducció dades consum'!K6821+1,0)</f>
        <v>0</v>
      </c>
      <c r="O6821" s="370" cm="1">
        <f t="array" ref="O6821">+_xlfn.SWITCH(MONTH(C6821),1,1,2,1,3,1,4,2,5,2,6,3,7,3,8,3,9,3,10,2,11,2,12,1,2)</f>
        <v>1</v>
      </c>
      <c r="P6821" s="43"/>
    </row>
    <row r="6822" spans="1:16" ht="18" x14ac:dyDescent="0.35">
      <c r="A6822" s="9"/>
      <c r="C6822" s="393"/>
      <c r="E6822" s="394"/>
      <c r="F6822" s="394"/>
      <c r="G6822" s="394"/>
      <c r="I6822" s="368">
        <f t="shared" si="324"/>
        <v>0</v>
      </c>
      <c r="J6822" s="365">
        <f t="shared" si="325"/>
        <v>0</v>
      </c>
      <c r="K6822" s="369">
        <f t="shared" si="326"/>
        <v>6</v>
      </c>
      <c r="L6822" s="369">
        <f>+IF((C6822&gt;='Resultats - informe'!$E$16)*(C6822&lt;='Resultats - informe'!$G$16),1,0)</f>
        <v>1</v>
      </c>
      <c r="M6822" s="369" cm="1">
        <f t="array" ref="M6822">+_xlfn.IFS((C6822&gt;='Resultats - informe'!$D$26)*(C6822&lt;='Resultats - informe'!$E$26),0,(C6822&gt;='Resultats - informe'!$D$27)*(C6822&lt;='Resultats - informe'!$E$27),0,(C6822&gt;='Resultats - informe'!$D$28)*(C6822&lt;='Resultats - informe'!$E$28),0,(C6822&gt;='Resultats - informe'!$D$29)*(C6822&lt;='Resultats - informe'!$E$29),0,1,1)</f>
        <v>0</v>
      </c>
      <c r="N6822" s="366">
        <f>+VLOOKUP(D6822,'Resultats - informe'!$Y$18:$AG$42,'Introducció dades consum'!K6822+1,0)</f>
        <v>0</v>
      </c>
      <c r="O6822" s="370" cm="1">
        <f t="array" ref="O6822">+_xlfn.SWITCH(MONTH(C6822),1,1,2,1,3,1,4,2,5,2,6,3,7,3,8,3,9,3,10,2,11,2,12,1,2)</f>
        <v>1</v>
      </c>
      <c r="P6822" s="43"/>
    </row>
    <row r="6823" spans="1:16" ht="18" x14ac:dyDescent="0.35">
      <c r="A6823" s="9"/>
      <c r="C6823" s="393"/>
      <c r="E6823" s="394"/>
      <c r="F6823" s="394"/>
      <c r="G6823" s="394"/>
      <c r="I6823" s="368">
        <f t="shared" si="324"/>
        <v>0</v>
      </c>
      <c r="J6823" s="365">
        <f t="shared" si="325"/>
        <v>0</v>
      </c>
      <c r="K6823" s="369">
        <f t="shared" si="326"/>
        <v>6</v>
      </c>
      <c r="L6823" s="369">
        <f>+IF((C6823&gt;='Resultats - informe'!$E$16)*(C6823&lt;='Resultats - informe'!$G$16),1,0)</f>
        <v>1</v>
      </c>
      <c r="M6823" s="369" cm="1">
        <f t="array" ref="M6823">+_xlfn.IFS((C6823&gt;='Resultats - informe'!$D$26)*(C6823&lt;='Resultats - informe'!$E$26),0,(C6823&gt;='Resultats - informe'!$D$27)*(C6823&lt;='Resultats - informe'!$E$27),0,(C6823&gt;='Resultats - informe'!$D$28)*(C6823&lt;='Resultats - informe'!$E$28),0,(C6823&gt;='Resultats - informe'!$D$29)*(C6823&lt;='Resultats - informe'!$E$29),0,1,1)</f>
        <v>0</v>
      </c>
      <c r="N6823" s="366">
        <f>+VLOOKUP(D6823,'Resultats - informe'!$Y$18:$AG$42,'Introducció dades consum'!K6823+1,0)</f>
        <v>0</v>
      </c>
      <c r="O6823" s="370" cm="1">
        <f t="array" ref="O6823">+_xlfn.SWITCH(MONTH(C6823),1,1,2,1,3,1,4,2,5,2,6,3,7,3,8,3,9,3,10,2,11,2,12,1,2)</f>
        <v>1</v>
      </c>
      <c r="P6823" s="43"/>
    </row>
    <row r="6824" spans="1:16" ht="18" x14ac:dyDescent="0.35">
      <c r="A6824" s="9"/>
      <c r="C6824" s="393"/>
      <c r="E6824" s="394"/>
      <c r="F6824" s="394"/>
      <c r="G6824" s="394"/>
      <c r="I6824" s="368">
        <f t="shared" si="324"/>
        <v>0</v>
      </c>
      <c r="J6824" s="365">
        <f t="shared" si="325"/>
        <v>0</v>
      </c>
      <c r="K6824" s="369">
        <f t="shared" si="326"/>
        <v>6</v>
      </c>
      <c r="L6824" s="369">
        <f>+IF((C6824&gt;='Resultats - informe'!$E$16)*(C6824&lt;='Resultats - informe'!$G$16),1,0)</f>
        <v>1</v>
      </c>
      <c r="M6824" s="369" cm="1">
        <f t="array" ref="M6824">+_xlfn.IFS((C6824&gt;='Resultats - informe'!$D$26)*(C6824&lt;='Resultats - informe'!$E$26),0,(C6824&gt;='Resultats - informe'!$D$27)*(C6824&lt;='Resultats - informe'!$E$27),0,(C6824&gt;='Resultats - informe'!$D$28)*(C6824&lt;='Resultats - informe'!$E$28),0,(C6824&gt;='Resultats - informe'!$D$29)*(C6824&lt;='Resultats - informe'!$E$29),0,1,1)</f>
        <v>0</v>
      </c>
      <c r="N6824" s="366">
        <f>+VLOOKUP(D6824,'Resultats - informe'!$Y$18:$AG$42,'Introducció dades consum'!K6824+1,0)</f>
        <v>0</v>
      </c>
      <c r="O6824" s="370" cm="1">
        <f t="array" ref="O6824">+_xlfn.SWITCH(MONTH(C6824),1,1,2,1,3,1,4,2,5,2,6,3,7,3,8,3,9,3,10,2,11,2,12,1,2)</f>
        <v>1</v>
      </c>
      <c r="P6824" s="43"/>
    </row>
    <row r="6825" spans="1:16" ht="18" x14ac:dyDescent="0.35">
      <c r="A6825" s="9"/>
      <c r="C6825" s="393"/>
      <c r="E6825" s="394"/>
      <c r="F6825" s="394"/>
      <c r="G6825" s="394"/>
      <c r="I6825" s="368">
        <f t="shared" si="324"/>
        <v>0</v>
      </c>
      <c r="J6825" s="365">
        <f t="shared" si="325"/>
        <v>0</v>
      </c>
      <c r="K6825" s="369">
        <f t="shared" si="326"/>
        <v>6</v>
      </c>
      <c r="L6825" s="369">
        <f>+IF((C6825&gt;='Resultats - informe'!$E$16)*(C6825&lt;='Resultats - informe'!$G$16),1,0)</f>
        <v>1</v>
      </c>
      <c r="M6825" s="369" cm="1">
        <f t="array" ref="M6825">+_xlfn.IFS((C6825&gt;='Resultats - informe'!$D$26)*(C6825&lt;='Resultats - informe'!$E$26),0,(C6825&gt;='Resultats - informe'!$D$27)*(C6825&lt;='Resultats - informe'!$E$27),0,(C6825&gt;='Resultats - informe'!$D$28)*(C6825&lt;='Resultats - informe'!$E$28),0,(C6825&gt;='Resultats - informe'!$D$29)*(C6825&lt;='Resultats - informe'!$E$29),0,1,1)</f>
        <v>0</v>
      </c>
      <c r="N6825" s="366">
        <f>+VLOOKUP(D6825,'Resultats - informe'!$Y$18:$AG$42,'Introducció dades consum'!K6825+1,0)</f>
        <v>0</v>
      </c>
      <c r="O6825" s="370" cm="1">
        <f t="array" ref="O6825">+_xlfn.SWITCH(MONTH(C6825),1,1,2,1,3,1,4,2,5,2,6,3,7,3,8,3,9,3,10,2,11,2,12,1,2)</f>
        <v>1</v>
      </c>
      <c r="P6825" s="43"/>
    </row>
    <row r="6826" spans="1:16" ht="18" x14ac:dyDescent="0.35">
      <c r="A6826" s="9"/>
      <c r="C6826" s="393"/>
      <c r="E6826" s="394"/>
      <c r="F6826" s="394"/>
      <c r="G6826" s="394"/>
      <c r="I6826" s="368">
        <f t="shared" si="324"/>
        <v>0</v>
      </c>
      <c r="J6826" s="365">
        <f t="shared" si="325"/>
        <v>0</v>
      </c>
      <c r="K6826" s="369">
        <f t="shared" si="326"/>
        <v>6</v>
      </c>
      <c r="L6826" s="369">
        <f>+IF((C6826&gt;='Resultats - informe'!$E$16)*(C6826&lt;='Resultats - informe'!$G$16),1,0)</f>
        <v>1</v>
      </c>
      <c r="M6826" s="369" cm="1">
        <f t="array" ref="M6826">+_xlfn.IFS((C6826&gt;='Resultats - informe'!$D$26)*(C6826&lt;='Resultats - informe'!$E$26),0,(C6826&gt;='Resultats - informe'!$D$27)*(C6826&lt;='Resultats - informe'!$E$27),0,(C6826&gt;='Resultats - informe'!$D$28)*(C6826&lt;='Resultats - informe'!$E$28),0,(C6826&gt;='Resultats - informe'!$D$29)*(C6826&lt;='Resultats - informe'!$E$29),0,1,1)</f>
        <v>0</v>
      </c>
      <c r="N6826" s="366">
        <f>+VLOOKUP(D6826,'Resultats - informe'!$Y$18:$AG$42,'Introducció dades consum'!K6826+1,0)</f>
        <v>0</v>
      </c>
      <c r="O6826" s="370" cm="1">
        <f t="array" ref="O6826">+_xlfn.SWITCH(MONTH(C6826),1,1,2,1,3,1,4,2,5,2,6,3,7,3,8,3,9,3,10,2,11,2,12,1,2)</f>
        <v>1</v>
      </c>
      <c r="P6826" s="43"/>
    </row>
    <row r="6827" spans="1:16" ht="18" x14ac:dyDescent="0.35">
      <c r="A6827" s="9"/>
      <c r="C6827" s="393"/>
      <c r="E6827" s="394"/>
      <c r="F6827" s="394"/>
      <c r="G6827" s="394"/>
      <c r="I6827" s="368">
        <f t="shared" si="324"/>
        <v>0</v>
      </c>
      <c r="J6827" s="365">
        <f t="shared" si="325"/>
        <v>0</v>
      </c>
      <c r="K6827" s="369">
        <f t="shared" si="326"/>
        <v>6</v>
      </c>
      <c r="L6827" s="369">
        <f>+IF((C6827&gt;='Resultats - informe'!$E$16)*(C6827&lt;='Resultats - informe'!$G$16),1,0)</f>
        <v>1</v>
      </c>
      <c r="M6827" s="369" cm="1">
        <f t="array" ref="M6827">+_xlfn.IFS((C6827&gt;='Resultats - informe'!$D$26)*(C6827&lt;='Resultats - informe'!$E$26),0,(C6827&gt;='Resultats - informe'!$D$27)*(C6827&lt;='Resultats - informe'!$E$27),0,(C6827&gt;='Resultats - informe'!$D$28)*(C6827&lt;='Resultats - informe'!$E$28),0,(C6827&gt;='Resultats - informe'!$D$29)*(C6827&lt;='Resultats - informe'!$E$29),0,1,1)</f>
        <v>0</v>
      </c>
      <c r="N6827" s="366">
        <f>+VLOOKUP(D6827,'Resultats - informe'!$Y$18:$AG$42,'Introducció dades consum'!K6827+1,0)</f>
        <v>0</v>
      </c>
      <c r="O6827" s="370" cm="1">
        <f t="array" ref="O6827">+_xlfn.SWITCH(MONTH(C6827),1,1,2,1,3,1,4,2,5,2,6,3,7,3,8,3,9,3,10,2,11,2,12,1,2)</f>
        <v>1</v>
      </c>
      <c r="P6827" s="43"/>
    </row>
    <row r="6828" spans="1:16" ht="18" x14ac:dyDescent="0.35">
      <c r="A6828" s="9"/>
      <c r="C6828" s="393"/>
      <c r="E6828" s="394"/>
      <c r="F6828" s="394"/>
      <c r="G6828" s="394"/>
      <c r="I6828" s="368">
        <f t="shared" si="324"/>
        <v>0</v>
      </c>
      <c r="J6828" s="365">
        <f t="shared" si="325"/>
        <v>0</v>
      </c>
      <c r="K6828" s="369">
        <f t="shared" si="326"/>
        <v>6</v>
      </c>
      <c r="L6828" s="369">
        <f>+IF((C6828&gt;='Resultats - informe'!$E$16)*(C6828&lt;='Resultats - informe'!$G$16),1,0)</f>
        <v>1</v>
      </c>
      <c r="M6828" s="369" cm="1">
        <f t="array" ref="M6828">+_xlfn.IFS((C6828&gt;='Resultats - informe'!$D$26)*(C6828&lt;='Resultats - informe'!$E$26),0,(C6828&gt;='Resultats - informe'!$D$27)*(C6828&lt;='Resultats - informe'!$E$27),0,(C6828&gt;='Resultats - informe'!$D$28)*(C6828&lt;='Resultats - informe'!$E$28),0,(C6828&gt;='Resultats - informe'!$D$29)*(C6828&lt;='Resultats - informe'!$E$29),0,1,1)</f>
        <v>0</v>
      </c>
      <c r="N6828" s="366">
        <f>+VLOOKUP(D6828,'Resultats - informe'!$Y$18:$AG$42,'Introducció dades consum'!K6828+1,0)</f>
        <v>0</v>
      </c>
      <c r="O6828" s="370" cm="1">
        <f t="array" ref="O6828">+_xlfn.SWITCH(MONTH(C6828),1,1,2,1,3,1,4,2,5,2,6,3,7,3,8,3,9,3,10,2,11,2,12,1,2)</f>
        <v>1</v>
      </c>
      <c r="P6828" s="43"/>
    </row>
    <row r="6829" spans="1:16" ht="18" x14ac:dyDescent="0.35">
      <c r="A6829" s="9"/>
      <c r="C6829" s="393"/>
      <c r="E6829" s="394"/>
      <c r="F6829" s="394"/>
      <c r="G6829" s="394"/>
      <c r="I6829" s="368">
        <f t="shared" si="324"/>
        <v>0</v>
      </c>
      <c r="J6829" s="365">
        <f t="shared" si="325"/>
        <v>0</v>
      </c>
      <c r="K6829" s="369">
        <f t="shared" si="326"/>
        <v>6</v>
      </c>
      <c r="L6829" s="369">
        <f>+IF((C6829&gt;='Resultats - informe'!$E$16)*(C6829&lt;='Resultats - informe'!$G$16),1,0)</f>
        <v>1</v>
      </c>
      <c r="M6829" s="369" cm="1">
        <f t="array" ref="M6829">+_xlfn.IFS((C6829&gt;='Resultats - informe'!$D$26)*(C6829&lt;='Resultats - informe'!$E$26),0,(C6829&gt;='Resultats - informe'!$D$27)*(C6829&lt;='Resultats - informe'!$E$27),0,(C6829&gt;='Resultats - informe'!$D$28)*(C6829&lt;='Resultats - informe'!$E$28),0,(C6829&gt;='Resultats - informe'!$D$29)*(C6829&lt;='Resultats - informe'!$E$29),0,1,1)</f>
        <v>0</v>
      </c>
      <c r="N6829" s="366">
        <f>+VLOOKUP(D6829,'Resultats - informe'!$Y$18:$AG$42,'Introducció dades consum'!K6829+1,0)</f>
        <v>0</v>
      </c>
      <c r="O6829" s="370" cm="1">
        <f t="array" ref="O6829">+_xlfn.SWITCH(MONTH(C6829),1,1,2,1,3,1,4,2,5,2,6,3,7,3,8,3,9,3,10,2,11,2,12,1,2)</f>
        <v>1</v>
      </c>
      <c r="P6829" s="43"/>
    </row>
    <row r="6830" spans="1:16" ht="18" x14ac:dyDescent="0.35">
      <c r="A6830" s="9"/>
      <c r="C6830" s="393"/>
      <c r="E6830" s="394"/>
      <c r="F6830" s="394"/>
      <c r="G6830" s="394"/>
      <c r="I6830" s="368">
        <f t="shared" si="324"/>
        <v>0</v>
      </c>
      <c r="J6830" s="365">
        <f t="shared" si="325"/>
        <v>0</v>
      </c>
      <c r="K6830" s="369">
        <f t="shared" si="326"/>
        <v>6</v>
      </c>
      <c r="L6830" s="369">
        <f>+IF((C6830&gt;='Resultats - informe'!$E$16)*(C6830&lt;='Resultats - informe'!$G$16),1,0)</f>
        <v>1</v>
      </c>
      <c r="M6830" s="369" cm="1">
        <f t="array" ref="M6830">+_xlfn.IFS((C6830&gt;='Resultats - informe'!$D$26)*(C6830&lt;='Resultats - informe'!$E$26),0,(C6830&gt;='Resultats - informe'!$D$27)*(C6830&lt;='Resultats - informe'!$E$27),0,(C6830&gt;='Resultats - informe'!$D$28)*(C6830&lt;='Resultats - informe'!$E$28),0,(C6830&gt;='Resultats - informe'!$D$29)*(C6830&lt;='Resultats - informe'!$E$29),0,1,1)</f>
        <v>0</v>
      </c>
      <c r="N6830" s="366">
        <f>+VLOOKUP(D6830,'Resultats - informe'!$Y$18:$AG$42,'Introducció dades consum'!K6830+1,0)</f>
        <v>0</v>
      </c>
      <c r="O6830" s="370" cm="1">
        <f t="array" ref="O6830">+_xlfn.SWITCH(MONTH(C6830),1,1,2,1,3,1,4,2,5,2,6,3,7,3,8,3,9,3,10,2,11,2,12,1,2)</f>
        <v>1</v>
      </c>
      <c r="P6830" s="43"/>
    </row>
    <row r="6831" spans="1:16" ht="18" x14ac:dyDescent="0.35">
      <c r="A6831" s="9"/>
      <c r="C6831" s="393"/>
      <c r="E6831" s="394"/>
      <c r="F6831" s="394"/>
      <c r="G6831" s="394"/>
      <c r="I6831" s="368">
        <f t="shared" si="324"/>
        <v>0</v>
      </c>
      <c r="J6831" s="365">
        <f t="shared" si="325"/>
        <v>0</v>
      </c>
      <c r="K6831" s="369">
        <f t="shared" si="326"/>
        <v>6</v>
      </c>
      <c r="L6831" s="369">
        <f>+IF((C6831&gt;='Resultats - informe'!$E$16)*(C6831&lt;='Resultats - informe'!$G$16),1,0)</f>
        <v>1</v>
      </c>
      <c r="M6831" s="369" cm="1">
        <f t="array" ref="M6831">+_xlfn.IFS((C6831&gt;='Resultats - informe'!$D$26)*(C6831&lt;='Resultats - informe'!$E$26),0,(C6831&gt;='Resultats - informe'!$D$27)*(C6831&lt;='Resultats - informe'!$E$27),0,(C6831&gt;='Resultats - informe'!$D$28)*(C6831&lt;='Resultats - informe'!$E$28),0,(C6831&gt;='Resultats - informe'!$D$29)*(C6831&lt;='Resultats - informe'!$E$29),0,1,1)</f>
        <v>0</v>
      </c>
      <c r="N6831" s="366">
        <f>+VLOOKUP(D6831,'Resultats - informe'!$Y$18:$AG$42,'Introducció dades consum'!K6831+1,0)</f>
        <v>0</v>
      </c>
      <c r="O6831" s="370" cm="1">
        <f t="array" ref="O6831">+_xlfn.SWITCH(MONTH(C6831),1,1,2,1,3,1,4,2,5,2,6,3,7,3,8,3,9,3,10,2,11,2,12,1,2)</f>
        <v>1</v>
      </c>
      <c r="P6831" s="43"/>
    </row>
    <row r="6832" spans="1:16" ht="18" x14ac:dyDescent="0.35">
      <c r="A6832" s="9"/>
      <c r="C6832" s="393"/>
      <c r="E6832" s="394"/>
      <c r="F6832" s="394"/>
      <c r="G6832" s="394"/>
      <c r="I6832" s="368">
        <f t="shared" si="324"/>
        <v>0</v>
      </c>
      <c r="J6832" s="365">
        <f t="shared" si="325"/>
        <v>0</v>
      </c>
      <c r="K6832" s="369">
        <f t="shared" si="326"/>
        <v>6</v>
      </c>
      <c r="L6832" s="369">
        <f>+IF((C6832&gt;='Resultats - informe'!$E$16)*(C6832&lt;='Resultats - informe'!$G$16),1,0)</f>
        <v>1</v>
      </c>
      <c r="M6832" s="369" cm="1">
        <f t="array" ref="M6832">+_xlfn.IFS((C6832&gt;='Resultats - informe'!$D$26)*(C6832&lt;='Resultats - informe'!$E$26),0,(C6832&gt;='Resultats - informe'!$D$27)*(C6832&lt;='Resultats - informe'!$E$27),0,(C6832&gt;='Resultats - informe'!$D$28)*(C6832&lt;='Resultats - informe'!$E$28),0,(C6832&gt;='Resultats - informe'!$D$29)*(C6832&lt;='Resultats - informe'!$E$29),0,1,1)</f>
        <v>0</v>
      </c>
      <c r="N6832" s="366">
        <f>+VLOOKUP(D6832,'Resultats - informe'!$Y$18:$AG$42,'Introducció dades consum'!K6832+1,0)</f>
        <v>0</v>
      </c>
      <c r="O6832" s="370" cm="1">
        <f t="array" ref="O6832">+_xlfn.SWITCH(MONTH(C6832),1,1,2,1,3,1,4,2,5,2,6,3,7,3,8,3,9,3,10,2,11,2,12,1,2)</f>
        <v>1</v>
      </c>
      <c r="P6832" s="43"/>
    </row>
    <row r="6833" spans="1:16" ht="18" x14ac:dyDescent="0.35">
      <c r="A6833" s="9"/>
      <c r="C6833" s="393"/>
      <c r="E6833" s="394"/>
      <c r="F6833" s="394"/>
      <c r="G6833" s="394"/>
      <c r="I6833" s="368">
        <f t="shared" si="324"/>
        <v>0</v>
      </c>
      <c r="J6833" s="365">
        <f t="shared" si="325"/>
        <v>0</v>
      </c>
      <c r="K6833" s="369">
        <f t="shared" si="326"/>
        <v>6</v>
      </c>
      <c r="L6833" s="369">
        <f>+IF((C6833&gt;='Resultats - informe'!$E$16)*(C6833&lt;='Resultats - informe'!$G$16),1,0)</f>
        <v>1</v>
      </c>
      <c r="M6833" s="369" cm="1">
        <f t="array" ref="M6833">+_xlfn.IFS((C6833&gt;='Resultats - informe'!$D$26)*(C6833&lt;='Resultats - informe'!$E$26),0,(C6833&gt;='Resultats - informe'!$D$27)*(C6833&lt;='Resultats - informe'!$E$27),0,(C6833&gt;='Resultats - informe'!$D$28)*(C6833&lt;='Resultats - informe'!$E$28),0,(C6833&gt;='Resultats - informe'!$D$29)*(C6833&lt;='Resultats - informe'!$E$29),0,1,1)</f>
        <v>0</v>
      </c>
      <c r="N6833" s="366">
        <f>+VLOOKUP(D6833,'Resultats - informe'!$Y$18:$AG$42,'Introducció dades consum'!K6833+1,0)</f>
        <v>0</v>
      </c>
      <c r="O6833" s="370" cm="1">
        <f t="array" ref="O6833">+_xlfn.SWITCH(MONTH(C6833),1,1,2,1,3,1,4,2,5,2,6,3,7,3,8,3,9,3,10,2,11,2,12,1,2)</f>
        <v>1</v>
      </c>
      <c r="P6833" s="43"/>
    </row>
    <row r="6834" spans="1:16" ht="18" x14ac:dyDescent="0.35">
      <c r="A6834" s="9"/>
      <c r="C6834" s="393"/>
      <c r="E6834" s="394"/>
      <c r="F6834" s="394"/>
      <c r="G6834" s="394"/>
      <c r="I6834" s="368">
        <f t="shared" si="324"/>
        <v>0</v>
      </c>
      <c r="J6834" s="365">
        <f t="shared" si="325"/>
        <v>0</v>
      </c>
      <c r="K6834" s="369">
        <f t="shared" si="326"/>
        <v>6</v>
      </c>
      <c r="L6834" s="369">
        <f>+IF((C6834&gt;='Resultats - informe'!$E$16)*(C6834&lt;='Resultats - informe'!$G$16),1,0)</f>
        <v>1</v>
      </c>
      <c r="M6834" s="369" cm="1">
        <f t="array" ref="M6834">+_xlfn.IFS((C6834&gt;='Resultats - informe'!$D$26)*(C6834&lt;='Resultats - informe'!$E$26),0,(C6834&gt;='Resultats - informe'!$D$27)*(C6834&lt;='Resultats - informe'!$E$27),0,(C6834&gt;='Resultats - informe'!$D$28)*(C6834&lt;='Resultats - informe'!$E$28),0,(C6834&gt;='Resultats - informe'!$D$29)*(C6834&lt;='Resultats - informe'!$E$29),0,1,1)</f>
        <v>0</v>
      </c>
      <c r="N6834" s="366">
        <f>+VLOOKUP(D6834,'Resultats - informe'!$Y$18:$AG$42,'Introducció dades consum'!K6834+1,0)</f>
        <v>0</v>
      </c>
      <c r="O6834" s="370" cm="1">
        <f t="array" ref="O6834">+_xlfn.SWITCH(MONTH(C6834),1,1,2,1,3,1,4,2,5,2,6,3,7,3,8,3,9,3,10,2,11,2,12,1,2)</f>
        <v>1</v>
      </c>
      <c r="P6834" s="43"/>
    </row>
    <row r="6835" spans="1:16" ht="18" x14ac:dyDescent="0.35">
      <c r="A6835" s="9"/>
      <c r="C6835" s="393"/>
      <c r="E6835" s="394"/>
      <c r="F6835" s="394"/>
      <c r="G6835" s="394"/>
      <c r="I6835" s="368">
        <f t="shared" si="324"/>
        <v>0</v>
      </c>
      <c r="J6835" s="365">
        <f t="shared" si="325"/>
        <v>0</v>
      </c>
      <c r="K6835" s="369">
        <f t="shared" si="326"/>
        <v>6</v>
      </c>
      <c r="L6835" s="369">
        <f>+IF((C6835&gt;='Resultats - informe'!$E$16)*(C6835&lt;='Resultats - informe'!$G$16),1,0)</f>
        <v>1</v>
      </c>
      <c r="M6835" s="369" cm="1">
        <f t="array" ref="M6835">+_xlfn.IFS((C6835&gt;='Resultats - informe'!$D$26)*(C6835&lt;='Resultats - informe'!$E$26),0,(C6835&gt;='Resultats - informe'!$D$27)*(C6835&lt;='Resultats - informe'!$E$27),0,(C6835&gt;='Resultats - informe'!$D$28)*(C6835&lt;='Resultats - informe'!$E$28),0,(C6835&gt;='Resultats - informe'!$D$29)*(C6835&lt;='Resultats - informe'!$E$29),0,1,1)</f>
        <v>0</v>
      </c>
      <c r="N6835" s="366">
        <f>+VLOOKUP(D6835,'Resultats - informe'!$Y$18:$AG$42,'Introducció dades consum'!K6835+1,0)</f>
        <v>0</v>
      </c>
      <c r="O6835" s="370" cm="1">
        <f t="array" ref="O6835">+_xlfn.SWITCH(MONTH(C6835),1,1,2,1,3,1,4,2,5,2,6,3,7,3,8,3,9,3,10,2,11,2,12,1,2)</f>
        <v>1</v>
      </c>
      <c r="P6835" s="43"/>
    </row>
    <row r="6836" spans="1:16" ht="18" x14ac:dyDescent="0.35">
      <c r="A6836" s="9"/>
      <c r="C6836" s="393"/>
      <c r="E6836" s="394"/>
      <c r="F6836" s="394"/>
      <c r="G6836" s="394"/>
      <c r="I6836" s="368">
        <f t="shared" si="324"/>
        <v>0</v>
      </c>
      <c r="J6836" s="365">
        <f t="shared" si="325"/>
        <v>0</v>
      </c>
      <c r="K6836" s="369">
        <f t="shared" si="326"/>
        <v>6</v>
      </c>
      <c r="L6836" s="369">
        <f>+IF((C6836&gt;='Resultats - informe'!$E$16)*(C6836&lt;='Resultats - informe'!$G$16),1,0)</f>
        <v>1</v>
      </c>
      <c r="M6836" s="369" cm="1">
        <f t="array" ref="M6836">+_xlfn.IFS((C6836&gt;='Resultats - informe'!$D$26)*(C6836&lt;='Resultats - informe'!$E$26),0,(C6836&gt;='Resultats - informe'!$D$27)*(C6836&lt;='Resultats - informe'!$E$27),0,(C6836&gt;='Resultats - informe'!$D$28)*(C6836&lt;='Resultats - informe'!$E$28),0,(C6836&gt;='Resultats - informe'!$D$29)*(C6836&lt;='Resultats - informe'!$E$29),0,1,1)</f>
        <v>0</v>
      </c>
      <c r="N6836" s="366">
        <f>+VLOOKUP(D6836,'Resultats - informe'!$Y$18:$AG$42,'Introducció dades consum'!K6836+1,0)</f>
        <v>0</v>
      </c>
      <c r="O6836" s="370" cm="1">
        <f t="array" ref="O6836">+_xlfn.SWITCH(MONTH(C6836),1,1,2,1,3,1,4,2,5,2,6,3,7,3,8,3,9,3,10,2,11,2,12,1,2)</f>
        <v>1</v>
      </c>
      <c r="P6836" s="43"/>
    </row>
    <row r="6837" spans="1:16" ht="18" x14ac:dyDescent="0.35">
      <c r="A6837" s="9"/>
      <c r="C6837" s="393"/>
      <c r="E6837" s="394"/>
      <c r="F6837" s="394"/>
      <c r="G6837" s="394"/>
      <c r="I6837" s="368">
        <f t="shared" si="324"/>
        <v>0</v>
      </c>
      <c r="J6837" s="365">
        <f t="shared" si="325"/>
        <v>0</v>
      </c>
      <c r="K6837" s="369">
        <f t="shared" si="326"/>
        <v>6</v>
      </c>
      <c r="L6837" s="369">
        <f>+IF((C6837&gt;='Resultats - informe'!$E$16)*(C6837&lt;='Resultats - informe'!$G$16),1,0)</f>
        <v>1</v>
      </c>
      <c r="M6837" s="369" cm="1">
        <f t="array" ref="M6837">+_xlfn.IFS((C6837&gt;='Resultats - informe'!$D$26)*(C6837&lt;='Resultats - informe'!$E$26),0,(C6837&gt;='Resultats - informe'!$D$27)*(C6837&lt;='Resultats - informe'!$E$27),0,(C6837&gt;='Resultats - informe'!$D$28)*(C6837&lt;='Resultats - informe'!$E$28),0,(C6837&gt;='Resultats - informe'!$D$29)*(C6837&lt;='Resultats - informe'!$E$29),0,1,1)</f>
        <v>0</v>
      </c>
      <c r="N6837" s="366">
        <f>+VLOOKUP(D6837,'Resultats - informe'!$Y$18:$AG$42,'Introducció dades consum'!K6837+1,0)</f>
        <v>0</v>
      </c>
      <c r="O6837" s="370" cm="1">
        <f t="array" ref="O6837">+_xlfn.SWITCH(MONTH(C6837),1,1,2,1,3,1,4,2,5,2,6,3,7,3,8,3,9,3,10,2,11,2,12,1,2)</f>
        <v>1</v>
      </c>
      <c r="P6837" s="43"/>
    </row>
    <row r="6838" spans="1:16" ht="18" x14ac:dyDescent="0.35">
      <c r="A6838" s="9"/>
      <c r="C6838" s="393"/>
      <c r="E6838" s="394"/>
      <c r="F6838" s="394"/>
      <c r="G6838" s="394"/>
      <c r="I6838" s="368">
        <f t="shared" si="324"/>
        <v>0</v>
      </c>
      <c r="J6838" s="365">
        <f t="shared" si="325"/>
        <v>0</v>
      </c>
      <c r="K6838" s="369">
        <f t="shared" si="326"/>
        <v>6</v>
      </c>
      <c r="L6838" s="369">
        <f>+IF((C6838&gt;='Resultats - informe'!$E$16)*(C6838&lt;='Resultats - informe'!$G$16),1,0)</f>
        <v>1</v>
      </c>
      <c r="M6838" s="369" cm="1">
        <f t="array" ref="M6838">+_xlfn.IFS((C6838&gt;='Resultats - informe'!$D$26)*(C6838&lt;='Resultats - informe'!$E$26),0,(C6838&gt;='Resultats - informe'!$D$27)*(C6838&lt;='Resultats - informe'!$E$27),0,(C6838&gt;='Resultats - informe'!$D$28)*(C6838&lt;='Resultats - informe'!$E$28),0,(C6838&gt;='Resultats - informe'!$D$29)*(C6838&lt;='Resultats - informe'!$E$29),0,1,1)</f>
        <v>0</v>
      </c>
      <c r="N6838" s="366">
        <f>+VLOOKUP(D6838,'Resultats - informe'!$Y$18:$AG$42,'Introducció dades consum'!K6838+1,0)</f>
        <v>0</v>
      </c>
      <c r="O6838" s="370" cm="1">
        <f t="array" ref="O6838">+_xlfn.SWITCH(MONTH(C6838),1,1,2,1,3,1,4,2,5,2,6,3,7,3,8,3,9,3,10,2,11,2,12,1,2)</f>
        <v>1</v>
      </c>
      <c r="P6838" s="43"/>
    </row>
    <row r="6839" spans="1:16" ht="18" x14ac:dyDescent="0.35">
      <c r="A6839" s="9"/>
      <c r="C6839" s="393"/>
      <c r="E6839" s="394"/>
      <c r="F6839" s="394"/>
      <c r="G6839" s="394"/>
      <c r="I6839" s="368">
        <f t="shared" si="324"/>
        <v>0</v>
      </c>
      <c r="J6839" s="365">
        <f t="shared" si="325"/>
        <v>0</v>
      </c>
      <c r="K6839" s="369">
        <f t="shared" si="326"/>
        <v>6</v>
      </c>
      <c r="L6839" s="369">
        <f>+IF((C6839&gt;='Resultats - informe'!$E$16)*(C6839&lt;='Resultats - informe'!$G$16),1,0)</f>
        <v>1</v>
      </c>
      <c r="M6839" s="369" cm="1">
        <f t="array" ref="M6839">+_xlfn.IFS((C6839&gt;='Resultats - informe'!$D$26)*(C6839&lt;='Resultats - informe'!$E$26),0,(C6839&gt;='Resultats - informe'!$D$27)*(C6839&lt;='Resultats - informe'!$E$27),0,(C6839&gt;='Resultats - informe'!$D$28)*(C6839&lt;='Resultats - informe'!$E$28),0,(C6839&gt;='Resultats - informe'!$D$29)*(C6839&lt;='Resultats - informe'!$E$29),0,1,1)</f>
        <v>0</v>
      </c>
      <c r="N6839" s="366">
        <f>+VLOOKUP(D6839,'Resultats - informe'!$Y$18:$AG$42,'Introducció dades consum'!K6839+1,0)</f>
        <v>0</v>
      </c>
      <c r="O6839" s="370" cm="1">
        <f t="array" ref="O6839">+_xlfn.SWITCH(MONTH(C6839),1,1,2,1,3,1,4,2,5,2,6,3,7,3,8,3,9,3,10,2,11,2,12,1,2)</f>
        <v>1</v>
      </c>
      <c r="P6839" s="43"/>
    </row>
    <row r="6840" spans="1:16" ht="18" x14ac:dyDescent="0.35">
      <c r="A6840" s="9"/>
      <c r="C6840" s="393"/>
      <c r="E6840" s="394"/>
      <c r="F6840" s="394"/>
      <c r="G6840" s="394"/>
      <c r="I6840" s="368">
        <f t="shared" si="324"/>
        <v>0</v>
      </c>
      <c r="J6840" s="365">
        <f t="shared" si="325"/>
        <v>0</v>
      </c>
      <c r="K6840" s="369">
        <f t="shared" si="326"/>
        <v>6</v>
      </c>
      <c r="L6840" s="369">
        <f>+IF((C6840&gt;='Resultats - informe'!$E$16)*(C6840&lt;='Resultats - informe'!$G$16),1,0)</f>
        <v>1</v>
      </c>
      <c r="M6840" s="369" cm="1">
        <f t="array" ref="M6840">+_xlfn.IFS((C6840&gt;='Resultats - informe'!$D$26)*(C6840&lt;='Resultats - informe'!$E$26),0,(C6840&gt;='Resultats - informe'!$D$27)*(C6840&lt;='Resultats - informe'!$E$27),0,(C6840&gt;='Resultats - informe'!$D$28)*(C6840&lt;='Resultats - informe'!$E$28),0,(C6840&gt;='Resultats - informe'!$D$29)*(C6840&lt;='Resultats - informe'!$E$29),0,1,1)</f>
        <v>0</v>
      </c>
      <c r="N6840" s="366">
        <f>+VLOOKUP(D6840,'Resultats - informe'!$Y$18:$AG$42,'Introducció dades consum'!K6840+1,0)</f>
        <v>0</v>
      </c>
      <c r="O6840" s="370" cm="1">
        <f t="array" ref="O6840">+_xlfn.SWITCH(MONTH(C6840),1,1,2,1,3,1,4,2,5,2,6,3,7,3,8,3,9,3,10,2,11,2,12,1,2)</f>
        <v>1</v>
      </c>
      <c r="P6840" s="43"/>
    </row>
    <row r="6841" spans="1:16" ht="18" x14ac:dyDescent="0.35">
      <c r="A6841" s="9"/>
      <c r="C6841" s="393"/>
      <c r="E6841" s="394"/>
      <c r="F6841" s="394"/>
      <c r="G6841" s="394"/>
      <c r="I6841" s="368">
        <f t="shared" si="324"/>
        <v>0</v>
      </c>
      <c r="J6841" s="365">
        <f t="shared" si="325"/>
        <v>0</v>
      </c>
      <c r="K6841" s="369">
        <f t="shared" si="326"/>
        <v>6</v>
      </c>
      <c r="L6841" s="369">
        <f>+IF((C6841&gt;='Resultats - informe'!$E$16)*(C6841&lt;='Resultats - informe'!$G$16),1,0)</f>
        <v>1</v>
      </c>
      <c r="M6841" s="369" cm="1">
        <f t="array" ref="M6841">+_xlfn.IFS((C6841&gt;='Resultats - informe'!$D$26)*(C6841&lt;='Resultats - informe'!$E$26),0,(C6841&gt;='Resultats - informe'!$D$27)*(C6841&lt;='Resultats - informe'!$E$27),0,(C6841&gt;='Resultats - informe'!$D$28)*(C6841&lt;='Resultats - informe'!$E$28),0,(C6841&gt;='Resultats - informe'!$D$29)*(C6841&lt;='Resultats - informe'!$E$29),0,1,1)</f>
        <v>0</v>
      </c>
      <c r="N6841" s="366">
        <f>+VLOOKUP(D6841,'Resultats - informe'!$Y$18:$AG$42,'Introducció dades consum'!K6841+1,0)</f>
        <v>0</v>
      </c>
      <c r="O6841" s="370" cm="1">
        <f t="array" ref="O6841">+_xlfn.SWITCH(MONTH(C6841),1,1,2,1,3,1,4,2,5,2,6,3,7,3,8,3,9,3,10,2,11,2,12,1,2)</f>
        <v>1</v>
      </c>
      <c r="P6841" s="43"/>
    </row>
    <row r="6842" spans="1:16" ht="18" x14ac:dyDescent="0.35">
      <c r="A6842" s="9"/>
      <c r="C6842" s="393"/>
      <c r="E6842" s="394"/>
      <c r="F6842" s="394"/>
      <c r="G6842" s="394"/>
      <c r="I6842" s="368">
        <f t="shared" si="324"/>
        <v>0</v>
      </c>
      <c r="J6842" s="365">
        <f t="shared" si="325"/>
        <v>0</v>
      </c>
      <c r="K6842" s="369">
        <f t="shared" si="326"/>
        <v>6</v>
      </c>
      <c r="L6842" s="369">
        <f>+IF((C6842&gt;='Resultats - informe'!$E$16)*(C6842&lt;='Resultats - informe'!$G$16),1,0)</f>
        <v>1</v>
      </c>
      <c r="M6842" s="369" cm="1">
        <f t="array" ref="M6842">+_xlfn.IFS((C6842&gt;='Resultats - informe'!$D$26)*(C6842&lt;='Resultats - informe'!$E$26),0,(C6842&gt;='Resultats - informe'!$D$27)*(C6842&lt;='Resultats - informe'!$E$27),0,(C6842&gt;='Resultats - informe'!$D$28)*(C6842&lt;='Resultats - informe'!$E$28),0,(C6842&gt;='Resultats - informe'!$D$29)*(C6842&lt;='Resultats - informe'!$E$29),0,1,1)</f>
        <v>0</v>
      </c>
      <c r="N6842" s="366">
        <f>+VLOOKUP(D6842,'Resultats - informe'!$Y$18:$AG$42,'Introducció dades consum'!K6842+1,0)</f>
        <v>0</v>
      </c>
      <c r="O6842" s="370" cm="1">
        <f t="array" ref="O6842">+_xlfn.SWITCH(MONTH(C6842),1,1,2,1,3,1,4,2,5,2,6,3,7,3,8,3,9,3,10,2,11,2,12,1,2)</f>
        <v>1</v>
      </c>
      <c r="P6842" s="43"/>
    </row>
    <row r="6843" spans="1:16" ht="18" x14ac:dyDescent="0.35">
      <c r="A6843" s="9"/>
      <c r="C6843" s="393"/>
      <c r="E6843" s="394"/>
      <c r="F6843" s="394"/>
      <c r="G6843" s="394"/>
      <c r="I6843" s="368">
        <f t="shared" si="324"/>
        <v>0</v>
      </c>
      <c r="J6843" s="365">
        <f t="shared" si="325"/>
        <v>0</v>
      </c>
      <c r="K6843" s="369">
        <f t="shared" si="326"/>
        <v>6</v>
      </c>
      <c r="L6843" s="369">
        <f>+IF((C6843&gt;='Resultats - informe'!$E$16)*(C6843&lt;='Resultats - informe'!$G$16),1,0)</f>
        <v>1</v>
      </c>
      <c r="M6843" s="369" cm="1">
        <f t="array" ref="M6843">+_xlfn.IFS((C6843&gt;='Resultats - informe'!$D$26)*(C6843&lt;='Resultats - informe'!$E$26),0,(C6843&gt;='Resultats - informe'!$D$27)*(C6843&lt;='Resultats - informe'!$E$27),0,(C6843&gt;='Resultats - informe'!$D$28)*(C6843&lt;='Resultats - informe'!$E$28),0,(C6843&gt;='Resultats - informe'!$D$29)*(C6843&lt;='Resultats - informe'!$E$29),0,1,1)</f>
        <v>0</v>
      </c>
      <c r="N6843" s="366">
        <f>+VLOOKUP(D6843,'Resultats - informe'!$Y$18:$AG$42,'Introducció dades consum'!K6843+1,0)</f>
        <v>0</v>
      </c>
      <c r="O6843" s="370" cm="1">
        <f t="array" ref="O6843">+_xlfn.SWITCH(MONTH(C6843),1,1,2,1,3,1,4,2,5,2,6,3,7,3,8,3,9,3,10,2,11,2,12,1,2)</f>
        <v>1</v>
      </c>
      <c r="P6843" s="43"/>
    </row>
    <row r="6844" spans="1:16" ht="18" x14ac:dyDescent="0.35">
      <c r="A6844" s="9"/>
      <c r="C6844" s="393"/>
      <c r="E6844" s="394"/>
      <c r="F6844" s="394"/>
      <c r="G6844" s="394"/>
      <c r="I6844" s="368">
        <f t="shared" si="324"/>
        <v>0</v>
      </c>
      <c r="J6844" s="365">
        <f t="shared" si="325"/>
        <v>0</v>
      </c>
      <c r="K6844" s="369">
        <f t="shared" si="326"/>
        <v>6</v>
      </c>
      <c r="L6844" s="369">
        <f>+IF((C6844&gt;='Resultats - informe'!$E$16)*(C6844&lt;='Resultats - informe'!$G$16),1,0)</f>
        <v>1</v>
      </c>
      <c r="M6844" s="369" cm="1">
        <f t="array" ref="M6844">+_xlfn.IFS((C6844&gt;='Resultats - informe'!$D$26)*(C6844&lt;='Resultats - informe'!$E$26),0,(C6844&gt;='Resultats - informe'!$D$27)*(C6844&lt;='Resultats - informe'!$E$27),0,(C6844&gt;='Resultats - informe'!$D$28)*(C6844&lt;='Resultats - informe'!$E$28),0,(C6844&gt;='Resultats - informe'!$D$29)*(C6844&lt;='Resultats - informe'!$E$29),0,1,1)</f>
        <v>0</v>
      </c>
      <c r="N6844" s="366">
        <f>+VLOOKUP(D6844,'Resultats - informe'!$Y$18:$AG$42,'Introducció dades consum'!K6844+1,0)</f>
        <v>0</v>
      </c>
      <c r="O6844" s="370" cm="1">
        <f t="array" ref="O6844">+_xlfn.SWITCH(MONTH(C6844),1,1,2,1,3,1,4,2,5,2,6,3,7,3,8,3,9,3,10,2,11,2,12,1,2)</f>
        <v>1</v>
      </c>
      <c r="P6844" s="43"/>
    </row>
    <row r="6845" spans="1:16" ht="18" x14ac:dyDescent="0.35">
      <c r="A6845" s="9"/>
      <c r="C6845" s="393"/>
      <c r="E6845" s="394"/>
      <c r="F6845" s="394"/>
      <c r="G6845" s="394"/>
      <c r="I6845" s="368">
        <f t="shared" si="324"/>
        <v>0</v>
      </c>
      <c r="J6845" s="365">
        <f t="shared" si="325"/>
        <v>0</v>
      </c>
      <c r="K6845" s="369">
        <f t="shared" si="326"/>
        <v>6</v>
      </c>
      <c r="L6845" s="369">
        <f>+IF((C6845&gt;='Resultats - informe'!$E$16)*(C6845&lt;='Resultats - informe'!$G$16),1,0)</f>
        <v>1</v>
      </c>
      <c r="M6845" s="369" cm="1">
        <f t="array" ref="M6845">+_xlfn.IFS((C6845&gt;='Resultats - informe'!$D$26)*(C6845&lt;='Resultats - informe'!$E$26),0,(C6845&gt;='Resultats - informe'!$D$27)*(C6845&lt;='Resultats - informe'!$E$27),0,(C6845&gt;='Resultats - informe'!$D$28)*(C6845&lt;='Resultats - informe'!$E$28),0,(C6845&gt;='Resultats - informe'!$D$29)*(C6845&lt;='Resultats - informe'!$E$29),0,1,1)</f>
        <v>0</v>
      </c>
      <c r="N6845" s="366">
        <f>+VLOOKUP(D6845,'Resultats - informe'!$Y$18:$AG$42,'Introducció dades consum'!K6845+1,0)</f>
        <v>0</v>
      </c>
      <c r="O6845" s="370" cm="1">
        <f t="array" ref="O6845">+_xlfn.SWITCH(MONTH(C6845),1,1,2,1,3,1,4,2,5,2,6,3,7,3,8,3,9,3,10,2,11,2,12,1,2)</f>
        <v>1</v>
      </c>
      <c r="P6845" s="43"/>
    </row>
    <row r="6846" spans="1:16" ht="18" x14ac:dyDescent="0.35">
      <c r="A6846" s="9"/>
      <c r="C6846" s="393"/>
      <c r="E6846" s="394"/>
      <c r="F6846" s="394"/>
      <c r="G6846" s="394"/>
      <c r="I6846" s="368">
        <f t="shared" si="324"/>
        <v>0</v>
      </c>
      <c r="J6846" s="365">
        <f t="shared" si="325"/>
        <v>0</v>
      </c>
      <c r="K6846" s="369">
        <f t="shared" si="326"/>
        <v>6</v>
      </c>
      <c r="L6846" s="369">
        <f>+IF((C6846&gt;='Resultats - informe'!$E$16)*(C6846&lt;='Resultats - informe'!$G$16),1,0)</f>
        <v>1</v>
      </c>
      <c r="M6846" s="369" cm="1">
        <f t="array" ref="M6846">+_xlfn.IFS((C6846&gt;='Resultats - informe'!$D$26)*(C6846&lt;='Resultats - informe'!$E$26),0,(C6846&gt;='Resultats - informe'!$D$27)*(C6846&lt;='Resultats - informe'!$E$27),0,(C6846&gt;='Resultats - informe'!$D$28)*(C6846&lt;='Resultats - informe'!$E$28),0,(C6846&gt;='Resultats - informe'!$D$29)*(C6846&lt;='Resultats - informe'!$E$29),0,1,1)</f>
        <v>0</v>
      </c>
      <c r="N6846" s="366">
        <f>+VLOOKUP(D6846,'Resultats - informe'!$Y$18:$AG$42,'Introducció dades consum'!K6846+1,0)</f>
        <v>0</v>
      </c>
      <c r="O6846" s="370" cm="1">
        <f t="array" ref="O6846">+_xlfn.SWITCH(MONTH(C6846),1,1,2,1,3,1,4,2,5,2,6,3,7,3,8,3,9,3,10,2,11,2,12,1,2)</f>
        <v>1</v>
      </c>
      <c r="P6846" s="43"/>
    </row>
    <row r="6847" spans="1:16" ht="18" x14ac:dyDescent="0.35">
      <c r="A6847" s="9"/>
      <c r="C6847" s="393"/>
      <c r="E6847" s="394"/>
      <c r="F6847" s="394"/>
      <c r="G6847" s="394"/>
      <c r="I6847" s="368">
        <f t="shared" si="324"/>
        <v>0</v>
      </c>
      <c r="J6847" s="365">
        <f t="shared" si="325"/>
        <v>0</v>
      </c>
      <c r="K6847" s="369">
        <f t="shared" si="326"/>
        <v>6</v>
      </c>
      <c r="L6847" s="369">
        <f>+IF((C6847&gt;='Resultats - informe'!$E$16)*(C6847&lt;='Resultats - informe'!$G$16),1,0)</f>
        <v>1</v>
      </c>
      <c r="M6847" s="369" cm="1">
        <f t="array" ref="M6847">+_xlfn.IFS((C6847&gt;='Resultats - informe'!$D$26)*(C6847&lt;='Resultats - informe'!$E$26),0,(C6847&gt;='Resultats - informe'!$D$27)*(C6847&lt;='Resultats - informe'!$E$27),0,(C6847&gt;='Resultats - informe'!$D$28)*(C6847&lt;='Resultats - informe'!$E$28),0,(C6847&gt;='Resultats - informe'!$D$29)*(C6847&lt;='Resultats - informe'!$E$29),0,1,1)</f>
        <v>0</v>
      </c>
      <c r="N6847" s="366">
        <f>+VLOOKUP(D6847,'Resultats - informe'!$Y$18:$AG$42,'Introducció dades consum'!K6847+1,0)</f>
        <v>0</v>
      </c>
      <c r="O6847" s="370" cm="1">
        <f t="array" ref="O6847">+_xlfn.SWITCH(MONTH(C6847),1,1,2,1,3,1,4,2,5,2,6,3,7,3,8,3,9,3,10,2,11,2,12,1,2)</f>
        <v>1</v>
      </c>
      <c r="P6847" s="43"/>
    </row>
    <row r="6848" spans="1:16" ht="18" x14ac:dyDescent="0.35">
      <c r="A6848" s="9"/>
      <c r="C6848" s="393"/>
      <c r="E6848" s="394"/>
      <c r="F6848" s="394"/>
      <c r="G6848" s="394"/>
      <c r="I6848" s="368">
        <f t="shared" si="324"/>
        <v>0</v>
      </c>
      <c r="J6848" s="365">
        <f t="shared" si="325"/>
        <v>0</v>
      </c>
      <c r="K6848" s="369">
        <f t="shared" si="326"/>
        <v>6</v>
      </c>
      <c r="L6848" s="369">
        <f>+IF((C6848&gt;='Resultats - informe'!$E$16)*(C6848&lt;='Resultats - informe'!$G$16),1,0)</f>
        <v>1</v>
      </c>
      <c r="M6848" s="369" cm="1">
        <f t="array" ref="M6848">+_xlfn.IFS((C6848&gt;='Resultats - informe'!$D$26)*(C6848&lt;='Resultats - informe'!$E$26),0,(C6848&gt;='Resultats - informe'!$D$27)*(C6848&lt;='Resultats - informe'!$E$27),0,(C6848&gt;='Resultats - informe'!$D$28)*(C6848&lt;='Resultats - informe'!$E$28),0,(C6848&gt;='Resultats - informe'!$D$29)*(C6848&lt;='Resultats - informe'!$E$29),0,1,1)</f>
        <v>0</v>
      </c>
      <c r="N6848" s="366">
        <f>+VLOOKUP(D6848,'Resultats - informe'!$Y$18:$AG$42,'Introducció dades consum'!K6848+1,0)</f>
        <v>0</v>
      </c>
      <c r="O6848" s="370" cm="1">
        <f t="array" ref="O6848">+_xlfn.SWITCH(MONTH(C6848),1,1,2,1,3,1,4,2,5,2,6,3,7,3,8,3,9,3,10,2,11,2,12,1,2)</f>
        <v>1</v>
      </c>
      <c r="P6848" s="43"/>
    </row>
    <row r="6849" spans="1:16" ht="18" x14ac:dyDescent="0.35">
      <c r="A6849" s="9"/>
      <c r="C6849" s="393"/>
      <c r="E6849" s="394"/>
      <c r="F6849" s="394"/>
      <c r="G6849" s="394"/>
      <c r="I6849" s="368">
        <f t="shared" si="324"/>
        <v>0</v>
      </c>
      <c r="J6849" s="365">
        <f t="shared" si="325"/>
        <v>0</v>
      </c>
      <c r="K6849" s="369">
        <f t="shared" si="326"/>
        <v>6</v>
      </c>
      <c r="L6849" s="369">
        <f>+IF((C6849&gt;='Resultats - informe'!$E$16)*(C6849&lt;='Resultats - informe'!$G$16),1,0)</f>
        <v>1</v>
      </c>
      <c r="M6849" s="369" cm="1">
        <f t="array" ref="M6849">+_xlfn.IFS((C6849&gt;='Resultats - informe'!$D$26)*(C6849&lt;='Resultats - informe'!$E$26),0,(C6849&gt;='Resultats - informe'!$D$27)*(C6849&lt;='Resultats - informe'!$E$27),0,(C6849&gt;='Resultats - informe'!$D$28)*(C6849&lt;='Resultats - informe'!$E$28),0,(C6849&gt;='Resultats - informe'!$D$29)*(C6849&lt;='Resultats - informe'!$E$29),0,1,1)</f>
        <v>0</v>
      </c>
      <c r="N6849" s="366">
        <f>+VLOOKUP(D6849,'Resultats - informe'!$Y$18:$AG$42,'Introducció dades consum'!K6849+1,0)</f>
        <v>0</v>
      </c>
      <c r="O6849" s="370" cm="1">
        <f t="array" ref="O6849">+_xlfn.SWITCH(MONTH(C6849),1,1,2,1,3,1,4,2,5,2,6,3,7,3,8,3,9,3,10,2,11,2,12,1,2)</f>
        <v>1</v>
      </c>
      <c r="P6849" s="43"/>
    </row>
    <row r="6850" spans="1:16" ht="18" x14ac:dyDescent="0.35">
      <c r="A6850" s="9"/>
      <c r="C6850" s="393"/>
      <c r="E6850" s="394"/>
      <c r="F6850" s="394"/>
      <c r="G6850" s="394"/>
      <c r="I6850" s="368">
        <f t="shared" si="324"/>
        <v>0</v>
      </c>
      <c r="J6850" s="365">
        <f t="shared" si="325"/>
        <v>0</v>
      </c>
      <c r="K6850" s="369">
        <f t="shared" si="326"/>
        <v>6</v>
      </c>
      <c r="L6850" s="369">
        <f>+IF((C6850&gt;='Resultats - informe'!$E$16)*(C6850&lt;='Resultats - informe'!$G$16),1,0)</f>
        <v>1</v>
      </c>
      <c r="M6850" s="369" cm="1">
        <f t="array" ref="M6850">+_xlfn.IFS((C6850&gt;='Resultats - informe'!$D$26)*(C6850&lt;='Resultats - informe'!$E$26),0,(C6850&gt;='Resultats - informe'!$D$27)*(C6850&lt;='Resultats - informe'!$E$27),0,(C6850&gt;='Resultats - informe'!$D$28)*(C6850&lt;='Resultats - informe'!$E$28),0,(C6850&gt;='Resultats - informe'!$D$29)*(C6850&lt;='Resultats - informe'!$E$29),0,1,1)</f>
        <v>0</v>
      </c>
      <c r="N6850" s="366">
        <f>+VLOOKUP(D6850,'Resultats - informe'!$Y$18:$AG$42,'Introducció dades consum'!K6850+1,0)</f>
        <v>0</v>
      </c>
      <c r="O6850" s="370" cm="1">
        <f t="array" ref="O6850">+_xlfn.SWITCH(MONTH(C6850),1,1,2,1,3,1,4,2,5,2,6,3,7,3,8,3,9,3,10,2,11,2,12,1,2)</f>
        <v>1</v>
      </c>
      <c r="P6850" s="43"/>
    </row>
    <row r="6851" spans="1:16" ht="18" x14ac:dyDescent="0.35">
      <c r="A6851" s="9"/>
      <c r="C6851" s="393"/>
      <c r="E6851" s="394"/>
      <c r="F6851" s="394"/>
      <c r="G6851" s="394"/>
      <c r="I6851" s="368">
        <f t="shared" si="324"/>
        <v>0</v>
      </c>
      <c r="J6851" s="365">
        <f t="shared" si="325"/>
        <v>0</v>
      </c>
      <c r="K6851" s="369">
        <f t="shared" si="326"/>
        <v>6</v>
      </c>
      <c r="L6851" s="369">
        <f>+IF((C6851&gt;='Resultats - informe'!$E$16)*(C6851&lt;='Resultats - informe'!$G$16),1,0)</f>
        <v>1</v>
      </c>
      <c r="M6851" s="369" cm="1">
        <f t="array" ref="M6851">+_xlfn.IFS((C6851&gt;='Resultats - informe'!$D$26)*(C6851&lt;='Resultats - informe'!$E$26),0,(C6851&gt;='Resultats - informe'!$D$27)*(C6851&lt;='Resultats - informe'!$E$27),0,(C6851&gt;='Resultats - informe'!$D$28)*(C6851&lt;='Resultats - informe'!$E$28),0,(C6851&gt;='Resultats - informe'!$D$29)*(C6851&lt;='Resultats - informe'!$E$29),0,1,1)</f>
        <v>0</v>
      </c>
      <c r="N6851" s="366">
        <f>+VLOOKUP(D6851,'Resultats - informe'!$Y$18:$AG$42,'Introducció dades consum'!K6851+1,0)</f>
        <v>0</v>
      </c>
      <c r="O6851" s="370" cm="1">
        <f t="array" ref="O6851">+_xlfn.SWITCH(MONTH(C6851),1,1,2,1,3,1,4,2,5,2,6,3,7,3,8,3,9,3,10,2,11,2,12,1,2)</f>
        <v>1</v>
      </c>
      <c r="P6851" s="43"/>
    </row>
    <row r="6852" spans="1:16" ht="18" x14ac:dyDescent="0.35">
      <c r="A6852" s="9"/>
      <c r="C6852" s="393"/>
      <c r="E6852" s="394"/>
      <c r="F6852" s="394"/>
      <c r="G6852" s="394"/>
      <c r="I6852" s="368">
        <f t="shared" si="324"/>
        <v>0</v>
      </c>
      <c r="J6852" s="365">
        <f t="shared" si="325"/>
        <v>0</v>
      </c>
      <c r="K6852" s="369">
        <f t="shared" si="326"/>
        <v>6</v>
      </c>
      <c r="L6852" s="369">
        <f>+IF((C6852&gt;='Resultats - informe'!$E$16)*(C6852&lt;='Resultats - informe'!$G$16),1,0)</f>
        <v>1</v>
      </c>
      <c r="M6852" s="369" cm="1">
        <f t="array" ref="M6852">+_xlfn.IFS((C6852&gt;='Resultats - informe'!$D$26)*(C6852&lt;='Resultats - informe'!$E$26),0,(C6852&gt;='Resultats - informe'!$D$27)*(C6852&lt;='Resultats - informe'!$E$27),0,(C6852&gt;='Resultats - informe'!$D$28)*(C6852&lt;='Resultats - informe'!$E$28),0,(C6852&gt;='Resultats - informe'!$D$29)*(C6852&lt;='Resultats - informe'!$E$29),0,1,1)</f>
        <v>0</v>
      </c>
      <c r="N6852" s="366">
        <f>+VLOOKUP(D6852,'Resultats - informe'!$Y$18:$AG$42,'Introducció dades consum'!K6852+1,0)</f>
        <v>0</v>
      </c>
      <c r="O6852" s="370" cm="1">
        <f t="array" ref="O6852">+_xlfn.SWITCH(MONTH(C6852),1,1,2,1,3,1,4,2,5,2,6,3,7,3,8,3,9,3,10,2,11,2,12,1,2)</f>
        <v>1</v>
      </c>
      <c r="P6852" s="43"/>
    </row>
    <row r="6853" spans="1:16" ht="18" x14ac:dyDescent="0.35">
      <c r="A6853" s="9"/>
      <c r="C6853" s="393"/>
      <c r="E6853" s="394"/>
      <c r="F6853" s="394"/>
      <c r="G6853" s="394"/>
      <c r="I6853" s="368">
        <f t="shared" si="324"/>
        <v>0</v>
      </c>
      <c r="J6853" s="365">
        <f t="shared" si="325"/>
        <v>0</v>
      </c>
      <c r="K6853" s="369">
        <f t="shared" si="326"/>
        <v>6</v>
      </c>
      <c r="L6853" s="369">
        <f>+IF((C6853&gt;='Resultats - informe'!$E$16)*(C6853&lt;='Resultats - informe'!$G$16),1,0)</f>
        <v>1</v>
      </c>
      <c r="M6853" s="369" cm="1">
        <f t="array" ref="M6853">+_xlfn.IFS((C6853&gt;='Resultats - informe'!$D$26)*(C6853&lt;='Resultats - informe'!$E$26),0,(C6853&gt;='Resultats - informe'!$D$27)*(C6853&lt;='Resultats - informe'!$E$27),0,(C6853&gt;='Resultats - informe'!$D$28)*(C6853&lt;='Resultats - informe'!$E$28),0,(C6853&gt;='Resultats - informe'!$D$29)*(C6853&lt;='Resultats - informe'!$E$29),0,1,1)</f>
        <v>0</v>
      </c>
      <c r="N6853" s="366">
        <f>+VLOOKUP(D6853,'Resultats - informe'!$Y$18:$AG$42,'Introducció dades consum'!K6853+1,0)</f>
        <v>0</v>
      </c>
      <c r="O6853" s="370" cm="1">
        <f t="array" ref="O6853">+_xlfn.SWITCH(MONTH(C6853),1,1,2,1,3,1,4,2,5,2,6,3,7,3,8,3,9,3,10,2,11,2,12,1,2)</f>
        <v>1</v>
      </c>
      <c r="P6853" s="43"/>
    </row>
    <row r="6854" spans="1:16" ht="18" x14ac:dyDescent="0.35">
      <c r="A6854" s="9"/>
      <c r="C6854" s="393"/>
      <c r="E6854" s="394"/>
      <c r="F6854" s="394"/>
      <c r="G6854" s="394"/>
      <c r="I6854" s="368">
        <f t="shared" si="324"/>
        <v>0</v>
      </c>
      <c r="J6854" s="365">
        <f t="shared" si="325"/>
        <v>0</v>
      </c>
      <c r="K6854" s="369">
        <f t="shared" si="326"/>
        <v>6</v>
      </c>
      <c r="L6854" s="369">
        <f>+IF((C6854&gt;='Resultats - informe'!$E$16)*(C6854&lt;='Resultats - informe'!$G$16),1,0)</f>
        <v>1</v>
      </c>
      <c r="M6854" s="369" cm="1">
        <f t="array" ref="M6854">+_xlfn.IFS((C6854&gt;='Resultats - informe'!$D$26)*(C6854&lt;='Resultats - informe'!$E$26),0,(C6854&gt;='Resultats - informe'!$D$27)*(C6854&lt;='Resultats - informe'!$E$27),0,(C6854&gt;='Resultats - informe'!$D$28)*(C6854&lt;='Resultats - informe'!$E$28),0,(C6854&gt;='Resultats - informe'!$D$29)*(C6854&lt;='Resultats - informe'!$E$29),0,1,1)</f>
        <v>0</v>
      </c>
      <c r="N6854" s="366">
        <f>+VLOOKUP(D6854,'Resultats - informe'!$Y$18:$AG$42,'Introducció dades consum'!K6854+1,0)</f>
        <v>0</v>
      </c>
      <c r="O6854" s="370" cm="1">
        <f t="array" ref="O6854">+_xlfn.SWITCH(MONTH(C6854),1,1,2,1,3,1,4,2,5,2,6,3,7,3,8,3,9,3,10,2,11,2,12,1,2)</f>
        <v>1</v>
      </c>
      <c r="P6854" s="43"/>
    </row>
    <row r="6855" spans="1:16" ht="18" x14ac:dyDescent="0.35">
      <c r="A6855" s="9"/>
      <c r="C6855" s="393"/>
      <c r="E6855" s="394"/>
      <c r="F6855" s="394"/>
      <c r="G6855" s="394"/>
      <c r="I6855" s="368">
        <f t="shared" si="324"/>
        <v>0</v>
      </c>
      <c r="J6855" s="365">
        <f t="shared" si="325"/>
        <v>0</v>
      </c>
      <c r="K6855" s="369">
        <f t="shared" si="326"/>
        <v>6</v>
      </c>
      <c r="L6855" s="369">
        <f>+IF((C6855&gt;='Resultats - informe'!$E$16)*(C6855&lt;='Resultats - informe'!$G$16),1,0)</f>
        <v>1</v>
      </c>
      <c r="M6855" s="369" cm="1">
        <f t="array" ref="M6855">+_xlfn.IFS((C6855&gt;='Resultats - informe'!$D$26)*(C6855&lt;='Resultats - informe'!$E$26),0,(C6855&gt;='Resultats - informe'!$D$27)*(C6855&lt;='Resultats - informe'!$E$27),0,(C6855&gt;='Resultats - informe'!$D$28)*(C6855&lt;='Resultats - informe'!$E$28),0,(C6855&gt;='Resultats - informe'!$D$29)*(C6855&lt;='Resultats - informe'!$E$29),0,1,1)</f>
        <v>0</v>
      </c>
      <c r="N6855" s="366">
        <f>+VLOOKUP(D6855,'Resultats - informe'!$Y$18:$AG$42,'Introducció dades consum'!K6855+1,0)</f>
        <v>0</v>
      </c>
      <c r="O6855" s="370" cm="1">
        <f t="array" ref="O6855">+_xlfn.SWITCH(MONTH(C6855),1,1,2,1,3,1,4,2,5,2,6,3,7,3,8,3,9,3,10,2,11,2,12,1,2)</f>
        <v>1</v>
      </c>
      <c r="P6855" s="43"/>
    </row>
    <row r="6856" spans="1:16" ht="18" x14ac:dyDescent="0.35">
      <c r="A6856" s="9"/>
      <c r="C6856" s="393"/>
      <c r="E6856" s="394"/>
      <c r="F6856" s="394"/>
      <c r="G6856" s="394"/>
      <c r="I6856" s="368">
        <f t="shared" si="324"/>
        <v>0</v>
      </c>
      <c r="J6856" s="365">
        <f t="shared" si="325"/>
        <v>0</v>
      </c>
      <c r="K6856" s="369">
        <f t="shared" si="326"/>
        <v>6</v>
      </c>
      <c r="L6856" s="369">
        <f>+IF((C6856&gt;='Resultats - informe'!$E$16)*(C6856&lt;='Resultats - informe'!$G$16),1,0)</f>
        <v>1</v>
      </c>
      <c r="M6856" s="369" cm="1">
        <f t="array" ref="M6856">+_xlfn.IFS((C6856&gt;='Resultats - informe'!$D$26)*(C6856&lt;='Resultats - informe'!$E$26),0,(C6856&gt;='Resultats - informe'!$D$27)*(C6856&lt;='Resultats - informe'!$E$27),0,(C6856&gt;='Resultats - informe'!$D$28)*(C6856&lt;='Resultats - informe'!$E$28),0,(C6856&gt;='Resultats - informe'!$D$29)*(C6856&lt;='Resultats - informe'!$E$29),0,1,1)</f>
        <v>0</v>
      </c>
      <c r="N6856" s="366">
        <f>+VLOOKUP(D6856,'Resultats - informe'!$Y$18:$AG$42,'Introducció dades consum'!K6856+1,0)</f>
        <v>0</v>
      </c>
      <c r="O6856" s="370" cm="1">
        <f t="array" ref="O6856">+_xlfn.SWITCH(MONTH(C6856),1,1,2,1,3,1,4,2,5,2,6,3,7,3,8,3,9,3,10,2,11,2,12,1,2)</f>
        <v>1</v>
      </c>
      <c r="P6856" s="43"/>
    </row>
    <row r="6857" spans="1:16" ht="18" x14ac:dyDescent="0.35">
      <c r="A6857" s="9"/>
      <c r="C6857" s="393"/>
      <c r="E6857" s="394"/>
      <c r="F6857" s="394"/>
      <c r="G6857" s="394"/>
      <c r="I6857" s="368">
        <f t="shared" si="324"/>
        <v>0</v>
      </c>
      <c r="J6857" s="365">
        <f t="shared" si="325"/>
        <v>0</v>
      </c>
      <c r="K6857" s="369">
        <f t="shared" si="326"/>
        <v>6</v>
      </c>
      <c r="L6857" s="369">
        <f>+IF((C6857&gt;='Resultats - informe'!$E$16)*(C6857&lt;='Resultats - informe'!$G$16),1,0)</f>
        <v>1</v>
      </c>
      <c r="M6857" s="369" cm="1">
        <f t="array" ref="M6857">+_xlfn.IFS((C6857&gt;='Resultats - informe'!$D$26)*(C6857&lt;='Resultats - informe'!$E$26),0,(C6857&gt;='Resultats - informe'!$D$27)*(C6857&lt;='Resultats - informe'!$E$27),0,(C6857&gt;='Resultats - informe'!$D$28)*(C6857&lt;='Resultats - informe'!$E$28),0,(C6857&gt;='Resultats - informe'!$D$29)*(C6857&lt;='Resultats - informe'!$E$29),0,1,1)</f>
        <v>0</v>
      </c>
      <c r="N6857" s="366">
        <f>+VLOOKUP(D6857,'Resultats - informe'!$Y$18:$AG$42,'Introducció dades consum'!K6857+1,0)</f>
        <v>0</v>
      </c>
      <c r="O6857" s="370" cm="1">
        <f t="array" ref="O6857">+_xlfn.SWITCH(MONTH(C6857),1,1,2,1,3,1,4,2,5,2,6,3,7,3,8,3,9,3,10,2,11,2,12,1,2)</f>
        <v>1</v>
      </c>
      <c r="P6857" s="43"/>
    </row>
    <row r="6858" spans="1:16" ht="18" x14ac:dyDescent="0.35">
      <c r="A6858" s="9"/>
      <c r="C6858" s="393"/>
      <c r="E6858" s="394"/>
      <c r="F6858" s="394"/>
      <c r="G6858" s="394"/>
      <c r="I6858" s="368">
        <f t="shared" si="324"/>
        <v>0</v>
      </c>
      <c r="J6858" s="365">
        <f t="shared" si="325"/>
        <v>0</v>
      </c>
      <c r="K6858" s="369">
        <f t="shared" si="326"/>
        <v>6</v>
      </c>
      <c r="L6858" s="369">
        <f>+IF((C6858&gt;='Resultats - informe'!$E$16)*(C6858&lt;='Resultats - informe'!$G$16),1,0)</f>
        <v>1</v>
      </c>
      <c r="M6858" s="369" cm="1">
        <f t="array" ref="M6858">+_xlfn.IFS((C6858&gt;='Resultats - informe'!$D$26)*(C6858&lt;='Resultats - informe'!$E$26),0,(C6858&gt;='Resultats - informe'!$D$27)*(C6858&lt;='Resultats - informe'!$E$27),0,(C6858&gt;='Resultats - informe'!$D$28)*(C6858&lt;='Resultats - informe'!$E$28),0,(C6858&gt;='Resultats - informe'!$D$29)*(C6858&lt;='Resultats - informe'!$E$29),0,1,1)</f>
        <v>0</v>
      </c>
      <c r="N6858" s="366">
        <f>+VLOOKUP(D6858,'Resultats - informe'!$Y$18:$AG$42,'Introducció dades consum'!K6858+1,0)</f>
        <v>0</v>
      </c>
      <c r="O6858" s="370" cm="1">
        <f t="array" ref="O6858">+_xlfn.SWITCH(MONTH(C6858),1,1,2,1,3,1,4,2,5,2,6,3,7,3,8,3,9,3,10,2,11,2,12,1,2)</f>
        <v>1</v>
      </c>
      <c r="P6858" s="43"/>
    </row>
    <row r="6859" spans="1:16" ht="18" x14ac:dyDescent="0.35">
      <c r="A6859" s="9"/>
      <c r="C6859" s="393"/>
      <c r="E6859" s="394"/>
      <c r="F6859" s="394"/>
      <c r="G6859" s="394"/>
      <c r="I6859" s="368">
        <f t="shared" si="324"/>
        <v>0</v>
      </c>
      <c r="J6859" s="365">
        <f t="shared" si="325"/>
        <v>0</v>
      </c>
      <c r="K6859" s="369">
        <f t="shared" si="326"/>
        <v>6</v>
      </c>
      <c r="L6859" s="369">
        <f>+IF((C6859&gt;='Resultats - informe'!$E$16)*(C6859&lt;='Resultats - informe'!$G$16),1,0)</f>
        <v>1</v>
      </c>
      <c r="M6859" s="369" cm="1">
        <f t="array" ref="M6859">+_xlfn.IFS((C6859&gt;='Resultats - informe'!$D$26)*(C6859&lt;='Resultats - informe'!$E$26),0,(C6859&gt;='Resultats - informe'!$D$27)*(C6859&lt;='Resultats - informe'!$E$27),0,(C6859&gt;='Resultats - informe'!$D$28)*(C6859&lt;='Resultats - informe'!$E$28),0,(C6859&gt;='Resultats - informe'!$D$29)*(C6859&lt;='Resultats - informe'!$E$29),0,1,1)</f>
        <v>0</v>
      </c>
      <c r="N6859" s="366">
        <f>+VLOOKUP(D6859,'Resultats - informe'!$Y$18:$AG$42,'Introducció dades consum'!K6859+1,0)</f>
        <v>0</v>
      </c>
      <c r="O6859" s="370" cm="1">
        <f t="array" ref="O6859">+_xlfn.SWITCH(MONTH(C6859),1,1,2,1,3,1,4,2,5,2,6,3,7,3,8,3,9,3,10,2,11,2,12,1,2)</f>
        <v>1</v>
      </c>
      <c r="P6859" s="43"/>
    </row>
    <row r="6860" spans="1:16" ht="18" x14ac:dyDescent="0.35">
      <c r="A6860" s="9"/>
      <c r="C6860" s="393"/>
      <c r="E6860" s="394"/>
      <c r="F6860" s="394"/>
      <c r="G6860" s="394"/>
      <c r="I6860" s="368">
        <f t="shared" si="324"/>
        <v>0</v>
      </c>
      <c r="J6860" s="365">
        <f t="shared" si="325"/>
        <v>0</v>
      </c>
      <c r="K6860" s="369">
        <f t="shared" si="326"/>
        <v>6</v>
      </c>
      <c r="L6860" s="369">
        <f>+IF((C6860&gt;='Resultats - informe'!$E$16)*(C6860&lt;='Resultats - informe'!$G$16),1,0)</f>
        <v>1</v>
      </c>
      <c r="M6860" s="369" cm="1">
        <f t="array" ref="M6860">+_xlfn.IFS((C6860&gt;='Resultats - informe'!$D$26)*(C6860&lt;='Resultats - informe'!$E$26),0,(C6860&gt;='Resultats - informe'!$D$27)*(C6860&lt;='Resultats - informe'!$E$27),0,(C6860&gt;='Resultats - informe'!$D$28)*(C6860&lt;='Resultats - informe'!$E$28),0,(C6860&gt;='Resultats - informe'!$D$29)*(C6860&lt;='Resultats - informe'!$E$29),0,1,1)</f>
        <v>0</v>
      </c>
      <c r="N6860" s="366">
        <f>+VLOOKUP(D6860,'Resultats - informe'!$Y$18:$AG$42,'Introducció dades consum'!K6860+1,0)</f>
        <v>0</v>
      </c>
      <c r="O6860" s="370" cm="1">
        <f t="array" ref="O6860">+_xlfn.SWITCH(MONTH(C6860),1,1,2,1,3,1,4,2,5,2,6,3,7,3,8,3,9,3,10,2,11,2,12,1,2)</f>
        <v>1</v>
      </c>
      <c r="P6860" s="43"/>
    </row>
    <row r="6861" spans="1:16" ht="18" x14ac:dyDescent="0.35">
      <c r="A6861" s="9"/>
      <c r="C6861" s="393"/>
      <c r="E6861" s="394"/>
      <c r="F6861" s="394"/>
      <c r="G6861" s="394"/>
      <c r="I6861" s="368">
        <f t="shared" si="324"/>
        <v>0</v>
      </c>
      <c r="J6861" s="365">
        <f t="shared" si="325"/>
        <v>0</v>
      </c>
      <c r="K6861" s="369">
        <f t="shared" si="326"/>
        <v>6</v>
      </c>
      <c r="L6861" s="369">
        <f>+IF((C6861&gt;='Resultats - informe'!$E$16)*(C6861&lt;='Resultats - informe'!$G$16),1,0)</f>
        <v>1</v>
      </c>
      <c r="M6861" s="369" cm="1">
        <f t="array" ref="M6861">+_xlfn.IFS((C6861&gt;='Resultats - informe'!$D$26)*(C6861&lt;='Resultats - informe'!$E$26),0,(C6861&gt;='Resultats - informe'!$D$27)*(C6861&lt;='Resultats - informe'!$E$27),0,(C6861&gt;='Resultats - informe'!$D$28)*(C6861&lt;='Resultats - informe'!$E$28),0,(C6861&gt;='Resultats - informe'!$D$29)*(C6861&lt;='Resultats - informe'!$E$29),0,1,1)</f>
        <v>0</v>
      </c>
      <c r="N6861" s="366">
        <f>+VLOOKUP(D6861,'Resultats - informe'!$Y$18:$AG$42,'Introducció dades consum'!K6861+1,0)</f>
        <v>0</v>
      </c>
      <c r="O6861" s="370" cm="1">
        <f t="array" ref="O6861">+_xlfn.SWITCH(MONTH(C6861),1,1,2,1,3,1,4,2,5,2,6,3,7,3,8,3,9,3,10,2,11,2,12,1,2)</f>
        <v>1</v>
      </c>
      <c r="P6861" s="43"/>
    </row>
    <row r="6862" spans="1:16" ht="18" x14ac:dyDescent="0.35">
      <c r="A6862" s="9"/>
      <c r="C6862" s="393"/>
      <c r="E6862" s="394"/>
      <c r="F6862" s="394"/>
      <c r="G6862" s="394"/>
      <c r="I6862" s="368">
        <f t="shared" si="324"/>
        <v>0</v>
      </c>
      <c r="J6862" s="365">
        <f t="shared" si="325"/>
        <v>0</v>
      </c>
      <c r="K6862" s="369">
        <f t="shared" si="326"/>
        <v>6</v>
      </c>
      <c r="L6862" s="369">
        <f>+IF((C6862&gt;='Resultats - informe'!$E$16)*(C6862&lt;='Resultats - informe'!$G$16),1,0)</f>
        <v>1</v>
      </c>
      <c r="M6862" s="369" cm="1">
        <f t="array" ref="M6862">+_xlfn.IFS((C6862&gt;='Resultats - informe'!$D$26)*(C6862&lt;='Resultats - informe'!$E$26),0,(C6862&gt;='Resultats - informe'!$D$27)*(C6862&lt;='Resultats - informe'!$E$27),0,(C6862&gt;='Resultats - informe'!$D$28)*(C6862&lt;='Resultats - informe'!$E$28),0,(C6862&gt;='Resultats - informe'!$D$29)*(C6862&lt;='Resultats - informe'!$E$29),0,1,1)</f>
        <v>0</v>
      </c>
      <c r="N6862" s="366">
        <f>+VLOOKUP(D6862,'Resultats - informe'!$Y$18:$AG$42,'Introducció dades consum'!K6862+1,0)</f>
        <v>0</v>
      </c>
      <c r="O6862" s="370" cm="1">
        <f t="array" ref="O6862">+_xlfn.SWITCH(MONTH(C6862),1,1,2,1,3,1,4,2,5,2,6,3,7,3,8,3,9,3,10,2,11,2,12,1,2)</f>
        <v>1</v>
      </c>
      <c r="P6862" s="43"/>
    </row>
    <row r="6863" spans="1:16" ht="18" x14ac:dyDescent="0.35">
      <c r="A6863" s="9"/>
      <c r="C6863" s="393"/>
      <c r="E6863" s="394"/>
      <c r="F6863" s="394"/>
      <c r="G6863" s="394"/>
      <c r="I6863" s="368">
        <f t="shared" si="324"/>
        <v>0</v>
      </c>
      <c r="J6863" s="365">
        <f t="shared" si="325"/>
        <v>0</v>
      </c>
      <c r="K6863" s="369">
        <f t="shared" si="326"/>
        <v>6</v>
      </c>
      <c r="L6863" s="369">
        <f>+IF((C6863&gt;='Resultats - informe'!$E$16)*(C6863&lt;='Resultats - informe'!$G$16),1,0)</f>
        <v>1</v>
      </c>
      <c r="M6863" s="369" cm="1">
        <f t="array" ref="M6863">+_xlfn.IFS((C6863&gt;='Resultats - informe'!$D$26)*(C6863&lt;='Resultats - informe'!$E$26),0,(C6863&gt;='Resultats - informe'!$D$27)*(C6863&lt;='Resultats - informe'!$E$27),0,(C6863&gt;='Resultats - informe'!$D$28)*(C6863&lt;='Resultats - informe'!$E$28),0,(C6863&gt;='Resultats - informe'!$D$29)*(C6863&lt;='Resultats - informe'!$E$29),0,1,1)</f>
        <v>0</v>
      </c>
      <c r="N6863" s="366">
        <f>+VLOOKUP(D6863,'Resultats - informe'!$Y$18:$AG$42,'Introducció dades consum'!K6863+1,0)</f>
        <v>0</v>
      </c>
      <c r="O6863" s="370" cm="1">
        <f t="array" ref="O6863">+_xlfn.SWITCH(MONTH(C6863),1,1,2,1,3,1,4,2,5,2,6,3,7,3,8,3,9,3,10,2,11,2,12,1,2)</f>
        <v>1</v>
      </c>
      <c r="P6863" s="43"/>
    </row>
    <row r="6864" spans="1:16" ht="18" x14ac:dyDescent="0.35">
      <c r="A6864" s="9"/>
      <c r="C6864" s="393"/>
      <c r="E6864" s="394"/>
      <c r="F6864" s="394"/>
      <c r="G6864" s="394"/>
      <c r="I6864" s="368">
        <f t="shared" si="324"/>
        <v>0</v>
      </c>
      <c r="J6864" s="365">
        <f t="shared" si="325"/>
        <v>0</v>
      </c>
      <c r="K6864" s="369">
        <f t="shared" si="326"/>
        <v>6</v>
      </c>
      <c r="L6864" s="369">
        <f>+IF((C6864&gt;='Resultats - informe'!$E$16)*(C6864&lt;='Resultats - informe'!$G$16),1,0)</f>
        <v>1</v>
      </c>
      <c r="M6864" s="369" cm="1">
        <f t="array" ref="M6864">+_xlfn.IFS((C6864&gt;='Resultats - informe'!$D$26)*(C6864&lt;='Resultats - informe'!$E$26),0,(C6864&gt;='Resultats - informe'!$D$27)*(C6864&lt;='Resultats - informe'!$E$27),0,(C6864&gt;='Resultats - informe'!$D$28)*(C6864&lt;='Resultats - informe'!$E$28),0,(C6864&gt;='Resultats - informe'!$D$29)*(C6864&lt;='Resultats - informe'!$E$29),0,1,1)</f>
        <v>0</v>
      </c>
      <c r="N6864" s="366">
        <f>+VLOOKUP(D6864,'Resultats - informe'!$Y$18:$AG$42,'Introducció dades consum'!K6864+1,0)</f>
        <v>0</v>
      </c>
      <c r="O6864" s="370" cm="1">
        <f t="array" ref="O6864">+_xlfn.SWITCH(MONTH(C6864),1,1,2,1,3,1,4,2,5,2,6,3,7,3,8,3,9,3,10,2,11,2,12,1,2)</f>
        <v>1</v>
      </c>
      <c r="P6864" s="43"/>
    </row>
    <row r="6865" spans="1:16" ht="18" x14ac:dyDescent="0.35">
      <c r="A6865" s="9"/>
      <c r="C6865" s="393"/>
      <c r="E6865" s="394"/>
      <c r="F6865" s="394"/>
      <c r="G6865" s="394"/>
      <c r="I6865" s="368">
        <f t="shared" si="324"/>
        <v>0</v>
      </c>
      <c r="J6865" s="365">
        <f t="shared" si="325"/>
        <v>0</v>
      </c>
      <c r="K6865" s="369">
        <f t="shared" si="326"/>
        <v>6</v>
      </c>
      <c r="L6865" s="369">
        <f>+IF((C6865&gt;='Resultats - informe'!$E$16)*(C6865&lt;='Resultats - informe'!$G$16),1,0)</f>
        <v>1</v>
      </c>
      <c r="M6865" s="369" cm="1">
        <f t="array" ref="M6865">+_xlfn.IFS((C6865&gt;='Resultats - informe'!$D$26)*(C6865&lt;='Resultats - informe'!$E$26),0,(C6865&gt;='Resultats - informe'!$D$27)*(C6865&lt;='Resultats - informe'!$E$27),0,(C6865&gt;='Resultats - informe'!$D$28)*(C6865&lt;='Resultats - informe'!$E$28),0,(C6865&gt;='Resultats - informe'!$D$29)*(C6865&lt;='Resultats - informe'!$E$29),0,1,1)</f>
        <v>0</v>
      </c>
      <c r="N6865" s="366">
        <f>+VLOOKUP(D6865,'Resultats - informe'!$Y$18:$AG$42,'Introducció dades consum'!K6865+1,0)</f>
        <v>0</v>
      </c>
      <c r="O6865" s="370" cm="1">
        <f t="array" ref="O6865">+_xlfn.SWITCH(MONTH(C6865),1,1,2,1,3,1,4,2,5,2,6,3,7,3,8,3,9,3,10,2,11,2,12,1,2)</f>
        <v>1</v>
      </c>
      <c r="P6865" s="43"/>
    </row>
    <row r="6866" spans="1:16" ht="18" x14ac:dyDescent="0.35">
      <c r="A6866" s="9"/>
      <c r="C6866" s="393"/>
      <c r="E6866" s="394"/>
      <c r="F6866" s="394"/>
      <c r="G6866" s="394"/>
      <c r="I6866" s="368">
        <f t="shared" ref="I6866:I6929" si="327">+E6866+G6866</f>
        <v>0</v>
      </c>
      <c r="J6866" s="365">
        <f t="shared" ref="J6866:J6929" si="328">+C6866</f>
        <v>0</v>
      </c>
      <c r="K6866" s="369">
        <f t="shared" ref="K6866:K6929" si="329">+WEEKDAY(C6866,2)</f>
        <v>6</v>
      </c>
      <c r="L6866" s="369">
        <f>+IF((C6866&gt;='Resultats - informe'!$E$16)*(C6866&lt;='Resultats - informe'!$G$16),1,0)</f>
        <v>1</v>
      </c>
      <c r="M6866" s="369" cm="1">
        <f t="array" ref="M6866">+_xlfn.IFS((C6866&gt;='Resultats - informe'!$D$26)*(C6866&lt;='Resultats - informe'!$E$26),0,(C6866&gt;='Resultats - informe'!$D$27)*(C6866&lt;='Resultats - informe'!$E$27),0,(C6866&gt;='Resultats - informe'!$D$28)*(C6866&lt;='Resultats - informe'!$E$28),0,(C6866&gt;='Resultats - informe'!$D$29)*(C6866&lt;='Resultats - informe'!$E$29),0,1,1)</f>
        <v>0</v>
      </c>
      <c r="N6866" s="366">
        <f>+VLOOKUP(D6866,'Resultats - informe'!$Y$18:$AG$42,'Introducció dades consum'!K6866+1,0)</f>
        <v>0</v>
      </c>
      <c r="O6866" s="370" cm="1">
        <f t="array" ref="O6866">+_xlfn.SWITCH(MONTH(C6866),1,1,2,1,3,1,4,2,5,2,6,3,7,3,8,3,9,3,10,2,11,2,12,1,2)</f>
        <v>1</v>
      </c>
      <c r="P6866" s="43"/>
    </row>
    <row r="6867" spans="1:16" ht="18" x14ac:dyDescent="0.35">
      <c r="A6867" s="9"/>
      <c r="C6867" s="393"/>
      <c r="E6867" s="394"/>
      <c r="F6867" s="394"/>
      <c r="G6867" s="394"/>
      <c r="I6867" s="368">
        <f t="shared" si="327"/>
        <v>0</v>
      </c>
      <c r="J6867" s="365">
        <f t="shared" si="328"/>
        <v>0</v>
      </c>
      <c r="K6867" s="369">
        <f t="shared" si="329"/>
        <v>6</v>
      </c>
      <c r="L6867" s="369">
        <f>+IF((C6867&gt;='Resultats - informe'!$E$16)*(C6867&lt;='Resultats - informe'!$G$16),1,0)</f>
        <v>1</v>
      </c>
      <c r="M6867" s="369" cm="1">
        <f t="array" ref="M6867">+_xlfn.IFS((C6867&gt;='Resultats - informe'!$D$26)*(C6867&lt;='Resultats - informe'!$E$26),0,(C6867&gt;='Resultats - informe'!$D$27)*(C6867&lt;='Resultats - informe'!$E$27),0,(C6867&gt;='Resultats - informe'!$D$28)*(C6867&lt;='Resultats - informe'!$E$28),0,(C6867&gt;='Resultats - informe'!$D$29)*(C6867&lt;='Resultats - informe'!$E$29),0,1,1)</f>
        <v>0</v>
      </c>
      <c r="N6867" s="366">
        <f>+VLOOKUP(D6867,'Resultats - informe'!$Y$18:$AG$42,'Introducció dades consum'!K6867+1,0)</f>
        <v>0</v>
      </c>
      <c r="O6867" s="370" cm="1">
        <f t="array" ref="O6867">+_xlfn.SWITCH(MONTH(C6867),1,1,2,1,3,1,4,2,5,2,6,3,7,3,8,3,9,3,10,2,11,2,12,1,2)</f>
        <v>1</v>
      </c>
      <c r="P6867" s="43"/>
    </row>
    <row r="6868" spans="1:16" ht="18" x14ac:dyDescent="0.35">
      <c r="A6868" s="9"/>
      <c r="C6868" s="393"/>
      <c r="E6868" s="394"/>
      <c r="F6868" s="394"/>
      <c r="G6868" s="394"/>
      <c r="I6868" s="368">
        <f t="shared" si="327"/>
        <v>0</v>
      </c>
      <c r="J6868" s="365">
        <f t="shared" si="328"/>
        <v>0</v>
      </c>
      <c r="K6868" s="369">
        <f t="shared" si="329"/>
        <v>6</v>
      </c>
      <c r="L6868" s="369">
        <f>+IF((C6868&gt;='Resultats - informe'!$E$16)*(C6868&lt;='Resultats - informe'!$G$16),1,0)</f>
        <v>1</v>
      </c>
      <c r="M6868" s="369" cm="1">
        <f t="array" ref="M6868">+_xlfn.IFS((C6868&gt;='Resultats - informe'!$D$26)*(C6868&lt;='Resultats - informe'!$E$26),0,(C6868&gt;='Resultats - informe'!$D$27)*(C6868&lt;='Resultats - informe'!$E$27),0,(C6868&gt;='Resultats - informe'!$D$28)*(C6868&lt;='Resultats - informe'!$E$28),0,(C6868&gt;='Resultats - informe'!$D$29)*(C6868&lt;='Resultats - informe'!$E$29),0,1,1)</f>
        <v>0</v>
      </c>
      <c r="N6868" s="366">
        <f>+VLOOKUP(D6868,'Resultats - informe'!$Y$18:$AG$42,'Introducció dades consum'!K6868+1,0)</f>
        <v>0</v>
      </c>
      <c r="O6868" s="370" cm="1">
        <f t="array" ref="O6868">+_xlfn.SWITCH(MONTH(C6868),1,1,2,1,3,1,4,2,5,2,6,3,7,3,8,3,9,3,10,2,11,2,12,1,2)</f>
        <v>1</v>
      </c>
      <c r="P6868" s="43"/>
    </row>
    <row r="6869" spans="1:16" ht="18" x14ac:dyDescent="0.35">
      <c r="A6869" s="9"/>
      <c r="C6869" s="393"/>
      <c r="E6869" s="394"/>
      <c r="F6869" s="394"/>
      <c r="G6869" s="394"/>
      <c r="I6869" s="368">
        <f t="shared" si="327"/>
        <v>0</v>
      </c>
      <c r="J6869" s="365">
        <f t="shared" si="328"/>
        <v>0</v>
      </c>
      <c r="K6869" s="369">
        <f t="shared" si="329"/>
        <v>6</v>
      </c>
      <c r="L6869" s="369">
        <f>+IF((C6869&gt;='Resultats - informe'!$E$16)*(C6869&lt;='Resultats - informe'!$G$16),1,0)</f>
        <v>1</v>
      </c>
      <c r="M6869" s="369" cm="1">
        <f t="array" ref="M6869">+_xlfn.IFS((C6869&gt;='Resultats - informe'!$D$26)*(C6869&lt;='Resultats - informe'!$E$26),0,(C6869&gt;='Resultats - informe'!$D$27)*(C6869&lt;='Resultats - informe'!$E$27),0,(C6869&gt;='Resultats - informe'!$D$28)*(C6869&lt;='Resultats - informe'!$E$28),0,(C6869&gt;='Resultats - informe'!$D$29)*(C6869&lt;='Resultats - informe'!$E$29),0,1,1)</f>
        <v>0</v>
      </c>
      <c r="N6869" s="366">
        <f>+VLOOKUP(D6869,'Resultats - informe'!$Y$18:$AG$42,'Introducció dades consum'!K6869+1,0)</f>
        <v>0</v>
      </c>
      <c r="O6869" s="370" cm="1">
        <f t="array" ref="O6869">+_xlfn.SWITCH(MONTH(C6869),1,1,2,1,3,1,4,2,5,2,6,3,7,3,8,3,9,3,10,2,11,2,12,1,2)</f>
        <v>1</v>
      </c>
      <c r="P6869" s="43"/>
    </row>
    <row r="6870" spans="1:16" ht="18" x14ac:dyDescent="0.35">
      <c r="A6870" s="9"/>
      <c r="C6870" s="393"/>
      <c r="E6870" s="394"/>
      <c r="F6870" s="394"/>
      <c r="G6870" s="394"/>
      <c r="I6870" s="368">
        <f t="shared" si="327"/>
        <v>0</v>
      </c>
      <c r="J6870" s="365">
        <f t="shared" si="328"/>
        <v>0</v>
      </c>
      <c r="K6870" s="369">
        <f t="shared" si="329"/>
        <v>6</v>
      </c>
      <c r="L6870" s="369">
        <f>+IF((C6870&gt;='Resultats - informe'!$E$16)*(C6870&lt;='Resultats - informe'!$G$16),1,0)</f>
        <v>1</v>
      </c>
      <c r="M6870" s="369" cm="1">
        <f t="array" ref="M6870">+_xlfn.IFS((C6870&gt;='Resultats - informe'!$D$26)*(C6870&lt;='Resultats - informe'!$E$26),0,(C6870&gt;='Resultats - informe'!$D$27)*(C6870&lt;='Resultats - informe'!$E$27),0,(C6870&gt;='Resultats - informe'!$D$28)*(C6870&lt;='Resultats - informe'!$E$28),0,(C6870&gt;='Resultats - informe'!$D$29)*(C6870&lt;='Resultats - informe'!$E$29),0,1,1)</f>
        <v>0</v>
      </c>
      <c r="N6870" s="366">
        <f>+VLOOKUP(D6870,'Resultats - informe'!$Y$18:$AG$42,'Introducció dades consum'!K6870+1,0)</f>
        <v>0</v>
      </c>
      <c r="O6870" s="370" cm="1">
        <f t="array" ref="O6870">+_xlfn.SWITCH(MONTH(C6870),1,1,2,1,3,1,4,2,5,2,6,3,7,3,8,3,9,3,10,2,11,2,12,1,2)</f>
        <v>1</v>
      </c>
      <c r="P6870" s="43"/>
    </row>
    <row r="6871" spans="1:16" ht="18" x14ac:dyDescent="0.35">
      <c r="A6871" s="9"/>
      <c r="C6871" s="393"/>
      <c r="E6871" s="394"/>
      <c r="F6871" s="394"/>
      <c r="G6871" s="394"/>
      <c r="I6871" s="368">
        <f t="shared" si="327"/>
        <v>0</v>
      </c>
      <c r="J6871" s="365">
        <f t="shared" si="328"/>
        <v>0</v>
      </c>
      <c r="K6871" s="369">
        <f t="shared" si="329"/>
        <v>6</v>
      </c>
      <c r="L6871" s="369">
        <f>+IF((C6871&gt;='Resultats - informe'!$E$16)*(C6871&lt;='Resultats - informe'!$G$16),1,0)</f>
        <v>1</v>
      </c>
      <c r="M6871" s="369" cm="1">
        <f t="array" ref="M6871">+_xlfn.IFS((C6871&gt;='Resultats - informe'!$D$26)*(C6871&lt;='Resultats - informe'!$E$26),0,(C6871&gt;='Resultats - informe'!$D$27)*(C6871&lt;='Resultats - informe'!$E$27),0,(C6871&gt;='Resultats - informe'!$D$28)*(C6871&lt;='Resultats - informe'!$E$28),0,(C6871&gt;='Resultats - informe'!$D$29)*(C6871&lt;='Resultats - informe'!$E$29),0,1,1)</f>
        <v>0</v>
      </c>
      <c r="N6871" s="366">
        <f>+VLOOKUP(D6871,'Resultats - informe'!$Y$18:$AG$42,'Introducció dades consum'!K6871+1,0)</f>
        <v>0</v>
      </c>
      <c r="O6871" s="370" cm="1">
        <f t="array" ref="O6871">+_xlfn.SWITCH(MONTH(C6871),1,1,2,1,3,1,4,2,5,2,6,3,7,3,8,3,9,3,10,2,11,2,12,1,2)</f>
        <v>1</v>
      </c>
      <c r="P6871" s="43"/>
    </row>
    <row r="6872" spans="1:16" ht="18" x14ac:dyDescent="0.35">
      <c r="A6872" s="9"/>
      <c r="C6872" s="393"/>
      <c r="E6872" s="394"/>
      <c r="F6872" s="394"/>
      <c r="G6872" s="394"/>
      <c r="I6872" s="368">
        <f t="shared" si="327"/>
        <v>0</v>
      </c>
      <c r="J6872" s="365">
        <f t="shared" si="328"/>
        <v>0</v>
      </c>
      <c r="K6872" s="369">
        <f t="shared" si="329"/>
        <v>6</v>
      </c>
      <c r="L6872" s="369">
        <f>+IF((C6872&gt;='Resultats - informe'!$E$16)*(C6872&lt;='Resultats - informe'!$G$16),1,0)</f>
        <v>1</v>
      </c>
      <c r="M6872" s="369" cm="1">
        <f t="array" ref="M6872">+_xlfn.IFS((C6872&gt;='Resultats - informe'!$D$26)*(C6872&lt;='Resultats - informe'!$E$26),0,(C6872&gt;='Resultats - informe'!$D$27)*(C6872&lt;='Resultats - informe'!$E$27),0,(C6872&gt;='Resultats - informe'!$D$28)*(C6872&lt;='Resultats - informe'!$E$28),0,(C6872&gt;='Resultats - informe'!$D$29)*(C6872&lt;='Resultats - informe'!$E$29),0,1,1)</f>
        <v>0</v>
      </c>
      <c r="N6872" s="366">
        <f>+VLOOKUP(D6872,'Resultats - informe'!$Y$18:$AG$42,'Introducció dades consum'!K6872+1,0)</f>
        <v>0</v>
      </c>
      <c r="O6872" s="370" cm="1">
        <f t="array" ref="O6872">+_xlfn.SWITCH(MONTH(C6872),1,1,2,1,3,1,4,2,5,2,6,3,7,3,8,3,9,3,10,2,11,2,12,1,2)</f>
        <v>1</v>
      </c>
      <c r="P6872" s="43"/>
    </row>
    <row r="6873" spans="1:16" ht="18" x14ac:dyDescent="0.35">
      <c r="A6873" s="9"/>
      <c r="C6873" s="393"/>
      <c r="E6873" s="394"/>
      <c r="F6873" s="394"/>
      <c r="G6873" s="394"/>
      <c r="I6873" s="368">
        <f t="shared" si="327"/>
        <v>0</v>
      </c>
      <c r="J6873" s="365">
        <f t="shared" si="328"/>
        <v>0</v>
      </c>
      <c r="K6873" s="369">
        <f t="shared" si="329"/>
        <v>6</v>
      </c>
      <c r="L6873" s="369">
        <f>+IF((C6873&gt;='Resultats - informe'!$E$16)*(C6873&lt;='Resultats - informe'!$G$16),1,0)</f>
        <v>1</v>
      </c>
      <c r="M6873" s="369" cm="1">
        <f t="array" ref="M6873">+_xlfn.IFS((C6873&gt;='Resultats - informe'!$D$26)*(C6873&lt;='Resultats - informe'!$E$26),0,(C6873&gt;='Resultats - informe'!$D$27)*(C6873&lt;='Resultats - informe'!$E$27),0,(C6873&gt;='Resultats - informe'!$D$28)*(C6873&lt;='Resultats - informe'!$E$28),0,(C6873&gt;='Resultats - informe'!$D$29)*(C6873&lt;='Resultats - informe'!$E$29),0,1,1)</f>
        <v>0</v>
      </c>
      <c r="N6873" s="366">
        <f>+VLOOKUP(D6873,'Resultats - informe'!$Y$18:$AG$42,'Introducció dades consum'!K6873+1,0)</f>
        <v>0</v>
      </c>
      <c r="O6873" s="370" cm="1">
        <f t="array" ref="O6873">+_xlfn.SWITCH(MONTH(C6873),1,1,2,1,3,1,4,2,5,2,6,3,7,3,8,3,9,3,10,2,11,2,12,1,2)</f>
        <v>1</v>
      </c>
      <c r="P6873" s="43"/>
    </row>
    <row r="6874" spans="1:16" ht="18" x14ac:dyDescent="0.35">
      <c r="A6874" s="9"/>
      <c r="C6874" s="393"/>
      <c r="E6874" s="394"/>
      <c r="F6874" s="394"/>
      <c r="G6874" s="394"/>
      <c r="I6874" s="368">
        <f t="shared" si="327"/>
        <v>0</v>
      </c>
      <c r="J6874" s="365">
        <f t="shared" si="328"/>
        <v>0</v>
      </c>
      <c r="K6874" s="369">
        <f t="shared" si="329"/>
        <v>6</v>
      </c>
      <c r="L6874" s="369">
        <f>+IF((C6874&gt;='Resultats - informe'!$E$16)*(C6874&lt;='Resultats - informe'!$G$16),1,0)</f>
        <v>1</v>
      </c>
      <c r="M6874" s="369" cm="1">
        <f t="array" ref="M6874">+_xlfn.IFS((C6874&gt;='Resultats - informe'!$D$26)*(C6874&lt;='Resultats - informe'!$E$26),0,(C6874&gt;='Resultats - informe'!$D$27)*(C6874&lt;='Resultats - informe'!$E$27),0,(C6874&gt;='Resultats - informe'!$D$28)*(C6874&lt;='Resultats - informe'!$E$28),0,(C6874&gt;='Resultats - informe'!$D$29)*(C6874&lt;='Resultats - informe'!$E$29),0,1,1)</f>
        <v>0</v>
      </c>
      <c r="N6874" s="366">
        <f>+VLOOKUP(D6874,'Resultats - informe'!$Y$18:$AG$42,'Introducció dades consum'!K6874+1,0)</f>
        <v>0</v>
      </c>
      <c r="O6874" s="370" cm="1">
        <f t="array" ref="O6874">+_xlfn.SWITCH(MONTH(C6874),1,1,2,1,3,1,4,2,5,2,6,3,7,3,8,3,9,3,10,2,11,2,12,1,2)</f>
        <v>1</v>
      </c>
      <c r="P6874" s="43"/>
    </row>
    <row r="6875" spans="1:16" ht="18" x14ac:dyDescent="0.35">
      <c r="A6875" s="9"/>
      <c r="C6875" s="393"/>
      <c r="E6875" s="394"/>
      <c r="F6875" s="394"/>
      <c r="G6875" s="394"/>
      <c r="I6875" s="368">
        <f t="shared" si="327"/>
        <v>0</v>
      </c>
      <c r="J6875" s="365">
        <f t="shared" si="328"/>
        <v>0</v>
      </c>
      <c r="K6875" s="369">
        <f t="shared" si="329"/>
        <v>6</v>
      </c>
      <c r="L6875" s="369">
        <f>+IF((C6875&gt;='Resultats - informe'!$E$16)*(C6875&lt;='Resultats - informe'!$G$16),1,0)</f>
        <v>1</v>
      </c>
      <c r="M6875" s="369" cm="1">
        <f t="array" ref="M6875">+_xlfn.IFS((C6875&gt;='Resultats - informe'!$D$26)*(C6875&lt;='Resultats - informe'!$E$26),0,(C6875&gt;='Resultats - informe'!$D$27)*(C6875&lt;='Resultats - informe'!$E$27),0,(C6875&gt;='Resultats - informe'!$D$28)*(C6875&lt;='Resultats - informe'!$E$28),0,(C6875&gt;='Resultats - informe'!$D$29)*(C6875&lt;='Resultats - informe'!$E$29),0,1,1)</f>
        <v>0</v>
      </c>
      <c r="N6875" s="366">
        <f>+VLOOKUP(D6875,'Resultats - informe'!$Y$18:$AG$42,'Introducció dades consum'!K6875+1,0)</f>
        <v>0</v>
      </c>
      <c r="O6875" s="370" cm="1">
        <f t="array" ref="O6875">+_xlfn.SWITCH(MONTH(C6875),1,1,2,1,3,1,4,2,5,2,6,3,7,3,8,3,9,3,10,2,11,2,12,1,2)</f>
        <v>1</v>
      </c>
      <c r="P6875" s="43"/>
    </row>
    <row r="6876" spans="1:16" ht="18" x14ac:dyDescent="0.35">
      <c r="A6876" s="9"/>
      <c r="C6876" s="393"/>
      <c r="E6876" s="394"/>
      <c r="F6876" s="394"/>
      <c r="G6876" s="394"/>
      <c r="I6876" s="368">
        <f t="shared" si="327"/>
        <v>0</v>
      </c>
      <c r="J6876" s="365">
        <f t="shared" si="328"/>
        <v>0</v>
      </c>
      <c r="K6876" s="369">
        <f t="shared" si="329"/>
        <v>6</v>
      </c>
      <c r="L6876" s="369">
        <f>+IF((C6876&gt;='Resultats - informe'!$E$16)*(C6876&lt;='Resultats - informe'!$G$16),1,0)</f>
        <v>1</v>
      </c>
      <c r="M6876" s="369" cm="1">
        <f t="array" ref="M6876">+_xlfn.IFS((C6876&gt;='Resultats - informe'!$D$26)*(C6876&lt;='Resultats - informe'!$E$26),0,(C6876&gt;='Resultats - informe'!$D$27)*(C6876&lt;='Resultats - informe'!$E$27),0,(C6876&gt;='Resultats - informe'!$D$28)*(C6876&lt;='Resultats - informe'!$E$28),0,(C6876&gt;='Resultats - informe'!$D$29)*(C6876&lt;='Resultats - informe'!$E$29),0,1,1)</f>
        <v>0</v>
      </c>
      <c r="N6876" s="366">
        <f>+VLOOKUP(D6876,'Resultats - informe'!$Y$18:$AG$42,'Introducció dades consum'!K6876+1,0)</f>
        <v>0</v>
      </c>
      <c r="O6876" s="370" cm="1">
        <f t="array" ref="O6876">+_xlfn.SWITCH(MONTH(C6876),1,1,2,1,3,1,4,2,5,2,6,3,7,3,8,3,9,3,10,2,11,2,12,1,2)</f>
        <v>1</v>
      </c>
      <c r="P6876" s="43"/>
    </row>
    <row r="6877" spans="1:16" ht="18" x14ac:dyDescent="0.35">
      <c r="A6877" s="9"/>
      <c r="C6877" s="393"/>
      <c r="E6877" s="394"/>
      <c r="F6877" s="394"/>
      <c r="G6877" s="394"/>
      <c r="I6877" s="368">
        <f t="shared" si="327"/>
        <v>0</v>
      </c>
      <c r="J6877" s="365">
        <f t="shared" si="328"/>
        <v>0</v>
      </c>
      <c r="K6877" s="369">
        <f t="shared" si="329"/>
        <v>6</v>
      </c>
      <c r="L6877" s="369">
        <f>+IF((C6877&gt;='Resultats - informe'!$E$16)*(C6877&lt;='Resultats - informe'!$G$16),1,0)</f>
        <v>1</v>
      </c>
      <c r="M6877" s="369" cm="1">
        <f t="array" ref="M6877">+_xlfn.IFS((C6877&gt;='Resultats - informe'!$D$26)*(C6877&lt;='Resultats - informe'!$E$26),0,(C6877&gt;='Resultats - informe'!$D$27)*(C6877&lt;='Resultats - informe'!$E$27),0,(C6877&gt;='Resultats - informe'!$D$28)*(C6877&lt;='Resultats - informe'!$E$28),0,(C6877&gt;='Resultats - informe'!$D$29)*(C6877&lt;='Resultats - informe'!$E$29),0,1,1)</f>
        <v>0</v>
      </c>
      <c r="N6877" s="366">
        <f>+VLOOKUP(D6877,'Resultats - informe'!$Y$18:$AG$42,'Introducció dades consum'!K6877+1,0)</f>
        <v>0</v>
      </c>
      <c r="O6877" s="370" cm="1">
        <f t="array" ref="O6877">+_xlfn.SWITCH(MONTH(C6877),1,1,2,1,3,1,4,2,5,2,6,3,7,3,8,3,9,3,10,2,11,2,12,1,2)</f>
        <v>1</v>
      </c>
      <c r="P6877" s="43"/>
    </row>
    <row r="6878" spans="1:16" ht="18" x14ac:dyDescent="0.35">
      <c r="A6878" s="9"/>
      <c r="C6878" s="393"/>
      <c r="E6878" s="394"/>
      <c r="F6878" s="394"/>
      <c r="G6878" s="394"/>
      <c r="I6878" s="368">
        <f t="shared" si="327"/>
        <v>0</v>
      </c>
      <c r="J6878" s="365">
        <f t="shared" si="328"/>
        <v>0</v>
      </c>
      <c r="K6878" s="369">
        <f t="shared" si="329"/>
        <v>6</v>
      </c>
      <c r="L6878" s="369">
        <f>+IF((C6878&gt;='Resultats - informe'!$E$16)*(C6878&lt;='Resultats - informe'!$G$16),1,0)</f>
        <v>1</v>
      </c>
      <c r="M6878" s="369" cm="1">
        <f t="array" ref="M6878">+_xlfn.IFS((C6878&gt;='Resultats - informe'!$D$26)*(C6878&lt;='Resultats - informe'!$E$26),0,(C6878&gt;='Resultats - informe'!$D$27)*(C6878&lt;='Resultats - informe'!$E$27),0,(C6878&gt;='Resultats - informe'!$D$28)*(C6878&lt;='Resultats - informe'!$E$28),0,(C6878&gt;='Resultats - informe'!$D$29)*(C6878&lt;='Resultats - informe'!$E$29),0,1,1)</f>
        <v>0</v>
      </c>
      <c r="N6878" s="366">
        <f>+VLOOKUP(D6878,'Resultats - informe'!$Y$18:$AG$42,'Introducció dades consum'!K6878+1,0)</f>
        <v>0</v>
      </c>
      <c r="O6878" s="370" cm="1">
        <f t="array" ref="O6878">+_xlfn.SWITCH(MONTH(C6878),1,1,2,1,3,1,4,2,5,2,6,3,7,3,8,3,9,3,10,2,11,2,12,1,2)</f>
        <v>1</v>
      </c>
      <c r="P6878" s="43"/>
    </row>
    <row r="6879" spans="1:16" ht="18" x14ac:dyDescent="0.35">
      <c r="A6879" s="9"/>
      <c r="C6879" s="393"/>
      <c r="E6879" s="394"/>
      <c r="F6879" s="394"/>
      <c r="G6879" s="394"/>
      <c r="I6879" s="368">
        <f t="shared" si="327"/>
        <v>0</v>
      </c>
      <c r="J6879" s="365">
        <f t="shared" si="328"/>
        <v>0</v>
      </c>
      <c r="K6879" s="369">
        <f t="shared" si="329"/>
        <v>6</v>
      </c>
      <c r="L6879" s="369">
        <f>+IF((C6879&gt;='Resultats - informe'!$E$16)*(C6879&lt;='Resultats - informe'!$G$16),1,0)</f>
        <v>1</v>
      </c>
      <c r="M6879" s="369" cm="1">
        <f t="array" ref="M6879">+_xlfn.IFS((C6879&gt;='Resultats - informe'!$D$26)*(C6879&lt;='Resultats - informe'!$E$26),0,(C6879&gt;='Resultats - informe'!$D$27)*(C6879&lt;='Resultats - informe'!$E$27),0,(C6879&gt;='Resultats - informe'!$D$28)*(C6879&lt;='Resultats - informe'!$E$28),0,(C6879&gt;='Resultats - informe'!$D$29)*(C6879&lt;='Resultats - informe'!$E$29),0,1,1)</f>
        <v>0</v>
      </c>
      <c r="N6879" s="366">
        <f>+VLOOKUP(D6879,'Resultats - informe'!$Y$18:$AG$42,'Introducció dades consum'!K6879+1,0)</f>
        <v>0</v>
      </c>
      <c r="O6879" s="370" cm="1">
        <f t="array" ref="O6879">+_xlfn.SWITCH(MONTH(C6879),1,1,2,1,3,1,4,2,5,2,6,3,7,3,8,3,9,3,10,2,11,2,12,1,2)</f>
        <v>1</v>
      </c>
      <c r="P6879" s="43"/>
    </row>
    <row r="6880" spans="1:16" ht="18" x14ac:dyDescent="0.35">
      <c r="A6880" s="9"/>
      <c r="C6880" s="393"/>
      <c r="E6880" s="394"/>
      <c r="F6880" s="394"/>
      <c r="G6880" s="394"/>
      <c r="I6880" s="368">
        <f t="shared" si="327"/>
        <v>0</v>
      </c>
      <c r="J6880" s="365">
        <f t="shared" si="328"/>
        <v>0</v>
      </c>
      <c r="K6880" s="369">
        <f t="shared" si="329"/>
        <v>6</v>
      </c>
      <c r="L6880" s="369">
        <f>+IF((C6880&gt;='Resultats - informe'!$E$16)*(C6880&lt;='Resultats - informe'!$G$16),1,0)</f>
        <v>1</v>
      </c>
      <c r="M6880" s="369" cm="1">
        <f t="array" ref="M6880">+_xlfn.IFS((C6880&gt;='Resultats - informe'!$D$26)*(C6880&lt;='Resultats - informe'!$E$26),0,(C6880&gt;='Resultats - informe'!$D$27)*(C6880&lt;='Resultats - informe'!$E$27),0,(C6880&gt;='Resultats - informe'!$D$28)*(C6880&lt;='Resultats - informe'!$E$28),0,(C6880&gt;='Resultats - informe'!$D$29)*(C6880&lt;='Resultats - informe'!$E$29),0,1,1)</f>
        <v>0</v>
      </c>
      <c r="N6880" s="366">
        <f>+VLOOKUP(D6880,'Resultats - informe'!$Y$18:$AG$42,'Introducció dades consum'!K6880+1,0)</f>
        <v>0</v>
      </c>
      <c r="O6880" s="370" cm="1">
        <f t="array" ref="O6880">+_xlfn.SWITCH(MONTH(C6880),1,1,2,1,3,1,4,2,5,2,6,3,7,3,8,3,9,3,10,2,11,2,12,1,2)</f>
        <v>1</v>
      </c>
      <c r="P6880" s="43"/>
    </row>
    <row r="6881" spans="1:16" ht="18" x14ac:dyDescent="0.35">
      <c r="A6881" s="9"/>
      <c r="C6881" s="393"/>
      <c r="E6881" s="394"/>
      <c r="F6881" s="394"/>
      <c r="G6881" s="394"/>
      <c r="I6881" s="368">
        <f t="shared" si="327"/>
        <v>0</v>
      </c>
      <c r="J6881" s="365">
        <f t="shared" si="328"/>
        <v>0</v>
      </c>
      <c r="K6881" s="369">
        <f t="shared" si="329"/>
        <v>6</v>
      </c>
      <c r="L6881" s="369">
        <f>+IF((C6881&gt;='Resultats - informe'!$E$16)*(C6881&lt;='Resultats - informe'!$G$16),1,0)</f>
        <v>1</v>
      </c>
      <c r="M6881" s="369" cm="1">
        <f t="array" ref="M6881">+_xlfn.IFS((C6881&gt;='Resultats - informe'!$D$26)*(C6881&lt;='Resultats - informe'!$E$26),0,(C6881&gt;='Resultats - informe'!$D$27)*(C6881&lt;='Resultats - informe'!$E$27),0,(C6881&gt;='Resultats - informe'!$D$28)*(C6881&lt;='Resultats - informe'!$E$28),0,(C6881&gt;='Resultats - informe'!$D$29)*(C6881&lt;='Resultats - informe'!$E$29),0,1,1)</f>
        <v>0</v>
      </c>
      <c r="N6881" s="366">
        <f>+VLOOKUP(D6881,'Resultats - informe'!$Y$18:$AG$42,'Introducció dades consum'!K6881+1,0)</f>
        <v>0</v>
      </c>
      <c r="O6881" s="370" cm="1">
        <f t="array" ref="O6881">+_xlfn.SWITCH(MONTH(C6881),1,1,2,1,3,1,4,2,5,2,6,3,7,3,8,3,9,3,10,2,11,2,12,1,2)</f>
        <v>1</v>
      </c>
      <c r="P6881" s="43"/>
    </row>
    <row r="6882" spans="1:16" ht="18" x14ac:dyDescent="0.35">
      <c r="A6882" s="9"/>
      <c r="C6882" s="393"/>
      <c r="E6882" s="394"/>
      <c r="F6882" s="394"/>
      <c r="G6882" s="394"/>
      <c r="I6882" s="368">
        <f t="shared" si="327"/>
        <v>0</v>
      </c>
      <c r="J6882" s="365">
        <f t="shared" si="328"/>
        <v>0</v>
      </c>
      <c r="K6882" s="369">
        <f t="shared" si="329"/>
        <v>6</v>
      </c>
      <c r="L6882" s="369">
        <f>+IF((C6882&gt;='Resultats - informe'!$E$16)*(C6882&lt;='Resultats - informe'!$G$16),1,0)</f>
        <v>1</v>
      </c>
      <c r="M6882" s="369" cm="1">
        <f t="array" ref="M6882">+_xlfn.IFS((C6882&gt;='Resultats - informe'!$D$26)*(C6882&lt;='Resultats - informe'!$E$26),0,(C6882&gt;='Resultats - informe'!$D$27)*(C6882&lt;='Resultats - informe'!$E$27),0,(C6882&gt;='Resultats - informe'!$D$28)*(C6882&lt;='Resultats - informe'!$E$28),0,(C6882&gt;='Resultats - informe'!$D$29)*(C6882&lt;='Resultats - informe'!$E$29),0,1,1)</f>
        <v>0</v>
      </c>
      <c r="N6882" s="366">
        <f>+VLOOKUP(D6882,'Resultats - informe'!$Y$18:$AG$42,'Introducció dades consum'!K6882+1,0)</f>
        <v>0</v>
      </c>
      <c r="O6882" s="370" cm="1">
        <f t="array" ref="O6882">+_xlfn.SWITCH(MONTH(C6882),1,1,2,1,3,1,4,2,5,2,6,3,7,3,8,3,9,3,10,2,11,2,12,1,2)</f>
        <v>1</v>
      </c>
      <c r="P6882" s="43"/>
    </row>
    <row r="6883" spans="1:16" ht="18" x14ac:dyDescent="0.35">
      <c r="A6883" s="9"/>
      <c r="C6883" s="393"/>
      <c r="E6883" s="394"/>
      <c r="F6883" s="394"/>
      <c r="G6883" s="394"/>
      <c r="I6883" s="368">
        <f t="shared" si="327"/>
        <v>0</v>
      </c>
      <c r="J6883" s="365">
        <f t="shared" si="328"/>
        <v>0</v>
      </c>
      <c r="K6883" s="369">
        <f t="shared" si="329"/>
        <v>6</v>
      </c>
      <c r="L6883" s="369">
        <f>+IF((C6883&gt;='Resultats - informe'!$E$16)*(C6883&lt;='Resultats - informe'!$G$16),1,0)</f>
        <v>1</v>
      </c>
      <c r="M6883" s="369" cm="1">
        <f t="array" ref="M6883">+_xlfn.IFS((C6883&gt;='Resultats - informe'!$D$26)*(C6883&lt;='Resultats - informe'!$E$26),0,(C6883&gt;='Resultats - informe'!$D$27)*(C6883&lt;='Resultats - informe'!$E$27),0,(C6883&gt;='Resultats - informe'!$D$28)*(C6883&lt;='Resultats - informe'!$E$28),0,(C6883&gt;='Resultats - informe'!$D$29)*(C6883&lt;='Resultats - informe'!$E$29),0,1,1)</f>
        <v>0</v>
      </c>
      <c r="N6883" s="366">
        <f>+VLOOKUP(D6883,'Resultats - informe'!$Y$18:$AG$42,'Introducció dades consum'!K6883+1,0)</f>
        <v>0</v>
      </c>
      <c r="O6883" s="370" cm="1">
        <f t="array" ref="O6883">+_xlfn.SWITCH(MONTH(C6883),1,1,2,1,3,1,4,2,5,2,6,3,7,3,8,3,9,3,10,2,11,2,12,1,2)</f>
        <v>1</v>
      </c>
      <c r="P6883" s="43"/>
    </row>
    <row r="6884" spans="1:16" ht="18" x14ac:dyDescent="0.35">
      <c r="A6884" s="9"/>
      <c r="C6884" s="393"/>
      <c r="E6884" s="394"/>
      <c r="F6884" s="394"/>
      <c r="G6884" s="394"/>
      <c r="I6884" s="368">
        <f t="shared" si="327"/>
        <v>0</v>
      </c>
      <c r="J6884" s="365">
        <f t="shared" si="328"/>
        <v>0</v>
      </c>
      <c r="K6884" s="369">
        <f t="shared" si="329"/>
        <v>6</v>
      </c>
      <c r="L6884" s="369">
        <f>+IF((C6884&gt;='Resultats - informe'!$E$16)*(C6884&lt;='Resultats - informe'!$G$16),1,0)</f>
        <v>1</v>
      </c>
      <c r="M6884" s="369" cm="1">
        <f t="array" ref="M6884">+_xlfn.IFS((C6884&gt;='Resultats - informe'!$D$26)*(C6884&lt;='Resultats - informe'!$E$26),0,(C6884&gt;='Resultats - informe'!$D$27)*(C6884&lt;='Resultats - informe'!$E$27),0,(C6884&gt;='Resultats - informe'!$D$28)*(C6884&lt;='Resultats - informe'!$E$28),0,(C6884&gt;='Resultats - informe'!$D$29)*(C6884&lt;='Resultats - informe'!$E$29),0,1,1)</f>
        <v>0</v>
      </c>
      <c r="N6884" s="366">
        <f>+VLOOKUP(D6884,'Resultats - informe'!$Y$18:$AG$42,'Introducció dades consum'!K6884+1,0)</f>
        <v>0</v>
      </c>
      <c r="O6884" s="370" cm="1">
        <f t="array" ref="O6884">+_xlfn.SWITCH(MONTH(C6884),1,1,2,1,3,1,4,2,5,2,6,3,7,3,8,3,9,3,10,2,11,2,12,1,2)</f>
        <v>1</v>
      </c>
      <c r="P6884" s="43"/>
    </row>
    <row r="6885" spans="1:16" ht="18" x14ac:dyDescent="0.35">
      <c r="A6885" s="9"/>
      <c r="C6885" s="393"/>
      <c r="E6885" s="394"/>
      <c r="F6885" s="394"/>
      <c r="G6885" s="394"/>
      <c r="I6885" s="368">
        <f t="shared" si="327"/>
        <v>0</v>
      </c>
      <c r="J6885" s="365">
        <f t="shared" si="328"/>
        <v>0</v>
      </c>
      <c r="K6885" s="369">
        <f t="shared" si="329"/>
        <v>6</v>
      </c>
      <c r="L6885" s="369">
        <f>+IF((C6885&gt;='Resultats - informe'!$E$16)*(C6885&lt;='Resultats - informe'!$G$16),1,0)</f>
        <v>1</v>
      </c>
      <c r="M6885" s="369" cm="1">
        <f t="array" ref="M6885">+_xlfn.IFS((C6885&gt;='Resultats - informe'!$D$26)*(C6885&lt;='Resultats - informe'!$E$26),0,(C6885&gt;='Resultats - informe'!$D$27)*(C6885&lt;='Resultats - informe'!$E$27),0,(C6885&gt;='Resultats - informe'!$D$28)*(C6885&lt;='Resultats - informe'!$E$28),0,(C6885&gt;='Resultats - informe'!$D$29)*(C6885&lt;='Resultats - informe'!$E$29),0,1,1)</f>
        <v>0</v>
      </c>
      <c r="N6885" s="366">
        <f>+VLOOKUP(D6885,'Resultats - informe'!$Y$18:$AG$42,'Introducció dades consum'!K6885+1,0)</f>
        <v>0</v>
      </c>
      <c r="O6885" s="370" cm="1">
        <f t="array" ref="O6885">+_xlfn.SWITCH(MONTH(C6885),1,1,2,1,3,1,4,2,5,2,6,3,7,3,8,3,9,3,10,2,11,2,12,1,2)</f>
        <v>1</v>
      </c>
      <c r="P6885" s="43"/>
    </row>
    <row r="6886" spans="1:16" ht="18" x14ac:dyDescent="0.35">
      <c r="A6886" s="9"/>
      <c r="C6886" s="393"/>
      <c r="E6886" s="394"/>
      <c r="F6886" s="394"/>
      <c r="G6886" s="394"/>
      <c r="I6886" s="368">
        <f t="shared" si="327"/>
        <v>0</v>
      </c>
      <c r="J6886" s="365">
        <f t="shared" si="328"/>
        <v>0</v>
      </c>
      <c r="K6886" s="369">
        <f t="shared" si="329"/>
        <v>6</v>
      </c>
      <c r="L6886" s="369">
        <f>+IF((C6886&gt;='Resultats - informe'!$E$16)*(C6886&lt;='Resultats - informe'!$G$16),1,0)</f>
        <v>1</v>
      </c>
      <c r="M6886" s="369" cm="1">
        <f t="array" ref="M6886">+_xlfn.IFS((C6886&gt;='Resultats - informe'!$D$26)*(C6886&lt;='Resultats - informe'!$E$26),0,(C6886&gt;='Resultats - informe'!$D$27)*(C6886&lt;='Resultats - informe'!$E$27),0,(C6886&gt;='Resultats - informe'!$D$28)*(C6886&lt;='Resultats - informe'!$E$28),0,(C6886&gt;='Resultats - informe'!$D$29)*(C6886&lt;='Resultats - informe'!$E$29),0,1,1)</f>
        <v>0</v>
      </c>
      <c r="N6886" s="366">
        <f>+VLOOKUP(D6886,'Resultats - informe'!$Y$18:$AG$42,'Introducció dades consum'!K6886+1,0)</f>
        <v>0</v>
      </c>
      <c r="O6886" s="370" cm="1">
        <f t="array" ref="O6886">+_xlfn.SWITCH(MONTH(C6886),1,1,2,1,3,1,4,2,5,2,6,3,7,3,8,3,9,3,10,2,11,2,12,1,2)</f>
        <v>1</v>
      </c>
      <c r="P6886" s="43"/>
    </row>
    <row r="6887" spans="1:16" ht="18" x14ac:dyDescent="0.35">
      <c r="A6887" s="9"/>
      <c r="C6887" s="393"/>
      <c r="E6887" s="394"/>
      <c r="F6887" s="394"/>
      <c r="G6887" s="394"/>
      <c r="I6887" s="368">
        <f t="shared" si="327"/>
        <v>0</v>
      </c>
      <c r="J6887" s="365">
        <f t="shared" si="328"/>
        <v>0</v>
      </c>
      <c r="K6887" s="369">
        <f t="shared" si="329"/>
        <v>6</v>
      </c>
      <c r="L6887" s="369">
        <f>+IF((C6887&gt;='Resultats - informe'!$E$16)*(C6887&lt;='Resultats - informe'!$G$16),1,0)</f>
        <v>1</v>
      </c>
      <c r="M6887" s="369" cm="1">
        <f t="array" ref="M6887">+_xlfn.IFS((C6887&gt;='Resultats - informe'!$D$26)*(C6887&lt;='Resultats - informe'!$E$26),0,(C6887&gt;='Resultats - informe'!$D$27)*(C6887&lt;='Resultats - informe'!$E$27),0,(C6887&gt;='Resultats - informe'!$D$28)*(C6887&lt;='Resultats - informe'!$E$28),0,(C6887&gt;='Resultats - informe'!$D$29)*(C6887&lt;='Resultats - informe'!$E$29),0,1,1)</f>
        <v>0</v>
      </c>
      <c r="N6887" s="366">
        <f>+VLOOKUP(D6887,'Resultats - informe'!$Y$18:$AG$42,'Introducció dades consum'!K6887+1,0)</f>
        <v>0</v>
      </c>
      <c r="O6887" s="370" cm="1">
        <f t="array" ref="O6887">+_xlfn.SWITCH(MONTH(C6887),1,1,2,1,3,1,4,2,5,2,6,3,7,3,8,3,9,3,10,2,11,2,12,1,2)</f>
        <v>1</v>
      </c>
      <c r="P6887" s="43"/>
    </row>
    <row r="6888" spans="1:16" ht="18" x14ac:dyDescent="0.35">
      <c r="A6888" s="9"/>
      <c r="C6888" s="393"/>
      <c r="E6888" s="394"/>
      <c r="F6888" s="394"/>
      <c r="G6888" s="394"/>
      <c r="I6888" s="368">
        <f t="shared" si="327"/>
        <v>0</v>
      </c>
      <c r="J6888" s="365">
        <f t="shared" si="328"/>
        <v>0</v>
      </c>
      <c r="K6888" s="369">
        <f t="shared" si="329"/>
        <v>6</v>
      </c>
      <c r="L6888" s="369">
        <f>+IF((C6888&gt;='Resultats - informe'!$E$16)*(C6888&lt;='Resultats - informe'!$G$16),1,0)</f>
        <v>1</v>
      </c>
      <c r="M6888" s="369" cm="1">
        <f t="array" ref="M6888">+_xlfn.IFS((C6888&gt;='Resultats - informe'!$D$26)*(C6888&lt;='Resultats - informe'!$E$26),0,(C6888&gt;='Resultats - informe'!$D$27)*(C6888&lt;='Resultats - informe'!$E$27),0,(C6888&gt;='Resultats - informe'!$D$28)*(C6888&lt;='Resultats - informe'!$E$28),0,(C6888&gt;='Resultats - informe'!$D$29)*(C6888&lt;='Resultats - informe'!$E$29),0,1,1)</f>
        <v>0</v>
      </c>
      <c r="N6888" s="366">
        <f>+VLOOKUP(D6888,'Resultats - informe'!$Y$18:$AG$42,'Introducció dades consum'!K6888+1,0)</f>
        <v>0</v>
      </c>
      <c r="O6888" s="370" cm="1">
        <f t="array" ref="O6888">+_xlfn.SWITCH(MONTH(C6888),1,1,2,1,3,1,4,2,5,2,6,3,7,3,8,3,9,3,10,2,11,2,12,1,2)</f>
        <v>1</v>
      </c>
      <c r="P6888" s="43"/>
    </row>
    <row r="6889" spans="1:16" ht="18" x14ac:dyDescent="0.35">
      <c r="A6889" s="9"/>
      <c r="C6889" s="393"/>
      <c r="E6889" s="394"/>
      <c r="F6889" s="394"/>
      <c r="G6889" s="394"/>
      <c r="I6889" s="368">
        <f t="shared" si="327"/>
        <v>0</v>
      </c>
      <c r="J6889" s="365">
        <f t="shared" si="328"/>
        <v>0</v>
      </c>
      <c r="K6889" s="369">
        <f t="shared" si="329"/>
        <v>6</v>
      </c>
      <c r="L6889" s="369">
        <f>+IF((C6889&gt;='Resultats - informe'!$E$16)*(C6889&lt;='Resultats - informe'!$G$16),1,0)</f>
        <v>1</v>
      </c>
      <c r="M6889" s="369" cm="1">
        <f t="array" ref="M6889">+_xlfn.IFS((C6889&gt;='Resultats - informe'!$D$26)*(C6889&lt;='Resultats - informe'!$E$26),0,(C6889&gt;='Resultats - informe'!$D$27)*(C6889&lt;='Resultats - informe'!$E$27),0,(C6889&gt;='Resultats - informe'!$D$28)*(C6889&lt;='Resultats - informe'!$E$28),0,(C6889&gt;='Resultats - informe'!$D$29)*(C6889&lt;='Resultats - informe'!$E$29),0,1,1)</f>
        <v>0</v>
      </c>
      <c r="N6889" s="366">
        <f>+VLOOKUP(D6889,'Resultats - informe'!$Y$18:$AG$42,'Introducció dades consum'!K6889+1,0)</f>
        <v>0</v>
      </c>
      <c r="O6889" s="370" cm="1">
        <f t="array" ref="O6889">+_xlfn.SWITCH(MONTH(C6889),1,1,2,1,3,1,4,2,5,2,6,3,7,3,8,3,9,3,10,2,11,2,12,1,2)</f>
        <v>1</v>
      </c>
      <c r="P6889" s="43"/>
    </row>
    <row r="6890" spans="1:16" ht="18" x14ac:dyDescent="0.35">
      <c r="A6890" s="9"/>
      <c r="C6890" s="393"/>
      <c r="E6890" s="394"/>
      <c r="F6890" s="394"/>
      <c r="G6890" s="394"/>
      <c r="I6890" s="368">
        <f t="shared" si="327"/>
        <v>0</v>
      </c>
      <c r="J6890" s="365">
        <f t="shared" si="328"/>
        <v>0</v>
      </c>
      <c r="K6890" s="369">
        <f t="shared" si="329"/>
        <v>6</v>
      </c>
      <c r="L6890" s="369">
        <f>+IF((C6890&gt;='Resultats - informe'!$E$16)*(C6890&lt;='Resultats - informe'!$G$16),1,0)</f>
        <v>1</v>
      </c>
      <c r="M6890" s="369" cm="1">
        <f t="array" ref="M6890">+_xlfn.IFS((C6890&gt;='Resultats - informe'!$D$26)*(C6890&lt;='Resultats - informe'!$E$26),0,(C6890&gt;='Resultats - informe'!$D$27)*(C6890&lt;='Resultats - informe'!$E$27),0,(C6890&gt;='Resultats - informe'!$D$28)*(C6890&lt;='Resultats - informe'!$E$28),0,(C6890&gt;='Resultats - informe'!$D$29)*(C6890&lt;='Resultats - informe'!$E$29),0,1,1)</f>
        <v>0</v>
      </c>
      <c r="N6890" s="366">
        <f>+VLOOKUP(D6890,'Resultats - informe'!$Y$18:$AG$42,'Introducció dades consum'!K6890+1,0)</f>
        <v>0</v>
      </c>
      <c r="O6890" s="370" cm="1">
        <f t="array" ref="O6890">+_xlfn.SWITCH(MONTH(C6890),1,1,2,1,3,1,4,2,5,2,6,3,7,3,8,3,9,3,10,2,11,2,12,1,2)</f>
        <v>1</v>
      </c>
      <c r="P6890" s="43"/>
    </row>
    <row r="6891" spans="1:16" ht="18" x14ac:dyDescent="0.35">
      <c r="A6891" s="9"/>
      <c r="C6891" s="393"/>
      <c r="E6891" s="394"/>
      <c r="F6891" s="394"/>
      <c r="G6891" s="394"/>
      <c r="I6891" s="368">
        <f t="shared" si="327"/>
        <v>0</v>
      </c>
      <c r="J6891" s="365">
        <f t="shared" si="328"/>
        <v>0</v>
      </c>
      <c r="K6891" s="369">
        <f t="shared" si="329"/>
        <v>6</v>
      </c>
      <c r="L6891" s="369">
        <f>+IF((C6891&gt;='Resultats - informe'!$E$16)*(C6891&lt;='Resultats - informe'!$G$16),1,0)</f>
        <v>1</v>
      </c>
      <c r="M6891" s="369" cm="1">
        <f t="array" ref="M6891">+_xlfn.IFS((C6891&gt;='Resultats - informe'!$D$26)*(C6891&lt;='Resultats - informe'!$E$26),0,(C6891&gt;='Resultats - informe'!$D$27)*(C6891&lt;='Resultats - informe'!$E$27),0,(C6891&gt;='Resultats - informe'!$D$28)*(C6891&lt;='Resultats - informe'!$E$28),0,(C6891&gt;='Resultats - informe'!$D$29)*(C6891&lt;='Resultats - informe'!$E$29),0,1,1)</f>
        <v>0</v>
      </c>
      <c r="N6891" s="366">
        <f>+VLOOKUP(D6891,'Resultats - informe'!$Y$18:$AG$42,'Introducció dades consum'!K6891+1,0)</f>
        <v>0</v>
      </c>
      <c r="O6891" s="370" cm="1">
        <f t="array" ref="O6891">+_xlfn.SWITCH(MONTH(C6891),1,1,2,1,3,1,4,2,5,2,6,3,7,3,8,3,9,3,10,2,11,2,12,1,2)</f>
        <v>1</v>
      </c>
      <c r="P6891" s="43"/>
    </row>
    <row r="6892" spans="1:16" ht="18" x14ac:dyDescent="0.35">
      <c r="A6892" s="9"/>
      <c r="C6892" s="393"/>
      <c r="E6892" s="394"/>
      <c r="F6892" s="394"/>
      <c r="G6892" s="394"/>
      <c r="I6892" s="368">
        <f t="shared" si="327"/>
        <v>0</v>
      </c>
      <c r="J6892" s="365">
        <f t="shared" si="328"/>
        <v>0</v>
      </c>
      <c r="K6892" s="369">
        <f t="shared" si="329"/>
        <v>6</v>
      </c>
      <c r="L6892" s="369">
        <f>+IF((C6892&gt;='Resultats - informe'!$E$16)*(C6892&lt;='Resultats - informe'!$G$16),1,0)</f>
        <v>1</v>
      </c>
      <c r="M6892" s="369" cm="1">
        <f t="array" ref="M6892">+_xlfn.IFS((C6892&gt;='Resultats - informe'!$D$26)*(C6892&lt;='Resultats - informe'!$E$26),0,(C6892&gt;='Resultats - informe'!$D$27)*(C6892&lt;='Resultats - informe'!$E$27),0,(C6892&gt;='Resultats - informe'!$D$28)*(C6892&lt;='Resultats - informe'!$E$28),0,(C6892&gt;='Resultats - informe'!$D$29)*(C6892&lt;='Resultats - informe'!$E$29),0,1,1)</f>
        <v>0</v>
      </c>
      <c r="N6892" s="366">
        <f>+VLOOKUP(D6892,'Resultats - informe'!$Y$18:$AG$42,'Introducció dades consum'!K6892+1,0)</f>
        <v>0</v>
      </c>
      <c r="O6892" s="370" cm="1">
        <f t="array" ref="O6892">+_xlfn.SWITCH(MONTH(C6892),1,1,2,1,3,1,4,2,5,2,6,3,7,3,8,3,9,3,10,2,11,2,12,1,2)</f>
        <v>1</v>
      </c>
      <c r="P6892" s="43"/>
    </row>
    <row r="6893" spans="1:16" ht="18" x14ac:dyDescent="0.35">
      <c r="A6893" s="9"/>
      <c r="C6893" s="393"/>
      <c r="E6893" s="394"/>
      <c r="F6893" s="394"/>
      <c r="G6893" s="394"/>
      <c r="I6893" s="368">
        <f t="shared" si="327"/>
        <v>0</v>
      </c>
      <c r="J6893" s="365">
        <f t="shared" si="328"/>
        <v>0</v>
      </c>
      <c r="K6893" s="369">
        <f t="shared" si="329"/>
        <v>6</v>
      </c>
      <c r="L6893" s="369">
        <f>+IF((C6893&gt;='Resultats - informe'!$E$16)*(C6893&lt;='Resultats - informe'!$G$16),1,0)</f>
        <v>1</v>
      </c>
      <c r="M6893" s="369" cm="1">
        <f t="array" ref="M6893">+_xlfn.IFS((C6893&gt;='Resultats - informe'!$D$26)*(C6893&lt;='Resultats - informe'!$E$26),0,(C6893&gt;='Resultats - informe'!$D$27)*(C6893&lt;='Resultats - informe'!$E$27),0,(C6893&gt;='Resultats - informe'!$D$28)*(C6893&lt;='Resultats - informe'!$E$28),0,(C6893&gt;='Resultats - informe'!$D$29)*(C6893&lt;='Resultats - informe'!$E$29),0,1,1)</f>
        <v>0</v>
      </c>
      <c r="N6893" s="366">
        <f>+VLOOKUP(D6893,'Resultats - informe'!$Y$18:$AG$42,'Introducció dades consum'!K6893+1,0)</f>
        <v>0</v>
      </c>
      <c r="O6893" s="370" cm="1">
        <f t="array" ref="O6893">+_xlfn.SWITCH(MONTH(C6893),1,1,2,1,3,1,4,2,5,2,6,3,7,3,8,3,9,3,10,2,11,2,12,1,2)</f>
        <v>1</v>
      </c>
      <c r="P6893" s="43"/>
    </row>
    <row r="6894" spans="1:16" ht="18" x14ac:dyDescent="0.35">
      <c r="A6894" s="9"/>
      <c r="C6894" s="393"/>
      <c r="E6894" s="394"/>
      <c r="F6894" s="394"/>
      <c r="G6894" s="394"/>
      <c r="I6894" s="368">
        <f t="shared" si="327"/>
        <v>0</v>
      </c>
      <c r="J6894" s="365">
        <f t="shared" si="328"/>
        <v>0</v>
      </c>
      <c r="K6894" s="369">
        <f t="shared" si="329"/>
        <v>6</v>
      </c>
      <c r="L6894" s="369">
        <f>+IF((C6894&gt;='Resultats - informe'!$E$16)*(C6894&lt;='Resultats - informe'!$G$16),1,0)</f>
        <v>1</v>
      </c>
      <c r="M6894" s="369" cm="1">
        <f t="array" ref="M6894">+_xlfn.IFS((C6894&gt;='Resultats - informe'!$D$26)*(C6894&lt;='Resultats - informe'!$E$26),0,(C6894&gt;='Resultats - informe'!$D$27)*(C6894&lt;='Resultats - informe'!$E$27),0,(C6894&gt;='Resultats - informe'!$D$28)*(C6894&lt;='Resultats - informe'!$E$28),0,(C6894&gt;='Resultats - informe'!$D$29)*(C6894&lt;='Resultats - informe'!$E$29),0,1,1)</f>
        <v>0</v>
      </c>
      <c r="N6894" s="366">
        <f>+VLOOKUP(D6894,'Resultats - informe'!$Y$18:$AG$42,'Introducció dades consum'!K6894+1,0)</f>
        <v>0</v>
      </c>
      <c r="O6894" s="370" cm="1">
        <f t="array" ref="O6894">+_xlfn.SWITCH(MONTH(C6894),1,1,2,1,3,1,4,2,5,2,6,3,7,3,8,3,9,3,10,2,11,2,12,1,2)</f>
        <v>1</v>
      </c>
      <c r="P6894" s="43"/>
    </row>
    <row r="6895" spans="1:16" ht="18" x14ac:dyDescent="0.35">
      <c r="A6895" s="9"/>
      <c r="C6895" s="393"/>
      <c r="E6895" s="394"/>
      <c r="F6895" s="394"/>
      <c r="G6895" s="394"/>
      <c r="I6895" s="368">
        <f t="shared" si="327"/>
        <v>0</v>
      </c>
      <c r="J6895" s="365">
        <f t="shared" si="328"/>
        <v>0</v>
      </c>
      <c r="K6895" s="369">
        <f t="shared" si="329"/>
        <v>6</v>
      </c>
      <c r="L6895" s="369">
        <f>+IF((C6895&gt;='Resultats - informe'!$E$16)*(C6895&lt;='Resultats - informe'!$G$16),1,0)</f>
        <v>1</v>
      </c>
      <c r="M6895" s="369" cm="1">
        <f t="array" ref="M6895">+_xlfn.IFS((C6895&gt;='Resultats - informe'!$D$26)*(C6895&lt;='Resultats - informe'!$E$26),0,(C6895&gt;='Resultats - informe'!$D$27)*(C6895&lt;='Resultats - informe'!$E$27),0,(C6895&gt;='Resultats - informe'!$D$28)*(C6895&lt;='Resultats - informe'!$E$28),0,(C6895&gt;='Resultats - informe'!$D$29)*(C6895&lt;='Resultats - informe'!$E$29),0,1,1)</f>
        <v>0</v>
      </c>
      <c r="N6895" s="366">
        <f>+VLOOKUP(D6895,'Resultats - informe'!$Y$18:$AG$42,'Introducció dades consum'!K6895+1,0)</f>
        <v>0</v>
      </c>
      <c r="O6895" s="370" cm="1">
        <f t="array" ref="O6895">+_xlfn.SWITCH(MONTH(C6895),1,1,2,1,3,1,4,2,5,2,6,3,7,3,8,3,9,3,10,2,11,2,12,1,2)</f>
        <v>1</v>
      </c>
      <c r="P6895" s="43"/>
    </row>
    <row r="6896" spans="1:16" ht="18" x14ac:dyDescent="0.35">
      <c r="A6896" s="9"/>
      <c r="C6896" s="393"/>
      <c r="E6896" s="394"/>
      <c r="F6896" s="394"/>
      <c r="G6896" s="394"/>
      <c r="I6896" s="368">
        <f t="shared" si="327"/>
        <v>0</v>
      </c>
      <c r="J6896" s="365">
        <f t="shared" si="328"/>
        <v>0</v>
      </c>
      <c r="K6896" s="369">
        <f t="shared" si="329"/>
        <v>6</v>
      </c>
      <c r="L6896" s="369">
        <f>+IF((C6896&gt;='Resultats - informe'!$E$16)*(C6896&lt;='Resultats - informe'!$G$16),1,0)</f>
        <v>1</v>
      </c>
      <c r="M6896" s="369" cm="1">
        <f t="array" ref="M6896">+_xlfn.IFS((C6896&gt;='Resultats - informe'!$D$26)*(C6896&lt;='Resultats - informe'!$E$26),0,(C6896&gt;='Resultats - informe'!$D$27)*(C6896&lt;='Resultats - informe'!$E$27),0,(C6896&gt;='Resultats - informe'!$D$28)*(C6896&lt;='Resultats - informe'!$E$28),0,(C6896&gt;='Resultats - informe'!$D$29)*(C6896&lt;='Resultats - informe'!$E$29),0,1,1)</f>
        <v>0</v>
      </c>
      <c r="N6896" s="366">
        <f>+VLOOKUP(D6896,'Resultats - informe'!$Y$18:$AG$42,'Introducció dades consum'!K6896+1,0)</f>
        <v>0</v>
      </c>
      <c r="O6896" s="370" cm="1">
        <f t="array" ref="O6896">+_xlfn.SWITCH(MONTH(C6896),1,1,2,1,3,1,4,2,5,2,6,3,7,3,8,3,9,3,10,2,11,2,12,1,2)</f>
        <v>1</v>
      </c>
      <c r="P6896" s="43"/>
    </row>
    <row r="6897" spans="1:16" ht="18" x14ac:dyDescent="0.35">
      <c r="A6897" s="9"/>
      <c r="C6897" s="393"/>
      <c r="E6897" s="394"/>
      <c r="F6897" s="394"/>
      <c r="G6897" s="394"/>
      <c r="I6897" s="368">
        <f t="shared" si="327"/>
        <v>0</v>
      </c>
      <c r="J6897" s="365">
        <f t="shared" si="328"/>
        <v>0</v>
      </c>
      <c r="K6897" s="369">
        <f t="shared" si="329"/>
        <v>6</v>
      </c>
      <c r="L6897" s="369">
        <f>+IF((C6897&gt;='Resultats - informe'!$E$16)*(C6897&lt;='Resultats - informe'!$G$16),1,0)</f>
        <v>1</v>
      </c>
      <c r="M6897" s="369" cm="1">
        <f t="array" ref="M6897">+_xlfn.IFS((C6897&gt;='Resultats - informe'!$D$26)*(C6897&lt;='Resultats - informe'!$E$26),0,(C6897&gt;='Resultats - informe'!$D$27)*(C6897&lt;='Resultats - informe'!$E$27),0,(C6897&gt;='Resultats - informe'!$D$28)*(C6897&lt;='Resultats - informe'!$E$28),0,(C6897&gt;='Resultats - informe'!$D$29)*(C6897&lt;='Resultats - informe'!$E$29),0,1,1)</f>
        <v>0</v>
      </c>
      <c r="N6897" s="366">
        <f>+VLOOKUP(D6897,'Resultats - informe'!$Y$18:$AG$42,'Introducció dades consum'!K6897+1,0)</f>
        <v>0</v>
      </c>
      <c r="O6897" s="370" cm="1">
        <f t="array" ref="O6897">+_xlfn.SWITCH(MONTH(C6897),1,1,2,1,3,1,4,2,5,2,6,3,7,3,8,3,9,3,10,2,11,2,12,1,2)</f>
        <v>1</v>
      </c>
      <c r="P6897" s="43"/>
    </row>
    <row r="6898" spans="1:16" ht="18" x14ac:dyDescent="0.35">
      <c r="A6898" s="9"/>
      <c r="C6898" s="393"/>
      <c r="E6898" s="394"/>
      <c r="F6898" s="394"/>
      <c r="G6898" s="394"/>
      <c r="I6898" s="368">
        <f t="shared" si="327"/>
        <v>0</v>
      </c>
      <c r="J6898" s="365">
        <f t="shared" si="328"/>
        <v>0</v>
      </c>
      <c r="K6898" s="369">
        <f t="shared" si="329"/>
        <v>6</v>
      </c>
      <c r="L6898" s="369">
        <f>+IF((C6898&gt;='Resultats - informe'!$E$16)*(C6898&lt;='Resultats - informe'!$G$16),1,0)</f>
        <v>1</v>
      </c>
      <c r="M6898" s="369" cm="1">
        <f t="array" ref="M6898">+_xlfn.IFS((C6898&gt;='Resultats - informe'!$D$26)*(C6898&lt;='Resultats - informe'!$E$26),0,(C6898&gt;='Resultats - informe'!$D$27)*(C6898&lt;='Resultats - informe'!$E$27),0,(C6898&gt;='Resultats - informe'!$D$28)*(C6898&lt;='Resultats - informe'!$E$28),0,(C6898&gt;='Resultats - informe'!$D$29)*(C6898&lt;='Resultats - informe'!$E$29),0,1,1)</f>
        <v>0</v>
      </c>
      <c r="N6898" s="366">
        <f>+VLOOKUP(D6898,'Resultats - informe'!$Y$18:$AG$42,'Introducció dades consum'!K6898+1,0)</f>
        <v>0</v>
      </c>
      <c r="O6898" s="370" cm="1">
        <f t="array" ref="O6898">+_xlfn.SWITCH(MONTH(C6898),1,1,2,1,3,1,4,2,5,2,6,3,7,3,8,3,9,3,10,2,11,2,12,1,2)</f>
        <v>1</v>
      </c>
      <c r="P6898" s="43"/>
    </row>
    <row r="6899" spans="1:16" ht="18" x14ac:dyDescent="0.35">
      <c r="A6899" s="9"/>
      <c r="C6899" s="393"/>
      <c r="E6899" s="394"/>
      <c r="F6899" s="394"/>
      <c r="G6899" s="394"/>
      <c r="I6899" s="368">
        <f t="shared" si="327"/>
        <v>0</v>
      </c>
      <c r="J6899" s="365">
        <f t="shared" si="328"/>
        <v>0</v>
      </c>
      <c r="K6899" s="369">
        <f t="shared" si="329"/>
        <v>6</v>
      </c>
      <c r="L6899" s="369">
        <f>+IF((C6899&gt;='Resultats - informe'!$E$16)*(C6899&lt;='Resultats - informe'!$G$16),1,0)</f>
        <v>1</v>
      </c>
      <c r="M6899" s="369" cm="1">
        <f t="array" ref="M6899">+_xlfn.IFS((C6899&gt;='Resultats - informe'!$D$26)*(C6899&lt;='Resultats - informe'!$E$26),0,(C6899&gt;='Resultats - informe'!$D$27)*(C6899&lt;='Resultats - informe'!$E$27),0,(C6899&gt;='Resultats - informe'!$D$28)*(C6899&lt;='Resultats - informe'!$E$28),0,(C6899&gt;='Resultats - informe'!$D$29)*(C6899&lt;='Resultats - informe'!$E$29),0,1,1)</f>
        <v>0</v>
      </c>
      <c r="N6899" s="366">
        <f>+VLOOKUP(D6899,'Resultats - informe'!$Y$18:$AG$42,'Introducció dades consum'!K6899+1,0)</f>
        <v>0</v>
      </c>
      <c r="O6899" s="370" cm="1">
        <f t="array" ref="O6899">+_xlfn.SWITCH(MONTH(C6899),1,1,2,1,3,1,4,2,5,2,6,3,7,3,8,3,9,3,10,2,11,2,12,1,2)</f>
        <v>1</v>
      </c>
      <c r="P6899" s="43"/>
    </row>
    <row r="6900" spans="1:16" ht="18" x14ac:dyDescent="0.35">
      <c r="A6900" s="9"/>
      <c r="C6900" s="393"/>
      <c r="E6900" s="394"/>
      <c r="F6900" s="394"/>
      <c r="G6900" s="394"/>
      <c r="I6900" s="368">
        <f t="shared" si="327"/>
        <v>0</v>
      </c>
      <c r="J6900" s="365">
        <f t="shared" si="328"/>
        <v>0</v>
      </c>
      <c r="K6900" s="369">
        <f t="shared" si="329"/>
        <v>6</v>
      </c>
      <c r="L6900" s="369">
        <f>+IF((C6900&gt;='Resultats - informe'!$E$16)*(C6900&lt;='Resultats - informe'!$G$16),1,0)</f>
        <v>1</v>
      </c>
      <c r="M6900" s="369" cm="1">
        <f t="array" ref="M6900">+_xlfn.IFS((C6900&gt;='Resultats - informe'!$D$26)*(C6900&lt;='Resultats - informe'!$E$26),0,(C6900&gt;='Resultats - informe'!$D$27)*(C6900&lt;='Resultats - informe'!$E$27),0,(C6900&gt;='Resultats - informe'!$D$28)*(C6900&lt;='Resultats - informe'!$E$28),0,(C6900&gt;='Resultats - informe'!$D$29)*(C6900&lt;='Resultats - informe'!$E$29),0,1,1)</f>
        <v>0</v>
      </c>
      <c r="N6900" s="366">
        <f>+VLOOKUP(D6900,'Resultats - informe'!$Y$18:$AG$42,'Introducció dades consum'!K6900+1,0)</f>
        <v>0</v>
      </c>
      <c r="O6900" s="370" cm="1">
        <f t="array" ref="O6900">+_xlfn.SWITCH(MONTH(C6900),1,1,2,1,3,1,4,2,5,2,6,3,7,3,8,3,9,3,10,2,11,2,12,1,2)</f>
        <v>1</v>
      </c>
      <c r="P6900" s="43"/>
    </row>
    <row r="6901" spans="1:16" ht="18" x14ac:dyDescent="0.35">
      <c r="A6901" s="9"/>
      <c r="C6901" s="393"/>
      <c r="E6901" s="394"/>
      <c r="F6901" s="394"/>
      <c r="G6901" s="394"/>
      <c r="I6901" s="368">
        <f t="shared" si="327"/>
        <v>0</v>
      </c>
      <c r="J6901" s="365">
        <f t="shared" si="328"/>
        <v>0</v>
      </c>
      <c r="K6901" s="369">
        <f t="shared" si="329"/>
        <v>6</v>
      </c>
      <c r="L6901" s="369">
        <f>+IF((C6901&gt;='Resultats - informe'!$E$16)*(C6901&lt;='Resultats - informe'!$G$16),1,0)</f>
        <v>1</v>
      </c>
      <c r="M6901" s="369" cm="1">
        <f t="array" ref="M6901">+_xlfn.IFS((C6901&gt;='Resultats - informe'!$D$26)*(C6901&lt;='Resultats - informe'!$E$26),0,(C6901&gt;='Resultats - informe'!$D$27)*(C6901&lt;='Resultats - informe'!$E$27),0,(C6901&gt;='Resultats - informe'!$D$28)*(C6901&lt;='Resultats - informe'!$E$28),0,(C6901&gt;='Resultats - informe'!$D$29)*(C6901&lt;='Resultats - informe'!$E$29),0,1,1)</f>
        <v>0</v>
      </c>
      <c r="N6901" s="366">
        <f>+VLOOKUP(D6901,'Resultats - informe'!$Y$18:$AG$42,'Introducció dades consum'!K6901+1,0)</f>
        <v>0</v>
      </c>
      <c r="O6901" s="370" cm="1">
        <f t="array" ref="O6901">+_xlfn.SWITCH(MONTH(C6901),1,1,2,1,3,1,4,2,5,2,6,3,7,3,8,3,9,3,10,2,11,2,12,1,2)</f>
        <v>1</v>
      </c>
      <c r="P6901" s="43"/>
    </row>
    <row r="6902" spans="1:16" ht="18" x14ac:dyDescent="0.35">
      <c r="A6902" s="9"/>
      <c r="C6902" s="393"/>
      <c r="E6902" s="394"/>
      <c r="F6902" s="394"/>
      <c r="G6902" s="394"/>
      <c r="I6902" s="368">
        <f t="shared" si="327"/>
        <v>0</v>
      </c>
      <c r="J6902" s="365">
        <f t="shared" si="328"/>
        <v>0</v>
      </c>
      <c r="K6902" s="369">
        <f t="shared" si="329"/>
        <v>6</v>
      </c>
      <c r="L6902" s="369">
        <f>+IF((C6902&gt;='Resultats - informe'!$E$16)*(C6902&lt;='Resultats - informe'!$G$16),1,0)</f>
        <v>1</v>
      </c>
      <c r="M6902" s="369" cm="1">
        <f t="array" ref="M6902">+_xlfn.IFS((C6902&gt;='Resultats - informe'!$D$26)*(C6902&lt;='Resultats - informe'!$E$26),0,(C6902&gt;='Resultats - informe'!$D$27)*(C6902&lt;='Resultats - informe'!$E$27),0,(C6902&gt;='Resultats - informe'!$D$28)*(C6902&lt;='Resultats - informe'!$E$28),0,(C6902&gt;='Resultats - informe'!$D$29)*(C6902&lt;='Resultats - informe'!$E$29),0,1,1)</f>
        <v>0</v>
      </c>
      <c r="N6902" s="366">
        <f>+VLOOKUP(D6902,'Resultats - informe'!$Y$18:$AG$42,'Introducció dades consum'!K6902+1,0)</f>
        <v>0</v>
      </c>
      <c r="O6902" s="370" cm="1">
        <f t="array" ref="O6902">+_xlfn.SWITCH(MONTH(C6902),1,1,2,1,3,1,4,2,5,2,6,3,7,3,8,3,9,3,10,2,11,2,12,1,2)</f>
        <v>1</v>
      </c>
      <c r="P6902" s="43"/>
    </row>
    <row r="6903" spans="1:16" ht="18" x14ac:dyDescent="0.35">
      <c r="A6903" s="9"/>
      <c r="C6903" s="393"/>
      <c r="E6903" s="394"/>
      <c r="F6903" s="394"/>
      <c r="G6903" s="394"/>
      <c r="I6903" s="368">
        <f t="shared" si="327"/>
        <v>0</v>
      </c>
      <c r="J6903" s="365">
        <f t="shared" si="328"/>
        <v>0</v>
      </c>
      <c r="K6903" s="369">
        <f t="shared" si="329"/>
        <v>6</v>
      </c>
      <c r="L6903" s="369">
        <f>+IF((C6903&gt;='Resultats - informe'!$E$16)*(C6903&lt;='Resultats - informe'!$G$16),1,0)</f>
        <v>1</v>
      </c>
      <c r="M6903" s="369" cm="1">
        <f t="array" ref="M6903">+_xlfn.IFS((C6903&gt;='Resultats - informe'!$D$26)*(C6903&lt;='Resultats - informe'!$E$26),0,(C6903&gt;='Resultats - informe'!$D$27)*(C6903&lt;='Resultats - informe'!$E$27),0,(C6903&gt;='Resultats - informe'!$D$28)*(C6903&lt;='Resultats - informe'!$E$28),0,(C6903&gt;='Resultats - informe'!$D$29)*(C6903&lt;='Resultats - informe'!$E$29),0,1,1)</f>
        <v>0</v>
      </c>
      <c r="N6903" s="366">
        <f>+VLOOKUP(D6903,'Resultats - informe'!$Y$18:$AG$42,'Introducció dades consum'!K6903+1,0)</f>
        <v>0</v>
      </c>
      <c r="O6903" s="370" cm="1">
        <f t="array" ref="O6903">+_xlfn.SWITCH(MONTH(C6903),1,1,2,1,3,1,4,2,5,2,6,3,7,3,8,3,9,3,10,2,11,2,12,1,2)</f>
        <v>1</v>
      </c>
      <c r="P6903" s="43"/>
    </row>
    <row r="6904" spans="1:16" ht="18" x14ac:dyDescent="0.35">
      <c r="A6904" s="9"/>
      <c r="C6904" s="393"/>
      <c r="E6904" s="394"/>
      <c r="F6904" s="394"/>
      <c r="G6904" s="394"/>
      <c r="I6904" s="368">
        <f t="shared" si="327"/>
        <v>0</v>
      </c>
      <c r="J6904" s="365">
        <f t="shared" si="328"/>
        <v>0</v>
      </c>
      <c r="K6904" s="369">
        <f t="shared" si="329"/>
        <v>6</v>
      </c>
      <c r="L6904" s="369">
        <f>+IF((C6904&gt;='Resultats - informe'!$E$16)*(C6904&lt;='Resultats - informe'!$G$16),1,0)</f>
        <v>1</v>
      </c>
      <c r="M6904" s="369" cm="1">
        <f t="array" ref="M6904">+_xlfn.IFS((C6904&gt;='Resultats - informe'!$D$26)*(C6904&lt;='Resultats - informe'!$E$26),0,(C6904&gt;='Resultats - informe'!$D$27)*(C6904&lt;='Resultats - informe'!$E$27),0,(C6904&gt;='Resultats - informe'!$D$28)*(C6904&lt;='Resultats - informe'!$E$28),0,(C6904&gt;='Resultats - informe'!$D$29)*(C6904&lt;='Resultats - informe'!$E$29),0,1,1)</f>
        <v>0</v>
      </c>
      <c r="N6904" s="366">
        <f>+VLOOKUP(D6904,'Resultats - informe'!$Y$18:$AG$42,'Introducció dades consum'!K6904+1,0)</f>
        <v>0</v>
      </c>
      <c r="O6904" s="370" cm="1">
        <f t="array" ref="O6904">+_xlfn.SWITCH(MONTH(C6904),1,1,2,1,3,1,4,2,5,2,6,3,7,3,8,3,9,3,10,2,11,2,12,1,2)</f>
        <v>1</v>
      </c>
      <c r="P6904" s="43"/>
    </row>
    <row r="6905" spans="1:16" ht="18" x14ac:dyDescent="0.35">
      <c r="A6905" s="9"/>
      <c r="C6905" s="393"/>
      <c r="E6905" s="394"/>
      <c r="F6905" s="394"/>
      <c r="G6905" s="394"/>
      <c r="I6905" s="368">
        <f t="shared" si="327"/>
        <v>0</v>
      </c>
      <c r="J6905" s="365">
        <f t="shared" si="328"/>
        <v>0</v>
      </c>
      <c r="K6905" s="369">
        <f t="shared" si="329"/>
        <v>6</v>
      </c>
      <c r="L6905" s="369">
        <f>+IF((C6905&gt;='Resultats - informe'!$E$16)*(C6905&lt;='Resultats - informe'!$G$16),1,0)</f>
        <v>1</v>
      </c>
      <c r="M6905" s="369" cm="1">
        <f t="array" ref="M6905">+_xlfn.IFS((C6905&gt;='Resultats - informe'!$D$26)*(C6905&lt;='Resultats - informe'!$E$26),0,(C6905&gt;='Resultats - informe'!$D$27)*(C6905&lt;='Resultats - informe'!$E$27),0,(C6905&gt;='Resultats - informe'!$D$28)*(C6905&lt;='Resultats - informe'!$E$28),0,(C6905&gt;='Resultats - informe'!$D$29)*(C6905&lt;='Resultats - informe'!$E$29),0,1,1)</f>
        <v>0</v>
      </c>
      <c r="N6905" s="366">
        <f>+VLOOKUP(D6905,'Resultats - informe'!$Y$18:$AG$42,'Introducció dades consum'!K6905+1,0)</f>
        <v>0</v>
      </c>
      <c r="O6905" s="370" cm="1">
        <f t="array" ref="O6905">+_xlfn.SWITCH(MONTH(C6905),1,1,2,1,3,1,4,2,5,2,6,3,7,3,8,3,9,3,10,2,11,2,12,1,2)</f>
        <v>1</v>
      </c>
      <c r="P6905" s="43"/>
    </row>
    <row r="6906" spans="1:16" ht="18" x14ac:dyDescent="0.35">
      <c r="A6906" s="9"/>
      <c r="C6906" s="393"/>
      <c r="E6906" s="394"/>
      <c r="F6906" s="394"/>
      <c r="G6906" s="394"/>
      <c r="I6906" s="368">
        <f t="shared" si="327"/>
        <v>0</v>
      </c>
      <c r="J6906" s="365">
        <f t="shared" si="328"/>
        <v>0</v>
      </c>
      <c r="K6906" s="369">
        <f t="shared" si="329"/>
        <v>6</v>
      </c>
      <c r="L6906" s="369">
        <f>+IF((C6906&gt;='Resultats - informe'!$E$16)*(C6906&lt;='Resultats - informe'!$G$16),1,0)</f>
        <v>1</v>
      </c>
      <c r="M6906" s="369" cm="1">
        <f t="array" ref="M6906">+_xlfn.IFS((C6906&gt;='Resultats - informe'!$D$26)*(C6906&lt;='Resultats - informe'!$E$26),0,(C6906&gt;='Resultats - informe'!$D$27)*(C6906&lt;='Resultats - informe'!$E$27),0,(C6906&gt;='Resultats - informe'!$D$28)*(C6906&lt;='Resultats - informe'!$E$28),0,(C6906&gt;='Resultats - informe'!$D$29)*(C6906&lt;='Resultats - informe'!$E$29),0,1,1)</f>
        <v>0</v>
      </c>
      <c r="N6906" s="366">
        <f>+VLOOKUP(D6906,'Resultats - informe'!$Y$18:$AG$42,'Introducció dades consum'!K6906+1,0)</f>
        <v>0</v>
      </c>
      <c r="O6906" s="370" cm="1">
        <f t="array" ref="O6906">+_xlfn.SWITCH(MONTH(C6906),1,1,2,1,3,1,4,2,5,2,6,3,7,3,8,3,9,3,10,2,11,2,12,1,2)</f>
        <v>1</v>
      </c>
      <c r="P6906" s="43"/>
    </row>
    <row r="6907" spans="1:16" ht="18" x14ac:dyDescent="0.35">
      <c r="A6907" s="9"/>
      <c r="C6907" s="393"/>
      <c r="E6907" s="394"/>
      <c r="F6907" s="394"/>
      <c r="G6907" s="394"/>
      <c r="I6907" s="368">
        <f t="shared" si="327"/>
        <v>0</v>
      </c>
      <c r="J6907" s="365">
        <f t="shared" si="328"/>
        <v>0</v>
      </c>
      <c r="K6907" s="369">
        <f t="shared" si="329"/>
        <v>6</v>
      </c>
      <c r="L6907" s="369">
        <f>+IF((C6907&gt;='Resultats - informe'!$E$16)*(C6907&lt;='Resultats - informe'!$G$16),1,0)</f>
        <v>1</v>
      </c>
      <c r="M6907" s="369" cm="1">
        <f t="array" ref="M6907">+_xlfn.IFS((C6907&gt;='Resultats - informe'!$D$26)*(C6907&lt;='Resultats - informe'!$E$26),0,(C6907&gt;='Resultats - informe'!$D$27)*(C6907&lt;='Resultats - informe'!$E$27),0,(C6907&gt;='Resultats - informe'!$D$28)*(C6907&lt;='Resultats - informe'!$E$28),0,(C6907&gt;='Resultats - informe'!$D$29)*(C6907&lt;='Resultats - informe'!$E$29),0,1,1)</f>
        <v>0</v>
      </c>
      <c r="N6907" s="366">
        <f>+VLOOKUP(D6907,'Resultats - informe'!$Y$18:$AG$42,'Introducció dades consum'!K6907+1,0)</f>
        <v>0</v>
      </c>
      <c r="O6907" s="370" cm="1">
        <f t="array" ref="O6907">+_xlfn.SWITCH(MONTH(C6907),1,1,2,1,3,1,4,2,5,2,6,3,7,3,8,3,9,3,10,2,11,2,12,1,2)</f>
        <v>1</v>
      </c>
      <c r="P6907" s="43"/>
    </row>
    <row r="6908" spans="1:16" ht="18" x14ac:dyDescent="0.35">
      <c r="A6908" s="9"/>
      <c r="C6908" s="393"/>
      <c r="E6908" s="394"/>
      <c r="F6908" s="394"/>
      <c r="G6908" s="394"/>
      <c r="I6908" s="368">
        <f t="shared" si="327"/>
        <v>0</v>
      </c>
      <c r="J6908" s="365">
        <f t="shared" si="328"/>
        <v>0</v>
      </c>
      <c r="K6908" s="369">
        <f t="shared" si="329"/>
        <v>6</v>
      </c>
      <c r="L6908" s="369">
        <f>+IF((C6908&gt;='Resultats - informe'!$E$16)*(C6908&lt;='Resultats - informe'!$G$16),1,0)</f>
        <v>1</v>
      </c>
      <c r="M6908" s="369" cm="1">
        <f t="array" ref="M6908">+_xlfn.IFS((C6908&gt;='Resultats - informe'!$D$26)*(C6908&lt;='Resultats - informe'!$E$26),0,(C6908&gt;='Resultats - informe'!$D$27)*(C6908&lt;='Resultats - informe'!$E$27),0,(C6908&gt;='Resultats - informe'!$D$28)*(C6908&lt;='Resultats - informe'!$E$28),0,(C6908&gt;='Resultats - informe'!$D$29)*(C6908&lt;='Resultats - informe'!$E$29),0,1,1)</f>
        <v>0</v>
      </c>
      <c r="N6908" s="366">
        <f>+VLOOKUP(D6908,'Resultats - informe'!$Y$18:$AG$42,'Introducció dades consum'!K6908+1,0)</f>
        <v>0</v>
      </c>
      <c r="O6908" s="370" cm="1">
        <f t="array" ref="O6908">+_xlfn.SWITCH(MONTH(C6908),1,1,2,1,3,1,4,2,5,2,6,3,7,3,8,3,9,3,10,2,11,2,12,1,2)</f>
        <v>1</v>
      </c>
      <c r="P6908" s="43"/>
    </row>
    <row r="6909" spans="1:16" ht="18" x14ac:dyDescent="0.35">
      <c r="A6909" s="9"/>
      <c r="C6909" s="393"/>
      <c r="E6909" s="394"/>
      <c r="F6909" s="394"/>
      <c r="G6909" s="394"/>
      <c r="I6909" s="368">
        <f t="shared" si="327"/>
        <v>0</v>
      </c>
      <c r="J6909" s="365">
        <f t="shared" si="328"/>
        <v>0</v>
      </c>
      <c r="K6909" s="369">
        <f t="shared" si="329"/>
        <v>6</v>
      </c>
      <c r="L6909" s="369">
        <f>+IF((C6909&gt;='Resultats - informe'!$E$16)*(C6909&lt;='Resultats - informe'!$G$16),1,0)</f>
        <v>1</v>
      </c>
      <c r="M6909" s="369" cm="1">
        <f t="array" ref="M6909">+_xlfn.IFS((C6909&gt;='Resultats - informe'!$D$26)*(C6909&lt;='Resultats - informe'!$E$26),0,(C6909&gt;='Resultats - informe'!$D$27)*(C6909&lt;='Resultats - informe'!$E$27),0,(C6909&gt;='Resultats - informe'!$D$28)*(C6909&lt;='Resultats - informe'!$E$28),0,(C6909&gt;='Resultats - informe'!$D$29)*(C6909&lt;='Resultats - informe'!$E$29),0,1,1)</f>
        <v>0</v>
      </c>
      <c r="N6909" s="366">
        <f>+VLOOKUP(D6909,'Resultats - informe'!$Y$18:$AG$42,'Introducció dades consum'!K6909+1,0)</f>
        <v>0</v>
      </c>
      <c r="O6909" s="370" cm="1">
        <f t="array" ref="O6909">+_xlfn.SWITCH(MONTH(C6909),1,1,2,1,3,1,4,2,5,2,6,3,7,3,8,3,9,3,10,2,11,2,12,1,2)</f>
        <v>1</v>
      </c>
      <c r="P6909" s="43"/>
    </row>
    <row r="6910" spans="1:16" ht="18" x14ac:dyDescent="0.35">
      <c r="A6910" s="9"/>
      <c r="C6910" s="393"/>
      <c r="E6910" s="394"/>
      <c r="F6910" s="394"/>
      <c r="G6910" s="394"/>
      <c r="I6910" s="368">
        <f t="shared" si="327"/>
        <v>0</v>
      </c>
      <c r="J6910" s="365">
        <f t="shared" si="328"/>
        <v>0</v>
      </c>
      <c r="K6910" s="369">
        <f t="shared" si="329"/>
        <v>6</v>
      </c>
      <c r="L6910" s="369">
        <f>+IF((C6910&gt;='Resultats - informe'!$E$16)*(C6910&lt;='Resultats - informe'!$G$16),1,0)</f>
        <v>1</v>
      </c>
      <c r="M6910" s="369" cm="1">
        <f t="array" ref="M6910">+_xlfn.IFS((C6910&gt;='Resultats - informe'!$D$26)*(C6910&lt;='Resultats - informe'!$E$26),0,(C6910&gt;='Resultats - informe'!$D$27)*(C6910&lt;='Resultats - informe'!$E$27),0,(C6910&gt;='Resultats - informe'!$D$28)*(C6910&lt;='Resultats - informe'!$E$28),0,(C6910&gt;='Resultats - informe'!$D$29)*(C6910&lt;='Resultats - informe'!$E$29),0,1,1)</f>
        <v>0</v>
      </c>
      <c r="N6910" s="366">
        <f>+VLOOKUP(D6910,'Resultats - informe'!$Y$18:$AG$42,'Introducció dades consum'!K6910+1,0)</f>
        <v>0</v>
      </c>
      <c r="O6910" s="370" cm="1">
        <f t="array" ref="O6910">+_xlfn.SWITCH(MONTH(C6910),1,1,2,1,3,1,4,2,5,2,6,3,7,3,8,3,9,3,10,2,11,2,12,1,2)</f>
        <v>1</v>
      </c>
      <c r="P6910" s="43"/>
    </row>
    <row r="6911" spans="1:16" ht="18" x14ac:dyDescent="0.35">
      <c r="A6911" s="9"/>
      <c r="C6911" s="393"/>
      <c r="E6911" s="394"/>
      <c r="F6911" s="394"/>
      <c r="G6911" s="394"/>
      <c r="I6911" s="368">
        <f t="shared" si="327"/>
        <v>0</v>
      </c>
      <c r="J6911" s="365">
        <f t="shared" si="328"/>
        <v>0</v>
      </c>
      <c r="K6911" s="369">
        <f t="shared" si="329"/>
        <v>6</v>
      </c>
      <c r="L6911" s="369">
        <f>+IF((C6911&gt;='Resultats - informe'!$E$16)*(C6911&lt;='Resultats - informe'!$G$16),1,0)</f>
        <v>1</v>
      </c>
      <c r="M6911" s="369" cm="1">
        <f t="array" ref="M6911">+_xlfn.IFS((C6911&gt;='Resultats - informe'!$D$26)*(C6911&lt;='Resultats - informe'!$E$26),0,(C6911&gt;='Resultats - informe'!$D$27)*(C6911&lt;='Resultats - informe'!$E$27),0,(C6911&gt;='Resultats - informe'!$D$28)*(C6911&lt;='Resultats - informe'!$E$28),0,(C6911&gt;='Resultats - informe'!$D$29)*(C6911&lt;='Resultats - informe'!$E$29),0,1,1)</f>
        <v>0</v>
      </c>
      <c r="N6911" s="366">
        <f>+VLOOKUP(D6911,'Resultats - informe'!$Y$18:$AG$42,'Introducció dades consum'!K6911+1,0)</f>
        <v>0</v>
      </c>
      <c r="O6911" s="370" cm="1">
        <f t="array" ref="O6911">+_xlfn.SWITCH(MONTH(C6911),1,1,2,1,3,1,4,2,5,2,6,3,7,3,8,3,9,3,10,2,11,2,12,1,2)</f>
        <v>1</v>
      </c>
      <c r="P6911" s="43"/>
    </row>
    <row r="6912" spans="1:16" ht="18" x14ac:dyDescent="0.35">
      <c r="A6912" s="9"/>
      <c r="C6912" s="393"/>
      <c r="E6912" s="394"/>
      <c r="F6912" s="394"/>
      <c r="G6912" s="394"/>
      <c r="I6912" s="368">
        <f t="shared" si="327"/>
        <v>0</v>
      </c>
      <c r="J6912" s="365">
        <f t="shared" si="328"/>
        <v>0</v>
      </c>
      <c r="K6912" s="369">
        <f t="shared" si="329"/>
        <v>6</v>
      </c>
      <c r="L6912" s="369">
        <f>+IF((C6912&gt;='Resultats - informe'!$E$16)*(C6912&lt;='Resultats - informe'!$G$16),1,0)</f>
        <v>1</v>
      </c>
      <c r="M6912" s="369" cm="1">
        <f t="array" ref="M6912">+_xlfn.IFS((C6912&gt;='Resultats - informe'!$D$26)*(C6912&lt;='Resultats - informe'!$E$26),0,(C6912&gt;='Resultats - informe'!$D$27)*(C6912&lt;='Resultats - informe'!$E$27),0,(C6912&gt;='Resultats - informe'!$D$28)*(C6912&lt;='Resultats - informe'!$E$28),0,(C6912&gt;='Resultats - informe'!$D$29)*(C6912&lt;='Resultats - informe'!$E$29),0,1,1)</f>
        <v>0</v>
      </c>
      <c r="N6912" s="366">
        <f>+VLOOKUP(D6912,'Resultats - informe'!$Y$18:$AG$42,'Introducció dades consum'!K6912+1,0)</f>
        <v>0</v>
      </c>
      <c r="O6912" s="370" cm="1">
        <f t="array" ref="O6912">+_xlfn.SWITCH(MONTH(C6912),1,1,2,1,3,1,4,2,5,2,6,3,7,3,8,3,9,3,10,2,11,2,12,1,2)</f>
        <v>1</v>
      </c>
      <c r="P6912" s="43"/>
    </row>
    <row r="6913" spans="1:16" ht="18" x14ac:dyDescent="0.35">
      <c r="A6913" s="9"/>
      <c r="C6913" s="393"/>
      <c r="E6913" s="394"/>
      <c r="F6913" s="394"/>
      <c r="G6913" s="394"/>
      <c r="I6913" s="368">
        <f t="shared" si="327"/>
        <v>0</v>
      </c>
      <c r="J6913" s="365">
        <f t="shared" si="328"/>
        <v>0</v>
      </c>
      <c r="K6913" s="369">
        <f t="shared" si="329"/>
        <v>6</v>
      </c>
      <c r="L6913" s="369">
        <f>+IF((C6913&gt;='Resultats - informe'!$E$16)*(C6913&lt;='Resultats - informe'!$G$16),1,0)</f>
        <v>1</v>
      </c>
      <c r="M6913" s="369" cm="1">
        <f t="array" ref="M6913">+_xlfn.IFS((C6913&gt;='Resultats - informe'!$D$26)*(C6913&lt;='Resultats - informe'!$E$26),0,(C6913&gt;='Resultats - informe'!$D$27)*(C6913&lt;='Resultats - informe'!$E$27),0,(C6913&gt;='Resultats - informe'!$D$28)*(C6913&lt;='Resultats - informe'!$E$28),0,(C6913&gt;='Resultats - informe'!$D$29)*(C6913&lt;='Resultats - informe'!$E$29),0,1,1)</f>
        <v>0</v>
      </c>
      <c r="N6913" s="366">
        <f>+VLOOKUP(D6913,'Resultats - informe'!$Y$18:$AG$42,'Introducció dades consum'!K6913+1,0)</f>
        <v>0</v>
      </c>
      <c r="O6913" s="370" cm="1">
        <f t="array" ref="O6913">+_xlfn.SWITCH(MONTH(C6913),1,1,2,1,3,1,4,2,5,2,6,3,7,3,8,3,9,3,10,2,11,2,12,1,2)</f>
        <v>1</v>
      </c>
      <c r="P6913" s="43"/>
    </row>
    <row r="6914" spans="1:16" ht="18" x14ac:dyDescent="0.35">
      <c r="A6914" s="9"/>
      <c r="C6914" s="393"/>
      <c r="E6914" s="394"/>
      <c r="F6914" s="394"/>
      <c r="G6914" s="394"/>
      <c r="I6914" s="368">
        <f t="shared" si="327"/>
        <v>0</v>
      </c>
      <c r="J6914" s="365">
        <f t="shared" si="328"/>
        <v>0</v>
      </c>
      <c r="K6914" s="369">
        <f t="shared" si="329"/>
        <v>6</v>
      </c>
      <c r="L6914" s="369">
        <f>+IF((C6914&gt;='Resultats - informe'!$E$16)*(C6914&lt;='Resultats - informe'!$G$16),1,0)</f>
        <v>1</v>
      </c>
      <c r="M6914" s="369" cm="1">
        <f t="array" ref="M6914">+_xlfn.IFS((C6914&gt;='Resultats - informe'!$D$26)*(C6914&lt;='Resultats - informe'!$E$26),0,(C6914&gt;='Resultats - informe'!$D$27)*(C6914&lt;='Resultats - informe'!$E$27),0,(C6914&gt;='Resultats - informe'!$D$28)*(C6914&lt;='Resultats - informe'!$E$28),0,(C6914&gt;='Resultats - informe'!$D$29)*(C6914&lt;='Resultats - informe'!$E$29),0,1,1)</f>
        <v>0</v>
      </c>
      <c r="N6914" s="366">
        <f>+VLOOKUP(D6914,'Resultats - informe'!$Y$18:$AG$42,'Introducció dades consum'!K6914+1,0)</f>
        <v>0</v>
      </c>
      <c r="O6914" s="370" cm="1">
        <f t="array" ref="O6914">+_xlfn.SWITCH(MONTH(C6914),1,1,2,1,3,1,4,2,5,2,6,3,7,3,8,3,9,3,10,2,11,2,12,1,2)</f>
        <v>1</v>
      </c>
      <c r="P6914" s="43"/>
    </row>
    <row r="6915" spans="1:16" ht="18" x14ac:dyDescent="0.35">
      <c r="A6915" s="9"/>
      <c r="C6915" s="393"/>
      <c r="E6915" s="394"/>
      <c r="F6915" s="394"/>
      <c r="G6915" s="394"/>
      <c r="I6915" s="368">
        <f t="shared" si="327"/>
        <v>0</v>
      </c>
      <c r="J6915" s="365">
        <f t="shared" si="328"/>
        <v>0</v>
      </c>
      <c r="K6915" s="369">
        <f t="shared" si="329"/>
        <v>6</v>
      </c>
      <c r="L6915" s="369">
        <f>+IF((C6915&gt;='Resultats - informe'!$E$16)*(C6915&lt;='Resultats - informe'!$G$16),1,0)</f>
        <v>1</v>
      </c>
      <c r="M6915" s="369" cm="1">
        <f t="array" ref="M6915">+_xlfn.IFS((C6915&gt;='Resultats - informe'!$D$26)*(C6915&lt;='Resultats - informe'!$E$26),0,(C6915&gt;='Resultats - informe'!$D$27)*(C6915&lt;='Resultats - informe'!$E$27),0,(C6915&gt;='Resultats - informe'!$D$28)*(C6915&lt;='Resultats - informe'!$E$28),0,(C6915&gt;='Resultats - informe'!$D$29)*(C6915&lt;='Resultats - informe'!$E$29),0,1,1)</f>
        <v>0</v>
      </c>
      <c r="N6915" s="366">
        <f>+VLOOKUP(D6915,'Resultats - informe'!$Y$18:$AG$42,'Introducció dades consum'!K6915+1,0)</f>
        <v>0</v>
      </c>
      <c r="O6915" s="370" cm="1">
        <f t="array" ref="O6915">+_xlfn.SWITCH(MONTH(C6915),1,1,2,1,3,1,4,2,5,2,6,3,7,3,8,3,9,3,10,2,11,2,12,1,2)</f>
        <v>1</v>
      </c>
      <c r="P6915" s="43"/>
    </row>
    <row r="6916" spans="1:16" ht="18" x14ac:dyDescent="0.35">
      <c r="A6916" s="9"/>
      <c r="C6916" s="393"/>
      <c r="E6916" s="394"/>
      <c r="F6916" s="394"/>
      <c r="G6916" s="394"/>
      <c r="I6916" s="368">
        <f t="shared" si="327"/>
        <v>0</v>
      </c>
      <c r="J6916" s="365">
        <f t="shared" si="328"/>
        <v>0</v>
      </c>
      <c r="K6916" s="369">
        <f t="shared" si="329"/>
        <v>6</v>
      </c>
      <c r="L6916" s="369">
        <f>+IF((C6916&gt;='Resultats - informe'!$E$16)*(C6916&lt;='Resultats - informe'!$G$16),1,0)</f>
        <v>1</v>
      </c>
      <c r="M6916" s="369" cm="1">
        <f t="array" ref="M6916">+_xlfn.IFS((C6916&gt;='Resultats - informe'!$D$26)*(C6916&lt;='Resultats - informe'!$E$26),0,(C6916&gt;='Resultats - informe'!$D$27)*(C6916&lt;='Resultats - informe'!$E$27),0,(C6916&gt;='Resultats - informe'!$D$28)*(C6916&lt;='Resultats - informe'!$E$28),0,(C6916&gt;='Resultats - informe'!$D$29)*(C6916&lt;='Resultats - informe'!$E$29),0,1,1)</f>
        <v>0</v>
      </c>
      <c r="N6916" s="366">
        <f>+VLOOKUP(D6916,'Resultats - informe'!$Y$18:$AG$42,'Introducció dades consum'!K6916+1,0)</f>
        <v>0</v>
      </c>
      <c r="O6916" s="370" cm="1">
        <f t="array" ref="O6916">+_xlfn.SWITCH(MONTH(C6916),1,1,2,1,3,1,4,2,5,2,6,3,7,3,8,3,9,3,10,2,11,2,12,1,2)</f>
        <v>1</v>
      </c>
      <c r="P6916" s="43"/>
    </row>
    <row r="6917" spans="1:16" ht="18" x14ac:dyDescent="0.35">
      <c r="A6917" s="9"/>
      <c r="C6917" s="393"/>
      <c r="E6917" s="394"/>
      <c r="F6917" s="394"/>
      <c r="G6917" s="394"/>
      <c r="I6917" s="368">
        <f t="shared" si="327"/>
        <v>0</v>
      </c>
      <c r="J6917" s="365">
        <f t="shared" si="328"/>
        <v>0</v>
      </c>
      <c r="K6917" s="369">
        <f t="shared" si="329"/>
        <v>6</v>
      </c>
      <c r="L6917" s="369">
        <f>+IF((C6917&gt;='Resultats - informe'!$E$16)*(C6917&lt;='Resultats - informe'!$G$16),1,0)</f>
        <v>1</v>
      </c>
      <c r="M6917" s="369" cm="1">
        <f t="array" ref="M6917">+_xlfn.IFS((C6917&gt;='Resultats - informe'!$D$26)*(C6917&lt;='Resultats - informe'!$E$26),0,(C6917&gt;='Resultats - informe'!$D$27)*(C6917&lt;='Resultats - informe'!$E$27),0,(C6917&gt;='Resultats - informe'!$D$28)*(C6917&lt;='Resultats - informe'!$E$28),0,(C6917&gt;='Resultats - informe'!$D$29)*(C6917&lt;='Resultats - informe'!$E$29),0,1,1)</f>
        <v>0</v>
      </c>
      <c r="N6917" s="366">
        <f>+VLOOKUP(D6917,'Resultats - informe'!$Y$18:$AG$42,'Introducció dades consum'!K6917+1,0)</f>
        <v>0</v>
      </c>
      <c r="O6917" s="370" cm="1">
        <f t="array" ref="O6917">+_xlfn.SWITCH(MONTH(C6917),1,1,2,1,3,1,4,2,5,2,6,3,7,3,8,3,9,3,10,2,11,2,12,1,2)</f>
        <v>1</v>
      </c>
      <c r="P6917" s="43"/>
    </row>
    <row r="6918" spans="1:16" ht="18" x14ac:dyDescent="0.35">
      <c r="A6918" s="9"/>
      <c r="C6918" s="393"/>
      <c r="E6918" s="394"/>
      <c r="F6918" s="394"/>
      <c r="G6918" s="394"/>
      <c r="I6918" s="368">
        <f t="shared" si="327"/>
        <v>0</v>
      </c>
      <c r="J6918" s="365">
        <f t="shared" si="328"/>
        <v>0</v>
      </c>
      <c r="K6918" s="369">
        <f t="shared" si="329"/>
        <v>6</v>
      </c>
      <c r="L6918" s="369">
        <f>+IF((C6918&gt;='Resultats - informe'!$E$16)*(C6918&lt;='Resultats - informe'!$G$16),1,0)</f>
        <v>1</v>
      </c>
      <c r="M6918" s="369" cm="1">
        <f t="array" ref="M6918">+_xlfn.IFS((C6918&gt;='Resultats - informe'!$D$26)*(C6918&lt;='Resultats - informe'!$E$26),0,(C6918&gt;='Resultats - informe'!$D$27)*(C6918&lt;='Resultats - informe'!$E$27),0,(C6918&gt;='Resultats - informe'!$D$28)*(C6918&lt;='Resultats - informe'!$E$28),0,(C6918&gt;='Resultats - informe'!$D$29)*(C6918&lt;='Resultats - informe'!$E$29),0,1,1)</f>
        <v>0</v>
      </c>
      <c r="N6918" s="366">
        <f>+VLOOKUP(D6918,'Resultats - informe'!$Y$18:$AG$42,'Introducció dades consum'!K6918+1,0)</f>
        <v>0</v>
      </c>
      <c r="O6918" s="370" cm="1">
        <f t="array" ref="O6918">+_xlfn.SWITCH(MONTH(C6918),1,1,2,1,3,1,4,2,5,2,6,3,7,3,8,3,9,3,10,2,11,2,12,1,2)</f>
        <v>1</v>
      </c>
      <c r="P6918" s="43"/>
    </row>
    <row r="6919" spans="1:16" ht="18" x14ac:dyDescent="0.35">
      <c r="A6919" s="9"/>
      <c r="C6919" s="393"/>
      <c r="E6919" s="394"/>
      <c r="F6919" s="394"/>
      <c r="G6919" s="394"/>
      <c r="I6919" s="368">
        <f t="shared" si="327"/>
        <v>0</v>
      </c>
      <c r="J6919" s="365">
        <f t="shared" si="328"/>
        <v>0</v>
      </c>
      <c r="K6919" s="369">
        <f t="shared" si="329"/>
        <v>6</v>
      </c>
      <c r="L6919" s="369">
        <f>+IF((C6919&gt;='Resultats - informe'!$E$16)*(C6919&lt;='Resultats - informe'!$G$16),1,0)</f>
        <v>1</v>
      </c>
      <c r="M6919" s="369" cm="1">
        <f t="array" ref="M6919">+_xlfn.IFS((C6919&gt;='Resultats - informe'!$D$26)*(C6919&lt;='Resultats - informe'!$E$26),0,(C6919&gt;='Resultats - informe'!$D$27)*(C6919&lt;='Resultats - informe'!$E$27),0,(C6919&gt;='Resultats - informe'!$D$28)*(C6919&lt;='Resultats - informe'!$E$28),0,(C6919&gt;='Resultats - informe'!$D$29)*(C6919&lt;='Resultats - informe'!$E$29),0,1,1)</f>
        <v>0</v>
      </c>
      <c r="N6919" s="366">
        <f>+VLOOKUP(D6919,'Resultats - informe'!$Y$18:$AG$42,'Introducció dades consum'!K6919+1,0)</f>
        <v>0</v>
      </c>
      <c r="O6919" s="370" cm="1">
        <f t="array" ref="O6919">+_xlfn.SWITCH(MONTH(C6919),1,1,2,1,3,1,4,2,5,2,6,3,7,3,8,3,9,3,10,2,11,2,12,1,2)</f>
        <v>1</v>
      </c>
      <c r="P6919" s="43"/>
    </row>
    <row r="6920" spans="1:16" ht="18" x14ac:dyDescent="0.35">
      <c r="A6920" s="9"/>
      <c r="C6920" s="393"/>
      <c r="E6920" s="394"/>
      <c r="F6920" s="394"/>
      <c r="G6920" s="394"/>
      <c r="I6920" s="368">
        <f t="shared" si="327"/>
        <v>0</v>
      </c>
      <c r="J6920" s="365">
        <f t="shared" si="328"/>
        <v>0</v>
      </c>
      <c r="K6920" s="369">
        <f t="shared" si="329"/>
        <v>6</v>
      </c>
      <c r="L6920" s="369">
        <f>+IF((C6920&gt;='Resultats - informe'!$E$16)*(C6920&lt;='Resultats - informe'!$G$16),1,0)</f>
        <v>1</v>
      </c>
      <c r="M6920" s="369" cm="1">
        <f t="array" ref="M6920">+_xlfn.IFS((C6920&gt;='Resultats - informe'!$D$26)*(C6920&lt;='Resultats - informe'!$E$26),0,(C6920&gt;='Resultats - informe'!$D$27)*(C6920&lt;='Resultats - informe'!$E$27),0,(C6920&gt;='Resultats - informe'!$D$28)*(C6920&lt;='Resultats - informe'!$E$28),0,(C6920&gt;='Resultats - informe'!$D$29)*(C6920&lt;='Resultats - informe'!$E$29),0,1,1)</f>
        <v>0</v>
      </c>
      <c r="N6920" s="366">
        <f>+VLOOKUP(D6920,'Resultats - informe'!$Y$18:$AG$42,'Introducció dades consum'!K6920+1,0)</f>
        <v>0</v>
      </c>
      <c r="O6920" s="370" cm="1">
        <f t="array" ref="O6920">+_xlfn.SWITCH(MONTH(C6920),1,1,2,1,3,1,4,2,5,2,6,3,7,3,8,3,9,3,10,2,11,2,12,1,2)</f>
        <v>1</v>
      </c>
      <c r="P6920" s="43"/>
    </row>
    <row r="6921" spans="1:16" ht="18" x14ac:dyDescent="0.35">
      <c r="A6921" s="9"/>
      <c r="C6921" s="393"/>
      <c r="E6921" s="394"/>
      <c r="F6921" s="394"/>
      <c r="G6921" s="394"/>
      <c r="I6921" s="368">
        <f t="shared" si="327"/>
        <v>0</v>
      </c>
      <c r="J6921" s="365">
        <f t="shared" si="328"/>
        <v>0</v>
      </c>
      <c r="K6921" s="369">
        <f t="shared" si="329"/>
        <v>6</v>
      </c>
      <c r="L6921" s="369">
        <f>+IF((C6921&gt;='Resultats - informe'!$E$16)*(C6921&lt;='Resultats - informe'!$G$16),1,0)</f>
        <v>1</v>
      </c>
      <c r="M6921" s="369" cm="1">
        <f t="array" ref="M6921">+_xlfn.IFS((C6921&gt;='Resultats - informe'!$D$26)*(C6921&lt;='Resultats - informe'!$E$26),0,(C6921&gt;='Resultats - informe'!$D$27)*(C6921&lt;='Resultats - informe'!$E$27),0,(C6921&gt;='Resultats - informe'!$D$28)*(C6921&lt;='Resultats - informe'!$E$28),0,(C6921&gt;='Resultats - informe'!$D$29)*(C6921&lt;='Resultats - informe'!$E$29),0,1,1)</f>
        <v>0</v>
      </c>
      <c r="N6921" s="366">
        <f>+VLOOKUP(D6921,'Resultats - informe'!$Y$18:$AG$42,'Introducció dades consum'!K6921+1,0)</f>
        <v>0</v>
      </c>
      <c r="O6921" s="370" cm="1">
        <f t="array" ref="O6921">+_xlfn.SWITCH(MONTH(C6921),1,1,2,1,3,1,4,2,5,2,6,3,7,3,8,3,9,3,10,2,11,2,12,1,2)</f>
        <v>1</v>
      </c>
      <c r="P6921" s="43"/>
    </row>
    <row r="6922" spans="1:16" ht="18" x14ac:dyDescent="0.35">
      <c r="A6922" s="9"/>
      <c r="C6922" s="393"/>
      <c r="E6922" s="394"/>
      <c r="F6922" s="394"/>
      <c r="G6922" s="394"/>
      <c r="I6922" s="368">
        <f t="shared" si="327"/>
        <v>0</v>
      </c>
      <c r="J6922" s="365">
        <f t="shared" si="328"/>
        <v>0</v>
      </c>
      <c r="K6922" s="369">
        <f t="shared" si="329"/>
        <v>6</v>
      </c>
      <c r="L6922" s="369">
        <f>+IF((C6922&gt;='Resultats - informe'!$E$16)*(C6922&lt;='Resultats - informe'!$G$16),1,0)</f>
        <v>1</v>
      </c>
      <c r="M6922" s="369" cm="1">
        <f t="array" ref="M6922">+_xlfn.IFS((C6922&gt;='Resultats - informe'!$D$26)*(C6922&lt;='Resultats - informe'!$E$26),0,(C6922&gt;='Resultats - informe'!$D$27)*(C6922&lt;='Resultats - informe'!$E$27),0,(C6922&gt;='Resultats - informe'!$D$28)*(C6922&lt;='Resultats - informe'!$E$28),0,(C6922&gt;='Resultats - informe'!$D$29)*(C6922&lt;='Resultats - informe'!$E$29),0,1,1)</f>
        <v>0</v>
      </c>
      <c r="N6922" s="366">
        <f>+VLOOKUP(D6922,'Resultats - informe'!$Y$18:$AG$42,'Introducció dades consum'!K6922+1,0)</f>
        <v>0</v>
      </c>
      <c r="O6922" s="370" cm="1">
        <f t="array" ref="O6922">+_xlfn.SWITCH(MONTH(C6922),1,1,2,1,3,1,4,2,5,2,6,3,7,3,8,3,9,3,10,2,11,2,12,1,2)</f>
        <v>1</v>
      </c>
      <c r="P6922" s="43"/>
    </row>
    <row r="6923" spans="1:16" ht="18" x14ac:dyDescent="0.35">
      <c r="A6923" s="9"/>
      <c r="C6923" s="393"/>
      <c r="E6923" s="394"/>
      <c r="F6923" s="394"/>
      <c r="G6923" s="394"/>
      <c r="I6923" s="368">
        <f t="shared" si="327"/>
        <v>0</v>
      </c>
      <c r="J6923" s="365">
        <f t="shared" si="328"/>
        <v>0</v>
      </c>
      <c r="K6923" s="369">
        <f t="shared" si="329"/>
        <v>6</v>
      </c>
      <c r="L6923" s="369">
        <f>+IF((C6923&gt;='Resultats - informe'!$E$16)*(C6923&lt;='Resultats - informe'!$G$16),1,0)</f>
        <v>1</v>
      </c>
      <c r="M6923" s="369" cm="1">
        <f t="array" ref="M6923">+_xlfn.IFS((C6923&gt;='Resultats - informe'!$D$26)*(C6923&lt;='Resultats - informe'!$E$26),0,(C6923&gt;='Resultats - informe'!$D$27)*(C6923&lt;='Resultats - informe'!$E$27),0,(C6923&gt;='Resultats - informe'!$D$28)*(C6923&lt;='Resultats - informe'!$E$28),0,(C6923&gt;='Resultats - informe'!$D$29)*(C6923&lt;='Resultats - informe'!$E$29),0,1,1)</f>
        <v>0</v>
      </c>
      <c r="N6923" s="366">
        <f>+VLOOKUP(D6923,'Resultats - informe'!$Y$18:$AG$42,'Introducció dades consum'!K6923+1,0)</f>
        <v>0</v>
      </c>
      <c r="O6923" s="370" cm="1">
        <f t="array" ref="O6923">+_xlfn.SWITCH(MONTH(C6923),1,1,2,1,3,1,4,2,5,2,6,3,7,3,8,3,9,3,10,2,11,2,12,1,2)</f>
        <v>1</v>
      </c>
      <c r="P6923" s="43"/>
    </row>
    <row r="6924" spans="1:16" ht="18" x14ac:dyDescent="0.35">
      <c r="A6924" s="9"/>
      <c r="C6924" s="393"/>
      <c r="E6924" s="394"/>
      <c r="F6924" s="394"/>
      <c r="G6924" s="394"/>
      <c r="I6924" s="368">
        <f t="shared" si="327"/>
        <v>0</v>
      </c>
      <c r="J6924" s="365">
        <f t="shared" si="328"/>
        <v>0</v>
      </c>
      <c r="K6924" s="369">
        <f t="shared" si="329"/>
        <v>6</v>
      </c>
      <c r="L6924" s="369">
        <f>+IF((C6924&gt;='Resultats - informe'!$E$16)*(C6924&lt;='Resultats - informe'!$G$16),1,0)</f>
        <v>1</v>
      </c>
      <c r="M6924" s="369" cm="1">
        <f t="array" ref="M6924">+_xlfn.IFS((C6924&gt;='Resultats - informe'!$D$26)*(C6924&lt;='Resultats - informe'!$E$26),0,(C6924&gt;='Resultats - informe'!$D$27)*(C6924&lt;='Resultats - informe'!$E$27),0,(C6924&gt;='Resultats - informe'!$D$28)*(C6924&lt;='Resultats - informe'!$E$28),0,(C6924&gt;='Resultats - informe'!$D$29)*(C6924&lt;='Resultats - informe'!$E$29),0,1,1)</f>
        <v>0</v>
      </c>
      <c r="N6924" s="366">
        <f>+VLOOKUP(D6924,'Resultats - informe'!$Y$18:$AG$42,'Introducció dades consum'!K6924+1,0)</f>
        <v>0</v>
      </c>
      <c r="O6924" s="370" cm="1">
        <f t="array" ref="O6924">+_xlfn.SWITCH(MONTH(C6924),1,1,2,1,3,1,4,2,5,2,6,3,7,3,8,3,9,3,10,2,11,2,12,1,2)</f>
        <v>1</v>
      </c>
      <c r="P6924" s="43"/>
    </row>
    <row r="6925" spans="1:16" ht="18" x14ac:dyDescent="0.35">
      <c r="A6925" s="9"/>
      <c r="C6925" s="393"/>
      <c r="E6925" s="394"/>
      <c r="F6925" s="394"/>
      <c r="G6925" s="394"/>
      <c r="I6925" s="368">
        <f t="shared" si="327"/>
        <v>0</v>
      </c>
      <c r="J6925" s="365">
        <f t="shared" si="328"/>
        <v>0</v>
      </c>
      <c r="K6925" s="369">
        <f t="shared" si="329"/>
        <v>6</v>
      </c>
      <c r="L6925" s="369">
        <f>+IF((C6925&gt;='Resultats - informe'!$E$16)*(C6925&lt;='Resultats - informe'!$G$16),1,0)</f>
        <v>1</v>
      </c>
      <c r="M6925" s="369" cm="1">
        <f t="array" ref="M6925">+_xlfn.IFS((C6925&gt;='Resultats - informe'!$D$26)*(C6925&lt;='Resultats - informe'!$E$26),0,(C6925&gt;='Resultats - informe'!$D$27)*(C6925&lt;='Resultats - informe'!$E$27),0,(C6925&gt;='Resultats - informe'!$D$28)*(C6925&lt;='Resultats - informe'!$E$28),0,(C6925&gt;='Resultats - informe'!$D$29)*(C6925&lt;='Resultats - informe'!$E$29),0,1,1)</f>
        <v>0</v>
      </c>
      <c r="N6925" s="366">
        <f>+VLOOKUP(D6925,'Resultats - informe'!$Y$18:$AG$42,'Introducció dades consum'!K6925+1,0)</f>
        <v>0</v>
      </c>
      <c r="O6925" s="370" cm="1">
        <f t="array" ref="O6925">+_xlfn.SWITCH(MONTH(C6925),1,1,2,1,3,1,4,2,5,2,6,3,7,3,8,3,9,3,10,2,11,2,12,1,2)</f>
        <v>1</v>
      </c>
      <c r="P6925" s="43"/>
    </row>
    <row r="6926" spans="1:16" ht="18" x14ac:dyDescent="0.35">
      <c r="A6926" s="9"/>
      <c r="C6926" s="393"/>
      <c r="E6926" s="394"/>
      <c r="F6926" s="394"/>
      <c r="G6926" s="394"/>
      <c r="I6926" s="368">
        <f t="shared" si="327"/>
        <v>0</v>
      </c>
      <c r="J6926" s="365">
        <f t="shared" si="328"/>
        <v>0</v>
      </c>
      <c r="K6926" s="369">
        <f t="shared" si="329"/>
        <v>6</v>
      </c>
      <c r="L6926" s="369">
        <f>+IF((C6926&gt;='Resultats - informe'!$E$16)*(C6926&lt;='Resultats - informe'!$G$16),1,0)</f>
        <v>1</v>
      </c>
      <c r="M6926" s="369" cm="1">
        <f t="array" ref="M6926">+_xlfn.IFS((C6926&gt;='Resultats - informe'!$D$26)*(C6926&lt;='Resultats - informe'!$E$26),0,(C6926&gt;='Resultats - informe'!$D$27)*(C6926&lt;='Resultats - informe'!$E$27),0,(C6926&gt;='Resultats - informe'!$D$28)*(C6926&lt;='Resultats - informe'!$E$28),0,(C6926&gt;='Resultats - informe'!$D$29)*(C6926&lt;='Resultats - informe'!$E$29),0,1,1)</f>
        <v>0</v>
      </c>
      <c r="N6926" s="366">
        <f>+VLOOKUP(D6926,'Resultats - informe'!$Y$18:$AG$42,'Introducció dades consum'!K6926+1,0)</f>
        <v>0</v>
      </c>
      <c r="O6926" s="370" cm="1">
        <f t="array" ref="O6926">+_xlfn.SWITCH(MONTH(C6926),1,1,2,1,3,1,4,2,5,2,6,3,7,3,8,3,9,3,10,2,11,2,12,1,2)</f>
        <v>1</v>
      </c>
      <c r="P6926" s="43"/>
    </row>
    <row r="6927" spans="1:16" ht="18" x14ac:dyDescent="0.35">
      <c r="A6927" s="9"/>
      <c r="C6927" s="393"/>
      <c r="E6927" s="394"/>
      <c r="F6927" s="394"/>
      <c r="G6927" s="394"/>
      <c r="I6927" s="368">
        <f t="shared" si="327"/>
        <v>0</v>
      </c>
      <c r="J6927" s="365">
        <f t="shared" si="328"/>
        <v>0</v>
      </c>
      <c r="K6927" s="369">
        <f t="shared" si="329"/>
        <v>6</v>
      </c>
      <c r="L6927" s="369">
        <f>+IF((C6927&gt;='Resultats - informe'!$E$16)*(C6927&lt;='Resultats - informe'!$G$16),1,0)</f>
        <v>1</v>
      </c>
      <c r="M6927" s="369" cm="1">
        <f t="array" ref="M6927">+_xlfn.IFS((C6927&gt;='Resultats - informe'!$D$26)*(C6927&lt;='Resultats - informe'!$E$26),0,(C6927&gt;='Resultats - informe'!$D$27)*(C6927&lt;='Resultats - informe'!$E$27),0,(C6927&gt;='Resultats - informe'!$D$28)*(C6927&lt;='Resultats - informe'!$E$28),0,(C6927&gt;='Resultats - informe'!$D$29)*(C6927&lt;='Resultats - informe'!$E$29),0,1,1)</f>
        <v>0</v>
      </c>
      <c r="N6927" s="366">
        <f>+VLOOKUP(D6927,'Resultats - informe'!$Y$18:$AG$42,'Introducció dades consum'!K6927+1,0)</f>
        <v>0</v>
      </c>
      <c r="O6927" s="370" cm="1">
        <f t="array" ref="O6927">+_xlfn.SWITCH(MONTH(C6927),1,1,2,1,3,1,4,2,5,2,6,3,7,3,8,3,9,3,10,2,11,2,12,1,2)</f>
        <v>1</v>
      </c>
      <c r="P6927" s="43"/>
    </row>
    <row r="6928" spans="1:16" ht="18" x14ac:dyDescent="0.35">
      <c r="A6928" s="9"/>
      <c r="C6928" s="393"/>
      <c r="E6928" s="394"/>
      <c r="F6928" s="394"/>
      <c r="G6928" s="394"/>
      <c r="I6928" s="368">
        <f t="shared" si="327"/>
        <v>0</v>
      </c>
      <c r="J6928" s="365">
        <f t="shared" si="328"/>
        <v>0</v>
      </c>
      <c r="K6928" s="369">
        <f t="shared" si="329"/>
        <v>6</v>
      </c>
      <c r="L6928" s="369">
        <f>+IF((C6928&gt;='Resultats - informe'!$E$16)*(C6928&lt;='Resultats - informe'!$G$16),1,0)</f>
        <v>1</v>
      </c>
      <c r="M6928" s="369" cm="1">
        <f t="array" ref="M6928">+_xlfn.IFS((C6928&gt;='Resultats - informe'!$D$26)*(C6928&lt;='Resultats - informe'!$E$26),0,(C6928&gt;='Resultats - informe'!$D$27)*(C6928&lt;='Resultats - informe'!$E$27),0,(C6928&gt;='Resultats - informe'!$D$28)*(C6928&lt;='Resultats - informe'!$E$28),0,(C6928&gt;='Resultats - informe'!$D$29)*(C6928&lt;='Resultats - informe'!$E$29),0,1,1)</f>
        <v>0</v>
      </c>
      <c r="N6928" s="366">
        <f>+VLOOKUP(D6928,'Resultats - informe'!$Y$18:$AG$42,'Introducció dades consum'!K6928+1,0)</f>
        <v>0</v>
      </c>
      <c r="O6928" s="370" cm="1">
        <f t="array" ref="O6928">+_xlfn.SWITCH(MONTH(C6928),1,1,2,1,3,1,4,2,5,2,6,3,7,3,8,3,9,3,10,2,11,2,12,1,2)</f>
        <v>1</v>
      </c>
      <c r="P6928" s="43"/>
    </row>
    <row r="6929" spans="1:16" ht="18" x14ac:dyDescent="0.35">
      <c r="A6929" s="9"/>
      <c r="C6929" s="393"/>
      <c r="E6929" s="394"/>
      <c r="F6929" s="394"/>
      <c r="G6929" s="394"/>
      <c r="I6929" s="368">
        <f t="shared" si="327"/>
        <v>0</v>
      </c>
      <c r="J6929" s="365">
        <f t="shared" si="328"/>
        <v>0</v>
      </c>
      <c r="K6929" s="369">
        <f t="shared" si="329"/>
        <v>6</v>
      </c>
      <c r="L6929" s="369">
        <f>+IF((C6929&gt;='Resultats - informe'!$E$16)*(C6929&lt;='Resultats - informe'!$G$16),1,0)</f>
        <v>1</v>
      </c>
      <c r="M6929" s="369" cm="1">
        <f t="array" ref="M6929">+_xlfn.IFS((C6929&gt;='Resultats - informe'!$D$26)*(C6929&lt;='Resultats - informe'!$E$26),0,(C6929&gt;='Resultats - informe'!$D$27)*(C6929&lt;='Resultats - informe'!$E$27),0,(C6929&gt;='Resultats - informe'!$D$28)*(C6929&lt;='Resultats - informe'!$E$28),0,(C6929&gt;='Resultats - informe'!$D$29)*(C6929&lt;='Resultats - informe'!$E$29),0,1,1)</f>
        <v>0</v>
      </c>
      <c r="N6929" s="366">
        <f>+VLOOKUP(D6929,'Resultats - informe'!$Y$18:$AG$42,'Introducció dades consum'!K6929+1,0)</f>
        <v>0</v>
      </c>
      <c r="O6929" s="370" cm="1">
        <f t="array" ref="O6929">+_xlfn.SWITCH(MONTH(C6929),1,1,2,1,3,1,4,2,5,2,6,3,7,3,8,3,9,3,10,2,11,2,12,1,2)</f>
        <v>1</v>
      </c>
      <c r="P6929" s="43"/>
    </row>
    <row r="6930" spans="1:16" ht="18" x14ac:dyDescent="0.35">
      <c r="A6930" s="9"/>
      <c r="C6930" s="393"/>
      <c r="E6930" s="394"/>
      <c r="F6930" s="394"/>
      <c r="G6930" s="394"/>
      <c r="I6930" s="368">
        <f t="shared" ref="I6930:I6993" si="330">+E6930+G6930</f>
        <v>0</v>
      </c>
      <c r="J6930" s="365">
        <f t="shared" ref="J6930:J6993" si="331">+C6930</f>
        <v>0</v>
      </c>
      <c r="K6930" s="369">
        <f t="shared" ref="K6930:K6993" si="332">+WEEKDAY(C6930,2)</f>
        <v>6</v>
      </c>
      <c r="L6930" s="369">
        <f>+IF((C6930&gt;='Resultats - informe'!$E$16)*(C6930&lt;='Resultats - informe'!$G$16),1,0)</f>
        <v>1</v>
      </c>
      <c r="M6930" s="369" cm="1">
        <f t="array" ref="M6930">+_xlfn.IFS((C6930&gt;='Resultats - informe'!$D$26)*(C6930&lt;='Resultats - informe'!$E$26),0,(C6930&gt;='Resultats - informe'!$D$27)*(C6930&lt;='Resultats - informe'!$E$27),0,(C6930&gt;='Resultats - informe'!$D$28)*(C6930&lt;='Resultats - informe'!$E$28),0,(C6930&gt;='Resultats - informe'!$D$29)*(C6930&lt;='Resultats - informe'!$E$29),0,1,1)</f>
        <v>0</v>
      </c>
      <c r="N6930" s="366">
        <f>+VLOOKUP(D6930,'Resultats - informe'!$Y$18:$AG$42,'Introducció dades consum'!K6930+1,0)</f>
        <v>0</v>
      </c>
      <c r="O6930" s="370" cm="1">
        <f t="array" ref="O6930">+_xlfn.SWITCH(MONTH(C6930),1,1,2,1,3,1,4,2,5,2,6,3,7,3,8,3,9,3,10,2,11,2,12,1,2)</f>
        <v>1</v>
      </c>
      <c r="P6930" s="43"/>
    </row>
    <row r="6931" spans="1:16" ht="18" x14ac:dyDescent="0.35">
      <c r="A6931" s="9"/>
      <c r="C6931" s="393"/>
      <c r="E6931" s="394"/>
      <c r="F6931" s="394"/>
      <c r="G6931" s="394"/>
      <c r="I6931" s="368">
        <f t="shared" si="330"/>
        <v>0</v>
      </c>
      <c r="J6931" s="365">
        <f t="shared" si="331"/>
        <v>0</v>
      </c>
      <c r="K6931" s="369">
        <f t="shared" si="332"/>
        <v>6</v>
      </c>
      <c r="L6931" s="369">
        <f>+IF((C6931&gt;='Resultats - informe'!$E$16)*(C6931&lt;='Resultats - informe'!$G$16),1,0)</f>
        <v>1</v>
      </c>
      <c r="M6931" s="369" cm="1">
        <f t="array" ref="M6931">+_xlfn.IFS((C6931&gt;='Resultats - informe'!$D$26)*(C6931&lt;='Resultats - informe'!$E$26),0,(C6931&gt;='Resultats - informe'!$D$27)*(C6931&lt;='Resultats - informe'!$E$27),0,(C6931&gt;='Resultats - informe'!$D$28)*(C6931&lt;='Resultats - informe'!$E$28),0,(C6931&gt;='Resultats - informe'!$D$29)*(C6931&lt;='Resultats - informe'!$E$29),0,1,1)</f>
        <v>0</v>
      </c>
      <c r="N6931" s="366">
        <f>+VLOOKUP(D6931,'Resultats - informe'!$Y$18:$AG$42,'Introducció dades consum'!K6931+1,0)</f>
        <v>0</v>
      </c>
      <c r="O6931" s="370" cm="1">
        <f t="array" ref="O6931">+_xlfn.SWITCH(MONTH(C6931),1,1,2,1,3,1,4,2,5,2,6,3,7,3,8,3,9,3,10,2,11,2,12,1,2)</f>
        <v>1</v>
      </c>
      <c r="P6931" s="43"/>
    </row>
    <row r="6932" spans="1:16" ht="18" x14ac:dyDescent="0.35">
      <c r="A6932" s="9"/>
      <c r="C6932" s="393"/>
      <c r="E6932" s="394"/>
      <c r="F6932" s="394"/>
      <c r="G6932" s="394"/>
      <c r="I6932" s="368">
        <f t="shared" si="330"/>
        <v>0</v>
      </c>
      <c r="J6932" s="365">
        <f t="shared" si="331"/>
        <v>0</v>
      </c>
      <c r="K6932" s="369">
        <f t="shared" si="332"/>
        <v>6</v>
      </c>
      <c r="L6932" s="369">
        <f>+IF((C6932&gt;='Resultats - informe'!$E$16)*(C6932&lt;='Resultats - informe'!$G$16),1,0)</f>
        <v>1</v>
      </c>
      <c r="M6932" s="369" cm="1">
        <f t="array" ref="M6932">+_xlfn.IFS((C6932&gt;='Resultats - informe'!$D$26)*(C6932&lt;='Resultats - informe'!$E$26),0,(C6932&gt;='Resultats - informe'!$D$27)*(C6932&lt;='Resultats - informe'!$E$27),0,(C6932&gt;='Resultats - informe'!$D$28)*(C6932&lt;='Resultats - informe'!$E$28),0,(C6932&gt;='Resultats - informe'!$D$29)*(C6932&lt;='Resultats - informe'!$E$29),0,1,1)</f>
        <v>0</v>
      </c>
      <c r="N6932" s="366">
        <f>+VLOOKUP(D6932,'Resultats - informe'!$Y$18:$AG$42,'Introducció dades consum'!K6932+1,0)</f>
        <v>0</v>
      </c>
      <c r="O6932" s="370" cm="1">
        <f t="array" ref="O6932">+_xlfn.SWITCH(MONTH(C6932),1,1,2,1,3,1,4,2,5,2,6,3,7,3,8,3,9,3,10,2,11,2,12,1,2)</f>
        <v>1</v>
      </c>
      <c r="P6932" s="43"/>
    </row>
    <row r="6933" spans="1:16" ht="18" x14ac:dyDescent="0.35">
      <c r="A6933" s="9"/>
      <c r="C6933" s="393"/>
      <c r="E6933" s="394"/>
      <c r="F6933" s="394"/>
      <c r="G6933" s="394"/>
      <c r="I6933" s="368">
        <f t="shared" si="330"/>
        <v>0</v>
      </c>
      <c r="J6933" s="365">
        <f t="shared" si="331"/>
        <v>0</v>
      </c>
      <c r="K6933" s="369">
        <f t="shared" si="332"/>
        <v>6</v>
      </c>
      <c r="L6933" s="369">
        <f>+IF((C6933&gt;='Resultats - informe'!$E$16)*(C6933&lt;='Resultats - informe'!$G$16),1,0)</f>
        <v>1</v>
      </c>
      <c r="M6933" s="369" cm="1">
        <f t="array" ref="M6933">+_xlfn.IFS((C6933&gt;='Resultats - informe'!$D$26)*(C6933&lt;='Resultats - informe'!$E$26),0,(C6933&gt;='Resultats - informe'!$D$27)*(C6933&lt;='Resultats - informe'!$E$27),0,(C6933&gt;='Resultats - informe'!$D$28)*(C6933&lt;='Resultats - informe'!$E$28),0,(C6933&gt;='Resultats - informe'!$D$29)*(C6933&lt;='Resultats - informe'!$E$29),0,1,1)</f>
        <v>0</v>
      </c>
      <c r="N6933" s="366">
        <f>+VLOOKUP(D6933,'Resultats - informe'!$Y$18:$AG$42,'Introducció dades consum'!K6933+1,0)</f>
        <v>0</v>
      </c>
      <c r="O6933" s="370" cm="1">
        <f t="array" ref="O6933">+_xlfn.SWITCH(MONTH(C6933),1,1,2,1,3,1,4,2,5,2,6,3,7,3,8,3,9,3,10,2,11,2,12,1,2)</f>
        <v>1</v>
      </c>
      <c r="P6933" s="43"/>
    </row>
    <row r="6934" spans="1:16" ht="18" x14ac:dyDescent="0.35">
      <c r="A6934" s="9"/>
      <c r="C6934" s="393"/>
      <c r="E6934" s="394"/>
      <c r="F6934" s="394"/>
      <c r="G6934" s="394"/>
      <c r="I6934" s="368">
        <f t="shared" si="330"/>
        <v>0</v>
      </c>
      <c r="J6934" s="365">
        <f t="shared" si="331"/>
        <v>0</v>
      </c>
      <c r="K6934" s="369">
        <f t="shared" si="332"/>
        <v>6</v>
      </c>
      <c r="L6934" s="369">
        <f>+IF((C6934&gt;='Resultats - informe'!$E$16)*(C6934&lt;='Resultats - informe'!$G$16),1,0)</f>
        <v>1</v>
      </c>
      <c r="M6934" s="369" cm="1">
        <f t="array" ref="M6934">+_xlfn.IFS((C6934&gt;='Resultats - informe'!$D$26)*(C6934&lt;='Resultats - informe'!$E$26),0,(C6934&gt;='Resultats - informe'!$D$27)*(C6934&lt;='Resultats - informe'!$E$27),0,(C6934&gt;='Resultats - informe'!$D$28)*(C6934&lt;='Resultats - informe'!$E$28),0,(C6934&gt;='Resultats - informe'!$D$29)*(C6934&lt;='Resultats - informe'!$E$29),0,1,1)</f>
        <v>0</v>
      </c>
      <c r="N6934" s="366">
        <f>+VLOOKUP(D6934,'Resultats - informe'!$Y$18:$AG$42,'Introducció dades consum'!K6934+1,0)</f>
        <v>0</v>
      </c>
      <c r="O6934" s="370" cm="1">
        <f t="array" ref="O6934">+_xlfn.SWITCH(MONTH(C6934),1,1,2,1,3,1,4,2,5,2,6,3,7,3,8,3,9,3,10,2,11,2,12,1,2)</f>
        <v>1</v>
      </c>
      <c r="P6934" s="43"/>
    </row>
    <row r="6935" spans="1:16" ht="18" x14ac:dyDescent="0.35">
      <c r="A6935" s="9"/>
      <c r="C6935" s="393"/>
      <c r="E6935" s="394"/>
      <c r="F6935" s="394"/>
      <c r="G6935" s="394"/>
      <c r="I6935" s="368">
        <f t="shared" si="330"/>
        <v>0</v>
      </c>
      <c r="J6935" s="365">
        <f t="shared" si="331"/>
        <v>0</v>
      </c>
      <c r="K6935" s="369">
        <f t="shared" si="332"/>
        <v>6</v>
      </c>
      <c r="L6935" s="369">
        <f>+IF((C6935&gt;='Resultats - informe'!$E$16)*(C6935&lt;='Resultats - informe'!$G$16),1,0)</f>
        <v>1</v>
      </c>
      <c r="M6935" s="369" cm="1">
        <f t="array" ref="M6935">+_xlfn.IFS((C6935&gt;='Resultats - informe'!$D$26)*(C6935&lt;='Resultats - informe'!$E$26),0,(C6935&gt;='Resultats - informe'!$D$27)*(C6935&lt;='Resultats - informe'!$E$27),0,(C6935&gt;='Resultats - informe'!$D$28)*(C6935&lt;='Resultats - informe'!$E$28),0,(C6935&gt;='Resultats - informe'!$D$29)*(C6935&lt;='Resultats - informe'!$E$29),0,1,1)</f>
        <v>0</v>
      </c>
      <c r="N6935" s="366">
        <f>+VLOOKUP(D6935,'Resultats - informe'!$Y$18:$AG$42,'Introducció dades consum'!K6935+1,0)</f>
        <v>0</v>
      </c>
      <c r="O6935" s="370" cm="1">
        <f t="array" ref="O6935">+_xlfn.SWITCH(MONTH(C6935),1,1,2,1,3,1,4,2,5,2,6,3,7,3,8,3,9,3,10,2,11,2,12,1,2)</f>
        <v>1</v>
      </c>
      <c r="P6935" s="43"/>
    </row>
    <row r="6936" spans="1:16" ht="18" x14ac:dyDescent="0.35">
      <c r="A6936" s="9"/>
      <c r="C6936" s="393"/>
      <c r="E6936" s="394"/>
      <c r="F6936" s="394"/>
      <c r="G6936" s="394"/>
      <c r="I6936" s="368">
        <f t="shared" si="330"/>
        <v>0</v>
      </c>
      <c r="J6936" s="365">
        <f t="shared" si="331"/>
        <v>0</v>
      </c>
      <c r="K6936" s="369">
        <f t="shared" si="332"/>
        <v>6</v>
      </c>
      <c r="L6936" s="369">
        <f>+IF((C6936&gt;='Resultats - informe'!$E$16)*(C6936&lt;='Resultats - informe'!$G$16),1,0)</f>
        <v>1</v>
      </c>
      <c r="M6936" s="369" cm="1">
        <f t="array" ref="M6936">+_xlfn.IFS((C6936&gt;='Resultats - informe'!$D$26)*(C6936&lt;='Resultats - informe'!$E$26),0,(C6936&gt;='Resultats - informe'!$D$27)*(C6936&lt;='Resultats - informe'!$E$27),0,(C6936&gt;='Resultats - informe'!$D$28)*(C6936&lt;='Resultats - informe'!$E$28),0,(C6936&gt;='Resultats - informe'!$D$29)*(C6936&lt;='Resultats - informe'!$E$29),0,1,1)</f>
        <v>0</v>
      </c>
      <c r="N6936" s="366">
        <f>+VLOOKUP(D6936,'Resultats - informe'!$Y$18:$AG$42,'Introducció dades consum'!K6936+1,0)</f>
        <v>0</v>
      </c>
      <c r="O6936" s="370" cm="1">
        <f t="array" ref="O6936">+_xlfn.SWITCH(MONTH(C6936),1,1,2,1,3,1,4,2,5,2,6,3,7,3,8,3,9,3,10,2,11,2,12,1,2)</f>
        <v>1</v>
      </c>
      <c r="P6936" s="43"/>
    </row>
    <row r="6937" spans="1:16" ht="18" x14ac:dyDescent="0.35">
      <c r="A6937" s="9"/>
      <c r="C6937" s="393"/>
      <c r="E6937" s="394"/>
      <c r="F6937" s="394"/>
      <c r="G6937" s="394"/>
      <c r="I6937" s="368">
        <f t="shared" si="330"/>
        <v>0</v>
      </c>
      <c r="J6937" s="365">
        <f t="shared" si="331"/>
        <v>0</v>
      </c>
      <c r="K6937" s="369">
        <f t="shared" si="332"/>
        <v>6</v>
      </c>
      <c r="L6937" s="369">
        <f>+IF((C6937&gt;='Resultats - informe'!$E$16)*(C6937&lt;='Resultats - informe'!$G$16),1,0)</f>
        <v>1</v>
      </c>
      <c r="M6937" s="369" cm="1">
        <f t="array" ref="M6937">+_xlfn.IFS((C6937&gt;='Resultats - informe'!$D$26)*(C6937&lt;='Resultats - informe'!$E$26),0,(C6937&gt;='Resultats - informe'!$D$27)*(C6937&lt;='Resultats - informe'!$E$27),0,(C6937&gt;='Resultats - informe'!$D$28)*(C6937&lt;='Resultats - informe'!$E$28),0,(C6937&gt;='Resultats - informe'!$D$29)*(C6937&lt;='Resultats - informe'!$E$29),0,1,1)</f>
        <v>0</v>
      </c>
      <c r="N6937" s="366">
        <f>+VLOOKUP(D6937,'Resultats - informe'!$Y$18:$AG$42,'Introducció dades consum'!K6937+1,0)</f>
        <v>0</v>
      </c>
      <c r="O6937" s="370" cm="1">
        <f t="array" ref="O6937">+_xlfn.SWITCH(MONTH(C6937),1,1,2,1,3,1,4,2,5,2,6,3,7,3,8,3,9,3,10,2,11,2,12,1,2)</f>
        <v>1</v>
      </c>
      <c r="P6937" s="43"/>
    </row>
    <row r="6938" spans="1:16" ht="18" x14ac:dyDescent="0.35">
      <c r="A6938" s="9"/>
      <c r="C6938" s="393"/>
      <c r="E6938" s="394"/>
      <c r="F6938" s="394"/>
      <c r="G6938" s="394"/>
      <c r="I6938" s="368">
        <f t="shared" si="330"/>
        <v>0</v>
      </c>
      <c r="J6938" s="365">
        <f t="shared" si="331"/>
        <v>0</v>
      </c>
      <c r="K6938" s="369">
        <f t="shared" si="332"/>
        <v>6</v>
      </c>
      <c r="L6938" s="369">
        <f>+IF((C6938&gt;='Resultats - informe'!$E$16)*(C6938&lt;='Resultats - informe'!$G$16),1,0)</f>
        <v>1</v>
      </c>
      <c r="M6938" s="369" cm="1">
        <f t="array" ref="M6938">+_xlfn.IFS((C6938&gt;='Resultats - informe'!$D$26)*(C6938&lt;='Resultats - informe'!$E$26),0,(C6938&gt;='Resultats - informe'!$D$27)*(C6938&lt;='Resultats - informe'!$E$27),0,(C6938&gt;='Resultats - informe'!$D$28)*(C6938&lt;='Resultats - informe'!$E$28),0,(C6938&gt;='Resultats - informe'!$D$29)*(C6938&lt;='Resultats - informe'!$E$29),0,1,1)</f>
        <v>0</v>
      </c>
      <c r="N6938" s="366">
        <f>+VLOOKUP(D6938,'Resultats - informe'!$Y$18:$AG$42,'Introducció dades consum'!K6938+1,0)</f>
        <v>0</v>
      </c>
      <c r="O6938" s="370" cm="1">
        <f t="array" ref="O6938">+_xlfn.SWITCH(MONTH(C6938),1,1,2,1,3,1,4,2,5,2,6,3,7,3,8,3,9,3,10,2,11,2,12,1,2)</f>
        <v>1</v>
      </c>
      <c r="P6938" s="43"/>
    </row>
    <row r="6939" spans="1:16" ht="18" x14ac:dyDescent="0.35">
      <c r="A6939" s="9"/>
      <c r="C6939" s="393"/>
      <c r="E6939" s="394"/>
      <c r="F6939" s="394"/>
      <c r="G6939" s="394"/>
      <c r="I6939" s="368">
        <f t="shared" si="330"/>
        <v>0</v>
      </c>
      <c r="J6939" s="365">
        <f t="shared" si="331"/>
        <v>0</v>
      </c>
      <c r="K6939" s="369">
        <f t="shared" si="332"/>
        <v>6</v>
      </c>
      <c r="L6939" s="369">
        <f>+IF((C6939&gt;='Resultats - informe'!$E$16)*(C6939&lt;='Resultats - informe'!$G$16),1,0)</f>
        <v>1</v>
      </c>
      <c r="M6939" s="369" cm="1">
        <f t="array" ref="M6939">+_xlfn.IFS((C6939&gt;='Resultats - informe'!$D$26)*(C6939&lt;='Resultats - informe'!$E$26),0,(C6939&gt;='Resultats - informe'!$D$27)*(C6939&lt;='Resultats - informe'!$E$27),0,(C6939&gt;='Resultats - informe'!$D$28)*(C6939&lt;='Resultats - informe'!$E$28),0,(C6939&gt;='Resultats - informe'!$D$29)*(C6939&lt;='Resultats - informe'!$E$29),0,1,1)</f>
        <v>0</v>
      </c>
      <c r="N6939" s="366">
        <f>+VLOOKUP(D6939,'Resultats - informe'!$Y$18:$AG$42,'Introducció dades consum'!K6939+1,0)</f>
        <v>0</v>
      </c>
      <c r="O6939" s="370" cm="1">
        <f t="array" ref="O6939">+_xlfn.SWITCH(MONTH(C6939),1,1,2,1,3,1,4,2,5,2,6,3,7,3,8,3,9,3,10,2,11,2,12,1,2)</f>
        <v>1</v>
      </c>
      <c r="P6939" s="43"/>
    </row>
    <row r="6940" spans="1:16" ht="18" x14ac:dyDescent="0.35">
      <c r="A6940" s="9"/>
      <c r="C6940" s="393"/>
      <c r="E6940" s="394"/>
      <c r="F6940" s="394"/>
      <c r="G6940" s="394"/>
      <c r="I6940" s="368">
        <f t="shared" si="330"/>
        <v>0</v>
      </c>
      <c r="J6940" s="365">
        <f t="shared" si="331"/>
        <v>0</v>
      </c>
      <c r="K6940" s="369">
        <f t="shared" si="332"/>
        <v>6</v>
      </c>
      <c r="L6940" s="369">
        <f>+IF((C6940&gt;='Resultats - informe'!$E$16)*(C6940&lt;='Resultats - informe'!$G$16),1,0)</f>
        <v>1</v>
      </c>
      <c r="M6940" s="369" cm="1">
        <f t="array" ref="M6940">+_xlfn.IFS((C6940&gt;='Resultats - informe'!$D$26)*(C6940&lt;='Resultats - informe'!$E$26),0,(C6940&gt;='Resultats - informe'!$D$27)*(C6940&lt;='Resultats - informe'!$E$27),0,(C6940&gt;='Resultats - informe'!$D$28)*(C6940&lt;='Resultats - informe'!$E$28),0,(C6940&gt;='Resultats - informe'!$D$29)*(C6940&lt;='Resultats - informe'!$E$29),0,1,1)</f>
        <v>0</v>
      </c>
      <c r="N6940" s="366">
        <f>+VLOOKUP(D6940,'Resultats - informe'!$Y$18:$AG$42,'Introducció dades consum'!K6940+1,0)</f>
        <v>0</v>
      </c>
      <c r="O6940" s="370" cm="1">
        <f t="array" ref="O6940">+_xlfn.SWITCH(MONTH(C6940),1,1,2,1,3,1,4,2,5,2,6,3,7,3,8,3,9,3,10,2,11,2,12,1,2)</f>
        <v>1</v>
      </c>
      <c r="P6940" s="43"/>
    </row>
    <row r="6941" spans="1:16" ht="18" x14ac:dyDescent="0.35">
      <c r="A6941" s="9"/>
      <c r="C6941" s="393"/>
      <c r="E6941" s="394"/>
      <c r="F6941" s="394"/>
      <c r="G6941" s="394"/>
      <c r="I6941" s="368">
        <f t="shared" si="330"/>
        <v>0</v>
      </c>
      <c r="J6941" s="365">
        <f t="shared" si="331"/>
        <v>0</v>
      </c>
      <c r="K6941" s="369">
        <f t="shared" si="332"/>
        <v>6</v>
      </c>
      <c r="L6941" s="369">
        <f>+IF((C6941&gt;='Resultats - informe'!$E$16)*(C6941&lt;='Resultats - informe'!$G$16),1,0)</f>
        <v>1</v>
      </c>
      <c r="M6941" s="369" cm="1">
        <f t="array" ref="M6941">+_xlfn.IFS((C6941&gt;='Resultats - informe'!$D$26)*(C6941&lt;='Resultats - informe'!$E$26),0,(C6941&gt;='Resultats - informe'!$D$27)*(C6941&lt;='Resultats - informe'!$E$27),0,(C6941&gt;='Resultats - informe'!$D$28)*(C6941&lt;='Resultats - informe'!$E$28),0,(C6941&gt;='Resultats - informe'!$D$29)*(C6941&lt;='Resultats - informe'!$E$29),0,1,1)</f>
        <v>0</v>
      </c>
      <c r="N6941" s="366">
        <f>+VLOOKUP(D6941,'Resultats - informe'!$Y$18:$AG$42,'Introducció dades consum'!K6941+1,0)</f>
        <v>0</v>
      </c>
      <c r="O6941" s="370" cm="1">
        <f t="array" ref="O6941">+_xlfn.SWITCH(MONTH(C6941),1,1,2,1,3,1,4,2,5,2,6,3,7,3,8,3,9,3,10,2,11,2,12,1,2)</f>
        <v>1</v>
      </c>
      <c r="P6941" s="43"/>
    </row>
    <row r="6942" spans="1:16" ht="18" x14ac:dyDescent="0.35">
      <c r="A6942" s="9"/>
      <c r="C6942" s="393"/>
      <c r="E6942" s="394"/>
      <c r="F6942" s="394"/>
      <c r="G6942" s="394"/>
      <c r="I6942" s="368">
        <f t="shared" si="330"/>
        <v>0</v>
      </c>
      <c r="J6942" s="365">
        <f t="shared" si="331"/>
        <v>0</v>
      </c>
      <c r="K6942" s="369">
        <f t="shared" si="332"/>
        <v>6</v>
      </c>
      <c r="L6942" s="369">
        <f>+IF((C6942&gt;='Resultats - informe'!$E$16)*(C6942&lt;='Resultats - informe'!$G$16),1,0)</f>
        <v>1</v>
      </c>
      <c r="M6942" s="369" cm="1">
        <f t="array" ref="M6942">+_xlfn.IFS((C6942&gt;='Resultats - informe'!$D$26)*(C6942&lt;='Resultats - informe'!$E$26),0,(C6942&gt;='Resultats - informe'!$D$27)*(C6942&lt;='Resultats - informe'!$E$27),0,(C6942&gt;='Resultats - informe'!$D$28)*(C6942&lt;='Resultats - informe'!$E$28),0,(C6942&gt;='Resultats - informe'!$D$29)*(C6942&lt;='Resultats - informe'!$E$29),0,1,1)</f>
        <v>0</v>
      </c>
      <c r="N6942" s="366">
        <f>+VLOOKUP(D6942,'Resultats - informe'!$Y$18:$AG$42,'Introducció dades consum'!K6942+1,0)</f>
        <v>0</v>
      </c>
      <c r="O6942" s="370" cm="1">
        <f t="array" ref="O6942">+_xlfn.SWITCH(MONTH(C6942),1,1,2,1,3,1,4,2,5,2,6,3,7,3,8,3,9,3,10,2,11,2,12,1,2)</f>
        <v>1</v>
      </c>
      <c r="P6942" s="43"/>
    </row>
    <row r="6943" spans="1:16" ht="18" x14ac:dyDescent="0.35">
      <c r="A6943" s="9"/>
      <c r="C6943" s="393"/>
      <c r="E6943" s="394"/>
      <c r="F6943" s="394"/>
      <c r="G6943" s="394"/>
      <c r="I6943" s="368">
        <f t="shared" si="330"/>
        <v>0</v>
      </c>
      <c r="J6943" s="365">
        <f t="shared" si="331"/>
        <v>0</v>
      </c>
      <c r="K6943" s="369">
        <f t="shared" si="332"/>
        <v>6</v>
      </c>
      <c r="L6943" s="369">
        <f>+IF((C6943&gt;='Resultats - informe'!$E$16)*(C6943&lt;='Resultats - informe'!$G$16),1,0)</f>
        <v>1</v>
      </c>
      <c r="M6943" s="369" cm="1">
        <f t="array" ref="M6943">+_xlfn.IFS((C6943&gt;='Resultats - informe'!$D$26)*(C6943&lt;='Resultats - informe'!$E$26),0,(C6943&gt;='Resultats - informe'!$D$27)*(C6943&lt;='Resultats - informe'!$E$27),0,(C6943&gt;='Resultats - informe'!$D$28)*(C6943&lt;='Resultats - informe'!$E$28),0,(C6943&gt;='Resultats - informe'!$D$29)*(C6943&lt;='Resultats - informe'!$E$29),0,1,1)</f>
        <v>0</v>
      </c>
      <c r="N6943" s="366">
        <f>+VLOOKUP(D6943,'Resultats - informe'!$Y$18:$AG$42,'Introducció dades consum'!K6943+1,0)</f>
        <v>0</v>
      </c>
      <c r="O6943" s="370" cm="1">
        <f t="array" ref="O6943">+_xlfn.SWITCH(MONTH(C6943),1,1,2,1,3,1,4,2,5,2,6,3,7,3,8,3,9,3,10,2,11,2,12,1,2)</f>
        <v>1</v>
      </c>
      <c r="P6943" s="43"/>
    </row>
    <row r="6944" spans="1:16" ht="18" x14ac:dyDescent="0.35">
      <c r="A6944" s="9"/>
      <c r="C6944" s="393"/>
      <c r="E6944" s="394"/>
      <c r="F6944" s="394"/>
      <c r="G6944" s="394"/>
      <c r="I6944" s="368">
        <f t="shared" si="330"/>
        <v>0</v>
      </c>
      <c r="J6944" s="365">
        <f t="shared" si="331"/>
        <v>0</v>
      </c>
      <c r="K6944" s="369">
        <f t="shared" si="332"/>
        <v>6</v>
      </c>
      <c r="L6944" s="369">
        <f>+IF((C6944&gt;='Resultats - informe'!$E$16)*(C6944&lt;='Resultats - informe'!$G$16),1,0)</f>
        <v>1</v>
      </c>
      <c r="M6944" s="369" cm="1">
        <f t="array" ref="M6944">+_xlfn.IFS((C6944&gt;='Resultats - informe'!$D$26)*(C6944&lt;='Resultats - informe'!$E$26),0,(C6944&gt;='Resultats - informe'!$D$27)*(C6944&lt;='Resultats - informe'!$E$27),0,(C6944&gt;='Resultats - informe'!$D$28)*(C6944&lt;='Resultats - informe'!$E$28),0,(C6944&gt;='Resultats - informe'!$D$29)*(C6944&lt;='Resultats - informe'!$E$29),0,1,1)</f>
        <v>0</v>
      </c>
      <c r="N6944" s="366">
        <f>+VLOOKUP(D6944,'Resultats - informe'!$Y$18:$AG$42,'Introducció dades consum'!K6944+1,0)</f>
        <v>0</v>
      </c>
      <c r="O6944" s="370" cm="1">
        <f t="array" ref="O6944">+_xlfn.SWITCH(MONTH(C6944),1,1,2,1,3,1,4,2,5,2,6,3,7,3,8,3,9,3,10,2,11,2,12,1,2)</f>
        <v>1</v>
      </c>
      <c r="P6944" s="43"/>
    </row>
    <row r="6945" spans="1:16" ht="18" x14ac:dyDescent="0.35">
      <c r="A6945" s="9"/>
      <c r="C6945" s="393"/>
      <c r="E6945" s="394"/>
      <c r="F6945" s="394"/>
      <c r="G6945" s="394"/>
      <c r="I6945" s="368">
        <f t="shared" si="330"/>
        <v>0</v>
      </c>
      <c r="J6945" s="365">
        <f t="shared" si="331"/>
        <v>0</v>
      </c>
      <c r="K6945" s="369">
        <f t="shared" si="332"/>
        <v>6</v>
      </c>
      <c r="L6945" s="369">
        <f>+IF((C6945&gt;='Resultats - informe'!$E$16)*(C6945&lt;='Resultats - informe'!$G$16),1,0)</f>
        <v>1</v>
      </c>
      <c r="M6945" s="369" cm="1">
        <f t="array" ref="M6945">+_xlfn.IFS((C6945&gt;='Resultats - informe'!$D$26)*(C6945&lt;='Resultats - informe'!$E$26),0,(C6945&gt;='Resultats - informe'!$D$27)*(C6945&lt;='Resultats - informe'!$E$27),0,(C6945&gt;='Resultats - informe'!$D$28)*(C6945&lt;='Resultats - informe'!$E$28),0,(C6945&gt;='Resultats - informe'!$D$29)*(C6945&lt;='Resultats - informe'!$E$29),0,1,1)</f>
        <v>0</v>
      </c>
      <c r="N6945" s="366">
        <f>+VLOOKUP(D6945,'Resultats - informe'!$Y$18:$AG$42,'Introducció dades consum'!K6945+1,0)</f>
        <v>0</v>
      </c>
      <c r="O6945" s="370" cm="1">
        <f t="array" ref="O6945">+_xlfn.SWITCH(MONTH(C6945),1,1,2,1,3,1,4,2,5,2,6,3,7,3,8,3,9,3,10,2,11,2,12,1,2)</f>
        <v>1</v>
      </c>
      <c r="P6945" s="43"/>
    </row>
    <row r="6946" spans="1:16" ht="18" x14ac:dyDescent="0.35">
      <c r="A6946" s="9"/>
      <c r="C6946" s="393"/>
      <c r="E6946" s="394"/>
      <c r="F6946" s="394"/>
      <c r="G6946" s="394"/>
      <c r="I6946" s="368">
        <f t="shared" si="330"/>
        <v>0</v>
      </c>
      <c r="J6946" s="365">
        <f t="shared" si="331"/>
        <v>0</v>
      </c>
      <c r="K6946" s="369">
        <f t="shared" si="332"/>
        <v>6</v>
      </c>
      <c r="L6946" s="369">
        <f>+IF((C6946&gt;='Resultats - informe'!$E$16)*(C6946&lt;='Resultats - informe'!$G$16),1,0)</f>
        <v>1</v>
      </c>
      <c r="M6946" s="369" cm="1">
        <f t="array" ref="M6946">+_xlfn.IFS((C6946&gt;='Resultats - informe'!$D$26)*(C6946&lt;='Resultats - informe'!$E$26),0,(C6946&gt;='Resultats - informe'!$D$27)*(C6946&lt;='Resultats - informe'!$E$27),0,(C6946&gt;='Resultats - informe'!$D$28)*(C6946&lt;='Resultats - informe'!$E$28),0,(C6946&gt;='Resultats - informe'!$D$29)*(C6946&lt;='Resultats - informe'!$E$29),0,1,1)</f>
        <v>0</v>
      </c>
      <c r="N6946" s="366">
        <f>+VLOOKUP(D6946,'Resultats - informe'!$Y$18:$AG$42,'Introducció dades consum'!K6946+1,0)</f>
        <v>0</v>
      </c>
      <c r="O6946" s="370" cm="1">
        <f t="array" ref="O6946">+_xlfn.SWITCH(MONTH(C6946),1,1,2,1,3,1,4,2,5,2,6,3,7,3,8,3,9,3,10,2,11,2,12,1,2)</f>
        <v>1</v>
      </c>
      <c r="P6946" s="43"/>
    </row>
    <row r="6947" spans="1:16" ht="18" x14ac:dyDescent="0.35">
      <c r="A6947" s="9"/>
      <c r="C6947" s="393"/>
      <c r="E6947" s="394"/>
      <c r="F6947" s="394"/>
      <c r="G6947" s="394"/>
      <c r="I6947" s="368">
        <f t="shared" si="330"/>
        <v>0</v>
      </c>
      <c r="J6947" s="365">
        <f t="shared" si="331"/>
        <v>0</v>
      </c>
      <c r="K6947" s="369">
        <f t="shared" si="332"/>
        <v>6</v>
      </c>
      <c r="L6947" s="369">
        <f>+IF((C6947&gt;='Resultats - informe'!$E$16)*(C6947&lt;='Resultats - informe'!$G$16),1,0)</f>
        <v>1</v>
      </c>
      <c r="M6947" s="369" cm="1">
        <f t="array" ref="M6947">+_xlfn.IFS((C6947&gt;='Resultats - informe'!$D$26)*(C6947&lt;='Resultats - informe'!$E$26),0,(C6947&gt;='Resultats - informe'!$D$27)*(C6947&lt;='Resultats - informe'!$E$27),0,(C6947&gt;='Resultats - informe'!$D$28)*(C6947&lt;='Resultats - informe'!$E$28),0,(C6947&gt;='Resultats - informe'!$D$29)*(C6947&lt;='Resultats - informe'!$E$29),0,1,1)</f>
        <v>0</v>
      </c>
      <c r="N6947" s="366">
        <f>+VLOOKUP(D6947,'Resultats - informe'!$Y$18:$AG$42,'Introducció dades consum'!K6947+1,0)</f>
        <v>0</v>
      </c>
      <c r="O6947" s="370" cm="1">
        <f t="array" ref="O6947">+_xlfn.SWITCH(MONTH(C6947),1,1,2,1,3,1,4,2,5,2,6,3,7,3,8,3,9,3,10,2,11,2,12,1,2)</f>
        <v>1</v>
      </c>
      <c r="P6947" s="43"/>
    </row>
    <row r="6948" spans="1:16" ht="18" x14ac:dyDescent="0.35">
      <c r="A6948" s="9"/>
      <c r="C6948" s="393"/>
      <c r="E6948" s="394"/>
      <c r="F6948" s="394"/>
      <c r="G6948" s="394"/>
      <c r="I6948" s="368">
        <f t="shared" si="330"/>
        <v>0</v>
      </c>
      <c r="J6948" s="365">
        <f t="shared" si="331"/>
        <v>0</v>
      </c>
      <c r="K6948" s="369">
        <f t="shared" si="332"/>
        <v>6</v>
      </c>
      <c r="L6948" s="369">
        <f>+IF((C6948&gt;='Resultats - informe'!$E$16)*(C6948&lt;='Resultats - informe'!$G$16),1,0)</f>
        <v>1</v>
      </c>
      <c r="M6948" s="369" cm="1">
        <f t="array" ref="M6948">+_xlfn.IFS((C6948&gt;='Resultats - informe'!$D$26)*(C6948&lt;='Resultats - informe'!$E$26),0,(C6948&gt;='Resultats - informe'!$D$27)*(C6948&lt;='Resultats - informe'!$E$27),0,(C6948&gt;='Resultats - informe'!$D$28)*(C6948&lt;='Resultats - informe'!$E$28),0,(C6948&gt;='Resultats - informe'!$D$29)*(C6948&lt;='Resultats - informe'!$E$29),0,1,1)</f>
        <v>0</v>
      </c>
      <c r="N6948" s="366">
        <f>+VLOOKUP(D6948,'Resultats - informe'!$Y$18:$AG$42,'Introducció dades consum'!K6948+1,0)</f>
        <v>0</v>
      </c>
      <c r="O6948" s="370" cm="1">
        <f t="array" ref="O6948">+_xlfn.SWITCH(MONTH(C6948),1,1,2,1,3,1,4,2,5,2,6,3,7,3,8,3,9,3,10,2,11,2,12,1,2)</f>
        <v>1</v>
      </c>
      <c r="P6948" s="43"/>
    </row>
    <row r="6949" spans="1:16" ht="18" x14ac:dyDescent="0.35">
      <c r="A6949" s="9"/>
      <c r="C6949" s="393"/>
      <c r="E6949" s="394"/>
      <c r="F6949" s="394"/>
      <c r="G6949" s="394"/>
      <c r="I6949" s="368">
        <f t="shared" si="330"/>
        <v>0</v>
      </c>
      <c r="J6949" s="365">
        <f t="shared" si="331"/>
        <v>0</v>
      </c>
      <c r="K6949" s="369">
        <f t="shared" si="332"/>
        <v>6</v>
      </c>
      <c r="L6949" s="369">
        <f>+IF((C6949&gt;='Resultats - informe'!$E$16)*(C6949&lt;='Resultats - informe'!$G$16),1,0)</f>
        <v>1</v>
      </c>
      <c r="M6949" s="369" cm="1">
        <f t="array" ref="M6949">+_xlfn.IFS((C6949&gt;='Resultats - informe'!$D$26)*(C6949&lt;='Resultats - informe'!$E$26),0,(C6949&gt;='Resultats - informe'!$D$27)*(C6949&lt;='Resultats - informe'!$E$27),0,(C6949&gt;='Resultats - informe'!$D$28)*(C6949&lt;='Resultats - informe'!$E$28),0,(C6949&gt;='Resultats - informe'!$D$29)*(C6949&lt;='Resultats - informe'!$E$29),0,1,1)</f>
        <v>0</v>
      </c>
      <c r="N6949" s="366">
        <f>+VLOOKUP(D6949,'Resultats - informe'!$Y$18:$AG$42,'Introducció dades consum'!K6949+1,0)</f>
        <v>0</v>
      </c>
      <c r="O6949" s="370" cm="1">
        <f t="array" ref="O6949">+_xlfn.SWITCH(MONTH(C6949),1,1,2,1,3,1,4,2,5,2,6,3,7,3,8,3,9,3,10,2,11,2,12,1,2)</f>
        <v>1</v>
      </c>
      <c r="P6949" s="43"/>
    </row>
    <row r="6950" spans="1:16" ht="18" x14ac:dyDescent="0.35">
      <c r="A6950" s="9"/>
      <c r="C6950" s="393"/>
      <c r="E6950" s="394"/>
      <c r="F6950" s="394"/>
      <c r="G6950" s="394"/>
      <c r="I6950" s="368">
        <f t="shared" si="330"/>
        <v>0</v>
      </c>
      <c r="J6950" s="365">
        <f t="shared" si="331"/>
        <v>0</v>
      </c>
      <c r="K6950" s="369">
        <f t="shared" si="332"/>
        <v>6</v>
      </c>
      <c r="L6950" s="369">
        <f>+IF((C6950&gt;='Resultats - informe'!$E$16)*(C6950&lt;='Resultats - informe'!$G$16),1,0)</f>
        <v>1</v>
      </c>
      <c r="M6950" s="369" cm="1">
        <f t="array" ref="M6950">+_xlfn.IFS((C6950&gt;='Resultats - informe'!$D$26)*(C6950&lt;='Resultats - informe'!$E$26),0,(C6950&gt;='Resultats - informe'!$D$27)*(C6950&lt;='Resultats - informe'!$E$27),0,(C6950&gt;='Resultats - informe'!$D$28)*(C6950&lt;='Resultats - informe'!$E$28),0,(C6950&gt;='Resultats - informe'!$D$29)*(C6950&lt;='Resultats - informe'!$E$29),0,1,1)</f>
        <v>0</v>
      </c>
      <c r="N6950" s="366">
        <f>+VLOOKUP(D6950,'Resultats - informe'!$Y$18:$AG$42,'Introducció dades consum'!K6950+1,0)</f>
        <v>0</v>
      </c>
      <c r="O6950" s="370" cm="1">
        <f t="array" ref="O6950">+_xlfn.SWITCH(MONTH(C6950),1,1,2,1,3,1,4,2,5,2,6,3,7,3,8,3,9,3,10,2,11,2,12,1,2)</f>
        <v>1</v>
      </c>
      <c r="P6950" s="43"/>
    </row>
    <row r="6951" spans="1:16" ht="18" x14ac:dyDescent="0.35">
      <c r="A6951" s="9"/>
      <c r="C6951" s="393"/>
      <c r="E6951" s="394"/>
      <c r="F6951" s="394"/>
      <c r="G6951" s="394"/>
      <c r="I6951" s="368">
        <f t="shared" si="330"/>
        <v>0</v>
      </c>
      <c r="J6951" s="365">
        <f t="shared" si="331"/>
        <v>0</v>
      </c>
      <c r="K6951" s="369">
        <f t="shared" si="332"/>
        <v>6</v>
      </c>
      <c r="L6951" s="369">
        <f>+IF((C6951&gt;='Resultats - informe'!$E$16)*(C6951&lt;='Resultats - informe'!$G$16),1,0)</f>
        <v>1</v>
      </c>
      <c r="M6951" s="369" cm="1">
        <f t="array" ref="M6951">+_xlfn.IFS((C6951&gt;='Resultats - informe'!$D$26)*(C6951&lt;='Resultats - informe'!$E$26),0,(C6951&gt;='Resultats - informe'!$D$27)*(C6951&lt;='Resultats - informe'!$E$27),0,(C6951&gt;='Resultats - informe'!$D$28)*(C6951&lt;='Resultats - informe'!$E$28),0,(C6951&gt;='Resultats - informe'!$D$29)*(C6951&lt;='Resultats - informe'!$E$29),0,1,1)</f>
        <v>0</v>
      </c>
      <c r="N6951" s="366">
        <f>+VLOOKUP(D6951,'Resultats - informe'!$Y$18:$AG$42,'Introducció dades consum'!K6951+1,0)</f>
        <v>0</v>
      </c>
      <c r="O6951" s="370" cm="1">
        <f t="array" ref="O6951">+_xlfn.SWITCH(MONTH(C6951),1,1,2,1,3,1,4,2,5,2,6,3,7,3,8,3,9,3,10,2,11,2,12,1,2)</f>
        <v>1</v>
      </c>
      <c r="P6951" s="43"/>
    </row>
    <row r="6952" spans="1:16" ht="18" x14ac:dyDescent="0.35">
      <c r="A6952" s="9"/>
      <c r="C6952" s="393"/>
      <c r="E6952" s="394"/>
      <c r="F6952" s="394"/>
      <c r="G6952" s="394"/>
      <c r="I6952" s="368">
        <f t="shared" si="330"/>
        <v>0</v>
      </c>
      <c r="J6952" s="365">
        <f t="shared" si="331"/>
        <v>0</v>
      </c>
      <c r="K6952" s="369">
        <f t="shared" si="332"/>
        <v>6</v>
      </c>
      <c r="L6952" s="369">
        <f>+IF((C6952&gt;='Resultats - informe'!$E$16)*(C6952&lt;='Resultats - informe'!$G$16),1,0)</f>
        <v>1</v>
      </c>
      <c r="M6952" s="369" cm="1">
        <f t="array" ref="M6952">+_xlfn.IFS((C6952&gt;='Resultats - informe'!$D$26)*(C6952&lt;='Resultats - informe'!$E$26),0,(C6952&gt;='Resultats - informe'!$D$27)*(C6952&lt;='Resultats - informe'!$E$27),0,(C6952&gt;='Resultats - informe'!$D$28)*(C6952&lt;='Resultats - informe'!$E$28),0,(C6952&gt;='Resultats - informe'!$D$29)*(C6952&lt;='Resultats - informe'!$E$29),0,1,1)</f>
        <v>0</v>
      </c>
      <c r="N6952" s="366">
        <f>+VLOOKUP(D6952,'Resultats - informe'!$Y$18:$AG$42,'Introducció dades consum'!K6952+1,0)</f>
        <v>0</v>
      </c>
      <c r="O6952" s="370" cm="1">
        <f t="array" ref="O6952">+_xlfn.SWITCH(MONTH(C6952),1,1,2,1,3,1,4,2,5,2,6,3,7,3,8,3,9,3,10,2,11,2,12,1,2)</f>
        <v>1</v>
      </c>
      <c r="P6952" s="43"/>
    </row>
    <row r="6953" spans="1:16" ht="18" x14ac:dyDescent="0.35">
      <c r="A6953" s="9"/>
      <c r="C6953" s="393"/>
      <c r="E6953" s="394"/>
      <c r="F6953" s="394"/>
      <c r="G6953" s="394"/>
      <c r="I6953" s="368">
        <f t="shared" si="330"/>
        <v>0</v>
      </c>
      <c r="J6953" s="365">
        <f t="shared" si="331"/>
        <v>0</v>
      </c>
      <c r="K6953" s="369">
        <f t="shared" si="332"/>
        <v>6</v>
      </c>
      <c r="L6953" s="369">
        <f>+IF((C6953&gt;='Resultats - informe'!$E$16)*(C6953&lt;='Resultats - informe'!$G$16),1,0)</f>
        <v>1</v>
      </c>
      <c r="M6953" s="369" cm="1">
        <f t="array" ref="M6953">+_xlfn.IFS((C6953&gt;='Resultats - informe'!$D$26)*(C6953&lt;='Resultats - informe'!$E$26),0,(C6953&gt;='Resultats - informe'!$D$27)*(C6953&lt;='Resultats - informe'!$E$27),0,(C6953&gt;='Resultats - informe'!$D$28)*(C6953&lt;='Resultats - informe'!$E$28),0,(C6953&gt;='Resultats - informe'!$D$29)*(C6953&lt;='Resultats - informe'!$E$29),0,1,1)</f>
        <v>0</v>
      </c>
      <c r="N6953" s="366">
        <f>+VLOOKUP(D6953,'Resultats - informe'!$Y$18:$AG$42,'Introducció dades consum'!K6953+1,0)</f>
        <v>0</v>
      </c>
      <c r="O6953" s="370" cm="1">
        <f t="array" ref="O6953">+_xlfn.SWITCH(MONTH(C6953),1,1,2,1,3,1,4,2,5,2,6,3,7,3,8,3,9,3,10,2,11,2,12,1,2)</f>
        <v>1</v>
      </c>
      <c r="P6953" s="43"/>
    </row>
    <row r="6954" spans="1:16" ht="18" x14ac:dyDescent="0.35">
      <c r="A6954" s="9"/>
      <c r="C6954" s="393"/>
      <c r="E6954" s="394"/>
      <c r="F6954" s="394"/>
      <c r="G6954" s="394"/>
      <c r="I6954" s="368">
        <f t="shared" si="330"/>
        <v>0</v>
      </c>
      <c r="J6954" s="365">
        <f t="shared" si="331"/>
        <v>0</v>
      </c>
      <c r="K6954" s="369">
        <f t="shared" si="332"/>
        <v>6</v>
      </c>
      <c r="L6954" s="369">
        <f>+IF((C6954&gt;='Resultats - informe'!$E$16)*(C6954&lt;='Resultats - informe'!$G$16),1,0)</f>
        <v>1</v>
      </c>
      <c r="M6954" s="369" cm="1">
        <f t="array" ref="M6954">+_xlfn.IFS((C6954&gt;='Resultats - informe'!$D$26)*(C6954&lt;='Resultats - informe'!$E$26),0,(C6954&gt;='Resultats - informe'!$D$27)*(C6954&lt;='Resultats - informe'!$E$27),0,(C6954&gt;='Resultats - informe'!$D$28)*(C6954&lt;='Resultats - informe'!$E$28),0,(C6954&gt;='Resultats - informe'!$D$29)*(C6954&lt;='Resultats - informe'!$E$29),0,1,1)</f>
        <v>0</v>
      </c>
      <c r="N6954" s="366">
        <f>+VLOOKUP(D6954,'Resultats - informe'!$Y$18:$AG$42,'Introducció dades consum'!K6954+1,0)</f>
        <v>0</v>
      </c>
      <c r="O6954" s="370" cm="1">
        <f t="array" ref="O6954">+_xlfn.SWITCH(MONTH(C6954),1,1,2,1,3,1,4,2,5,2,6,3,7,3,8,3,9,3,10,2,11,2,12,1,2)</f>
        <v>1</v>
      </c>
      <c r="P6954" s="43"/>
    </row>
    <row r="6955" spans="1:16" ht="18" x14ac:dyDescent="0.35">
      <c r="A6955" s="9"/>
      <c r="C6955" s="393"/>
      <c r="E6955" s="394"/>
      <c r="F6955" s="394"/>
      <c r="G6955" s="394"/>
      <c r="I6955" s="368">
        <f t="shared" si="330"/>
        <v>0</v>
      </c>
      <c r="J6955" s="365">
        <f t="shared" si="331"/>
        <v>0</v>
      </c>
      <c r="K6955" s="369">
        <f t="shared" si="332"/>
        <v>6</v>
      </c>
      <c r="L6955" s="369">
        <f>+IF((C6955&gt;='Resultats - informe'!$E$16)*(C6955&lt;='Resultats - informe'!$G$16),1,0)</f>
        <v>1</v>
      </c>
      <c r="M6955" s="369" cm="1">
        <f t="array" ref="M6955">+_xlfn.IFS((C6955&gt;='Resultats - informe'!$D$26)*(C6955&lt;='Resultats - informe'!$E$26),0,(C6955&gt;='Resultats - informe'!$D$27)*(C6955&lt;='Resultats - informe'!$E$27),0,(C6955&gt;='Resultats - informe'!$D$28)*(C6955&lt;='Resultats - informe'!$E$28),0,(C6955&gt;='Resultats - informe'!$D$29)*(C6955&lt;='Resultats - informe'!$E$29),0,1,1)</f>
        <v>0</v>
      </c>
      <c r="N6955" s="366">
        <f>+VLOOKUP(D6955,'Resultats - informe'!$Y$18:$AG$42,'Introducció dades consum'!K6955+1,0)</f>
        <v>0</v>
      </c>
      <c r="O6955" s="370" cm="1">
        <f t="array" ref="O6955">+_xlfn.SWITCH(MONTH(C6955),1,1,2,1,3,1,4,2,5,2,6,3,7,3,8,3,9,3,10,2,11,2,12,1,2)</f>
        <v>1</v>
      </c>
      <c r="P6955" s="43"/>
    </row>
    <row r="6956" spans="1:16" ht="18" x14ac:dyDescent="0.35">
      <c r="A6956" s="9"/>
      <c r="C6956" s="393"/>
      <c r="E6956" s="394"/>
      <c r="F6956" s="394"/>
      <c r="G6956" s="394"/>
      <c r="I6956" s="368">
        <f t="shared" si="330"/>
        <v>0</v>
      </c>
      <c r="J6956" s="365">
        <f t="shared" si="331"/>
        <v>0</v>
      </c>
      <c r="K6956" s="369">
        <f t="shared" si="332"/>
        <v>6</v>
      </c>
      <c r="L6956" s="369">
        <f>+IF((C6956&gt;='Resultats - informe'!$E$16)*(C6956&lt;='Resultats - informe'!$G$16),1,0)</f>
        <v>1</v>
      </c>
      <c r="M6956" s="369" cm="1">
        <f t="array" ref="M6956">+_xlfn.IFS((C6956&gt;='Resultats - informe'!$D$26)*(C6956&lt;='Resultats - informe'!$E$26),0,(C6956&gt;='Resultats - informe'!$D$27)*(C6956&lt;='Resultats - informe'!$E$27),0,(C6956&gt;='Resultats - informe'!$D$28)*(C6956&lt;='Resultats - informe'!$E$28),0,(C6956&gt;='Resultats - informe'!$D$29)*(C6956&lt;='Resultats - informe'!$E$29),0,1,1)</f>
        <v>0</v>
      </c>
      <c r="N6956" s="366">
        <f>+VLOOKUP(D6956,'Resultats - informe'!$Y$18:$AG$42,'Introducció dades consum'!K6956+1,0)</f>
        <v>0</v>
      </c>
      <c r="O6956" s="370" cm="1">
        <f t="array" ref="O6956">+_xlfn.SWITCH(MONTH(C6956),1,1,2,1,3,1,4,2,5,2,6,3,7,3,8,3,9,3,10,2,11,2,12,1,2)</f>
        <v>1</v>
      </c>
      <c r="P6956" s="43"/>
    </row>
    <row r="6957" spans="1:16" ht="18" x14ac:dyDescent="0.35">
      <c r="A6957" s="9"/>
      <c r="C6957" s="393"/>
      <c r="E6957" s="394"/>
      <c r="F6957" s="394"/>
      <c r="G6957" s="394"/>
      <c r="I6957" s="368">
        <f t="shared" si="330"/>
        <v>0</v>
      </c>
      <c r="J6957" s="365">
        <f t="shared" si="331"/>
        <v>0</v>
      </c>
      <c r="K6957" s="369">
        <f t="shared" si="332"/>
        <v>6</v>
      </c>
      <c r="L6957" s="369">
        <f>+IF((C6957&gt;='Resultats - informe'!$E$16)*(C6957&lt;='Resultats - informe'!$G$16),1,0)</f>
        <v>1</v>
      </c>
      <c r="M6957" s="369" cm="1">
        <f t="array" ref="M6957">+_xlfn.IFS((C6957&gt;='Resultats - informe'!$D$26)*(C6957&lt;='Resultats - informe'!$E$26),0,(C6957&gt;='Resultats - informe'!$D$27)*(C6957&lt;='Resultats - informe'!$E$27),0,(C6957&gt;='Resultats - informe'!$D$28)*(C6957&lt;='Resultats - informe'!$E$28),0,(C6957&gt;='Resultats - informe'!$D$29)*(C6957&lt;='Resultats - informe'!$E$29),0,1,1)</f>
        <v>0</v>
      </c>
      <c r="N6957" s="366">
        <f>+VLOOKUP(D6957,'Resultats - informe'!$Y$18:$AG$42,'Introducció dades consum'!K6957+1,0)</f>
        <v>0</v>
      </c>
      <c r="O6957" s="370" cm="1">
        <f t="array" ref="O6957">+_xlfn.SWITCH(MONTH(C6957),1,1,2,1,3,1,4,2,5,2,6,3,7,3,8,3,9,3,10,2,11,2,12,1,2)</f>
        <v>1</v>
      </c>
      <c r="P6957" s="43"/>
    </row>
    <row r="6958" spans="1:16" ht="18" x14ac:dyDescent="0.35">
      <c r="A6958" s="9"/>
      <c r="C6958" s="393"/>
      <c r="E6958" s="394"/>
      <c r="F6958" s="394"/>
      <c r="G6958" s="394"/>
      <c r="I6958" s="368">
        <f t="shared" si="330"/>
        <v>0</v>
      </c>
      <c r="J6958" s="365">
        <f t="shared" si="331"/>
        <v>0</v>
      </c>
      <c r="K6958" s="369">
        <f t="shared" si="332"/>
        <v>6</v>
      </c>
      <c r="L6958" s="369">
        <f>+IF((C6958&gt;='Resultats - informe'!$E$16)*(C6958&lt;='Resultats - informe'!$G$16),1,0)</f>
        <v>1</v>
      </c>
      <c r="M6958" s="369" cm="1">
        <f t="array" ref="M6958">+_xlfn.IFS((C6958&gt;='Resultats - informe'!$D$26)*(C6958&lt;='Resultats - informe'!$E$26),0,(C6958&gt;='Resultats - informe'!$D$27)*(C6958&lt;='Resultats - informe'!$E$27),0,(C6958&gt;='Resultats - informe'!$D$28)*(C6958&lt;='Resultats - informe'!$E$28),0,(C6958&gt;='Resultats - informe'!$D$29)*(C6958&lt;='Resultats - informe'!$E$29),0,1,1)</f>
        <v>0</v>
      </c>
      <c r="N6958" s="366">
        <f>+VLOOKUP(D6958,'Resultats - informe'!$Y$18:$AG$42,'Introducció dades consum'!K6958+1,0)</f>
        <v>0</v>
      </c>
      <c r="O6958" s="370" cm="1">
        <f t="array" ref="O6958">+_xlfn.SWITCH(MONTH(C6958),1,1,2,1,3,1,4,2,5,2,6,3,7,3,8,3,9,3,10,2,11,2,12,1,2)</f>
        <v>1</v>
      </c>
      <c r="P6958" s="43"/>
    </row>
    <row r="6959" spans="1:16" ht="18" x14ac:dyDescent="0.35">
      <c r="A6959" s="9"/>
      <c r="C6959" s="393"/>
      <c r="E6959" s="394"/>
      <c r="F6959" s="394"/>
      <c r="G6959" s="394"/>
      <c r="I6959" s="368">
        <f t="shared" si="330"/>
        <v>0</v>
      </c>
      <c r="J6959" s="365">
        <f t="shared" si="331"/>
        <v>0</v>
      </c>
      <c r="K6959" s="369">
        <f t="shared" si="332"/>
        <v>6</v>
      </c>
      <c r="L6959" s="369">
        <f>+IF((C6959&gt;='Resultats - informe'!$E$16)*(C6959&lt;='Resultats - informe'!$G$16),1,0)</f>
        <v>1</v>
      </c>
      <c r="M6959" s="369" cm="1">
        <f t="array" ref="M6959">+_xlfn.IFS((C6959&gt;='Resultats - informe'!$D$26)*(C6959&lt;='Resultats - informe'!$E$26),0,(C6959&gt;='Resultats - informe'!$D$27)*(C6959&lt;='Resultats - informe'!$E$27),0,(C6959&gt;='Resultats - informe'!$D$28)*(C6959&lt;='Resultats - informe'!$E$28),0,(C6959&gt;='Resultats - informe'!$D$29)*(C6959&lt;='Resultats - informe'!$E$29),0,1,1)</f>
        <v>0</v>
      </c>
      <c r="N6959" s="366">
        <f>+VLOOKUP(D6959,'Resultats - informe'!$Y$18:$AG$42,'Introducció dades consum'!K6959+1,0)</f>
        <v>0</v>
      </c>
      <c r="O6959" s="370" cm="1">
        <f t="array" ref="O6959">+_xlfn.SWITCH(MONTH(C6959),1,1,2,1,3,1,4,2,5,2,6,3,7,3,8,3,9,3,10,2,11,2,12,1,2)</f>
        <v>1</v>
      </c>
      <c r="P6959" s="43"/>
    </row>
    <row r="6960" spans="1:16" ht="18" x14ac:dyDescent="0.35">
      <c r="A6960" s="9"/>
      <c r="C6960" s="393"/>
      <c r="E6960" s="394"/>
      <c r="F6960" s="394"/>
      <c r="G6960" s="394"/>
      <c r="I6960" s="368">
        <f t="shared" si="330"/>
        <v>0</v>
      </c>
      <c r="J6960" s="365">
        <f t="shared" si="331"/>
        <v>0</v>
      </c>
      <c r="K6960" s="369">
        <f t="shared" si="332"/>
        <v>6</v>
      </c>
      <c r="L6960" s="369">
        <f>+IF((C6960&gt;='Resultats - informe'!$E$16)*(C6960&lt;='Resultats - informe'!$G$16),1,0)</f>
        <v>1</v>
      </c>
      <c r="M6960" s="369" cm="1">
        <f t="array" ref="M6960">+_xlfn.IFS((C6960&gt;='Resultats - informe'!$D$26)*(C6960&lt;='Resultats - informe'!$E$26),0,(C6960&gt;='Resultats - informe'!$D$27)*(C6960&lt;='Resultats - informe'!$E$27),0,(C6960&gt;='Resultats - informe'!$D$28)*(C6960&lt;='Resultats - informe'!$E$28),0,(C6960&gt;='Resultats - informe'!$D$29)*(C6960&lt;='Resultats - informe'!$E$29),0,1,1)</f>
        <v>0</v>
      </c>
      <c r="N6960" s="366">
        <f>+VLOOKUP(D6960,'Resultats - informe'!$Y$18:$AG$42,'Introducció dades consum'!K6960+1,0)</f>
        <v>0</v>
      </c>
      <c r="O6960" s="370" cm="1">
        <f t="array" ref="O6960">+_xlfn.SWITCH(MONTH(C6960),1,1,2,1,3,1,4,2,5,2,6,3,7,3,8,3,9,3,10,2,11,2,12,1,2)</f>
        <v>1</v>
      </c>
      <c r="P6960" s="43"/>
    </row>
    <row r="6961" spans="1:16" ht="18" x14ac:dyDescent="0.35">
      <c r="A6961" s="9"/>
      <c r="C6961" s="393"/>
      <c r="E6961" s="394"/>
      <c r="F6961" s="394"/>
      <c r="G6961" s="394"/>
      <c r="I6961" s="368">
        <f t="shared" si="330"/>
        <v>0</v>
      </c>
      <c r="J6961" s="365">
        <f t="shared" si="331"/>
        <v>0</v>
      </c>
      <c r="K6961" s="369">
        <f t="shared" si="332"/>
        <v>6</v>
      </c>
      <c r="L6961" s="369">
        <f>+IF((C6961&gt;='Resultats - informe'!$E$16)*(C6961&lt;='Resultats - informe'!$G$16),1,0)</f>
        <v>1</v>
      </c>
      <c r="M6961" s="369" cm="1">
        <f t="array" ref="M6961">+_xlfn.IFS((C6961&gt;='Resultats - informe'!$D$26)*(C6961&lt;='Resultats - informe'!$E$26),0,(C6961&gt;='Resultats - informe'!$D$27)*(C6961&lt;='Resultats - informe'!$E$27),0,(C6961&gt;='Resultats - informe'!$D$28)*(C6961&lt;='Resultats - informe'!$E$28),0,(C6961&gt;='Resultats - informe'!$D$29)*(C6961&lt;='Resultats - informe'!$E$29),0,1,1)</f>
        <v>0</v>
      </c>
      <c r="N6961" s="366">
        <f>+VLOOKUP(D6961,'Resultats - informe'!$Y$18:$AG$42,'Introducció dades consum'!K6961+1,0)</f>
        <v>0</v>
      </c>
      <c r="O6961" s="370" cm="1">
        <f t="array" ref="O6961">+_xlfn.SWITCH(MONTH(C6961),1,1,2,1,3,1,4,2,5,2,6,3,7,3,8,3,9,3,10,2,11,2,12,1,2)</f>
        <v>1</v>
      </c>
      <c r="P6961" s="43"/>
    </row>
    <row r="6962" spans="1:16" ht="18" x14ac:dyDescent="0.35">
      <c r="A6962" s="9"/>
      <c r="C6962" s="393"/>
      <c r="E6962" s="394"/>
      <c r="F6962" s="394"/>
      <c r="G6962" s="394"/>
      <c r="I6962" s="368">
        <f t="shared" si="330"/>
        <v>0</v>
      </c>
      <c r="J6962" s="365">
        <f t="shared" si="331"/>
        <v>0</v>
      </c>
      <c r="K6962" s="369">
        <f t="shared" si="332"/>
        <v>6</v>
      </c>
      <c r="L6962" s="369">
        <f>+IF((C6962&gt;='Resultats - informe'!$E$16)*(C6962&lt;='Resultats - informe'!$G$16),1,0)</f>
        <v>1</v>
      </c>
      <c r="M6962" s="369" cm="1">
        <f t="array" ref="M6962">+_xlfn.IFS((C6962&gt;='Resultats - informe'!$D$26)*(C6962&lt;='Resultats - informe'!$E$26),0,(C6962&gt;='Resultats - informe'!$D$27)*(C6962&lt;='Resultats - informe'!$E$27),0,(C6962&gt;='Resultats - informe'!$D$28)*(C6962&lt;='Resultats - informe'!$E$28),0,(C6962&gt;='Resultats - informe'!$D$29)*(C6962&lt;='Resultats - informe'!$E$29),0,1,1)</f>
        <v>0</v>
      </c>
      <c r="N6962" s="366">
        <f>+VLOOKUP(D6962,'Resultats - informe'!$Y$18:$AG$42,'Introducció dades consum'!K6962+1,0)</f>
        <v>0</v>
      </c>
      <c r="O6962" s="370" cm="1">
        <f t="array" ref="O6962">+_xlfn.SWITCH(MONTH(C6962),1,1,2,1,3,1,4,2,5,2,6,3,7,3,8,3,9,3,10,2,11,2,12,1,2)</f>
        <v>1</v>
      </c>
      <c r="P6962" s="43"/>
    </row>
    <row r="6963" spans="1:16" ht="18" x14ac:dyDescent="0.35">
      <c r="A6963" s="9"/>
      <c r="C6963" s="393"/>
      <c r="E6963" s="394"/>
      <c r="F6963" s="394"/>
      <c r="G6963" s="394"/>
      <c r="I6963" s="368">
        <f t="shared" si="330"/>
        <v>0</v>
      </c>
      <c r="J6963" s="365">
        <f t="shared" si="331"/>
        <v>0</v>
      </c>
      <c r="K6963" s="369">
        <f t="shared" si="332"/>
        <v>6</v>
      </c>
      <c r="L6963" s="369">
        <f>+IF((C6963&gt;='Resultats - informe'!$E$16)*(C6963&lt;='Resultats - informe'!$G$16),1,0)</f>
        <v>1</v>
      </c>
      <c r="M6963" s="369" cm="1">
        <f t="array" ref="M6963">+_xlfn.IFS((C6963&gt;='Resultats - informe'!$D$26)*(C6963&lt;='Resultats - informe'!$E$26),0,(C6963&gt;='Resultats - informe'!$D$27)*(C6963&lt;='Resultats - informe'!$E$27),0,(C6963&gt;='Resultats - informe'!$D$28)*(C6963&lt;='Resultats - informe'!$E$28),0,(C6963&gt;='Resultats - informe'!$D$29)*(C6963&lt;='Resultats - informe'!$E$29),0,1,1)</f>
        <v>0</v>
      </c>
      <c r="N6963" s="366">
        <f>+VLOOKUP(D6963,'Resultats - informe'!$Y$18:$AG$42,'Introducció dades consum'!K6963+1,0)</f>
        <v>0</v>
      </c>
      <c r="O6963" s="370" cm="1">
        <f t="array" ref="O6963">+_xlfn.SWITCH(MONTH(C6963),1,1,2,1,3,1,4,2,5,2,6,3,7,3,8,3,9,3,10,2,11,2,12,1,2)</f>
        <v>1</v>
      </c>
      <c r="P6963" s="43"/>
    </row>
    <row r="6964" spans="1:16" ht="18" x14ac:dyDescent="0.35">
      <c r="A6964" s="9"/>
      <c r="C6964" s="393"/>
      <c r="E6964" s="394"/>
      <c r="F6964" s="394"/>
      <c r="G6964" s="394"/>
      <c r="I6964" s="368">
        <f t="shared" si="330"/>
        <v>0</v>
      </c>
      <c r="J6964" s="365">
        <f t="shared" si="331"/>
        <v>0</v>
      </c>
      <c r="K6964" s="369">
        <f t="shared" si="332"/>
        <v>6</v>
      </c>
      <c r="L6964" s="369">
        <f>+IF((C6964&gt;='Resultats - informe'!$E$16)*(C6964&lt;='Resultats - informe'!$G$16),1,0)</f>
        <v>1</v>
      </c>
      <c r="M6964" s="369" cm="1">
        <f t="array" ref="M6964">+_xlfn.IFS((C6964&gt;='Resultats - informe'!$D$26)*(C6964&lt;='Resultats - informe'!$E$26),0,(C6964&gt;='Resultats - informe'!$D$27)*(C6964&lt;='Resultats - informe'!$E$27),0,(C6964&gt;='Resultats - informe'!$D$28)*(C6964&lt;='Resultats - informe'!$E$28),0,(C6964&gt;='Resultats - informe'!$D$29)*(C6964&lt;='Resultats - informe'!$E$29),0,1,1)</f>
        <v>0</v>
      </c>
      <c r="N6964" s="366">
        <f>+VLOOKUP(D6964,'Resultats - informe'!$Y$18:$AG$42,'Introducció dades consum'!K6964+1,0)</f>
        <v>0</v>
      </c>
      <c r="O6964" s="370" cm="1">
        <f t="array" ref="O6964">+_xlfn.SWITCH(MONTH(C6964),1,1,2,1,3,1,4,2,5,2,6,3,7,3,8,3,9,3,10,2,11,2,12,1,2)</f>
        <v>1</v>
      </c>
      <c r="P6964" s="43"/>
    </row>
    <row r="6965" spans="1:16" ht="18" x14ac:dyDescent="0.35">
      <c r="A6965" s="9"/>
      <c r="C6965" s="393"/>
      <c r="E6965" s="394"/>
      <c r="F6965" s="394"/>
      <c r="G6965" s="394"/>
      <c r="I6965" s="368">
        <f t="shared" si="330"/>
        <v>0</v>
      </c>
      <c r="J6965" s="365">
        <f t="shared" si="331"/>
        <v>0</v>
      </c>
      <c r="K6965" s="369">
        <f t="shared" si="332"/>
        <v>6</v>
      </c>
      <c r="L6965" s="369">
        <f>+IF((C6965&gt;='Resultats - informe'!$E$16)*(C6965&lt;='Resultats - informe'!$G$16),1,0)</f>
        <v>1</v>
      </c>
      <c r="M6965" s="369" cm="1">
        <f t="array" ref="M6965">+_xlfn.IFS((C6965&gt;='Resultats - informe'!$D$26)*(C6965&lt;='Resultats - informe'!$E$26),0,(C6965&gt;='Resultats - informe'!$D$27)*(C6965&lt;='Resultats - informe'!$E$27),0,(C6965&gt;='Resultats - informe'!$D$28)*(C6965&lt;='Resultats - informe'!$E$28),0,(C6965&gt;='Resultats - informe'!$D$29)*(C6965&lt;='Resultats - informe'!$E$29),0,1,1)</f>
        <v>0</v>
      </c>
      <c r="N6965" s="366">
        <f>+VLOOKUP(D6965,'Resultats - informe'!$Y$18:$AG$42,'Introducció dades consum'!K6965+1,0)</f>
        <v>0</v>
      </c>
      <c r="O6965" s="370" cm="1">
        <f t="array" ref="O6965">+_xlfn.SWITCH(MONTH(C6965),1,1,2,1,3,1,4,2,5,2,6,3,7,3,8,3,9,3,10,2,11,2,12,1,2)</f>
        <v>1</v>
      </c>
      <c r="P6965" s="43"/>
    </row>
    <row r="6966" spans="1:16" ht="18" x14ac:dyDescent="0.35">
      <c r="A6966" s="9"/>
      <c r="C6966" s="393"/>
      <c r="E6966" s="394"/>
      <c r="F6966" s="394"/>
      <c r="G6966" s="394"/>
      <c r="I6966" s="368">
        <f t="shared" si="330"/>
        <v>0</v>
      </c>
      <c r="J6966" s="365">
        <f t="shared" si="331"/>
        <v>0</v>
      </c>
      <c r="K6966" s="369">
        <f t="shared" si="332"/>
        <v>6</v>
      </c>
      <c r="L6966" s="369">
        <f>+IF((C6966&gt;='Resultats - informe'!$E$16)*(C6966&lt;='Resultats - informe'!$G$16),1,0)</f>
        <v>1</v>
      </c>
      <c r="M6966" s="369" cm="1">
        <f t="array" ref="M6966">+_xlfn.IFS((C6966&gt;='Resultats - informe'!$D$26)*(C6966&lt;='Resultats - informe'!$E$26),0,(C6966&gt;='Resultats - informe'!$D$27)*(C6966&lt;='Resultats - informe'!$E$27),0,(C6966&gt;='Resultats - informe'!$D$28)*(C6966&lt;='Resultats - informe'!$E$28),0,(C6966&gt;='Resultats - informe'!$D$29)*(C6966&lt;='Resultats - informe'!$E$29),0,1,1)</f>
        <v>0</v>
      </c>
      <c r="N6966" s="366">
        <f>+VLOOKUP(D6966,'Resultats - informe'!$Y$18:$AG$42,'Introducció dades consum'!K6966+1,0)</f>
        <v>0</v>
      </c>
      <c r="O6966" s="370" cm="1">
        <f t="array" ref="O6966">+_xlfn.SWITCH(MONTH(C6966),1,1,2,1,3,1,4,2,5,2,6,3,7,3,8,3,9,3,10,2,11,2,12,1,2)</f>
        <v>1</v>
      </c>
      <c r="P6966" s="43"/>
    </row>
    <row r="6967" spans="1:16" ht="18" x14ac:dyDescent="0.35">
      <c r="A6967" s="9"/>
      <c r="C6967" s="393"/>
      <c r="E6967" s="394"/>
      <c r="F6967" s="394"/>
      <c r="G6967" s="394"/>
      <c r="I6967" s="368">
        <f t="shared" si="330"/>
        <v>0</v>
      </c>
      <c r="J6967" s="365">
        <f t="shared" si="331"/>
        <v>0</v>
      </c>
      <c r="K6967" s="369">
        <f t="shared" si="332"/>
        <v>6</v>
      </c>
      <c r="L6967" s="369">
        <f>+IF((C6967&gt;='Resultats - informe'!$E$16)*(C6967&lt;='Resultats - informe'!$G$16),1,0)</f>
        <v>1</v>
      </c>
      <c r="M6967" s="369" cm="1">
        <f t="array" ref="M6967">+_xlfn.IFS((C6967&gt;='Resultats - informe'!$D$26)*(C6967&lt;='Resultats - informe'!$E$26),0,(C6967&gt;='Resultats - informe'!$D$27)*(C6967&lt;='Resultats - informe'!$E$27),0,(C6967&gt;='Resultats - informe'!$D$28)*(C6967&lt;='Resultats - informe'!$E$28),0,(C6967&gt;='Resultats - informe'!$D$29)*(C6967&lt;='Resultats - informe'!$E$29),0,1,1)</f>
        <v>0</v>
      </c>
      <c r="N6967" s="366">
        <f>+VLOOKUP(D6967,'Resultats - informe'!$Y$18:$AG$42,'Introducció dades consum'!K6967+1,0)</f>
        <v>0</v>
      </c>
      <c r="O6967" s="370" cm="1">
        <f t="array" ref="O6967">+_xlfn.SWITCH(MONTH(C6967),1,1,2,1,3,1,4,2,5,2,6,3,7,3,8,3,9,3,10,2,11,2,12,1,2)</f>
        <v>1</v>
      </c>
      <c r="P6967" s="43"/>
    </row>
    <row r="6968" spans="1:16" ht="18" x14ac:dyDescent="0.35">
      <c r="A6968" s="9"/>
      <c r="C6968" s="393"/>
      <c r="E6968" s="394"/>
      <c r="F6968" s="394"/>
      <c r="G6968" s="394"/>
      <c r="I6968" s="368">
        <f t="shared" si="330"/>
        <v>0</v>
      </c>
      <c r="J6968" s="365">
        <f t="shared" si="331"/>
        <v>0</v>
      </c>
      <c r="K6968" s="369">
        <f t="shared" si="332"/>
        <v>6</v>
      </c>
      <c r="L6968" s="369">
        <f>+IF((C6968&gt;='Resultats - informe'!$E$16)*(C6968&lt;='Resultats - informe'!$G$16),1,0)</f>
        <v>1</v>
      </c>
      <c r="M6968" s="369" cm="1">
        <f t="array" ref="M6968">+_xlfn.IFS((C6968&gt;='Resultats - informe'!$D$26)*(C6968&lt;='Resultats - informe'!$E$26),0,(C6968&gt;='Resultats - informe'!$D$27)*(C6968&lt;='Resultats - informe'!$E$27),0,(C6968&gt;='Resultats - informe'!$D$28)*(C6968&lt;='Resultats - informe'!$E$28),0,(C6968&gt;='Resultats - informe'!$D$29)*(C6968&lt;='Resultats - informe'!$E$29),0,1,1)</f>
        <v>0</v>
      </c>
      <c r="N6968" s="366">
        <f>+VLOOKUP(D6968,'Resultats - informe'!$Y$18:$AG$42,'Introducció dades consum'!K6968+1,0)</f>
        <v>0</v>
      </c>
      <c r="O6968" s="370" cm="1">
        <f t="array" ref="O6968">+_xlfn.SWITCH(MONTH(C6968),1,1,2,1,3,1,4,2,5,2,6,3,7,3,8,3,9,3,10,2,11,2,12,1,2)</f>
        <v>1</v>
      </c>
      <c r="P6968" s="43"/>
    </row>
    <row r="6969" spans="1:16" ht="18" x14ac:dyDescent="0.35">
      <c r="A6969" s="9"/>
      <c r="C6969" s="393"/>
      <c r="E6969" s="394"/>
      <c r="F6969" s="394"/>
      <c r="G6969" s="394"/>
      <c r="I6969" s="368">
        <f t="shared" si="330"/>
        <v>0</v>
      </c>
      <c r="J6969" s="365">
        <f t="shared" si="331"/>
        <v>0</v>
      </c>
      <c r="K6969" s="369">
        <f t="shared" si="332"/>
        <v>6</v>
      </c>
      <c r="L6969" s="369">
        <f>+IF((C6969&gt;='Resultats - informe'!$E$16)*(C6969&lt;='Resultats - informe'!$G$16),1,0)</f>
        <v>1</v>
      </c>
      <c r="M6969" s="369" cm="1">
        <f t="array" ref="M6969">+_xlfn.IFS((C6969&gt;='Resultats - informe'!$D$26)*(C6969&lt;='Resultats - informe'!$E$26),0,(C6969&gt;='Resultats - informe'!$D$27)*(C6969&lt;='Resultats - informe'!$E$27),0,(C6969&gt;='Resultats - informe'!$D$28)*(C6969&lt;='Resultats - informe'!$E$28),0,(C6969&gt;='Resultats - informe'!$D$29)*(C6969&lt;='Resultats - informe'!$E$29),0,1,1)</f>
        <v>0</v>
      </c>
      <c r="N6969" s="366">
        <f>+VLOOKUP(D6969,'Resultats - informe'!$Y$18:$AG$42,'Introducció dades consum'!K6969+1,0)</f>
        <v>0</v>
      </c>
      <c r="O6969" s="370" cm="1">
        <f t="array" ref="O6969">+_xlfn.SWITCH(MONTH(C6969),1,1,2,1,3,1,4,2,5,2,6,3,7,3,8,3,9,3,10,2,11,2,12,1,2)</f>
        <v>1</v>
      </c>
      <c r="P6969" s="43"/>
    </row>
    <row r="6970" spans="1:16" ht="18" x14ac:dyDescent="0.35">
      <c r="A6970" s="9"/>
      <c r="C6970" s="393"/>
      <c r="E6970" s="394"/>
      <c r="F6970" s="394"/>
      <c r="G6970" s="394"/>
      <c r="I6970" s="368">
        <f t="shared" si="330"/>
        <v>0</v>
      </c>
      <c r="J6970" s="365">
        <f t="shared" si="331"/>
        <v>0</v>
      </c>
      <c r="K6970" s="369">
        <f t="shared" si="332"/>
        <v>6</v>
      </c>
      <c r="L6970" s="369">
        <f>+IF((C6970&gt;='Resultats - informe'!$E$16)*(C6970&lt;='Resultats - informe'!$G$16),1,0)</f>
        <v>1</v>
      </c>
      <c r="M6970" s="369" cm="1">
        <f t="array" ref="M6970">+_xlfn.IFS((C6970&gt;='Resultats - informe'!$D$26)*(C6970&lt;='Resultats - informe'!$E$26),0,(C6970&gt;='Resultats - informe'!$D$27)*(C6970&lt;='Resultats - informe'!$E$27),0,(C6970&gt;='Resultats - informe'!$D$28)*(C6970&lt;='Resultats - informe'!$E$28),0,(C6970&gt;='Resultats - informe'!$D$29)*(C6970&lt;='Resultats - informe'!$E$29),0,1,1)</f>
        <v>0</v>
      </c>
      <c r="N6970" s="366">
        <f>+VLOOKUP(D6970,'Resultats - informe'!$Y$18:$AG$42,'Introducció dades consum'!K6970+1,0)</f>
        <v>0</v>
      </c>
      <c r="O6970" s="370" cm="1">
        <f t="array" ref="O6970">+_xlfn.SWITCH(MONTH(C6970),1,1,2,1,3,1,4,2,5,2,6,3,7,3,8,3,9,3,10,2,11,2,12,1,2)</f>
        <v>1</v>
      </c>
      <c r="P6970" s="43"/>
    </row>
    <row r="6971" spans="1:16" ht="18" x14ac:dyDescent="0.35">
      <c r="A6971" s="9"/>
      <c r="C6971" s="393"/>
      <c r="E6971" s="394"/>
      <c r="F6971" s="394"/>
      <c r="G6971" s="394"/>
      <c r="I6971" s="368">
        <f t="shared" si="330"/>
        <v>0</v>
      </c>
      <c r="J6971" s="365">
        <f t="shared" si="331"/>
        <v>0</v>
      </c>
      <c r="K6971" s="369">
        <f t="shared" si="332"/>
        <v>6</v>
      </c>
      <c r="L6971" s="369">
        <f>+IF((C6971&gt;='Resultats - informe'!$E$16)*(C6971&lt;='Resultats - informe'!$G$16),1,0)</f>
        <v>1</v>
      </c>
      <c r="M6971" s="369" cm="1">
        <f t="array" ref="M6971">+_xlfn.IFS((C6971&gt;='Resultats - informe'!$D$26)*(C6971&lt;='Resultats - informe'!$E$26),0,(C6971&gt;='Resultats - informe'!$D$27)*(C6971&lt;='Resultats - informe'!$E$27),0,(C6971&gt;='Resultats - informe'!$D$28)*(C6971&lt;='Resultats - informe'!$E$28),0,(C6971&gt;='Resultats - informe'!$D$29)*(C6971&lt;='Resultats - informe'!$E$29),0,1,1)</f>
        <v>0</v>
      </c>
      <c r="N6971" s="366">
        <f>+VLOOKUP(D6971,'Resultats - informe'!$Y$18:$AG$42,'Introducció dades consum'!K6971+1,0)</f>
        <v>0</v>
      </c>
      <c r="O6971" s="370" cm="1">
        <f t="array" ref="O6971">+_xlfn.SWITCH(MONTH(C6971),1,1,2,1,3,1,4,2,5,2,6,3,7,3,8,3,9,3,10,2,11,2,12,1,2)</f>
        <v>1</v>
      </c>
      <c r="P6971" s="43"/>
    </row>
    <row r="6972" spans="1:16" ht="18" x14ac:dyDescent="0.35">
      <c r="A6972" s="9"/>
      <c r="C6972" s="393"/>
      <c r="E6972" s="394"/>
      <c r="F6972" s="394"/>
      <c r="G6972" s="394"/>
      <c r="I6972" s="368">
        <f t="shared" si="330"/>
        <v>0</v>
      </c>
      <c r="J6972" s="365">
        <f t="shared" si="331"/>
        <v>0</v>
      </c>
      <c r="K6972" s="369">
        <f t="shared" si="332"/>
        <v>6</v>
      </c>
      <c r="L6972" s="369">
        <f>+IF((C6972&gt;='Resultats - informe'!$E$16)*(C6972&lt;='Resultats - informe'!$G$16),1,0)</f>
        <v>1</v>
      </c>
      <c r="M6972" s="369" cm="1">
        <f t="array" ref="M6972">+_xlfn.IFS((C6972&gt;='Resultats - informe'!$D$26)*(C6972&lt;='Resultats - informe'!$E$26),0,(C6972&gt;='Resultats - informe'!$D$27)*(C6972&lt;='Resultats - informe'!$E$27),0,(C6972&gt;='Resultats - informe'!$D$28)*(C6972&lt;='Resultats - informe'!$E$28),0,(C6972&gt;='Resultats - informe'!$D$29)*(C6972&lt;='Resultats - informe'!$E$29),0,1,1)</f>
        <v>0</v>
      </c>
      <c r="N6972" s="366">
        <f>+VLOOKUP(D6972,'Resultats - informe'!$Y$18:$AG$42,'Introducció dades consum'!K6972+1,0)</f>
        <v>0</v>
      </c>
      <c r="O6972" s="370" cm="1">
        <f t="array" ref="O6972">+_xlfn.SWITCH(MONTH(C6972),1,1,2,1,3,1,4,2,5,2,6,3,7,3,8,3,9,3,10,2,11,2,12,1,2)</f>
        <v>1</v>
      </c>
      <c r="P6972" s="43"/>
    </row>
    <row r="6973" spans="1:16" ht="18" x14ac:dyDescent="0.35">
      <c r="A6973" s="9"/>
      <c r="C6973" s="393"/>
      <c r="E6973" s="394"/>
      <c r="F6973" s="394"/>
      <c r="G6973" s="394"/>
      <c r="I6973" s="368">
        <f t="shared" si="330"/>
        <v>0</v>
      </c>
      <c r="J6973" s="365">
        <f t="shared" si="331"/>
        <v>0</v>
      </c>
      <c r="K6973" s="369">
        <f t="shared" si="332"/>
        <v>6</v>
      </c>
      <c r="L6973" s="369">
        <f>+IF((C6973&gt;='Resultats - informe'!$E$16)*(C6973&lt;='Resultats - informe'!$G$16),1,0)</f>
        <v>1</v>
      </c>
      <c r="M6973" s="369" cm="1">
        <f t="array" ref="M6973">+_xlfn.IFS((C6973&gt;='Resultats - informe'!$D$26)*(C6973&lt;='Resultats - informe'!$E$26),0,(C6973&gt;='Resultats - informe'!$D$27)*(C6973&lt;='Resultats - informe'!$E$27),0,(C6973&gt;='Resultats - informe'!$D$28)*(C6973&lt;='Resultats - informe'!$E$28),0,(C6973&gt;='Resultats - informe'!$D$29)*(C6973&lt;='Resultats - informe'!$E$29),0,1,1)</f>
        <v>0</v>
      </c>
      <c r="N6973" s="366">
        <f>+VLOOKUP(D6973,'Resultats - informe'!$Y$18:$AG$42,'Introducció dades consum'!K6973+1,0)</f>
        <v>0</v>
      </c>
      <c r="O6973" s="370" cm="1">
        <f t="array" ref="O6973">+_xlfn.SWITCH(MONTH(C6973),1,1,2,1,3,1,4,2,5,2,6,3,7,3,8,3,9,3,10,2,11,2,12,1,2)</f>
        <v>1</v>
      </c>
      <c r="P6973" s="43"/>
    </row>
    <row r="6974" spans="1:16" ht="18" x14ac:dyDescent="0.35">
      <c r="A6974" s="9"/>
      <c r="C6974" s="393"/>
      <c r="E6974" s="394"/>
      <c r="F6974" s="394"/>
      <c r="G6974" s="394"/>
      <c r="I6974" s="368">
        <f t="shared" si="330"/>
        <v>0</v>
      </c>
      <c r="J6974" s="365">
        <f t="shared" si="331"/>
        <v>0</v>
      </c>
      <c r="K6974" s="369">
        <f t="shared" si="332"/>
        <v>6</v>
      </c>
      <c r="L6974" s="369">
        <f>+IF((C6974&gt;='Resultats - informe'!$E$16)*(C6974&lt;='Resultats - informe'!$G$16),1,0)</f>
        <v>1</v>
      </c>
      <c r="M6974" s="369" cm="1">
        <f t="array" ref="M6974">+_xlfn.IFS((C6974&gt;='Resultats - informe'!$D$26)*(C6974&lt;='Resultats - informe'!$E$26),0,(C6974&gt;='Resultats - informe'!$D$27)*(C6974&lt;='Resultats - informe'!$E$27),0,(C6974&gt;='Resultats - informe'!$D$28)*(C6974&lt;='Resultats - informe'!$E$28),0,(C6974&gt;='Resultats - informe'!$D$29)*(C6974&lt;='Resultats - informe'!$E$29),0,1,1)</f>
        <v>0</v>
      </c>
      <c r="N6974" s="366">
        <f>+VLOOKUP(D6974,'Resultats - informe'!$Y$18:$AG$42,'Introducció dades consum'!K6974+1,0)</f>
        <v>0</v>
      </c>
      <c r="O6974" s="370" cm="1">
        <f t="array" ref="O6974">+_xlfn.SWITCH(MONTH(C6974),1,1,2,1,3,1,4,2,5,2,6,3,7,3,8,3,9,3,10,2,11,2,12,1,2)</f>
        <v>1</v>
      </c>
      <c r="P6974" s="43"/>
    </row>
    <row r="6975" spans="1:16" ht="18" x14ac:dyDescent="0.35">
      <c r="A6975" s="9"/>
      <c r="C6975" s="393"/>
      <c r="E6975" s="394"/>
      <c r="F6975" s="394"/>
      <c r="G6975" s="394"/>
      <c r="I6975" s="368">
        <f t="shared" si="330"/>
        <v>0</v>
      </c>
      <c r="J6975" s="365">
        <f t="shared" si="331"/>
        <v>0</v>
      </c>
      <c r="K6975" s="369">
        <f t="shared" si="332"/>
        <v>6</v>
      </c>
      <c r="L6975" s="369">
        <f>+IF((C6975&gt;='Resultats - informe'!$E$16)*(C6975&lt;='Resultats - informe'!$G$16),1,0)</f>
        <v>1</v>
      </c>
      <c r="M6975" s="369" cm="1">
        <f t="array" ref="M6975">+_xlfn.IFS((C6975&gt;='Resultats - informe'!$D$26)*(C6975&lt;='Resultats - informe'!$E$26),0,(C6975&gt;='Resultats - informe'!$D$27)*(C6975&lt;='Resultats - informe'!$E$27),0,(C6975&gt;='Resultats - informe'!$D$28)*(C6975&lt;='Resultats - informe'!$E$28),0,(C6975&gt;='Resultats - informe'!$D$29)*(C6975&lt;='Resultats - informe'!$E$29),0,1,1)</f>
        <v>0</v>
      </c>
      <c r="N6975" s="366">
        <f>+VLOOKUP(D6975,'Resultats - informe'!$Y$18:$AG$42,'Introducció dades consum'!K6975+1,0)</f>
        <v>0</v>
      </c>
      <c r="O6975" s="370" cm="1">
        <f t="array" ref="O6975">+_xlfn.SWITCH(MONTH(C6975),1,1,2,1,3,1,4,2,5,2,6,3,7,3,8,3,9,3,10,2,11,2,12,1,2)</f>
        <v>1</v>
      </c>
      <c r="P6975" s="43"/>
    </row>
    <row r="6976" spans="1:16" ht="18" x14ac:dyDescent="0.35">
      <c r="A6976" s="9"/>
      <c r="C6976" s="393"/>
      <c r="E6976" s="394"/>
      <c r="F6976" s="394"/>
      <c r="G6976" s="394"/>
      <c r="I6976" s="368">
        <f t="shared" si="330"/>
        <v>0</v>
      </c>
      <c r="J6976" s="365">
        <f t="shared" si="331"/>
        <v>0</v>
      </c>
      <c r="K6976" s="369">
        <f t="shared" si="332"/>
        <v>6</v>
      </c>
      <c r="L6976" s="369">
        <f>+IF((C6976&gt;='Resultats - informe'!$E$16)*(C6976&lt;='Resultats - informe'!$G$16),1,0)</f>
        <v>1</v>
      </c>
      <c r="M6976" s="369" cm="1">
        <f t="array" ref="M6976">+_xlfn.IFS((C6976&gt;='Resultats - informe'!$D$26)*(C6976&lt;='Resultats - informe'!$E$26),0,(C6976&gt;='Resultats - informe'!$D$27)*(C6976&lt;='Resultats - informe'!$E$27),0,(C6976&gt;='Resultats - informe'!$D$28)*(C6976&lt;='Resultats - informe'!$E$28),0,(C6976&gt;='Resultats - informe'!$D$29)*(C6976&lt;='Resultats - informe'!$E$29),0,1,1)</f>
        <v>0</v>
      </c>
      <c r="N6976" s="366">
        <f>+VLOOKUP(D6976,'Resultats - informe'!$Y$18:$AG$42,'Introducció dades consum'!K6976+1,0)</f>
        <v>0</v>
      </c>
      <c r="O6976" s="370" cm="1">
        <f t="array" ref="O6976">+_xlfn.SWITCH(MONTH(C6976),1,1,2,1,3,1,4,2,5,2,6,3,7,3,8,3,9,3,10,2,11,2,12,1,2)</f>
        <v>1</v>
      </c>
      <c r="P6976" s="43"/>
    </row>
    <row r="6977" spans="1:16" ht="18" x14ac:dyDescent="0.35">
      <c r="A6977" s="9"/>
      <c r="C6977" s="393"/>
      <c r="E6977" s="394"/>
      <c r="F6977" s="394"/>
      <c r="G6977" s="394"/>
      <c r="I6977" s="368">
        <f t="shared" si="330"/>
        <v>0</v>
      </c>
      <c r="J6977" s="365">
        <f t="shared" si="331"/>
        <v>0</v>
      </c>
      <c r="K6977" s="369">
        <f t="shared" si="332"/>
        <v>6</v>
      </c>
      <c r="L6977" s="369">
        <f>+IF((C6977&gt;='Resultats - informe'!$E$16)*(C6977&lt;='Resultats - informe'!$G$16),1,0)</f>
        <v>1</v>
      </c>
      <c r="M6977" s="369" cm="1">
        <f t="array" ref="M6977">+_xlfn.IFS((C6977&gt;='Resultats - informe'!$D$26)*(C6977&lt;='Resultats - informe'!$E$26),0,(C6977&gt;='Resultats - informe'!$D$27)*(C6977&lt;='Resultats - informe'!$E$27),0,(C6977&gt;='Resultats - informe'!$D$28)*(C6977&lt;='Resultats - informe'!$E$28),0,(C6977&gt;='Resultats - informe'!$D$29)*(C6977&lt;='Resultats - informe'!$E$29),0,1,1)</f>
        <v>0</v>
      </c>
      <c r="N6977" s="366">
        <f>+VLOOKUP(D6977,'Resultats - informe'!$Y$18:$AG$42,'Introducció dades consum'!K6977+1,0)</f>
        <v>0</v>
      </c>
      <c r="O6977" s="370" cm="1">
        <f t="array" ref="O6977">+_xlfn.SWITCH(MONTH(C6977),1,1,2,1,3,1,4,2,5,2,6,3,7,3,8,3,9,3,10,2,11,2,12,1,2)</f>
        <v>1</v>
      </c>
      <c r="P6977" s="43"/>
    </row>
    <row r="6978" spans="1:16" ht="18" x14ac:dyDescent="0.35">
      <c r="A6978" s="9"/>
      <c r="C6978" s="393"/>
      <c r="E6978" s="394"/>
      <c r="F6978" s="394"/>
      <c r="G6978" s="394"/>
      <c r="I6978" s="368">
        <f t="shared" si="330"/>
        <v>0</v>
      </c>
      <c r="J6978" s="365">
        <f t="shared" si="331"/>
        <v>0</v>
      </c>
      <c r="K6978" s="369">
        <f t="shared" si="332"/>
        <v>6</v>
      </c>
      <c r="L6978" s="369">
        <f>+IF((C6978&gt;='Resultats - informe'!$E$16)*(C6978&lt;='Resultats - informe'!$G$16),1,0)</f>
        <v>1</v>
      </c>
      <c r="M6978" s="369" cm="1">
        <f t="array" ref="M6978">+_xlfn.IFS((C6978&gt;='Resultats - informe'!$D$26)*(C6978&lt;='Resultats - informe'!$E$26),0,(C6978&gt;='Resultats - informe'!$D$27)*(C6978&lt;='Resultats - informe'!$E$27),0,(C6978&gt;='Resultats - informe'!$D$28)*(C6978&lt;='Resultats - informe'!$E$28),0,(C6978&gt;='Resultats - informe'!$D$29)*(C6978&lt;='Resultats - informe'!$E$29),0,1,1)</f>
        <v>0</v>
      </c>
      <c r="N6978" s="366">
        <f>+VLOOKUP(D6978,'Resultats - informe'!$Y$18:$AG$42,'Introducció dades consum'!K6978+1,0)</f>
        <v>0</v>
      </c>
      <c r="O6978" s="370" cm="1">
        <f t="array" ref="O6978">+_xlfn.SWITCH(MONTH(C6978),1,1,2,1,3,1,4,2,5,2,6,3,7,3,8,3,9,3,10,2,11,2,12,1,2)</f>
        <v>1</v>
      </c>
      <c r="P6978" s="43"/>
    </row>
    <row r="6979" spans="1:16" ht="18" x14ac:dyDescent="0.35">
      <c r="A6979" s="9"/>
      <c r="C6979" s="393"/>
      <c r="E6979" s="394"/>
      <c r="F6979" s="394"/>
      <c r="G6979" s="394"/>
      <c r="I6979" s="368">
        <f t="shared" si="330"/>
        <v>0</v>
      </c>
      <c r="J6979" s="365">
        <f t="shared" si="331"/>
        <v>0</v>
      </c>
      <c r="K6979" s="369">
        <f t="shared" si="332"/>
        <v>6</v>
      </c>
      <c r="L6979" s="369">
        <f>+IF((C6979&gt;='Resultats - informe'!$E$16)*(C6979&lt;='Resultats - informe'!$G$16),1,0)</f>
        <v>1</v>
      </c>
      <c r="M6979" s="369" cm="1">
        <f t="array" ref="M6979">+_xlfn.IFS((C6979&gt;='Resultats - informe'!$D$26)*(C6979&lt;='Resultats - informe'!$E$26),0,(C6979&gt;='Resultats - informe'!$D$27)*(C6979&lt;='Resultats - informe'!$E$27),0,(C6979&gt;='Resultats - informe'!$D$28)*(C6979&lt;='Resultats - informe'!$E$28),0,(C6979&gt;='Resultats - informe'!$D$29)*(C6979&lt;='Resultats - informe'!$E$29),0,1,1)</f>
        <v>0</v>
      </c>
      <c r="N6979" s="366">
        <f>+VLOOKUP(D6979,'Resultats - informe'!$Y$18:$AG$42,'Introducció dades consum'!K6979+1,0)</f>
        <v>0</v>
      </c>
      <c r="O6979" s="370" cm="1">
        <f t="array" ref="O6979">+_xlfn.SWITCH(MONTH(C6979),1,1,2,1,3,1,4,2,5,2,6,3,7,3,8,3,9,3,10,2,11,2,12,1,2)</f>
        <v>1</v>
      </c>
      <c r="P6979" s="43"/>
    </row>
    <row r="6980" spans="1:16" ht="18" x14ac:dyDescent="0.35">
      <c r="A6980" s="9"/>
      <c r="C6980" s="393"/>
      <c r="E6980" s="394"/>
      <c r="F6980" s="394"/>
      <c r="G6980" s="394"/>
      <c r="I6980" s="368">
        <f t="shared" si="330"/>
        <v>0</v>
      </c>
      <c r="J6980" s="365">
        <f t="shared" si="331"/>
        <v>0</v>
      </c>
      <c r="K6980" s="369">
        <f t="shared" si="332"/>
        <v>6</v>
      </c>
      <c r="L6980" s="369">
        <f>+IF((C6980&gt;='Resultats - informe'!$E$16)*(C6980&lt;='Resultats - informe'!$G$16),1,0)</f>
        <v>1</v>
      </c>
      <c r="M6980" s="369" cm="1">
        <f t="array" ref="M6980">+_xlfn.IFS((C6980&gt;='Resultats - informe'!$D$26)*(C6980&lt;='Resultats - informe'!$E$26),0,(C6980&gt;='Resultats - informe'!$D$27)*(C6980&lt;='Resultats - informe'!$E$27),0,(C6980&gt;='Resultats - informe'!$D$28)*(C6980&lt;='Resultats - informe'!$E$28),0,(C6980&gt;='Resultats - informe'!$D$29)*(C6980&lt;='Resultats - informe'!$E$29),0,1,1)</f>
        <v>0</v>
      </c>
      <c r="N6980" s="366">
        <f>+VLOOKUP(D6980,'Resultats - informe'!$Y$18:$AG$42,'Introducció dades consum'!K6980+1,0)</f>
        <v>0</v>
      </c>
      <c r="O6980" s="370" cm="1">
        <f t="array" ref="O6980">+_xlfn.SWITCH(MONTH(C6980),1,1,2,1,3,1,4,2,5,2,6,3,7,3,8,3,9,3,10,2,11,2,12,1,2)</f>
        <v>1</v>
      </c>
      <c r="P6980" s="43"/>
    </row>
    <row r="6981" spans="1:16" ht="18" x14ac:dyDescent="0.35">
      <c r="A6981" s="9"/>
      <c r="C6981" s="393"/>
      <c r="E6981" s="394"/>
      <c r="F6981" s="394"/>
      <c r="G6981" s="394"/>
      <c r="I6981" s="368">
        <f t="shared" si="330"/>
        <v>0</v>
      </c>
      <c r="J6981" s="365">
        <f t="shared" si="331"/>
        <v>0</v>
      </c>
      <c r="K6981" s="369">
        <f t="shared" si="332"/>
        <v>6</v>
      </c>
      <c r="L6981" s="369">
        <f>+IF((C6981&gt;='Resultats - informe'!$E$16)*(C6981&lt;='Resultats - informe'!$G$16),1,0)</f>
        <v>1</v>
      </c>
      <c r="M6981" s="369" cm="1">
        <f t="array" ref="M6981">+_xlfn.IFS((C6981&gt;='Resultats - informe'!$D$26)*(C6981&lt;='Resultats - informe'!$E$26),0,(C6981&gt;='Resultats - informe'!$D$27)*(C6981&lt;='Resultats - informe'!$E$27),0,(C6981&gt;='Resultats - informe'!$D$28)*(C6981&lt;='Resultats - informe'!$E$28),0,(C6981&gt;='Resultats - informe'!$D$29)*(C6981&lt;='Resultats - informe'!$E$29),0,1,1)</f>
        <v>0</v>
      </c>
      <c r="N6981" s="366">
        <f>+VLOOKUP(D6981,'Resultats - informe'!$Y$18:$AG$42,'Introducció dades consum'!K6981+1,0)</f>
        <v>0</v>
      </c>
      <c r="O6981" s="370" cm="1">
        <f t="array" ref="O6981">+_xlfn.SWITCH(MONTH(C6981),1,1,2,1,3,1,4,2,5,2,6,3,7,3,8,3,9,3,10,2,11,2,12,1,2)</f>
        <v>1</v>
      </c>
      <c r="P6981" s="43"/>
    </row>
    <row r="6982" spans="1:16" ht="18" x14ac:dyDescent="0.35">
      <c r="A6982" s="9"/>
      <c r="C6982" s="393"/>
      <c r="E6982" s="394"/>
      <c r="F6982" s="394"/>
      <c r="G6982" s="394"/>
      <c r="I6982" s="368">
        <f t="shared" si="330"/>
        <v>0</v>
      </c>
      <c r="J6982" s="365">
        <f t="shared" si="331"/>
        <v>0</v>
      </c>
      <c r="K6982" s="369">
        <f t="shared" si="332"/>
        <v>6</v>
      </c>
      <c r="L6982" s="369">
        <f>+IF((C6982&gt;='Resultats - informe'!$E$16)*(C6982&lt;='Resultats - informe'!$G$16),1,0)</f>
        <v>1</v>
      </c>
      <c r="M6982" s="369" cm="1">
        <f t="array" ref="M6982">+_xlfn.IFS((C6982&gt;='Resultats - informe'!$D$26)*(C6982&lt;='Resultats - informe'!$E$26),0,(C6982&gt;='Resultats - informe'!$D$27)*(C6982&lt;='Resultats - informe'!$E$27),0,(C6982&gt;='Resultats - informe'!$D$28)*(C6982&lt;='Resultats - informe'!$E$28),0,(C6982&gt;='Resultats - informe'!$D$29)*(C6982&lt;='Resultats - informe'!$E$29),0,1,1)</f>
        <v>0</v>
      </c>
      <c r="N6982" s="366">
        <f>+VLOOKUP(D6982,'Resultats - informe'!$Y$18:$AG$42,'Introducció dades consum'!K6982+1,0)</f>
        <v>0</v>
      </c>
      <c r="O6982" s="370" cm="1">
        <f t="array" ref="O6982">+_xlfn.SWITCH(MONTH(C6982),1,1,2,1,3,1,4,2,5,2,6,3,7,3,8,3,9,3,10,2,11,2,12,1,2)</f>
        <v>1</v>
      </c>
      <c r="P6982" s="43"/>
    </row>
    <row r="6983" spans="1:16" ht="18" x14ac:dyDescent="0.35">
      <c r="A6983" s="9"/>
      <c r="C6983" s="393"/>
      <c r="E6983" s="394"/>
      <c r="F6983" s="394"/>
      <c r="G6983" s="394"/>
      <c r="I6983" s="368">
        <f t="shared" si="330"/>
        <v>0</v>
      </c>
      <c r="J6983" s="365">
        <f t="shared" si="331"/>
        <v>0</v>
      </c>
      <c r="K6983" s="369">
        <f t="shared" si="332"/>
        <v>6</v>
      </c>
      <c r="L6983" s="369">
        <f>+IF((C6983&gt;='Resultats - informe'!$E$16)*(C6983&lt;='Resultats - informe'!$G$16),1,0)</f>
        <v>1</v>
      </c>
      <c r="M6983" s="369" cm="1">
        <f t="array" ref="M6983">+_xlfn.IFS((C6983&gt;='Resultats - informe'!$D$26)*(C6983&lt;='Resultats - informe'!$E$26),0,(C6983&gt;='Resultats - informe'!$D$27)*(C6983&lt;='Resultats - informe'!$E$27),0,(C6983&gt;='Resultats - informe'!$D$28)*(C6983&lt;='Resultats - informe'!$E$28),0,(C6983&gt;='Resultats - informe'!$D$29)*(C6983&lt;='Resultats - informe'!$E$29),0,1,1)</f>
        <v>0</v>
      </c>
      <c r="N6983" s="366">
        <f>+VLOOKUP(D6983,'Resultats - informe'!$Y$18:$AG$42,'Introducció dades consum'!K6983+1,0)</f>
        <v>0</v>
      </c>
      <c r="O6983" s="370" cm="1">
        <f t="array" ref="O6983">+_xlfn.SWITCH(MONTH(C6983),1,1,2,1,3,1,4,2,5,2,6,3,7,3,8,3,9,3,10,2,11,2,12,1,2)</f>
        <v>1</v>
      </c>
      <c r="P6983" s="43"/>
    </row>
    <row r="6984" spans="1:16" ht="18" x14ac:dyDescent="0.35">
      <c r="A6984" s="9"/>
      <c r="C6984" s="393"/>
      <c r="E6984" s="394"/>
      <c r="F6984" s="394"/>
      <c r="G6984" s="394"/>
      <c r="I6984" s="368">
        <f t="shared" si="330"/>
        <v>0</v>
      </c>
      <c r="J6984" s="365">
        <f t="shared" si="331"/>
        <v>0</v>
      </c>
      <c r="K6984" s="369">
        <f t="shared" si="332"/>
        <v>6</v>
      </c>
      <c r="L6984" s="369">
        <f>+IF((C6984&gt;='Resultats - informe'!$E$16)*(C6984&lt;='Resultats - informe'!$G$16),1,0)</f>
        <v>1</v>
      </c>
      <c r="M6984" s="369" cm="1">
        <f t="array" ref="M6984">+_xlfn.IFS((C6984&gt;='Resultats - informe'!$D$26)*(C6984&lt;='Resultats - informe'!$E$26),0,(C6984&gt;='Resultats - informe'!$D$27)*(C6984&lt;='Resultats - informe'!$E$27),0,(C6984&gt;='Resultats - informe'!$D$28)*(C6984&lt;='Resultats - informe'!$E$28),0,(C6984&gt;='Resultats - informe'!$D$29)*(C6984&lt;='Resultats - informe'!$E$29),0,1,1)</f>
        <v>0</v>
      </c>
      <c r="N6984" s="366">
        <f>+VLOOKUP(D6984,'Resultats - informe'!$Y$18:$AG$42,'Introducció dades consum'!K6984+1,0)</f>
        <v>0</v>
      </c>
      <c r="O6984" s="370" cm="1">
        <f t="array" ref="O6984">+_xlfn.SWITCH(MONTH(C6984),1,1,2,1,3,1,4,2,5,2,6,3,7,3,8,3,9,3,10,2,11,2,12,1,2)</f>
        <v>1</v>
      </c>
      <c r="P6984" s="43"/>
    </row>
    <row r="6985" spans="1:16" ht="18" x14ac:dyDescent="0.35">
      <c r="A6985" s="9"/>
      <c r="C6985" s="393"/>
      <c r="E6985" s="394"/>
      <c r="F6985" s="394"/>
      <c r="G6985" s="394"/>
      <c r="I6985" s="368">
        <f t="shared" si="330"/>
        <v>0</v>
      </c>
      <c r="J6985" s="365">
        <f t="shared" si="331"/>
        <v>0</v>
      </c>
      <c r="K6985" s="369">
        <f t="shared" si="332"/>
        <v>6</v>
      </c>
      <c r="L6985" s="369">
        <f>+IF((C6985&gt;='Resultats - informe'!$E$16)*(C6985&lt;='Resultats - informe'!$G$16),1,0)</f>
        <v>1</v>
      </c>
      <c r="M6985" s="369" cm="1">
        <f t="array" ref="M6985">+_xlfn.IFS((C6985&gt;='Resultats - informe'!$D$26)*(C6985&lt;='Resultats - informe'!$E$26),0,(C6985&gt;='Resultats - informe'!$D$27)*(C6985&lt;='Resultats - informe'!$E$27),0,(C6985&gt;='Resultats - informe'!$D$28)*(C6985&lt;='Resultats - informe'!$E$28),0,(C6985&gt;='Resultats - informe'!$D$29)*(C6985&lt;='Resultats - informe'!$E$29),0,1,1)</f>
        <v>0</v>
      </c>
      <c r="N6985" s="366">
        <f>+VLOOKUP(D6985,'Resultats - informe'!$Y$18:$AG$42,'Introducció dades consum'!K6985+1,0)</f>
        <v>0</v>
      </c>
      <c r="O6985" s="370" cm="1">
        <f t="array" ref="O6985">+_xlfn.SWITCH(MONTH(C6985),1,1,2,1,3,1,4,2,5,2,6,3,7,3,8,3,9,3,10,2,11,2,12,1,2)</f>
        <v>1</v>
      </c>
      <c r="P6985" s="43"/>
    </row>
    <row r="6986" spans="1:16" ht="18" x14ac:dyDescent="0.35">
      <c r="A6986" s="9"/>
      <c r="C6986" s="393"/>
      <c r="E6986" s="394"/>
      <c r="F6986" s="394"/>
      <c r="G6986" s="394"/>
      <c r="I6986" s="368">
        <f t="shared" si="330"/>
        <v>0</v>
      </c>
      <c r="J6986" s="365">
        <f t="shared" si="331"/>
        <v>0</v>
      </c>
      <c r="K6986" s="369">
        <f t="shared" si="332"/>
        <v>6</v>
      </c>
      <c r="L6986" s="369">
        <f>+IF((C6986&gt;='Resultats - informe'!$E$16)*(C6986&lt;='Resultats - informe'!$G$16),1,0)</f>
        <v>1</v>
      </c>
      <c r="M6986" s="369" cm="1">
        <f t="array" ref="M6986">+_xlfn.IFS((C6986&gt;='Resultats - informe'!$D$26)*(C6986&lt;='Resultats - informe'!$E$26),0,(C6986&gt;='Resultats - informe'!$D$27)*(C6986&lt;='Resultats - informe'!$E$27),0,(C6986&gt;='Resultats - informe'!$D$28)*(C6986&lt;='Resultats - informe'!$E$28),0,(C6986&gt;='Resultats - informe'!$D$29)*(C6986&lt;='Resultats - informe'!$E$29),0,1,1)</f>
        <v>0</v>
      </c>
      <c r="N6986" s="366">
        <f>+VLOOKUP(D6986,'Resultats - informe'!$Y$18:$AG$42,'Introducció dades consum'!K6986+1,0)</f>
        <v>0</v>
      </c>
      <c r="O6986" s="370" cm="1">
        <f t="array" ref="O6986">+_xlfn.SWITCH(MONTH(C6986),1,1,2,1,3,1,4,2,5,2,6,3,7,3,8,3,9,3,10,2,11,2,12,1,2)</f>
        <v>1</v>
      </c>
      <c r="P6986" s="43"/>
    </row>
    <row r="6987" spans="1:16" ht="18" x14ac:dyDescent="0.35">
      <c r="A6987" s="9"/>
      <c r="C6987" s="393"/>
      <c r="E6987" s="394"/>
      <c r="F6987" s="394"/>
      <c r="G6987" s="394"/>
      <c r="I6987" s="368">
        <f t="shared" si="330"/>
        <v>0</v>
      </c>
      <c r="J6987" s="365">
        <f t="shared" si="331"/>
        <v>0</v>
      </c>
      <c r="K6987" s="369">
        <f t="shared" si="332"/>
        <v>6</v>
      </c>
      <c r="L6987" s="369">
        <f>+IF((C6987&gt;='Resultats - informe'!$E$16)*(C6987&lt;='Resultats - informe'!$G$16),1,0)</f>
        <v>1</v>
      </c>
      <c r="M6987" s="369" cm="1">
        <f t="array" ref="M6987">+_xlfn.IFS((C6987&gt;='Resultats - informe'!$D$26)*(C6987&lt;='Resultats - informe'!$E$26),0,(C6987&gt;='Resultats - informe'!$D$27)*(C6987&lt;='Resultats - informe'!$E$27),0,(C6987&gt;='Resultats - informe'!$D$28)*(C6987&lt;='Resultats - informe'!$E$28),0,(C6987&gt;='Resultats - informe'!$D$29)*(C6987&lt;='Resultats - informe'!$E$29),0,1,1)</f>
        <v>0</v>
      </c>
      <c r="N6987" s="366">
        <f>+VLOOKUP(D6987,'Resultats - informe'!$Y$18:$AG$42,'Introducció dades consum'!K6987+1,0)</f>
        <v>0</v>
      </c>
      <c r="O6987" s="370" cm="1">
        <f t="array" ref="O6987">+_xlfn.SWITCH(MONTH(C6987),1,1,2,1,3,1,4,2,5,2,6,3,7,3,8,3,9,3,10,2,11,2,12,1,2)</f>
        <v>1</v>
      </c>
      <c r="P6987" s="43"/>
    </row>
    <row r="6988" spans="1:16" ht="18" x14ac:dyDescent="0.35">
      <c r="A6988" s="9"/>
      <c r="C6988" s="393"/>
      <c r="E6988" s="394"/>
      <c r="F6988" s="394"/>
      <c r="G6988" s="394"/>
      <c r="I6988" s="368">
        <f t="shared" si="330"/>
        <v>0</v>
      </c>
      <c r="J6988" s="365">
        <f t="shared" si="331"/>
        <v>0</v>
      </c>
      <c r="K6988" s="369">
        <f t="shared" si="332"/>
        <v>6</v>
      </c>
      <c r="L6988" s="369">
        <f>+IF((C6988&gt;='Resultats - informe'!$E$16)*(C6988&lt;='Resultats - informe'!$G$16),1,0)</f>
        <v>1</v>
      </c>
      <c r="M6988" s="369" cm="1">
        <f t="array" ref="M6988">+_xlfn.IFS((C6988&gt;='Resultats - informe'!$D$26)*(C6988&lt;='Resultats - informe'!$E$26),0,(C6988&gt;='Resultats - informe'!$D$27)*(C6988&lt;='Resultats - informe'!$E$27),0,(C6988&gt;='Resultats - informe'!$D$28)*(C6988&lt;='Resultats - informe'!$E$28),0,(C6988&gt;='Resultats - informe'!$D$29)*(C6988&lt;='Resultats - informe'!$E$29),0,1,1)</f>
        <v>0</v>
      </c>
      <c r="N6988" s="366">
        <f>+VLOOKUP(D6988,'Resultats - informe'!$Y$18:$AG$42,'Introducció dades consum'!K6988+1,0)</f>
        <v>0</v>
      </c>
      <c r="O6988" s="370" cm="1">
        <f t="array" ref="O6988">+_xlfn.SWITCH(MONTH(C6988),1,1,2,1,3,1,4,2,5,2,6,3,7,3,8,3,9,3,10,2,11,2,12,1,2)</f>
        <v>1</v>
      </c>
      <c r="P6988" s="43"/>
    </row>
    <row r="6989" spans="1:16" ht="18" x14ac:dyDescent="0.35">
      <c r="A6989" s="9"/>
      <c r="C6989" s="393"/>
      <c r="E6989" s="394"/>
      <c r="F6989" s="394"/>
      <c r="G6989" s="394"/>
      <c r="I6989" s="368">
        <f t="shared" si="330"/>
        <v>0</v>
      </c>
      <c r="J6989" s="365">
        <f t="shared" si="331"/>
        <v>0</v>
      </c>
      <c r="K6989" s="369">
        <f t="shared" si="332"/>
        <v>6</v>
      </c>
      <c r="L6989" s="369">
        <f>+IF((C6989&gt;='Resultats - informe'!$E$16)*(C6989&lt;='Resultats - informe'!$G$16),1,0)</f>
        <v>1</v>
      </c>
      <c r="M6989" s="369" cm="1">
        <f t="array" ref="M6989">+_xlfn.IFS((C6989&gt;='Resultats - informe'!$D$26)*(C6989&lt;='Resultats - informe'!$E$26),0,(C6989&gt;='Resultats - informe'!$D$27)*(C6989&lt;='Resultats - informe'!$E$27),0,(C6989&gt;='Resultats - informe'!$D$28)*(C6989&lt;='Resultats - informe'!$E$28),0,(C6989&gt;='Resultats - informe'!$D$29)*(C6989&lt;='Resultats - informe'!$E$29),0,1,1)</f>
        <v>0</v>
      </c>
      <c r="N6989" s="366">
        <f>+VLOOKUP(D6989,'Resultats - informe'!$Y$18:$AG$42,'Introducció dades consum'!K6989+1,0)</f>
        <v>0</v>
      </c>
      <c r="O6989" s="370" cm="1">
        <f t="array" ref="O6989">+_xlfn.SWITCH(MONTH(C6989),1,1,2,1,3,1,4,2,5,2,6,3,7,3,8,3,9,3,10,2,11,2,12,1,2)</f>
        <v>1</v>
      </c>
      <c r="P6989" s="43"/>
    </row>
    <row r="6990" spans="1:16" ht="18" x14ac:dyDescent="0.35">
      <c r="A6990" s="9"/>
      <c r="C6990" s="393"/>
      <c r="E6990" s="394"/>
      <c r="F6990" s="394"/>
      <c r="G6990" s="394"/>
      <c r="I6990" s="368">
        <f t="shared" si="330"/>
        <v>0</v>
      </c>
      <c r="J6990" s="365">
        <f t="shared" si="331"/>
        <v>0</v>
      </c>
      <c r="K6990" s="369">
        <f t="shared" si="332"/>
        <v>6</v>
      </c>
      <c r="L6990" s="369">
        <f>+IF((C6990&gt;='Resultats - informe'!$E$16)*(C6990&lt;='Resultats - informe'!$G$16),1,0)</f>
        <v>1</v>
      </c>
      <c r="M6990" s="369" cm="1">
        <f t="array" ref="M6990">+_xlfn.IFS((C6990&gt;='Resultats - informe'!$D$26)*(C6990&lt;='Resultats - informe'!$E$26),0,(C6990&gt;='Resultats - informe'!$D$27)*(C6990&lt;='Resultats - informe'!$E$27),0,(C6990&gt;='Resultats - informe'!$D$28)*(C6990&lt;='Resultats - informe'!$E$28),0,(C6990&gt;='Resultats - informe'!$D$29)*(C6990&lt;='Resultats - informe'!$E$29),0,1,1)</f>
        <v>0</v>
      </c>
      <c r="N6990" s="366">
        <f>+VLOOKUP(D6990,'Resultats - informe'!$Y$18:$AG$42,'Introducció dades consum'!K6990+1,0)</f>
        <v>0</v>
      </c>
      <c r="O6990" s="370" cm="1">
        <f t="array" ref="O6990">+_xlfn.SWITCH(MONTH(C6990),1,1,2,1,3,1,4,2,5,2,6,3,7,3,8,3,9,3,10,2,11,2,12,1,2)</f>
        <v>1</v>
      </c>
      <c r="P6990" s="43"/>
    </row>
    <row r="6991" spans="1:16" ht="18" x14ac:dyDescent="0.35">
      <c r="A6991" s="9"/>
      <c r="C6991" s="393"/>
      <c r="E6991" s="394"/>
      <c r="F6991" s="394"/>
      <c r="G6991" s="394"/>
      <c r="I6991" s="368">
        <f t="shared" si="330"/>
        <v>0</v>
      </c>
      <c r="J6991" s="365">
        <f t="shared" si="331"/>
        <v>0</v>
      </c>
      <c r="K6991" s="369">
        <f t="shared" si="332"/>
        <v>6</v>
      </c>
      <c r="L6991" s="369">
        <f>+IF((C6991&gt;='Resultats - informe'!$E$16)*(C6991&lt;='Resultats - informe'!$G$16),1,0)</f>
        <v>1</v>
      </c>
      <c r="M6991" s="369" cm="1">
        <f t="array" ref="M6991">+_xlfn.IFS((C6991&gt;='Resultats - informe'!$D$26)*(C6991&lt;='Resultats - informe'!$E$26),0,(C6991&gt;='Resultats - informe'!$D$27)*(C6991&lt;='Resultats - informe'!$E$27),0,(C6991&gt;='Resultats - informe'!$D$28)*(C6991&lt;='Resultats - informe'!$E$28),0,(C6991&gt;='Resultats - informe'!$D$29)*(C6991&lt;='Resultats - informe'!$E$29),0,1,1)</f>
        <v>0</v>
      </c>
      <c r="N6991" s="366">
        <f>+VLOOKUP(D6991,'Resultats - informe'!$Y$18:$AG$42,'Introducció dades consum'!K6991+1,0)</f>
        <v>0</v>
      </c>
      <c r="O6991" s="370" cm="1">
        <f t="array" ref="O6991">+_xlfn.SWITCH(MONTH(C6991),1,1,2,1,3,1,4,2,5,2,6,3,7,3,8,3,9,3,10,2,11,2,12,1,2)</f>
        <v>1</v>
      </c>
      <c r="P6991" s="43"/>
    </row>
    <row r="6992" spans="1:16" ht="18" x14ac:dyDescent="0.35">
      <c r="A6992" s="9"/>
      <c r="C6992" s="393"/>
      <c r="E6992" s="394"/>
      <c r="F6992" s="394"/>
      <c r="G6992" s="394"/>
      <c r="I6992" s="368">
        <f t="shared" si="330"/>
        <v>0</v>
      </c>
      <c r="J6992" s="365">
        <f t="shared" si="331"/>
        <v>0</v>
      </c>
      <c r="K6992" s="369">
        <f t="shared" si="332"/>
        <v>6</v>
      </c>
      <c r="L6992" s="369">
        <f>+IF((C6992&gt;='Resultats - informe'!$E$16)*(C6992&lt;='Resultats - informe'!$G$16),1,0)</f>
        <v>1</v>
      </c>
      <c r="M6992" s="369" cm="1">
        <f t="array" ref="M6992">+_xlfn.IFS((C6992&gt;='Resultats - informe'!$D$26)*(C6992&lt;='Resultats - informe'!$E$26),0,(C6992&gt;='Resultats - informe'!$D$27)*(C6992&lt;='Resultats - informe'!$E$27),0,(C6992&gt;='Resultats - informe'!$D$28)*(C6992&lt;='Resultats - informe'!$E$28),0,(C6992&gt;='Resultats - informe'!$D$29)*(C6992&lt;='Resultats - informe'!$E$29),0,1,1)</f>
        <v>0</v>
      </c>
      <c r="N6992" s="366">
        <f>+VLOOKUP(D6992,'Resultats - informe'!$Y$18:$AG$42,'Introducció dades consum'!K6992+1,0)</f>
        <v>0</v>
      </c>
      <c r="O6992" s="370" cm="1">
        <f t="array" ref="O6992">+_xlfn.SWITCH(MONTH(C6992),1,1,2,1,3,1,4,2,5,2,6,3,7,3,8,3,9,3,10,2,11,2,12,1,2)</f>
        <v>1</v>
      </c>
      <c r="P6992" s="43"/>
    </row>
    <row r="6993" spans="1:16" ht="18" x14ac:dyDescent="0.35">
      <c r="A6993" s="9"/>
      <c r="C6993" s="393"/>
      <c r="E6993" s="394"/>
      <c r="F6993" s="394"/>
      <c r="G6993" s="394"/>
      <c r="I6993" s="368">
        <f t="shared" si="330"/>
        <v>0</v>
      </c>
      <c r="J6993" s="365">
        <f t="shared" si="331"/>
        <v>0</v>
      </c>
      <c r="K6993" s="369">
        <f t="shared" si="332"/>
        <v>6</v>
      </c>
      <c r="L6993" s="369">
        <f>+IF((C6993&gt;='Resultats - informe'!$E$16)*(C6993&lt;='Resultats - informe'!$G$16),1,0)</f>
        <v>1</v>
      </c>
      <c r="M6993" s="369" cm="1">
        <f t="array" ref="M6993">+_xlfn.IFS((C6993&gt;='Resultats - informe'!$D$26)*(C6993&lt;='Resultats - informe'!$E$26),0,(C6993&gt;='Resultats - informe'!$D$27)*(C6993&lt;='Resultats - informe'!$E$27),0,(C6993&gt;='Resultats - informe'!$D$28)*(C6993&lt;='Resultats - informe'!$E$28),0,(C6993&gt;='Resultats - informe'!$D$29)*(C6993&lt;='Resultats - informe'!$E$29),0,1,1)</f>
        <v>0</v>
      </c>
      <c r="N6993" s="366">
        <f>+VLOOKUP(D6993,'Resultats - informe'!$Y$18:$AG$42,'Introducció dades consum'!K6993+1,0)</f>
        <v>0</v>
      </c>
      <c r="O6993" s="370" cm="1">
        <f t="array" ref="O6993">+_xlfn.SWITCH(MONTH(C6993),1,1,2,1,3,1,4,2,5,2,6,3,7,3,8,3,9,3,10,2,11,2,12,1,2)</f>
        <v>1</v>
      </c>
      <c r="P6993" s="43"/>
    </row>
    <row r="6994" spans="1:16" ht="18" x14ac:dyDescent="0.35">
      <c r="A6994" s="9"/>
      <c r="C6994" s="393"/>
      <c r="E6994" s="394"/>
      <c r="F6994" s="394"/>
      <c r="G6994" s="394"/>
      <c r="I6994" s="368">
        <f t="shared" ref="I6994:I7057" si="333">+E6994+G6994</f>
        <v>0</v>
      </c>
      <c r="J6994" s="365">
        <f t="shared" ref="J6994:J7057" si="334">+C6994</f>
        <v>0</v>
      </c>
      <c r="K6994" s="369">
        <f t="shared" ref="K6994:K7057" si="335">+WEEKDAY(C6994,2)</f>
        <v>6</v>
      </c>
      <c r="L6994" s="369">
        <f>+IF((C6994&gt;='Resultats - informe'!$E$16)*(C6994&lt;='Resultats - informe'!$G$16),1,0)</f>
        <v>1</v>
      </c>
      <c r="M6994" s="369" cm="1">
        <f t="array" ref="M6994">+_xlfn.IFS((C6994&gt;='Resultats - informe'!$D$26)*(C6994&lt;='Resultats - informe'!$E$26),0,(C6994&gt;='Resultats - informe'!$D$27)*(C6994&lt;='Resultats - informe'!$E$27),0,(C6994&gt;='Resultats - informe'!$D$28)*(C6994&lt;='Resultats - informe'!$E$28),0,(C6994&gt;='Resultats - informe'!$D$29)*(C6994&lt;='Resultats - informe'!$E$29),0,1,1)</f>
        <v>0</v>
      </c>
      <c r="N6994" s="366">
        <f>+VLOOKUP(D6994,'Resultats - informe'!$Y$18:$AG$42,'Introducció dades consum'!K6994+1,0)</f>
        <v>0</v>
      </c>
      <c r="O6994" s="370" cm="1">
        <f t="array" ref="O6994">+_xlfn.SWITCH(MONTH(C6994),1,1,2,1,3,1,4,2,5,2,6,3,7,3,8,3,9,3,10,2,11,2,12,1,2)</f>
        <v>1</v>
      </c>
      <c r="P6994" s="43"/>
    </row>
    <row r="6995" spans="1:16" ht="18" x14ac:dyDescent="0.35">
      <c r="A6995" s="9"/>
      <c r="C6995" s="393"/>
      <c r="E6995" s="394"/>
      <c r="F6995" s="394"/>
      <c r="G6995" s="394"/>
      <c r="I6995" s="368">
        <f t="shared" si="333"/>
        <v>0</v>
      </c>
      <c r="J6995" s="365">
        <f t="shared" si="334"/>
        <v>0</v>
      </c>
      <c r="K6995" s="369">
        <f t="shared" si="335"/>
        <v>6</v>
      </c>
      <c r="L6995" s="369">
        <f>+IF((C6995&gt;='Resultats - informe'!$E$16)*(C6995&lt;='Resultats - informe'!$G$16),1,0)</f>
        <v>1</v>
      </c>
      <c r="M6995" s="369" cm="1">
        <f t="array" ref="M6995">+_xlfn.IFS((C6995&gt;='Resultats - informe'!$D$26)*(C6995&lt;='Resultats - informe'!$E$26),0,(C6995&gt;='Resultats - informe'!$D$27)*(C6995&lt;='Resultats - informe'!$E$27),0,(C6995&gt;='Resultats - informe'!$D$28)*(C6995&lt;='Resultats - informe'!$E$28),0,(C6995&gt;='Resultats - informe'!$D$29)*(C6995&lt;='Resultats - informe'!$E$29),0,1,1)</f>
        <v>0</v>
      </c>
      <c r="N6995" s="366">
        <f>+VLOOKUP(D6995,'Resultats - informe'!$Y$18:$AG$42,'Introducció dades consum'!K6995+1,0)</f>
        <v>0</v>
      </c>
      <c r="O6995" s="370" cm="1">
        <f t="array" ref="O6995">+_xlfn.SWITCH(MONTH(C6995),1,1,2,1,3,1,4,2,5,2,6,3,7,3,8,3,9,3,10,2,11,2,12,1,2)</f>
        <v>1</v>
      </c>
      <c r="P6995" s="43"/>
    </row>
    <row r="6996" spans="1:16" ht="18" x14ac:dyDescent="0.35">
      <c r="A6996" s="9"/>
      <c r="C6996" s="393"/>
      <c r="E6996" s="394"/>
      <c r="F6996" s="394"/>
      <c r="G6996" s="394"/>
      <c r="I6996" s="368">
        <f t="shared" si="333"/>
        <v>0</v>
      </c>
      <c r="J6996" s="365">
        <f t="shared" si="334"/>
        <v>0</v>
      </c>
      <c r="K6996" s="369">
        <f t="shared" si="335"/>
        <v>6</v>
      </c>
      <c r="L6996" s="369">
        <f>+IF((C6996&gt;='Resultats - informe'!$E$16)*(C6996&lt;='Resultats - informe'!$G$16),1,0)</f>
        <v>1</v>
      </c>
      <c r="M6996" s="369" cm="1">
        <f t="array" ref="M6996">+_xlfn.IFS((C6996&gt;='Resultats - informe'!$D$26)*(C6996&lt;='Resultats - informe'!$E$26),0,(C6996&gt;='Resultats - informe'!$D$27)*(C6996&lt;='Resultats - informe'!$E$27),0,(C6996&gt;='Resultats - informe'!$D$28)*(C6996&lt;='Resultats - informe'!$E$28),0,(C6996&gt;='Resultats - informe'!$D$29)*(C6996&lt;='Resultats - informe'!$E$29),0,1,1)</f>
        <v>0</v>
      </c>
      <c r="N6996" s="366">
        <f>+VLOOKUP(D6996,'Resultats - informe'!$Y$18:$AG$42,'Introducció dades consum'!K6996+1,0)</f>
        <v>0</v>
      </c>
      <c r="O6996" s="370" cm="1">
        <f t="array" ref="O6996">+_xlfn.SWITCH(MONTH(C6996),1,1,2,1,3,1,4,2,5,2,6,3,7,3,8,3,9,3,10,2,11,2,12,1,2)</f>
        <v>1</v>
      </c>
      <c r="P6996" s="43"/>
    </row>
    <row r="6997" spans="1:16" ht="18" x14ac:dyDescent="0.35">
      <c r="A6997" s="9"/>
      <c r="C6997" s="393"/>
      <c r="E6997" s="394"/>
      <c r="F6997" s="394"/>
      <c r="G6997" s="394"/>
      <c r="I6997" s="368">
        <f t="shared" si="333"/>
        <v>0</v>
      </c>
      <c r="J6997" s="365">
        <f t="shared" si="334"/>
        <v>0</v>
      </c>
      <c r="K6997" s="369">
        <f t="shared" si="335"/>
        <v>6</v>
      </c>
      <c r="L6997" s="369">
        <f>+IF((C6997&gt;='Resultats - informe'!$E$16)*(C6997&lt;='Resultats - informe'!$G$16),1,0)</f>
        <v>1</v>
      </c>
      <c r="M6997" s="369" cm="1">
        <f t="array" ref="M6997">+_xlfn.IFS((C6997&gt;='Resultats - informe'!$D$26)*(C6997&lt;='Resultats - informe'!$E$26),0,(C6997&gt;='Resultats - informe'!$D$27)*(C6997&lt;='Resultats - informe'!$E$27),0,(C6997&gt;='Resultats - informe'!$D$28)*(C6997&lt;='Resultats - informe'!$E$28),0,(C6997&gt;='Resultats - informe'!$D$29)*(C6997&lt;='Resultats - informe'!$E$29),0,1,1)</f>
        <v>0</v>
      </c>
      <c r="N6997" s="366">
        <f>+VLOOKUP(D6997,'Resultats - informe'!$Y$18:$AG$42,'Introducció dades consum'!K6997+1,0)</f>
        <v>0</v>
      </c>
      <c r="O6997" s="370" cm="1">
        <f t="array" ref="O6997">+_xlfn.SWITCH(MONTH(C6997),1,1,2,1,3,1,4,2,5,2,6,3,7,3,8,3,9,3,10,2,11,2,12,1,2)</f>
        <v>1</v>
      </c>
      <c r="P6997" s="43"/>
    </row>
    <row r="6998" spans="1:16" ht="18" x14ac:dyDescent="0.35">
      <c r="A6998" s="9"/>
      <c r="C6998" s="393"/>
      <c r="E6998" s="394"/>
      <c r="F6998" s="394"/>
      <c r="G6998" s="394"/>
      <c r="I6998" s="368">
        <f t="shared" si="333"/>
        <v>0</v>
      </c>
      <c r="J6998" s="365">
        <f t="shared" si="334"/>
        <v>0</v>
      </c>
      <c r="K6998" s="369">
        <f t="shared" si="335"/>
        <v>6</v>
      </c>
      <c r="L6998" s="369">
        <f>+IF((C6998&gt;='Resultats - informe'!$E$16)*(C6998&lt;='Resultats - informe'!$G$16),1,0)</f>
        <v>1</v>
      </c>
      <c r="M6998" s="369" cm="1">
        <f t="array" ref="M6998">+_xlfn.IFS((C6998&gt;='Resultats - informe'!$D$26)*(C6998&lt;='Resultats - informe'!$E$26),0,(C6998&gt;='Resultats - informe'!$D$27)*(C6998&lt;='Resultats - informe'!$E$27),0,(C6998&gt;='Resultats - informe'!$D$28)*(C6998&lt;='Resultats - informe'!$E$28),0,(C6998&gt;='Resultats - informe'!$D$29)*(C6998&lt;='Resultats - informe'!$E$29),0,1,1)</f>
        <v>0</v>
      </c>
      <c r="N6998" s="366">
        <f>+VLOOKUP(D6998,'Resultats - informe'!$Y$18:$AG$42,'Introducció dades consum'!K6998+1,0)</f>
        <v>0</v>
      </c>
      <c r="O6998" s="370" cm="1">
        <f t="array" ref="O6998">+_xlfn.SWITCH(MONTH(C6998),1,1,2,1,3,1,4,2,5,2,6,3,7,3,8,3,9,3,10,2,11,2,12,1,2)</f>
        <v>1</v>
      </c>
      <c r="P6998" s="43"/>
    </row>
    <row r="6999" spans="1:16" ht="18" x14ac:dyDescent="0.35">
      <c r="A6999" s="9"/>
      <c r="C6999" s="393"/>
      <c r="E6999" s="394"/>
      <c r="F6999" s="394"/>
      <c r="G6999" s="394"/>
      <c r="I6999" s="368">
        <f t="shared" si="333"/>
        <v>0</v>
      </c>
      <c r="J6999" s="365">
        <f t="shared" si="334"/>
        <v>0</v>
      </c>
      <c r="K6999" s="369">
        <f t="shared" si="335"/>
        <v>6</v>
      </c>
      <c r="L6999" s="369">
        <f>+IF((C6999&gt;='Resultats - informe'!$E$16)*(C6999&lt;='Resultats - informe'!$G$16),1,0)</f>
        <v>1</v>
      </c>
      <c r="M6999" s="369" cm="1">
        <f t="array" ref="M6999">+_xlfn.IFS((C6999&gt;='Resultats - informe'!$D$26)*(C6999&lt;='Resultats - informe'!$E$26),0,(C6999&gt;='Resultats - informe'!$D$27)*(C6999&lt;='Resultats - informe'!$E$27),0,(C6999&gt;='Resultats - informe'!$D$28)*(C6999&lt;='Resultats - informe'!$E$28),0,(C6999&gt;='Resultats - informe'!$D$29)*(C6999&lt;='Resultats - informe'!$E$29),0,1,1)</f>
        <v>0</v>
      </c>
      <c r="N6999" s="366">
        <f>+VLOOKUP(D6999,'Resultats - informe'!$Y$18:$AG$42,'Introducció dades consum'!K6999+1,0)</f>
        <v>0</v>
      </c>
      <c r="O6999" s="370" cm="1">
        <f t="array" ref="O6999">+_xlfn.SWITCH(MONTH(C6999),1,1,2,1,3,1,4,2,5,2,6,3,7,3,8,3,9,3,10,2,11,2,12,1,2)</f>
        <v>1</v>
      </c>
      <c r="P6999" s="43"/>
    </row>
    <row r="7000" spans="1:16" ht="18" x14ac:dyDescent="0.35">
      <c r="A7000" s="9"/>
      <c r="C7000" s="393"/>
      <c r="E7000" s="394"/>
      <c r="F7000" s="394"/>
      <c r="G7000" s="394"/>
      <c r="I7000" s="368">
        <f t="shared" si="333"/>
        <v>0</v>
      </c>
      <c r="J7000" s="365">
        <f t="shared" si="334"/>
        <v>0</v>
      </c>
      <c r="K7000" s="369">
        <f t="shared" si="335"/>
        <v>6</v>
      </c>
      <c r="L7000" s="369">
        <f>+IF((C7000&gt;='Resultats - informe'!$E$16)*(C7000&lt;='Resultats - informe'!$G$16),1,0)</f>
        <v>1</v>
      </c>
      <c r="M7000" s="369" cm="1">
        <f t="array" ref="M7000">+_xlfn.IFS((C7000&gt;='Resultats - informe'!$D$26)*(C7000&lt;='Resultats - informe'!$E$26),0,(C7000&gt;='Resultats - informe'!$D$27)*(C7000&lt;='Resultats - informe'!$E$27),0,(C7000&gt;='Resultats - informe'!$D$28)*(C7000&lt;='Resultats - informe'!$E$28),0,(C7000&gt;='Resultats - informe'!$D$29)*(C7000&lt;='Resultats - informe'!$E$29),0,1,1)</f>
        <v>0</v>
      </c>
      <c r="N7000" s="366">
        <f>+VLOOKUP(D7000,'Resultats - informe'!$Y$18:$AG$42,'Introducció dades consum'!K7000+1,0)</f>
        <v>0</v>
      </c>
      <c r="O7000" s="370" cm="1">
        <f t="array" ref="O7000">+_xlfn.SWITCH(MONTH(C7000),1,1,2,1,3,1,4,2,5,2,6,3,7,3,8,3,9,3,10,2,11,2,12,1,2)</f>
        <v>1</v>
      </c>
      <c r="P7000" s="43"/>
    </row>
    <row r="7001" spans="1:16" ht="18" x14ac:dyDescent="0.35">
      <c r="A7001" s="9"/>
      <c r="C7001" s="393"/>
      <c r="E7001" s="394"/>
      <c r="F7001" s="394"/>
      <c r="G7001" s="394"/>
      <c r="I7001" s="368">
        <f t="shared" si="333"/>
        <v>0</v>
      </c>
      <c r="J7001" s="365">
        <f t="shared" si="334"/>
        <v>0</v>
      </c>
      <c r="K7001" s="369">
        <f t="shared" si="335"/>
        <v>6</v>
      </c>
      <c r="L7001" s="369">
        <f>+IF((C7001&gt;='Resultats - informe'!$E$16)*(C7001&lt;='Resultats - informe'!$G$16),1,0)</f>
        <v>1</v>
      </c>
      <c r="M7001" s="369" cm="1">
        <f t="array" ref="M7001">+_xlfn.IFS((C7001&gt;='Resultats - informe'!$D$26)*(C7001&lt;='Resultats - informe'!$E$26),0,(C7001&gt;='Resultats - informe'!$D$27)*(C7001&lt;='Resultats - informe'!$E$27),0,(C7001&gt;='Resultats - informe'!$D$28)*(C7001&lt;='Resultats - informe'!$E$28),0,(C7001&gt;='Resultats - informe'!$D$29)*(C7001&lt;='Resultats - informe'!$E$29),0,1,1)</f>
        <v>0</v>
      </c>
      <c r="N7001" s="366">
        <f>+VLOOKUP(D7001,'Resultats - informe'!$Y$18:$AG$42,'Introducció dades consum'!K7001+1,0)</f>
        <v>0</v>
      </c>
      <c r="O7001" s="370" cm="1">
        <f t="array" ref="O7001">+_xlfn.SWITCH(MONTH(C7001),1,1,2,1,3,1,4,2,5,2,6,3,7,3,8,3,9,3,10,2,11,2,12,1,2)</f>
        <v>1</v>
      </c>
      <c r="P7001" s="43"/>
    </row>
    <row r="7002" spans="1:16" ht="18" x14ac:dyDescent="0.35">
      <c r="A7002" s="9"/>
      <c r="C7002" s="393"/>
      <c r="E7002" s="394"/>
      <c r="F7002" s="394"/>
      <c r="G7002" s="394"/>
      <c r="I7002" s="368">
        <f t="shared" si="333"/>
        <v>0</v>
      </c>
      <c r="J7002" s="365">
        <f t="shared" si="334"/>
        <v>0</v>
      </c>
      <c r="K7002" s="369">
        <f t="shared" si="335"/>
        <v>6</v>
      </c>
      <c r="L7002" s="369">
        <f>+IF((C7002&gt;='Resultats - informe'!$E$16)*(C7002&lt;='Resultats - informe'!$G$16),1,0)</f>
        <v>1</v>
      </c>
      <c r="M7002" s="369" cm="1">
        <f t="array" ref="M7002">+_xlfn.IFS((C7002&gt;='Resultats - informe'!$D$26)*(C7002&lt;='Resultats - informe'!$E$26),0,(C7002&gt;='Resultats - informe'!$D$27)*(C7002&lt;='Resultats - informe'!$E$27),0,(C7002&gt;='Resultats - informe'!$D$28)*(C7002&lt;='Resultats - informe'!$E$28),0,(C7002&gt;='Resultats - informe'!$D$29)*(C7002&lt;='Resultats - informe'!$E$29),0,1,1)</f>
        <v>0</v>
      </c>
      <c r="N7002" s="366">
        <f>+VLOOKUP(D7002,'Resultats - informe'!$Y$18:$AG$42,'Introducció dades consum'!K7002+1,0)</f>
        <v>0</v>
      </c>
      <c r="O7002" s="370" cm="1">
        <f t="array" ref="O7002">+_xlfn.SWITCH(MONTH(C7002),1,1,2,1,3,1,4,2,5,2,6,3,7,3,8,3,9,3,10,2,11,2,12,1,2)</f>
        <v>1</v>
      </c>
      <c r="P7002" s="43"/>
    </row>
    <row r="7003" spans="1:16" ht="18" x14ac:dyDescent="0.35">
      <c r="A7003" s="9"/>
      <c r="C7003" s="393"/>
      <c r="E7003" s="394"/>
      <c r="F7003" s="394"/>
      <c r="G7003" s="394"/>
      <c r="I7003" s="368">
        <f t="shared" si="333"/>
        <v>0</v>
      </c>
      <c r="J7003" s="365">
        <f t="shared" si="334"/>
        <v>0</v>
      </c>
      <c r="K7003" s="369">
        <f t="shared" si="335"/>
        <v>6</v>
      </c>
      <c r="L7003" s="369">
        <f>+IF((C7003&gt;='Resultats - informe'!$E$16)*(C7003&lt;='Resultats - informe'!$G$16),1,0)</f>
        <v>1</v>
      </c>
      <c r="M7003" s="369" cm="1">
        <f t="array" ref="M7003">+_xlfn.IFS((C7003&gt;='Resultats - informe'!$D$26)*(C7003&lt;='Resultats - informe'!$E$26),0,(C7003&gt;='Resultats - informe'!$D$27)*(C7003&lt;='Resultats - informe'!$E$27),0,(C7003&gt;='Resultats - informe'!$D$28)*(C7003&lt;='Resultats - informe'!$E$28),0,(C7003&gt;='Resultats - informe'!$D$29)*(C7003&lt;='Resultats - informe'!$E$29),0,1,1)</f>
        <v>0</v>
      </c>
      <c r="N7003" s="366">
        <f>+VLOOKUP(D7003,'Resultats - informe'!$Y$18:$AG$42,'Introducció dades consum'!K7003+1,0)</f>
        <v>0</v>
      </c>
      <c r="O7003" s="370" cm="1">
        <f t="array" ref="O7003">+_xlfn.SWITCH(MONTH(C7003),1,1,2,1,3,1,4,2,5,2,6,3,7,3,8,3,9,3,10,2,11,2,12,1,2)</f>
        <v>1</v>
      </c>
      <c r="P7003" s="43"/>
    </row>
    <row r="7004" spans="1:16" ht="18" x14ac:dyDescent="0.35">
      <c r="A7004" s="9"/>
      <c r="C7004" s="393"/>
      <c r="E7004" s="394"/>
      <c r="F7004" s="394"/>
      <c r="G7004" s="394"/>
      <c r="I7004" s="368">
        <f t="shared" si="333"/>
        <v>0</v>
      </c>
      <c r="J7004" s="365">
        <f t="shared" si="334"/>
        <v>0</v>
      </c>
      <c r="K7004" s="369">
        <f t="shared" si="335"/>
        <v>6</v>
      </c>
      <c r="L7004" s="369">
        <f>+IF((C7004&gt;='Resultats - informe'!$E$16)*(C7004&lt;='Resultats - informe'!$G$16),1,0)</f>
        <v>1</v>
      </c>
      <c r="M7004" s="369" cm="1">
        <f t="array" ref="M7004">+_xlfn.IFS((C7004&gt;='Resultats - informe'!$D$26)*(C7004&lt;='Resultats - informe'!$E$26),0,(C7004&gt;='Resultats - informe'!$D$27)*(C7004&lt;='Resultats - informe'!$E$27),0,(C7004&gt;='Resultats - informe'!$D$28)*(C7004&lt;='Resultats - informe'!$E$28),0,(C7004&gt;='Resultats - informe'!$D$29)*(C7004&lt;='Resultats - informe'!$E$29),0,1,1)</f>
        <v>0</v>
      </c>
      <c r="N7004" s="366">
        <f>+VLOOKUP(D7004,'Resultats - informe'!$Y$18:$AG$42,'Introducció dades consum'!K7004+1,0)</f>
        <v>0</v>
      </c>
      <c r="O7004" s="370" cm="1">
        <f t="array" ref="O7004">+_xlfn.SWITCH(MONTH(C7004),1,1,2,1,3,1,4,2,5,2,6,3,7,3,8,3,9,3,10,2,11,2,12,1,2)</f>
        <v>1</v>
      </c>
      <c r="P7004" s="43"/>
    </row>
    <row r="7005" spans="1:16" ht="18" x14ac:dyDescent="0.35">
      <c r="A7005" s="9"/>
      <c r="C7005" s="393"/>
      <c r="E7005" s="394"/>
      <c r="F7005" s="394"/>
      <c r="G7005" s="394"/>
      <c r="I7005" s="368">
        <f t="shared" si="333"/>
        <v>0</v>
      </c>
      <c r="J7005" s="365">
        <f t="shared" si="334"/>
        <v>0</v>
      </c>
      <c r="K7005" s="369">
        <f t="shared" si="335"/>
        <v>6</v>
      </c>
      <c r="L7005" s="369">
        <f>+IF((C7005&gt;='Resultats - informe'!$E$16)*(C7005&lt;='Resultats - informe'!$G$16),1,0)</f>
        <v>1</v>
      </c>
      <c r="M7005" s="369" cm="1">
        <f t="array" ref="M7005">+_xlfn.IFS((C7005&gt;='Resultats - informe'!$D$26)*(C7005&lt;='Resultats - informe'!$E$26),0,(C7005&gt;='Resultats - informe'!$D$27)*(C7005&lt;='Resultats - informe'!$E$27),0,(C7005&gt;='Resultats - informe'!$D$28)*(C7005&lt;='Resultats - informe'!$E$28),0,(C7005&gt;='Resultats - informe'!$D$29)*(C7005&lt;='Resultats - informe'!$E$29),0,1,1)</f>
        <v>0</v>
      </c>
      <c r="N7005" s="366">
        <f>+VLOOKUP(D7005,'Resultats - informe'!$Y$18:$AG$42,'Introducció dades consum'!K7005+1,0)</f>
        <v>0</v>
      </c>
      <c r="O7005" s="370" cm="1">
        <f t="array" ref="O7005">+_xlfn.SWITCH(MONTH(C7005),1,1,2,1,3,1,4,2,5,2,6,3,7,3,8,3,9,3,10,2,11,2,12,1,2)</f>
        <v>1</v>
      </c>
      <c r="P7005" s="43"/>
    </row>
    <row r="7006" spans="1:16" ht="18" x14ac:dyDescent="0.35">
      <c r="A7006" s="9"/>
      <c r="C7006" s="393"/>
      <c r="E7006" s="394"/>
      <c r="F7006" s="394"/>
      <c r="G7006" s="394"/>
      <c r="I7006" s="368">
        <f t="shared" si="333"/>
        <v>0</v>
      </c>
      <c r="J7006" s="365">
        <f t="shared" si="334"/>
        <v>0</v>
      </c>
      <c r="K7006" s="369">
        <f t="shared" si="335"/>
        <v>6</v>
      </c>
      <c r="L7006" s="369">
        <f>+IF((C7006&gt;='Resultats - informe'!$E$16)*(C7006&lt;='Resultats - informe'!$G$16),1,0)</f>
        <v>1</v>
      </c>
      <c r="M7006" s="369" cm="1">
        <f t="array" ref="M7006">+_xlfn.IFS((C7006&gt;='Resultats - informe'!$D$26)*(C7006&lt;='Resultats - informe'!$E$26),0,(C7006&gt;='Resultats - informe'!$D$27)*(C7006&lt;='Resultats - informe'!$E$27),0,(C7006&gt;='Resultats - informe'!$D$28)*(C7006&lt;='Resultats - informe'!$E$28),0,(C7006&gt;='Resultats - informe'!$D$29)*(C7006&lt;='Resultats - informe'!$E$29),0,1,1)</f>
        <v>0</v>
      </c>
      <c r="N7006" s="366">
        <f>+VLOOKUP(D7006,'Resultats - informe'!$Y$18:$AG$42,'Introducció dades consum'!K7006+1,0)</f>
        <v>0</v>
      </c>
      <c r="O7006" s="370" cm="1">
        <f t="array" ref="O7006">+_xlfn.SWITCH(MONTH(C7006),1,1,2,1,3,1,4,2,5,2,6,3,7,3,8,3,9,3,10,2,11,2,12,1,2)</f>
        <v>1</v>
      </c>
      <c r="P7006" s="43"/>
    </row>
    <row r="7007" spans="1:16" ht="18" x14ac:dyDescent="0.35">
      <c r="A7007" s="9"/>
      <c r="C7007" s="393"/>
      <c r="E7007" s="394"/>
      <c r="F7007" s="394"/>
      <c r="G7007" s="394"/>
      <c r="I7007" s="368">
        <f t="shared" si="333"/>
        <v>0</v>
      </c>
      <c r="J7007" s="365">
        <f t="shared" si="334"/>
        <v>0</v>
      </c>
      <c r="K7007" s="369">
        <f t="shared" si="335"/>
        <v>6</v>
      </c>
      <c r="L7007" s="369">
        <f>+IF((C7007&gt;='Resultats - informe'!$E$16)*(C7007&lt;='Resultats - informe'!$G$16),1,0)</f>
        <v>1</v>
      </c>
      <c r="M7007" s="369" cm="1">
        <f t="array" ref="M7007">+_xlfn.IFS((C7007&gt;='Resultats - informe'!$D$26)*(C7007&lt;='Resultats - informe'!$E$26),0,(C7007&gt;='Resultats - informe'!$D$27)*(C7007&lt;='Resultats - informe'!$E$27),0,(C7007&gt;='Resultats - informe'!$D$28)*(C7007&lt;='Resultats - informe'!$E$28),0,(C7007&gt;='Resultats - informe'!$D$29)*(C7007&lt;='Resultats - informe'!$E$29),0,1,1)</f>
        <v>0</v>
      </c>
      <c r="N7007" s="366">
        <f>+VLOOKUP(D7007,'Resultats - informe'!$Y$18:$AG$42,'Introducció dades consum'!K7007+1,0)</f>
        <v>0</v>
      </c>
      <c r="O7007" s="370" cm="1">
        <f t="array" ref="O7007">+_xlfn.SWITCH(MONTH(C7007),1,1,2,1,3,1,4,2,5,2,6,3,7,3,8,3,9,3,10,2,11,2,12,1,2)</f>
        <v>1</v>
      </c>
      <c r="P7007" s="43"/>
    </row>
    <row r="7008" spans="1:16" ht="18" x14ac:dyDescent="0.35">
      <c r="A7008" s="9"/>
      <c r="C7008" s="393"/>
      <c r="E7008" s="394"/>
      <c r="F7008" s="394"/>
      <c r="G7008" s="394"/>
      <c r="I7008" s="368">
        <f t="shared" si="333"/>
        <v>0</v>
      </c>
      <c r="J7008" s="365">
        <f t="shared" si="334"/>
        <v>0</v>
      </c>
      <c r="K7008" s="369">
        <f t="shared" si="335"/>
        <v>6</v>
      </c>
      <c r="L7008" s="369">
        <f>+IF((C7008&gt;='Resultats - informe'!$E$16)*(C7008&lt;='Resultats - informe'!$G$16),1,0)</f>
        <v>1</v>
      </c>
      <c r="M7008" s="369" cm="1">
        <f t="array" ref="M7008">+_xlfn.IFS((C7008&gt;='Resultats - informe'!$D$26)*(C7008&lt;='Resultats - informe'!$E$26),0,(C7008&gt;='Resultats - informe'!$D$27)*(C7008&lt;='Resultats - informe'!$E$27),0,(C7008&gt;='Resultats - informe'!$D$28)*(C7008&lt;='Resultats - informe'!$E$28),0,(C7008&gt;='Resultats - informe'!$D$29)*(C7008&lt;='Resultats - informe'!$E$29),0,1,1)</f>
        <v>0</v>
      </c>
      <c r="N7008" s="366">
        <f>+VLOOKUP(D7008,'Resultats - informe'!$Y$18:$AG$42,'Introducció dades consum'!K7008+1,0)</f>
        <v>0</v>
      </c>
      <c r="O7008" s="370" cm="1">
        <f t="array" ref="O7008">+_xlfn.SWITCH(MONTH(C7008),1,1,2,1,3,1,4,2,5,2,6,3,7,3,8,3,9,3,10,2,11,2,12,1,2)</f>
        <v>1</v>
      </c>
      <c r="P7008" s="43"/>
    </row>
    <row r="7009" spans="1:16" ht="18" x14ac:dyDescent="0.35">
      <c r="A7009" s="9"/>
      <c r="C7009" s="393"/>
      <c r="E7009" s="394"/>
      <c r="F7009" s="394"/>
      <c r="G7009" s="394"/>
      <c r="I7009" s="368">
        <f t="shared" si="333"/>
        <v>0</v>
      </c>
      <c r="J7009" s="365">
        <f t="shared" si="334"/>
        <v>0</v>
      </c>
      <c r="K7009" s="369">
        <f t="shared" si="335"/>
        <v>6</v>
      </c>
      <c r="L7009" s="369">
        <f>+IF((C7009&gt;='Resultats - informe'!$E$16)*(C7009&lt;='Resultats - informe'!$G$16),1,0)</f>
        <v>1</v>
      </c>
      <c r="M7009" s="369" cm="1">
        <f t="array" ref="M7009">+_xlfn.IFS((C7009&gt;='Resultats - informe'!$D$26)*(C7009&lt;='Resultats - informe'!$E$26),0,(C7009&gt;='Resultats - informe'!$D$27)*(C7009&lt;='Resultats - informe'!$E$27),0,(C7009&gt;='Resultats - informe'!$D$28)*(C7009&lt;='Resultats - informe'!$E$28),0,(C7009&gt;='Resultats - informe'!$D$29)*(C7009&lt;='Resultats - informe'!$E$29),0,1,1)</f>
        <v>0</v>
      </c>
      <c r="N7009" s="366">
        <f>+VLOOKUP(D7009,'Resultats - informe'!$Y$18:$AG$42,'Introducció dades consum'!K7009+1,0)</f>
        <v>0</v>
      </c>
      <c r="O7009" s="370" cm="1">
        <f t="array" ref="O7009">+_xlfn.SWITCH(MONTH(C7009),1,1,2,1,3,1,4,2,5,2,6,3,7,3,8,3,9,3,10,2,11,2,12,1,2)</f>
        <v>1</v>
      </c>
      <c r="P7009" s="43"/>
    </row>
    <row r="7010" spans="1:16" ht="18" x14ac:dyDescent="0.35">
      <c r="A7010" s="9"/>
      <c r="C7010" s="393"/>
      <c r="E7010" s="394"/>
      <c r="F7010" s="394"/>
      <c r="G7010" s="394"/>
      <c r="I7010" s="368">
        <f t="shared" si="333"/>
        <v>0</v>
      </c>
      <c r="J7010" s="365">
        <f t="shared" si="334"/>
        <v>0</v>
      </c>
      <c r="K7010" s="369">
        <f t="shared" si="335"/>
        <v>6</v>
      </c>
      <c r="L7010" s="369">
        <f>+IF((C7010&gt;='Resultats - informe'!$E$16)*(C7010&lt;='Resultats - informe'!$G$16),1,0)</f>
        <v>1</v>
      </c>
      <c r="M7010" s="369" cm="1">
        <f t="array" ref="M7010">+_xlfn.IFS((C7010&gt;='Resultats - informe'!$D$26)*(C7010&lt;='Resultats - informe'!$E$26),0,(C7010&gt;='Resultats - informe'!$D$27)*(C7010&lt;='Resultats - informe'!$E$27),0,(C7010&gt;='Resultats - informe'!$D$28)*(C7010&lt;='Resultats - informe'!$E$28),0,(C7010&gt;='Resultats - informe'!$D$29)*(C7010&lt;='Resultats - informe'!$E$29),0,1,1)</f>
        <v>0</v>
      </c>
      <c r="N7010" s="366">
        <f>+VLOOKUP(D7010,'Resultats - informe'!$Y$18:$AG$42,'Introducció dades consum'!K7010+1,0)</f>
        <v>0</v>
      </c>
      <c r="O7010" s="370" cm="1">
        <f t="array" ref="O7010">+_xlfn.SWITCH(MONTH(C7010),1,1,2,1,3,1,4,2,5,2,6,3,7,3,8,3,9,3,10,2,11,2,12,1,2)</f>
        <v>1</v>
      </c>
      <c r="P7010" s="43"/>
    </row>
    <row r="7011" spans="1:16" ht="18" x14ac:dyDescent="0.35">
      <c r="A7011" s="9"/>
      <c r="C7011" s="393"/>
      <c r="E7011" s="394"/>
      <c r="F7011" s="394"/>
      <c r="G7011" s="394"/>
      <c r="I7011" s="368">
        <f t="shared" si="333"/>
        <v>0</v>
      </c>
      <c r="J7011" s="365">
        <f t="shared" si="334"/>
        <v>0</v>
      </c>
      <c r="K7011" s="369">
        <f t="shared" si="335"/>
        <v>6</v>
      </c>
      <c r="L7011" s="369">
        <f>+IF((C7011&gt;='Resultats - informe'!$E$16)*(C7011&lt;='Resultats - informe'!$G$16),1,0)</f>
        <v>1</v>
      </c>
      <c r="M7011" s="369" cm="1">
        <f t="array" ref="M7011">+_xlfn.IFS((C7011&gt;='Resultats - informe'!$D$26)*(C7011&lt;='Resultats - informe'!$E$26),0,(C7011&gt;='Resultats - informe'!$D$27)*(C7011&lt;='Resultats - informe'!$E$27),0,(C7011&gt;='Resultats - informe'!$D$28)*(C7011&lt;='Resultats - informe'!$E$28),0,(C7011&gt;='Resultats - informe'!$D$29)*(C7011&lt;='Resultats - informe'!$E$29),0,1,1)</f>
        <v>0</v>
      </c>
      <c r="N7011" s="366">
        <f>+VLOOKUP(D7011,'Resultats - informe'!$Y$18:$AG$42,'Introducció dades consum'!K7011+1,0)</f>
        <v>0</v>
      </c>
      <c r="O7011" s="370" cm="1">
        <f t="array" ref="O7011">+_xlfn.SWITCH(MONTH(C7011),1,1,2,1,3,1,4,2,5,2,6,3,7,3,8,3,9,3,10,2,11,2,12,1,2)</f>
        <v>1</v>
      </c>
      <c r="P7011" s="43"/>
    </row>
    <row r="7012" spans="1:16" ht="18" x14ac:dyDescent="0.35">
      <c r="A7012" s="9"/>
      <c r="C7012" s="393"/>
      <c r="E7012" s="394"/>
      <c r="F7012" s="394"/>
      <c r="G7012" s="394"/>
      <c r="I7012" s="368">
        <f t="shared" si="333"/>
        <v>0</v>
      </c>
      <c r="J7012" s="365">
        <f t="shared" si="334"/>
        <v>0</v>
      </c>
      <c r="K7012" s="369">
        <f t="shared" si="335"/>
        <v>6</v>
      </c>
      <c r="L7012" s="369">
        <f>+IF((C7012&gt;='Resultats - informe'!$E$16)*(C7012&lt;='Resultats - informe'!$G$16),1,0)</f>
        <v>1</v>
      </c>
      <c r="M7012" s="369" cm="1">
        <f t="array" ref="M7012">+_xlfn.IFS((C7012&gt;='Resultats - informe'!$D$26)*(C7012&lt;='Resultats - informe'!$E$26),0,(C7012&gt;='Resultats - informe'!$D$27)*(C7012&lt;='Resultats - informe'!$E$27),0,(C7012&gt;='Resultats - informe'!$D$28)*(C7012&lt;='Resultats - informe'!$E$28),0,(C7012&gt;='Resultats - informe'!$D$29)*(C7012&lt;='Resultats - informe'!$E$29),0,1,1)</f>
        <v>0</v>
      </c>
      <c r="N7012" s="366">
        <f>+VLOOKUP(D7012,'Resultats - informe'!$Y$18:$AG$42,'Introducció dades consum'!K7012+1,0)</f>
        <v>0</v>
      </c>
      <c r="O7012" s="370" cm="1">
        <f t="array" ref="O7012">+_xlfn.SWITCH(MONTH(C7012),1,1,2,1,3,1,4,2,5,2,6,3,7,3,8,3,9,3,10,2,11,2,12,1,2)</f>
        <v>1</v>
      </c>
      <c r="P7012" s="43"/>
    </row>
    <row r="7013" spans="1:16" ht="18" x14ac:dyDescent="0.35">
      <c r="A7013" s="9"/>
      <c r="C7013" s="393"/>
      <c r="E7013" s="394"/>
      <c r="F7013" s="394"/>
      <c r="G7013" s="394"/>
      <c r="I7013" s="368">
        <f t="shared" si="333"/>
        <v>0</v>
      </c>
      <c r="J7013" s="365">
        <f t="shared" si="334"/>
        <v>0</v>
      </c>
      <c r="K7013" s="369">
        <f t="shared" si="335"/>
        <v>6</v>
      </c>
      <c r="L7013" s="369">
        <f>+IF((C7013&gt;='Resultats - informe'!$E$16)*(C7013&lt;='Resultats - informe'!$G$16),1,0)</f>
        <v>1</v>
      </c>
      <c r="M7013" s="369" cm="1">
        <f t="array" ref="M7013">+_xlfn.IFS((C7013&gt;='Resultats - informe'!$D$26)*(C7013&lt;='Resultats - informe'!$E$26),0,(C7013&gt;='Resultats - informe'!$D$27)*(C7013&lt;='Resultats - informe'!$E$27),0,(C7013&gt;='Resultats - informe'!$D$28)*(C7013&lt;='Resultats - informe'!$E$28),0,(C7013&gt;='Resultats - informe'!$D$29)*(C7013&lt;='Resultats - informe'!$E$29),0,1,1)</f>
        <v>0</v>
      </c>
      <c r="N7013" s="366">
        <f>+VLOOKUP(D7013,'Resultats - informe'!$Y$18:$AG$42,'Introducció dades consum'!K7013+1,0)</f>
        <v>0</v>
      </c>
      <c r="O7013" s="370" cm="1">
        <f t="array" ref="O7013">+_xlfn.SWITCH(MONTH(C7013),1,1,2,1,3,1,4,2,5,2,6,3,7,3,8,3,9,3,10,2,11,2,12,1,2)</f>
        <v>1</v>
      </c>
      <c r="P7013" s="43"/>
    </row>
    <row r="7014" spans="1:16" ht="18" x14ac:dyDescent="0.35">
      <c r="A7014" s="9"/>
      <c r="C7014" s="393"/>
      <c r="E7014" s="394"/>
      <c r="F7014" s="394"/>
      <c r="G7014" s="394"/>
      <c r="I7014" s="368">
        <f t="shared" si="333"/>
        <v>0</v>
      </c>
      <c r="J7014" s="365">
        <f t="shared" si="334"/>
        <v>0</v>
      </c>
      <c r="K7014" s="369">
        <f t="shared" si="335"/>
        <v>6</v>
      </c>
      <c r="L7014" s="369">
        <f>+IF((C7014&gt;='Resultats - informe'!$E$16)*(C7014&lt;='Resultats - informe'!$G$16),1,0)</f>
        <v>1</v>
      </c>
      <c r="M7014" s="369" cm="1">
        <f t="array" ref="M7014">+_xlfn.IFS((C7014&gt;='Resultats - informe'!$D$26)*(C7014&lt;='Resultats - informe'!$E$26),0,(C7014&gt;='Resultats - informe'!$D$27)*(C7014&lt;='Resultats - informe'!$E$27),0,(C7014&gt;='Resultats - informe'!$D$28)*(C7014&lt;='Resultats - informe'!$E$28),0,(C7014&gt;='Resultats - informe'!$D$29)*(C7014&lt;='Resultats - informe'!$E$29),0,1,1)</f>
        <v>0</v>
      </c>
      <c r="N7014" s="366">
        <f>+VLOOKUP(D7014,'Resultats - informe'!$Y$18:$AG$42,'Introducció dades consum'!K7014+1,0)</f>
        <v>0</v>
      </c>
      <c r="O7014" s="370" cm="1">
        <f t="array" ref="O7014">+_xlfn.SWITCH(MONTH(C7014),1,1,2,1,3,1,4,2,5,2,6,3,7,3,8,3,9,3,10,2,11,2,12,1,2)</f>
        <v>1</v>
      </c>
      <c r="P7014" s="43"/>
    </row>
    <row r="7015" spans="1:16" ht="18" x14ac:dyDescent="0.35">
      <c r="A7015" s="9"/>
      <c r="C7015" s="393"/>
      <c r="E7015" s="394"/>
      <c r="F7015" s="394"/>
      <c r="G7015" s="394"/>
      <c r="I7015" s="368">
        <f t="shared" si="333"/>
        <v>0</v>
      </c>
      <c r="J7015" s="365">
        <f t="shared" si="334"/>
        <v>0</v>
      </c>
      <c r="K7015" s="369">
        <f t="shared" si="335"/>
        <v>6</v>
      </c>
      <c r="L7015" s="369">
        <f>+IF((C7015&gt;='Resultats - informe'!$E$16)*(C7015&lt;='Resultats - informe'!$G$16),1,0)</f>
        <v>1</v>
      </c>
      <c r="M7015" s="369" cm="1">
        <f t="array" ref="M7015">+_xlfn.IFS((C7015&gt;='Resultats - informe'!$D$26)*(C7015&lt;='Resultats - informe'!$E$26),0,(C7015&gt;='Resultats - informe'!$D$27)*(C7015&lt;='Resultats - informe'!$E$27),0,(C7015&gt;='Resultats - informe'!$D$28)*(C7015&lt;='Resultats - informe'!$E$28),0,(C7015&gt;='Resultats - informe'!$D$29)*(C7015&lt;='Resultats - informe'!$E$29),0,1,1)</f>
        <v>0</v>
      </c>
      <c r="N7015" s="366">
        <f>+VLOOKUP(D7015,'Resultats - informe'!$Y$18:$AG$42,'Introducció dades consum'!K7015+1,0)</f>
        <v>0</v>
      </c>
      <c r="O7015" s="370" cm="1">
        <f t="array" ref="O7015">+_xlfn.SWITCH(MONTH(C7015),1,1,2,1,3,1,4,2,5,2,6,3,7,3,8,3,9,3,10,2,11,2,12,1,2)</f>
        <v>1</v>
      </c>
      <c r="P7015" s="43"/>
    </row>
    <row r="7016" spans="1:16" ht="18" x14ac:dyDescent="0.35">
      <c r="A7016" s="9"/>
      <c r="C7016" s="393"/>
      <c r="E7016" s="394"/>
      <c r="F7016" s="394"/>
      <c r="G7016" s="394"/>
      <c r="I7016" s="368">
        <f t="shared" si="333"/>
        <v>0</v>
      </c>
      <c r="J7016" s="365">
        <f t="shared" si="334"/>
        <v>0</v>
      </c>
      <c r="K7016" s="369">
        <f t="shared" si="335"/>
        <v>6</v>
      </c>
      <c r="L7016" s="369">
        <f>+IF((C7016&gt;='Resultats - informe'!$E$16)*(C7016&lt;='Resultats - informe'!$G$16),1,0)</f>
        <v>1</v>
      </c>
      <c r="M7016" s="369" cm="1">
        <f t="array" ref="M7016">+_xlfn.IFS((C7016&gt;='Resultats - informe'!$D$26)*(C7016&lt;='Resultats - informe'!$E$26),0,(C7016&gt;='Resultats - informe'!$D$27)*(C7016&lt;='Resultats - informe'!$E$27),0,(C7016&gt;='Resultats - informe'!$D$28)*(C7016&lt;='Resultats - informe'!$E$28),0,(C7016&gt;='Resultats - informe'!$D$29)*(C7016&lt;='Resultats - informe'!$E$29),0,1,1)</f>
        <v>0</v>
      </c>
      <c r="N7016" s="366">
        <f>+VLOOKUP(D7016,'Resultats - informe'!$Y$18:$AG$42,'Introducció dades consum'!K7016+1,0)</f>
        <v>0</v>
      </c>
      <c r="O7016" s="370" cm="1">
        <f t="array" ref="O7016">+_xlfn.SWITCH(MONTH(C7016),1,1,2,1,3,1,4,2,5,2,6,3,7,3,8,3,9,3,10,2,11,2,12,1,2)</f>
        <v>1</v>
      </c>
      <c r="P7016" s="43"/>
    </row>
    <row r="7017" spans="1:16" ht="18" x14ac:dyDescent="0.35">
      <c r="A7017" s="9"/>
      <c r="C7017" s="393"/>
      <c r="E7017" s="394"/>
      <c r="F7017" s="394"/>
      <c r="G7017" s="394"/>
      <c r="I7017" s="368">
        <f t="shared" si="333"/>
        <v>0</v>
      </c>
      <c r="J7017" s="365">
        <f t="shared" si="334"/>
        <v>0</v>
      </c>
      <c r="K7017" s="369">
        <f t="shared" si="335"/>
        <v>6</v>
      </c>
      <c r="L7017" s="369">
        <f>+IF((C7017&gt;='Resultats - informe'!$E$16)*(C7017&lt;='Resultats - informe'!$G$16),1,0)</f>
        <v>1</v>
      </c>
      <c r="M7017" s="369" cm="1">
        <f t="array" ref="M7017">+_xlfn.IFS((C7017&gt;='Resultats - informe'!$D$26)*(C7017&lt;='Resultats - informe'!$E$26),0,(C7017&gt;='Resultats - informe'!$D$27)*(C7017&lt;='Resultats - informe'!$E$27),0,(C7017&gt;='Resultats - informe'!$D$28)*(C7017&lt;='Resultats - informe'!$E$28),0,(C7017&gt;='Resultats - informe'!$D$29)*(C7017&lt;='Resultats - informe'!$E$29),0,1,1)</f>
        <v>0</v>
      </c>
      <c r="N7017" s="366">
        <f>+VLOOKUP(D7017,'Resultats - informe'!$Y$18:$AG$42,'Introducció dades consum'!K7017+1,0)</f>
        <v>0</v>
      </c>
      <c r="O7017" s="370" cm="1">
        <f t="array" ref="O7017">+_xlfn.SWITCH(MONTH(C7017),1,1,2,1,3,1,4,2,5,2,6,3,7,3,8,3,9,3,10,2,11,2,12,1,2)</f>
        <v>1</v>
      </c>
      <c r="P7017" s="43"/>
    </row>
    <row r="7018" spans="1:16" ht="18" x14ac:dyDescent="0.35">
      <c r="A7018" s="9"/>
      <c r="C7018" s="393"/>
      <c r="E7018" s="394"/>
      <c r="F7018" s="394"/>
      <c r="G7018" s="394"/>
      <c r="I7018" s="368">
        <f t="shared" si="333"/>
        <v>0</v>
      </c>
      <c r="J7018" s="365">
        <f t="shared" si="334"/>
        <v>0</v>
      </c>
      <c r="K7018" s="369">
        <f t="shared" si="335"/>
        <v>6</v>
      </c>
      <c r="L7018" s="369">
        <f>+IF((C7018&gt;='Resultats - informe'!$E$16)*(C7018&lt;='Resultats - informe'!$G$16),1,0)</f>
        <v>1</v>
      </c>
      <c r="M7018" s="369" cm="1">
        <f t="array" ref="M7018">+_xlfn.IFS((C7018&gt;='Resultats - informe'!$D$26)*(C7018&lt;='Resultats - informe'!$E$26),0,(C7018&gt;='Resultats - informe'!$D$27)*(C7018&lt;='Resultats - informe'!$E$27),0,(C7018&gt;='Resultats - informe'!$D$28)*(C7018&lt;='Resultats - informe'!$E$28),0,(C7018&gt;='Resultats - informe'!$D$29)*(C7018&lt;='Resultats - informe'!$E$29),0,1,1)</f>
        <v>0</v>
      </c>
      <c r="N7018" s="366">
        <f>+VLOOKUP(D7018,'Resultats - informe'!$Y$18:$AG$42,'Introducció dades consum'!K7018+1,0)</f>
        <v>0</v>
      </c>
      <c r="O7018" s="370" cm="1">
        <f t="array" ref="O7018">+_xlfn.SWITCH(MONTH(C7018),1,1,2,1,3,1,4,2,5,2,6,3,7,3,8,3,9,3,10,2,11,2,12,1,2)</f>
        <v>1</v>
      </c>
      <c r="P7018" s="43"/>
    </row>
    <row r="7019" spans="1:16" ht="18" x14ac:dyDescent="0.35">
      <c r="A7019" s="9"/>
      <c r="C7019" s="393"/>
      <c r="E7019" s="394"/>
      <c r="F7019" s="394"/>
      <c r="G7019" s="394"/>
      <c r="I7019" s="368">
        <f t="shared" si="333"/>
        <v>0</v>
      </c>
      <c r="J7019" s="365">
        <f t="shared" si="334"/>
        <v>0</v>
      </c>
      <c r="K7019" s="369">
        <f t="shared" si="335"/>
        <v>6</v>
      </c>
      <c r="L7019" s="369">
        <f>+IF((C7019&gt;='Resultats - informe'!$E$16)*(C7019&lt;='Resultats - informe'!$G$16),1,0)</f>
        <v>1</v>
      </c>
      <c r="M7019" s="369" cm="1">
        <f t="array" ref="M7019">+_xlfn.IFS((C7019&gt;='Resultats - informe'!$D$26)*(C7019&lt;='Resultats - informe'!$E$26),0,(C7019&gt;='Resultats - informe'!$D$27)*(C7019&lt;='Resultats - informe'!$E$27),0,(C7019&gt;='Resultats - informe'!$D$28)*(C7019&lt;='Resultats - informe'!$E$28),0,(C7019&gt;='Resultats - informe'!$D$29)*(C7019&lt;='Resultats - informe'!$E$29),0,1,1)</f>
        <v>0</v>
      </c>
      <c r="N7019" s="366">
        <f>+VLOOKUP(D7019,'Resultats - informe'!$Y$18:$AG$42,'Introducció dades consum'!K7019+1,0)</f>
        <v>0</v>
      </c>
      <c r="O7019" s="370" cm="1">
        <f t="array" ref="O7019">+_xlfn.SWITCH(MONTH(C7019),1,1,2,1,3,1,4,2,5,2,6,3,7,3,8,3,9,3,10,2,11,2,12,1,2)</f>
        <v>1</v>
      </c>
      <c r="P7019" s="43"/>
    </row>
    <row r="7020" spans="1:16" ht="18" x14ac:dyDescent="0.35">
      <c r="A7020" s="9"/>
      <c r="C7020" s="393"/>
      <c r="E7020" s="394"/>
      <c r="F7020" s="394"/>
      <c r="G7020" s="394"/>
      <c r="I7020" s="368">
        <f t="shared" si="333"/>
        <v>0</v>
      </c>
      <c r="J7020" s="365">
        <f t="shared" si="334"/>
        <v>0</v>
      </c>
      <c r="K7020" s="369">
        <f t="shared" si="335"/>
        <v>6</v>
      </c>
      <c r="L7020" s="369">
        <f>+IF((C7020&gt;='Resultats - informe'!$E$16)*(C7020&lt;='Resultats - informe'!$G$16),1,0)</f>
        <v>1</v>
      </c>
      <c r="M7020" s="369" cm="1">
        <f t="array" ref="M7020">+_xlfn.IFS((C7020&gt;='Resultats - informe'!$D$26)*(C7020&lt;='Resultats - informe'!$E$26),0,(C7020&gt;='Resultats - informe'!$D$27)*(C7020&lt;='Resultats - informe'!$E$27),0,(C7020&gt;='Resultats - informe'!$D$28)*(C7020&lt;='Resultats - informe'!$E$28),0,(C7020&gt;='Resultats - informe'!$D$29)*(C7020&lt;='Resultats - informe'!$E$29),0,1,1)</f>
        <v>0</v>
      </c>
      <c r="N7020" s="366">
        <f>+VLOOKUP(D7020,'Resultats - informe'!$Y$18:$AG$42,'Introducció dades consum'!K7020+1,0)</f>
        <v>0</v>
      </c>
      <c r="O7020" s="370" cm="1">
        <f t="array" ref="O7020">+_xlfn.SWITCH(MONTH(C7020),1,1,2,1,3,1,4,2,5,2,6,3,7,3,8,3,9,3,10,2,11,2,12,1,2)</f>
        <v>1</v>
      </c>
      <c r="P7020" s="43"/>
    </row>
    <row r="7021" spans="1:16" ht="18" x14ac:dyDescent="0.35">
      <c r="A7021" s="9"/>
      <c r="C7021" s="393"/>
      <c r="E7021" s="394"/>
      <c r="F7021" s="394"/>
      <c r="G7021" s="394"/>
      <c r="I7021" s="368">
        <f t="shared" si="333"/>
        <v>0</v>
      </c>
      <c r="J7021" s="365">
        <f t="shared" si="334"/>
        <v>0</v>
      </c>
      <c r="K7021" s="369">
        <f t="shared" si="335"/>
        <v>6</v>
      </c>
      <c r="L7021" s="369">
        <f>+IF((C7021&gt;='Resultats - informe'!$E$16)*(C7021&lt;='Resultats - informe'!$G$16),1,0)</f>
        <v>1</v>
      </c>
      <c r="M7021" s="369" cm="1">
        <f t="array" ref="M7021">+_xlfn.IFS((C7021&gt;='Resultats - informe'!$D$26)*(C7021&lt;='Resultats - informe'!$E$26),0,(C7021&gt;='Resultats - informe'!$D$27)*(C7021&lt;='Resultats - informe'!$E$27),0,(C7021&gt;='Resultats - informe'!$D$28)*(C7021&lt;='Resultats - informe'!$E$28),0,(C7021&gt;='Resultats - informe'!$D$29)*(C7021&lt;='Resultats - informe'!$E$29),0,1,1)</f>
        <v>0</v>
      </c>
      <c r="N7021" s="366">
        <f>+VLOOKUP(D7021,'Resultats - informe'!$Y$18:$AG$42,'Introducció dades consum'!K7021+1,0)</f>
        <v>0</v>
      </c>
      <c r="O7021" s="370" cm="1">
        <f t="array" ref="O7021">+_xlfn.SWITCH(MONTH(C7021),1,1,2,1,3,1,4,2,5,2,6,3,7,3,8,3,9,3,10,2,11,2,12,1,2)</f>
        <v>1</v>
      </c>
      <c r="P7021" s="43"/>
    </row>
    <row r="7022" spans="1:16" ht="18" x14ac:dyDescent="0.35">
      <c r="A7022" s="9"/>
      <c r="C7022" s="393"/>
      <c r="E7022" s="394"/>
      <c r="F7022" s="394"/>
      <c r="G7022" s="394"/>
      <c r="I7022" s="368">
        <f t="shared" si="333"/>
        <v>0</v>
      </c>
      <c r="J7022" s="365">
        <f t="shared" si="334"/>
        <v>0</v>
      </c>
      <c r="K7022" s="369">
        <f t="shared" si="335"/>
        <v>6</v>
      </c>
      <c r="L7022" s="369">
        <f>+IF((C7022&gt;='Resultats - informe'!$E$16)*(C7022&lt;='Resultats - informe'!$G$16),1,0)</f>
        <v>1</v>
      </c>
      <c r="M7022" s="369" cm="1">
        <f t="array" ref="M7022">+_xlfn.IFS((C7022&gt;='Resultats - informe'!$D$26)*(C7022&lt;='Resultats - informe'!$E$26),0,(C7022&gt;='Resultats - informe'!$D$27)*(C7022&lt;='Resultats - informe'!$E$27),0,(C7022&gt;='Resultats - informe'!$D$28)*(C7022&lt;='Resultats - informe'!$E$28),0,(C7022&gt;='Resultats - informe'!$D$29)*(C7022&lt;='Resultats - informe'!$E$29),0,1,1)</f>
        <v>0</v>
      </c>
      <c r="N7022" s="366">
        <f>+VLOOKUP(D7022,'Resultats - informe'!$Y$18:$AG$42,'Introducció dades consum'!K7022+1,0)</f>
        <v>0</v>
      </c>
      <c r="O7022" s="370" cm="1">
        <f t="array" ref="O7022">+_xlfn.SWITCH(MONTH(C7022),1,1,2,1,3,1,4,2,5,2,6,3,7,3,8,3,9,3,10,2,11,2,12,1,2)</f>
        <v>1</v>
      </c>
      <c r="P7022" s="43"/>
    </row>
    <row r="7023" spans="1:16" ht="18" x14ac:dyDescent="0.35">
      <c r="A7023" s="9"/>
      <c r="C7023" s="393"/>
      <c r="E7023" s="394"/>
      <c r="F7023" s="394"/>
      <c r="G7023" s="394"/>
      <c r="I7023" s="368">
        <f t="shared" si="333"/>
        <v>0</v>
      </c>
      <c r="J7023" s="365">
        <f t="shared" si="334"/>
        <v>0</v>
      </c>
      <c r="K7023" s="369">
        <f t="shared" si="335"/>
        <v>6</v>
      </c>
      <c r="L7023" s="369">
        <f>+IF((C7023&gt;='Resultats - informe'!$E$16)*(C7023&lt;='Resultats - informe'!$G$16),1,0)</f>
        <v>1</v>
      </c>
      <c r="M7023" s="369" cm="1">
        <f t="array" ref="M7023">+_xlfn.IFS((C7023&gt;='Resultats - informe'!$D$26)*(C7023&lt;='Resultats - informe'!$E$26),0,(C7023&gt;='Resultats - informe'!$D$27)*(C7023&lt;='Resultats - informe'!$E$27),0,(C7023&gt;='Resultats - informe'!$D$28)*(C7023&lt;='Resultats - informe'!$E$28),0,(C7023&gt;='Resultats - informe'!$D$29)*(C7023&lt;='Resultats - informe'!$E$29),0,1,1)</f>
        <v>0</v>
      </c>
      <c r="N7023" s="366">
        <f>+VLOOKUP(D7023,'Resultats - informe'!$Y$18:$AG$42,'Introducció dades consum'!K7023+1,0)</f>
        <v>0</v>
      </c>
      <c r="O7023" s="370" cm="1">
        <f t="array" ref="O7023">+_xlfn.SWITCH(MONTH(C7023),1,1,2,1,3,1,4,2,5,2,6,3,7,3,8,3,9,3,10,2,11,2,12,1,2)</f>
        <v>1</v>
      </c>
      <c r="P7023" s="43"/>
    </row>
    <row r="7024" spans="1:16" ht="18" x14ac:dyDescent="0.35">
      <c r="A7024" s="9"/>
      <c r="C7024" s="393"/>
      <c r="E7024" s="394"/>
      <c r="F7024" s="394"/>
      <c r="G7024" s="394"/>
      <c r="I7024" s="368">
        <f t="shared" si="333"/>
        <v>0</v>
      </c>
      <c r="J7024" s="365">
        <f t="shared" si="334"/>
        <v>0</v>
      </c>
      <c r="K7024" s="369">
        <f t="shared" si="335"/>
        <v>6</v>
      </c>
      <c r="L7024" s="369">
        <f>+IF((C7024&gt;='Resultats - informe'!$E$16)*(C7024&lt;='Resultats - informe'!$G$16),1,0)</f>
        <v>1</v>
      </c>
      <c r="M7024" s="369" cm="1">
        <f t="array" ref="M7024">+_xlfn.IFS((C7024&gt;='Resultats - informe'!$D$26)*(C7024&lt;='Resultats - informe'!$E$26),0,(C7024&gt;='Resultats - informe'!$D$27)*(C7024&lt;='Resultats - informe'!$E$27),0,(C7024&gt;='Resultats - informe'!$D$28)*(C7024&lt;='Resultats - informe'!$E$28),0,(C7024&gt;='Resultats - informe'!$D$29)*(C7024&lt;='Resultats - informe'!$E$29),0,1,1)</f>
        <v>0</v>
      </c>
      <c r="N7024" s="366">
        <f>+VLOOKUP(D7024,'Resultats - informe'!$Y$18:$AG$42,'Introducció dades consum'!K7024+1,0)</f>
        <v>0</v>
      </c>
      <c r="O7024" s="370" cm="1">
        <f t="array" ref="O7024">+_xlfn.SWITCH(MONTH(C7024),1,1,2,1,3,1,4,2,5,2,6,3,7,3,8,3,9,3,10,2,11,2,12,1,2)</f>
        <v>1</v>
      </c>
      <c r="P7024" s="43"/>
    </row>
    <row r="7025" spans="1:16" ht="18" x14ac:dyDescent="0.35">
      <c r="A7025" s="9"/>
      <c r="C7025" s="393"/>
      <c r="E7025" s="394"/>
      <c r="F7025" s="394"/>
      <c r="G7025" s="394"/>
      <c r="I7025" s="368">
        <f t="shared" si="333"/>
        <v>0</v>
      </c>
      <c r="J7025" s="365">
        <f t="shared" si="334"/>
        <v>0</v>
      </c>
      <c r="K7025" s="369">
        <f t="shared" si="335"/>
        <v>6</v>
      </c>
      <c r="L7025" s="369">
        <f>+IF((C7025&gt;='Resultats - informe'!$E$16)*(C7025&lt;='Resultats - informe'!$G$16),1,0)</f>
        <v>1</v>
      </c>
      <c r="M7025" s="369" cm="1">
        <f t="array" ref="M7025">+_xlfn.IFS((C7025&gt;='Resultats - informe'!$D$26)*(C7025&lt;='Resultats - informe'!$E$26),0,(C7025&gt;='Resultats - informe'!$D$27)*(C7025&lt;='Resultats - informe'!$E$27),0,(C7025&gt;='Resultats - informe'!$D$28)*(C7025&lt;='Resultats - informe'!$E$28),0,(C7025&gt;='Resultats - informe'!$D$29)*(C7025&lt;='Resultats - informe'!$E$29),0,1,1)</f>
        <v>0</v>
      </c>
      <c r="N7025" s="366">
        <f>+VLOOKUP(D7025,'Resultats - informe'!$Y$18:$AG$42,'Introducció dades consum'!K7025+1,0)</f>
        <v>0</v>
      </c>
      <c r="O7025" s="370" cm="1">
        <f t="array" ref="O7025">+_xlfn.SWITCH(MONTH(C7025),1,1,2,1,3,1,4,2,5,2,6,3,7,3,8,3,9,3,10,2,11,2,12,1,2)</f>
        <v>1</v>
      </c>
      <c r="P7025" s="43"/>
    </row>
    <row r="7026" spans="1:16" ht="18" x14ac:dyDescent="0.35">
      <c r="A7026" s="9"/>
      <c r="C7026" s="393"/>
      <c r="E7026" s="394"/>
      <c r="F7026" s="394"/>
      <c r="G7026" s="394"/>
      <c r="I7026" s="368">
        <f t="shared" si="333"/>
        <v>0</v>
      </c>
      <c r="J7026" s="365">
        <f t="shared" si="334"/>
        <v>0</v>
      </c>
      <c r="K7026" s="369">
        <f t="shared" si="335"/>
        <v>6</v>
      </c>
      <c r="L7026" s="369">
        <f>+IF((C7026&gt;='Resultats - informe'!$E$16)*(C7026&lt;='Resultats - informe'!$G$16),1,0)</f>
        <v>1</v>
      </c>
      <c r="M7026" s="369" cm="1">
        <f t="array" ref="M7026">+_xlfn.IFS((C7026&gt;='Resultats - informe'!$D$26)*(C7026&lt;='Resultats - informe'!$E$26),0,(C7026&gt;='Resultats - informe'!$D$27)*(C7026&lt;='Resultats - informe'!$E$27),0,(C7026&gt;='Resultats - informe'!$D$28)*(C7026&lt;='Resultats - informe'!$E$28),0,(C7026&gt;='Resultats - informe'!$D$29)*(C7026&lt;='Resultats - informe'!$E$29),0,1,1)</f>
        <v>0</v>
      </c>
      <c r="N7026" s="366">
        <f>+VLOOKUP(D7026,'Resultats - informe'!$Y$18:$AG$42,'Introducció dades consum'!K7026+1,0)</f>
        <v>0</v>
      </c>
      <c r="O7026" s="370" cm="1">
        <f t="array" ref="O7026">+_xlfn.SWITCH(MONTH(C7026),1,1,2,1,3,1,4,2,5,2,6,3,7,3,8,3,9,3,10,2,11,2,12,1,2)</f>
        <v>1</v>
      </c>
      <c r="P7026" s="43"/>
    </row>
    <row r="7027" spans="1:16" ht="18" x14ac:dyDescent="0.35">
      <c r="A7027" s="9"/>
      <c r="C7027" s="393"/>
      <c r="E7027" s="394"/>
      <c r="F7027" s="394"/>
      <c r="G7027" s="394"/>
      <c r="I7027" s="368">
        <f t="shared" si="333"/>
        <v>0</v>
      </c>
      <c r="J7027" s="365">
        <f t="shared" si="334"/>
        <v>0</v>
      </c>
      <c r="K7027" s="369">
        <f t="shared" si="335"/>
        <v>6</v>
      </c>
      <c r="L7027" s="369">
        <f>+IF((C7027&gt;='Resultats - informe'!$E$16)*(C7027&lt;='Resultats - informe'!$G$16),1,0)</f>
        <v>1</v>
      </c>
      <c r="M7027" s="369" cm="1">
        <f t="array" ref="M7027">+_xlfn.IFS((C7027&gt;='Resultats - informe'!$D$26)*(C7027&lt;='Resultats - informe'!$E$26),0,(C7027&gt;='Resultats - informe'!$D$27)*(C7027&lt;='Resultats - informe'!$E$27),0,(C7027&gt;='Resultats - informe'!$D$28)*(C7027&lt;='Resultats - informe'!$E$28),0,(C7027&gt;='Resultats - informe'!$D$29)*(C7027&lt;='Resultats - informe'!$E$29),0,1,1)</f>
        <v>0</v>
      </c>
      <c r="N7027" s="366">
        <f>+VLOOKUP(D7027,'Resultats - informe'!$Y$18:$AG$42,'Introducció dades consum'!K7027+1,0)</f>
        <v>0</v>
      </c>
      <c r="O7027" s="370" cm="1">
        <f t="array" ref="O7027">+_xlfn.SWITCH(MONTH(C7027),1,1,2,1,3,1,4,2,5,2,6,3,7,3,8,3,9,3,10,2,11,2,12,1,2)</f>
        <v>1</v>
      </c>
      <c r="P7027" s="43"/>
    </row>
    <row r="7028" spans="1:16" ht="18" x14ac:dyDescent="0.35">
      <c r="A7028" s="9"/>
      <c r="C7028" s="393"/>
      <c r="E7028" s="394"/>
      <c r="F7028" s="394"/>
      <c r="G7028" s="394"/>
      <c r="I7028" s="368">
        <f t="shared" si="333"/>
        <v>0</v>
      </c>
      <c r="J7028" s="365">
        <f t="shared" si="334"/>
        <v>0</v>
      </c>
      <c r="K7028" s="369">
        <f t="shared" si="335"/>
        <v>6</v>
      </c>
      <c r="L7028" s="369">
        <f>+IF((C7028&gt;='Resultats - informe'!$E$16)*(C7028&lt;='Resultats - informe'!$G$16),1,0)</f>
        <v>1</v>
      </c>
      <c r="M7028" s="369" cm="1">
        <f t="array" ref="M7028">+_xlfn.IFS((C7028&gt;='Resultats - informe'!$D$26)*(C7028&lt;='Resultats - informe'!$E$26),0,(C7028&gt;='Resultats - informe'!$D$27)*(C7028&lt;='Resultats - informe'!$E$27),0,(C7028&gt;='Resultats - informe'!$D$28)*(C7028&lt;='Resultats - informe'!$E$28),0,(C7028&gt;='Resultats - informe'!$D$29)*(C7028&lt;='Resultats - informe'!$E$29),0,1,1)</f>
        <v>0</v>
      </c>
      <c r="N7028" s="366">
        <f>+VLOOKUP(D7028,'Resultats - informe'!$Y$18:$AG$42,'Introducció dades consum'!K7028+1,0)</f>
        <v>0</v>
      </c>
      <c r="O7028" s="370" cm="1">
        <f t="array" ref="O7028">+_xlfn.SWITCH(MONTH(C7028),1,1,2,1,3,1,4,2,5,2,6,3,7,3,8,3,9,3,10,2,11,2,12,1,2)</f>
        <v>1</v>
      </c>
      <c r="P7028" s="43"/>
    </row>
    <row r="7029" spans="1:16" ht="18" x14ac:dyDescent="0.35">
      <c r="A7029" s="9"/>
      <c r="C7029" s="393"/>
      <c r="E7029" s="394"/>
      <c r="F7029" s="394"/>
      <c r="G7029" s="394"/>
      <c r="I7029" s="368">
        <f t="shared" si="333"/>
        <v>0</v>
      </c>
      <c r="J7029" s="365">
        <f t="shared" si="334"/>
        <v>0</v>
      </c>
      <c r="K7029" s="369">
        <f t="shared" si="335"/>
        <v>6</v>
      </c>
      <c r="L7029" s="369">
        <f>+IF((C7029&gt;='Resultats - informe'!$E$16)*(C7029&lt;='Resultats - informe'!$G$16),1,0)</f>
        <v>1</v>
      </c>
      <c r="M7029" s="369" cm="1">
        <f t="array" ref="M7029">+_xlfn.IFS((C7029&gt;='Resultats - informe'!$D$26)*(C7029&lt;='Resultats - informe'!$E$26),0,(C7029&gt;='Resultats - informe'!$D$27)*(C7029&lt;='Resultats - informe'!$E$27),0,(C7029&gt;='Resultats - informe'!$D$28)*(C7029&lt;='Resultats - informe'!$E$28),0,(C7029&gt;='Resultats - informe'!$D$29)*(C7029&lt;='Resultats - informe'!$E$29),0,1,1)</f>
        <v>0</v>
      </c>
      <c r="N7029" s="366">
        <f>+VLOOKUP(D7029,'Resultats - informe'!$Y$18:$AG$42,'Introducció dades consum'!K7029+1,0)</f>
        <v>0</v>
      </c>
      <c r="O7029" s="370" cm="1">
        <f t="array" ref="O7029">+_xlfn.SWITCH(MONTH(C7029),1,1,2,1,3,1,4,2,5,2,6,3,7,3,8,3,9,3,10,2,11,2,12,1,2)</f>
        <v>1</v>
      </c>
      <c r="P7029" s="43"/>
    </row>
    <row r="7030" spans="1:16" ht="18" x14ac:dyDescent="0.35">
      <c r="A7030" s="9"/>
      <c r="C7030" s="393"/>
      <c r="E7030" s="394"/>
      <c r="F7030" s="394"/>
      <c r="G7030" s="394"/>
      <c r="I7030" s="368">
        <f t="shared" si="333"/>
        <v>0</v>
      </c>
      <c r="J7030" s="365">
        <f t="shared" si="334"/>
        <v>0</v>
      </c>
      <c r="K7030" s="369">
        <f t="shared" si="335"/>
        <v>6</v>
      </c>
      <c r="L7030" s="369">
        <f>+IF((C7030&gt;='Resultats - informe'!$E$16)*(C7030&lt;='Resultats - informe'!$G$16),1,0)</f>
        <v>1</v>
      </c>
      <c r="M7030" s="369" cm="1">
        <f t="array" ref="M7030">+_xlfn.IFS((C7030&gt;='Resultats - informe'!$D$26)*(C7030&lt;='Resultats - informe'!$E$26),0,(C7030&gt;='Resultats - informe'!$D$27)*(C7030&lt;='Resultats - informe'!$E$27),0,(C7030&gt;='Resultats - informe'!$D$28)*(C7030&lt;='Resultats - informe'!$E$28),0,(C7030&gt;='Resultats - informe'!$D$29)*(C7030&lt;='Resultats - informe'!$E$29),0,1,1)</f>
        <v>0</v>
      </c>
      <c r="N7030" s="366">
        <f>+VLOOKUP(D7030,'Resultats - informe'!$Y$18:$AG$42,'Introducció dades consum'!K7030+1,0)</f>
        <v>0</v>
      </c>
      <c r="O7030" s="370" cm="1">
        <f t="array" ref="O7030">+_xlfn.SWITCH(MONTH(C7030),1,1,2,1,3,1,4,2,5,2,6,3,7,3,8,3,9,3,10,2,11,2,12,1,2)</f>
        <v>1</v>
      </c>
      <c r="P7030" s="43"/>
    </row>
    <row r="7031" spans="1:16" ht="18" x14ac:dyDescent="0.35">
      <c r="A7031" s="9"/>
      <c r="C7031" s="393"/>
      <c r="E7031" s="394"/>
      <c r="F7031" s="394"/>
      <c r="G7031" s="394"/>
      <c r="I7031" s="368">
        <f t="shared" si="333"/>
        <v>0</v>
      </c>
      <c r="J7031" s="365">
        <f t="shared" si="334"/>
        <v>0</v>
      </c>
      <c r="K7031" s="369">
        <f t="shared" si="335"/>
        <v>6</v>
      </c>
      <c r="L7031" s="369">
        <f>+IF((C7031&gt;='Resultats - informe'!$E$16)*(C7031&lt;='Resultats - informe'!$G$16),1,0)</f>
        <v>1</v>
      </c>
      <c r="M7031" s="369" cm="1">
        <f t="array" ref="M7031">+_xlfn.IFS((C7031&gt;='Resultats - informe'!$D$26)*(C7031&lt;='Resultats - informe'!$E$26),0,(C7031&gt;='Resultats - informe'!$D$27)*(C7031&lt;='Resultats - informe'!$E$27),0,(C7031&gt;='Resultats - informe'!$D$28)*(C7031&lt;='Resultats - informe'!$E$28),0,(C7031&gt;='Resultats - informe'!$D$29)*(C7031&lt;='Resultats - informe'!$E$29),0,1,1)</f>
        <v>0</v>
      </c>
      <c r="N7031" s="366">
        <f>+VLOOKUP(D7031,'Resultats - informe'!$Y$18:$AG$42,'Introducció dades consum'!K7031+1,0)</f>
        <v>0</v>
      </c>
      <c r="O7031" s="370" cm="1">
        <f t="array" ref="O7031">+_xlfn.SWITCH(MONTH(C7031),1,1,2,1,3,1,4,2,5,2,6,3,7,3,8,3,9,3,10,2,11,2,12,1,2)</f>
        <v>1</v>
      </c>
      <c r="P7031" s="43"/>
    </row>
    <row r="7032" spans="1:16" ht="18" x14ac:dyDescent="0.35">
      <c r="A7032" s="9"/>
      <c r="C7032" s="393"/>
      <c r="E7032" s="394"/>
      <c r="F7032" s="394"/>
      <c r="G7032" s="394"/>
      <c r="I7032" s="368">
        <f t="shared" si="333"/>
        <v>0</v>
      </c>
      <c r="J7032" s="365">
        <f t="shared" si="334"/>
        <v>0</v>
      </c>
      <c r="K7032" s="369">
        <f t="shared" si="335"/>
        <v>6</v>
      </c>
      <c r="L7032" s="369">
        <f>+IF((C7032&gt;='Resultats - informe'!$E$16)*(C7032&lt;='Resultats - informe'!$G$16),1,0)</f>
        <v>1</v>
      </c>
      <c r="M7032" s="369" cm="1">
        <f t="array" ref="M7032">+_xlfn.IFS((C7032&gt;='Resultats - informe'!$D$26)*(C7032&lt;='Resultats - informe'!$E$26),0,(C7032&gt;='Resultats - informe'!$D$27)*(C7032&lt;='Resultats - informe'!$E$27),0,(C7032&gt;='Resultats - informe'!$D$28)*(C7032&lt;='Resultats - informe'!$E$28),0,(C7032&gt;='Resultats - informe'!$D$29)*(C7032&lt;='Resultats - informe'!$E$29),0,1,1)</f>
        <v>0</v>
      </c>
      <c r="N7032" s="366">
        <f>+VLOOKUP(D7032,'Resultats - informe'!$Y$18:$AG$42,'Introducció dades consum'!K7032+1,0)</f>
        <v>0</v>
      </c>
      <c r="O7032" s="370" cm="1">
        <f t="array" ref="O7032">+_xlfn.SWITCH(MONTH(C7032),1,1,2,1,3,1,4,2,5,2,6,3,7,3,8,3,9,3,10,2,11,2,12,1,2)</f>
        <v>1</v>
      </c>
      <c r="P7032" s="43"/>
    </row>
    <row r="7033" spans="1:16" ht="18" x14ac:dyDescent="0.35">
      <c r="A7033" s="9"/>
      <c r="C7033" s="393"/>
      <c r="E7033" s="394"/>
      <c r="F7033" s="394"/>
      <c r="G7033" s="394"/>
      <c r="I7033" s="368">
        <f t="shared" si="333"/>
        <v>0</v>
      </c>
      <c r="J7033" s="365">
        <f t="shared" si="334"/>
        <v>0</v>
      </c>
      <c r="K7033" s="369">
        <f t="shared" si="335"/>
        <v>6</v>
      </c>
      <c r="L7033" s="369">
        <f>+IF((C7033&gt;='Resultats - informe'!$E$16)*(C7033&lt;='Resultats - informe'!$G$16),1,0)</f>
        <v>1</v>
      </c>
      <c r="M7033" s="369" cm="1">
        <f t="array" ref="M7033">+_xlfn.IFS((C7033&gt;='Resultats - informe'!$D$26)*(C7033&lt;='Resultats - informe'!$E$26),0,(C7033&gt;='Resultats - informe'!$D$27)*(C7033&lt;='Resultats - informe'!$E$27),0,(C7033&gt;='Resultats - informe'!$D$28)*(C7033&lt;='Resultats - informe'!$E$28),0,(C7033&gt;='Resultats - informe'!$D$29)*(C7033&lt;='Resultats - informe'!$E$29),0,1,1)</f>
        <v>0</v>
      </c>
      <c r="N7033" s="366">
        <f>+VLOOKUP(D7033,'Resultats - informe'!$Y$18:$AG$42,'Introducció dades consum'!K7033+1,0)</f>
        <v>0</v>
      </c>
      <c r="O7033" s="370" cm="1">
        <f t="array" ref="O7033">+_xlfn.SWITCH(MONTH(C7033),1,1,2,1,3,1,4,2,5,2,6,3,7,3,8,3,9,3,10,2,11,2,12,1,2)</f>
        <v>1</v>
      </c>
      <c r="P7033" s="43"/>
    </row>
    <row r="7034" spans="1:16" ht="18" x14ac:dyDescent="0.35">
      <c r="A7034" s="9"/>
      <c r="C7034" s="393"/>
      <c r="E7034" s="394"/>
      <c r="F7034" s="394"/>
      <c r="G7034" s="394"/>
      <c r="I7034" s="368">
        <f t="shared" si="333"/>
        <v>0</v>
      </c>
      <c r="J7034" s="365">
        <f t="shared" si="334"/>
        <v>0</v>
      </c>
      <c r="K7034" s="369">
        <f t="shared" si="335"/>
        <v>6</v>
      </c>
      <c r="L7034" s="369">
        <f>+IF((C7034&gt;='Resultats - informe'!$E$16)*(C7034&lt;='Resultats - informe'!$G$16),1,0)</f>
        <v>1</v>
      </c>
      <c r="M7034" s="369" cm="1">
        <f t="array" ref="M7034">+_xlfn.IFS((C7034&gt;='Resultats - informe'!$D$26)*(C7034&lt;='Resultats - informe'!$E$26),0,(C7034&gt;='Resultats - informe'!$D$27)*(C7034&lt;='Resultats - informe'!$E$27),0,(C7034&gt;='Resultats - informe'!$D$28)*(C7034&lt;='Resultats - informe'!$E$28),0,(C7034&gt;='Resultats - informe'!$D$29)*(C7034&lt;='Resultats - informe'!$E$29),0,1,1)</f>
        <v>0</v>
      </c>
      <c r="N7034" s="366">
        <f>+VLOOKUP(D7034,'Resultats - informe'!$Y$18:$AG$42,'Introducció dades consum'!K7034+1,0)</f>
        <v>0</v>
      </c>
      <c r="O7034" s="370" cm="1">
        <f t="array" ref="O7034">+_xlfn.SWITCH(MONTH(C7034),1,1,2,1,3,1,4,2,5,2,6,3,7,3,8,3,9,3,10,2,11,2,12,1,2)</f>
        <v>1</v>
      </c>
      <c r="P7034" s="43"/>
    </row>
    <row r="7035" spans="1:16" ht="18" x14ac:dyDescent="0.35">
      <c r="A7035" s="9"/>
      <c r="C7035" s="393"/>
      <c r="E7035" s="394"/>
      <c r="F7035" s="394"/>
      <c r="G7035" s="394"/>
      <c r="I7035" s="368">
        <f t="shared" si="333"/>
        <v>0</v>
      </c>
      <c r="J7035" s="365">
        <f t="shared" si="334"/>
        <v>0</v>
      </c>
      <c r="K7035" s="369">
        <f t="shared" si="335"/>
        <v>6</v>
      </c>
      <c r="L7035" s="369">
        <f>+IF((C7035&gt;='Resultats - informe'!$E$16)*(C7035&lt;='Resultats - informe'!$G$16),1,0)</f>
        <v>1</v>
      </c>
      <c r="M7035" s="369" cm="1">
        <f t="array" ref="M7035">+_xlfn.IFS((C7035&gt;='Resultats - informe'!$D$26)*(C7035&lt;='Resultats - informe'!$E$26),0,(C7035&gt;='Resultats - informe'!$D$27)*(C7035&lt;='Resultats - informe'!$E$27),0,(C7035&gt;='Resultats - informe'!$D$28)*(C7035&lt;='Resultats - informe'!$E$28),0,(C7035&gt;='Resultats - informe'!$D$29)*(C7035&lt;='Resultats - informe'!$E$29),0,1,1)</f>
        <v>0</v>
      </c>
      <c r="N7035" s="366">
        <f>+VLOOKUP(D7035,'Resultats - informe'!$Y$18:$AG$42,'Introducció dades consum'!K7035+1,0)</f>
        <v>0</v>
      </c>
      <c r="O7035" s="370" cm="1">
        <f t="array" ref="O7035">+_xlfn.SWITCH(MONTH(C7035),1,1,2,1,3,1,4,2,5,2,6,3,7,3,8,3,9,3,10,2,11,2,12,1,2)</f>
        <v>1</v>
      </c>
      <c r="P7035" s="43"/>
    </row>
    <row r="7036" spans="1:16" ht="18" x14ac:dyDescent="0.35">
      <c r="A7036" s="9"/>
      <c r="C7036" s="393"/>
      <c r="E7036" s="394"/>
      <c r="F7036" s="394"/>
      <c r="G7036" s="394"/>
      <c r="I7036" s="368">
        <f t="shared" si="333"/>
        <v>0</v>
      </c>
      <c r="J7036" s="365">
        <f t="shared" si="334"/>
        <v>0</v>
      </c>
      <c r="K7036" s="369">
        <f t="shared" si="335"/>
        <v>6</v>
      </c>
      <c r="L7036" s="369">
        <f>+IF((C7036&gt;='Resultats - informe'!$E$16)*(C7036&lt;='Resultats - informe'!$G$16),1,0)</f>
        <v>1</v>
      </c>
      <c r="M7036" s="369" cm="1">
        <f t="array" ref="M7036">+_xlfn.IFS((C7036&gt;='Resultats - informe'!$D$26)*(C7036&lt;='Resultats - informe'!$E$26),0,(C7036&gt;='Resultats - informe'!$D$27)*(C7036&lt;='Resultats - informe'!$E$27),0,(C7036&gt;='Resultats - informe'!$D$28)*(C7036&lt;='Resultats - informe'!$E$28),0,(C7036&gt;='Resultats - informe'!$D$29)*(C7036&lt;='Resultats - informe'!$E$29),0,1,1)</f>
        <v>0</v>
      </c>
      <c r="N7036" s="366">
        <f>+VLOOKUP(D7036,'Resultats - informe'!$Y$18:$AG$42,'Introducció dades consum'!K7036+1,0)</f>
        <v>0</v>
      </c>
      <c r="O7036" s="370" cm="1">
        <f t="array" ref="O7036">+_xlfn.SWITCH(MONTH(C7036),1,1,2,1,3,1,4,2,5,2,6,3,7,3,8,3,9,3,10,2,11,2,12,1,2)</f>
        <v>1</v>
      </c>
      <c r="P7036" s="43"/>
    </row>
    <row r="7037" spans="1:16" ht="18" x14ac:dyDescent="0.35">
      <c r="A7037" s="9"/>
      <c r="C7037" s="393"/>
      <c r="E7037" s="394"/>
      <c r="F7037" s="394"/>
      <c r="G7037" s="394"/>
      <c r="I7037" s="368">
        <f t="shared" si="333"/>
        <v>0</v>
      </c>
      <c r="J7037" s="365">
        <f t="shared" si="334"/>
        <v>0</v>
      </c>
      <c r="K7037" s="369">
        <f t="shared" si="335"/>
        <v>6</v>
      </c>
      <c r="L7037" s="369">
        <f>+IF((C7037&gt;='Resultats - informe'!$E$16)*(C7037&lt;='Resultats - informe'!$G$16),1,0)</f>
        <v>1</v>
      </c>
      <c r="M7037" s="369" cm="1">
        <f t="array" ref="M7037">+_xlfn.IFS((C7037&gt;='Resultats - informe'!$D$26)*(C7037&lt;='Resultats - informe'!$E$26),0,(C7037&gt;='Resultats - informe'!$D$27)*(C7037&lt;='Resultats - informe'!$E$27),0,(C7037&gt;='Resultats - informe'!$D$28)*(C7037&lt;='Resultats - informe'!$E$28),0,(C7037&gt;='Resultats - informe'!$D$29)*(C7037&lt;='Resultats - informe'!$E$29),0,1,1)</f>
        <v>0</v>
      </c>
      <c r="N7037" s="366">
        <f>+VLOOKUP(D7037,'Resultats - informe'!$Y$18:$AG$42,'Introducció dades consum'!K7037+1,0)</f>
        <v>0</v>
      </c>
      <c r="O7037" s="370" cm="1">
        <f t="array" ref="O7037">+_xlfn.SWITCH(MONTH(C7037),1,1,2,1,3,1,4,2,5,2,6,3,7,3,8,3,9,3,10,2,11,2,12,1,2)</f>
        <v>1</v>
      </c>
      <c r="P7037" s="43"/>
    </row>
    <row r="7038" spans="1:16" ht="18" x14ac:dyDescent="0.35">
      <c r="A7038" s="9"/>
      <c r="C7038" s="393"/>
      <c r="E7038" s="394"/>
      <c r="F7038" s="394"/>
      <c r="G7038" s="394"/>
      <c r="I7038" s="368">
        <f t="shared" si="333"/>
        <v>0</v>
      </c>
      <c r="J7038" s="365">
        <f t="shared" si="334"/>
        <v>0</v>
      </c>
      <c r="K7038" s="369">
        <f t="shared" si="335"/>
        <v>6</v>
      </c>
      <c r="L7038" s="369">
        <f>+IF((C7038&gt;='Resultats - informe'!$E$16)*(C7038&lt;='Resultats - informe'!$G$16),1,0)</f>
        <v>1</v>
      </c>
      <c r="M7038" s="369" cm="1">
        <f t="array" ref="M7038">+_xlfn.IFS((C7038&gt;='Resultats - informe'!$D$26)*(C7038&lt;='Resultats - informe'!$E$26),0,(C7038&gt;='Resultats - informe'!$D$27)*(C7038&lt;='Resultats - informe'!$E$27),0,(C7038&gt;='Resultats - informe'!$D$28)*(C7038&lt;='Resultats - informe'!$E$28),0,(C7038&gt;='Resultats - informe'!$D$29)*(C7038&lt;='Resultats - informe'!$E$29),0,1,1)</f>
        <v>0</v>
      </c>
      <c r="N7038" s="366">
        <f>+VLOOKUP(D7038,'Resultats - informe'!$Y$18:$AG$42,'Introducció dades consum'!K7038+1,0)</f>
        <v>0</v>
      </c>
      <c r="O7038" s="370" cm="1">
        <f t="array" ref="O7038">+_xlfn.SWITCH(MONTH(C7038),1,1,2,1,3,1,4,2,5,2,6,3,7,3,8,3,9,3,10,2,11,2,12,1,2)</f>
        <v>1</v>
      </c>
      <c r="P7038" s="43"/>
    </row>
    <row r="7039" spans="1:16" ht="18" x14ac:dyDescent="0.35">
      <c r="A7039" s="9"/>
      <c r="C7039" s="393"/>
      <c r="E7039" s="394"/>
      <c r="F7039" s="394"/>
      <c r="G7039" s="394"/>
      <c r="I7039" s="368">
        <f t="shared" si="333"/>
        <v>0</v>
      </c>
      <c r="J7039" s="365">
        <f t="shared" si="334"/>
        <v>0</v>
      </c>
      <c r="K7039" s="369">
        <f t="shared" si="335"/>
        <v>6</v>
      </c>
      <c r="L7039" s="369">
        <f>+IF((C7039&gt;='Resultats - informe'!$E$16)*(C7039&lt;='Resultats - informe'!$G$16),1,0)</f>
        <v>1</v>
      </c>
      <c r="M7039" s="369" cm="1">
        <f t="array" ref="M7039">+_xlfn.IFS((C7039&gt;='Resultats - informe'!$D$26)*(C7039&lt;='Resultats - informe'!$E$26),0,(C7039&gt;='Resultats - informe'!$D$27)*(C7039&lt;='Resultats - informe'!$E$27),0,(C7039&gt;='Resultats - informe'!$D$28)*(C7039&lt;='Resultats - informe'!$E$28),0,(C7039&gt;='Resultats - informe'!$D$29)*(C7039&lt;='Resultats - informe'!$E$29),0,1,1)</f>
        <v>0</v>
      </c>
      <c r="N7039" s="366">
        <f>+VLOOKUP(D7039,'Resultats - informe'!$Y$18:$AG$42,'Introducció dades consum'!K7039+1,0)</f>
        <v>0</v>
      </c>
      <c r="O7039" s="370" cm="1">
        <f t="array" ref="O7039">+_xlfn.SWITCH(MONTH(C7039),1,1,2,1,3,1,4,2,5,2,6,3,7,3,8,3,9,3,10,2,11,2,12,1,2)</f>
        <v>1</v>
      </c>
      <c r="P7039" s="43"/>
    </row>
    <row r="7040" spans="1:16" ht="18" x14ac:dyDescent="0.35">
      <c r="A7040" s="9"/>
      <c r="C7040" s="393"/>
      <c r="E7040" s="394"/>
      <c r="F7040" s="394"/>
      <c r="G7040" s="394"/>
      <c r="I7040" s="368">
        <f t="shared" si="333"/>
        <v>0</v>
      </c>
      <c r="J7040" s="365">
        <f t="shared" si="334"/>
        <v>0</v>
      </c>
      <c r="K7040" s="369">
        <f t="shared" si="335"/>
        <v>6</v>
      </c>
      <c r="L7040" s="369">
        <f>+IF((C7040&gt;='Resultats - informe'!$E$16)*(C7040&lt;='Resultats - informe'!$G$16),1,0)</f>
        <v>1</v>
      </c>
      <c r="M7040" s="369" cm="1">
        <f t="array" ref="M7040">+_xlfn.IFS((C7040&gt;='Resultats - informe'!$D$26)*(C7040&lt;='Resultats - informe'!$E$26),0,(C7040&gt;='Resultats - informe'!$D$27)*(C7040&lt;='Resultats - informe'!$E$27),0,(C7040&gt;='Resultats - informe'!$D$28)*(C7040&lt;='Resultats - informe'!$E$28),0,(C7040&gt;='Resultats - informe'!$D$29)*(C7040&lt;='Resultats - informe'!$E$29),0,1,1)</f>
        <v>0</v>
      </c>
      <c r="N7040" s="366">
        <f>+VLOOKUP(D7040,'Resultats - informe'!$Y$18:$AG$42,'Introducció dades consum'!K7040+1,0)</f>
        <v>0</v>
      </c>
      <c r="O7040" s="370" cm="1">
        <f t="array" ref="O7040">+_xlfn.SWITCH(MONTH(C7040),1,1,2,1,3,1,4,2,5,2,6,3,7,3,8,3,9,3,10,2,11,2,12,1,2)</f>
        <v>1</v>
      </c>
      <c r="P7040" s="43"/>
    </row>
    <row r="7041" spans="1:16" ht="18" x14ac:dyDescent="0.35">
      <c r="A7041" s="9"/>
      <c r="C7041" s="393"/>
      <c r="E7041" s="394"/>
      <c r="F7041" s="394"/>
      <c r="G7041" s="394"/>
      <c r="I7041" s="368">
        <f t="shared" si="333"/>
        <v>0</v>
      </c>
      <c r="J7041" s="365">
        <f t="shared" si="334"/>
        <v>0</v>
      </c>
      <c r="K7041" s="369">
        <f t="shared" si="335"/>
        <v>6</v>
      </c>
      <c r="L7041" s="369">
        <f>+IF((C7041&gt;='Resultats - informe'!$E$16)*(C7041&lt;='Resultats - informe'!$G$16),1,0)</f>
        <v>1</v>
      </c>
      <c r="M7041" s="369" cm="1">
        <f t="array" ref="M7041">+_xlfn.IFS((C7041&gt;='Resultats - informe'!$D$26)*(C7041&lt;='Resultats - informe'!$E$26),0,(C7041&gt;='Resultats - informe'!$D$27)*(C7041&lt;='Resultats - informe'!$E$27),0,(C7041&gt;='Resultats - informe'!$D$28)*(C7041&lt;='Resultats - informe'!$E$28),0,(C7041&gt;='Resultats - informe'!$D$29)*(C7041&lt;='Resultats - informe'!$E$29),0,1,1)</f>
        <v>0</v>
      </c>
      <c r="N7041" s="366">
        <f>+VLOOKUP(D7041,'Resultats - informe'!$Y$18:$AG$42,'Introducció dades consum'!K7041+1,0)</f>
        <v>0</v>
      </c>
      <c r="O7041" s="370" cm="1">
        <f t="array" ref="O7041">+_xlfn.SWITCH(MONTH(C7041),1,1,2,1,3,1,4,2,5,2,6,3,7,3,8,3,9,3,10,2,11,2,12,1,2)</f>
        <v>1</v>
      </c>
      <c r="P7041" s="43"/>
    </row>
    <row r="7042" spans="1:16" ht="18" x14ac:dyDescent="0.35">
      <c r="A7042" s="9"/>
      <c r="C7042" s="393"/>
      <c r="E7042" s="394"/>
      <c r="F7042" s="394"/>
      <c r="G7042" s="394"/>
      <c r="I7042" s="368">
        <f t="shared" si="333"/>
        <v>0</v>
      </c>
      <c r="J7042" s="365">
        <f t="shared" si="334"/>
        <v>0</v>
      </c>
      <c r="K7042" s="369">
        <f t="shared" si="335"/>
        <v>6</v>
      </c>
      <c r="L7042" s="369">
        <f>+IF((C7042&gt;='Resultats - informe'!$E$16)*(C7042&lt;='Resultats - informe'!$G$16),1,0)</f>
        <v>1</v>
      </c>
      <c r="M7042" s="369" cm="1">
        <f t="array" ref="M7042">+_xlfn.IFS((C7042&gt;='Resultats - informe'!$D$26)*(C7042&lt;='Resultats - informe'!$E$26),0,(C7042&gt;='Resultats - informe'!$D$27)*(C7042&lt;='Resultats - informe'!$E$27),0,(C7042&gt;='Resultats - informe'!$D$28)*(C7042&lt;='Resultats - informe'!$E$28),0,(C7042&gt;='Resultats - informe'!$D$29)*(C7042&lt;='Resultats - informe'!$E$29),0,1,1)</f>
        <v>0</v>
      </c>
      <c r="N7042" s="366">
        <f>+VLOOKUP(D7042,'Resultats - informe'!$Y$18:$AG$42,'Introducció dades consum'!K7042+1,0)</f>
        <v>0</v>
      </c>
      <c r="O7042" s="370" cm="1">
        <f t="array" ref="O7042">+_xlfn.SWITCH(MONTH(C7042),1,1,2,1,3,1,4,2,5,2,6,3,7,3,8,3,9,3,10,2,11,2,12,1,2)</f>
        <v>1</v>
      </c>
      <c r="P7042" s="43"/>
    </row>
    <row r="7043" spans="1:16" ht="18" x14ac:dyDescent="0.35">
      <c r="A7043" s="9"/>
      <c r="C7043" s="393"/>
      <c r="E7043" s="394"/>
      <c r="F7043" s="394"/>
      <c r="G7043" s="394"/>
      <c r="I7043" s="368">
        <f t="shared" si="333"/>
        <v>0</v>
      </c>
      <c r="J7043" s="365">
        <f t="shared" si="334"/>
        <v>0</v>
      </c>
      <c r="K7043" s="369">
        <f t="shared" si="335"/>
        <v>6</v>
      </c>
      <c r="L7043" s="369">
        <f>+IF((C7043&gt;='Resultats - informe'!$E$16)*(C7043&lt;='Resultats - informe'!$G$16),1,0)</f>
        <v>1</v>
      </c>
      <c r="M7043" s="369" cm="1">
        <f t="array" ref="M7043">+_xlfn.IFS((C7043&gt;='Resultats - informe'!$D$26)*(C7043&lt;='Resultats - informe'!$E$26),0,(C7043&gt;='Resultats - informe'!$D$27)*(C7043&lt;='Resultats - informe'!$E$27),0,(C7043&gt;='Resultats - informe'!$D$28)*(C7043&lt;='Resultats - informe'!$E$28),0,(C7043&gt;='Resultats - informe'!$D$29)*(C7043&lt;='Resultats - informe'!$E$29),0,1,1)</f>
        <v>0</v>
      </c>
      <c r="N7043" s="366">
        <f>+VLOOKUP(D7043,'Resultats - informe'!$Y$18:$AG$42,'Introducció dades consum'!K7043+1,0)</f>
        <v>0</v>
      </c>
      <c r="O7043" s="370" cm="1">
        <f t="array" ref="O7043">+_xlfn.SWITCH(MONTH(C7043),1,1,2,1,3,1,4,2,5,2,6,3,7,3,8,3,9,3,10,2,11,2,12,1,2)</f>
        <v>1</v>
      </c>
      <c r="P7043" s="43"/>
    </row>
    <row r="7044" spans="1:16" ht="18" x14ac:dyDescent="0.35">
      <c r="A7044" s="9"/>
      <c r="C7044" s="393"/>
      <c r="E7044" s="394"/>
      <c r="F7044" s="394"/>
      <c r="G7044" s="394"/>
      <c r="I7044" s="368">
        <f t="shared" si="333"/>
        <v>0</v>
      </c>
      <c r="J7044" s="365">
        <f t="shared" si="334"/>
        <v>0</v>
      </c>
      <c r="K7044" s="369">
        <f t="shared" si="335"/>
        <v>6</v>
      </c>
      <c r="L7044" s="369">
        <f>+IF((C7044&gt;='Resultats - informe'!$E$16)*(C7044&lt;='Resultats - informe'!$G$16),1,0)</f>
        <v>1</v>
      </c>
      <c r="M7044" s="369" cm="1">
        <f t="array" ref="M7044">+_xlfn.IFS((C7044&gt;='Resultats - informe'!$D$26)*(C7044&lt;='Resultats - informe'!$E$26),0,(C7044&gt;='Resultats - informe'!$D$27)*(C7044&lt;='Resultats - informe'!$E$27),0,(C7044&gt;='Resultats - informe'!$D$28)*(C7044&lt;='Resultats - informe'!$E$28),0,(C7044&gt;='Resultats - informe'!$D$29)*(C7044&lt;='Resultats - informe'!$E$29),0,1,1)</f>
        <v>0</v>
      </c>
      <c r="N7044" s="366">
        <f>+VLOOKUP(D7044,'Resultats - informe'!$Y$18:$AG$42,'Introducció dades consum'!K7044+1,0)</f>
        <v>0</v>
      </c>
      <c r="O7044" s="370" cm="1">
        <f t="array" ref="O7044">+_xlfn.SWITCH(MONTH(C7044),1,1,2,1,3,1,4,2,5,2,6,3,7,3,8,3,9,3,10,2,11,2,12,1,2)</f>
        <v>1</v>
      </c>
      <c r="P7044" s="43"/>
    </row>
    <row r="7045" spans="1:16" ht="18" x14ac:dyDescent="0.35">
      <c r="A7045" s="9"/>
      <c r="C7045" s="393"/>
      <c r="E7045" s="394"/>
      <c r="F7045" s="394"/>
      <c r="G7045" s="394"/>
      <c r="I7045" s="368">
        <f t="shared" si="333"/>
        <v>0</v>
      </c>
      <c r="J7045" s="365">
        <f t="shared" si="334"/>
        <v>0</v>
      </c>
      <c r="K7045" s="369">
        <f t="shared" si="335"/>
        <v>6</v>
      </c>
      <c r="L7045" s="369">
        <f>+IF((C7045&gt;='Resultats - informe'!$E$16)*(C7045&lt;='Resultats - informe'!$G$16),1,0)</f>
        <v>1</v>
      </c>
      <c r="M7045" s="369" cm="1">
        <f t="array" ref="M7045">+_xlfn.IFS((C7045&gt;='Resultats - informe'!$D$26)*(C7045&lt;='Resultats - informe'!$E$26),0,(C7045&gt;='Resultats - informe'!$D$27)*(C7045&lt;='Resultats - informe'!$E$27),0,(C7045&gt;='Resultats - informe'!$D$28)*(C7045&lt;='Resultats - informe'!$E$28),0,(C7045&gt;='Resultats - informe'!$D$29)*(C7045&lt;='Resultats - informe'!$E$29),0,1,1)</f>
        <v>0</v>
      </c>
      <c r="N7045" s="366">
        <f>+VLOOKUP(D7045,'Resultats - informe'!$Y$18:$AG$42,'Introducció dades consum'!K7045+1,0)</f>
        <v>0</v>
      </c>
      <c r="O7045" s="370" cm="1">
        <f t="array" ref="O7045">+_xlfn.SWITCH(MONTH(C7045),1,1,2,1,3,1,4,2,5,2,6,3,7,3,8,3,9,3,10,2,11,2,12,1,2)</f>
        <v>1</v>
      </c>
      <c r="P7045" s="43"/>
    </row>
    <row r="7046" spans="1:16" ht="18" x14ac:dyDescent="0.35">
      <c r="A7046" s="9"/>
      <c r="C7046" s="393"/>
      <c r="E7046" s="394"/>
      <c r="F7046" s="394"/>
      <c r="G7046" s="394"/>
      <c r="I7046" s="368">
        <f t="shared" si="333"/>
        <v>0</v>
      </c>
      <c r="J7046" s="365">
        <f t="shared" si="334"/>
        <v>0</v>
      </c>
      <c r="K7046" s="369">
        <f t="shared" si="335"/>
        <v>6</v>
      </c>
      <c r="L7046" s="369">
        <f>+IF((C7046&gt;='Resultats - informe'!$E$16)*(C7046&lt;='Resultats - informe'!$G$16),1,0)</f>
        <v>1</v>
      </c>
      <c r="M7046" s="369" cm="1">
        <f t="array" ref="M7046">+_xlfn.IFS((C7046&gt;='Resultats - informe'!$D$26)*(C7046&lt;='Resultats - informe'!$E$26),0,(C7046&gt;='Resultats - informe'!$D$27)*(C7046&lt;='Resultats - informe'!$E$27),0,(C7046&gt;='Resultats - informe'!$D$28)*(C7046&lt;='Resultats - informe'!$E$28),0,(C7046&gt;='Resultats - informe'!$D$29)*(C7046&lt;='Resultats - informe'!$E$29),0,1,1)</f>
        <v>0</v>
      </c>
      <c r="N7046" s="366">
        <f>+VLOOKUP(D7046,'Resultats - informe'!$Y$18:$AG$42,'Introducció dades consum'!K7046+1,0)</f>
        <v>0</v>
      </c>
      <c r="O7046" s="370" cm="1">
        <f t="array" ref="O7046">+_xlfn.SWITCH(MONTH(C7046),1,1,2,1,3,1,4,2,5,2,6,3,7,3,8,3,9,3,10,2,11,2,12,1,2)</f>
        <v>1</v>
      </c>
      <c r="P7046" s="43"/>
    </row>
    <row r="7047" spans="1:16" ht="18" x14ac:dyDescent="0.35">
      <c r="A7047" s="9"/>
      <c r="C7047" s="393"/>
      <c r="E7047" s="394"/>
      <c r="F7047" s="394"/>
      <c r="G7047" s="394"/>
      <c r="I7047" s="368">
        <f t="shared" si="333"/>
        <v>0</v>
      </c>
      <c r="J7047" s="365">
        <f t="shared" si="334"/>
        <v>0</v>
      </c>
      <c r="K7047" s="369">
        <f t="shared" si="335"/>
        <v>6</v>
      </c>
      <c r="L7047" s="369">
        <f>+IF((C7047&gt;='Resultats - informe'!$E$16)*(C7047&lt;='Resultats - informe'!$G$16),1,0)</f>
        <v>1</v>
      </c>
      <c r="M7047" s="369" cm="1">
        <f t="array" ref="M7047">+_xlfn.IFS((C7047&gt;='Resultats - informe'!$D$26)*(C7047&lt;='Resultats - informe'!$E$26),0,(C7047&gt;='Resultats - informe'!$D$27)*(C7047&lt;='Resultats - informe'!$E$27),0,(C7047&gt;='Resultats - informe'!$D$28)*(C7047&lt;='Resultats - informe'!$E$28),0,(C7047&gt;='Resultats - informe'!$D$29)*(C7047&lt;='Resultats - informe'!$E$29),0,1,1)</f>
        <v>0</v>
      </c>
      <c r="N7047" s="366">
        <f>+VLOOKUP(D7047,'Resultats - informe'!$Y$18:$AG$42,'Introducció dades consum'!K7047+1,0)</f>
        <v>0</v>
      </c>
      <c r="O7047" s="370" cm="1">
        <f t="array" ref="O7047">+_xlfn.SWITCH(MONTH(C7047),1,1,2,1,3,1,4,2,5,2,6,3,7,3,8,3,9,3,10,2,11,2,12,1,2)</f>
        <v>1</v>
      </c>
      <c r="P7047" s="43"/>
    </row>
    <row r="7048" spans="1:16" ht="18" x14ac:dyDescent="0.35">
      <c r="A7048" s="9"/>
      <c r="C7048" s="393"/>
      <c r="E7048" s="394"/>
      <c r="F7048" s="394"/>
      <c r="G7048" s="394"/>
      <c r="I7048" s="368">
        <f t="shared" si="333"/>
        <v>0</v>
      </c>
      <c r="J7048" s="365">
        <f t="shared" si="334"/>
        <v>0</v>
      </c>
      <c r="K7048" s="369">
        <f t="shared" si="335"/>
        <v>6</v>
      </c>
      <c r="L7048" s="369">
        <f>+IF((C7048&gt;='Resultats - informe'!$E$16)*(C7048&lt;='Resultats - informe'!$G$16),1,0)</f>
        <v>1</v>
      </c>
      <c r="M7048" s="369" cm="1">
        <f t="array" ref="M7048">+_xlfn.IFS((C7048&gt;='Resultats - informe'!$D$26)*(C7048&lt;='Resultats - informe'!$E$26),0,(C7048&gt;='Resultats - informe'!$D$27)*(C7048&lt;='Resultats - informe'!$E$27),0,(C7048&gt;='Resultats - informe'!$D$28)*(C7048&lt;='Resultats - informe'!$E$28),0,(C7048&gt;='Resultats - informe'!$D$29)*(C7048&lt;='Resultats - informe'!$E$29),0,1,1)</f>
        <v>0</v>
      </c>
      <c r="N7048" s="366">
        <f>+VLOOKUP(D7048,'Resultats - informe'!$Y$18:$AG$42,'Introducció dades consum'!K7048+1,0)</f>
        <v>0</v>
      </c>
      <c r="O7048" s="370" cm="1">
        <f t="array" ref="O7048">+_xlfn.SWITCH(MONTH(C7048),1,1,2,1,3,1,4,2,5,2,6,3,7,3,8,3,9,3,10,2,11,2,12,1,2)</f>
        <v>1</v>
      </c>
      <c r="P7048" s="43"/>
    </row>
    <row r="7049" spans="1:16" ht="18" x14ac:dyDescent="0.35">
      <c r="A7049" s="9"/>
      <c r="C7049" s="393"/>
      <c r="E7049" s="394"/>
      <c r="F7049" s="394"/>
      <c r="G7049" s="394"/>
      <c r="I7049" s="368">
        <f t="shared" si="333"/>
        <v>0</v>
      </c>
      <c r="J7049" s="365">
        <f t="shared" si="334"/>
        <v>0</v>
      </c>
      <c r="K7049" s="369">
        <f t="shared" si="335"/>
        <v>6</v>
      </c>
      <c r="L7049" s="369">
        <f>+IF((C7049&gt;='Resultats - informe'!$E$16)*(C7049&lt;='Resultats - informe'!$G$16),1,0)</f>
        <v>1</v>
      </c>
      <c r="M7049" s="369" cm="1">
        <f t="array" ref="M7049">+_xlfn.IFS((C7049&gt;='Resultats - informe'!$D$26)*(C7049&lt;='Resultats - informe'!$E$26),0,(C7049&gt;='Resultats - informe'!$D$27)*(C7049&lt;='Resultats - informe'!$E$27),0,(C7049&gt;='Resultats - informe'!$D$28)*(C7049&lt;='Resultats - informe'!$E$28),0,(C7049&gt;='Resultats - informe'!$D$29)*(C7049&lt;='Resultats - informe'!$E$29),0,1,1)</f>
        <v>0</v>
      </c>
      <c r="N7049" s="366">
        <f>+VLOOKUP(D7049,'Resultats - informe'!$Y$18:$AG$42,'Introducció dades consum'!K7049+1,0)</f>
        <v>0</v>
      </c>
      <c r="O7049" s="370" cm="1">
        <f t="array" ref="O7049">+_xlfn.SWITCH(MONTH(C7049),1,1,2,1,3,1,4,2,5,2,6,3,7,3,8,3,9,3,10,2,11,2,12,1,2)</f>
        <v>1</v>
      </c>
      <c r="P7049" s="43"/>
    </row>
    <row r="7050" spans="1:16" ht="18" x14ac:dyDescent="0.35">
      <c r="A7050" s="9"/>
      <c r="C7050" s="393"/>
      <c r="E7050" s="394"/>
      <c r="F7050" s="394"/>
      <c r="G7050" s="394"/>
      <c r="I7050" s="368">
        <f t="shared" si="333"/>
        <v>0</v>
      </c>
      <c r="J7050" s="365">
        <f t="shared" si="334"/>
        <v>0</v>
      </c>
      <c r="K7050" s="369">
        <f t="shared" si="335"/>
        <v>6</v>
      </c>
      <c r="L7050" s="369">
        <f>+IF((C7050&gt;='Resultats - informe'!$E$16)*(C7050&lt;='Resultats - informe'!$G$16),1,0)</f>
        <v>1</v>
      </c>
      <c r="M7050" s="369" cm="1">
        <f t="array" ref="M7050">+_xlfn.IFS((C7050&gt;='Resultats - informe'!$D$26)*(C7050&lt;='Resultats - informe'!$E$26),0,(C7050&gt;='Resultats - informe'!$D$27)*(C7050&lt;='Resultats - informe'!$E$27),0,(C7050&gt;='Resultats - informe'!$D$28)*(C7050&lt;='Resultats - informe'!$E$28),0,(C7050&gt;='Resultats - informe'!$D$29)*(C7050&lt;='Resultats - informe'!$E$29),0,1,1)</f>
        <v>0</v>
      </c>
      <c r="N7050" s="366">
        <f>+VLOOKUP(D7050,'Resultats - informe'!$Y$18:$AG$42,'Introducció dades consum'!K7050+1,0)</f>
        <v>0</v>
      </c>
      <c r="O7050" s="370" cm="1">
        <f t="array" ref="O7050">+_xlfn.SWITCH(MONTH(C7050),1,1,2,1,3,1,4,2,5,2,6,3,7,3,8,3,9,3,10,2,11,2,12,1,2)</f>
        <v>1</v>
      </c>
      <c r="P7050" s="43"/>
    </row>
    <row r="7051" spans="1:16" ht="18" x14ac:dyDescent="0.35">
      <c r="A7051" s="9"/>
      <c r="C7051" s="393"/>
      <c r="E7051" s="394"/>
      <c r="F7051" s="394"/>
      <c r="G7051" s="394"/>
      <c r="I7051" s="368">
        <f t="shared" si="333"/>
        <v>0</v>
      </c>
      <c r="J7051" s="365">
        <f t="shared" si="334"/>
        <v>0</v>
      </c>
      <c r="K7051" s="369">
        <f t="shared" si="335"/>
        <v>6</v>
      </c>
      <c r="L7051" s="369">
        <f>+IF((C7051&gt;='Resultats - informe'!$E$16)*(C7051&lt;='Resultats - informe'!$G$16),1,0)</f>
        <v>1</v>
      </c>
      <c r="M7051" s="369" cm="1">
        <f t="array" ref="M7051">+_xlfn.IFS((C7051&gt;='Resultats - informe'!$D$26)*(C7051&lt;='Resultats - informe'!$E$26),0,(C7051&gt;='Resultats - informe'!$D$27)*(C7051&lt;='Resultats - informe'!$E$27),0,(C7051&gt;='Resultats - informe'!$D$28)*(C7051&lt;='Resultats - informe'!$E$28),0,(C7051&gt;='Resultats - informe'!$D$29)*(C7051&lt;='Resultats - informe'!$E$29),0,1,1)</f>
        <v>0</v>
      </c>
      <c r="N7051" s="366">
        <f>+VLOOKUP(D7051,'Resultats - informe'!$Y$18:$AG$42,'Introducció dades consum'!K7051+1,0)</f>
        <v>0</v>
      </c>
      <c r="O7051" s="370" cm="1">
        <f t="array" ref="O7051">+_xlfn.SWITCH(MONTH(C7051),1,1,2,1,3,1,4,2,5,2,6,3,7,3,8,3,9,3,10,2,11,2,12,1,2)</f>
        <v>1</v>
      </c>
      <c r="P7051" s="43"/>
    </row>
    <row r="7052" spans="1:16" ht="18" x14ac:dyDescent="0.35">
      <c r="A7052" s="9"/>
      <c r="C7052" s="393"/>
      <c r="E7052" s="394"/>
      <c r="F7052" s="394"/>
      <c r="G7052" s="394"/>
      <c r="I7052" s="368">
        <f t="shared" si="333"/>
        <v>0</v>
      </c>
      <c r="J7052" s="365">
        <f t="shared" si="334"/>
        <v>0</v>
      </c>
      <c r="K7052" s="369">
        <f t="shared" si="335"/>
        <v>6</v>
      </c>
      <c r="L7052" s="369">
        <f>+IF((C7052&gt;='Resultats - informe'!$E$16)*(C7052&lt;='Resultats - informe'!$G$16),1,0)</f>
        <v>1</v>
      </c>
      <c r="M7052" s="369" cm="1">
        <f t="array" ref="M7052">+_xlfn.IFS((C7052&gt;='Resultats - informe'!$D$26)*(C7052&lt;='Resultats - informe'!$E$26),0,(C7052&gt;='Resultats - informe'!$D$27)*(C7052&lt;='Resultats - informe'!$E$27),0,(C7052&gt;='Resultats - informe'!$D$28)*(C7052&lt;='Resultats - informe'!$E$28),0,(C7052&gt;='Resultats - informe'!$D$29)*(C7052&lt;='Resultats - informe'!$E$29),0,1,1)</f>
        <v>0</v>
      </c>
      <c r="N7052" s="366">
        <f>+VLOOKUP(D7052,'Resultats - informe'!$Y$18:$AG$42,'Introducció dades consum'!K7052+1,0)</f>
        <v>0</v>
      </c>
      <c r="O7052" s="370" cm="1">
        <f t="array" ref="O7052">+_xlfn.SWITCH(MONTH(C7052),1,1,2,1,3,1,4,2,5,2,6,3,7,3,8,3,9,3,10,2,11,2,12,1,2)</f>
        <v>1</v>
      </c>
      <c r="P7052" s="43"/>
    </row>
    <row r="7053" spans="1:16" ht="18" x14ac:dyDescent="0.35">
      <c r="A7053" s="9"/>
      <c r="C7053" s="393"/>
      <c r="E7053" s="394"/>
      <c r="F7053" s="394"/>
      <c r="G7053" s="394"/>
      <c r="I7053" s="368">
        <f t="shared" si="333"/>
        <v>0</v>
      </c>
      <c r="J7053" s="365">
        <f t="shared" si="334"/>
        <v>0</v>
      </c>
      <c r="K7053" s="369">
        <f t="shared" si="335"/>
        <v>6</v>
      </c>
      <c r="L7053" s="369">
        <f>+IF((C7053&gt;='Resultats - informe'!$E$16)*(C7053&lt;='Resultats - informe'!$G$16),1,0)</f>
        <v>1</v>
      </c>
      <c r="M7053" s="369" cm="1">
        <f t="array" ref="M7053">+_xlfn.IFS((C7053&gt;='Resultats - informe'!$D$26)*(C7053&lt;='Resultats - informe'!$E$26),0,(C7053&gt;='Resultats - informe'!$D$27)*(C7053&lt;='Resultats - informe'!$E$27),0,(C7053&gt;='Resultats - informe'!$D$28)*(C7053&lt;='Resultats - informe'!$E$28),0,(C7053&gt;='Resultats - informe'!$D$29)*(C7053&lt;='Resultats - informe'!$E$29),0,1,1)</f>
        <v>0</v>
      </c>
      <c r="N7053" s="366">
        <f>+VLOOKUP(D7053,'Resultats - informe'!$Y$18:$AG$42,'Introducció dades consum'!K7053+1,0)</f>
        <v>0</v>
      </c>
      <c r="O7053" s="370" cm="1">
        <f t="array" ref="O7053">+_xlfn.SWITCH(MONTH(C7053),1,1,2,1,3,1,4,2,5,2,6,3,7,3,8,3,9,3,10,2,11,2,12,1,2)</f>
        <v>1</v>
      </c>
      <c r="P7053" s="43"/>
    </row>
    <row r="7054" spans="1:16" ht="18" x14ac:dyDescent="0.35">
      <c r="A7054" s="9"/>
      <c r="C7054" s="393"/>
      <c r="E7054" s="394"/>
      <c r="F7054" s="394"/>
      <c r="G7054" s="394"/>
      <c r="I7054" s="368">
        <f t="shared" si="333"/>
        <v>0</v>
      </c>
      <c r="J7054" s="365">
        <f t="shared" si="334"/>
        <v>0</v>
      </c>
      <c r="K7054" s="369">
        <f t="shared" si="335"/>
        <v>6</v>
      </c>
      <c r="L7054" s="369">
        <f>+IF((C7054&gt;='Resultats - informe'!$E$16)*(C7054&lt;='Resultats - informe'!$G$16),1,0)</f>
        <v>1</v>
      </c>
      <c r="M7054" s="369" cm="1">
        <f t="array" ref="M7054">+_xlfn.IFS((C7054&gt;='Resultats - informe'!$D$26)*(C7054&lt;='Resultats - informe'!$E$26),0,(C7054&gt;='Resultats - informe'!$D$27)*(C7054&lt;='Resultats - informe'!$E$27),0,(C7054&gt;='Resultats - informe'!$D$28)*(C7054&lt;='Resultats - informe'!$E$28),0,(C7054&gt;='Resultats - informe'!$D$29)*(C7054&lt;='Resultats - informe'!$E$29),0,1,1)</f>
        <v>0</v>
      </c>
      <c r="N7054" s="366">
        <f>+VLOOKUP(D7054,'Resultats - informe'!$Y$18:$AG$42,'Introducció dades consum'!K7054+1,0)</f>
        <v>0</v>
      </c>
      <c r="O7054" s="370" cm="1">
        <f t="array" ref="O7054">+_xlfn.SWITCH(MONTH(C7054),1,1,2,1,3,1,4,2,5,2,6,3,7,3,8,3,9,3,10,2,11,2,12,1,2)</f>
        <v>1</v>
      </c>
      <c r="P7054" s="43"/>
    </row>
    <row r="7055" spans="1:16" ht="18" x14ac:dyDescent="0.35">
      <c r="A7055" s="9"/>
      <c r="C7055" s="393"/>
      <c r="E7055" s="394"/>
      <c r="F7055" s="394"/>
      <c r="G7055" s="394"/>
      <c r="I7055" s="368">
        <f t="shared" si="333"/>
        <v>0</v>
      </c>
      <c r="J7055" s="365">
        <f t="shared" si="334"/>
        <v>0</v>
      </c>
      <c r="K7055" s="369">
        <f t="shared" si="335"/>
        <v>6</v>
      </c>
      <c r="L7055" s="369">
        <f>+IF((C7055&gt;='Resultats - informe'!$E$16)*(C7055&lt;='Resultats - informe'!$G$16),1,0)</f>
        <v>1</v>
      </c>
      <c r="M7055" s="369" cm="1">
        <f t="array" ref="M7055">+_xlfn.IFS((C7055&gt;='Resultats - informe'!$D$26)*(C7055&lt;='Resultats - informe'!$E$26),0,(C7055&gt;='Resultats - informe'!$D$27)*(C7055&lt;='Resultats - informe'!$E$27),0,(C7055&gt;='Resultats - informe'!$D$28)*(C7055&lt;='Resultats - informe'!$E$28),0,(C7055&gt;='Resultats - informe'!$D$29)*(C7055&lt;='Resultats - informe'!$E$29),0,1,1)</f>
        <v>0</v>
      </c>
      <c r="N7055" s="366">
        <f>+VLOOKUP(D7055,'Resultats - informe'!$Y$18:$AG$42,'Introducció dades consum'!K7055+1,0)</f>
        <v>0</v>
      </c>
      <c r="O7055" s="370" cm="1">
        <f t="array" ref="O7055">+_xlfn.SWITCH(MONTH(C7055),1,1,2,1,3,1,4,2,5,2,6,3,7,3,8,3,9,3,10,2,11,2,12,1,2)</f>
        <v>1</v>
      </c>
      <c r="P7055" s="43"/>
    </row>
    <row r="7056" spans="1:16" ht="18" x14ac:dyDescent="0.35">
      <c r="A7056" s="9"/>
      <c r="C7056" s="393"/>
      <c r="E7056" s="394"/>
      <c r="F7056" s="394"/>
      <c r="G7056" s="394"/>
      <c r="I7056" s="368">
        <f t="shared" si="333"/>
        <v>0</v>
      </c>
      <c r="J7056" s="365">
        <f t="shared" si="334"/>
        <v>0</v>
      </c>
      <c r="K7056" s="369">
        <f t="shared" si="335"/>
        <v>6</v>
      </c>
      <c r="L7056" s="369">
        <f>+IF((C7056&gt;='Resultats - informe'!$E$16)*(C7056&lt;='Resultats - informe'!$G$16),1,0)</f>
        <v>1</v>
      </c>
      <c r="M7056" s="369" cm="1">
        <f t="array" ref="M7056">+_xlfn.IFS((C7056&gt;='Resultats - informe'!$D$26)*(C7056&lt;='Resultats - informe'!$E$26),0,(C7056&gt;='Resultats - informe'!$D$27)*(C7056&lt;='Resultats - informe'!$E$27),0,(C7056&gt;='Resultats - informe'!$D$28)*(C7056&lt;='Resultats - informe'!$E$28),0,(C7056&gt;='Resultats - informe'!$D$29)*(C7056&lt;='Resultats - informe'!$E$29),0,1,1)</f>
        <v>0</v>
      </c>
      <c r="N7056" s="366">
        <f>+VLOOKUP(D7056,'Resultats - informe'!$Y$18:$AG$42,'Introducció dades consum'!K7056+1,0)</f>
        <v>0</v>
      </c>
      <c r="O7056" s="370" cm="1">
        <f t="array" ref="O7056">+_xlfn.SWITCH(MONTH(C7056),1,1,2,1,3,1,4,2,5,2,6,3,7,3,8,3,9,3,10,2,11,2,12,1,2)</f>
        <v>1</v>
      </c>
      <c r="P7056" s="43"/>
    </row>
    <row r="7057" spans="1:16" ht="18" x14ac:dyDescent="0.35">
      <c r="A7057" s="9"/>
      <c r="C7057" s="393"/>
      <c r="E7057" s="394"/>
      <c r="F7057" s="394"/>
      <c r="G7057" s="394"/>
      <c r="I7057" s="368">
        <f t="shared" si="333"/>
        <v>0</v>
      </c>
      <c r="J7057" s="365">
        <f t="shared" si="334"/>
        <v>0</v>
      </c>
      <c r="K7057" s="369">
        <f t="shared" si="335"/>
        <v>6</v>
      </c>
      <c r="L7057" s="369">
        <f>+IF((C7057&gt;='Resultats - informe'!$E$16)*(C7057&lt;='Resultats - informe'!$G$16),1,0)</f>
        <v>1</v>
      </c>
      <c r="M7057" s="369" cm="1">
        <f t="array" ref="M7057">+_xlfn.IFS((C7057&gt;='Resultats - informe'!$D$26)*(C7057&lt;='Resultats - informe'!$E$26),0,(C7057&gt;='Resultats - informe'!$D$27)*(C7057&lt;='Resultats - informe'!$E$27),0,(C7057&gt;='Resultats - informe'!$D$28)*(C7057&lt;='Resultats - informe'!$E$28),0,(C7057&gt;='Resultats - informe'!$D$29)*(C7057&lt;='Resultats - informe'!$E$29),0,1,1)</f>
        <v>0</v>
      </c>
      <c r="N7057" s="366">
        <f>+VLOOKUP(D7057,'Resultats - informe'!$Y$18:$AG$42,'Introducció dades consum'!K7057+1,0)</f>
        <v>0</v>
      </c>
      <c r="O7057" s="370" cm="1">
        <f t="array" ref="O7057">+_xlfn.SWITCH(MONTH(C7057),1,1,2,1,3,1,4,2,5,2,6,3,7,3,8,3,9,3,10,2,11,2,12,1,2)</f>
        <v>1</v>
      </c>
      <c r="P7057" s="43"/>
    </row>
    <row r="7058" spans="1:16" ht="18" x14ac:dyDescent="0.35">
      <c r="A7058" s="9"/>
      <c r="C7058" s="393"/>
      <c r="E7058" s="394"/>
      <c r="F7058" s="394"/>
      <c r="G7058" s="394"/>
      <c r="I7058" s="368">
        <f t="shared" ref="I7058:I7121" si="336">+E7058+G7058</f>
        <v>0</v>
      </c>
      <c r="J7058" s="365">
        <f t="shared" ref="J7058:J7121" si="337">+C7058</f>
        <v>0</v>
      </c>
      <c r="K7058" s="369">
        <f t="shared" ref="K7058:K7121" si="338">+WEEKDAY(C7058,2)</f>
        <v>6</v>
      </c>
      <c r="L7058" s="369">
        <f>+IF((C7058&gt;='Resultats - informe'!$E$16)*(C7058&lt;='Resultats - informe'!$G$16),1,0)</f>
        <v>1</v>
      </c>
      <c r="M7058" s="369" cm="1">
        <f t="array" ref="M7058">+_xlfn.IFS((C7058&gt;='Resultats - informe'!$D$26)*(C7058&lt;='Resultats - informe'!$E$26),0,(C7058&gt;='Resultats - informe'!$D$27)*(C7058&lt;='Resultats - informe'!$E$27),0,(C7058&gt;='Resultats - informe'!$D$28)*(C7058&lt;='Resultats - informe'!$E$28),0,(C7058&gt;='Resultats - informe'!$D$29)*(C7058&lt;='Resultats - informe'!$E$29),0,1,1)</f>
        <v>0</v>
      </c>
      <c r="N7058" s="366">
        <f>+VLOOKUP(D7058,'Resultats - informe'!$Y$18:$AG$42,'Introducció dades consum'!K7058+1,0)</f>
        <v>0</v>
      </c>
      <c r="O7058" s="370" cm="1">
        <f t="array" ref="O7058">+_xlfn.SWITCH(MONTH(C7058),1,1,2,1,3,1,4,2,5,2,6,3,7,3,8,3,9,3,10,2,11,2,12,1,2)</f>
        <v>1</v>
      </c>
      <c r="P7058" s="43"/>
    </row>
    <row r="7059" spans="1:16" ht="18" x14ac:dyDescent="0.35">
      <c r="A7059" s="9"/>
      <c r="C7059" s="393"/>
      <c r="E7059" s="394"/>
      <c r="F7059" s="394"/>
      <c r="G7059" s="394"/>
      <c r="I7059" s="368">
        <f t="shared" si="336"/>
        <v>0</v>
      </c>
      <c r="J7059" s="365">
        <f t="shared" si="337"/>
        <v>0</v>
      </c>
      <c r="K7059" s="369">
        <f t="shared" si="338"/>
        <v>6</v>
      </c>
      <c r="L7059" s="369">
        <f>+IF((C7059&gt;='Resultats - informe'!$E$16)*(C7059&lt;='Resultats - informe'!$G$16),1,0)</f>
        <v>1</v>
      </c>
      <c r="M7059" s="369" cm="1">
        <f t="array" ref="M7059">+_xlfn.IFS((C7059&gt;='Resultats - informe'!$D$26)*(C7059&lt;='Resultats - informe'!$E$26),0,(C7059&gt;='Resultats - informe'!$D$27)*(C7059&lt;='Resultats - informe'!$E$27),0,(C7059&gt;='Resultats - informe'!$D$28)*(C7059&lt;='Resultats - informe'!$E$28),0,(C7059&gt;='Resultats - informe'!$D$29)*(C7059&lt;='Resultats - informe'!$E$29),0,1,1)</f>
        <v>0</v>
      </c>
      <c r="N7059" s="366">
        <f>+VLOOKUP(D7059,'Resultats - informe'!$Y$18:$AG$42,'Introducció dades consum'!K7059+1,0)</f>
        <v>0</v>
      </c>
      <c r="O7059" s="370" cm="1">
        <f t="array" ref="O7059">+_xlfn.SWITCH(MONTH(C7059),1,1,2,1,3,1,4,2,5,2,6,3,7,3,8,3,9,3,10,2,11,2,12,1,2)</f>
        <v>1</v>
      </c>
      <c r="P7059" s="43"/>
    </row>
    <row r="7060" spans="1:16" ht="18" x14ac:dyDescent="0.35">
      <c r="A7060" s="9"/>
      <c r="C7060" s="393"/>
      <c r="E7060" s="394"/>
      <c r="F7060" s="394"/>
      <c r="G7060" s="394"/>
      <c r="I7060" s="368">
        <f t="shared" si="336"/>
        <v>0</v>
      </c>
      <c r="J7060" s="365">
        <f t="shared" si="337"/>
        <v>0</v>
      </c>
      <c r="K7060" s="369">
        <f t="shared" si="338"/>
        <v>6</v>
      </c>
      <c r="L7060" s="369">
        <f>+IF((C7060&gt;='Resultats - informe'!$E$16)*(C7060&lt;='Resultats - informe'!$G$16),1,0)</f>
        <v>1</v>
      </c>
      <c r="M7060" s="369" cm="1">
        <f t="array" ref="M7060">+_xlfn.IFS((C7060&gt;='Resultats - informe'!$D$26)*(C7060&lt;='Resultats - informe'!$E$26),0,(C7060&gt;='Resultats - informe'!$D$27)*(C7060&lt;='Resultats - informe'!$E$27),0,(C7060&gt;='Resultats - informe'!$D$28)*(C7060&lt;='Resultats - informe'!$E$28),0,(C7060&gt;='Resultats - informe'!$D$29)*(C7060&lt;='Resultats - informe'!$E$29),0,1,1)</f>
        <v>0</v>
      </c>
      <c r="N7060" s="366">
        <f>+VLOOKUP(D7060,'Resultats - informe'!$Y$18:$AG$42,'Introducció dades consum'!K7060+1,0)</f>
        <v>0</v>
      </c>
      <c r="O7060" s="370" cm="1">
        <f t="array" ref="O7060">+_xlfn.SWITCH(MONTH(C7060),1,1,2,1,3,1,4,2,5,2,6,3,7,3,8,3,9,3,10,2,11,2,12,1,2)</f>
        <v>1</v>
      </c>
      <c r="P7060" s="43"/>
    </row>
    <row r="7061" spans="1:16" ht="18" x14ac:dyDescent="0.35">
      <c r="A7061" s="9"/>
      <c r="C7061" s="393"/>
      <c r="E7061" s="394"/>
      <c r="F7061" s="394"/>
      <c r="G7061" s="394"/>
      <c r="I7061" s="368">
        <f t="shared" si="336"/>
        <v>0</v>
      </c>
      <c r="J7061" s="365">
        <f t="shared" si="337"/>
        <v>0</v>
      </c>
      <c r="K7061" s="369">
        <f t="shared" si="338"/>
        <v>6</v>
      </c>
      <c r="L7061" s="369">
        <f>+IF((C7061&gt;='Resultats - informe'!$E$16)*(C7061&lt;='Resultats - informe'!$G$16),1,0)</f>
        <v>1</v>
      </c>
      <c r="M7061" s="369" cm="1">
        <f t="array" ref="M7061">+_xlfn.IFS((C7061&gt;='Resultats - informe'!$D$26)*(C7061&lt;='Resultats - informe'!$E$26),0,(C7061&gt;='Resultats - informe'!$D$27)*(C7061&lt;='Resultats - informe'!$E$27),0,(C7061&gt;='Resultats - informe'!$D$28)*(C7061&lt;='Resultats - informe'!$E$28),0,(C7061&gt;='Resultats - informe'!$D$29)*(C7061&lt;='Resultats - informe'!$E$29),0,1,1)</f>
        <v>0</v>
      </c>
      <c r="N7061" s="366">
        <f>+VLOOKUP(D7061,'Resultats - informe'!$Y$18:$AG$42,'Introducció dades consum'!K7061+1,0)</f>
        <v>0</v>
      </c>
      <c r="O7061" s="370" cm="1">
        <f t="array" ref="O7061">+_xlfn.SWITCH(MONTH(C7061),1,1,2,1,3,1,4,2,5,2,6,3,7,3,8,3,9,3,10,2,11,2,12,1,2)</f>
        <v>1</v>
      </c>
      <c r="P7061" s="43"/>
    </row>
    <row r="7062" spans="1:16" ht="18" x14ac:dyDescent="0.35">
      <c r="A7062" s="9"/>
      <c r="C7062" s="393"/>
      <c r="E7062" s="394"/>
      <c r="F7062" s="394"/>
      <c r="G7062" s="394"/>
      <c r="I7062" s="368">
        <f t="shared" si="336"/>
        <v>0</v>
      </c>
      <c r="J7062" s="365">
        <f t="shared" si="337"/>
        <v>0</v>
      </c>
      <c r="K7062" s="369">
        <f t="shared" si="338"/>
        <v>6</v>
      </c>
      <c r="L7062" s="369">
        <f>+IF((C7062&gt;='Resultats - informe'!$E$16)*(C7062&lt;='Resultats - informe'!$G$16),1,0)</f>
        <v>1</v>
      </c>
      <c r="M7062" s="369" cm="1">
        <f t="array" ref="M7062">+_xlfn.IFS((C7062&gt;='Resultats - informe'!$D$26)*(C7062&lt;='Resultats - informe'!$E$26),0,(C7062&gt;='Resultats - informe'!$D$27)*(C7062&lt;='Resultats - informe'!$E$27),0,(C7062&gt;='Resultats - informe'!$D$28)*(C7062&lt;='Resultats - informe'!$E$28),0,(C7062&gt;='Resultats - informe'!$D$29)*(C7062&lt;='Resultats - informe'!$E$29),0,1,1)</f>
        <v>0</v>
      </c>
      <c r="N7062" s="366">
        <f>+VLOOKUP(D7062,'Resultats - informe'!$Y$18:$AG$42,'Introducció dades consum'!K7062+1,0)</f>
        <v>0</v>
      </c>
      <c r="O7062" s="370" cm="1">
        <f t="array" ref="O7062">+_xlfn.SWITCH(MONTH(C7062),1,1,2,1,3,1,4,2,5,2,6,3,7,3,8,3,9,3,10,2,11,2,12,1,2)</f>
        <v>1</v>
      </c>
      <c r="P7062" s="43"/>
    </row>
    <row r="7063" spans="1:16" ht="18" x14ac:dyDescent="0.35">
      <c r="A7063" s="9"/>
      <c r="C7063" s="393"/>
      <c r="E7063" s="394"/>
      <c r="F7063" s="394"/>
      <c r="G7063" s="394"/>
      <c r="I7063" s="368">
        <f t="shared" si="336"/>
        <v>0</v>
      </c>
      <c r="J7063" s="365">
        <f t="shared" si="337"/>
        <v>0</v>
      </c>
      <c r="K7063" s="369">
        <f t="shared" si="338"/>
        <v>6</v>
      </c>
      <c r="L7063" s="369">
        <f>+IF((C7063&gt;='Resultats - informe'!$E$16)*(C7063&lt;='Resultats - informe'!$G$16),1,0)</f>
        <v>1</v>
      </c>
      <c r="M7063" s="369" cm="1">
        <f t="array" ref="M7063">+_xlfn.IFS((C7063&gt;='Resultats - informe'!$D$26)*(C7063&lt;='Resultats - informe'!$E$26),0,(C7063&gt;='Resultats - informe'!$D$27)*(C7063&lt;='Resultats - informe'!$E$27),0,(C7063&gt;='Resultats - informe'!$D$28)*(C7063&lt;='Resultats - informe'!$E$28),0,(C7063&gt;='Resultats - informe'!$D$29)*(C7063&lt;='Resultats - informe'!$E$29),0,1,1)</f>
        <v>0</v>
      </c>
      <c r="N7063" s="366">
        <f>+VLOOKUP(D7063,'Resultats - informe'!$Y$18:$AG$42,'Introducció dades consum'!K7063+1,0)</f>
        <v>0</v>
      </c>
      <c r="O7063" s="370" cm="1">
        <f t="array" ref="O7063">+_xlfn.SWITCH(MONTH(C7063),1,1,2,1,3,1,4,2,5,2,6,3,7,3,8,3,9,3,10,2,11,2,12,1,2)</f>
        <v>1</v>
      </c>
      <c r="P7063" s="43"/>
    </row>
    <row r="7064" spans="1:16" ht="18" x14ac:dyDescent="0.35">
      <c r="A7064" s="9"/>
      <c r="C7064" s="393"/>
      <c r="E7064" s="394"/>
      <c r="F7064" s="394"/>
      <c r="G7064" s="394"/>
      <c r="I7064" s="368">
        <f t="shared" si="336"/>
        <v>0</v>
      </c>
      <c r="J7064" s="365">
        <f t="shared" si="337"/>
        <v>0</v>
      </c>
      <c r="K7064" s="369">
        <f t="shared" si="338"/>
        <v>6</v>
      </c>
      <c r="L7064" s="369">
        <f>+IF((C7064&gt;='Resultats - informe'!$E$16)*(C7064&lt;='Resultats - informe'!$G$16),1,0)</f>
        <v>1</v>
      </c>
      <c r="M7064" s="369" cm="1">
        <f t="array" ref="M7064">+_xlfn.IFS((C7064&gt;='Resultats - informe'!$D$26)*(C7064&lt;='Resultats - informe'!$E$26),0,(C7064&gt;='Resultats - informe'!$D$27)*(C7064&lt;='Resultats - informe'!$E$27),0,(C7064&gt;='Resultats - informe'!$D$28)*(C7064&lt;='Resultats - informe'!$E$28),0,(C7064&gt;='Resultats - informe'!$D$29)*(C7064&lt;='Resultats - informe'!$E$29),0,1,1)</f>
        <v>0</v>
      </c>
      <c r="N7064" s="366">
        <f>+VLOOKUP(D7064,'Resultats - informe'!$Y$18:$AG$42,'Introducció dades consum'!K7064+1,0)</f>
        <v>0</v>
      </c>
      <c r="O7064" s="370" cm="1">
        <f t="array" ref="O7064">+_xlfn.SWITCH(MONTH(C7064),1,1,2,1,3,1,4,2,5,2,6,3,7,3,8,3,9,3,10,2,11,2,12,1,2)</f>
        <v>1</v>
      </c>
      <c r="P7064" s="43"/>
    </row>
    <row r="7065" spans="1:16" ht="18" x14ac:dyDescent="0.35">
      <c r="A7065" s="9"/>
      <c r="C7065" s="393"/>
      <c r="E7065" s="394"/>
      <c r="F7065" s="394"/>
      <c r="G7065" s="394"/>
      <c r="I7065" s="368">
        <f t="shared" si="336"/>
        <v>0</v>
      </c>
      <c r="J7065" s="365">
        <f t="shared" si="337"/>
        <v>0</v>
      </c>
      <c r="K7065" s="369">
        <f t="shared" si="338"/>
        <v>6</v>
      </c>
      <c r="L7065" s="369">
        <f>+IF((C7065&gt;='Resultats - informe'!$E$16)*(C7065&lt;='Resultats - informe'!$G$16),1,0)</f>
        <v>1</v>
      </c>
      <c r="M7065" s="369" cm="1">
        <f t="array" ref="M7065">+_xlfn.IFS((C7065&gt;='Resultats - informe'!$D$26)*(C7065&lt;='Resultats - informe'!$E$26),0,(C7065&gt;='Resultats - informe'!$D$27)*(C7065&lt;='Resultats - informe'!$E$27),0,(C7065&gt;='Resultats - informe'!$D$28)*(C7065&lt;='Resultats - informe'!$E$28),0,(C7065&gt;='Resultats - informe'!$D$29)*(C7065&lt;='Resultats - informe'!$E$29),0,1,1)</f>
        <v>0</v>
      </c>
      <c r="N7065" s="366">
        <f>+VLOOKUP(D7065,'Resultats - informe'!$Y$18:$AG$42,'Introducció dades consum'!K7065+1,0)</f>
        <v>0</v>
      </c>
      <c r="O7065" s="370" cm="1">
        <f t="array" ref="O7065">+_xlfn.SWITCH(MONTH(C7065),1,1,2,1,3,1,4,2,5,2,6,3,7,3,8,3,9,3,10,2,11,2,12,1,2)</f>
        <v>1</v>
      </c>
      <c r="P7065" s="43"/>
    </row>
    <row r="7066" spans="1:16" ht="18" x14ac:dyDescent="0.35">
      <c r="A7066" s="9"/>
      <c r="C7066" s="393"/>
      <c r="E7066" s="394"/>
      <c r="F7066" s="394"/>
      <c r="G7066" s="394"/>
      <c r="I7066" s="368">
        <f t="shared" si="336"/>
        <v>0</v>
      </c>
      <c r="J7066" s="365">
        <f t="shared" si="337"/>
        <v>0</v>
      </c>
      <c r="K7066" s="369">
        <f t="shared" si="338"/>
        <v>6</v>
      </c>
      <c r="L7066" s="369">
        <f>+IF((C7066&gt;='Resultats - informe'!$E$16)*(C7066&lt;='Resultats - informe'!$G$16),1,0)</f>
        <v>1</v>
      </c>
      <c r="M7066" s="369" cm="1">
        <f t="array" ref="M7066">+_xlfn.IFS((C7066&gt;='Resultats - informe'!$D$26)*(C7066&lt;='Resultats - informe'!$E$26),0,(C7066&gt;='Resultats - informe'!$D$27)*(C7066&lt;='Resultats - informe'!$E$27),0,(C7066&gt;='Resultats - informe'!$D$28)*(C7066&lt;='Resultats - informe'!$E$28),0,(C7066&gt;='Resultats - informe'!$D$29)*(C7066&lt;='Resultats - informe'!$E$29),0,1,1)</f>
        <v>0</v>
      </c>
      <c r="N7066" s="366">
        <f>+VLOOKUP(D7066,'Resultats - informe'!$Y$18:$AG$42,'Introducció dades consum'!K7066+1,0)</f>
        <v>0</v>
      </c>
      <c r="O7066" s="370" cm="1">
        <f t="array" ref="O7066">+_xlfn.SWITCH(MONTH(C7066),1,1,2,1,3,1,4,2,5,2,6,3,7,3,8,3,9,3,10,2,11,2,12,1,2)</f>
        <v>1</v>
      </c>
      <c r="P7066" s="43"/>
    </row>
    <row r="7067" spans="1:16" ht="18" x14ac:dyDescent="0.35">
      <c r="A7067" s="9"/>
      <c r="C7067" s="393"/>
      <c r="E7067" s="394"/>
      <c r="F7067" s="394"/>
      <c r="G7067" s="394"/>
      <c r="I7067" s="368">
        <f t="shared" si="336"/>
        <v>0</v>
      </c>
      <c r="J7067" s="365">
        <f t="shared" si="337"/>
        <v>0</v>
      </c>
      <c r="K7067" s="369">
        <f t="shared" si="338"/>
        <v>6</v>
      </c>
      <c r="L7067" s="369">
        <f>+IF((C7067&gt;='Resultats - informe'!$E$16)*(C7067&lt;='Resultats - informe'!$G$16),1,0)</f>
        <v>1</v>
      </c>
      <c r="M7067" s="369" cm="1">
        <f t="array" ref="M7067">+_xlfn.IFS((C7067&gt;='Resultats - informe'!$D$26)*(C7067&lt;='Resultats - informe'!$E$26),0,(C7067&gt;='Resultats - informe'!$D$27)*(C7067&lt;='Resultats - informe'!$E$27),0,(C7067&gt;='Resultats - informe'!$D$28)*(C7067&lt;='Resultats - informe'!$E$28),0,(C7067&gt;='Resultats - informe'!$D$29)*(C7067&lt;='Resultats - informe'!$E$29),0,1,1)</f>
        <v>0</v>
      </c>
      <c r="N7067" s="366">
        <f>+VLOOKUP(D7067,'Resultats - informe'!$Y$18:$AG$42,'Introducció dades consum'!K7067+1,0)</f>
        <v>0</v>
      </c>
      <c r="O7067" s="370" cm="1">
        <f t="array" ref="O7067">+_xlfn.SWITCH(MONTH(C7067),1,1,2,1,3,1,4,2,5,2,6,3,7,3,8,3,9,3,10,2,11,2,12,1,2)</f>
        <v>1</v>
      </c>
      <c r="P7067" s="43"/>
    </row>
    <row r="7068" spans="1:16" ht="18" x14ac:dyDescent="0.35">
      <c r="A7068" s="9"/>
      <c r="C7068" s="393"/>
      <c r="E7068" s="394"/>
      <c r="F7068" s="394"/>
      <c r="G7068" s="394"/>
      <c r="I7068" s="368">
        <f t="shared" si="336"/>
        <v>0</v>
      </c>
      <c r="J7068" s="365">
        <f t="shared" si="337"/>
        <v>0</v>
      </c>
      <c r="K7068" s="369">
        <f t="shared" si="338"/>
        <v>6</v>
      </c>
      <c r="L7068" s="369">
        <f>+IF((C7068&gt;='Resultats - informe'!$E$16)*(C7068&lt;='Resultats - informe'!$G$16),1,0)</f>
        <v>1</v>
      </c>
      <c r="M7068" s="369" cm="1">
        <f t="array" ref="M7068">+_xlfn.IFS((C7068&gt;='Resultats - informe'!$D$26)*(C7068&lt;='Resultats - informe'!$E$26),0,(C7068&gt;='Resultats - informe'!$D$27)*(C7068&lt;='Resultats - informe'!$E$27),0,(C7068&gt;='Resultats - informe'!$D$28)*(C7068&lt;='Resultats - informe'!$E$28),0,(C7068&gt;='Resultats - informe'!$D$29)*(C7068&lt;='Resultats - informe'!$E$29),0,1,1)</f>
        <v>0</v>
      </c>
      <c r="N7068" s="366">
        <f>+VLOOKUP(D7068,'Resultats - informe'!$Y$18:$AG$42,'Introducció dades consum'!K7068+1,0)</f>
        <v>0</v>
      </c>
      <c r="O7068" s="370" cm="1">
        <f t="array" ref="O7068">+_xlfn.SWITCH(MONTH(C7068),1,1,2,1,3,1,4,2,5,2,6,3,7,3,8,3,9,3,10,2,11,2,12,1,2)</f>
        <v>1</v>
      </c>
      <c r="P7068" s="43"/>
    </row>
    <row r="7069" spans="1:16" ht="18" x14ac:dyDescent="0.35">
      <c r="A7069" s="9"/>
      <c r="C7069" s="393"/>
      <c r="E7069" s="394"/>
      <c r="F7069" s="394"/>
      <c r="G7069" s="394"/>
      <c r="I7069" s="368">
        <f t="shared" si="336"/>
        <v>0</v>
      </c>
      <c r="J7069" s="365">
        <f t="shared" si="337"/>
        <v>0</v>
      </c>
      <c r="K7069" s="369">
        <f t="shared" si="338"/>
        <v>6</v>
      </c>
      <c r="L7069" s="369">
        <f>+IF((C7069&gt;='Resultats - informe'!$E$16)*(C7069&lt;='Resultats - informe'!$G$16),1,0)</f>
        <v>1</v>
      </c>
      <c r="M7069" s="369" cm="1">
        <f t="array" ref="M7069">+_xlfn.IFS((C7069&gt;='Resultats - informe'!$D$26)*(C7069&lt;='Resultats - informe'!$E$26),0,(C7069&gt;='Resultats - informe'!$D$27)*(C7069&lt;='Resultats - informe'!$E$27),0,(C7069&gt;='Resultats - informe'!$D$28)*(C7069&lt;='Resultats - informe'!$E$28),0,(C7069&gt;='Resultats - informe'!$D$29)*(C7069&lt;='Resultats - informe'!$E$29),0,1,1)</f>
        <v>0</v>
      </c>
      <c r="N7069" s="366">
        <f>+VLOOKUP(D7069,'Resultats - informe'!$Y$18:$AG$42,'Introducció dades consum'!K7069+1,0)</f>
        <v>0</v>
      </c>
      <c r="O7069" s="370" cm="1">
        <f t="array" ref="O7069">+_xlfn.SWITCH(MONTH(C7069),1,1,2,1,3,1,4,2,5,2,6,3,7,3,8,3,9,3,10,2,11,2,12,1,2)</f>
        <v>1</v>
      </c>
      <c r="P7069" s="43"/>
    </row>
    <row r="7070" spans="1:16" ht="18" x14ac:dyDescent="0.35">
      <c r="A7070" s="9"/>
      <c r="C7070" s="393"/>
      <c r="E7070" s="394"/>
      <c r="F7070" s="394"/>
      <c r="G7070" s="394"/>
      <c r="I7070" s="368">
        <f t="shared" si="336"/>
        <v>0</v>
      </c>
      <c r="J7070" s="365">
        <f t="shared" si="337"/>
        <v>0</v>
      </c>
      <c r="K7070" s="369">
        <f t="shared" si="338"/>
        <v>6</v>
      </c>
      <c r="L7070" s="369">
        <f>+IF((C7070&gt;='Resultats - informe'!$E$16)*(C7070&lt;='Resultats - informe'!$G$16),1,0)</f>
        <v>1</v>
      </c>
      <c r="M7070" s="369" cm="1">
        <f t="array" ref="M7070">+_xlfn.IFS((C7070&gt;='Resultats - informe'!$D$26)*(C7070&lt;='Resultats - informe'!$E$26),0,(C7070&gt;='Resultats - informe'!$D$27)*(C7070&lt;='Resultats - informe'!$E$27),0,(C7070&gt;='Resultats - informe'!$D$28)*(C7070&lt;='Resultats - informe'!$E$28),0,(C7070&gt;='Resultats - informe'!$D$29)*(C7070&lt;='Resultats - informe'!$E$29),0,1,1)</f>
        <v>0</v>
      </c>
      <c r="N7070" s="366">
        <f>+VLOOKUP(D7070,'Resultats - informe'!$Y$18:$AG$42,'Introducció dades consum'!K7070+1,0)</f>
        <v>0</v>
      </c>
      <c r="O7070" s="370" cm="1">
        <f t="array" ref="O7070">+_xlfn.SWITCH(MONTH(C7070),1,1,2,1,3,1,4,2,5,2,6,3,7,3,8,3,9,3,10,2,11,2,12,1,2)</f>
        <v>1</v>
      </c>
      <c r="P7070" s="43"/>
    </row>
    <row r="7071" spans="1:16" ht="18" x14ac:dyDescent="0.35">
      <c r="A7071" s="9"/>
      <c r="C7071" s="393"/>
      <c r="E7071" s="394"/>
      <c r="F7071" s="394"/>
      <c r="G7071" s="394"/>
      <c r="I7071" s="368">
        <f t="shared" si="336"/>
        <v>0</v>
      </c>
      <c r="J7071" s="365">
        <f t="shared" si="337"/>
        <v>0</v>
      </c>
      <c r="K7071" s="369">
        <f t="shared" si="338"/>
        <v>6</v>
      </c>
      <c r="L7071" s="369">
        <f>+IF((C7071&gt;='Resultats - informe'!$E$16)*(C7071&lt;='Resultats - informe'!$G$16),1,0)</f>
        <v>1</v>
      </c>
      <c r="M7071" s="369" cm="1">
        <f t="array" ref="M7071">+_xlfn.IFS((C7071&gt;='Resultats - informe'!$D$26)*(C7071&lt;='Resultats - informe'!$E$26),0,(C7071&gt;='Resultats - informe'!$D$27)*(C7071&lt;='Resultats - informe'!$E$27),0,(C7071&gt;='Resultats - informe'!$D$28)*(C7071&lt;='Resultats - informe'!$E$28),0,(C7071&gt;='Resultats - informe'!$D$29)*(C7071&lt;='Resultats - informe'!$E$29),0,1,1)</f>
        <v>0</v>
      </c>
      <c r="N7071" s="366">
        <f>+VLOOKUP(D7071,'Resultats - informe'!$Y$18:$AG$42,'Introducció dades consum'!K7071+1,0)</f>
        <v>0</v>
      </c>
      <c r="O7071" s="370" cm="1">
        <f t="array" ref="O7071">+_xlfn.SWITCH(MONTH(C7071),1,1,2,1,3,1,4,2,5,2,6,3,7,3,8,3,9,3,10,2,11,2,12,1,2)</f>
        <v>1</v>
      </c>
      <c r="P7071" s="43"/>
    </row>
    <row r="7072" spans="1:16" ht="18" x14ac:dyDescent="0.35">
      <c r="A7072" s="9"/>
      <c r="C7072" s="393"/>
      <c r="E7072" s="394"/>
      <c r="F7072" s="394"/>
      <c r="G7072" s="394"/>
      <c r="I7072" s="368">
        <f t="shared" si="336"/>
        <v>0</v>
      </c>
      <c r="J7072" s="365">
        <f t="shared" si="337"/>
        <v>0</v>
      </c>
      <c r="K7072" s="369">
        <f t="shared" si="338"/>
        <v>6</v>
      </c>
      <c r="L7072" s="369">
        <f>+IF((C7072&gt;='Resultats - informe'!$E$16)*(C7072&lt;='Resultats - informe'!$G$16),1,0)</f>
        <v>1</v>
      </c>
      <c r="M7072" s="369" cm="1">
        <f t="array" ref="M7072">+_xlfn.IFS((C7072&gt;='Resultats - informe'!$D$26)*(C7072&lt;='Resultats - informe'!$E$26),0,(C7072&gt;='Resultats - informe'!$D$27)*(C7072&lt;='Resultats - informe'!$E$27),0,(C7072&gt;='Resultats - informe'!$D$28)*(C7072&lt;='Resultats - informe'!$E$28),0,(C7072&gt;='Resultats - informe'!$D$29)*(C7072&lt;='Resultats - informe'!$E$29),0,1,1)</f>
        <v>0</v>
      </c>
      <c r="N7072" s="366">
        <f>+VLOOKUP(D7072,'Resultats - informe'!$Y$18:$AG$42,'Introducció dades consum'!K7072+1,0)</f>
        <v>0</v>
      </c>
      <c r="O7072" s="370" cm="1">
        <f t="array" ref="O7072">+_xlfn.SWITCH(MONTH(C7072),1,1,2,1,3,1,4,2,5,2,6,3,7,3,8,3,9,3,10,2,11,2,12,1,2)</f>
        <v>1</v>
      </c>
      <c r="P7072" s="43"/>
    </row>
    <row r="7073" spans="1:16" ht="18" x14ac:dyDescent="0.35">
      <c r="A7073" s="9"/>
      <c r="C7073" s="393"/>
      <c r="E7073" s="394"/>
      <c r="F7073" s="394"/>
      <c r="G7073" s="394"/>
      <c r="I7073" s="368">
        <f t="shared" si="336"/>
        <v>0</v>
      </c>
      <c r="J7073" s="365">
        <f t="shared" si="337"/>
        <v>0</v>
      </c>
      <c r="K7073" s="369">
        <f t="shared" si="338"/>
        <v>6</v>
      </c>
      <c r="L7073" s="369">
        <f>+IF((C7073&gt;='Resultats - informe'!$E$16)*(C7073&lt;='Resultats - informe'!$G$16),1,0)</f>
        <v>1</v>
      </c>
      <c r="M7073" s="369" cm="1">
        <f t="array" ref="M7073">+_xlfn.IFS((C7073&gt;='Resultats - informe'!$D$26)*(C7073&lt;='Resultats - informe'!$E$26),0,(C7073&gt;='Resultats - informe'!$D$27)*(C7073&lt;='Resultats - informe'!$E$27),0,(C7073&gt;='Resultats - informe'!$D$28)*(C7073&lt;='Resultats - informe'!$E$28),0,(C7073&gt;='Resultats - informe'!$D$29)*(C7073&lt;='Resultats - informe'!$E$29),0,1,1)</f>
        <v>0</v>
      </c>
      <c r="N7073" s="366">
        <f>+VLOOKUP(D7073,'Resultats - informe'!$Y$18:$AG$42,'Introducció dades consum'!K7073+1,0)</f>
        <v>0</v>
      </c>
      <c r="O7073" s="370" cm="1">
        <f t="array" ref="O7073">+_xlfn.SWITCH(MONTH(C7073),1,1,2,1,3,1,4,2,5,2,6,3,7,3,8,3,9,3,10,2,11,2,12,1,2)</f>
        <v>1</v>
      </c>
      <c r="P7073" s="43"/>
    </row>
    <row r="7074" spans="1:16" ht="18" x14ac:dyDescent="0.35">
      <c r="A7074" s="9"/>
      <c r="C7074" s="393"/>
      <c r="E7074" s="394"/>
      <c r="F7074" s="394"/>
      <c r="G7074" s="394"/>
      <c r="I7074" s="368">
        <f t="shared" si="336"/>
        <v>0</v>
      </c>
      <c r="J7074" s="365">
        <f t="shared" si="337"/>
        <v>0</v>
      </c>
      <c r="K7074" s="369">
        <f t="shared" si="338"/>
        <v>6</v>
      </c>
      <c r="L7074" s="369">
        <f>+IF((C7074&gt;='Resultats - informe'!$E$16)*(C7074&lt;='Resultats - informe'!$G$16),1,0)</f>
        <v>1</v>
      </c>
      <c r="M7074" s="369" cm="1">
        <f t="array" ref="M7074">+_xlfn.IFS((C7074&gt;='Resultats - informe'!$D$26)*(C7074&lt;='Resultats - informe'!$E$26),0,(C7074&gt;='Resultats - informe'!$D$27)*(C7074&lt;='Resultats - informe'!$E$27),0,(C7074&gt;='Resultats - informe'!$D$28)*(C7074&lt;='Resultats - informe'!$E$28),0,(C7074&gt;='Resultats - informe'!$D$29)*(C7074&lt;='Resultats - informe'!$E$29),0,1,1)</f>
        <v>0</v>
      </c>
      <c r="N7074" s="366">
        <f>+VLOOKUP(D7074,'Resultats - informe'!$Y$18:$AG$42,'Introducció dades consum'!K7074+1,0)</f>
        <v>0</v>
      </c>
      <c r="O7074" s="370" cm="1">
        <f t="array" ref="O7074">+_xlfn.SWITCH(MONTH(C7074),1,1,2,1,3,1,4,2,5,2,6,3,7,3,8,3,9,3,10,2,11,2,12,1,2)</f>
        <v>1</v>
      </c>
      <c r="P7074" s="43"/>
    </row>
    <row r="7075" spans="1:16" ht="18" x14ac:dyDescent="0.35">
      <c r="A7075" s="9"/>
      <c r="C7075" s="393"/>
      <c r="E7075" s="394"/>
      <c r="F7075" s="394"/>
      <c r="G7075" s="394"/>
      <c r="I7075" s="368">
        <f t="shared" si="336"/>
        <v>0</v>
      </c>
      <c r="J7075" s="365">
        <f t="shared" si="337"/>
        <v>0</v>
      </c>
      <c r="K7075" s="369">
        <f t="shared" si="338"/>
        <v>6</v>
      </c>
      <c r="L7075" s="369">
        <f>+IF((C7075&gt;='Resultats - informe'!$E$16)*(C7075&lt;='Resultats - informe'!$G$16),1,0)</f>
        <v>1</v>
      </c>
      <c r="M7075" s="369" cm="1">
        <f t="array" ref="M7075">+_xlfn.IFS((C7075&gt;='Resultats - informe'!$D$26)*(C7075&lt;='Resultats - informe'!$E$26),0,(C7075&gt;='Resultats - informe'!$D$27)*(C7075&lt;='Resultats - informe'!$E$27),0,(C7075&gt;='Resultats - informe'!$D$28)*(C7075&lt;='Resultats - informe'!$E$28),0,(C7075&gt;='Resultats - informe'!$D$29)*(C7075&lt;='Resultats - informe'!$E$29),0,1,1)</f>
        <v>0</v>
      </c>
      <c r="N7075" s="366">
        <f>+VLOOKUP(D7075,'Resultats - informe'!$Y$18:$AG$42,'Introducció dades consum'!K7075+1,0)</f>
        <v>0</v>
      </c>
      <c r="O7075" s="370" cm="1">
        <f t="array" ref="O7075">+_xlfn.SWITCH(MONTH(C7075),1,1,2,1,3,1,4,2,5,2,6,3,7,3,8,3,9,3,10,2,11,2,12,1,2)</f>
        <v>1</v>
      </c>
      <c r="P7075" s="43"/>
    </row>
    <row r="7076" spans="1:16" ht="18" x14ac:dyDescent="0.35">
      <c r="A7076" s="9"/>
      <c r="C7076" s="393"/>
      <c r="E7076" s="394"/>
      <c r="F7076" s="394"/>
      <c r="G7076" s="394"/>
      <c r="I7076" s="368">
        <f t="shared" si="336"/>
        <v>0</v>
      </c>
      <c r="J7076" s="365">
        <f t="shared" si="337"/>
        <v>0</v>
      </c>
      <c r="K7076" s="369">
        <f t="shared" si="338"/>
        <v>6</v>
      </c>
      <c r="L7076" s="369">
        <f>+IF((C7076&gt;='Resultats - informe'!$E$16)*(C7076&lt;='Resultats - informe'!$G$16),1,0)</f>
        <v>1</v>
      </c>
      <c r="M7076" s="369" cm="1">
        <f t="array" ref="M7076">+_xlfn.IFS((C7076&gt;='Resultats - informe'!$D$26)*(C7076&lt;='Resultats - informe'!$E$26),0,(C7076&gt;='Resultats - informe'!$D$27)*(C7076&lt;='Resultats - informe'!$E$27),0,(C7076&gt;='Resultats - informe'!$D$28)*(C7076&lt;='Resultats - informe'!$E$28),0,(C7076&gt;='Resultats - informe'!$D$29)*(C7076&lt;='Resultats - informe'!$E$29),0,1,1)</f>
        <v>0</v>
      </c>
      <c r="N7076" s="366">
        <f>+VLOOKUP(D7076,'Resultats - informe'!$Y$18:$AG$42,'Introducció dades consum'!K7076+1,0)</f>
        <v>0</v>
      </c>
      <c r="O7076" s="370" cm="1">
        <f t="array" ref="O7076">+_xlfn.SWITCH(MONTH(C7076),1,1,2,1,3,1,4,2,5,2,6,3,7,3,8,3,9,3,10,2,11,2,12,1,2)</f>
        <v>1</v>
      </c>
      <c r="P7076" s="43"/>
    </row>
    <row r="7077" spans="1:16" ht="18" x14ac:dyDescent="0.35">
      <c r="A7077" s="9"/>
      <c r="C7077" s="393"/>
      <c r="E7077" s="394"/>
      <c r="F7077" s="394"/>
      <c r="G7077" s="394"/>
      <c r="I7077" s="368">
        <f t="shared" si="336"/>
        <v>0</v>
      </c>
      <c r="J7077" s="365">
        <f t="shared" si="337"/>
        <v>0</v>
      </c>
      <c r="K7077" s="369">
        <f t="shared" si="338"/>
        <v>6</v>
      </c>
      <c r="L7077" s="369">
        <f>+IF((C7077&gt;='Resultats - informe'!$E$16)*(C7077&lt;='Resultats - informe'!$G$16),1,0)</f>
        <v>1</v>
      </c>
      <c r="M7077" s="369" cm="1">
        <f t="array" ref="M7077">+_xlfn.IFS((C7077&gt;='Resultats - informe'!$D$26)*(C7077&lt;='Resultats - informe'!$E$26),0,(C7077&gt;='Resultats - informe'!$D$27)*(C7077&lt;='Resultats - informe'!$E$27),0,(C7077&gt;='Resultats - informe'!$D$28)*(C7077&lt;='Resultats - informe'!$E$28),0,(C7077&gt;='Resultats - informe'!$D$29)*(C7077&lt;='Resultats - informe'!$E$29),0,1,1)</f>
        <v>0</v>
      </c>
      <c r="N7077" s="366">
        <f>+VLOOKUP(D7077,'Resultats - informe'!$Y$18:$AG$42,'Introducció dades consum'!K7077+1,0)</f>
        <v>0</v>
      </c>
      <c r="O7077" s="370" cm="1">
        <f t="array" ref="O7077">+_xlfn.SWITCH(MONTH(C7077),1,1,2,1,3,1,4,2,5,2,6,3,7,3,8,3,9,3,10,2,11,2,12,1,2)</f>
        <v>1</v>
      </c>
      <c r="P7077" s="43"/>
    </row>
    <row r="7078" spans="1:16" ht="18" x14ac:dyDescent="0.35">
      <c r="A7078" s="9"/>
      <c r="C7078" s="393"/>
      <c r="E7078" s="394"/>
      <c r="F7078" s="394"/>
      <c r="G7078" s="394"/>
      <c r="I7078" s="368">
        <f t="shared" si="336"/>
        <v>0</v>
      </c>
      <c r="J7078" s="365">
        <f t="shared" si="337"/>
        <v>0</v>
      </c>
      <c r="K7078" s="369">
        <f t="shared" si="338"/>
        <v>6</v>
      </c>
      <c r="L7078" s="369">
        <f>+IF((C7078&gt;='Resultats - informe'!$E$16)*(C7078&lt;='Resultats - informe'!$G$16),1,0)</f>
        <v>1</v>
      </c>
      <c r="M7078" s="369" cm="1">
        <f t="array" ref="M7078">+_xlfn.IFS((C7078&gt;='Resultats - informe'!$D$26)*(C7078&lt;='Resultats - informe'!$E$26),0,(C7078&gt;='Resultats - informe'!$D$27)*(C7078&lt;='Resultats - informe'!$E$27),0,(C7078&gt;='Resultats - informe'!$D$28)*(C7078&lt;='Resultats - informe'!$E$28),0,(C7078&gt;='Resultats - informe'!$D$29)*(C7078&lt;='Resultats - informe'!$E$29),0,1,1)</f>
        <v>0</v>
      </c>
      <c r="N7078" s="366">
        <f>+VLOOKUP(D7078,'Resultats - informe'!$Y$18:$AG$42,'Introducció dades consum'!K7078+1,0)</f>
        <v>0</v>
      </c>
      <c r="O7078" s="370" cm="1">
        <f t="array" ref="O7078">+_xlfn.SWITCH(MONTH(C7078),1,1,2,1,3,1,4,2,5,2,6,3,7,3,8,3,9,3,10,2,11,2,12,1,2)</f>
        <v>1</v>
      </c>
      <c r="P7078" s="43"/>
    </row>
    <row r="7079" spans="1:16" ht="18" x14ac:dyDescent="0.35">
      <c r="A7079" s="9"/>
      <c r="C7079" s="393"/>
      <c r="E7079" s="394"/>
      <c r="F7079" s="394"/>
      <c r="G7079" s="394"/>
      <c r="I7079" s="368">
        <f t="shared" si="336"/>
        <v>0</v>
      </c>
      <c r="J7079" s="365">
        <f t="shared" si="337"/>
        <v>0</v>
      </c>
      <c r="K7079" s="369">
        <f t="shared" si="338"/>
        <v>6</v>
      </c>
      <c r="L7079" s="369">
        <f>+IF((C7079&gt;='Resultats - informe'!$E$16)*(C7079&lt;='Resultats - informe'!$G$16),1,0)</f>
        <v>1</v>
      </c>
      <c r="M7079" s="369" cm="1">
        <f t="array" ref="M7079">+_xlfn.IFS((C7079&gt;='Resultats - informe'!$D$26)*(C7079&lt;='Resultats - informe'!$E$26),0,(C7079&gt;='Resultats - informe'!$D$27)*(C7079&lt;='Resultats - informe'!$E$27),0,(C7079&gt;='Resultats - informe'!$D$28)*(C7079&lt;='Resultats - informe'!$E$28),0,(C7079&gt;='Resultats - informe'!$D$29)*(C7079&lt;='Resultats - informe'!$E$29),0,1,1)</f>
        <v>0</v>
      </c>
      <c r="N7079" s="366">
        <f>+VLOOKUP(D7079,'Resultats - informe'!$Y$18:$AG$42,'Introducció dades consum'!K7079+1,0)</f>
        <v>0</v>
      </c>
      <c r="O7079" s="370" cm="1">
        <f t="array" ref="O7079">+_xlfn.SWITCH(MONTH(C7079),1,1,2,1,3,1,4,2,5,2,6,3,7,3,8,3,9,3,10,2,11,2,12,1,2)</f>
        <v>1</v>
      </c>
      <c r="P7079" s="43"/>
    </row>
    <row r="7080" spans="1:16" ht="18" x14ac:dyDescent="0.35">
      <c r="A7080" s="9"/>
      <c r="C7080" s="393"/>
      <c r="E7080" s="394"/>
      <c r="F7080" s="394"/>
      <c r="G7080" s="394"/>
      <c r="I7080" s="368">
        <f t="shared" si="336"/>
        <v>0</v>
      </c>
      <c r="J7080" s="365">
        <f t="shared" si="337"/>
        <v>0</v>
      </c>
      <c r="K7080" s="369">
        <f t="shared" si="338"/>
        <v>6</v>
      </c>
      <c r="L7080" s="369">
        <f>+IF((C7080&gt;='Resultats - informe'!$E$16)*(C7080&lt;='Resultats - informe'!$G$16),1,0)</f>
        <v>1</v>
      </c>
      <c r="M7080" s="369" cm="1">
        <f t="array" ref="M7080">+_xlfn.IFS((C7080&gt;='Resultats - informe'!$D$26)*(C7080&lt;='Resultats - informe'!$E$26),0,(C7080&gt;='Resultats - informe'!$D$27)*(C7080&lt;='Resultats - informe'!$E$27),0,(C7080&gt;='Resultats - informe'!$D$28)*(C7080&lt;='Resultats - informe'!$E$28),0,(C7080&gt;='Resultats - informe'!$D$29)*(C7080&lt;='Resultats - informe'!$E$29),0,1,1)</f>
        <v>0</v>
      </c>
      <c r="N7080" s="366">
        <f>+VLOOKUP(D7080,'Resultats - informe'!$Y$18:$AG$42,'Introducció dades consum'!K7080+1,0)</f>
        <v>0</v>
      </c>
      <c r="O7080" s="370" cm="1">
        <f t="array" ref="O7080">+_xlfn.SWITCH(MONTH(C7080),1,1,2,1,3,1,4,2,5,2,6,3,7,3,8,3,9,3,10,2,11,2,12,1,2)</f>
        <v>1</v>
      </c>
      <c r="P7080" s="43"/>
    </row>
    <row r="7081" spans="1:16" ht="18" x14ac:dyDescent="0.35">
      <c r="A7081" s="9"/>
      <c r="C7081" s="393"/>
      <c r="E7081" s="394"/>
      <c r="F7081" s="394"/>
      <c r="G7081" s="394"/>
      <c r="I7081" s="368">
        <f t="shared" si="336"/>
        <v>0</v>
      </c>
      <c r="J7081" s="365">
        <f t="shared" si="337"/>
        <v>0</v>
      </c>
      <c r="K7081" s="369">
        <f t="shared" si="338"/>
        <v>6</v>
      </c>
      <c r="L7081" s="369">
        <f>+IF((C7081&gt;='Resultats - informe'!$E$16)*(C7081&lt;='Resultats - informe'!$G$16),1,0)</f>
        <v>1</v>
      </c>
      <c r="M7081" s="369" cm="1">
        <f t="array" ref="M7081">+_xlfn.IFS((C7081&gt;='Resultats - informe'!$D$26)*(C7081&lt;='Resultats - informe'!$E$26),0,(C7081&gt;='Resultats - informe'!$D$27)*(C7081&lt;='Resultats - informe'!$E$27),0,(C7081&gt;='Resultats - informe'!$D$28)*(C7081&lt;='Resultats - informe'!$E$28),0,(C7081&gt;='Resultats - informe'!$D$29)*(C7081&lt;='Resultats - informe'!$E$29),0,1,1)</f>
        <v>0</v>
      </c>
      <c r="N7081" s="366">
        <f>+VLOOKUP(D7081,'Resultats - informe'!$Y$18:$AG$42,'Introducció dades consum'!K7081+1,0)</f>
        <v>0</v>
      </c>
      <c r="O7081" s="370" cm="1">
        <f t="array" ref="O7081">+_xlfn.SWITCH(MONTH(C7081),1,1,2,1,3,1,4,2,5,2,6,3,7,3,8,3,9,3,10,2,11,2,12,1,2)</f>
        <v>1</v>
      </c>
      <c r="P7081" s="43"/>
    </row>
    <row r="7082" spans="1:16" ht="18" x14ac:dyDescent="0.35">
      <c r="A7082" s="9"/>
      <c r="C7082" s="393"/>
      <c r="E7082" s="394"/>
      <c r="F7082" s="394"/>
      <c r="G7082" s="394"/>
      <c r="I7082" s="368">
        <f t="shared" si="336"/>
        <v>0</v>
      </c>
      <c r="J7082" s="365">
        <f t="shared" si="337"/>
        <v>0</v>
      </c>
      <c r="K7082" s="369">
        <f t="shared" si="338"/>
        <v>6</v>
      </c>
      <c r="L7082" s="369">
        <f>+IF((C7082&gt;='Resultats - informe'!$E$16)*(C7082&lt;='Resultats - informe'!$G$16),1,0)</f>
        <v>1</v>
      </c>
      <c r="M7082" s="369" cm="1">
        <f t="array" ref="M7082">+_xlfn.IFS((C7082&gt;='Resultats - informe'!$D$26)*(C7082&lt;='Resultats - informe'!$E$26),0,(C7082&gt;='Resultats - informe'!$D$27)*(C7082&lt;='Resultats - informe'!$E$27),0,(C7082&gt;='Resultats - informe'!$D$28)*(C7082&lt;='Resultats - informe'!$E$28),0,(C7082&gt;='Resultats - informe'!$D$29)*(C7082&lt;='Resultats - informe'!$E$29),0,1,1)</f>
        <v>0</v>
      </c>
      <c r="N7082" s="366">
        <f>+VLOOKUP(D7082,'Resultats - informe'!$Y$18:$AG$42,'Introducció dades consum'!K7082+1,0)</f>
        <v>0</v>
      </c>
      <c r="O7082" s="370" cm="1">
        <f t="array" ref="O7082">+_xlfn.SWITCH(MONTH(C7082),1,1,2,1,3,1,4,2,5,2,6,3,7,3,8,3,9,3,10,2,11,2,12,1,2)</f>
        <v>1</v>
      </c>
      <c r="P7082" s="43"/>
    </row>
    <row r="7083" spans="1:16" ht="18" x14ac:dyDescent="0.35">
      <c r="A7083" s="9"/>
      <c r="C7083" s="393"/>
      <c r="E7083" s="394"/>
      <c r="F7083" s="394"/>
      <c r="G7083" s="394"/>
      <c r="I7083" s="368">
        <f t="shared" si="336"/>
        <v>0</v>
      </c>
      <c r="J7083" s="365">
        <f t="shared" si="337"/>
        <v>0</v>
      </c>
      <c r="K7083" s="369">
        <f t="shared" si="338"/>
        <v>6</v>
      </c>
      <c r="L7083" s="369">
        <f>+IF((C7083&gt;='Resultats - informe'!$E$16)*(C7083&lt;='Resultats - informe'!$G$16),1,0)</f>
        <v>1</v>
      </c>
      <c r="M7083" s="369" cm="1">
        <f t="array" ref="M7083">+_xlfn.IFS((C7083&gt;='Resultats - informe'!$D$26)*(C7083&lt;='Resultats - informe'!$E$26),0,(C7083&gt;='Resultats - informe'!$D$27)*(C7083&lt;='Resultats - informe'!$E$27),0,(C7083&gt;='Resultats - informe'!$D$28)*(C7083&lt;='Resultats - informe'!$E$28),0,(C7083&gt;='Resultats - informe'!$D$29)*(C7083&lt;='Resultats - informe'!$E$29),0,1,1)</f>
        <v>0</v>
      </c>
      <c r="N7083" s="366">
        <f>+VLOOKUP(D7083,'Resultats - informe'!$Y$18:$AG$42,'Introducció dades consum'!K7083+1,0)</f>
        <v>0</v>
      </c>
      <c r="O7083" s="370" cm="1">
        <f t="array" ref="O7083">+_xlfn.SWITCH(MONTH(C7083),1,1,2,1,3,1,4,2,5,2,6,3,7,3,8,3,9,3,10,2,11,2,12,1,2)</f>
        <v>1</v>
      </c>
      <c r="P7083" s="43"/>
    </row>
    <row r="7084" spans="1:16" ht="18" x14ac:dyDescent="0.35">
      <c r="A7084" s="9"/>
      <c r="C7084" s="393"/>
      <c r="E7084" s="394"/>
      <c r="F7084" s="394"/>
      <c r="G7084" s="394"/>
      <c r="I7084" s="368">
        <f t="shared" si="336"/>
        <v>0</v>
      </c>
      <c r="J7084" s="365">
        <f t="shared" si="337"/>
        <v>0</v>
      </c>
      <c r="K7084" s="369">
        <f t="shared" si="338"/>
        <v>6</v>
      </c>
      <c r="L7084" s="369">
        <f>+IF((C7084&gt;='Resultats - informe'!$E$16)*(C7084&lt;='Resultats - informe'!$G$16),1,0)</f>
        <v>1</v>
      </c>
      <c r="M7084" s="369" cm="1">
        <f t="array" ref="M7084">+_xlfn.IFS((C7084&gt;='Resultats - informe'!$D$26)*(C7084&lt;='Resultats - informe'!$E$26),0,(C7084&gt;='Resultats - informe'!$D$27)*(C7084&lt;='Resultats - informe'!$E$27),0,(C7084&gt;='Resultats - informe'!$D$28)*(C7084&lt;='Resultats - informe'!$E$28),0,(C7084&gt;='Resultats - informe'!$D$29)*(C7084&lt;='Resultats - informe'!$E$29),0,1,1)</f>
        <v>0</v>
      </c>
      <c r="N7084" s="366">
        <f>+VLOOKUP(D7084,'Resultats - informe'!$Y$18:$AG$42,'Introducció dades consum'!K7084+1,0)</f>
        <v>0</v>
      </c>
      <c r="O7084" s="370" cm="1">
        <f t="array" ref="O7084">+_xlfn.SWITCH(MONTH(C7084),1,1,2,1,3,1,4,2,5,2,6,3,7,3,8,3,9,3,10,2,11,2,12,1,2)</f>
        <v>1</v>
      </c>
      <c r="P7084" s="43"/>
    </row>
    <row r="7085" spans="1:16" ht="18" x14ac:dyDescent="0.35">
      <c r="A7085" s="9"/>
      <c r="C7085" s="393"/>
      <c r="E7085" s="394"/>
      <c r="F7085" s="394"/>
      <c r="G7085" s="394"/>
      <c r="I7085" s="368">
        <f t="shared" si="336"/>
        <v>0</v>
      </c>
      <c r="J7085" s="365">
        <f t="shared" si="337"/>
        <v>0</v>
      </c>
      <c r="K7085" s="369">
        <f t="shared" si="338"/>
        <v>6</v>
      </c>
      <c r="L7085" s="369">
        <f>+IF((C7085&gt;='Resultats - informe'!$E$16)*(C7085&lt;='Resultats - informe'!$G$16),1,0)</f>
        <v>1</v>
      </c>
      <c r="M7085" s="369" cm="1">
        <f t="array" ref="M7085">+_xlfn.IFS((C7085&gt;='Resultats - informe'!$D$26)*(C7085&lt;='Resultats - informe'!$E$26),0,(C7085&gt;='Resultats - informe'!$D$27)*(C7085&lt;='Resultats - informe'!$E$27),0,(C7085&gt;='Resultats - informe'!$D$28)*(C7085&lt;='Resultats - informe'!$E$28),0,(C7085&gt;='Resultats - informe'!$D$29)*(C7085&lt;='Resultats - informe'!$E$29),0,1,1)</f>
        <v>0</v>
      </c>
      <c r="N7085" s="366">
        <f>+VLOOKUP(D7085,'Resultats - informe'!$Y$18:$AG$42,'Introducció dades consum'!K7085+1,0)</f>
        <v>0</v>
      </c>
      <c r="O7085" s="370" cm="1">
        <f t="array" ref="O7085">+_xlfn.SWITCH(MONTH(C7085),1,1,2,1,3,1,4,2,5,2,6,3,7,3,8,3,9,3,10,2,11,2,12,1,2)</f>
        <v>1</v>
      </c>
      <c r="P7085" s="43"/>
    </row>
    <row r="7086" spans="1:16" ht="18" x14ac:dyDescent="0.35">
      <c r="A7086" s="9"/>
      <c r="C7086" s="393"/>
      <c r="E7086" s="394"/>
      <c r="F7086" s="394"/>
      <c r="G7086" s="394"/>
      <c r="I7086" s="368">
        <f t="shared" si="336"/>
        <v>0</v>
      </c>
      <c r="J7086" s="365">
        <f t="shared" si="337"/>
        <v>0</v>
      </c>
      <c r="K7086" s="369">
        <f t="shared" si="338"/>
        <v>6</v>
      </c>
      <c r="L7086" s="369">
        <f>+IF((C7086&gt;='Resultats - informe'!$E$16)*(C7086&lt;='Resultats - informe'!$G$16),1,0)</f>
        <v>1</v>
      </c>
      <c r="M7086" s="369" cm="1">
        <f t="array" ref="M7086">+_xlfn.IFS((C7086&gt;='Resultats - informe'!$D$26)*(C7086&lt;='Resultats - informe'!$E$26),0,(C7086&gt;='Resultats - informe'!$D$27)*(C7086&lt;='Resultats - informe'!$E$27),0,(C7086&gt;='Resultats - informe'!$D$28)*(C7086&lt;='Resultats - informe'!$E$28),0,(C7086&gt;='Resultats - informe'!$D$29)*(C7086&lt;='Resultats - informe'!$E$29),0,1,1)</f>
        <v>0</v>
      </c>
      <c r="N7086" s="366">
        <f>+VLOOKUP(D7086,'Resultats - informe'!$Y$18:$AG$42,'Introducció dades consum'!K7086+1,0)</f>
        <v>0</v>
      </c>
      <c r="O7086" s="370" cm="1">
        <f t="array" ref="O7086">+_xlfn.SWITCH(MONTH(C7086),1,1,2,1,3,1,4,2,5,2,6,3,7,3,8,3,9,3,10,2,11,2,12,1,2)</f>
        <v>1</v>
      </c>
      <c r="P7086" s="43"/>
    </row>
    <row r="7087" spans="1:16" ht="18" x14ac:dyDescent="0.35">
      <c r="A7087" s="9"/>
      <c r="C7087" s="393"/>
      <c r="E7087" s="394"/>
      <c r="F7087" s="394"/>
      <c r="G7087" s="394"/>
      <c r="I7087" s="368">
        <f t="shared" si="336"/>
        <v>0</v>
      </c>
      <c r="J7087" s="365">
        <f t="shared" si="337"/>
        <v>0</v>
      </c>
      <c r="K7087" s="369">
        <f t="shared" si="338"/>
        <v>6</v>
      </c>
      <c r="L7087" s="369">
        <f>+IF((C7087&gt;='Resultats - informe'!$E$16)*(C7087&lt;='Resultats - informe'!$G$16),1,0)</f>
        <v>1</v>
      </c>
      <c r="M7087" s="369" cm="1">
        <f t="array" ref="M7087">+_xlfn.IFS((C7087&gt;='Resultats - informe'!$D$26)*(C7087&lt;='Resultats - informe'!$E$26),0,(C7087&gt;='Resultats - informe'!$D$27)*(C7087&lt;='Resultats - informe'!$E$27),0,(C7087&gt;='Resultats - informe'!$D$28)*(C7087&lt;='Resultats - informe'!$E$28),0,(C7087&gt;='Resultats - informe'!$D$29)*(C7087&lt;='Resultats - informe'!$E$29),0,1,1)</f>
        <v>0</v>
      </c>
      <c r="N7087" s="366">
        <f>+VLOOKUP(D7087,'Resultats - informe'!$Y$18:$AG$42,'Introducció dades consum'!K7087+1,0)</f>
        <v>0</v>
      </c>
      <c r="O7087" s="370" cm="1">
        <f t="array" ref="O7087">+_xlfn.SWITCH(MONTH(C7087),1,1,2,1,3,1,4,2,5,2,6,3,7,3,8,3,9,3,10,2,11,2,12,1,2)</f>
        <v>1</v>
      </c>
      <c r="P7087" s="43"/>
    </row>
    <row r="7088" spans="1:16" ht="18" x14ac:dyDescent="0.35">
      <c r="A7088" s="9"/>
      <c r="C7088" s="393"/>
      <c r="E7088" s="394"/>
      <c r="F7088" s="394"/>
      <c r="G7088" s="394"/>
      <c r="I7088" s="368">
        <f t="shared" si="336"/>
        <v>0</v>
      </c>
      <c r="J7088" s="365">
        <f t="shared" si="337"/>
        <v>0</v>
      </c>
      <c r="K7088" s="369">
        <f t="shared" si="338"/>
        <v>6</v>
      </c>
      <c r="L7088" s="369">
        <f>+IF((C7088&gt;='Resultats - informe'!$E$16)*(C7088&lt;='Resultats - informe'!$G$16),1,0)</f>
        <v>1</v>
      </c>
      <c r="M7088" s="369" cm="1">
        <f t="array" ref="M7088">+_xlfn.IFS((C7088&gt;='Resultats - informe'!$D$26)*(C7088&lt;='Resultats - informe'!$E$26),0,(C7088&gt;='Resultats - informe'!$D$27)*(C7088&lt;='Resultats - informe'!$E$27),0,(C7088&gt;='Resultats - informe'!$D$28)*(C7088&lt;='Resultats - informe'!$E$28),0,(C7088&gt;='Resultats - informe'!$D$29)*(C7088&lt;='Resultats - informe'!$E$29),0,1,1)</f>
        <v>0</v>
      </c>
      <c r="N7088" s="366">
        <f>+VLOOKUP(D7088,'Resultats - informe'!$Y$18:$AG$42,'Introducció dades consum'!K7088+1,0)</f>
        <v>0</v>
      </c>
      <c r="O7088" s="370" cm="1">
        <f t="array" ref="O7088">+_xlfn.SWITCH(MONTH(C7088),1,1,2,1,3,1,4,2,5,2,6,3,7,3,8,3,9,3,10,2,11,2,12,1,2)</f>
        <v>1</v>
      </c>
      <c r="P7088" s="43"/>
    </row>
    <row r="7089" spans="1:16" ht="18" x14ac:dyDescent="0.35">
      <c r="A7089" s="9"/>
      <c r="C7089" s="393"/>
      <c r="E7089" s="394"/>
      <c r="F7089" s="394"/>
      <c r="G7089" s="394"/>
      <c r="I7089" s="368">
        <f t="shared" si="336"/>
        <v>0</v>
      </c>
      <c r="J7089" s="365">
        <f t="shared" si="337"/>
        <v>0</v>
      </c>
      <c r="K7089" s="369">
        <f t="shared" si="338"/>
        <v>6</v>
      </c>
      <c r="L7089" s="369">
        <f>+IF((C7089&gt;='Resultats - informe'!$E$16)*(C7089&lt;='Resultats - informe'!$G$16),1,0)</f>
        <v>1</v>
      </c>
      <c r="M7089" s="369" cm="1">
        <f t="array" ref="M7089">+_xlfn.IFS((C7089&gt;='Resultats - informe'!$D$26)*(C7089&lt;='Resultats - informe'!$E$26),0,(C7089&gt;='Resultats - informe'!$D$27)*(C7089&lt;='Resultats - informe'!$E$27),0,(C7089&gt;='Resultats - informe'!$D$28)*(C7089&lt;='Resultats - informe'!$E$28),0,(C7089&gt;='Resultats - informe'!$D$29)*(C7089&lt;='Resultats - informe'!$E$29),0,1,1)</f>
        <v>0</v>
      </c>
      <c r="N7089" s="366">
        <f>+VLOOKUP(D7089,'Resultats - informe'!$Y$18:$AG$42,'Introducció dades consum'!K7089+1,0)</f>
        <v>0</v>
      </c>
      <c r="O7089" s="370" cm="1">
        <f t="array" ref="O7089">+_xlfn.SWITCH(MONTH(C7089),1,1,2,1,3,1,4,2,5,2,6,3,7,3,8,3,9,3,10,2,11,2,12,1,2)</f>
        <v>1</v>
      </c>
      <c r="P7089" s="43"/>
    </row>
    <row r="7090" spans="1:16" ht="18" x14ac:dyDescent="0.35">
      <c r="A7090" s="9"/>
      <c r="C7090" s="393"/>
      <c r="E7090" s="394"/>
      <c r="F7090" s="394"/>
      <c r="G7090" s="394"/>
      <c r="I7090" s="368">
        <f t="shared" si="336"/>
        <v>0</v>
      </c>
      <c r="J7090" s="365">
        <f t="shared" si="337"/>
        <v>0</v>
      </c>
      <c r="K7090" s="369">
        <f t="shared" si="338"/>
        <v>6</v>
      </c>
      <c r="L7090" s="369">
        <f>+IF((C7090&gt;='Resultats - informe'!$E$16)*(C7090&lt;='Resultats - informe'!$G$16),1,0)</f>
        <v>1</v>
      </c>
      <c r="M7090" s="369" cm="1">
        <f t="array" ref="M7090">+_xlfn.IFS((C7090&gt;='Resultats - informe'!$D$26)*(C7090&lt;='Resultats - informe'!$E$26),0,(C7090&gt;='Resultats - informe'!$D$27)*(C7090&lt;='Resultats - informe'!$E$27),0,(C7090&gt;='Resultats - informe'!$D$28)*(C7090&lt;='Resultats - informe'!$E$28),0,(C7090&gt;='Resultats - informe'!$D$29)*(C7090&lt;='Resultats - informe'!$E$29),0,1,1)</f>
        <v>0</v>
      </c>
      <c r="N7090" s="366">
        <f>+VLOOKUP(D7090,'Resultats - informe'!$Y$18:$AG$42,'Introducció dades consum'!K7090+1,0)</f>
        <v>0</v>
      </c>
      <c r="O7090" s="370" cm="1">
        <f t="array" ref="O7090">+_xlfn.SWITCH(MONTH(C7090),1,1,2,1,3,1,4,2,5,2,6,3,7,3,8,3,9,3,10,2,11,2,12,1,2)</f>
        <v>1</v>
      </c>
      <c r="P7090" s="43"/>
    </row>
    <row r="7091" spans="1:16" ht="18" x14ac:dyDescent="0.35">
      <c r="A7091" s="9"/>
      <c r="C7091" s="393"/>
      <c r="E7091" s="394"/>
      <c r="F7091" s="394"/>
      <c r="G7091" s="394"/>
      <c r="I7091" s="368">
        <f t="shared" si="336"/>
        <v>0</v>
      </c>
      <c r="J7091" s="365">
        <f t="shared" si="337"/>
        <v>0</v>
      </c>
      <c r="K7091" s="369">
        <f t="shared" si="338"/>
        <v>6</v>
      </c>
      <c r="L7091" s="369">
        <f>+IF((C7091&gt;='Resultats - informe'!$E$16)*(C7091&lt;='Resultats - informe'!$G$16),1,0)</f>
        <v>1</v>
      </c>
      <c r="M7091" s="369" cm="1">
        <f t="array" ref="M7091">+_xlfn.IFS((C7091&gt;='Resultats - informe'!$D$26)*(C7091&lt;='Resultats - informe'!$E$26),0,(C7091&gt;='Resultats - informe'!$D$27)*(C7091&lt;='Resultats - informe'!$E$27),0,(C7091&gt;='Resultats - informe'!$D$28)*(C7091&lt;='Resultats - informe'!$E$28),0,(C7091&gt;='Resultats - informe'!$D$29)*(C7091&lt;='Resultats - informe'!$E$29),0,1,1)</f>
        <v>0</v>
      </c>
      <c r="N7091" s="366">
        <f>+VLOOKUP(D7091,'Resultats - informe'!$Y$18:$AG$42,'Introducció dades consum'!K7091+1,0)</f>
        <v>0</v>
      </c>
      <c r="O7091" s="370" cm="1">
        <f t="array" ref="O7091">+_xlfn.SWITCH(MONTH(C7091),1,1,2,1,3,1,4,2,5,2,6,3,7,3,8,3,9,3,10,2,11,2,12,1,2)</f>
        <v>1</v>
      </c>
      <c r="P7091" s="43"/>
    </row>
    <row r="7092" spans="1:16" ht="18" x14ac:dyDescent="0.35">
      <c r="A7092" s="9"/>
      <c r="C7092" s="393"/>
      <c r="E7092" s="394"/>
      <c r="F7092" s="394"/>
      <c r="G7092" s="394"/>
      <c r="I7092" s="368">
        <f t="shared" si="336"/>
        <v>0</v>
      </c>
      <c r="J7092" s="365">
        <f t="shared" si="337"/>
        <v>0</v>
      </c>
      <c r="K7092" s="369">
        <f t="shared" si="338"/>
        <v>6</v>
      </c>
      <c r="L7092" s="369">
        <f>+IF((C7092&gt;='Resultats - informe'!$E$16)*(C7092&lt;='Resultats - informe'!$G$16),1,0)</f>
        <v>1</v>
      </c>
      <c r="M7092" s="369" cm="1">
        <f t="array" ref="M7092">+_xlfn.IFS((C7092&gt;='Resultats - informe'!$D$26)*(C7092&lt;='Resultats - informe'!$E$26),0,(C7092&gt;='Resultats - informe'!$D$27)*(C7092&lt;='Resultats - informe'!$E$27),0,(C7092&gt;='Resultats - informe'!$D$28)*(C7092&lt;='Resultats - informe'!$E$28),0,(C7092&gt;='Resultats - informe'!$D$29)*(C7092&lt;='Resultats - informe'!$E$29),0,1,1)</f>
        <v>0</v>
      </c>
      <c r="N7092" s="366">
        <f>+VLOOKUP(D7092,'Resultats - informe'!$Y$18:$AG$42,'Introducció dades consum'!K7092+1,0)</f>
        <v>0</v>
      </c>
      <c r="O7092" s="370" cm="1">
        <f t="array" ref="O7092">+_xlfn.SWITCH(MONTH(C7092),1,1,2,1,3,1,4,2,5,2,6,3,7,3,8,3,9,3,10,2,11,2,12,1,2)</f>
        <v>1</v>
      </c>
      <c r="P7092" s="43"/>
    </row>
    <row r="7093" spans="1:16" ht="18" x14ac:dyDescent="0.35">
      <c r="A7093" s="9"/>
      <c r="C7093" s="393"/>
      <c r="E7093" s="394"/>
      <c r="F7093" s="394"/>
      <c r="G7093" s="394"/>
      <c r="I7093" s="368">
        <f t="shared" si="336"/>
        <v>0</v>
      </c>
      <c r="J7093" s="365">
        <f t="shared" si="337"/>
        <v>0</v>
      </c>
      <c r="K7093" s="369">
        <f t="shared" si="338"/>
        <v>6</v>
      </c>
      <c r="L7093" s="369">
        <f>+IF((C7093&gt;='Resultats - informe'!$E$16)*(C7093&lt;='Resultats - informe'!$G$16),1,0)</f>
        <v>1</v>
      </c>
      <c r="M7093" s="369" cm="1">
        <f t="array" ref="M7093">+_xlfn.IFS((C7093&gt;='Resultats - informe'!$D$26)*(C7093&lt;='Resultats - informe'!$E$26),0,(C7093&gt;='Resultats - informe'!$D$27)*(C7093&lt;='Resultats - informe'!$E$27),0,(C7093&gt;='Resultats - informe'!$D$28)*(C7093&lt;='Resultats - informe'!$E$28),0,(C7093&gt;='Resultats - informe'!$D$29)*(C7093&lt;='Resultats - informe'!$E$29),0,1,1)</f>
        <v>0</v>
      </c>
      <c r="N7093" s="366">
        <f>+VLOOKUP(D7093,'Resultats - informe'!$Y$18:$AG$42,'Introducció dades consum'!K7093+1,0)</f>
        <v>0</v>
      </c>
      <c r="O7093" s="370" cm="1">
        <f t="array" ref="O7093">+_xlfn.SWITCH(MONTH(C7093),1,1,2,1,3,1,4,2,5,2,6,3,7,3,8,3,9,3,10,2,11,2,12,1,2)</f>
        <v>1</v>
      </c>
      <c r="P7093" s="43"/>
    </row>
    <row r="7094" spans="1:16" ht="18" x14ac:dyDescent="0.35">
      <c r="A7094" s="9"/>
      <c r="C7094" s="393"/>
      <c r="E7094" s="394"/>
      <c r="F7094" s="394"/>
      <c r="G7094" s="394"/>
      <c r="I7094" s="368">
        <f t="shared" si="336"/>
        <v>0</v>
      </c>
      <c r="J7094" s="365">
        <f t="shared" si="337"/>
        <v>0</v>
      </c>
      <c r="K7094" s="369">
        <f t="shared" si="338"/>
        <v>6</v>
      </c>
      <c r="L7094" s="369">
        <f>+IF((C7094&gt;='Resultats - informe'!$E$16)*(C7094&lt;='Resultats - informe'!$G$16),1,0)</f>
        <v>1</v>
      </c>
      <c r="M7094" s="369" cm="1">
        <f t="array" ref="M7094">+_xlfn.IFS((C7094&gt;='Resultats - informe'!$D$26)*(C7094&lt;='Resultats - informe'!$E$26),0,(C7094&gt;='Resultats - informe'!$D$27)*(C7094&lt;='Resultats - informe'!$E$27),0,(C7094&gt;='Resultats - informe'!$D$28)*(C7094&lt;='Resultats - informe'!$E$28),0,(C7094&gt;='Resultats - informe'!$D$29)*(C7094&lt;='Resultats - informe'!$E$29),0,1,1)</f>
        <v>0</v>
      </c>
      <c r="N7094" s="366">
        <f>+VLOOKUP(D7094,'Resultats - informe'!$Y$18:$AG$42,'Introducció dades consum'!K7094+1,0)</f>
        <v>0</v>
      </c>
      <c r="O7094" s="370" cm="1">
        <f t="array" ref="O7094">+_xlfn.SWITCH(MONTH(C7094),1,1,2,1,3,1,4,2,5,2,6,3,7,3,8,3,9,3,10,2,11,2,12,1,2)</f>
        <v>1</v>
      </c>
      <c r="P7094" s="43"/>
    </row>
    <row r="7095" spans="1:16" ht="18" x14ac:dyDescent="0.35">
      <c r="A7095" s="9"/>
      <c r="C7095" s="393"/>
      <c r="E7095" s="394"/>
      <c r="F7095" s="394"/>
      <c r="G7095" s="394"/>
      <c r="I7095" s="368">
        <f t="shared" si="336"/>
        <v>0</v>
      </c>
      <c r="J7095" s="365">
        <f t="shared" si="337"/>
        <v>0</v>
      </c>
      <c r="K7095" s="369">
        <f t="shared" si="338"/>
        <v>6</v>
      </c>
      <c r="L7095" s="369">
        <f>+IF((C7095&gt;='Resultats - informe'!$E$16)*(C7095&lt;='Resultats - informe'!$G$16),1,0)</f>
        <v>1</v>
      </c>
      <c r="M7095" s="369" cm="1">
        <f t="array" ref="M7095">+_xlfn.IFS((C7095&gt;='Resultats - informe'!$D$26)*(C7095&lt;='Resultats - informe'!$E$26),0,(C7095&gt;='Resultats - informe'!$D$27)*(C7095&lt;='Resultats - informe'!$E$27),0,(C7095&gt;='Resultats - informe'!$D$28)*(C7095&lt;='Resultats - informe'!$E$28),0,(C7095&gt;='Resultats - informe'!$D$29)*(C7095&lt;='Resultats - informe'!$E$29),0,1,1)</f>
        <v>0</v>
      </c>
      <c r="N7095" s="366">
        <f>+VLOOKUP(D7095,'Resultats - informe'!$Y$18:$AG$42,'Introducció dades consum'!K7095+1,0)</f>
        <v>0</v>
      </c>
      <c r="O7095" s="370" cm="1">
        <f t="array" ref="O7095">+_xlfn.SWITCH(MONTH(C7095),1,1,2,1,3,1,4,2,5,2,6,3,7,3,8,3,9,3,10,2,11,2,12,1,2)</f>
        <v>1</v>
      </c>
      <c r="P7095" s="43"/>
    </row>
    <row r="7096" spans="1:16" ht="18" x14ac:dyDescent="0.35">
      <c r="A7096" s="9"/>
      <c r="C7096" s="393"/>
      <c r="E7096" s="394"/>
      <c r="F7096" s="394"/>
      <c r="G7096" s="394"/>
      <c r="I7096" s="368">
        <f t="shared" si="336"/>
        <v>0</v>
      </c>
      <c r="J7096" s="365">
        <f t="shared" si="337"/>
        <v>0</v>
      </c>
      <c r="K7096" s="369">
        <f t="shared" si="338"/>
        <v>6</v>
      </c>
      <c r="L7096" s="369">
        <f>+IF((C7096&gt;='Resultats - informe'!$E$16)*(C7096&lt;='Resultats - informe'!$G$16),1,0)</f>
        <v>1</v>
      </c>
      <c r="M7096" s="369" cm="1">
        <f t="array" ref="M7096">+_xlfn.IFS((C7096&gt;='Resultats - informe'!$D$26)*(C7096&lt;='Resultats - informe'!$E$26),0,(C7096&gt;='Resultats - informe'!$D$27)*(C7096&lt;='Resultats - informe'!$E$27),0,(C7096&gt;='Resultats - informe'!$D$28)*(C7096&lt;='Resultats - informe'!$E$28),0,(C7096&gt;='Resultats - informe'!$D$29)*(C7096&lt;='Resultats - informe'!$E$29),0,1,1)</f>
        <v>0</v>
      </c>
      <c r="N7096" s="366">
        <f>+VLOOKUP(D7096,'Resultats - informe'!$Y$18:$AG$42,'Introducció dades consum'!K7096+1,0)</f>
        <v>0</v>
      </c>
      <c r="O7096" s="370" cm="1">
        <f t="array" ref="O7096">+_xlfn.SWITCH(MONTH(C7096),1,1,2,1,3,1,4,2,5,2,6,3,7,3,8,3,9,3,10,2,11,2,12,1,2)</f>
        <v>1</v>
      </c>
      <c r="P7096" s="43"/>
    </row>
    <row r="7097" spans="1:16" ht="18" x14ac:dyDescent="0.35">
      <c r="A7097" s="9"/>
      <c r="C7097" s="393"/>
      <c r="E7097" s="394"/>
      <c r="F7097" s="394"/>
      <c r="G7097" s="394"/>
      <c r="I7097" s="368">
        <f t="shared" si="336"/>
        <v>0</v>
      </c>
      <c r="J7097" s="365">
        <f t="shared" si="337"/>
        <v>0</v>
      </c>
      <c r="K7097" s="369">
        <f t="shared" si="338"/>
        <v>6</v>
      </c>
      <c r="L7097" s="369">
        <f>+IF((C7097&gt;='Resultats - informe'!$E$16)*(C7097&lt;='Resultats - informe'!$G$16),1,0)</f>
        <v>1</v>
      </c>
      <c r="M7097" s="369" cm="1">
        <f t="array" ref="M7097">+_xlfn.IFS((C7097&gt;='Resultats - informe'!$D$26)*(C7097&lt;='Resultats - informe'!$E$26),0,(C7097&gt;='Resultats - informe'!$D$27)*(C7097&lt;='Resultats - informe'!$E$27),0,(C7097&gt;='Resultats - informe'!$D$28)*(C7097&lt;='Resultats - informe'!$E$28),0,(C7097&gt;='Resultats - informe'!$D$29)*(C7097&lt;='Resultats - informe'!$E$29),0,1,1)</f>
        <v>0</v>
      </c>
      <c r="N7097" s="366">
        <f>+VLOOKUP(D7097,'Resultats - informe'!$Y$18:$AG$42,'Introducció dades consum'!K7097+1,0)</f>
        <v>0</v>
      </c>
      <c r="O7097" s="370" cm="1">
        <f t="array" ref="O7097">+_xlfn.SWITCH(MONTH(C7097),1,1,2,1,3,1,4,2,5,2,6,3,7,3,8,3,9,3,10,2,11,2,12,1,2)</f>
        <v>1</v>
      </c>
      <c r="P7097" s="43"/>
    </row>
    <row r="7098" spans="1:16" ht="18" x14ac:dyDescent="0.35">
      <c r="A7098" s="9"/>
      <c r="C7098" s="393"/>
      <c r="E7098" s="394"/>
      <c r="F7098" s="394"/>
      <c r="G7098" s="394"/>
      <c r="I7098" s="368">
        <f t="shared" si="336"/>
        <v>0</v>
      </c>
      <c r="J7098" s="365">
        <f t="shared" si="337"/>
        <v>0</v>
      </c>
      <c r="K7098" s="369">
        <f t="shared" si="338"/>
        <v>6</v>
      </c>
      <c r="L7098" s="369">
        <f>+IF((C7098&gt;='Resultats - informe'!$E$16)*(C7098&lt;='Resultats - informe'!$G$16),1,0)</f>
        <v>1</v>
      </c>
      <c r="M7098" s="369" cm="1">
        <f t="array" ref="M7098">+_xlfn.IFS((C7098&gt;='Resultats - informe'!$D$26)*(C7098&lt;='Resultats - informe'!$E$26),0,(C7098&gt;='Resultats - informe'!$D$27)*(C7098&lt;='Resultats - informe'!$E$27),0,(C7098&gt;='Resultats - informe'!$D$28)*(C7098&lt;='Resultats - informe'!$E$28),0,(C7098&gt;='Resultats - informe'!$D$29)*(C7098&lt;='Resultats - informe'!$E$29),0,1,1)</f>
        <v>0</v>
      </c>
      <c r="N7098" s="366">
        <f>+VLOOKUP(D7098,'Resultats - informe'!$Y$18:$AG$42,'Introducció dades consum'!K7098+1,0)</f>
        <v>0</v>
      </c>
      <c r="O7098" s="370" cm="1">
        <f t="array" ref="O7098">+_xlfn.SWITCH(MONTH(C7098),1,1,2,1,3,1,4,2,5,2,6,3,7,3,8,3,9,3,10,2,11,2,12,1,2)</f>
        <v>1</v>
      </c>
      <c r="P7098" s="43"/>
    </row>
    <row r="7099" spans="1:16" ht="18" x14ac:dyDescent="0.35">
      <c r="A7099" s="9"/>
      <c r="C7099" s="393"/>
      <c r="E7099" s="394"/>
      <c r="F7099" s="394"/>
      <c r="G7099" s="394"/>
      <c r="I7099" s="368">
        <f t="shared" si="336"/>
        <v>0</v>
      </c>
      <c r="J7099" s="365">
        <f t="shared" si="337"/>
        <v>0</v>
      </c>
      <c r="K7099" s="369">
        <f t="shared" si="338"/>
        <v>6</v>
      </c>
      <c r="L7099" s="369">
        <f>+IF((C7099&gt;='Resultats - informe'!$E$16)*(C7099&lt;='Resultats - informe'!$G$16),1,0)</f>
        <v>1</v>
      </c>
      <c r="M7099" s="369" cm="1">
        <f t="array" ref="M7099">+_xlfn.IFS((C7099&gt;='Resultats - informe'!$D$26)*(C7099&lt;='Resultats - informe'!$E$26),0,(C7099&gt;='Resultats - informe'!$D$27)*(C7099&lt;='Resultats - informe'!$E$27),0,(C7099&gt;='Resultats - informe'!$D$28)*(C7099&lt;='Resultats - informe'!$E$28),0,(C7099&gt;='Resultats - informe'!$D$29)*(C7099&lt;='Resultats - informe'!$E$29),0,1,1)</f>
        <v>0</v>
      </c>
      <c r="N7099" s="366">
        <f>+VLOOKUP(D7099,'Resultats - informe'!$Y$18:$AG$42,'Introducció dades consum'!K7099+1,0)</f>
        <v>0</v>
      </c>
      <c r="O7099" s="370" cm="1">
        <f t="array" ref="O7099">+_xlfn.SWITCH(MONTH(C7099),1,1,2,1,3,1,4,2,5,2,6,3,7,3,8,3,9,3,10,2,11,2,12,1,2)</f>
        <v>1</v>
      </c>
      <c r="P7099" s="43"/>
    </row>
    <row r="7100" spans="1:16" ht="18" x14ac:dyDescent="0.35">
      <c r="A7100" s="9"/>
      <c r="C7100" s="393"/>
      <c r="E7100" s="394"/>
      <c r="F7100" s="394"/>
      <c r="G7100" s="394"/>
      <c r="I7100" s="368">
        <f t="shared" si="336"/>
        <v>0</v>
      </c>
      <c r="J7100" s="365">
        <f t="shared" si="337"/>
        <v>0</v>
      </c>
      <c r="K7100" s="369">
        <f t="shared" si="338"/>
        <v>6</v>
      </c>
      <c r="L7100" s="369">
        <f>+IF((C7100&gt;='Resultats - informe'!$E$16)*(C7100&lt;='Resultats - informe'!$G$16),1,0)</f>
        <v>1</v>
      </c>
      <c r="M7100" s="369" cm="1">
        <f t="array" ref="M7100">+_xlfn.IFS((C7100&gt;='Resultats - informe'!$D$26)*(C7100&lt;='Resultats - informe'!$E$26),0,(C7100&gt;='Resultats - informe'!$D$27)*(C7100&lt;='Resultats - informe'!$E$27),0,(C7100&gt;='Resultats - informe'!$D$28)*(C7100&lt;='Resultats - informe'!$E$28),0,(C7100&gt;='Resultats - informe'!$D$29)*(C7100&lt;='Resultats - informe'!$E$29),0,1,1)</f>
        <v>0</v>
      </c>
      <c r="N7100" s="366">
        <f>+VLOOKUP(D7100,'Resultats - informe'!$Y$18:$AG$42,'Introducció dades consum'!K7100+1,0)</f>
        <v>0</v>
      </c>
      <c r="O7100" s="370" cm="1">
        <f t="array" ref="O7100">+_xlfn.SWITCH(MONTH(C7100),1,1,2,1,3,1,4,2,5,2,6,3,7,3,8,3,9,3,10,2,11,2,12,1,2)</f>
        <v>1</v>
      </c>
      <c r="P7100" s="43"/>
    </row>
    <row r="7101" spans="1:16" ht="18" x14ac:dyDescent="0.35">
      <c r="A7101" s="9"/>
      <c r="C7101" s="393"/>
      <c r="E7101" s="394"/>
      <c r="F7101" s="394"/>
      <c r="G7101" s="394"/>
      <c r="I7101" s="368">
        <f t="shared" si="336"/>
        <v>0</v>
      </c>
      <c r="J7101" s="365">
        <f t="shared" si="337"/>
        <v>0</v>
      </c>
      <c r="K7101" s="369">
        <f t="shared" si="338"/>
        <v>6</v>
      </c>
      <c r="L7101" s="369">
        <f>+IF((C7101&gt;='Resultats - informe'!$E$16)*(C7101&lt;='Resultats - informe'!$G$16),1,0)</f>
        <v>1</v>
      </c>
      <c r="M7101" s="369" cm="1">
        <f t="array" ref="M7101">+_xlfn.IFS((C7101&gt;='Resultats - informe'!$D$26)*(C7101&lt;='Resultats - informe'!$E$26),0,(C7101&gt;='Resultats - informe'!$D$27)*(C7101&lt;='Resultats - informe'!$E$27),0,(C7101&gt;='Resultats - informe'!$D$28)*(C7101&lt;='Resultats - informe'!$E$28),0,(C7101&gt;='Resultats - informe'!$D$29)*(C7101&lt;='Resultats - informe'!$E$29),0,1,1)</f>
        <v>0</v>
      </c>
      <c r="N7101" s="366">
        <f>+VLOOKUP(D7101,'Resultats - informe'!$Y$18:$AG$42,'Introducció dades consum'!K7101+1,0)</f>
        <v>0</v>
      </c>
      <c r="O7101" s="370" cm="1">
        <f t="array" ref="O7101">+_xlfn.SWITCH(MONTH(C7101),1,1,2,1,3,1,4,2,5,2,6,3,7,3,8,3,9,3,10,2,11,2,12,1,2)</f>
        <v>1</v>
      </c>
      <c r="P7101" s="43"/>
    </row>
    <row r="7102" spans="1:16" ht="18" x14ac:dyDescent="0.35">
      <c r="A7102" s="9"/>
      <c r="C7102" s="393"/>
      <c r="E7102" s="394"/>
      <c r="F7102" s="394"/>
      <c r="G7102" s="394"/>
      <c r="I7102" s="368">
        <f t="shared" si="336"/>
        <v>0</v>
      </c>
      <c r="J7102" s="365">
        <f t="shared" si="337"/>
        <v>0</v>
      </c>
      <c r="K7102" s="369">
        <f t="shared" si="338"/>
        <v>6</v>
      </c>
      <c r="L7102" s="369">
        <f>+IF((C7102&gt;='Resultats - informe'!$E$16)*(C7102&lt;='Resultats - informe'!$G$16),1,0)</f>
        <v>1</v>
      </c>
      <c r="M7102" s="369" cm="1">
        <f t="array" ref="M7102">+_xlfn.IFS((C7102&gt;='Resultats - informe'!$D$26)*(C7102&lt;='Resultats - informe'!$E$26),0,(C7102&gt;='Resultats - informe'!$D$27)*(C7102&lt;='Resultats - informe'!$E$27),0,(C7102&gt;='Resultats - informe'!$D$28)*(C7102&lt;='Resultats - informe'!$E$28),0,(C7102&gt;='Resultats - informe'!$D$29)*(C7102&lt;='Resultats - informe'!$E$29),0,1,1)</f>
        <v>0</v>
      </c>
      <c r="N7102" s="366">
        <f>+VLOOKUP(D7102,'Resultats - informe'!$Y$18:$AG$42,'Introducció dades consum'!K7102+1,0)</f>
        <v>0</v>
      </c>
      <c r="O7102" s="370" cm="1">
        <f t="array" ref="O7102">+_xlfn.SWITCH(MONTH(C7102),1,1,2,1,3,1,4,2,5,2,6,3,7,3,8,3,9,3,10,2,11,2,12,1,2)</f>
        <v>1</v>
      </c>
      <c r="P7102" s="43"/>
    </row>
    <row r="7103" spans="1:16" ht="18" x14ac:dyDescent="0.35">
      <c r="A7103" s="9"/>
      <c r="C7103" s="393"/>
      <c r="E7103" s="394"/>
      <c r="F7103" s="394"/>
      <c r="G7103" s="394"/>
      <c r="I7103" s="368">
        <f t="shared" si="336"/>
        <v>0</v>
      </c>
      <c r="J7103" s="365">
        <f t="shared" si="337"/>
        <v>0</v>
      </c>
      <c r="K7103" s="369">
        <f t="shared" si="338"/>
        <v>6</v>
      </c>
      <c r="L7103" s="369">
        <f>+IF((C7103&gt;='Resultats - informe'!$E$16)*(C7103&lt;='Resultats - informe'!$G$16),1,0)</f>
        <v>1</v>
      </c>
      <c r="M7103" s="369" cm="1">
        <f t="array" ref="M7103">+_xlfn.IFS((C7103&gt;='Resultats - informe'!$D$26)*(C7103&lt;='Resultats - informe'!$E$26),0,(C7103&gt;='Resultats - informe'!$D$27)*(C7103&lt;='Resultats - informe'!$E$27),0,(C7103&gt;='Resultats - informe'!$D$28)*(C7103&lt;='Resultats - informe'!$E$28),0,(C7103&gt;='Resultats - informe'!$D$29)*(C7103&lt;='Resultats - informe'!$E$29),0,1,1)</f>
        <v>0</v>
      </c>
      <c r="N7103" s="366">
        <f>+VLOOKUP(D7103,'Resultats - informe'!$Y$18:$AG$42,'Introducció dades consum'!K7103+1,0)</f>
        <v>0</v>
      </c>
      <c r="O7103" s="370" cm="1">
        <f t="array" ref="O7103">+_xlfn.SWITCH(MONTH(C7103),1,1,2,1,3,1,4,2,5,2,6,3,7,3,8,3,9,3,10,2,11,2,12,1,2)</f>
        <v>1</v>
      </c>
      <c r="P7103" s="43"/>
    </row>
    <row r="7104" spans="1:16" ht="18" x14ac:dyDescent="0.35">
      <c r="A7104" s="9"/>
      <c r="C7104" s="393"/>
      <c r="E7104" s="394"/>
      <c r="F7104" s="394"/>
      <c r="G7104" s="394"/>
      <c r="I7104" s="368">
        <f t="shared" si="336"/>
        <v>0</v>
      </c>
      <c r="J7104" s="365">
        <f t="shared" si="337"/>
        <v>0</v>
      </c>
      <c r="K7104" s="369">
        <f t="shared" si="338"/>
        <v>6</v>
      </c>
      <c r="L7104" s="369">
        <f>+IF((C7104&gt;='Resultats - informe'!$E$16)*(C7104&lt;='Resultats - informe'!$G$16),1,0)</f>
        <v>1</v>
      </c>
      <c r="M7104" s="369" cm="1">
        <f t="array" ref="M7104">+_xlfn.IFS((C7104&gt;='Resultats - informe'!$D$26)*(C7104&lt;='Resultats - informe'!$E$26),0,(C7104&gt;='Resultats - informe'!$D$27)*(C7104&lt;='Resultats - informe'!$E$27),0,(C7104&gt;='Resultats - informe'!$D$28)*(C7104&lt;='Resultats - informe'!$E$28),0,(C7104&gt;='Resultats - informe'!$D$29)*(C7104&lt;='Resultats - informe'!$E$29),0,1,1)</f>
        <v>0</v>
      </c>
      <c r="N7104" s="366">
        <f>+VLOOKUP(D7104,'Resultats - informe'!$Y$18:$AG$42,'Introducció dades consum'!K7104+1,0)</f>
        <v>0</v>
      </c>
      <c r="O7104" s="370" cm="1">
        <f t="array" ref="O7104">+_xlfn.SWITCH(MONTH(C7104),1,1,2,1,3,1,4,2,5,2,6,3,7,3,8,3,9,3,10,2,11,2,12,1,2)</f>
        <v>1</v>
      </c>
      <c r="P7104" s="43"/>
    </row>
    <row r="7105" spans="1:16" ht="18" x14ac:dyDescent="0.35">
      <c r="A7105" s="9"/>
      <c r="C7105" s="393"/>
      <c r="E7105" s="394"/>
      <c r="F7105" s="394"/>
      <c r="G7105" s="394"/>
      <c r="I7105" s="368">
        <f t="shared" si="336"/>
        <v>0</v>
      </c>
      <c r="J7105" s="365">
        <f t="shared" si="337"/>
        <v>0</v>
      </c>
      <c r="K7105" s="369">
        <f t="shared" si="338"/>
        <v>6</v>
      </c>
      <c r="L7105" s="369">
        <f>+IF((C7105&gt;='Resultats - informe'!$E$16)*(C7105&lt;='Resultats - informe'!$G$16),1,0)</f>
        <v>1</v>
      </c>
      <c r="M7105" s="369" cm="1">
        <f t="array" ref="M7105">+_xlfn.IFS((C7105&gt;='Resultats - informe'!$D$26)*(C7105&lt;='Resultats - informe'!$E$26),0,(C7105&gt;='Resultats - informe'!$D$27)*(C7105&lt;='Resultats - informe'!$E$27),0,(C7105&gt;='Resultats - informe'!$D$28)*(C7105&lt;='Resultats - informe'!$E$28),0,(C7105&gt;='Resultats - informe'!$D$29)*(C7105&lt;='Resultats - informe'!$E$29),0,1,1)</f>
        <v>0</v>
      </c>
      <c r="N7105" s="366">
        <f>+VLOOKUP(D7105,'Resultats - informe'!$Y$18:$AG$42,'Introducció dades consum'!K7105+1,0)</f>
        <v>0</v>
      </c>
      <c r="O7105" s="370" cm="1">
        <f t="array" ref="O7105">+_xlfn.SWITCH(MONTH(C7105),1,1,2,1,3,1,4,2,5,2,6,3,7,3,8,3,9,3,10,2,11,2,12,1,2)</f>
        <v>1</v>
      </c>
      <c r="P7105" s="43"/>
    </row>
    <row r="7106" spans="1:16" ht="18" x14ac:dyDescent="0.35">
      <c r="A7106" s="9"/>
      <c r="C7106" s="393"/>
      <c r="E7106" s="394"/>
      <c r="F7106" s="394"/>
      <c r="G7106" s="394"/>
      <c r="I7106" s="368">
        <f t="shared" si="336"/>
        <v>0</v>
      </c>
      <c r="J7106" s="365">
        <f t="shared" si="337"/>
        <v>0</v>
      </c>
      <c r="K7106" s="369">
        <f t="shared" si="338"/>
        <v>6</v>
      </c>
      <c r="L7106" s="369">
        <f>+IF((C7106&gt;='Resultats - informe'!$E$16)*(C7106&lt;='Resultats - informe'!$G$16),1,0)</f>
        <v>1</v>
      </c>
      <c r="M7106" s="369" cm="1">
        <f t="array" ref="M7106">+_xlfn.IFS((C7106&gt;='Resultats - informe'!$D$26)*(C7106&lt;='Resultats - informe'!$E$26),0,(C7106&gt;='Resultats - informe'!$D$27)*(C7106&lt;='Resultats - informe'!$E$27),0,(C7106&gt;='Resultats - informe'!$D$28)*(C7106&lt;='Resultats - informe'!$E$28),0,(C7106&gt;='Resultats - informe'!$D$29)*(C7106&lt;='Resultats - informe'!$E$29),0,1,1)</f>
        <v>0</v>
      </c>
      <c r="N7106" s="366">
        <f>+VLOOKUP(D7106,'Resultats - informe'!$Y$18:$AG$42,'Introducció dades consum'!K7106+1,0)</f>
        <v>0</v>
      </c>
      <c r="O7106" s="370" cm="1">
        <f t="array" ref="O7106">+_xlfn.SWITCH(MONTH(C7106),1,1,2,1,3,1,4,2,5,2,6,3,7,3,8,3,9,3,10,2,11,2,12,1,2)</f>
        <v>1</v>
      </c>
      <c r="P7106" s="43"/>
    </row>
    <row r="7107" spans="1:16" ht="18" x14ac:dyDescent="0.35">
      <c r="A7107" s="9"/>
      <c r="C7107" s="393"/>
      <c r="E7107" s="394"/>
      <c r="F7107" s="394"/>
      <c r="G7107" s="394"/>
      <c r="I7107" s="368">
        <f t="shared" si="336"/>
        <v>0</v>
      </c>
      <c r="J7107" s="365">
        <f t="shared" si="337"/>
        <v>0</v>
      </c>
      <c r="K7107" s="369">
        <f t="shared" si="338"/>
        <v>6</v>
      </c>
      <c r="L7107" s="369">
        <f>+IF((C7107&gt;='Resultats - informe'!$E$16)*(C7107&lt;='Resultats - informe'!$G$16),1,0)</f>
        <v>1</v>
      </c>
      <c r="M7107" s="369" cm="1">
        <f t="array" ref="M7107">+_xlfn.IFS((C7107&gt;='Resultats - informe'!$D$26)*(C7107&lt;='Resultats - informe'!$E$26),0,(C7107&gt;='Resultats - informe'!$D$27)*(C7107&lt;='Resultats - informe'!$E$27),0,(C7107&gt;='Resultats - informe'!$D$28)*(C7107&lt;='Resultats - informe'!$E$28),0,(C7107&gt;='Resultats - informe'!$D$29)*(C7107&lt;='Resultats - informe'!$E$29),0,1,1)</f>
        <v>0</v>
      </c>
      <c r="N7107" s="366">
        <f>+VLOOKUP(D7107,'Resultats - informe'!$Y$18:$AG$42,'Introducció dades consum'!K7107+1,0)</f>
        <v>0</v>
      </c>
      <c r="O7107" s="370" cm="1">
        <f t="array" ref="O7107">+_xlfn.SWITCH(MONTH(C7107),1,1,2,1,3,1,4,2,5,2,6,3,7,3,8,3,9,3,10,2,11,2,12,1,2)</f>
        <v>1</v>
      </c>
      <c r="P7107" s="43"/>
    </row>
    <row r="7108" spans="1:16" ht="18" x14ac:dyDescent="0.35">
      <c r="A7108" s="9"/>
      <c r="C7108" s="393"/>
      <c r="E7108" s="394"/>
      <c r="F7108" s="394"/>
      <c r="G7108" s="394"/>
      <c r="I7108" s="368">
        <f t="shared" si="336"/>
        <v>0</v>
      </c>
      <c r="J7108" s="365">
        <f t="shared" si="337"/>
        <v>0</v>
      </c>
      <c r="K7108" s="369">
        <f t="shared" si="338"/>
        <v>6</v>
      </c>
      <c r="L7108" s="369">
        <f>+IF((C7108&gt;='Resultats - informe'!$E$16)*(C7108&lt;='Resultats - informe'!$G$16),1,0)</f>
        <v>1</v>
      </c>
      <c r="M7108" s="369" cm="1">
        <f t="array" ref="M7108">+_xlfn.IFS((C7108&gt;='Resultats - informe'!$D$26)*(C7108&lt;='Resultats - informe'!$E$26),0,(C7108&gt;='Resultats - informe'!$D$27)*(C7108&lt;='Resultats - informe'!$E$27),0,(C7108&gt;='Resultats - informe'!$D$28)*(C7108&lt;='Resultats - informe'!$E$28),0,(C7108&gt;='Resultats - informe'!$D$29)*(C7108&lt;='Resultats - informe'!$E$29),0,1,1)</f>
        <v>0</v>
      </c>
      <c r="N7108" s="366">
        <f>+VLOOKUP(D7108,'Resultats - informe'!$Y$18:$AG$42,'Introducció dades consum'!K7108+1,0)</f>
        <v>0</v>
      </c>
      <c r="O7108" s="370" cm="1">
        <f t="array" ref="O7108">+_xlfn.SWITCH(MONTH(C7108),1,1,2,1,3,1,4,2,5,2,6,3,7,3,8,3,9,3,10,2,11,2,12,1,2)</f>
        <v>1</v>
      </c>
      <c r="P7108" s="43"/>
    </row>
    <row r="7109" spans="1:16" ht="18" x14ac:dyDescent="0.35">
      <c r="A7109" s="9"/>
      <c r="C7109" s="393"/>
      <c r="E7109" s="394"/>
      <c r="F7109" s="394"/>
      <c r="G7109" s="394"/>
      <c r="I7109" s="368">
        <f t="shared" si="336"/>
        <v>0</v>
      </c>
      <c r="J7109" s="365">
        <f t="shared" si="337"/>
        <v>0</v>
      </c>
      <c r="K7109" s="369">
        <f t="shared" si="338"/>
        <v>6</v>
      </c>
      <c r="L7109" s="369">
        <f>+IF((C7109&gt;='Resultats - informe'!$E$16)*(C7109&lt;='Resultats - informe'!$G$16),1,0)</f>
        <v>1</v>
      </c>
      <c r="M7109" s="369" cm="1">
        <f t="array" ref="M7109">+_xlfn.IFS((C7109&gt;='Resultats - informe'!$D$26)*(C7109&lt;='Resultats - informe'!$E$26),0,(C7109&gt;='Resultats - informe'!$D$27)*(C7109&lt;='Resultats - informe'!$E$27),0,(C7109&gt;='Resultats - informe'!$D$28)*(C7109&lt;='Resultats - informe'!$E$28),0,(C7109&gt;='Resultats - informe'!$D$29)*(C7109&lt;='Resultats - informe'!$E$29),0,1,1)</f>
        <v>0</v>
      </c>
      <c r="N7109" s="366">
        <f>+VLOOKUP(D7109,'Resultats - informe'!$Y$18:$AG$42,'Introducció dades consum'!K7109+1,0)</f>
        <v>0</v>
      </c>
      <c r="O7109" s="370" cm="1">
        <f t="array" ref="O7109">+_xlfn.SWITCH(MONTH(C7109),1,1,2,1,3,1,4,2,5,2,6,3,7,3,8,3,9,3,10,2,11,2,12,1,2)</f>
        <v>1</v>
      </c>
      <c r="P7109" s="43"/>
    </row>
    <row r="7110" spans="1:16" ht="18" x14ac:dyDescent="0.35">
      <c r="A7110" s="9"/>
      <c r="C7110" s="393"/>
      <c r="E7110" s="394"/>
      <c r="F7110" s="394"/>
      <c r="G7110" s="394"/>
      <c r="I7110" s="368">
        <f t="shared" si="336"/>
        <v>0</v>
      </c>
      <c r="J7110" s="365">
        <f t="shared" si="337"/>
        <v>0</v>
      </c>
      <c r="K7110" s="369">
        <f t="shared" si="338"/>
        <v>6</v>
      </c>
      <c r="L7110" s="369">
        <f>+IF((C7110&gt;='Resultats - informe'!$E$16)*(C7110&lt;='Resultats - informe'!$G$16),1,0)</f>
        <v>1</v>
      </c>
      <c r="M7110" s="369" cm="1">
        <f t="array" ref="M7110">+_xlfn.IFS((C7110&gt;='Resultats - informe'!$D$26)*(C7110&lt;='Resultats - informe'!$E$26),0,(C7110&gt;='Resultats - informe'!$D$27)*(C7110&lt;='Resultats - informe'!$E$27),0,(C7110&gt;='Resultats - informe'!$D$28)*(C7110&lt;='Resultats - informe'!$E$28),0,(C7110&gt;='Resultats - informe'!$D$29)*(C7110&lt;='Resultats - informe'!$E$29),0,1,1)</f>
        <v>0</v>
      </c>
      <c r="N7110" s="366">
        <f>+VLOOKUP(D7110,'Resultats - informe'!$Y$18:$AG$42,'Introducció dades consum'!K7110+1,0)</f>
        <v>0</v>
      </c>
      <c r="O7110" s="370" cm="1">
        <f t="array" ref="O7110">+_xlfn.SWITCH(MONTH(C7110),1,1,2,1,3,1,4,2,5,2,6,3,7,3,8,3,9,3,10,2,11,2,12,1,2)</f>
        <v>1</v>
      </c>
      <c r="P7110" s="43"/>
    </row>
    <row r="7111" spans="1:16" ht="18" x14ac:dyDescent="0.35">
      <c r="A7111" s="9"/>
      <c r="C7111" s="393"/>
      <c r="E7111" s="394"/>
      <c r="F7111" s="394"/>
      <c r="G7111" s="394"/>
      <c r="I7111" s="368">
        <f t="shared" si="336"/>
        <v>0</v>
      </c>
      <c r="J7111" s="365">
        <f t="shared" si="337"/>
        <v>0</v>
      </c>
      <c r="K7111" s="369">
        <f t="shared" si="338"/>
        <v>6</v>
      </c>
      <c r="L7111" s="369">
        <f>+IF((C7111&gt;='Resultats - informe'!$E$16)*(C7111&lt;='Resultats - informe'!$G$16),1,0)</f>
        <v>1</v>
      </c>
      <c r="M7111" s="369" cm="1">
        <f t="array" ref="M7111">+_xlfn.IFS((C7111&gt;='Resultats - informe'!$D$26)*(C7111&lt;='Resultats - informe'!$E$26),0,(C7111&gt;='Resultats - informe'!$D$27)*(C7111&lt;='Resultats - informe'!$E$27),0,(C7111&gt;='Resultats - informe'!$D$28)*(C7111&lt;='Resultats - informe'!$E$28),0,(C7111&gt;='Resultats - informe'!$D$29)*(C7111&lt;='Resultats - informe'!$E$29),0,1,1)</f>
        <v>0</v>
      </c>
      <c r="N7111" s="366">
        <f>+VLOOKUP(D7111,'Resultats - informe'!$Y$18:$AG$42,'Introducció dades consum'!K7111+1,0)</f>
        <v>0</v>
      </c>
      <c r="O7111" s="370" cm="1">
        <f t="array" ref="O7111">+_xlfn.SWITCH(MONTH(C7111),1,1,2,1,3,1,4,2,5,2,6,3,7,3,8,3,9,3,10,2,11,2,12,1,2)</f>
        <v>1</v>
      </c>
      <c r="P7111" s="43"/>
    </row>
    <row r="7112" spans="1:16" ht="18" x14ac:dyDescent="0.35">
      <c r="A7112" s="9"/>
      <c r="C7112" s="393"/>
      <c r="E7112" s="394"/>
      <c r="F7112" s="394"/>
      <c r="G7112" s="394"/>
      <c r="I7112" s="368">
        <f t="shared" si="336"/>
        <v>0</v>
      </c>
      <c r="J7112" s="365">
        <f t="shared" si="337"/>
        <v>0</v>
      </c>
      <c r="K7112" s="369">
        <f t="shared" si="338"/>
        <v>6</v>
      </c>
      <c r="L7112" s="369">
        <f>+IF((C7112&gt;='Resultats - informe'!$E$16)*(C7112&lt;='Resultats - informe'!$G$16),1,0)</f>
        <v>1</v>
      </c>
      <c r="M7112" s="369" cm="1">
        <f t="array" ref="M7112">+_xlfn.IFS((C7112&gt;='Resultats - informe'!$D$26)*(C7112&lt;='Resultats - informe'!$E$26),0,(C7112&gt;='Resultats - informe'!$D$27)*(C7112&lt;='Resultats - informe'!$E$27),0,(C7112&gt;='Resultats - informe'!$D$28)*(C7112&lt;='Resultats - informe'!$E$28),0,(C7112&gt;='Resultats - informe'!$D$29)*(C7112&lt;='Resultats - informe'!$E$29),0,1,1)</f>
        <v>0</v>
      </c>
      <c r="N7112" s="366">
        <f>+VLOOKUP(D7112,'Resultats - informe'!$Y$18:$AG$42,'Introducció dades consum'!K7112+1,0)</f>
        <v>0</v>
      </c>
      <c r="O7112" s="370" cm="1">
        <f t="array" ref="O7112">+_xlfn.SWITCH(MONTH(C7112),1,1,2,1,3,1,4,2,5,2,6,3,7,3,8,3,9,3,10,2,11,2,12,1,2)</f>
        <v>1</v>
      </c>
      <c r="P7112" s="43"/>
    </row>
    <row r="7113" spans="1:16" ht="18" x14ac:dyDescent="0.35">
      <c r="A7113" s="9"/>
      <c r="C7113" s="393"/>
      <c r="E7113" s="394"/>
      <c r="F7113" s="394"/>
      <c r="G7113" s="394"/>
      <c r="I7113" s="368">
        <f t="shared" si="336"/>
        <v>0</v>
      </c>
      <c r="J7113" s="365">
        <f t="shared" si="337"/>
        <v>0</v>
      </c>
      <c r="K7113" s="369">
        <f t="shared" si="338"/>
        <v>6</v>
      </c>
      <c r="L7113" s="369">
        <f>+IF((C7113&gt;='Resultats - informe'!$E$16)*(C7113&lt;='Resultats - informe'!$G$16),1,0)</f>
        <v>1</v>
      </c>
      <c r="M7113" s="369" cm="1">
        <f t="array" ref="M7113">+_xlfn.IFS((C7113&gt;='Resultats - informe'!$D$26)*(C7113&lt;='Resultats - informe'!$E$26),0,(C7113&gt;='Resultats - informe'!$D$27)*(C7113&lt;='Resultats - informe'!$E$27),0,(C7113&gt;='Resultats - informe'!$D$28)*(C7113&lt;='Resultats - informe'!$E$28),0,(C7113&gt;='Resultats - informe'!$D$29)*(C7113&lt;='Resultats - informe'!$E$29),0,1,1)</f>
        <v>0</v>
      </c>
      <c r="N7113" s="366">
        <f>+VLOOKUP(D7113,'Resultats - informe'!$Y$18:$AG$42,'Introducció dades consum'!K7113+1,0)</f>
        <v>0</v>
      </c>
      <c r="O7113" s="370" cm="1">
        <f t="array" ref="O7113">+_xlfn.SWITCH(MONTH(C7113),1,1,2,1,3,1,4,2,5,2,6,3,7,3,8,3,9,3,10,2,11,2,12,1,2)</f>
        <v>1</v>
      </c>
      <c r="P7113" s="43"/>
    </row>
    <row r="7114" spans="1:16" ht="18" x14ac:dyDescent="0.35">
      <c r="A7114" s="9"/>
      <c r="C7114" s="393"/>
      <c r="E7114" s="394"/>
      <c r="F7114" s="394"/>
      <c r="G7114" s="394"/>
      <c r="I7114" s="368">
        <f t="shared" si="336"/>
        <v>0</v>
      </c>
      <c r="J7114" s="365">
        <f t="shared" si="337"/>
        <v>0</v>
      </c>
      <c r="K7114" s="369">
        <f t="shared" si="338"/>
        <v>6</v>
      </c>
      <c r="L7114" s="369">
        <f>+IF((C7114&gt;='Resultats - informe'!$E$16)*(C7114&lt;='Resultats - informe'!$G$16),1,0)</f>
        <v>1</v>
      </c>
      <c r="M7114" s="369" cm="1">
        <f t="array" ref="M7114">+_xlfn.IFS((C7114&gt;='Resultats - informe'!$D$26)*(C7114&lt;='Resultats - informe'!$E$26),0,(C7114&gt;='Resultats - informe'!$D$27)*(C7114&lt;='Resultats - informe'!$E$27),0,(C7114&gt;='Resultats - informe'!$D$28)*(C7114&lt;='Resultats - informe'!$E$28),0,(C7114&gt;='Resultats - informe'!$D$29)*(C7114&lt;='Resultats - informe'!$E$29),0,1,1)</f>
        <v>0</v>
      </c>
      <c r="N7114" s="366">
        <f>+VLOOKUP(D7114,'Resultats - informe'!$Y$18:$AG$42,'Introducció dades consum'!K7114+1,0)</f>
        <v>0</v>
      </c>
      <c r="O7114" s="370" cm="1">
        <f t="array" ref="O7114">+_xlfn.SWITCH(MONTH(C7114),1,1,2,1,3,1,4,2,5,2,6,3,7,3,8,3,9,3,10,2,11,2,12,1,2)</f>
        <v>1</v>
      </c>
      <c r="P7114" s="43"/>
    </row>
    <row r="7115" spans="1:16" ht="18" x14ac:dyDescent="0.35">
      <c r="A7115" s="9"/>
      <c r="C7115" s="393"/>
      <c r="E7115" s="394"/>
      <c r="F7115" s="394"/>
      <c r="G7115" s="394"/>
      <c r="I7115" s="368">
        <f t="shared" si="336"/>
        <v>0</v>
      </c>
      <c r="J7115" s="365">
        <f t="shared" si="337"/>
        <v>0</v>
      </c>
      <c r="K7115" s="369">
        <f t="shared" si="338"/>
        <v>6</v>
      </c>
      <c r="L7115" s="369">
        <f>+IF((C7115&gt;='Resultats - informe'!$E$16)*(C7115&lt;='Resultats - informe'!$G$16),1,0)</f>
        <v>1</v>
      </c>
      <c r="M7115" s="369" cm="1">
        <f t="array" ref="M7115">+_xlfn.IFS((C7115&gt;='Resultats - informe'!$D$26)*(C7115&lt;='Resultats - informe'!$E$26),0,(C7115&gt;='Resultats - informe'!$D$27)*(C7115&lt;='Resultats - informe'!$E$27),0,(C7115&gt;='Resultats - informe'!$D$28)*(C7115&lt;='Resultats - informe'!$E$28),0,(C7115&gt;='Resultats - informe'!$D$29)*(C7115&lt;='Resultats - informe'!$E$29),0,1,1)</f>
        <v>0</v>
      </c>
      <c r="N7115" s="366">
        <f>+VLOOKUP(D7115,'Resultats - informe'!$Y$18:$AG$42,'Introducció dades consum'!K7115+1,0)</f>
        <v>0</v>
      </c>
      <c r="O7115" s="370" cm="1">
        <f t="array" ref="O7115">+_xlfn.SWITCH(MONTH(C7115),1,1,2,1,3,1,4,2,5,2,6,3,7,3,8,3,9,3,10,2,11,2,12,1,2)</f>
        <v>1</v>
      </c>
      <c r="P7115" s="43"/>
    </row>
    <row r="7116" spans="1:16" ht="18" x14ac:dyDescent="0.35">
      <c r="A7116" s="9"/>
      <c r="C7116" s="393"/>
      <c r="E7116" s="394"/>
      <c r="F7116" s="394"/>
      <c r="G7116" s="394"/>
      <c r="I7116" s="368">
        <f t="shared" si="336"/>
        <v>0</v>
      </c>
      <c r="J7116" s="365">
        <f t="shared" si="337"/>
        <v>0</v>
      </c>
      <c r="K7116" s="369">
        <f t="shared" si="338"/>
        <v>6</v>
      </c>
      <c r="L7116" s="369">
        <f>+IF((C7116&gt;='Resultats - informe'!$E$16)*(C7116&lt;='Resultats - informe'!$G$16),1,0)</f>
        <v>1</v>
      </c>
      <c r="M7116" s="369" cm="1">
        <f t="array" ref="M7116">+_xlfn.IFS((C7116&gt;='Resultats - informe'!$D$26)*(C7116&lt;='Resultats - informe'!$E$26),0,(C7116&gt;='Resultats - informe'!$D$27)*(C7116&lt;='Resultats - informe'!$E$27),0,(C7116&gt;='Resultats - informe'!$D$28)*(C7116&lt;='Resultats - informe'!$E$28),0,(C7116&gt;='Resultats - informe'!$D$29)*(C7116&lt;='Resultats - informe'!$E$29),0,1,1)</f>
        <v>0</v>
      </c>
      <c r="N7116" s="366">
        <f>+VLOOKUP(D7116,'Resultats - informe'!$Y$18:$AG$42,'Introducció dades consum'!K7116+1,0)</f>
        <v>0</v>
      </c>
      <c r="O7116" s="370" cm="1">
        <f t="array" ref="O7116">+_xlfn.SWITCH(MONTH(C7116),1,1,2,1,3,1,4,2,5,2,6,3,7,3,8,3,9,3,10,2,11,2,12,1,2)</f>
        <v>1</v>
      </c>
      <c r="P7116" s="43"/>
    </row>
    <row r="7117" spans="1:16" ht="18" x14ac:dyDescent="0.35">
      <c r="A7117" s="9"/>
      <c r="C7117" s="393"/>
      <c r="E7117" s="394"/>
      <c r="F7117" s="394"/>
      <c r="G7117" s="394"/>
      <c r="I7117" s="368">
        <f t="shared" si="336"/>
        <v>0</v>
      </c>
      <c r="J7117" s="365">
        <f t="shared" si="337"/>
        <v>0</v>
      </c>
      <c r="K7117" s="369">
        <f t="shared" si="338"/>
        <v>6</v>
      </c>
      <c r="L7117" s="369">
        <f>+IF((C7117&gt;='Resultats - informe'!$E$16)*(C7117&lt;='Resultats - informe'!$G$16),1,0)</f>
        <v>1</v>
      </c>
      <c r="M7117" s="369" cm="1">
        <f t="array" ref="M7117">+_xlfn.IFS((C7117&gt;='Resultats - informe'!$D$26)*(C7117&lt;='Resultats - informe'!$E$26),0,(C7117&gt;='Resultats - informe'!$D$27)*(C7117&lt;='Resultats - informe'!$E$27),0,(C7117&gt;='Resultats - informe'!$D$28)*(C7117&lt;='Resultats - informe'!$E$28),0,(C7117&gt;='Resultats - informe'!$D$29)*(C7117&lt;='Resultats - informe'!$E$29),0,1,1)</f>
        <v>0</v>
      </c>
      <c r="N7117" s="366">
        <f>+VLOOKUP(D7117,'Resultats - informe'!$Y$18:$AG$42,'Introducció dades consum'!K7117+1,0)</f>
        <v>0</v>
      </c>
      <c r="O7117" s="370" cm="1">
        <f t="array" ref="O7117">+_xlfn.SWITCH(MONTH(C7117),1,1,2,1,3,1,4,2,5,2,6,3,7,3,8,3,9,3,10,2,11,2,12,1,2)</f>
        <v>1</v>
      </c>
      <c r="P7117" s="43"/>
    </row>
    <row r="7118" spans="1:16" ht="18" x14ac:dyDescent="0.35">
      <c r="A7118" s="9"/>
      <c r="C7118" s="393"/>
      <c r="E7118" s="394"/>
      <c r="F7118" s="394"/>
      <c r="G7118" s="394"/>
      <c r="I7118" s="368">
        <f t="shared" si="336"/>
        <v>0</v>
      </c>
      <c r="J7118" s="365">
        <f t="shared" si="337"/>
        <v>0</v>
      </c>
      <c r="K7118" s="369">
        <f t="shared" si="338"/>
        <v>6</v>
      </c>
      <c r="L7118" s="369">
        <f>+IF((C7118&gt;='Resultats - informe'!$E$16)*(C7118&lt;='Resultats - informe'!$G$16),1,0)</f>
        <v>1</v>
      </c>
      <c r="M7118" s="369" cm="1">
        <f t="array" ref="M7118">+_xlfn.IFS((C7118&gt;='Resultats - informe'!$D$26)*(C7118&lt;='Resultats - informe'!$E$26),0,(C7118&gt;='Resultats - informe'!$D$27)*(C7118&lt;='Resultats - informe'!$E$27),0,(C7118&gt;='Resultats - informe'!$D$28)*(C7118&lt;='Resultats - informe'!$E$28),0,(C7118&gt;='Resultats - informe'!$D$29)*(C7118&lt;='Resultats - informe'!$E$29),0,1,1)</f>
        <v>0</v>
      </c>
      <c r="N7118" s="366">
        <f>+VLOOKUP(D7118,'Resultats - informe'!$Y$18:$AG$42,'Introducció dades consum'!K7118+1,0)</f>
        <v>0</v>
      </c>
      <c r="O7118" s="370" cm="1">
        <f t="array" ref="O7118">+_xlfn.SWITCH(MONTH(C7118),1,1,2,1,3,1,4,2,5,2,6,3,7,3,8,3,9,3,10,2,11,2,12,1,2)</f>
        <v>1</v>
      </c>
      <c r="P7118" s="43"/>
    </row>
    <row r="7119" spans="1:16" ht="18" x14ac:dyDescent="0.35">
      <c r="A7119" s="9"/>
      <c r="C7119" s="393"/>
      <c r="E7119" s="394"/>
      <c r="F7119" s="394"/>
      <c r="G7119" s="394"/>
      <c r="I7119" s="368">
        <f t="shared" si="336"/>
        <v>0</v>
      </c>
      <c r="J7119" s="365">
        <f t="shared" si="337"/>
        <v>0</v>
      </c>
      <c r="K7119" s="369">
        <f t="shared" si="338"/>
        <v>6</v>
      </c>
      <c r="L7119" s="369">
        <f>+IF((C7119&gt;='Resultats - informe'!$E$16)*(C7119&lt;='Resultats - informe'!$G$16),1,0)</f>
        <v>1</v>
      </c>
      <c r="M7119" s="369" cm="1">
        <f t="array" ref="M7119">+_xlfn.IFS((C7119&gt;='Resultats - informe'!$D$26)*(C7119&lt;='Resultats - informe'!$E$26),0,(C7119&gt;='Resultats - informe'!$D$27)*(C7119&lt;='Resultats - informe'!$E$27),0,(C7119&gt;='Resultats - informe'!$D$28)*(C7119&lt;='Resultats - informe'!$E$28),0,(C7119&gt;='Resultats - informe'!$D$29)*(C7119&lt;='Resultats - informe'!$E$29),0,1,1)</f>
        <v>0</v>
      </c>
      <c r="N7119" s="366">
        <f>+VLOOKUP(D7119,'Resultats - informe'!$Y$18:$AG$42,'Introducció dades consum'!K7119+1,0)</f>
        <v>0</v>
      </c>
      <c r="O7119" s="370" cm="1">
        <f t="array" ref="O7119">+_xlfn.SWITCH(MONTH(C7119),1,1,2,1,3,1,4,2,5,2,6,3,7,3,8,3,9,3,10,2,11,2,12,1,2)</f>
        <v>1</v>
      </c>
      <c r="P7119" s="43"/>
    </row>
    <row r="7120" spans="1:16" ht="18" x14ac:dyDescent="0.35">
      <c r="A7120" s="9"/>
      <c r="C7120" s="393"/>
      <c r="E7120" s="394"/>
      <c r="F7120" s="394"/>
      <c r="G7120" s="394"/>
      <c r="I7120" s="368">
        <f t="shared" si="336"/>
        <v>0</v>
      </c>
      <c r="J7120" s="365">
        <f t="shared" si="337"/>
        <v>0</v>
      </c>
      <c r="K7120" s="369">
        <f t="shared" si="338"/>
        <v>6</v>
      </c>
      <c r="L7120" s="369">
        <f>+IF((C7120&gt;='Resultats - informe'!$E$16)*(C7120&lt;='Resultats - informe'!$G$16),1,0)</f>
        <v>1</v>
      </c>
      <c r="M7120" s="369" cm="1">
        <f t="array" ref="M7120">+_xlfn.IFS((C7120&gt;='Resultats - informe'!$D$26)*(C7120&lt;='Resultats - informe'!$E$26),0,(C7120&gt;='Resultats - informe'!$D$27)*(C7120&lt;='Resultats - informe'!$E$27),0,(C7120&gt;='Resultats - informe'!$D$28)*(C7120&lt;='Resultats - informe'!$E$28),0,(C7120&gt;='Resultats - informe'!$D$29)*(C7120&lt;='Resultats - informe'!$E$29),0,1,1)</f>
        <v>0</v>
      </c>
      <c r="N7120" s="366">
        <f>+VLOOKUP(D7120,'Resultats - informe'!$Y$18:$AG$42,'Introducció dades consum'!K7120+1,0)</f>
        <v>0</v>
      </c>
      <c r="O7120" s="370" cm="1">
        <f t="array" ref="O7120">+_xlfn.SWITCH(MONTH(C7120),1,1,2,1,3,1,4,2,5,2,6,3,7,3,8,3,9,3,10,2,11,2,12,1,2)</f>
        <v>1</v>
      </c>
      <c r="P7120" s="43"/>
    </row>
    <row r="7121" spans="1:16" ht="18" x14ac:dyDescent="0.35">
      <c r="A7121" s="9"/>
      <c r="C7121" s="393"/>
      <c r="E7121" s="394"/>
      <c r="F7121" s="394"/>
      <c r="G7121" s="394"/>
      <c r="I7121" s="368">
        <f t="shared" si="336"/>
        <v>0</v>
      </c>
      <c r="J7121" s="365">
        <f t="shared" si="337"/>
        <v>0</v>
      </c>
      <c r="K7121" s="369">
        <f t="shared" si="338"/>
        <v>6</v>
      </c>
      <c r="L7121" s="369">
        <f>+IF((C7121&gt;='Resultats - informe'!$E$16)*(C7121&lt;='Resultats - informe'!$G$16),1,0)</f>
        <v>1</v>
      </c>
      <c r="M7121" s="369" cm="1">
        <f t="array" ref="M7121">+_xlfn.IFS((C7121&gt;='Resultats - informe'!$D$26)*(C7121&lt;='Resultats - informe'!$E$26),0,(C7121&gt;='Resultats - informe'!$D$27)*(C7121&lt;='Resultats - informe'!$E$27),0,(C7121&gt;='Resultats - informe'!$D$28)*(C7121&lt;='Resultats - informe'!$E$28),0,(C7121&gt;='Resultats - informe'!$D$29)*(C7121&lt;='Resultats - informe'!$E$29),0,1,1)</f>
        <v>0</v>
      </c>
      <c r="N7121" s="366">
        <f>+VLOOKUP(D7121,'Resultats - informe'!$Y$18:$AG$42,'Introducció dades consum'!K7121+1,0)</f>
        <v>0</v>
      </c>
      <c r="O7121" s="370" cm="1">
        <f t="array" ref="O7121">+_xlfn.SWITCH(MONTH(C7121),1,1,2,1,3,1,4,2,5,2,6,3,7,3,8,3,9,3,10,2,11,2,12,1,2)</f>
        <v>1</v>
      </c>
      <c r="P7121" s="43"/>
    </row>
    <row r="7122" spans="1:16" ht="18" x14ac:dyDescent="0.35">
      <c r="A7122" s="9"/>
      <c r="C7122" s="393"/>
      <c r="E7122" s="394"/>
      <c r="F7122" s="394"/>
      <c r="G7122" s="394"/>
      <c r="I7122" s="368">
        <f t="shared" ref="I7122:I7185" si="339">+E7122+G7122</f>
        <v>0</v>
      </c>
      <c r="J7122" s="365">
        <f t="shared" ref="J7122:J7185" si="340">+C7122</f>
        <v>0</v>
      </c>
      <c r="K7122" s="369">
        <f t="shared" ref="K7122:K7185" si="341">+WEEKDAY(C7122,2)</f>
        <v>6</v>
      </c>
      <c r="L7122" s="369">
        <f>+IF((C7122&gt;='Resultats - informe'!$E$16)*(C7122&lt;='Resultats - informe'!$G$16),1,0)</f>
        <v>1</v>
      </c>
      <c r="M7122" s="369" cm="1">
        <f t="array" ref="M7122">+_xlfn.IFS((C7122&gt;='Resultats - informe'!$D$26)*(C7122&lt;='Resultats - informe'!$E$26),0,(C7122&gt;='Resultats - informe'!$D$27)*(C7122&lt;='Resultats - informe'!$E$27),0,(C7122&gt;='Resultats - informe'!$D$28)*(C7122&lt;='Resultats - informe'!$E$28),0,(C7122&gt;='Resultats - informe'!$D$29)*(C7122&lt;='Resultats - informe'!$E$29),0,1,1)</f>
        <v>0</v>
      </c>
      <c r="N7122" s="366">
        <f>+VLOOKUP(D7122,'Resultats - informe'!$Y$18:$AG$42,'Introducció dades consum'!K7122+1,0)</f>
        <v>0</v>
      </c>
      <c r="O7122" s="370" cm="1">
        <f t="array" ref="O7122">+_xlfn.SWITCH(MONTH(C7122),1,1,2,1,3,1,4,2,5,2,6,3,7,3,8,3,9,3,10,2,11,2,12,1,2)</f>
        <v>1</v>
      </c>
      <c r="P7122" s="43"/>
    </row>
    <row r="7123" spans="1:16" ht="18" x14ac:dyDescent="0.35">
      <c r="A7123" s="9"/>
      <c r="C7123" s="393"/>
      <c r="E7123" s="394"/>
      <c r="F7123" s="394"/>
      <c r="G7123" s="394"/>
      <c r="I7123" s="368">
        <f t="shared" si="339"/>
        <v>0</v>
      </c>
      <c r="J7123" s="365">
        <f t="shared" si="340"/>
        <v>0</v>
      </c>
      <c r="K7123" s="369">
        <f t="shared" si="341"/>
        <v>6</v>
      </c>
      <c r="L7123" s="369">
        <f>+IF((C7123&gt;='Resultats - informe'!$E$16)*(C7123&lt;='Resultats - informe'!$G$16),1,0)</f>
        <v>1</v>
      </c>
      <c r="M7123" s="369" cm="1">
        <f t="array" ref="M7123">+_xlfn.IFS((C7123&gt;='Resultats - informe'!$D$26)*(C7123&lt;='Resultats - informe'!$E$26),0,(C7123&gt;='Resultats - informe'!$D$27)*(C7123&lt;='Resultats - informe'!$E$27),0,(C7123&gt;='Resultats - informe'!$D$28)*(C7123&lt;='Resultats - informe'!$E$28),0,(C7123&gt;='Resultats - informe'!$D$29)*(C7123&lt;='Resultats - informe'!$E$29),0,1,1)</f>
        <v>0</v>
      </c>
      <c r="N7123" s="366">
        <f>+VLOOKUP(D7123,'Resultats - informe'!$Y$18:$AG$42,'Introducció dades consum'!K7123+1,0)</f>
        <v>0</v>
      </c>
      <c r="O7123" s="370" cm="1">
        <f t="array" ref="O7123">+_xlfn.SWITCH(MONTH(C7123),1,1,2,1,3,1,4,2,5,2,6,3,7,3,8,3,9,3,10,2,11,2,12,1,2)</f>
        <v>1</v>
      </c>
      <c r="P7123" s="43"/>
    </row>
    <row r="7124" spans="1:16" ht="18" x14ac:dyDescent="0.35">
      <c r="A7124" s="9"/>
      <c r="C7124" s="393"/>
      <c r="E7124" s="394"/>
      <c r="F7124" s="394"/>
      <c r="G7124" s="394"/>
      <c r="I7124" s="368">
        <f t="shared" si="339"/>
        <v>0</v>
      </c>
      <c r="J7124" s="365">
        <f t="shared" si="340"/>
        <v>0</v>
      </c>
      <c r="K7124" s="369">
        <f t="shared" si="341"/>
        <v>6</v>
      </c>
      <c r="L7124" s="369">
        <f>+IF((C7124&gt;='Resultats - informe'!$E$16)*(C7124&lt;='Resultats - informe'!$G$16),1,0)</f>
        <v>1</v>
      </c>
      <c r="M7124" s="369" cm="1">
        <f t="array" ref="M7124">+_xlfn.IFS((C7124&gt;='Resultats - informe'!$D$26)*(C7124&lt;='Resultats - informe'!$E$26),0,(C7124&gt;='Resultats - informe'!$D$27)*(C7124&lt;='Resultats - informe'!$E$27),0,(C7124&gt;='Resultats - informe'!$D$28)*(C7124&lt;='Resultats - informe'!$E$28),0,(C7124&gt;='Resultats - informe'!$D$29)*(C7124&lt;='Resultats - informe'!$E$29),0,1,1)</f>
        <v>0</v>
      </c>
      <c r="N7124" s="366">
        <f>+VLOOKUP(D7124,'Resultats - informe'!$Y$18:$AG$42,'Introducció dades consum'!K7124+1,0)</f>
        <v>0</v>
      </c>
      <c r="O7124" s="370" cm="1">
        <f t="array" ref="O7124">+_xlfn.SWITCH(MONTH(C7124),1,1,2,1,3,1,4,2,5,2,6,3,7,3,8,3,9,3,10,2,11,2,12,1,2)</f>
        <v>1</v>
      </c>
      <c r="P7124" s="43"/>
    </row>
    <row r="7125" spans="1:16" ht="18" x14ac:dyDescent="0.35">
      <c r="A7125" s="9"/>
      <c r="C7125" s="393"/>
      <c r="E7125" s="394"/>
      <c r="F7125" s="394"/>
      <c r="G7125" s="394"/>
      <c r="I7125" s="368">
        <f t="shared" si="339"/>
        <v>0</v>
      </c>
      <c r="J7125" s="365">
        <f t="shared" si="340"/>
        <v>0</v>
      </c>
      <c r="K7125" s="369">
        <f t="shared" si="341"/>
        <v>6</v>
      </c>
      <c r="L7125" s="369">
        <f>+IF((C7125&gt;='Resultats - informe'!$E$16)*(C7125&lt;='Resultats - informe'!$G$16),1,0)</f>
        <v>1</v>
      </c>
      <c r="M7125" s="369" cm="1">
        <f t="array" ref="M7125">+_xlfn.IFS((C7125&gt;='Resultats - informe'!$D$26)*(C7125&lt;='Resultats - informe'!$E$26),0,(C7125&gt;='Resultats - informe'!$D$27)*(C7125&lt;='Resultats - informe'!$E$27),0,(C7125&gt;='Resultats - informe'!$D$28)*(C7125&lt;='Resultats - informe'!$E$28),0,(C7125&gt;='Resultats - informe'!$D$29)*(C7125&lt;='Resultats - informe'!$E$29),0,1,1)</f>
        <v>0</v>
      </c>
      <c r="N7125" s="366">
        <f>+VLOOKUP(D7125,'Resultats - informe'!$Y$18:$AG$42,'Introducció dades consum'!K7125+1,0)</f>
        <v>0</v>
      </c>
      <c r="O7125" s="370" cm="1">
        <f t="array" ref="O7125">+_xlfn.SWITCH(MONTH(C7125),1,1,2,1,3,1,4,2,5,2,6,3,7,3,8,3,9,3,10,2,11,2,12,1,2)</f>
        <v>1</v>
      </c>
      <c r="P7125" s="43"/>
    </row>
    <row r="7126" spans="1:16" ht="18" x14ac:dyDescent="0.35">
      <c r="A7126" s="9"/>
      <c r="C7126" s="393"/>
      <c r="E7126" s="394"/>
      <c r="F7126" s="394"/>
      <c r="G7126" s="394"/>
      <c r="I7126" s="368">
        <f t="shared" si="339"/>
        <v>0</v>
      </c>
      <c r="J7126" s="365">
        <f t="shared" si="340"/>
        <v>0</v>
      </c>
      <c r="K7126" s="369">
        <f t="shared" si="341"/>
        <v>6</v>
      </c>
      <c r="L7126" s="369">
        <f>+IF((C7126&gt;='Resultats - informe'!$E$16)*(C7126&lt;='Resultats - informe'!$G$16),1,0)</f>
        <v>1</v>
      </c>
      <c r="M7126" s="369" cm="1">
        <f t="array" ref="M7126">+_xlfn.IFS((C7126&gt;='Resultats - informe'!$D$26)*(C7126&lt;='Resultats - informe'!$E$26),0,(C7126&gt;='Resultats - informe'!$D$27)*(C7126&lt;='Resultats - informe'!$E$27),0,(C7126&gt;='Resultats - informe'!$D$28)*(C7126&lt;='Resultats - informe'!$E$28),0,(C7126&gt;='Resultats - informe'!$D$29)*(C7126&lt;='Resultats - informe'!$E$29),0,1,1)</f>
        <v>0</v>
      </c>
      <c r="N7126" s="366">
        <f>+VLOOKUP(D7126,'Resultats - informe'!$Y$18:$AG$42,'Introducció dades consum'!K7126+1,0)</f>
        <v>0</v>
      </c>
      <c r="O7126" s="370" cm="1">
        <f t="array" ref="O7126">+_xlfn.SWITCH(MONTH(C7126),1,1,2,1,3,1,4,2,5,2,6,3,7,3,8,3,9,3,10,2,11,2,12,1,2)</f>
        <v>1</v>
      </c>
      <c r="P7126" s="43"/>
    </row>
    <row r="7127" spans="1:16" ht="18" x14ac:dyDescent="0.35">
      <c r="A7127" s="9"/>
      <c r="C7127" s="393"/>
      <c r="E7127" s="394"/>
      <c r="F7127" s="394"/>
      <c r="G7127" s="394"/>
      <c r="I7127" s="368">
        <f t="shared" si="339"/>
        <v>0</v>
      </c>
      <c r="J7127" s="365">
        <f t="shared" si="340"/>
        <v>0</v>
      </c>
      <c r="K7127" s="369">
        <f t="shared" si="341"/>
        <v>6</v>
      </c>
      <c r="L7127" s="369">
        <f>+IF((C7127&gt;='Resultats - informe'!$E$16)*(C7127&lt;='Resultats - informe'!$G$16),1,0)</f>
        <v>1</v>
      </c>
      <c r="M7127" s="369" cm="1">
        <f t="array" ref="M7127">+_xlfn.IFS((C7127&gt;='Resultats - informe'!$D$26)*(C7127&lt;='Resultats - informe'!$E$26),0,(C7127&gt;='Resultats - informe'!$D$27)*(C7127&lt;='Resultats - informe'!$E$27),0,(C7127&gt;='Resultats - informe'!$D$28)*(C7127&lt;='Resultats - informe'!$E$28),0,(C7127&gt;='Resultats - informe'!$D$29)*(C7127&lt;='Resultats - informe'!$E$29),0,1,1)</f>
        <v>0</v>
      </c>
      <c r="N7127" s="366">
        <f>+VLOOKUP(D7127,'Resultats - informe'!$Y$18:$AG$42,'Introducció dades consum'!K7127+1,0)</f>
        <v>0</v>
      </c>
      <c r="O7127" s="370" cm="1">
        <f t="array" ref="O7127">+_xlfn.SWITCH(MONTH(C7127),1,1,2,1,3,1,4,2,5,2,6,3,7,3,8,3,9,3,10,2,11,2,12,1,2)</f>
        <v>1</v>
      </c>
      <c r="P7127" s="43"/>
    </row>
    <row r="7128" spans="1:16" ht="18" x14ac:dyDescent="0.35">
      <c r="A7128" s="9"/>
      <c r="C7128" s="393"/>
      <c r="E7128" s="394"/>
      <c r="F7128" s="394"/>
      <c r="G7128" s="394"/>
      <c r="I7128" s="368">
        <f t="shared" si="339"/>
        <v>0</v>
      </c>
      <c r="J7128" s="365">
        <f t="shared" si="340"/>
        <v>0</v>
      </c>
      <c r="K7128" s="369">
        <f t="shared" si="341"/>
        <v>6</v>
      </c>
      <c r="L7128" s="369">
        <f>+IF((C7128&gt;='Resultats - informe'!$E$16)*(C7128&lt;='Resultats - informe'!$G$16),1,0)</f>
        <v>1</v>
      </c>
      <c r="M7128" s="369" cm="1">
        <f t="array" ref="M7128">+_xlfn.IFS((C7128&gt;='Resultats - informe'!$D$26)*(C7128&lt;='Resultats - informe'!$E$26),0,(C7128&gt;='Resultats - informe'!$D$27)*(C7128&lt;='Resultats - informe'!$E$27),0,(C7128&gt;='Resultats - informe'!$D$28)*(C7128&lt;='Resultats - informe'!$E$28),0,(C7128&gt;='Resultats - informe'!$D$29)*(C7128&lt;='Resultats - informe'!$E$29),0,1,1)</f>
        <v>0</v>
      </c>
      <c r="N7128" s="366">
        <f>+VLOOKUP(D7128,'Resultats - informe'!$Y$18:$AG$42,'Introducció dades consum'!K7128+1,0)</f>
        <v>0</v>
      </c>
      <c r="O7128" s="370" cm="1">
        <f t="array" ref="O7128">+_xlfn.SWITCH(MONTH(C7128),1,1,2,1,3,1,4,2,5,2,6,3,7,3,8,3,9,3,10,2,11,2,12,1,2)</f>
        <v>1</v>
      </c>
      <c r="P7128" s="43"/>
    </row>
    <row r="7129" spans="1:16" ht="18" x14ac:dyDescent="0.35">
      <c r="A7129" s="9"/>
      <c r="C7129" s="393"/>
      <c r="E7129" s="394"/>
      <c r="F7129" s="394"/>
      <c r="G7129" s="394"/>
      <c r="I7129" s="368">
        <f t="shared" si="339"/>
        <v>0</v>
      </c>
      <c r="J7129" s="365">
        <f t="shared" si="340"/>
        <v>0</v>
      </c>
      <c r="K7129" s="369">
        <f t="shared" si="341"/>
        <v>6</v>
      </c>
      <c r="L7129" s="369">
        <f>+IF((C7129&gt;='Resultats - informe'!$E$16)*(C7129&lt;='Resultats - informe'!$G$16),1,0)</f>
        <v>1</v>
      </c>
      <c r="M7129" s="369" cm="1">
        <f t="array" ref="M7129">+_xlfn.IFS((C7129&gt;='Resultats - informe'!$D$26)*(C7129&lt;='Resultats - informe'!$E$26),0,(C7129&gt;='Resultats - informe'!$D$27)*(C7129&lt;='Resultats - informe'!$E$27),0,(C7129&gt;='Resultats - informe'!$D$28)*(C7129&lt;='Resultats - informe'!$E$28),0,(C7129&gt;='Resultats - informe'!$D$29)*(C7129&lt;='Resultats - informe'!$E$29),0,1,1)</f>
        <v>0</v>
      </c>
      <c r="N7129" s="366">
        <f>+VLOOKUP(D7129,'Resultats - informe'!$Y$18:$AG$42,'Introducció dades consum'!K7129+1,0)</f>
        <v>0</v>
      </c>
      <c r="O7129" s="370" cm="1">
        <f t="array" ref="O7129">+_xlfn.SWITCH(MONTH(C7129),1,1,2,1,3,1,4,2,5,2,6,3,7,3,8,3,9,3,10,2,11,2,12,1,2)</f>
        <v>1</v>
      </c>
      <c r="P7129" s="43"/>
    </row>
    <row r="7130" spans="1:16" ht="18" x14ac:dyDescent="0.35">
      <c r="A7130" s="9"/>
      <c r="C7130" s="393"/>
      <c r="E7130" s="394"/>
      <c r="F7130" s="394"/>
      <c r="G7130" s="394"/>
      <c r="I7130" s="368">
        <f t="shared" si="339"/>
        <v>0</v>
      </c>
      <c r="J7130" s="365">
        <f t="shared" si="340"/>
        <v>0</v>
      </c>
      <c r="K7130" s="369">
        <f t="shared" si="341"/>
        <v>6</v>
      </c>
      <c r="L7130" s="369">
        <f>+IF((C7130&gt;='Resultats - informe'!$E$16)*(C7130&lt;='Resultats - informe'!$G$16),1,0)</f>
        <v>1</v>
      </c>
      <c r="M7130" s="369" cm="1">
        <f t="array" ref="M7130">+_xlfn.IFS((C7130&gt;='Resultats - informe'!$D$26)*(C7130&lt;='Resultats - informe'!$E$26),0,(C7130&gt;='Resultats - informe'!$D$27)*(C7130&lt;='Resultats - informe'!$E$27),0,(C7130&gt;='Resultats - informe'!$D$28)*(C7130&lt;='Resultats - informe'!$E$28),0,(C7130&gt;='Resultats - informe'!$D$29)*(C7130&lt;='Resultats - informe'!$E$29),0,1,1)</f>
        <v>0</v>
      </c>
      <c r="N7130" s="366">
        <f>+VLOOKUP(D7130,'Resultats - informe'!$Y$18:$AG$42,'Introducció dades consum'!K7130+1,0)</f>
        <v>0</v>
      </c>
      <c r="O7130" s="370" cm="1">
        <f t="array" ref="O7130">+_xlfn.SWITCH(MONTH(C7130),1,1,2,1,3,1,4,2,5,2,6,3,7,3,8,3,9,3,10,2,11,2,12,1,2)</f>
        <v>1</v>
      </c>
      <c r="P7130" s="43"/>
    </row>
    <row r="7131" spans="1:16" ht="18" x14ac:dyDescent="0.35">
      <c r="A7131" s="9"/>
      <c r="C7131" s="393"/>
      <c r="E7131" s="394"/>
      <c r="F7131" s="394"/>
      <c r="G7131" s="394"/>
      <c r="I7131" s="368">
        <f t="shared" si="339"/>
        <v>0</v>
      </c>
      <c r="J7131" s="365">
        <f t="shared" si="340"/>
        <v>0</v>
      </c>
      <c r="K7131" s="369">
        <f t="shared" si="341"/>
        <v>6</v>
      </c>
      <c r="L7131" s="369">
        <f>+IF((C7131&gt;='Resultats - informe'!$E$16)*(C7131&lt;='Resultats - informe'!$G$16),1,0)</f>
        <v>1</v>
      </c>
      <c r="M7131" s="369" cm="1">
        <f t="array" ref="M7131">+_xlfn.IFS((C7131&gt;='Resultats - informe'!$D$26)*(C7131&lt;='Resultats - informe'!$E$26),0,(C7131&gt;='Resultats - informe'!$D$27)*(C7131&lt;='Resultats - informe'!$E$27),0,(C7131&gt;='Resultats - informe'!$D$28)*(C7131&lt;='Resultats - informe'!$E$28),0,(C7131&gt;='Resultats - informe'!$D$29)*(C7131&lt;='Resultats - informe'!$E$29),0,1,1)</f>
        <v>0</v>
      </c>
      <c r="N7131" s="366">
        <f>+VLOOKUP(D7131,'Resultats - informe'!$Y$18:$AG$42,'Introducció dades consum'!K7131+1,0)</f>
        <v>0</v>
      </c>
      <c r="O7131" s="370" cm="1">
        <f t="array" ref="O7131">+_xlfn.SWITCH(MONTH(C7131),1,1,2,1,3,1,4,2,5,2,6,3,7,3,8,3,9,3,10,2,11,2,12,1,2)</f>
        <v>1</v>
      </c>
      <c r="P7131" s="43"/>
    </row>
    <row r="7132" spans="1:16" ht="18" x14ac:dyDescent="0.35">
      <c r="A7132" s="9"/>
      <c r="C7132" s="393"/>
      <c r="E7132" s="394"/>
      <c r="F7132" s="394"/>
      <c r="G7132" s="394"/>
      <c r="I7132" s="368">
        <f t="shared" si="339"/>
        <v>0</v>
      </c>
      <c r="J7132" s="365">
        <f t="shared" si="340"/>
        <v>0</v>
      </c>
      <c r="K7132" s="369">
        <f t="shared" si="341"/>
        <v>6</v>
      </c>
      <c r="L7132" s="369">
        <f>+IF((C7132&gt;='Resultats - informe'!$E$16)*(C7132&lt;='Resultats - informe'!$G$16),1,0)</f>
        <v>1</v>
      </c>
      <c r="M7132" s="369" cm="1">
        <f t="array" ref="M7132">+_xlfn.IFS((C7132&gt;='Resultats - informe'!$D$26)*(C7132&lt;='Resultats - informe'!$E$26),0,(C7132&gt;='Resultats - informe'!$D$27)*(C7132&lt;='Resultats - informe'!$E$27),0,(C7132&gt;='Resultats - informe'!$D$28)*(C7132&lt;='Resultats - informe'!$E$28),0,(C7132&gt;='Resultats - informe'!$D$29)*(C7132&lt;='Resultats - informe'!$E$29),0,1,1)</f>
        <v>0</v>
      </c>
      <c r="N7132" s="366">
        <f>+VLOOKUP(D7132,'Resultats - informe'!$Y$18:$AG$42,'Introducció dades consum'!K7132+1,0)</f>
        <v>0</v>
      </c>
      <c r="O7132" s="370" cm="1">
        <f t="array" ref="O7132">+_xlfn.SWITCH(MONTH(C7132),1,1,2,1,3,1,4,2,5,2,6,3,7,3,8,3,9,3,10,2,11,2,12,1,2)</f>
        <v>1</v>
      </c>
      <c r="P7132" s="43"/>
    </row>
    <row r="7133" spans="1:16" ht="18" x14ac:dyDescent="0.35">
      <c r="A7133" s="9"/>
      <c r="C7133" s="393"/>
      <c r="E7133" s="394"/>
      <c r="F7133" s="394"/>
      <c r="G7133" s="394"/>
      <c r="I7133" s="368">
        <f t="shared" si="339"/>
        <v>0</v>
      </c>
      <c r="J7133" s="365">
        <f t="shared" si="340"/>
        <v>0</v>
      </c>
      <c r="K7133" s="369">
        <f t="shared" si="341"/>
        <v>6</v>
      </c>
      <c r="L7133" s="369">
        <f>+IF((C7133&gt;='Resultats - informe'!$E$16)*(C7133&lt;='Resultats - informe'!$G$16),1,0)</f>
        <v>1</v>
      </c>
      <c r="M7133" s="369" cm="1">
        <f t="array" ref="M7133">+_xlfn.IFS((C7133&gt;='Resultats - informe'!$D$26)*(C7133&lt;='Resultats - informe'!$E$26),0,(C7133&gt;='Resultats - informe'!$D$27)*(C7133&lt;='Resultats - informe'!$E$27),0,(C7133&gt;='Resultats - informe'!$D$28)*(C7133&lt;='Resultats - informe'!$E$28),0,(C7133&gt;='Resultats - informe'!$D$29)*(C7133&lt;='Resultats - informe'!$E$29),0,1,1)</f>
        <v>0</v>
      </c>
      <c r="N7133" s="366">
        <f>+VLOOKUP(D7133,'Resultats - informe'!$Y$18:$AG$42,'Introducció dades consum'!K7133+1,0)</f>
        <v>0</v>
      </c>
      <c r="O7133" s="370" cm="1">
        <f t="array" ref="O7133">+_xlfn.SWITCH(MONTH(C7133),1,1,2,1,3,1,4,2,5,2,6,3,7,3,8,3,9,3,10,2,11,2,12,1,2)</f>
        <v>1</v>
      </c>
      <c r="P7133" s="43"/>
    </row>
    <row r="7134" spans="1:16" ht="18" x14ac:dyDescent="0.35">
      <c r="A7134" s="9"/>
      <c r="C7134" s="393"/>
      <c r="E7134" s="394"/>
      <c r="F7134" s="394"/>
      <c r="G7134" s="394"/>
      <c r="I7134" s="368">
        <f t="shared" si="339"/>
        <v>0</v>
      </c>
      <c r="J7134" s="365">
        <f t="shared" si="340"/>
        <v>0</v>
      </c>
      <c r="K7134" s="369">
        <f t="shared" si="341"/>
        <v>6</v>
      </c>
      <c r="L7134" s="369">
        <f>+IF((C7134&gt;='Resultats - informe'!$E$16)*(C7134&lt;='Resultats - informe'!$G$16),1,0)</f>
        <v>1</v>
      </c>
      <c r="M7134" s="369" cm="1">
        <f t="array" ref="M7134">+_xlfn.IFS((C7134&gt;='Resultats - informe'!$D$26)*(C7134&lt;='Resultats - informe'!$E$26),0,(C7134&gt;='Resultats - informe'!$D$27)*(C7134&lt;='Resultats - informe'!$E$27),0,(C7134&gt;='Resultats - informe'!$D$28)*(C7134&lt;='Resultats - informe'!$E$28),0,(C7134&gt;='Resultats - informe'!$D$29)*(C7134&lt;='Resultats - informe'!$E$29),0,1,1)</f>
        <v>0</v>
      </c>
      <c r="N7134" s="366">
        <f>+VLOOKUP(D7134,'Resultats - informe'!$Y$18:$AG$42,'Introducció dades consum'!K7134+1,0)</f>
        <v>0</v>
      </c>
      <c r="O7134" s="370" cm="1">
        <f t="array" ref="O7134">+_xlfn.SWITCH(MONTH(C7134),1,1,2,1,3,1,4,2,5,2,6,3,7,3,8,3,9,3,10,2,11,2,12,1,2)</f>
        <v>1</v>
      </c>
      <c r="P7134" s="43"/>
    </row>
    <row r="7135" spans="1:16" ht="18" x14ac:dyDescent="0.35">
      <c r="A7135" s="9"/>
      <c r="C7135" s="393"/>
      <c r="E7135" s="394"/>
      <c r="F7135" s="394"/>
      <c r="G7135" s="394"/>
      <c r="I7135" s="368">
        <f t="shared" si="339"/>
        <v>0</v>
      </c>
      <c r="J7135" s="365">
        <f t="shared" si="340"/>
        <v>0</v>
      </c>
      <c r="K7135" s="369">
        <f t="shared" si="341"/>
        <v>6</v>
      </c>
      <c r="L7135" s="369">
        <f>+IF((C7135&gt;='Resultats - informe'!$E$16)*(C7135&lt;='Resultats - informe'!$G$16),1,0)</f>
        <v>1</v>
      </c>
      <c r="M7135" s="369" cm="1">
        <f t="array" ref="M7135">+_xlfn.IFS((C7135&gt;='Resultats - informe'!$D$26)*(C7135&lt;='Resultats - informe'!$E$26),0,(C7135&gt;='Resultats - informe'!$D$27)*(C7135&lt;='Resultats - informe'!$E$27),0,(C7135&gt;='Resultats - informe'!$D$28)*(C7135&lt;='Resultats - informe'!$E$28),0,(C7135&gt;='Resultats - informe'!$D$29)*(C7135&lt;='Resultats - informe'!$E$29),0,1,1)</f>
        <v>0</v>
      </c>
      <c r="N7135" s="366">
        <f>+VLOOKUP(D7135,'Resultats - informe'!$Y$18:$AG$42,'Introducció dades consum'!K7135+1,0)</f>
        <v>0</v>
      </c>
      <c r="O7135" s="370" cm="1">
        <f t="array" ref="O7135">+_xlfn.SWITCH(MONTH(C7135),1,1,2,1,3,1,4,2,5,2,6,3,7,3,8,3,9,3,10,2,11,2,12,1,2)</f>
        <v>1</v>
      </c>
      <c r="P7135" s="43"/>
    </row>
    <row r="7136" spans="1:16" ht="18" x14ac:dyDescent="0.35">
      <c r="A7136" s="9"/>
      <c r="C7136" s="393"/>
      <c r="E7136" s="394"/>
      <c r="F7136" s="394"/>
      <c r="G7136" s="394"/>
      <c r="I7136" s="368">
        <f t="shared" si="339"/>
        <v>0</v>
      </c>
      <c r="J7136" s="365">
        <f t="shared" si="340"/>
        <v>0</v>
      </c>
      <c r="K7136" s="369">
        <f t="shared" si="341"/>
        <v>6</v>
      </c>
      <c r="L7136" s="369">
        <f>+IF((C7136&gt;='Resultats - informe'!$E$16)*(C7136&lt;='Resultats - informe'!$G$16),1,0)</f>
        <v>1</v>
      </c>
      <c r="M7136" s="369" cm="1">
        <f t="array" ref="M7136">+_xlfn.IFS((C7136&gt;='Resultats - informe'!$D$26)*(C7136&lt;='Resultats - informe'!$E$26),0,(C7136&gt;='Resultats - informe'!$D$27)*(C7136&lt;='Resultats - informe'!$E$27),0,(C7136&gt;='Resultats - informe'!$D$28)*(C7136&lt;='Resultats - informe'!$E$28),0,(C7136&gt;='Resultats - informe'!$D$29)*(C7136&lt;='Resultats - informe'!$E$29),0,1,1)</f>
        <v>0</v>
      </c>
      <c r="N7136" s="366">
        <f>+VLOOKUP(D7136,'Resultats - informe'!$Y$18:$AG$42,'Introducció dades consum'!K7136+1,0)</f>
        <v>0</v>
      </c>
      <c r="O7136" s="370" cm="1">
        <f t="array" ref="O7136">+_xlfn.SWITCH(MONTH(C7136),1,1,2,1,3,1,4,2,5,2,6,3,7,3,8,3,9,3,10,2,11,2,12,1,2)</f>
        <v>1</v>
      </c>
      <c r="P7136" s="43"/>
    </row>
    <row r="7137" spans="1:16" ht="18" x14ac:dyDescent="0.35">
      <c r="A7137" s="9"/>
      <c r="C7137" s="393"/>
      <c r="E7137" s="394"/>
      <c r="F7137" s="394"/>
      <c r="G7137" s="394"/>
      <c r="I7137" s="368">
        <f t="shared" si="339"/>
        <v>0</v>
      </c>
      <c r="J7137" s="365">
        <f t="shared" si="340"/>
        <v>0</v>
      </c>
      <c r="K7137" s="369">
        <f t="shared" si="341"/>
        <v>6</v>
      </c>
      <c r="L7137" s="369">
        <f>+IF((C7137&gt;='Resultats - informe'!$E$16)*(C7137&lt;='Resultats - informe'!$G$16),1,0)</f>
        <v>1</v>
      </c>
      <c r="M7137" s="369" cm="1">
        <f t="array" ref="M7137">+_xlfn.IFS((C7137&gt;='Resultats - informe'!$D$26)*(C7137&lt;='Resultats - informe'!$E$26),0,(C7137&gt;='Resultats - informe'!$D$27)*(C7137&lt;='Resultats - informe'!$E$27),0,(C7137&gt;='Resultats - informe'!$D$28)*(C7137&lt;='Resultats - informe'!$E$28),0,(C7137&gt;='Resultats - informe'!$D$29)*(C7137&lt;='Resultats - informe'!$E$29),0,1,1)</f>
        <v>0</v>
      </c>
      <c r="N7137" s="366">
        <f>+VLOOKUP(D7137,'Resultats - informe'!$Y$18:$AG$42,'Introducció dades consum'!K7137+1,0)</f>
        <v>0</v>
      </c>
      <c r="O7137" s="370" cm="1">
        <f t="array" ref="O7137">+_xlfn.SWITCH(MONTH(C7137),1,1,2,1,3,1,4,2,5,2,6,3,7,3,8,3,9,3,10,2,11,2,12,1,2)</f>
        <v>1</v>
      </c>
      <c r="P7137" s="43"/>
    </row>
    <row r="7138" spans="1:16" ht="18" x14ac:dyDescent="0.35">
      <c r="A7138" s="9"/>
      <c r="C7138" s="393"/>
      <c r="E7138" s="394"/>
      <c r="F7138" s="394"/>
      <c r="G7138" s="394"/>
      <c r="I7138" s="368">
        <f t="shared" si="339"/>
        <v>0</v>
      </c>
      <c r="J7138" s="365">
        <f t="shared" si="340"/>
        <v>0</v>
      </c>
      <c r="K7138" s="369">
        <f t="shared" si="341"/>
        <v>6</v>
      </c>
      <c r="L7138" s="369">
        <f>+IF((C7138&gt;='Resultats - informe'!$E$16)*(C7138&lt;='Resultats - informe'!$G$16),1,0)</f>
        <v>1</v>
      </c>
      <c r="M7138" s="369" cm="1">
        <f t="array" ref="M7138">+_xlfn.IFS((C7138&gt;='Resultats - informe'!$D$26)*(C7138&lt;='Resultats - informe'!$E$26),0,(C7138&gt;='Resultats - informe'!$D$27)*(C7138&lt;='Resultats - informe'!$E$27),0,(C7138&gt;='Resultats - informe'!$D$28)*(C7138&lt;='Resultats - informe'!$E$28),0,(C7138&gt;='Resultats - informe'!$D$29)*(C7138&lt;='Resultats - informe'!$E$29),0,1,1)</f>
        <v>0</v>
      </c>
      <c r="N7138" s="366">
        <f>+VLOOKUP(D7138,'Resultats - informe'!$Y$18:$AG$42,'Introducció dades consum'!K7138+1,0)</f>
        <v>0</v>
      </c>
      <c r="O7138" s="370" cm="1">
        <f t="array" ref="O7138">+_xlfn.SWITCH(MONTH(C7138),1,1,2,1,3,1,4,2,5,2,6,3,7,3,8,3,9,3,10,2,11,2,12,1,2)</f>
        <v>1</v>
      </c>
      <c r="P7138" s="43"/>
    </row>
    <row r="7139" spans="1:16" ht="18" x14ac:dyDescent="0.35">
      <c r="A7139" s="9"/>
      <c r="C7139" s="393"/>
      <c r="E7139" s="394"/>
      <c r="F7139" s="394"/>
      <c r="G7139" s="394"/>
      <c r="I7139" s="368">
        <f t="shared" si="339"/>
        <v>0</v>
      </c>
      <c r="J7139" s="365">
        <f t="shared" si="340"/>
        <v>0</v>
      </c>
      <c r="K7139" s="369">
        <f t="shared" si="341"/>
        <v>6</v>
      </c>
      <c r="L7139" s="369">
        <f>+IF((C7139&gt;='Resultats - informe'!$E$16)*(C7139&lt;='Resultats - informe'!$G$16),1,0)</f>
        <v>1</v>
      </c>
      <c r="M7139" s="369" cm="1">
        <f t="array" ref="M7139">+_xlfn.IFS((C7139&gt;='Resultats - informe'!$D$26)*(C7139&lt;='Resultats - informe'!$E$26),0,(C7139&gt;='Resultats - informe'!$D$27)*(C7139&lt;='Resultats - informe'!$E$27),0,(C7139&gt;='Resultats - informe'!$D$28)*(C7139&lt;='Resultats - informe'!$E$28),0,(C7139&gt;='Resultats - informe'!$D$29)*(C7139&lt;='Resultats - informe'!$E$29),0,1,1)</f>
        <v>0</v>
      </c>
      <c r="N7139" s="366">
        <f>+VLOOKUP(D7139,'Resultats - informe'!$Y$18:$AG$42,'Introducció dades consum'!K7139+1,0)</f>
        <v>0</v>
      </c>
      <c r="O7139" s="370" cm="1">
        <f t="array" ref="O7139">+_xlfn.SWITCH(MONTH(C7139),1,1,2,1,3,1,4,2,5,2,6,3,7,3,8,3,9,3,10,2,11,2,12,1,2)</f>
        <v>1</v>
      </c>
      <c r="P7139" s="43"/>
    </row>
    <row r="7140" spans="1:16" ht="18" x14ac:dyDescent="0.35">
      <c r="A7140" s="9"/>
      <c r="C7140" s="393"/>
      <c r="E7140" s="394"/>
      <c r="F7140" s="394"/>
      <c r="G7140" s="394"/>
      <c r="I7140" s="368">
        <f t="shared" si="339"/>
        <v>0</v>
      </c>
      <c r="J7140" s="365">
        <f t="shared" si="340"/>
        <v>0</v>
      </c>
      <c r="K7140" s="369">
        <f t="shared" si="341"/>
        <v>6</v>
      </c>
      <c r="L7140" s="369">
        <f>+IF((C7140&gt;='Resultats - informe'!$E$16)*(C7140&lt;='Resultats - informe'!$G$16),1,0)</f>
        <v>1</v>
      </c>
      <c r="M7140" s="369" cm="1">
        <f t="array" ref="M7140">+_xlfn.IFS((C7140&gt;='Resultats - informe'!$D$26)*(C7140&lt;='Resultats - informe'!$E$26),0,(C7140&gt;='Resultats - informe'!$D$27)*(C7140&lt;='Resultats - informe'!$E$27),0,(C7140&gt;='Resultats - informe'!$D$28)*(C7140&lt;='Resultats - informe'!$E$28),0,(C7140&gt;='Resultats - informe'!$D$29)*(C7140&lt;='Resultats - informe'!$E$29),0,1,1)</f>
        <v>0</v>
      </c>
      <c r="N7140" s="366">
        <f>+VLOOKUP(D7140,'Resultats - informe'!$Y$18:$AG$42,'Introducció dades consum'!K7140+1,0)</f>
        <v>0</v>
      </c>
      <c r="O7140" s="370" cm="1">
        <f t="array" ref="O7140">+_xlfn.SWITCH(MONTH(C7140),1,1,2,1,3,1,4,2,5,2,6,3,7,3,8,3,9,3,10,2,11,2,12,1,2)</f>
        <v>1</v>
      </c>
      <c r="P7140" s="43"/>
    </row>
    <row r="7141" spans="1:16" ht="18" x14ac:dyDescent="0.35">
      <c r="A7141" s="9"/>
      <c r="C7141" s="393"/>
      <c r="E7141" s="394"/>
      <c r="F7141" s="394"/>
      <c r="G7141" s="394"/>
      <c r="I7141" s="368">
        <f t="shared" si="339"/>
        <v>0</v>
      </c>
      <c r="J7141" s="365">
        <f t="shared" si="340"/>
        <v>0</v>
      </c>
      <c r="K7141" s="369">
        <f t="shared" si="341"/>
        <v>6</v>
      </c>
      <c r="L7141" s="369">
        <f>+IF((C7141&gt;='Resultats - informe'!$E$16)*(C7141&lt;='Resultats - informe'!$G$16),1,0)</f>
        <v>1</v>
      </c>
      <c r="M7141" s="369" cm="1">
        <f t="array" ref="M7141">+_xlfn.IFS((C7141&gt;='Resultats - informe'!$D$26)*(C7141&lt;='Resultats - informe'!$E$26),0,(C7141&gt;='Resultats - informe'!$D$27)*(C7141&lt;='Resultats - informe'!$E$27),0,(C7141&gt;='Resultats - informe'!$D$28)*(C7141&lt;='Resultats - informe'!$E$28),0,(C7141&gt;='Resultats - informe'!$D$29)*(C7141&lt;='Resultats - informe'!$E$29),0,1,1)</f>
        <v>0</v>
      </c>
      <c r="N7141" s="366">
        <f>+VLOOKUP(D7141,'Resultats - informe'!$Y$18:$AG$42,'Introducció dades consum'!K7141+1,0)</f>
        <v>0</v>
      </c>
      <c r="O7141" s="370" cm="1">
        <f t="array" ref="O7141">+_xlfn.SWITCH(MONTH(C7141),1,1,2,1,3,1,4,2,5,2,6,3,7,3,8,3,9,3,10,2,11,2,12,1,2)</f>
        <v>1</v>
      </c>
      <c r="P7141" s="43"/>
    </row>
    <row r="7142" spans="1:16" ht="18" x14ac:dyDescent="0.35">
      <c r="A7142" s="9"/>
      <c r="C7142" s="393"/>
      <c r="E7142" s="394"/>
      <c r="F7142" s="394"/>
      <c r="G7142" s="394"/>
      <c r="I7142" s="368">
        <f t="shared" si="339"/>
        <v>0</v>
      </c>
      <c r="J7142" s="365">
        <f t="shared" si="340"/>
        <v>0</v>
      </c>
      <c r="K7142" s="369">
        <f t="shared" si="341"/>
        <v>6</v>
      </c>
      <c r="L7142" s="369">
        <f>+IF((C7142&gt;='Resultats - informe'!$E$16)*(C7142&lt;='Resultats - informe'!$G$16),1,0)</f>
        <v>1</v>
      </c>
      <c r="M7142" s="369" cm="1">
        <f t="array" ref="M7142">+_xlfn.IFS((C7142&gt;='Resultats - informe'!$D$26)*(C7142&lt;='Resultats - informe'!$E$26),0,(C7142&gt;='Resultats - informe'!$D$27)*(C7142&lt;='Resultats - informe'!$E$27),0,(C7142&gt;='Resultats - informe'!$D$28)*(C7142&lt;='Resultats - informe'!$E$28),0,(C7142&gt;='Resultats - informe'!$D$29)*(C7142&lt;='Resultats - informe'!$E$29),0,1,1)</f>
        <v>0</v>
      </c>
      <c r="N7142" s="366">
        <f>+VLOOKUP(D7142,'Resultats - informe'!$Y$18:$AG$42,'Introducció dades consum'!K7142+1,0)</f>
        <v>0</v>
      </c>
      <c r="O7142" s="370" cm="1">
        <f t="array" ref="O7142">+_xlfn.SWITCH(MONTH(C7142),1,1,2,1,3,1,4,2,5,2,6,3,7,3,8,3,9,3,10,2,11,2,12,1,2)</f>
        <v>1</v>
      </c>
      <c r="P7142" s="43"/>
    </row>
    <row r="7143" spans="1:16" ht="18" x14ac:dyDescent="0.35">
      <c r="A7143" s="9"/>
      <c r="C7143" s="393"/>
      <c r="E7143" s="394"/>
      <c r="F7143" s="394"/>
      <c r="G7143" s="394"/>
      <c r="I7143" s="368">
        <f t="shared" si="339"/>
        <v>0</v>
      </c>
      <c r="J7143" s="365">
        <f t="shared" si="340"/>
        <v>0</v>
      </c>
      <c r="K7143" s="369">
        <f t="shared" si="341"/>
        <v>6</v>
      </c>
      <c r="L7143" s="369">
        <f>+IF((C7143&gt;='Resultats - informe'!$E$16)*(C7143&lt;='Resultats - informe'!$G$16),1,0)</f>
        <v>1</v>
      </c>
      <c r="M7143" s="369" cm="1">
        <f t="array" ref="M7143">+_xlfn.IFS((C7143&gt;='Resultats - informe'!$D$26)*(C7143&lt;='Resultats - informe'!$E$26),0,(C7143&gt;='Resultats - informe'!$D$27)*(C7143&lt;='Resultats - informe'!$E$27),0,(C7143&gt;='Resultats - informe'!$D$28)*(C7143&lt;='Resultats - informe'!$E$28),0,(C7143&gt;='Resultats - informe'!$D$29)*(C7143&lt;='Resultats - informe'!$E$29),0,1,1)</f>
        <v>0</v>
      </c>
      <c r="N7143" s="366">
        <f>+VLOOKUP(D7143,'Resultats - informe'!$Y$18:$AG$42,'Introducció dades consum'!K7143+1,0)</f>
        <v>0</v>
      </c>
      <c r="O7143" s="370" cm="1">
        <f t="array" ref="O7143">+_xlfn.SWITCH(MONTH(C7143),1,1,2,1,3,1,4,2,5,2,6,3,7,3,8,3,9,3,10,2,11,2,12,1,2)</f>
        <v>1</v>
      </c>
      <c r="P7143" s="43"/>
    </row>
    <row r="7144" spans="1:16" ht="18" x14ac:dyDescent="0.35">
      <c r="A7144" s="9"/>
      <c r="C7144" s="393"/>
      <c r="E7144" s="394"/>
      <c r="F7144" s="394"/>
      <c r="G7144" s="394"/>
      <c r="I7144" s="368">
        <f t="shared" si="339"/>
        <v>0</v>
      </c>
      <c r="J7144" s="365">
        <f t="shared" si="340"/>
        <v>0</v>
      </c>
      <c r="K7144" s="369">
        <f t="shared" si="341"/>
        <v>6</v>
      </c>
      <c r="L7144" s="369">
        <f>+IF((C7144&gt;='Resultats - informe'!$E$16)*(C7144&lt;='Resultats - informe'!$G$16),1,0)</f>
        <v>1</v>
      </c>
      <c r="M7144" s="369" cm="1">
        <f t="array" ref="M7144">+_xlfn.IFS((C7144&gt;='Resultats - informe'!$D$26)*(C7144&lt;='Resultats - informe'!$E$26),0,(C7144&gt;='Resultats - informe'!$D$27)*(C7144&lt;='Resultats - informe'!$E$27),0,(C7144&gt;='Resultats - informe'!$D$28)*(C7144&lt;='Resultats - informe'!$E$28),0,(C7144&gt;='Resultats - informe'!$D$29)*(C7144&lt;='Resultats - informe'!$E$29),0,1,1)</f>
        <v>0</v>
      </c>
      <c r="N7144" s="366">
        <f>+VLOOKUP(D7144,'Resultats - informe'!$Y$18:$AG$42,'Introducció dades consum'!K7144+1,0)</f>
        <v>0</v>
      </c>
      <c r="O7144" s="370" cm="1">
        <f t="array" ref="O7144">+_xlfn.SWITCH(MONTH(C7144),1,1,2,1,3,1,4,2,5,2,6,3,7,3,8,3,9,3,10,2,11,2,12,1,2)</f>
        <v>1</v>
      </c>
      <c r="P7144" s="43"/>
    </row>
    <row r="7145" spans="1:16" ht="18" x14ac:dyDescent="0.35">
      <c r="A7145" s="9"/>
      <c r="C7145" s="393"/>
      <c r="E7145" s="394"/>
      <c r="F7145" s="394"/>
      <c r="G7145" s="394"/>
      <c r="I7145" s="368">
        <f t="shared" si="339"/>
        <v>0</v>
      </c>
      <c r="J7145" s="365">
        <f t="shared" si="340"/>
        <v>0</v>
      </c>
      <c r="K7145" s="369">
        <f t="shared" si="341"/>
        <v>6</v>
      </c>
      <c r="L7145" s="369">
        <f>+IF((C7145&gt;='Resultats - informe'!$E$16)*(C7145&lt;='Resultats - informe'!$G$16),1,0)</f>
        <v>1</v>
      </c>
      <c r="M7145" s="369" cm="1">
        <f t="array" ref="M7145">+_xlfn.IFS((C7145&gt;='Resultats - informe'!$D$26)*(C7145&lt;='Resultats - informe'!$E$26),0,(C7145&gt;='Resultats - informe'!$D$27)*(C7145&lt;='Resultats - informe'!$E$27),0,(C7145&gt;='Resultats - informe'!$D$28)*(C7145&lt;='Resultats - informe'!$E$28),0,(C7145&gt;='Resultats - informe'!$D$29)*(C7145&lt;='Resultats - informe'!$E$29),0,1,1)</f>
        <v>0</v>
      </c>
      <c r="N7145" s="366">
        <f>+VLOOKUP(D7145,'Resultats - informe'!$Y$18:$AG$42,'Introducció dades consum'!K7145+1,0)</f>
        <v>0</v>
      </c>
      <c r="O7145" s="370" cm="1">
        <f t="array" ref="O7145">+_xlfn.SWITCH(MONTH(C7145),1,1,2,1,3,1,4,2,5,2,6,3,7,3,8,3,9,3,10,2,11,2,12,1,2)</f>
        <v>1</v>
      </c>
      <c r="P7145" s="43"/>
    </row>
    <row r="7146" spans="1:16" ht="18" x14ac:dyDescent="0.35">
      <c r="A7146" s="9"/>
      <c r="C7146" s="393"/>
      <c r="E7146" s="394"/>
      <c r="F7146" s="394"/>
      <c r="G7146" s="394"/>
      <c r="I7146" s="368">
        <f t="shared" si="339"/>
        <v>0</v>
      </c>
      <c r="J7146" s="365">
        <f t="shared" si="340"/>
        <v>0</v>
      </c>
      <c r="K7146" s="369">
        <f t="shared" si="341"/>
        <v>6</v>
      </c>
      <c r="L7146" s="369">
        <f>+IF((C7146&gt;='Resultats - informe'!$E$16)*(C7146&lt;='Resultats - informe'!$G$16),1,0)</f>
        <v>1</v>
      </c>
      <c r="M7146" s="369" cm="1">
        <f t="array" ref="M7146">+_xlfn.IFS((C7146&gt;='Resultats - informe'!$D$26)*(C7146&lt;='Resultats - informe'!$E$26),0,(C7146&gt;='Resultats - informe'!$D$27)*(C7146&lt;='Resultats - informe'!$E$27),0,(C7146&gt;='Resultats - informe'!$D$28)*(C7146&lt;='Resultats - informe'!$E$28),0,(C7146&gt;='Resultats - informe'!$D$29)*(C7146&lt;='Resultats - informe'!$E$29),0,1,1)</f>
        <v>0</v>
      </c>
      <c r="N7146" s="366">
        <f>+VLOOKUP(D7146,'Resultats - informe'!$Y$18:$AG$42,'Introducció dades consum'!K7146+1,0)</f>
        <v>0</v>
      </c>
      <c r="O7146" s="370" cm="1">
        <f t="array" ref="O7146">+_xlfn.SWITCH(MONTH(C7146),1,1,2,1,3,1,4,2,5,2,6,3,7,3,8,3,9,3,10,2,11,2,12,1,2)</f>
        <v>1</v>
      </c>
      <c r="P7146" s="43"/>
    </row>
    <row r="7147" spans="1:16" ht="18" x14ac:dyDescent="0.35">
      <c r="A7147" s="9"/>
      <c r="C7147" s="393"/>
      <c r="E7147" s="394"/>
      <c r="F7147" s="394"/>
      <c r="G7147" s="394"/>
      <c r="I7147" s="368">
        <f t="shared" si="339"/>
        <v>0</v>
      </c>
      <c r="J7147" s="365">
        <f t="shared" si="340"/>
        <v>0</v>
      </c>
      <c r="K7147" s="369">
        <f t="shared" si="341"/>
        <v>6</v>
      </c>
      <c r="L7147" s="369">
        <f>+IF((C7147&gt;='Resultats - informe'!$E$16)*(C7147&lt;='Resultats - informe'!$G$16),1,0)</f>
        <v>1</v>
      </c>
      <c r="M7147" s="369" cm="1">
        <f t="array" ref="M7147">+_xlfn.IFS((C7147&gt;='Resultats - informe'!$D$26)*(C7147&lt;='Resultats - informe'!$E$26),0,(C7147&gt;='Resultats - informe'!$D$27)*(C7147&lt;='Resultats - informe'!$E$27),0,(C7147&gt;='Resultats - informe'!$D$28)*(C7147&lt;='Resultats - informe'!$E$28),0,(C7147&gt;='Resultats - informe'!$D$29)*(C7147&lt;='Resultats - informe'!$E$29),0,1,1)</f>
        <v>0</v>
      </c>
      <c r="N7147" s="366">
        <f>+VLOOKUP(D7147,'Resultats - informe'!$Y$18:$AG$42,'Introducció dades consum'!K7147+1,0)</f>
        <v>0</v>
      </c>
      <c r="O7147" s="370" cm="1">
        <f t="array" ref="O7147">+_xlfn.SWITCH(MONTH(C7147),1,1,2,1,3,1,4,2,5,2,6,3,7,3,8,3,9,3,10,2,11,2,12,1,2)</f>
        <v>1</v>
      </c>
      <c r="P7147" s="43"/>
    </row>
    <row r="7148" spans="1:16" ht="18" x14ac:dyDescent="0.35">
      <c r="A7148" s="9"/>
      <c r="C7148" s="393"/>
      <c r="E7148" s="394"/>
      <c r="F7148" s="394"/>
      <c r="G7148" s="394"/>
      <c r="I7148" s="368">
        <f t="shared" si="339"/>
        <v>0</v>
      </c>
      <c r="J7148" s="365">
        <f t="shared" si="340"/>
        <v>0</v>
      </c>
      <c r="K7148" s="369">
        <f t="shared" si="341"/>
        <v>6</v>
      </c>
      <c r="L7148" s="369">
        <f>+IF((C7148&gt;='Resultats - informe'!$E$16)*(C7148&lt;='Resultats - informe'!$G$16),1,0)</f>
        <v>1</v>
      </c>
      <c r="M7148" s="369" cm="1">
        <f t="array" ref="M7148">+_xlfn.IFS((C7148&gt;='Resultats - informe'!$D$26)*(C7148&lt;='Resultats - informe'!$E$26),0,(C7148&gt;='Resultats - informe'!$D$27)*(C7148&lt;='Resultats - informe'!$E$27),0,(C7148&gt;='Resultats - informe'!$D$28)*(C7148&lt;='Resultats - informe'!$E$28),0,(C7148&gt;='Resultats - informe'!$D$29)*(C7148&lt;='Resultats - informe'!$E$29),0,1,1)</f>
        <v>0</v>
      </c>
      <c r="N7148" s="366">
        <f>+VLOOKUP(D7148,'Resultats - informe'!$Y$18:$AG$42,'Introducció dades consum'!K7148+1,0)</f>
        <v>0</v>
      </c>
      <c r="O7148" s="370" cm="1">
        <f t="array" ref="O7148">+_xlfn.SWITCH(MONTH(C7148),1,1,2,1,3,1,4,2,5,2,6,3,7,3,8,3,9,3,10,2,11,2,12,1,2)</f>
        <v>1</v>
      </c>
      <c r="P7148" s="43"/>
    </row>
    <row r="7149" spans="1:16" ht="18" x14ac:dyDescent="0.35">
      <c r="A7149" s="9"/>
      <c r="C7149" s="393"/>
      <c r="E7149" s="394"/>
      <c r="F7149" s="394"/>
      <c r="G7149" s="394"/>
      <c r="I7149" s="368">
        <f t="shared" si="339"/>
        <v>0</v>
      </c>
      <c r="J7149" s="365">
        <f t="shared" si="340"/>
        <v>0</v>
      </c>
      <c r="K7149" s="369">
        <f t="shared" si="341"/>
        <v>6</v>
      </c>
      <c r="L7149" s="369">
        <f>+IF((C7149&gt;='Resultats - informe'!$E$16)*(C7149&lt;='Resultats - informe'!$G$16),1,0)</f>
        <v>1</v>
      </c>
      <c r="M7149" s="369" cm="1">
        <f t="array" ref="M7149">+_xlfn.IFS((C7149&gt;='Resultats - informe'!$D$26)*(C7149&lt;='Resultats - informe'!$E$26),0,(C7149&gt;='Resultats - informe'!$D$27)*(C7149&lt;='Resultats - informe'!$E$27),0,(C7149&gt;='Resultats - informe'!$D$28)*(C7149&lt;='Resultats - informe'!$E$28),0,(C7149&gt;='Resultats - informe'!$D$29)*(C7149&lt;='Resultats - informe'!$E$29),0,1,1)</f>
        <v>0</v>
      </c>
      <c r="N7149" s="366">
        <f>+VLOOKUP(D7149,'Resultats - informe'!$Y$18:$AG$42,'Introducció dades consum'!K7149+1,0)</f>
        <v>0</v>
      </c>
      <c r="O7149" s="370" cm="1">
        <f t="array" ref="O7149">+_xlfn.SWITCH(MONTH(C7149),1,1,2,1,3,1,4,2,5,2,6,3,7,3,8,3,9,3,10,2,11,2,12,1,2)</f>
        <v>1</v>
      </c>
      <c r="P7149" s="43"/>
    </row>
    <row r="7150" spans="1:16" ht="18" x14ac:dyDescent="0.35">
      <c r="A7150" s="9"/>
      <c r="C7150" s="393"/>
      <c r="E7150" s="394"/>
      <c r="F7150" s="394"/>
      <c r="G7150" s="394"/>
      <c r="I7150" s="368">
        <f t="shared" si="339"/>
        <v>0</v>
      </c>
      <c r="J7150" s="365">
        <f t="shared" si="340"/>
        <v>0</v>
      </c>
      <c r="K7150" s="369">
        <f t="shared" si="341"/>
        <v>6</v>
      </c>
      <c r="L7150" s="369">
        <f>+IF((C7150&gt;='Resultats - informe'!$E$16)*(C7150&lt;='Resultats - informe'!$G$16),1,0)</f>
        <v>1</v>
      </c>
      <c r="M7150" s="369" cm="1">
        <f t="array" ref="M7150">+_xlfn.IFS((C7150&gt;='Resultats - informe'!$D$26)*(C7150&lt;='Resultats - informe'!$E$26),0,(C7150&gt;='Resultats - informe'!$D$27)*(C7150&lt;='Resultats - informe'!$E$27),0,(C7150&gt;='Resultats - informe'!$D$28)*(C7150&lt;='Resultats - informe'!$E$28),0,(C7150&gt;='Resultats - informe'!$D$29)*(C7150&lt;='Resultats - informe'!$E$29),0,1,1)</f>
        <v>0</v>
      </c>
      <c r="N7150" s="366">
        <f>+VLOOKUP(D7150,'Resultats - informe'!$Y$18:$AG$42,'Introducció dades consum'!K7150+1,0)</f>
        <v>0</v>
      </c>
      <c r="O7150" s="370" cm="1">
        <f t="array" ref="O7150">+_xlfn.SWITCH(MONTH(C7150),1,1,2,1,3,1,4,2,5,2,6,3,7,3,8,3,9,3,10,2,11,2,12,1,2)</f>
        <v>1</v>
      </c>
      <c r="P7150" s="43"/>
    </row>
    <row r="7151" spans="1:16" ht="18" x14ac:dyDescent="0.35">
      <c r="A7151" s="9"/>
      <c r="C7151" s="393"/>
      <c r="E7151" s="394"/>
      <c r="F7151" s="394"/>
      <c r="G7151" s="394"/>
      <c r="I7151" s="368">
        <f t="shared" si="339"/>
        <v>0</v>
      </c>
      <c r="J7151" s="365">
        <f t="shared" si="340"/>
        <v>0</v>
      </c>
      <c r="K7151" s="369">
        <f t="shared" si="341"/>
        <v>6</v>
      </c>
      <c r="L7151" s="369">
        <f>+IF((C7151&gt;='Resultats - informe'!$E$16)*(C7151&lt;='Resultats - informe'!$G$16),1,0)</f>
        <v>1</v>
      </c>
      <c r="M7151" s="369" cm="1">
        <f t="array" ref="M7151">+_xlfn.IFS((C7151&gt;='Resultats - informe'!$D$26)*(C7151&lt;='Resultats - informe'!$E$26),0,(C7151&gt;='Resultats - informe'!$D$27)*(C7151&lt;='Resultats - informe'!$E$27),0,(C7151&gt;='Resultats - informe'!$D$28)*(C7151&lt;='Resultats - informe'!$E$28),0,(C7151&gt;='Resultats - informe'!$D$29)*(C7151&lt;='Resultats - informe'!$E$29),0,1,1)</f>
        <v>0</v>
      </c>
      <c r="N7151" s="366">
        <f>+VLOOKUP(D7151,'Resultats - informe'!$Y$18:$AG$42,'Introducció dades consum'!K7151+1,0)</f>
        <v>0</v>
      </c>
      <c r="O7151" s="370" cm="1">
        <f t="array" ref="O7151">+_xlfn.SWITCH(MONTH(C7151),1,1,2,1,3,1,4,2,5,2,6,3,7,3,8,3,9,3,10,2,11,2,12,1,2)</f>
        <v>1</v>
      </c>
      <c r="P7151" s="43"/>
    </row>
    <row r="7152" spans="1:16" ht="18" x14ac:dyDescent="0.35">
      <c r="A7152" s="9"/>
      <c r="C7152" s="393"/>
      <c r="E7152" s="394"/>
      <c r="F7152" s="394"/>
      <c r="G7152" s="394"/>
      <c r="I7152" s="368">
        <f t="shared" si="339"/>
        <v>0</v>
      </c>
      <c r="J7152" s="365">
        <f t="shared" si="340"/>
        <v>0</v>
      </c>
      <c r="K7152" s="369">
        <f t="shared" si="341"/>
        <v>6</v>
      </c>
      <c r="L7152" s="369">
        <f>+IF((C7152&gt;='Resultats - informe'!$E$16)*(C7152&lt;='Resultats - informe'!$G$16),1,0)</f>
        <v>1</v>
      </c>
      <c r="M7152" s="369" cm="1">
        <f t="array" ref="M7152">+_xlfn.IFS((C7152&gt;='Resultats - informe'!$D$26)*(C7152&lt;='Resultats - informe'!$E$26),0,(C7152&gt;='Resultats - informe'!$D$27)*(C7152&lt;='Resultats - informe'!$E$27),0,(C7152&gt;='Resultats - informe'!$D$28)*(C7152&lt;='Resultats - informe'!$E$28),0,(C7152&gt;='Resultats - informe'!$D$29)*(C7152&lt;='Resultats - informe'!$E$29),0,1,1)</f>
        <v>0</v>
      </c>
      <c r="N7152" s="366">
        <f>+VLOOKUP(D7152,'Resultats - informe'!$Y$18:$AG$42,'Introducció dades consum'!K7152+1,0)</f>
        <v>0</v>
      </c>
      <c r="O7152" s="370" cm="1">
        <f t="array" ref="O7152">+_xlfn.SWITCH(MONTH(C7152),1,1,2,1,3,1,4,2,5,2,6,3,7,3,8,3,9,3,10,2,11,2,12,1,2)</f>
        <v>1</v>
      </c>
      <c r="P7152" s="43"/>
    </row>
    <row r="7153" spans="1:16" ht="18" x14ac:dyDescent="0.35">
      <c r="A7153" s="9"/>
      <c r="C7153" s="393"/>
      <c r="E7153" s="394"/>
      <c r="F7153" s="394"/>
      <c r="G7153" s="394"/>
      <c r="I7153" s="368">
        <f t="shared" si="339"/>
        <v>0</v>
      </c>
      <c r="J7153" s="365">
        <f t="shared" si="340"/>
        <v>0</v>
      </c>
      <c r="K7153" s="369">
        <f t="shared" si="341"/>
        <v>6</v>
      </c>
      <c r="L7153" s="369">
        <f>+IF((C7153&gt;='Resultats - informe'!$E$16)*(C7153&lt;='Resultats - informe'!$G$16),1,0)</f>
        <v>1</v>
      </c>
      <c r="M7153" s="369" cm="1">
        <f t="array" ref="M7153">+_xlfn.IFS((C7153&gt;='Resultats - informe'!$D$26)*(C7153&lt;='Resultats - informe'!$E$26),0,(C7153&gt;='Resultats - informe'!$D$27)*(C7153&lt;='Resultats - informe'!$E$27),0,(C7153&gt;='Resultats - informe'!$D$28)*(C7153&lt;='Resultats - informe'!$E$28),0,(C7153&gt;='Resultats - informe'!$D$29)*(C7153&lt;='Resultats - informe'!$E$29),0,1,1)</f>
        <v>0</v>
      </c>
      <c r="N7153" s="366">
        <f>+VLOOKUP(D7153,'Resultats - informe'!$Y$18:$AG$42,'Introducció dades consum'!K7153+1,0)</f>
        <v>0</v>
      </c>
      <c r="O7153" s="370" cm="1">
        <f t="array" ref="O7153">+_xlfn.SWITCH(MONTH(C7153),1,1,2,1,3,1,4,2,5,2,6,3,7,3,8,3,9,3,10,2,11,2,12,1,2)</f>
        <v>1</v>
      </c>
      <c r="P7153" s="43"/>
    </row>
    <row r="7154" spans="1:16" ht="18" x14ac:dyDescent="0.35">
      <c r="A7154" s="9"/>
      <c r="C7154" s="393"/>
      <c r="E7154" s="394"/>
      <c r="F7154" s="394"/>
      <c r="G7154" s="394"/>
      <c r="I7154" s="368">
        <f t="shared" si="339"/>
        <v>0</v>
      </c>
      <c r="J7154" s="365">
        <f t="shared" si="340"/>
        <v>0</v>
      </c>
      <c r="K7154" s="369">
        <f t="shared" si="341"/>
        <v>6</v>
      </c>
      <c r="L7154" s="369">
        <f>+IF((C7154&gt;='Resultats - informe'!$E$16)*(C7154&lt;='Resultats - informe'!$G$16),1,0)</f>
        <v>1</v>
      </c>
      <c r="M7154" s="369" cm="1">
        <f t="array" ref="M7154">+_xlfn.IFS((C7154&gt;='Resultats - informe'!$D$26)*(C7154&lt;='Resultats - informe'!$E$26),0,(C7154&gt;='Resultats - informe'!$D$27)*(C7154&lt;='Resultats - informe'!$E$27),0,(C7154&gt;='Resultats - informe'!$D$28)*(C7154&lt;='Resultats - informe'!$E$28),0,(C7154&gt;='Resultats - informe'!$D$29)*(C7154&lt;='Resultats - informe'!$E$29),0,1,1)</f>
        <v>0</v>
      </c>
      <c r="N7154" s="366">
        <f>+VLOOKUP(D7154,'Resultats - informe'!$Y$18:$AG$42,'Introducció dades consum'!K7154+1,0)</f>
        <v>0</v>
      </c>
      <c r="O7154" s="370" cm="1">
        <f t="array" ref="O7154">+_xlfn.SWITCH(MONTH(C7154),1,1,2,1,3,1,4,2,5,2,6,3,7,3,8,3,9,3,10,2,11,2,12,1,2)</f>
        <v>1</v>
      </c>
      <c r="P7154" s="43"/>
    </row>
    <row r="7155" spans="1:16" ht="18" x14ac:dyDescent="0.35">
      <c r="A7155" s="9"/>
      <c r="C7155" s="393"/>
      <c r="E7155" s="394"/>
      <c r="F7155" s="394"/>
      <c r="G7155" s="394"/>
      <c r="I7155" s="368">
        <f t="shared" si="339"/>
        <v>0</v>
      </c>
      <c r="J7155" s="365">
        <f t="shared" si="340"/>
        <v>0</v>
      </c>
      <c r="K7155" s="369">
        <f t="shared" si="341"/>
        <v>6</v>
      </c>
      <c r="L7155" s="369">
        <f>+IF((C7155&gt;='Resultats - informe'!$E$16)*(C7155&lt;='Resultats - informe'!$G$16),1,0)</f>
        <v>1</v>
      </c>
      <c r="M7155" s="369" cm="1">
        <f t="array" ref="M7155">+_xlfn.IFS((C7155&gt;='Resultats - informe'!$D$26)*(C7155&lt;='Resultats - informe'!$E$26),0,(C7155&gt;='Resultats - informe'!$D$27)*(C7155&lt;='Resultats - informe'!$E$27),0,(C7155&gt;='Resultats - informe'!$D$28)*(C7155&lt;='Resultats - informe'!$E$28),0,(C7155&gt;='Resultats - informe'!$D$29)*(C7155&lt;='Resultats - informe'!$E$29),0,1,1)</f>
        <v>0</v>
      </c>
      <c r="N7155" s="366">
        <f>+VLOOKUP(D7155,'Resultats - informe'!$Y$18:$AG$42,'Introducció dades consum'!K7155+1,0)</f>
        <v>0</v>
      </c>
      <c r="O7155" s="370" cm="1">
        <f t="array" ref="O7155">+_xlfn.SWITCH(MONTH(C7155),1,1,2,1,3,1,4,2,5,2,6,3,7,3,8,3,9,3,10,2,11,2,12,1,2)</f>
        <v>1</v>
      </c>
      <c r="P7155" s="43"/>
    </row>
    <row r="7156" spans="1:16" ht="18" x14ac:dyDescent="0.35">
      <c r="A7156" s="9"/>
      <c r="C7156" s="393"/>
      <c r="E7156" s="394"/>
      <c r="F7156" s="394"/>
      <c r="G7156" s="394"/>
      <c r="I7156" s="368">
        <f t="shared" si="339"/>
        <v>0</v>
      </c>
      <c r="J7156" s="365">
        <f t="shared" si="340"/>
        <v>0</v>
      </c>
      <c r="K7156" s="369">
        <f t="shared" si="341"/>
        <v>6</v>
      </c>
      <c r="L7156" s="369">
        <f>+IF((C7156&gt;='Resultats - informe'!$E$16)*(C7156&lt;='Resultats - informe'!$G$16),1,0)</f>
        <v>1</v>
      </c>
      <c r="M7156" s="369" cm="1">
        <f t="array" ref="M7156">+_xlfn.IFS((C7156&gt;='Resultats - informe'!$D$26)*(C7156&lt;='Resultats - informe'!$E$26),0,(C7156&gt;='Resultats - informe'!$D$27)*(C7156&lt;='Resultats - informe'!$E$27),0,(C7156&gt;='Resultats - informe'!$D$28)*(C7156&lt;='Resultats - informe'!$E$28),0,(C7156&gt;='Resultats - informe'!$D$29)*(C7156&lt;='Resultats - informe'!$E$29),0,1,1)</f>
        <v>0</v>
      </c>
      <c r="N7156" s="366">
        <f>+VLOOKUP(D7156,'Resultats - informe'!$Y$18:$AG$42,'Introducció dades consum'!K7156+1,0)</f>
        <v>0</v>
      </c>
      <c r="O7156" s="370" cm="1">
        <f t="array" ref="O7156">+_xlfn.SWITCH(MONTH(C7156),1,1,2,1,3,1,4,2,5,2,6,3,7,3,8,3,9,3,10,2,11,2,12,1,2)</f>
        <v>1</v>
      </c>
      <c r="P7156" s="43"/>
    </row>
    <row r="7157" spans="1:16" ht="18" x14ac:dyDescent="0.35">
      <c r="A7157" s="9"/>
      <c r="C7157" s="393"/>
      <c r="E7157" s="394"/>
      <c r="F7157" s="394"/>
      <c r="G7157" s="394"/>
      <c r="I7157" s="368">
        <f t="shared" si="339"/>
        <v>0</v>
      </c>
      <c r="J7157" s="365">
        <f t="shared" si="340"/>
        <v>0</v>
      </c>
      <c r="K7157" s="369">
        <f t="shared" si="341"/>
        <v>6</v>
      </c>
      <c r="L7157" s="369">
        <f>+IF((C7157&gt;='Resultats - informe'!$E$16)*(C7157&lt;='Resultats - informe'!$G$16),1,0)</f>
        <v>1</v>
      </c>
      <c r="M7157" s="369" cm="1">
        <f t="array" ref="M7157">+_xlfn.IFS((C7157&gt;='Resultats - informe'!$D$26)*(C7157&lt;='Resultats - informe'!$E$26),0,(C7157&gt;='Resultats - informe'!$D$27)*(C7157&lt;='Resultats - informe'!$E$27),0,(C7157&gt;='Resultats - informe'!$D$28)*(C7157&lt;='Resultats - informe'!$E$28),0,(C7157&gt;='Resultats - informe'!$D$29)*(C7157&lt;='Resultats - informe'!$E$29),0,1,1)</f>
        <v>0</v>
      </c>
      <c r="N7157" s="366">
        <f>+VLOOKUP(D7157,'Resultats - informe'!$Y$18:$AG$42,'Introducció dades consum'!K7157+1,0)</f>
        <v>0</v>
      </c>
      <c r="O7157" s="370" cm="1">
        <f t="array" ref="O7157">+_xlfn.SWITCH(MONTH(C7157),1,1,2,1,3,1,4,2,5,2,6,3,7,3,8,3,9,3,10,2,11,2,12,1,2)</f>
        <v>1</v>
      </c>
      <c r="P7157" s="43"/>
    </row>
    <row r="7158" spans="1:16" ht="18" x14ac:dyDescent="0.35">
      <c r="A7158" s="9"/>
      <c r="C7158" s="393"/>
      <c r="E7158" s="394"/>
      <c r="F7158" s="394"/>
      <c r="G7158" s="394"/>
      <c r="I7158" s="368">
        <f t="shared" si="339"/>
        <v>0</v>
      </c>
      <c r="J7158" s="365">
        <f t="shared" si="340"/>
        <v>0</v>
      </c>
      <c r="K7158" s="369">
        <f t="shared" si="341"/>
        <v>6</v>
      </c>
      <c r="L7158" s="369">
        <f>+IF((C7158&gt;='Resultats - informe'!$E$16)*(C7158&lt;='Resultats - informe'!$G$16),1,0)</f>
        <v>1</v>
      </c>
      <c r="M7158" s="369" cm="1">
        <f t="array" ref="M7158">+_xlfn.IFS((C7158&gt;='Resultats - informe'!$D$26)*(C7158&lt;='Resultats - informe'!$E$26),0,(C7158&gt;='Resultats - informe'!$D$27)*(C7158&lt;='Resultats - informe'!$E$27),0,(C7158&gt;='Resultats - informe'!$D$28)*(C7158&lt;='Resultats - informe'!$E$28),0,(C7158&gt;='Resultats - informe'!$D$29)*(C7158&lt;='Resultats - informe'!$E$29),0,1,1)</f>
        <v>0</v>
      </c>
      <c r="N7158" s="366">
        <f>+VLOOKUP(D7158,'Resultats - informe'!$Y$18:$AG$42,'Introducció dades consum'!K7158+1,0)</f>
        <v>0</v>
      </c>
      <c r="O7158" s="370" cm="1">
        <f t="array" ref="O7158">+_xlfn.SWITCH(MONTH(C7158),1,1,2,1,3,1,4,2,5,2,6,3,7,3,8,3,9,3,10,2,11,2,12,1,2)</f>
        <v>1</v>
      </c>
      <c r="P7158" s="43"/>
    </row>
    <row r="7159" spans="1:16" ht="18" x14ac:dyDescent="0.35">
      <c r="A7159" s="9"/>
      <c r="C7159" s="393"/>
      <c r="E7159" s="394"/>
      <c r="F7159" s="394"/>
      <c r="G7159" s="394"/>
      <c r="I7159" s="368">
        <f t="shared" si="339"/>
        <v>0</v>
      </c>
      <c r="J7159" s="365">
        <f t="shared" si="340"/>
        <v>0</v>
      </c>
      <c r="K7159" s="369">
        <f t="shared" si="341"/>
        <v>6</v>
      </c>
      <c r="L7159" s="369">
        <f>+IF((C7159&gt;='Resultats - informe'!$E$16)*(C7159&lt;='Resultats - informe'!$G$16),1,0)</f>
        <v>1</v>
      </c>
      <c r="M7159" s="369" cm="1">
        <f t="array" ref="M7159">+_xlfn.IFS((C7159&gt;='Resultats - informe'!$D$26)*(C7159&lt;='Resultats - informe'!$E$26),0,(C7159&gt;='Resultats - informe'!$D$27)*(C7159&lt;='Resultats - informe'!$E$27),0,(C7159&gt;='Resultats - informe'!$D$28)*(C7159&lt;='Resultats - informe'!$E$28),0,(C7159&gt;='Resultats - informe'!$D$29)*(C7159&lt;='Resultats - informe'!$E$29),0,1,1)</f>
        <v>0</v>
      </c>
      <c r="N7159" s="366">
        <f>+VLOOKUP(D7159,'Resultats - informe'!$Y$18:$AG$42,'Introducció dades consum'!K7159+1,0)</f>
        <v>0</v>
      </c>
      <c r="O7159" s="370" cm="1">
        <f t="array" ref="O7159">+_xlfn.SWITCH(MONTH(C7159),1,1,2,1,3,1,4,2,5,2,6,3,7,3,8,3,9,3,10,2,11,2,12,1,2)</f>
        <v>1</v>
      </c>
      <c r="P7159" s="43"/>
    </row>
    <row r="7160" spans="1:16" ht="18" x14ac:dyDescent="0.35">
      <c r="A7160" s="9"/>
      <c r="C7160" s="393"/>
      <c r="E7160" s="394"/>
      <c r="F7160" s="394"/>
      <c r="G7160" s="394"/>
      <c r="I7160" s="368">
        <f t="shared" si="339"/>
        <v>0</v>
      </c>
      <c r="J7160" s="365">
        <f t="shared" si="340"/>
        <v>0</v>
      </c>
      <c r="K7160" s="369">
        <f t="shared" si="341"/>
        <v>6</v>
      </c>
      <c r="L7160" s="369">
        <f>+IF((C7160&gt;='Resultats - informe'!$E$16)*(C7160&lt;='Resultats - informe'!$G$16),1,0)</f>
        <v>1</v>
      </c>
      <c r="M7160" s="369" cm="1">
        <f t="array" ref="M7160">+_xlfn.IFS((C7160&gt;='Resultats - informe'!$D$26)*(C7160&lt;='Resultats - informe'!$E$26),0,(C7160&gt;='Resultats - informe'!$D$27)*(C7160&lt;='Resultats - informe'!$E$27),0,(C7160&gt;='Resultats - informe'!$D$28)*(C7160&lt;='Resultats - informe'!$E$28),0,(C7160&gt;='Resultats - informe'!$D$29)*(C7160&lt;='Resultats - informe'!$E$29),0,1,1)</f>
        <v>0</v>
      </c>
      <c r="N7160" s="366">
        <f>+VLOOKUP(D7160,'Resultats - informe'!$Y$18:$AG$42,'Introducció dades consum'!K7160+1,0)</f>
        <v>0</v>
      </c>
      <c r="O7160" s="370" cm="1">
        <f t="array" ref="O7160">+_xlfn.SWITCH(MONTH(C7160),1,1,2,1,3,1,4,2,5,2,6,3,7,3,8,3,9,3,10,2,11,2,12,1,2)</f>
        <v>1</v>
      </c>
      <c r="P7160" s="43"/>
    </row>
    <row r="7161" spans="1:16" ht="18" x14ac:dyDescent="0.35">
      <c r="A7161" s="9"/>
      <c r="C7161" s="393"/>
      <c r="E7161" s="394"/>
      <c r="F7161" s="394"/>
      <c r="G7161" s="394"/>
      <c r="I7161" s="368">
        <f t="shared" si="339"/>
        <v>0</v>
      </c>
      <c r="J7161" s="365">
        <f t="shared" si="340"/>
        <v>0</v>
      </c>
      <c r="K7161" s="369">
        <f t="shared" si="341"/>
        <v>6</v>
      </c>
      <c r="L7161" s="369">
        <f>+IF((C7161&gt;='Resultats - informe'!$E$16)*(C7161&lt;='Resultats - informe'!$G$16),1,0)</f>
        <v>1</v>
      </c>
      <c r="M7161" s="369" cm="1">
        <f t="array" ref="M7161">+_xlfn.IFS((C7161&gt;='Resultats - informe'!$D$26)*(C7161&lt;='Resultats - informe'!$E$26),0,(C7161&gt;='Resultats - informe'!$D$27)*(C7161&lt;='Resultats - informe'!$E$27),0,(C7161&gt;='Resultats - informe'!$D$28)*(C7161&lt;='Resultats - informe'!$E$28),0,(C7161&gt;='Resultats - informe'!$D$29)*(C7161&lt;='Resultats - informe'!$E$29),0,1,1)</f>
        <v>0</v>
      </c>
      <c r="N7161" s="366">
        <f>+VLOOKUP(D7161,'Resultats - informe'!$Y$18:$AG$42,'Introducció dades consum'!K7161+1,0)</f>
        <v>0</v>
      </c>
      <c r="O7161" s="370" cm="1">
        <f t="array" ref="O7161">+_xlfn.SWITCH(MONTH(C7161),1,1,2,1,3,1,4,2,5,2,6,3,7,3,8,3,9,3,10,2,11,2,12,1,2)</f>
        <v>1</v>
      </c>
      <c r="P7161" s="43"/>
    </row>
    <row r="7162" spans="1:16" ht="18" x14ac:dyDescent="0.35">
      <c r="A7162" s="9"/>
      <c r="C7162" s="393"/>
      <c r="E7162" s="394"/>
      <c r="F7162" s="394"/>
      <c r="G7162" s="394"/>
      <c r="I7162" s="368">
        <f t="shared" si="339"/>
        <v>0</v>
      </c>
      <c r="J7162" s="365">
        <f t="shared" si="340"/>
        <v>0</v>
      </c>
      <c r="K7162" s="369">
        <f t="shared" si="341"/>
        <v>6</v>
      </c>
      <c r="L7162" s="369">
        <f>+IF((C7162&gt;='Resultats - informe'!$E$16)*(C7162&lt;='Resultats - informe'!$G$16),1,0)</f>
        <v>1</v>
      </c>
      <c r="M7162" s="369" cm="1">
        <f t="array" ref="M7162">+_xlfn.IFS((C7162&gt;='Resultats - informe'!$D$26)*(C7162&lt;='Resultats - informe'!$E$26),0,(C7162&gt;='Resultats - informe'!$D$27)*(C7162&lt;='Resultats - informe'!$E$27),0,(C7162&gt;='Resultats - informe'!$D$28)*(C7162&lt;='Resultats - informe'!$E$28),0,(C7162&gt;='Resultats - informe'!$D$29)*(C7162&lt;='Resultats - informe'!$E$29),0,1,1)</f>
        <v>0</v>
      </c>
      <c r="N7162" s="366">
        <f>+VLOOKUP(D7162,'Resultats - informe'!$Y$18:$AG$42,'Introducció dades consum'!K7162+1,0)</f>
        <v>0</v>
      </c>
      <c r="O7162" s="370" cm="1">
        <f t="array" ref="O7162">+_xlfn.SWITCH(MONTH(C7162),1,1,2,1,3,1,4,2,5,2,6,3,7,3,8,3,9,3,10,2,11,2,12,1,2)</f>
        <v>1</v>
      </c>
      <c r="P7162" s="43"/>
    </row>
    <row r="7163" spans="1:16" ht="18" x14ac:dyDescent="0.35">
      <c r="A7163" s="9"/>
      <c r="C7163" s="393"/>
      <c r="E7163" s="394"/>
      <c r="F7163" s="394"/>
      <c r="G7163" s="394"/>
      <c r="I7163" s="368">
        <f t="shared" si="339"/>
        <v>0</v>
      </c>
      <c r="J7163" s="365">
        <f t="shared" si="340"/>
        <v>0</v>
      </c>
      <c r="K7163" s="369">
        <f t="shared" si="341"/>
        <v>6</v>
      </c>
      <c r="L7163" s="369">
        <f>+IF((C7163&gt;='Resultats - informe'!$E$16)*(C7163&lt;='Resultats - informe'!$G$16),1,0)</f>
        <v>1</v>
      </c>
      <c r="M7163" s="369" cm="1">
        <f t="array" ref="M7163">+_xlfn.IFS((C7163&gt;='Resultats - informe'!$D$26)*(C7163&lt;='Resultats - informe'!$E$26),0,(C7163&gt;='Resultats - informe'!$D$27)*(C7163&lt;='Resultats - informe'!$E$27),0,(C7163&gt;='Resultats - informe'!$D$28)*(C7163&lt;='Resultats - informe'!$E$28),0,(C7163&gt;='Resultats - informe'!$D$29)*(C7163&lt;='Resultats - informe'!$E$29),0,1,1)</f>
        <v>0</v>
      </c>
      <c r="N7163" s="366">
        <f>+VLOOKUP(D7163,'Resultats - informe'!$Y$18:$AG$42,'Introducció dades consum'!K7163+1,0)</f>
        <v>0</v>
      </c>
      <c r="O7163" s="370" cm="1">
        <f t="array" ref="O7163">+_xlfn.SWITCH(MONTH(C7163),1,1,2,1,3,1,4,2,5,2,6,3,7,3,8,3,9,3,10,2,11,2,12,1,2)</f>
        <v>1</v>
      </c>
      <c r="P7163" s="43"/>
    </row>
    <row r="7164" spans="1:16" ht="18" x14ac:dyDescent="0.35">
      <c r="A7164" s="9"/>
      <c r="C7164" s="393"/>
      <c r="E7164" s="394"/>
      <c r="F7164" s="394"/>
      <c r="G7164" s="394"/>
      <c r="I7164" s="368">
        <f t="shared" si="339"/>
        <v>0</v>
      </c>
      <c r="J7164" s="365">
        <f t="shared" si="340"/>
        <v>0</v>
      </c>
      <c r="K7164" s="369">
        <f t="shared" si="341"/>
        <v>6</v>
      </c>
      <c r="L7164" s="369">
        <f>+IF((C7164&gt;='Resultats - informe'!$E$16)*(C7164&lt;='Resultats - informe'!$G$16),1,0)</f>
        <v>1</v>
      </c>
      <c r="M7164" s="369" cm="1">
        <f t="array" ref="M7164">+_xlfn.IFS((C7164&gt;='Resultats - informe'!$D$26)*(C7164&lt;='Resultats - informe'!$E$26),0,(C7164&gt;='Resultats - informe'!$D$27)*(C7164&lt;='Resultats - informe'!$E$27),0,(C7164&gt;='Resultats - informe'!$D$28)*(C7164&lt;='Resultats - informe'!$E$28),0,(C7164&gt;='Resultats - informe'!$D$29)*(C7164&lt;='Resultats - informe'!$E$29),0,1,1)</f>
        <v>0</v>
      </c>
      <c r="N7164" s="366">
        <f>+VLOOKUP(D7164,'Resultats - informe'!$Y$18:$AG$42,'Introducció dades consum'!K7164+1,0)</f>
        <v>0</v>
      </c>
      <c r="O7164" s="370" cm="1">
        <f t="array" ref="O7164">+_xlfn.SWITCH(MONTH(C7164),1,1,2,1,3,1,4,2,5,2,6,3,7,3,8,3,9,3,10,2,11,2,12,1,2)</f>
        <v>1</v>
      </c>
      <c r="P7164" s="43"/>
    </row>
    <row r="7165" spans="1:16" ht="18" x14ac:dyDescent="0.35">
      <c r="A7165" s="9"/>
      <c r="C7165" s="393"/>
      <c r="E7165" s="394"/>
      <c r="F7165" s="394"/>
      <c r="G7165" s="394"/>
      <c r="I7165" s="368">
        <f t="shared" si="339"/>
        <v>0</v>
      </c>
      <c r="J7165" s="365">
        <f t="shared" si="340"/>
        <v>0</v>
      </c>
      <c r="K7165" s="369">
        <f t="shared" si="341"/>
        <v>6</v>
      </c>
      <c r="L7165" s="369">
        <f>+IF((C7165&gt;='Resultats - informe'!$E$16)*(C7165&lt;='Resultats - informe'!$G$16),1,0)</f>
        <v>1</v>
      </c>
      <c r="M7165" s="369" cm="1">
        <f t="array" ref="M7165">+_xlfn.IFS((C7165&gt;='Resultats - informe'!$D$26)*(C7165&lt;='Resultats - informe'!$E$26),0,(C7165&gt;='Resultats - informe'!$D$27)*(C7165&lt;='Resultats - informe'!$E$27),0,(C7165&gt;='Resultats - informe'!$D$28)*(C7165&lt;='Resultats - informe'!$E$28),0,(C7165&gt;='Resultats - informe'!$D$29)*(C7165&lt;='Resultats - informe'!$E$29),0,1,1)</f>
        <v>0</v>
      </c>
      <c r="N7165" s="366">
        <f>+VLOOKUP(D7165,'Resultats - informe'!$Y$18:$AG$42,'Introducció dades consum'!K7165+1,0)</f>
        <v>0</v>
      </c>
      <c r="O7165" s="370" cm="1">
        <f t="array" ref="O7165">+_xlfn.SWITCH(MONTH(C7165),1,1,2,1,3,1,4,2,5,2,6,3,7,3,8,3,9,3,10,2,11,2,12,1,2)</f>
        <v>1</v>
      </c>
      <c r="P7165" s="43"/>
    </row>
    <row r="7166" spans="1:16" ht="18" x14ac:dyDescent="0.35">
      <c r="A7166" s="9"/>
      <c r="C7166" s="393"/>
      <c r="E7166" s="394"/>
      <c r="F7166" s="394"/>
      <c r="G7166" s="394"/>
      <c r="I7166" s="368">
        <f t="shared" si="339"/>
        <v>0</v>
      </c>
      <c r="J7166" s="365">
        <f t="shared" si="340"/>
        <v>0</v>
      </c>
      <c r="K7166" s="369">
        <f t="shared" si="341"/>
        <v>6</v>
      </c>
      <c r="L7166" s="369">
        <f>+IF((C7166&gt;='Resultats - informe'!$E$16)*(C7166&lt;='Resultats - informe'!$G$16),1,0)</f>
        <v>1</v>
      </c>
      <c r="M7166" s="369" cm="1">
        <f t="array" ref="M7166">+_xlfn.IFS((C7166&gt;='Resultats - informe'!$D$26)*(C7166&lt;='Resultats - informe'!$E$26),0,(C7166&gt;='Resultats - informe'!$D$27)*(C7166&lt;='Resultats - informe'!$E$27),0,(C7166&gt;='Resultats - informe'!$D$28)*(C7166&lt;='Resultats - informe'!$E$28),0,(C7166&gt;='Resultats - informe'!$D$29)*(C7166&lt;='Resultats - informe'!$E$29),0,1,1)</f>
        <v>0</v>
      </c>
      <c r="N7166" s="366">
        <f>+VLOOKUP(D7166,'Resultats - informe'!$Y$18:$AG$42,'Introducció dades consum'!K7166+1,0)</f>
        <v>0</v>
      </c>
      <c r="O7166" s="370" cm="1">
        <f t="array" ref="O7166">+_xlfn.SWITCH(MONTH(C7166),1,1,2,1,3,1,4,2,5,2,6,3,7,3,8,3,9,3,10,2,11,2,12,1,2)</f>
        <v>1</v>
      </c>
      <c r="P7166" s="43"/>
    </row>
    <row r="7167" spans="1:16" ht="18" x14ac:dyDescent="0.35">
      <c r="A7167" s="9"/>
      <c r="C7167" s="393"/>
      <c r="E7167" s="394"/>
      <c r="F7167" s="394"/>
      <c r="G7167" s="394"/>
      <c r="I7167" s="368">
        <f t="shared" si="339"/>
        <v>0</v>
      </c>
      <c r="J7167" s="365">
        <f t="shared" si="340"/>
        <v>0</v>
      </c>
      <c r="K7167" s="369">
        <f t="shared" si="341"/>
        <v>6</v>
      </c>
      <c r="L7167" s="369">
        <f>+IF((C7167&gt;='Resultats - informe'!$E$16)*(C7167&lt;='Resultats - informe'!$G$16),1,0)</f>
        <v>1</v>
      </c>
      <c r="M7167" s="369" cm="1">
        <f t="array" ref="M7167">+_xlfn.IFS((C7167&gt;='Resultats - informe'!$D$26)*(C7167&lt;='Resultats - informe'!$E$26),0,(C7167&gt;='Resultats - informe'!$D$27)*(C7167&lt;='Resultats - informe'!$E$27),0,(C7167&gt;='Resultats - informe'!$D$28)*(C7167&lt;='Resultats - informe'!$E$28),0,(C7167&gt;='Resultats - informe'!$D$29)*(C7167&lt;='Resultats - informe'!$E$29),0,1,1)</f>
        <v>0</v>
      </c>
      <c r="N7167" s="366">
        <f>+VLOOKUP(D7167,'Resultats - informe'!$Y$18:$AG$42,'Introducció dades consum'!K7167+1,0)</f>
        <v>0</v>
      </c>
      <c r="O7167" s="370" cm="1">
        <f t="array" ref="O7167">+_xlfn.SWITCH(MONTH(C7167),1,1,2,1,3,1,4,2,5,2,6,3,7,3,8,3,9,3,10,2,11,2,12,1,2)</f>
        <v>1</v>
      </c>
      <c r="P7167" s="43"/>
    </row>
    <row r="7168" spans="1:16" ht="18" x14ac:dyDescent="0.35">
      <c r="A7168" s="9"/>
      <c r="C7168" s="393"/>
      <c r="E7168" s="394"/>
      <c r="F7168" s="394"/>
      <c r="G7168" s="394"/>
      <c r="I7168" s="368">
        <f t="shared" si="339"/>
        <v>0</v>
      </c>
      <c r="J7168" s="365">
        <f t="shared" si="340"/>
        <v>0</v>
      </c>
      <c r="K7168" s="369">
        <f t="shared" si="341"/>
        <v>6</v>
      </c>
      <c r="L7168" s="369">
        <f>+IF((C7168&gt;='Resultats - informe'!$E$16)*(C7168&lt;='Resultats - informe'!$G$16),1,0)</f>
        <v>1</v>
      </c>
      <c r="M7168" s="369" cm="1">
        <f t="array" ref="M7168">+_xlfn.IFS((C7168&gt;='Resultats - informe'!$D$26)*(C7168&lt;='Resultats - informe'!$E$26),0,(C7168&gt;='Resultats - informe'!$D$27)*(C7168&lt;='Resultats - informe'!$E$27),0,(C7168&gt;='Resultats - informe'!$D$28)*(C7168&lt;='Resultats - informe'!$E$28),0,(C7168&gt;='Resultats - informe'!$D$29)*(C7168&lt;='Resultats - informe'!$E$29),0,1,1)</f>
        <v>0</v>
      </c>
      <c r="N7168" s="366">
        <f>+VLOOKUP(D7168,'Resultats - informe'!$Y$18:$AG$42,'Introducció dades consum'!K7168+1,0)</f>
        <v>0</v>
      </c>
      <c r="O7168" s="370" cm="1">
        <f t="array" ref="O7168">+_xlfn.SWITCH(MONTH(C7168),1,1,2,1,3,1,4,2,5,2,6,3,7,3,8,3,9,3,10,2,11,2,12,1,2)</f>
        <v>1</v>
      </c>
      <c r="P7168" s="43"/>
    </row>
    <row r="7169" spans="1:16" ht="18" x14ac:dyDescent="0.35">
      <c r="A7169" s="9"/>
      <c r="C7169" s="393"/>
      <c r="E7169" s="394"/>
      <c r="F7169" s="394"/>
      <c r="G7169" s="394"/>
      <c r="I7169" s="368">
        <f t="shared" si="339"/>
        <v>0</v>
      </c>
      <c r="J7169" s="365">
        <f t="shared" si="340"/>
        <v>0</v>
      </c>
      <c r="K7169" s="369">
        <f t="shared" si="341"/>
        <v>6</v>
      </c>
      <c r="L7169" s="369">
        <f>+IF((C7169&gt;='Resultats - informe'!$E$16)*(C7169&lt;='Resultats - informe'!$G$16),1,0)</f>
        <v>1</v>
      </c>
      <c r="M7169" s="369" cm="1">
        <f t="array" ref="M7169">+_xlfn.IFS((C7169&gt;='Resultats - informe'!$D$26)*(C7169&lt;='Resultats - informe'!$E$26),0,(C7169&gt;='Resultats - informe'!$D$27)*(C7169&lt;='Resultats - informe'!$E$27),0,(C7169&gt;='Resultats - informe'!$D$28)*(C7169&lt;='Resultats - informe'!$E$28),0,(C7169&gt;='Resultats - informe'!$D$29)*(C7169&lt;='Resultats - informe'!$E$29),0,1,1)</f>
        <v>0</v>
      </c>
      <c r="N7169" s="366">
        <f>+VLOOKUP(D7169,'Resultats - informe'!$Y$18:$AG$42,'Introducció dades consum'!K7169+1,0)</f>
        <v>0</v>
      </c>
      <c r="O7169" s="370" cm="1">
        <f t="array" ref="O7169">+_xlfn.SWITCH(MONTH(C7169),1,1,2,1,3,1,4,2,5,2,6,3,7,3,8,3,9,3,10,2,11,2,12,1,2)</f>
        <v>1</v>
      </c>
      <c r="P7169" s="43"/>
    </row>
    <row r="7170" spans="1:16" ht="18" x14ac:dyDescent="0.35">
      <c r="A7170" s="9"/>
      <c r="C7170" s="393"/>
      <c r="E7170" s="394"/>
      <c r="F7170" s="394"/>
      <c r="G7170" s="394"/>
      <c r="I7170" s="368">
        <f t="shared" si="339"/>
        <v>0</v>
      </c>
      <c r="J7170" s="365">
        <f t="shared" si="340"/>
        <v>0</v>
      </c>
      <c r="K7170" s="369">
        <f t="shared" si="341"/>
        <v>6</v>
      </c>
      <c r="L7170" s="369">
        <f>+IF((C7170&gt;='Resultats - informe'!$E$16)*(C7170&lt;='Resultats - informe'!$G$16),1,0)</f>
        <v>1</v>
      </c>
      <c r="M7170" s="369" cm="1">
        <f t="array" ref="M7170">+_xlfn.IFS((C7170&gt;='Resultats - informe'!$D$26)*(C7170&lt;='Resultats - informe'!$E$26),0,(C7170&gt;='Resultats - informe'!$D$27)*(C7170&lt;='Resultats - informe'!$E$27),0,(C7170&gt;='Resultats - informe'!$D$28)*(C7170&lt;='Resultats - informe'!$E$28),0,(C7170&gt;='Resultats - informe'!$D$29)*(C7170&lt;='Resultats - informe'!$E$29),0,1,1)</f>
        <v>0</v>
      </c>
      <c r="N7170" s="366">
        <f>+VLOOKUP(D7170,'Resultats - informe'!$Y$18:$AG$42,'Introducció dades consum'!K7170+1,0)</f>
        <v>0</v>
      </c>
      <c r="O7170" s="370" cm="1">
        <f t="array" ref="O7170">+_xlfn.SWITCH(MONTH(C7170),1,1,2,1,3,1,4,2,5,2,6,3,7,3,8,3,9,3,10,2,11,2,12,1,2)</f>
        <v>1</v>
      </c>
      <c r="P7170" s="43"/>
    </row>
    <row r="7171" spans="1:16" ht="18" x14ac:dyDescent="0.35">
      <c r="A7171" s="9"/>
      <c r="C7171" s="393"/>
      <c r="E7171" s="394"/>
      <c r="F7171" s="394"/>
      <c r="G7171" s="394"/>
      <c r="I7171" s="368">
        <f t="shared" si="339"/>
        <v>0</v>
      </c>
      <c r="J7171" s="365">
        <f t="shared" si="340"/>
        <v>0</v>
      </c>
      <c r="K7171" s="369">
        <f t="shared" si="341"/>
        <v>6</v>
      </c>
      <c r="L7171" s="369">
        <f>+IF((C7171&gt;='Resultats - informe'!$E$16)*(C7171&lt;='Resultats - informe'!$G$16),1,0)</f>
        <v>1</v>
      </c>
      <c r="M7171" s="369" cm="1">
        <f t="array" ref="M7171">+_xlfn.IFS((C7171&gt;='Resultats - informe'!$D$26)*(C7171&lt;='Resultats - informe'!$E$26),0,(C7171&gt;='Resultats - informe'!$D$27)*(C7171&lt;='Resultats - informe'!$E$27),0,(C7171&gt;='Resultats - informe'!$D$28)*(C7171&lt;='Resultats - informe'!$E$28),0,(C7171&gt;='Resultats - informe'!$D$29)*(C7171&lt;='Resultats - informe'!$E$29),0,1,1)</f>
        <v>0</v>
      </c>
      <c r="N7171" s="366">
        <f>+VLOOKUP(D7171,'Resultats - informe'!$Y$18:$AG$42,'Introducció dades consum'!K7171+1,0)</f>
        <v>0</v>
      </c>
      <c r="O7171" s="370" cm="1">
        <f t="array" ref="O7171">+_xlfn.SWITCH(MONTH(C7171),1,1,2,1,3,1,4,2,5,2,6,3,7,3,8,3,9,3,10,2,11,2,12,1,2)</f>
        <v>1</v>
      </c>
      <c r="P7171" s="43"/>
    </row>
    <row r="7172" spans="1:16" ht="18" x14ac:dyDescent="0.35">
      <c r="A7172" s="9"/>
      <c r="C7172" s="393"/>
      <c r="E7172" s="394"/>
      <c r="F7172" s="394"/>
      <c r="G7172" s="394"/>
      <c r="I7172" s="368">
        <f t="shared" si="339"/>
        <v>0</v>
      </c>
      <c r="J7172" s="365">
        <f t="shared" si="340"/>
        <v>0</v>
      </c>
      <c r="K7172" s="369">
        <f t="shared" si="341"/>
        <v>6</v>
      </c>
      <c r="L7172" s="369">
        <f>+IF((C7172&gt;='Resultats - informe'!$E$16)*(C7172&lt;='Resultats - informe'!$G$16),1,0)</f>
        <v>1</v>
      </c>
      <c r="M7172" s="369" cm="1">
        <f t="array" ref="M7172">+_xlfn.IFS((C7172&gt;='Resultats - informe'!$D$26)*(C7172&lt;='Resultats - informe'!$E$26),0,(C7172&gt;='Resultats - informe'!$D$27)*(C7172&lt;='Resultats - informe'!$E$27),0,(C7172&gt;='Resultats - informe'!$D$28)*(C7172&lt;='Resultats - informe'!$E$28),0,(C7172&gt;='Resultats - informe'!$D$29)*(C7172&lt;='Resultats - informe'!$E$29),0,1,1)</f>
        <v>0</v>
      </c>
      <c r="N7172" s="366">
        <f>+VLOOKUP(D7172,'Resultats - informe'!$Y$18:$AG$42,'Introducció dades consum'!K7172+1,0)</f>
        <v>0</v>
      </c>
      <c r="O7172" s="370" cm="1">
        <f t="array" ref="O7172">+_xlfn.SWITCH(MONTH(C7172),1,1,2,1,3,1,4,2,5,2,6,3,7,3,8,3,9,3,10,2,11,2,12,1,2)</f>
        <v>1</v>
      </c>
      <c r="P7172" s="43"/>
    </row>
    <row r="7173" spans="1:16" ht="18" x14ac:dyDescent="0.35">
      <c r="A7173" s="9"/>
      <c r="C7173" s="393"/>
      <c r="E7173" s="394"/>
      <c r="F7173" s="394"/>
      <c r="G7173" s="394"/>
      <c r="I7173" s="368">
        <f t="shared" si="339"/>
        <v>0</v>
      </c>
      <c r="J7173" s="365">
        <f t="shared" si="340"/>
        <v>0</v>
      </c>
      <c r="K7173" s="369">
        <f t="shared" si="341"/>
        <v>6</v>
      </c>
      <c r="L7173" s="369">
        <f>+IF((C7173&gt;='Resultats - informe'!$E$16)*(C7173&lt;='Resultats - informe'!$G$16),1,0)</f>
        <v>1</v>
      </c>
      <c r="M7173" s="369" cm="1">
        <f t="array" ref="M7173">+_xlfn.IFS((C7173&gt;='Resultats - informe'!$D$26)*(C7173&lt;='Resultats - informe'!$E$26),0,(C7173&gt;='Resultats - informe'!$D$27)*(C7173&lt;='Resultats - informe'!$E$27),0,(C7173&gt;='Resultats - informe'!$D$28)*(C7173&lt;='Resultats - informe'!$E$28),0,(C7173&gt;='Resultats - informe'!$D$29)*(C7173&lt;='Resultats - informe'!$E$29),0,1,1)</f>
        <v>0</v>
      </c>
      <c r="N7173" s="366">
        <f>+VLOOKUP(D7173,'Resultats - informe'!$Y$18:$AG$42,'Introducció dades consum'!K7173+1,0)</f>
        <v>0</v>
      </c>
      <c r="O7173" s="370" cm="1">
        <f t="array" ref="O7173">+_xlfn.SWITCH(MONTH(C7173),1,1,2,1,3,1,4,2,5,2,6,3,7,3,8,3,9,3,10,2,11,2,12,1,2)</f>
        <v>1</v>
      </c>
      <c r="P7173" s="43"/>
    </row>
    <row r="7174" spans="1:16" ht="18" x14ac:dyDescent="0.35">
      <c r="A7174" s="9"/>
      <c r="C7174" s="393"/>
      <c r="E7174" s="394"/>
      <c r="F7174" s="394"/>
      <c r="G7174" s="394"/>
      <c r="I7174" s="368">
        <f t="shared" si="339"/>
        <v>0</v>
      </c>
      <c r="J7174" s="365">
        <f t="shared" si="340"/>
        <v>0</v>
      </c>
      <c r="K7174" s="369">
        <f t="shared" si="341"/>
        <v>6</v>
      </c>
      <c r="L7174" s="369">
        <f>+IF((C7174&gt;='Resultats - informe'!$E$16)*(C7174&lt;='Resultats - informe'!$G$16),1,0)</f>
        <v>1</v>
      </c>
      <c r="M7174" s="369" cm="1">
        <f t="array" ref="M7174">+_xlfn.IFS((C7174&gt;='Resultats - informe'!$D$26)*(C7174&lt;='Resultats - informe'!$E$26),0,(C7174&gt;='Resultats - informe'!$D$27)*(C7174&lt;='Resultats - informe'!$E$27),0,(C7174&gt;='Resultats - informe'!$D$28)*(C7174&lt;='Resultats - informe'!$E$28),0,(C7174&gt;='Resultats - informe'!$D$29)*(C7174&lt;='Resultats - informe'!$E$29),0,1,1)</f>
        <v>0</v>
      </c>
      <c r="N7174" s="366">
        <f>+VLOOKUP(D7174,'Resultats - informe'!$Y$18:$AG$42,'Introducció dades consum'!K7174+1,0)</f>
        <v>0</v>
      </c>
      <c r="O7174" s="370" cm="1">
        <f t="array" ref="O7174">+_xlfn.SWITCH(MONTH(C7174),1,1,2,1,3,1,4,2,5,2,6,3,7,3,8,3,9,3,10,2,11,2,12,1,2)</f>
        <v>1</v>
      </c>
      <c r="P7174" s="43"/>
    </row>
    <row r="7175" spans="1:16" ht="18" x14ac:dyDescent="0.35">
      <c r="A7175" s="9"/>
      <c r="C7175" s="393"/>
      <c r="E7175" s="394"/>
      <c r="F7175" s="394"/>
      <c r="G7175" s="394"/>
      <c r="I7175" s="368">
        <f t="shared" si="339"/>
        <v>0</v>
      </c>
      <c r="J7175" s="365">
        <f t="shared" si="340"/>
        <v>0</v>
      </c>
      <c r="K7175" s="369">
        <f t="shared" si="341"/>
        <v>6</v>
      </c>
      <c r="L7175" s="369">
        <f>+IF((C7175&gt;='Resultats - informe'!$E$16)*(C7175&lt;='Resultats - informe'!$G$16),1,0)</f>
        <v>1</v>
      </c>
      <c r="M7175" s="369" cm="1">
        <f t="array" ref="M7175">+_xlfn.IFS((C7175&gt;='Resultats - informe'!$D$26)*(C7175&lt;='Resultats - informe'!$E$26),0,(C7175&gt;='Resultats - informe'!$D$27)*(C7175&lt;='Resultats - informe'!$E$27),0,(C7175&gt;='Resultats - informe'!$D$28)*(C7175&lt;='Resultats - informe'!$E$28),0,(C7175&gt;='Resultats - informe'!$D$29)*(C7175&lt;='Resultats - informe'!$E$29),0,1,1)</f>
        <v>0</v>
      </c>
      <c r="N7175" s="366">
        <f>+VLOOKUP(D7175,'Resultats - informe'!$Y$18:$AG$42,'Introducció dades consum'!K7175+1,0)</f>
        <v>0</v>
      </c>
      <c r="O7175" s="370" cm="1">
        <f t="array" ref="O7175">+_xlfn.SWITCH(MONTH(C7175),1,1,2,1,3,1,4,2,5,2,6,3,7,3,8,3,9,3,10,2,11,2,12,1,2)</f>
        <v>1</v>
      </c>
      <c r="P7175" s="43"/>
    </row>
    <row r="7176" spans="1:16" ht="18" x14ac:dyDescent="0.35">
      <c r="A7176" s="9"/>
      <c r="C7176" s="393"/>
      <c r="E7176" s="394"/>
      <c r="F7176" s="394"/>
      <c r="G7176" s="394"/>
      <c r="I7176" s="368">
        <f t="shared" si="339"/>
        <v>0</v>
      </c>
      <c r="J7176" s="365">
        <f t="shared" si="340"/>
        <v>0</v>
      </c>
      <c r="K7176" s="369">
        <f t="shared" si="341"/>
        <v>6</v>
      </c>
      <c r="L7176" s="369">
        <f>+IF((C7176&gt;='Resultats - informe'!$E$16)*(C7176&lt;='Resultats - informe'!$G$16),1,0)</f>
        <v>1</v>
      </c>
      <c r="M7176" s="369" cm="1">
        <f t="array" ref="M7176">+_xlfn.IFS((C7176&gt;='Resultats - informe'!$D$26)*(C7176&lt;='Resultats - informe'!$E$26),0,(C7176&gt;='Resultats - informe'!$D$27)*(C7176&lt;='Resultats - informe'!$E$27),0,(C7176&gt;='Resultats - informe'!$D$28)*(C7176&lt;='Resultats - informe'!$E$28),0,(C7176&gt;='Resultats - informe'!$D$29)*(C7176&lt;='Resultats - informe'!$E$29),0,1,1)</f>
        <v>0</v>
      </c>
      <c r="N7176" s="366">
        <f>+VLOOKUP(D7176,'Resultats - informe'!$Y$18:$AG$42,'Introducció dades consum'!K7176+1,0)</f>
        <v>0</v>
      </c>
      <c r="O7176" s="370" cm="1">
        <f t="array" ref="O7176">+_xlfn.SWITCH(MONTH(C7176),1,1,2,1,3,1,4,2,5,2,6,3,7,3,8,3,9,3,10,2,11,2,12,1,2)</f>
        <v>1</v>
      </c>
      <c r="P7176" s="43"/>
    </row>
    <row r="7177" spans="1:16" ht="18" x14ac:dyDescent="0.35">
      <c r="A7177" s="9"/>
      <c r="C7177" s="393"/>
      <c r="E7177" s="394"/>
      <c r="F7177" s="394"/>
      <c r="G7177" s="394"/>
      <c r="I7177" s="368">
        <f t="shared" si="339"/>
        <v>0</v>
      </c>
      <c r="J7177" s="365">
        <f t="shared" si="340"/>
        <v>0</v>
      </c>
      <c r="K7177" s="369">
        <f t="shared" si="341"/>
        <v>6</v>
      </c>
      <c r="L7177" s="369">
        <f>+IF((C7177&gt;='Resultats - informe'!$E$16)*(C7177&lt;='Resultats - informe'!$G$16),1,0)</f>
        <v>1</v>
      </c>
      <c r="M7177" s="369" cm="1">
        <f t="array" ref="M7177">+_xlfn.IFS((C7177&gt;='Resultats - informe'!$D$26)*(C7177&lt;='Resultats - informe'!$E$26),0,(C7177&gt;='Resultats - informe'!$D$27)*(C7177&lt;='Resultats - informe'!$E$27),0,(C7177&gt;='Resultats - informe'!$D$28)*(C7177&lt;='Resultats - informe'!$E$28),0,(C7177&gt;='Resultats - informe'!$D$29)*(C7177&lt;='Resultats - informe'!$E$29),0,1,1)</f>
        <v>0</v>
      </c>
      <c r="N7177" s="366">
        <f>+VLOOKUP(D7177,'Resultats - informe'!$Y$18:$AG$42,'Introducció dades consum'!K7177+1,0)</f>
        <v>0</v>
      </c>
      <c r="O7177" s="370" cm="1">
        <f t="array" ref="O7177">+_xlfn.SWITCH(MONTH(C7177),1,1,2,1,3,1,4,2,5,2,6,3,7,3,8,3,9,3,10,2,11,2,12,1,2)</f>
        <v>1</v>
      </c>
      <c r="P7177" s="43"/>
    </row>
    <row r="7178" spans="1:16" ht="18" x14ac:dyDescent="0.35">
      <c r="A7178" s="9"/>
      <c r="C7178" s="393"/>
      <c r="E7178" s="394"/>
      <c r="F7178" s="394"/>
      <c r="G7178" s="394"/>
      <c r="I7178" s="368">
        <f t="shared" si="339"/>
        <v>0</v>
      </c>
      <c r="J7178" s="365">
        <f t="shared" si="340"/>
        <v>0</v>
      </c>
      <c r="K7178" s="369">
        <f t="shared" si="341"/>
        <v>6</v>
      </c>
      <c r="L7178" s="369">
        <f>+IF((C7178&gt;='Resultats - informe'!$E$16)*(C7178&lt;='Resultats - informe'!$G$16),1,0)</f>
        <v>1</v>
      </c>
      <c r="M7178" s="369" cm="1">
        <f t="array" ref="M7178">+_xlfn.IFS((C7178&gt;='Resultats - informe'!$D$26)*(C7178&lt;='Resultats - informe'!$E$26),0,(C7178&gt;='Resultats - informe'!$D$27)*(C7178&lt;='Resultats - informe'!$E$27),0,(C7178&gt;='Resultats - informe'!$D$28)*(C7178&lt;='Resultats - informe'!$E$28),0,(C7178&gt;='Resultats - informe'!$D$29)*(C7178&lt;='Resultats - informe'!$E$29),0,1,1)</f>
        <v>0</v>
      </c>
      <c r="N7178" s="366">
        <f>+VLOOKUP(D7178,'Resultats - informe'!$Y$18:$AG$42,'Introducció dades consum'!K7178+1,0)</f>
        <v>0</v>
      </c>
      <c r="O7178" s="370" cm="1">
        <f t="array" ref="O7178">+_xlfn.SWITCH(MONTH(C7178),1,1,2,1,3,1,4,2,5,2,6,3,7,3,8,3,9,3,10,2,11,2,12,1,2)</f>
        <v>1</v>
      </c>
      <c r="P7178" s="43"/>
    </row>
    <row r="7179" spans="1:16" ht="18" x14ac:dyDescent="0.35">
      <c r="A7179" s="9"/>
      <c r="C7179" s="393"/>
      <c r="E7179" s="394"/>
      <c r="F7179" s="394"/>
      <c r="G7179" s="394"/>
      <c r="I7179" s="368">
        <f t="shared" si="339"/>
        <v>0</v>
      </c>
      <c r="J7179" s="365">
        <f t="shared" si="340"/>
        <v>0</v>
      </c>
      <c r="K7179" s="369">
        <f t="shared" si="341"/>
        <v>6</v>
      </c>
      <c r="L7179" s="369">
        <f>+IF((C7179&gt;='Resultats - informe'!$E$16)*(C7179&lt;='Resultats - informe'!$G$16),1,0)</f>
        <v>1</v>
      </c>
      <c r="M7179" s="369" cm="1">
        <f t="array" ref="M7179">+_xlfn.IFS((C7179&gt;='Resultats - informe'!$D$26)*(C7179&lt;='Resultats - informe'!$E$26),0,(C7179&gt;='Resultats - informe'!$D$27)*(C7179&lt;='Resultats - informe'!$E$27),0,(C7179&gt;='Resultats - informe'!$D$28)*(C7179&lt;='Resultats - informe'!$E$28),0,(C7179&gt;='Resultats - informe'!$D$29)*(C7179&lt;='Resultats - informe'!$E$29),0,1,1)</f>
        <v>0</v>
      </c>
      <c r="N7179" s="366">
        <f>+VLOOKUP(D7179,'Resultats - informe'!$Y$18:$AG$42,'Introducció dades consum'!K7179+1,0)</f>
        <v>0</v>
      </c>
      <c r="O7179" s="370" cm="1">
        <f t="array" ref="O7179">+_xlfn.SWITCH(MONTH(C7179),1,1,2,1,3,1,4,2,5,2,6,3,7,3,8,3,9,3,10,2,11,2,12,1,2)</f>
        <v>1</v>
      </c>
      <c r="P7179" s="43"/>
    </row>
    <row r="7180" spans="1:16" ht="18" x14ac:dyDescent="0.35">
      <c r="A7180" s="9"/>
      <c r="C7180" s="393"/>
      <c r="E7180" s="394"/>
      <c r="F7180" s="394"/>
      <c r="G7180" s="394"/>
      <c r="I7180" s="368">
        <f t="shared" si="339"/>
        <v>0</v>
      </c>
      <c r="J7180" s="365">
        <f t="shared" si="340"/>
        <v>0</v>
      </c>
      <c r="K7180" s="369">
        <f t="shared" si="341"/>
        <v>6</v>
      </c>
      <c r="L7180" s="369">
        <f>+IF((C7180&gt;='Resultats - informe'!$E$16)*(C7180&lt;='Resultats - informe'!$G$16),1,0)</f>
        <v>1</v>
      </c>
      <c r="M7180" s="369" cm="1">
        <f t="array" ref="M7180">+_xlfn.IFS((C7180&gt;='Resultats - informe'!$D$26)*(C7180&lt;='Resultats - informe'!$E$26),0,(C7180&gt;='Resultats - informe'!$D$27)*(C7180&lt;='Resultats - informe'!$E$27),0,(C7180&gt;='Resultats - informe'!$D$28)*(C7180&lt;='Resultats - informe'!$E$28),0,(C7180&gt;='Resultats - informe'!$D$29)*(C7180&lt;='Resultats - informe'!$E$29),0,1,1)</f>
        <v>0</v>
      </c>
      <c r="N7180" s="366">
        <f>+VLOOKUP(D7180,'Resultats - informe'!$Y$18:$AG$42,'Introducció dades consum'!K7180+1,0)</f>
        <v>0</v>
      </c>
      <c r="O7180" s="370" cm="1">
        <f t="array" ref="O7180">+_xlfn.SWITCH(MONTH(C7180),1,1,2,1,3,1,4,2,5,2,6,3,7,3,8,3,9,3,10,2,11,2,12,1,2)</f>
        <v>1</v>
      </c>
      <c r="P7180" s="43"/>
    </row>
    <row r="7181" spans="1:16" ht="18" x14ac:dyDescent="0.35">
      <c r="A7181" s="9"/>
      <c r="C7181" s="393"/>
      <c r="E7181" s="394"/>
      <c r="F7181" s="394"/>
      <c r="G7181" s="394"/>
      <c r="I7181" s="368">
        <f t="shared" si="339"/>
        <v>0</v>
      </c>
      <c r="J7181" s="365">
        <f t="shared" si="340"/>
        <v>0</v>
      </c>
      <c r="K7181" s="369">
        <f t="shared" si="341"/>
        <v>6</v>
      </c>
      <c r="L7181" s="369">
        <f>+IF((C7181&gt;='Resultats - informe'!$E$16)*(C7181&lt;='Resultats - informe'!$G$16),1,0)</f>
        <v>1</v>
      </c>
      <c r="M7181" s="369" cm="1">
        <f t="array" ref="M7181">+_xlfn.IFS((C7181&gt;='Resultats - informe'!$D$26)*(C7181&lt;='Resultats - informe'!$E$26),0,(C7181&gt;='Resultats - informe'!$D$27)*(C7181&lt;='Resultats - informe'!$E$27),0,(C7181&gt;='Resultats - informe'!$D$28)*(C7181&lt;='Resultats - informe'!$E$28),0,(C7181&gt;='Resultats - informe'!$D$29)*(C7181&lt;='Resultats - informe'!$E$29),0,1,1)</f>
        <v>0</v>
      </c>
      <c r="N7181" s="366">
        <f>+VLOOKUP(D7181,'Resultats - informe'!$Y$18:$AG$42,'Introducció dades consum'!K7181+1,0)</f>
        <v>0</v>
      </c>
      <c r="O7181" s="370" cm="1">
        <f t="array" ref="O7181">+_xlfn.SWITCH(MONTH(C7181),1,1,2,1,3,1,4,2,5,2,6,3,7,3,8,3,9,3,10,2,11,2,12,1,2)</f>
        <v>1</v>
      </c>
      <c r="P7181" s="43"/>
    </row>
    <row r="7182" spans="1:16" ht="18" x14ac:dyDescent="0.35">
      <c r="A7182" s="9"/>
      <c r="C7182" s="393"/>
      <c r="E7182" s="394"/>
      <c r="F7182" s="394"/>
      <c r="G7182" s="394"/>
      <c r="I7182" s="368">
        <f t="shared" si="339"/>
        <v>0</v>
      </c>
      <c r="J7182" s="365">
        <f t="shared" si="340"/>
        <v>0</v>
      </c>
      <c r="K7182" s="369">
        <f t="shared" si="341"/>
        <v>6</v>
      </c>
      <c r="L7182" s="369">
        <f>+IF((C7182&gt;='Resultats - informe'!$E$16)*(C7182&lt;='Resultats - informe'!$G$16),1,0)</f>
        <v>1</v>
      </c>
      <c r="M7182" s="369" cm="1">
        <f t="array" ref="M7182">+_xlfn.IFS((C7182&gt;='Resultats - informe'!$D$26)*(C7182&lt;='Resultats - informe'!$E$26),0,(C7182&gt;='Resultats - informe'!$D$27)*(C7182&lt;='Resultats - informe'!$E$27),0,(C7182&gt;='Resultats - informe'!$D$28)*(C7182&lt;='Resultats - informe'!$E$28),0,(C7182&gt;='Resultats - informe'!$D$29)*(C7182&lt;='Resultats - informe'!$E$29),0,1,1)</f>
        <v>0</v>
      </c>
      <c r="N7182" s="366">
        <f>+VLOOKUP(D7182,'Resultats - informe'!$Y$18:$AG$42,'Introducció dades consum'!K7182+1,0)</f>
        <v>0</v>
      </c>
      <c r="O7182" s="370" cm="1">
        <f t="array" ref="O7182">+_xlfn.SWITCH(MONTH(C7182),1,1,2,1,3,1,4,2,5,2,6,3,7,3,8,3,9,3,10,2,11,2,12,1,2)</f>
        <v>1</v>
      </c>
      <c r="P7182" s="43"/>
    </row>
    <row r="7183" spans="1:16" ht="18" x14ac:dyDescent="0.35">
      <c r="A7183" s="9"/>
      <c r="C7183" s="393"/>
      <c r="E7183" s="394"/>
      <c r="F7183" s="394"/>
      <c r="G7183" s="394"/>
      <c r="I7183" s="368">
        <f t="shared" si="339"/>
        <v>0</v>
      </c>
      <c r="J7183" s="365">
        <f t="shared" si="340"/>
        <v>0</v>
      </c>
      <c r="K7183" s="369">
        <f t="shared" si="341"/>
        <v>6</v>
      </c>
      <c r="L7183" s="369">
        <f>+IF((C7183&gt;='Resultats - informe'!$E$16)*(C7183&lt;='Resultats - informe'!$G$16),1,0)</f>
        <v>1</v>
      </c>
      <c r="M7183" s="369" cm="1">
        <f t="array" ref="M7183">+_xlfn.IFS((C7183&gt;='Resultats - informe'!$D$26)*(C7183&lt;='Resultats - informe'!$E$26),0,(C7183&gt;='Resultats - informe'!$D$27)*(C7183&lt;='Resultats - informe'!$E$27),0,(C7183&gt;='Resultats - informe'!$D$28)*(C7183&lt;='Resultats - informe'!$E$28),0,(C7183&gt;='Resultats - informe'!$D$29)*(C7183&lt;='Resultats - informe'!$E$29),0,1,1)</f>
        <v>0</v>
      </c>
      <c r="N7183" s="366">
        <f>+VLOOKUP(D7183,'Resultats - informe'!$Y$18:$AG$42,'Introducció dades consum'!K7183+1,0)</f>
        <v>0</v>
      </c>
      <c r="O7183" s="370" cm="1">
        <f t="array" ref="O7183">+_xlfn.SWITCH(MONTH(C7183),1,1,2,1,3,1,4,2,5,2,6,3,7,3,8,3,9,3,10,2,11,2,12,1,2)</f>
        <v>1</v>
      </c>
      <c r="P7183" s="43"/>
    </row>
    <row r="7184" spans="1:16" ht="18" x14ac:dyDescent="0.35">
      <c r="A7184" s="9"/>
      <c r="C7184" s="393"/>
      <c r="E7184" s="394"/>
      <c r="F7184" s="394"/>
      <c r="G7184" s="394"/>
      <c r="I7184" s="368">
        <f t="shared" si="339"/>
        <v>0</v>
      </c>
      <c r="J7184" s="365">
        <f t="shared" si="340"/>
        <v>0</v>
      </c>
      <c r="K7184" s="369">
        <f t="shared" si="341"/>
        <v>6</v>
      </c>
      <c r="L7184" s="369">
        <f>+IF((C7184&gt;='Resultats - informe'!$E$16)*(C7184&lt;='Resultats - informe'!$G$16),1,0)</f>
        <v>1</v>
      </c>
      <c r="M7184" s="369" cm="1">
        <f t="array" ref="M7184">+_xlfn.IFS((C7184&gt;='Resultats - informe'!$D$26)*(C7184&lt;='Resultats - informe'!$E$26),0,(C7184&gt;='Resultats - informe'!$D$27)*(C7184&lt;='Resultats - informe'!$E$27),0,(C7184&gt;='Resultats - informe'!$D$28)*(C7184&lt;='Resultats - informe'!$E$28),0,(C7184&gt;='Resultats - informe'!$D$29)*(C7184&lt;='Resultats - informe'!$E$29),0,1,1)</f>
        <v>0</v>
      </c>
      <c r="N7184" s="366">
        <f>+VLOOKUP(D7184,'Resultats - informe'!$Y$18:$AG$42,'Introducció dades consum'!K7184+1,0)</f>
        <v>0</v>
      </c>
      <c r="O7184" s="370" cm="1">
        <f t="array" ref="O7184">+_xlfn.SWITCH(MONTH(C7184),1,1,2,1,3,1,4,2,5,2,6,3,7,3,8,3,9,3,10,2,11,2,12,1,2)</f>
        <v>1</v>
      </c>
      <c r="P7184" s="43"/>
    </row>
    <row r="7185" spans="1:16" ht="18" x14ac:dyDescent="0.35">
      <c r="A7185" s="9"/>
      <c r="C7185" s="393"/>
      <c r="E7185" s="394"/>
      <c r="F7185" s="394"/>
      <c r="G7185" s="394"/>
      <c r="I7185" s="368">
        <f t="shared" si="339"/>
        <v>0</v>
      </c>
      <c r="J7185" s="365">
        <f t="shared" si="340"/>
        <v>0</v>
      </c>
      <c r="K7185" s="369">
        <f t="shared" si="341"/>
        <v>6</v>
      </c>
      <c r="L7185" s="369">
        <f>+IF((C7185&gt;='Resultats - informe'!$E$16)*(C7185&lt;='Resultats - informe'!$G$16),1,0)</f>
        <v>1</v>
      </c>
      <c r="M7185" s="369" cm="1">
        <f t="array" ref="M7185">+_xlfn.IFS((C7185&gt;='Resultats - informe'!$D$26)*(C7185&lt;='Resultats - informe'!$E$26),0,(C7185&gt;='Resultats - informe'!$D$27)*(C7185&lt;='Resultats - informe'!$E$27),0,(C7185&gt;='Resultats - informe'!$D$28)*(C7185&lt;='Resultats - informe'!$E$28),0,(C7185&gt;='Resultats - informe'!$D$29)*(C7185&lt;='Resultats - informe'!$E$29),0,1,1)</f>
        <v>0</v>
      </c>
      <c r="N7185" s="366">
        <f>+VLOOKUP(D7185,'Resultats - informe'!$Y$18:$AG$42,'Introducció dades consum'!K7185+1,0)</f>
        <v>0</v>
      </c>
      <c r="O7185" s="370" cm="1">
        <f t="array" ref="O7185">+_xlfn.SWITCH(MONTH(C7185),1,1,2,1,3,1,4,2,5,2,6,3,7,3,8,3,9,3,10,2,11,2,12,1,2)</f>
        <v>1</v>
      </c>
      <c r="P7185" s="43"/>
    </row>
    <row r="7186" spans="1:16" ht="18" x14ac:dyDescent="0.35">
      <c r="A7186" s="9"/>
      <c r="C7186" s="393"/>
      <c r="E7186" s="394"/>
      <c r="F7186" s="394"/>
      <c r="G7186" s="394"/>
      <c r="I7186" s="368">
        <f t="shared" ref="I7186:I7249" si="342">+E7186+G7186</f>
        <v>0</v>
      </c>
      <c r="J7186" s="365">
        <f t="shared" ref="J7186:J7249" si="343">+C7186</f>
        <v>0</v>
      </c>
      <c r="K7186" s="369">
        <f t="shared" ref="K7186:K7249" si="344">+WEEKDAY(C7186,2)</f>
        <v>6</v>
      </c>
      <c r="L7186" s="369">
        <f>+IF((C7186&gt;='Resultats - informe'!$E$16)*(C7186&lt;='Resultats - informe'!$G$16),1,0)</f>
        <v>1</v>
      </c>
      <c r="M7186" s="369" cm="1">
        <f t="array" ref="M7186">+_xlfn.IFS((C7186&gt;='Resultats - informe'!$D$26)*(C7186&lt;='Resultats - informe'!$E$26),0,(C7186&gt;='Resultats - informe'!$D$27)*(C7186&lt;='Resultats - informe'!$E$27),0,(C7186&gt;='Resultats - informe'!$D$28)*(C7186&lt;='Resultats - informe'!$E$28),0,(C7186&gt;='Resultats - informe'!$D$29)*(C7186&lt;='Resultats - informe'!$E$29),0,1,1)</f>
        <v>0</v>
      </c>
      <c r="N7186" s="366">
        <f>+VLOOKUP(D7186,'Resultats - informe'!$Y$18:$AG$42,'Introducció dades consum'!K7186+1,0)</f>
        <v>0</v>
      </c>
      <c r="O7186" s="370" cm="1">
        <f t="array" ref="O7186">+_xlfn.SWITCH(MONTH(C7186),1,1,2,1,3,1,4,2,5,2,6,3,7,3,8,3,9,3,10,2,11,2,12,1,2)</f>
        <v>1</v>
      </c>
      <c r="P7186" s="43"/>
    </row>
    <row r="7187" spans="1:16" ht="18" x14ac:dyDescent="0.35">
      <c r="A7187" s="9"/>
      <c r="C7187" s="393"/>
      <c r="E7187" s="394"/>
      <c r="F7187" s="394"/>
      <c r="G7187" s="394"/>
      <c r="I7187" s="368">
        <f t="shared" si="342"/>
        <v>0</v>
      </c>
      <c r="J7187" s="365">
        <f t="shared" si="343"/>
        <v>0</v>
      </c>
      <c r="K7187" s="369">
        <f t="shared" si="344"/>
        <v>6</v>
      </c>
      <c r="L7187" s="369">
        <f>+IF((C7187&gt;='Resultats - informe'!$E$16)*(C7187&lt;='Resultats - informe'!$G$16),1,0)</f>
        <v>1</v>
      </c>
      <c r="M7187" s="369" cm="1">
        <f t="array" ref="M7187">+_xlfn.IFS((C7187&gt;='Resultats - informe'!$D$26)*(C7187&lt;='Resultats - informe'!$E$26),0,(C7187&gt;='Resultats - informe'!$D$27)*(C7187&lt;='Resultats - informe'!$E$27),0,(C7187&gt;='Resultats - informe'!$D$28)*(C7187&lt;='Resultats - informe'!$E$28),0,(C7187&gt;='Resultats - informe'!$D$29)*(C7187&lt;='Resultats - informe'!$E$29),0,1,1)</f>
        <v>0</v>
      </c>
      <c r="N7187" s="366">
        <f>+VLOOKUP(D7187,'Resultats - informe'!$Y$18:$AG$42,'Introducció dades consum'!K7187+1,0)</f>
        <v>0</v>
      </c>
      <c r="O7187" s="370" cm="1">
        <f t="array" ref="O7187">+_xlfn.SWITCH(MONTH(C7187),1,1,2,1,3,1,4,2,5,2,6,3,7,3,8,3,9,3,10,2,11,2,12,1,2)</f>
        <v>1</v>
      </c>
      <c r="P7187" s="43"/>
    </row>
    <row r="7188" spans="1:16" ht="18" x14ac:dyDescent="0.35">
      <c r="A7188" s="9"/>
      <c r="C7188" s="393"/>
      <c r="E7188" s="394"/>
      <c r="F7188" s="394"/>
      <c r="G7188" s="394"/>
      <c r="I7188" s="368">
        <f t="shared" si="342"/>
        <v>0</v>
      </c>
      <c r="J7188" s="365">
        <f t="shared" si="343"/>
        <v>0</v>
      </c>
      <c r="K7188" s="369">
        <f t="shared" si="344"/>
        <v>6</v>
      </c>
      <c r="L7188" s="369">
        <f>+IF((C7188&gt;='Resultats - informe'!$E$16)*(C7188&lt;='Resultats - informe'!$G$16),1,0)</f>
        <v>1</v>
      </c>
      <c r="M7188" s="369" cm="1">
        <f t="array" ref="M7188">+_xlfn.IFS((C7188&gt;='Resultats - informe'!$D$26)*(C7188&lt;='Resultats - informe'!$E$26),0,(C7188&gt;='Resultats - informe'!$D$27)*(C7188&lt;='Resultats - informe'!$E$27),0,(C7188&gt;='Resultats - informe'!$D$28)*(C7188&lt;='Resultats - informe'!$E$28),0,(C7188&gt;='Resultats - informe'!$D$29)*(C7188&lt;='Resultats - informe'!$E$29),0,1,1)</f>
        <v>0</v>
      </c>
      <c r="N7188" s="366">
        <f>+VLOOKUP(D7188,'Resultats - informe'!$Y$18:$AG$42,'Introducció dades consum'!K7188+1,0)</f>
        <v>0</v>
      </c>
      <c r="O7188" s="370" cm="1">
        <f t="array" ref="O7188">+_xlfn.SWITCH(MONTH(C7188),1,1,2,1,3,1,4,2,5,2,6,3,7,3,8,3,9,3,10,2,11,2,12,1,2)</f>
        <v>1</v>
      </c>
      <c r="P7188" s="43"/>
    </row>
    <row r="7189" spans="1:16" ht="18" x14ac:dyDescent="0.35">
      <c r="A7189" s="9"/>
      <c r="C7189" s="393"/>
      <c r="E7189" s="394"/>
      <c r="F7189" s="394"/>
      <c r="G7189" s="394"/>
      <c r="I7189" s="368">
        <f t="shared" si="342"/>
        <v>0</v>
      </c>
      <c r="J7189" s="365">
        <f t="shared" si="343"/>
        <v>0</v>
      </c>
      <c r="K7189" s="369">
        <f t="shared" si="344"/>
        <v>6</v>
      </c>
      <c r="L7189" s="369">
        <f>+IF((C7189&gt;='Resultats - informe'!$E$16)*(C7189&lt;='Resultats - informe'!$G$16),1,0)</f>
        <v>1</v>
      </c>
      <c r="M7189" s="369" cm="1">
        <f t="array" ref="M7189">+_xlfn.IFS((C7189&gt;='Resultats - informe'!$D$26)*(C7189&lt;='Resultats - informe'!$E$26),0,(C7189&gt;='Resultats - informe'!$D$27)*(C7189&lt;='Resultats - informe'!$E$27),0,(C7189&gt;='Resultats - informe'!$D$28)*(C7189&lt;='Resultats - informe'!$E$28),0,(C7189&gt;='Resultats - informe'!$D$29)*(C7189&lt;='Resultats - informe'!$E$29),0,1,1)</f>
        <v>0</v>
      </c>
      <c r="N7189" s="366">
        <f>+VLOOKUP(D7189,'Resultats - informe'!$Y$18:$AG$42,'Introducció dades consum'!K7189+1,0)</f>
        <v>0</v>
      </c>
      <c r="O7189" s="370" cm="1">
        <f t="array" ref="O7189">+_xlfn.SWITCH(MONTH(C7189),1,1,2,1,3,1,4,2,5,2,6,3,7,3,8,3,9,3,10,2,11,2,12,1,2)</f>
        <v>1</v>
      </c>
      <c r="P7189" s="43"/>
    </row>
    <row r="7190" spans="1:16" ht="18" x14ac:dyDescent="0.35">
      <c r="A7190" s="9"/>
      <c r="C7190" s="393"/>
      <c r="E7190" s="394"/>
      <c r="F7190" s="394"/>
      <c r="G7190" s="394"/>
      <c r="I7190" s="368">
        <f t="shared" si="342"/>
        <v>0</v>
      </c>
      <c r="J7190" s="365">
        <f t="shared" si="343"/>
        <v>0</v>
      </c>
      <c r="K7190" s="369">
        <f t="shared" si="344"/>
        <v>6</v>
      </c>
      <c r="L7190" s="369">
        <f>+IF((C7190&gt;='Resultats - informe'!$E$16)*(C7190&lt;='Resultats - informe'!$G$16),1,0)</f>
        <v>1</v>
      </c>
      <c r="M7190" s="369" cm="1">
        <f t="array" ref="M7190">+_xlfn.IFS((C7190&gt;='Resultats - informe'!$D$26)*(C7190&lt;='Resultats - informe'!$E$26),0,(C7190&gt;='Resultats - informe'!$D$27)*(C7190&lt;='Resultats - informe'!$E$27),0,(C7190&gt;='Resultats - informe'!$D$28)*(C7190&lt;='Resultats - informe'!$E$28),0,(C7190&gt;='Resultats - informe'!$D$29)*(C7190&lt;='Resultats - informe'!$E$29),0,1,1)</f>
        <v>0</v>
      </c>
      <c r="N7190" s="366">
        <f>+VLOOKUP(D7190,'Resultats - informe'!$Y$18:$AG$42,'Introducció dades consum'!K7190+1,0)</f>
        <v>0</v>
      </c>
      <c r="O7190" s="370" cm="1">
        <f t="array" ref="O7190">+_xlfn.SWITCH(MONTH(C7190),1,1,2,1,3,1,4,2,5,2,6,3,7,3,8,3,9,3,10,2,11,2,12,1,2)</f>
        <v>1</v>
      </c>
      <c r="P7190" s="43"/>
    </row>
    <row r="7191" spans="1:16" ht="18" x14ac:dyDescent="0.35">
      <c r="A7191" s="9"/>
      <c r="C7191" s="393"/>
      <c r="E7191" s="394"/>
      <c r="F7191" s="394"/>
      <c r="G7191" s="394"/>
      <c r="I7191" s="368">
        <f t="shared" si="342"/>
        <v>0</v>
      </c>
      <c r="J7191" s="365">
        <f t="shared" si="343"/>
        <v>0</v>
      </c>
      <c r="K7191" s="369">
        <f t="shared" si="344"/>
        <v>6</v>
      </c>
      <c r="L7191" s="369">
        <f>+IF((C7191&gt;='Resultats - informe'!$E$16)*(C7191&lt;='Resultats - informe'!$G$16),1,0)</f>
        <v>1</v>
      </c>
      <c r="M7191" s="369" cm="1">
        <f t="array" ref="M7191">+_xlfn.IFS((C7191&gt;='Resultats - informe'!$D$26)*(C7191&lt;='Resultats - informe'!$E$26),0,(C7191&gt;='Resultats - informe'!$D$27)*(C7191&lt;='Resultats - informe'!$E$27),0,(C7191&gt;='Resultats - informe'!$D$28)*(C7191&lt;='Resultats - informe'!$E$28),0,(C7191&gt;='Resultats - informe'!$D$29)*(C7191&lt;='Resultats - informe'!$E$29),0,1,1)</f>
        <v>0</v>
      </c>
      <c r="N7191" s="366">
        <f>+VLOOKUP(D7191,'Resultats - informe'!$Y$18:$AG$42,'Introducció dades consum'!K7191+1,0)</f>
        <v>0</v>
      </c>
      <c r="O7191" s="370" cm="1">
        <f t="array" ref="O7191">+_xlfn.SWITCH(MONTH(C7191),1,1,2,1,3,1,4,2,5,2,6,3,7,3,8,3,9,3,10,2,11,2,12,1,2)</f>
        <v>1</v>
      </c>
      <c r="P7191" s="43"/>
    </row>
    <row r="7192" spans="1:16" ht="18" x14ac:dyDescent="0.35">
      <c r="A7192" s="9"/>
      <c r="C7192" s="393"/>
      <c r="E7192" s="394"/>
      <c r="F7192" s="394"/>
      <c r="G7192" s="394"/>
      <c r="I7192" s="368">
        <f t="shared" si="342"/>
        <v>0</v>
      </c>
      <c r="J7192" s="365">
        <f t="shared" si="343"/>
        <v>0</v>
      </c>
      <c r="K7192" s="369">
        <f t="shared" si="344"/>
        <v>6</v>
      </c>
      <c r="L7192" s="369">
        <f>+IF((C7192&gt;='Resultats - informe'!$E$16)*(C7192&lt;='Resultats - informe'!$G$16),1,0)</f>
        <v>1</v>
      </c>
      <c r="M7192" s="369" cm="1">
        <f t="array" ref="M7192">+_xlfn.IFS((C7192&gt;='Resultats - informe'!$D$26)*(C7192&lt;='Resultats - informe'!$E$26),0,(C7192&gt;='Resultats - informe'!$D$27)*(C7192&lt;='Resultats - informe'!$E$27),0,(C7192&gt;='Resultats - informe'!$D$28)*(C7192&lt;='Resultats - informe'!$E$28),0,(C7192&gt;='Resultats - informe'!$D$29)*(C7192&lt;='Resultats - informe'!$E$29),0,1,1)</f>
        <v>0</v>
      </c>
      <c r="N7192" s="366">
        <f>+VLOOKUP(D7192,'Resultats - informe'!$Y$18:$AG$42,'Introducció dades consum'!K7192+1,0)</f>
        <v>0</v>
      </c>
      <c r="O7192" s="370" cm="1">
        <f t="array" ref="O7192">+_xlfn.SWITCH(MONTH(C7192),1,1,2,1,3,1,4,2,5,2,6,3,7,3,8,3,9,3,10,2,11,2,12,1,2)</f>
        <v>1</v>
      </c>
      <c r="P7192" s="43"/>
    </row>
    <row r="7193" spans="1:16" ht="18" x14ac:dyDescent="0.35">
      <c r="A7193" s="9"/>
      <c r="C7193" s="393"/>
      <c r="E7193" s="394"/>
      <c r="F7193" s="394"/>
      <c r="G7193" s="394"/>
      <c r="I7193" s="368">
        <f t="shared" si="342"/>
        <v>0</v>
      </c>
      <c r="J7193" s="365">
        <f t="shared" si="343"/>
        <v>0</v>
      </c>
      <c r="K7193" s="369">
        <f t="shared" si="344"/>
        <v>6</v>
      </c>
      <c r="L7193" s="369">
        <f>+IF((C7193&gt;='Resultats - informe'!$E$16)*(C7193&lt;='Resultats - informe'!$G$16),1,0)</f>
        <v>1</v>
      </c>
      <c r="M7193" s="369" cm="1">
        <f t="array" ref="M7193">+_xlfn.IFS((C7193&gt;='Resultats - informe'!$D$26)*(C7193&lt;='Resultats - informe'!$E$26),0,(C7193&gt;='Resultats - informe'!$D$27)*(C7193&lt;='Resultats - informe'!$E$27),0,(C7193&gt;='Resultats - informe'!$D$28)*(C7193&lt;='Resultats - informe'!$E$28),0,(C7193&gt;='Resultats - informe'!$D$29)*(C7193&lt;='Resultats - informe'!$E$29),0,1,1)</f>
        <v>0</v>
      </c>
      <c r="N7193" s="366">
        <f>+VLOOKUP(D7193,'Resultats - informe'!$Y$18:$AG$42,'Introducció dades consum'!K7193+1,0)</f>
        <v>0</v>
      </c>
      <c r="O7193" s="370" cm="1">
        <f t="array" ref="O7193">+_xlfn.SWITCH(MONTH(C7193),1,1,2,1,3,1,4,2,5,2,6,3,7,3,8,3,9,3,10,2,11,2,12,1,2)</f>
        <v>1</v>
      </c>
      <c r="P7193" s="43"/>
    </row>
    <row r="7194" spans="1:16" ht="18" x14ac:dyDescent="0.35">
      <c r="A7194" s="9"/>
      <c r="C7194" s="393"/>
      <c r="E7194" s="394"/>
      <c r="F7194" s="394"/>
      <c r="G7194" s="394"/>
      <c r="I7194" s="368">
        <f t="shared" si="342"/>
        <v>0</v>
      </c>
      <c r="J7194" s="365">
        <f t="shared" si="343"/>
        <v>0</v>
      </c>
      <c r="K7194" s="369">
        <f t="shared" si="344"/>
        <v>6</v>
      </c>
      <c r="L7194" s="369">
        <f>+IF((C7194&gt;='Resultats - informe'!$E$16)*(C7194&lt;='Resultats - informe'!$G$16),1,0)</f>
        <v>1</v>
      </c>
      <c r="M7194" s="369" cm="1">
        <f t="array" ref="M7194">+_xlfn.IFS((C7194&gt;='Resultats - informe'!$D$26)*(C7194&lt;='Resultats - informe'!$E$26),0,(C7194&gt;='Resultats - informe'!$D$27)*(C7194&lt;='Resultats - informe'!$E$27),0,(C7194&gt;='Resultats - informe'!$D$28)*(C7194&lt;='Resultats - informe'!$E$28),0,(C7194&gt;='Resultats - informe'!$D$29)*(C7194&lt;='Resultats - informe'!$E$29),0,1,1)</f>
        <v>0</v>
      </c>
      <c r="N7194" s="366">
        <f>+VLOOKUP(D7194,'Resultats - informe'!$Y$18:$AG$42,'Introducció dades consum'!K7194+1,0)</f>
        <v>0</v>
      </c>
      <c r="O7194" s="370" cm="1">
        <f t="array" ref="O7194">+_xlfn.SWITCH(MONTH(C7194),1,1,2,1,3,1,4,2,5,2,6,3,7,3,8,3,9,3,10,2,11,2,12,1,2)</f>
        <v>1</v>
      </c>
      <c r="P7194" s="43"/>
    </row>
    <row r="7195" spans="1:16" ht="18" x14ac:dyDescent="0.35">
      <c r="A7195" s="9"/>
      <c r="C7195" s="393"/>
      <c r="E7195" s="394"/>
      <c r="F7195" s="394"/>
      <c r="G7195" s="394"/>
      <c r="I7195" s="368">
        <f t="shared" si="342"/>
        <v>0</v>
      </c>
      <c r="J7195" s="365">
        <f t="shared" si="343"/>
        <v>0</v>
      </c>
      <c r="K7195" s="369">
        <f t="shared" si="344"/>
        <v>6</v>
      </c>
      <c r="L7195" s="369">
        <f>+IF((C7195&gt;='Resultats - informe'!$E$16)*(C7195&lt;='Resultats - informe'!$G$16),1,0)</f>
        <v>1</v>
      </c>
      <c r="M7195" s="369" cm="1">
        <f t="array" ref="M7195">+_xlfn.IFS((C7195&gt;='Resultats - informe'!$D$26)*(C7195&lt;='Resultats - informe'!$E$26),0,(C7195&gt;='Resultats - informe'!$D$27)*(C7195&lt;='Resultats - informe'!$E$27),0,(C7195&gt;='Resultats - informe'!$D$28)*(C7195&lt;='Resultats - informe'!$E$28),0,(C7195&gt;='Resultats - informe'!$D$29)*(C7195&lt;='Resultats - informe'!$E$29),0,1,1)</f>
        <v>0</v>
      </c>
      <c r="N7195" s="366">
        <f>+VLOOKUP(D7195,'Resultats - informe'!$Y$18:$AG$42,'Introducció dades consum'!K7195+1,0)</f>
        <v>0</v>
      </c>
      <c r="O7195" s="370" cm="1">
        <f t="array" ref="O7195">+_xlfn.SWITCH(MONTH(C7195),1,1,2,1,3,1,4,2,5,2,6,3,7,3,8,3,9,3,10,2,11,2,12,1,2)</f>
        <v>1</v>
      </c>
      <c r="P7195" s="43"/>
    </row>
    <row r="7196" spans="1:16" ht="18" x14ac:dyDescent="0.35">
      <c r="A7196" s="9"/>
      <c r="C7196" s="393"/>
      <c r="E7196" s="394"/>
      <c r="F7196" s="394"/>
      <c r="G7196" s="394"/>
      <c r="I7196" s="368">
        <f t="shared" si="342"/>
        <v>0</v>
      </c>
      <c r="J7196" s="365">
        <f t="shared" si="343"/>
        <v>0</v>
      </c>
      <c r="K7196" s="369">
        <f t="shared" si="344"/>
        <v>6</v>
      </c>
      <c r="L7196" s="369">
        <f>+IF((C7196&gt;='Resultats - informe'!$E$16)*(C7196&lt;='Resultats - informe'!$G$16),1,0)</f>
        <v>1</v>
      </c>
      <c r="M7196" s="369" cm="1">
        <f t="array" ref="M7196">+_xlfn.IFS((C7196&gt;='Resultats - informe'!$D$26)*(C7196&lt;='Resultats - informe'!$E$26),0,(C7196&gt;='Resultats - informe'!$D$27)*(C7196&lt;='Resultats - informe'!$E$27),0,(C7196&gt;='Resultats - informe'!$D$28)*(C7196&lt;='Resultats - informe'!$E$28),0,(C7196&gt;='Resultats - informe'!$D$29)*(C7196&lt;='Resultats - informe'!$E$29),0,1,1)</f>
        <v>0</v>
      </c>
      <c r="N7196" s="366">
        <f>+VLOOKUP(D7196,'Resultats - informe'!$Y$18:$AG$42,'Introducció dades consum'!K7196+1,0)</f>
        <v>0</v>
      </c>
      <c r="O7196" s="370" cm="1">
        <f t="array" ref="O7196">+_xlfn.SWITCH(MONTH(C7196),1,1,2,1,3,1,4,2,5,2,6,3,7,3,8,3,9,3,10,2,11,2,12,1,2)</f>
        <v>1</v>
      </c>
      <c r="P7196" s="43"/>
    </row>
    <row r="7197" spans="1:16" ht="18" x14ac:dyDescent="0.35">
      <c r="A7197" s="9"/>
      <c r="C7197" s="393"/>
      <c r="E7197" s="394"/>
      <c r="F7197" s="394"/>
      <c r="G7197" s="394"/>
      <c r="I7197" s="368">
        <f t="shared" si="342"/>
        <v>0</v>
      </c>
      <c r="J7197" s="365">
        <f t="shared" si="343"/>
        <v>0</v>
      </c>
      <c r="K7197" s="369">
        <f t="shared" si="344"/>
        <v>6</v>
      </c>
      <c r="L7197" s="369">
        <f>+IF((C7197&gt;='Resultats - informe'!$E$16)*(C7197&lt;='Resultats - informe'!$G$16),1,0)</f>
        <v>1</v>
      </c>
      <c r="M7197" s="369" cm="1">
        <f t="array" ref="M7197">+_xlfn.IFS((C7197&gt;='Resultats - informe'!$D$26)*(C7197&lt;='Resultats - informe'!$E$26),0,(C7197&gt;='Resultats - informe'!$D$27)*(C7197&lt;='Resultats - informe'!$E$27),0,(C7197&gt;='Resultats - informe'!$D$28)*(C7197&lt;='Resultats - informe'!$E$28),0,(C7197&gt;='Resultats - informe'!$D$29)*(C7197&lt;='Resultats - informe'!$E$29),0,1,1)</f>
        <v>0</v>
      </c>
      <c r="N7197" s="366">
        <f>+VLOOKUP(D7197,'Resultats - informe'!$Y$18:$AG$42,'Introducció dades consum'!K7197+1,0)</f>
        <v>0</v>
      </c>
      <c r="O7197" s="370" cm="1">
        <f t="array" ref="O7197">+_xlfn.SWITCH(MONTH(C7197),1,1,2,1,3,1,4,2,5,2,6,3,7,3,8,3,9,3,10,2,11,2,12,1,2)</f>
        <v>1</v>
      </c>
      <c r="P7197" s="43"/>
    </row>
    <row r="7198" spans="1:16" ht="18" x14ac:dyDescent="0.35">
      <c r="A7198" s="9"/>
      <c r="C7198" s="393"/>
      <c r="E7198" s="394"/>
      <c r="F7198" s="394"/>
      <c r="G7198" s="394"/>
      <c r="I7198" s="368">
        <f t="shared" si="342"/>
        <v>0</v>
      </c>
      <c r="J7198" s="365">
        <f t="shared" si="343"/>
        <v>0</v>
      </c>
      <c r="K7198" s="369">
        <f t="shared" si="344"/>
        <v>6</v>
      </c>
      <c r="L7198" s="369">
        <f>+IF((C7198&gt;='Resultats - informe'!$E$16)*(C7198&lt;='Resultats - informe'!$G$16),1,0)</f>
        <v>1</v>
      </c>
      <c r="M7198" s="369" cm="1">
        <f t="array" ref="M7198">+_xlfn.IFS((C7198&gt;='Resultats - informe'!$D$26)*(C7198&lt;='Resultats - informe'!$E$26),0,(C7198&gt;='Resultats - informe'!$D$27)*(C7198&lt;='Resultats - informe'!$E$27),0,(C7198&gt;='Resultats - informe'!$D$28)*(C7198&lt;='Resultats - informe'!$E$28),0,(C7198&gt;='Resultats - informe'!$D$29)*(C7198&lt;='Resultats - informe'!$E$29),0,1,1)</f>
        <v>0</v>
      </c>
      <c r="N7198" s="366">
        <f>+VLOOKUP(D7198,'Resultats - informe'!$Y$18:$AG$42,'Introducció dades consum'!K7198+1,0)</f>
        <v>0</v>
      </c>
      <c r="O7198" s="370" cm="1">
        <f t="array" ref="O7198">+_xlfn.SWITCH(MONTH(C7198),1,1,2,1,3,1,4,2,5,2,6,3,7,3,8,3,9,3,10,2,11,2,12,1,2)</f>
        <v>1</v>
      </c>
      <c r="P7198" s="43"/>
    </row>
    <row r="7199" spans="1:16" ht="18" x14ac:dyDescent="0.35">
      <c r="A7199" s="9"/>
      <c r="C7199" s="393"/>
      <c r="E7199" s="394"/>
      <c r="F7199" s="394"/>
      <c r="G7199" s="394"/>
      <c r="I7199" s="368">
        <f t="shared" si="342"/>
        <v>0</v>
      </c>
      <c r="J7199" s="365">
        <f t="shared" si="343"/>
        <v>0</v>
      </c>
      <c r="K7199" s="369">
        <f t="shared" si="344"/>
        <v>6</v>
      </c>
      <c r="L7199" s="369">
        <f>+IF((C7199&gt;='Resultats - informe'!$E$16)*(C7199&lt;='Resultats - informe'!$G$16),1,0)</f>
        <v>1</v>
      </c>
      <c r="M7199" s="369" cm="1">
        <f t="array" ref="M7199">+_xlfn.IFS((C7199&gt;='Resultats - informe'!$D$26)*(C7199&lt;='Resultats - informe'!$E$26),0,(C7199&gt;='Resultats - informe'!$D$27)*(C7199&lt;='Resultats - informe'!$E$27),0,(C7199&gt;='Resultats - informe'!$D$28)*(C7199&lt;='Resultats - informe'!$E$28),0,(C7199&gt;='Resultats - informe'!$D$29)*(C7199&lt;='Resultats - informe'!$E$29),0,1,1)</f>
        <v>0</v>
      </c>
      <c r="N7199" s="366">
        <f>+VLOOKUP(D7199,'Resultats - informe'!$Y$18:$AG$42,'Introducció dades consum'!K7199+1,0)</f>
        <v>0</v>
      </c>
      <c r="O7199" s="370" cm="1">
        <f t="array" ref="O7199">+_xlfn.SWITCH(MONTH(C7199),1,1,2,1,3,1,4,2,5,2,6,3,7,3,8,3,9,3,10,2,11,2,12,1,2)</f>
        <v>1</v>
      </c>
      <c r="P7199" s="43"/>
    </row>
    <row r="7200" spans="1:16" ht="18" x14ac:dyDescent="0.35">
      <c r="A7200" s="9"/>
      <c r="C7200" s="393"/>
      <c r="E7200" s="394"/>
      <c r="F7200" s="394"/>
      <c r="G7200" s="394"/>
      <c r="I7200" s="368">
        <f t="shared" si="342"/>
        <v>0</v>
      </c>
      <c r="J7200" s="365">
        <f t="shared" si="343"/>
        <v>0</v>
      </c>
      <c r="K7200" s="369">
        <f t="shared" si="344"/>
        <v>6</v>
      </c>
      <c r="L7200" s="369">
        <f>+IF((C7200&gt;='Resultats - informe'!$E$16)*(C7200&lt;='Resultats - informe'!$G$16),1,0)</f>
        <v>1</v>
      </c>
      <c r="M7200" s="369" cm="1">
        <f t="array" ref="M7200">+_xlfn.IFS((C7200&gt;='Resultats - informe'!$D$26)*(C7200&lt;='Resultats - informe'!$E$26),0,(C7200&gt;='Resultats - informe'!$D$27)*(C7200&lt;='Resultats - informe'!$E$27),0,(C7200&gt;='Resultats - informe'!$D$28)*(C7200&lt;='Resultats - informe'!$E$28),0,(C7200&gt;='Resultats - informe'!$D$29)*(C7200&lt;='Resultats - informe'!$E$29),0,1,1)</f>
        <v>0</v>
      </c>
      <c r="N7200" s="366">
        <f>+VLOOKUP(D7200,'Resultats - informe'!$Y$18:$AG$42,'Introducció dades consum'!K7200+1,0)</f>
        <v>0</v>
      </c>
      <c r="O7200" s="370" cm="1">
        <f t="array" ref="O7200">+_xlfn.SWITCH(MONTH(C7200),1,1,2,1,3,1,4,2,5,2,6,3,7,3,8,3,9,3,10,2,11,2,12,1,2)</f>
        <v>1</v>
      </c>
      <c r="P7200" s="43"/>
    </row>
    <row r="7201" spans="1:16" ht="18" x14ac:dyDescent="0.35">
      <c r="A7201" s="9"/>
      <c r="C7201" s="393"/>
      <c r="E7201" s="394"/>
      <c r="F7201" s="394"/>
      <c r="G7201" s="394"/>
      <c r="I7201" s="368">
        <f t="shared" si="342"/>
        <v>0</v>
      </c>
      <c r="J7201" s="365">
        <f t="shared" si="343"/>
        <v>0</v>
      </c>
      <c r="K7201" s="369">
        <f t="shared" si="344"/>
        <v>6</v>
      </c>
      <c r="L7201" s="369">
        <f>+IF((C7201&gt;='Resultats - informe'!$E$16)*(C7201&lt;='Resultats - informe'!$G$16),1,0)</f>
        <v>1</v>
      </c>
      <c r="M7201" s="369" cm="1">
        <f t="array" ref="M7201">+_xlfn.IFS((C7201&gt;='Resultats - informe'!$D$26)*(C7201&lt;='Resultats - informe'!$E$26),0,(C7201&gt;='Resultats - informe'!$D$27)*(C7201&lt;='Resultats - informe'!$E$27),0,(C7201&gt;='Resultats - informe'!$D$28)*(C7201&lt;='Resultats - informe'!$E$28),0,(C7201&gt;='Resultats - informe'!$D$29)*(C7201&lt;='Resultats - informe'!$E$29),0,1,1)</f>
        <v>0</v>
      </c>
      <c r="N7201" s="366">
        <f>+VLOOKUP(D7201,'Resultats - informe'!$Y$18:$AG$42,'Introducció dades consum'!K7201+1,0)</f>
        <v>0</v>
      </c>
      <c r="O7201" s="370" cm="1">
        <f t="array" ref="O7201">+_xlfn.SWITCH(MONTH(C7201),1,1,2,1,3,1,4,2,5,2,6,3,7,3,8,3,9,3,10,2,11,2,12,1,2)</f>
        <v>1</v>
      </c>
      <c r="P7201" s="43"/>
    </row>
    <row r="7202" spans="1:16" ht="18" x14ac:dyDescent="0.35">
      <c r="A7202" s="9"/>
      <c r="C7202" s="393"/>
      <c r="E7202" s="394"/>
      <c r="F7202" s="394"/>
      <c r="G7202" s="394"/>
      <c r="I7202" s="368">
        <f t="shared" si="342"/>
        <v>0</v>
      </c>
      <c r="J7202" s="365">
        <f t="shared" si="343"/>
        <v>0</v>
      </c>
      <c r="K7202" s="369">
        <f t="shared" si="344"/>
        <v>6</v>
      </c>
      <c r="L7202" s="369">
        <f>+IF((C7202&gt;='Resultats - informe'!$E$16)*(C7202&lt;='Resultats - informe'!$G$16),1,0)</f>
        <v>1</v>
      </c>
      <c r="M7202" s="369" cm="1">
        <f t="array" ref="M7202">+_xlfn.IFS((C7202&gt;='Resultats - informe'!$D$26)*(C7202&lt;='Resultats - informe'!$E$26),0,(C7202&gt;='Resultats - informe'!$D$27)*(C7202&lt;='Resultats - informe'!$E$27),0,(C7202&gt;='Resultats - informe'!$D$28)*(C7202&lt;='Resultats - informe'!$E$28),0,(C7202&gt;='Resultats - informe'!$D$29)*(C7202&lt;='Resultats - informe'!$E$29),0,1,1)</f>
        <v>0</v>
      </c>
      <c r="N7202" s="366">
        <f>+VLOOKUP(D7202,'Resultats - informe'!$Y$18:$AG$42,'Introducció dades consum'!K7202+1,0)</f>
        <v>0</v>
      </c>
      <c r="O7202" s="370" cm="1">
        <f t="array" ref="O7202">+_xlfn.SWITCH(MONTH(C7202),1,1,2,1,3,1,4,2,5,2,6,3,7,3,8,3,9,3,10,2,11,2,12,1,2)</f>
        <v>1</v>
      </c>
      <c r="P7202" s="43"/>
    </row>
    <row r="7203" spans="1:16" ht="18" x14ac:dyDescent="0.35">
      <c r="A7203" s="9"/>
      <c r="C7203" s="393"/>
      <c r="E7203" s="394"/>
      <c r="F7203" s="394"/>
      <c r="G7203" s="394"/>
      <c r="I7203" s="368">
        <f t="shared" si="342"/>
        <v>0</v>
      </c>
      <c r="J7203" s="365">
        <f t="shared" si="343"/>
        <v>0</v>
      </c>
      <c r="K7203" s="369">
        <f t="shared" si="344"/>
        <v>6</v>
      </c>
      <c r="L7203" s="369">
        <f>+IF((C7203&gt;='Resultats - informe'!$E$16)*(C7203&lt;='Resultats - informe'!$G$16),1,0)</f>
        <v>1</v>
      </c>
      <c r="M7203" s="369" cm="1">
        <f t="array" ref="M7203">+_xlfn.IFS((C7203&gt;='Resultats - informe'!$D$26)*(C7203&lt;='Resultats - informe'!$E$26),0,(C7203&gt;='Resultats - informe'!$D$27)*(C7203&lt;='Resultats - informe'!$E$27),0,(C7203&gt;='Resultats - informe'!$D$28)*(C7203&lt;='Resultats - informe'!$E$28),0,(C7203&gt;='Resultats - informe'!$D$29)*(C7203&lt;='Resultats - informe'!$E$29),0,1,1)</f>
        <v>0</v>
      </c>
      <c r="N7203" s="366">
        <f>+VLOOKUP(D7203,'Resultats - informe'!$Y$18:$AG$42,'Introducció dades consum'!K7203+1,0)</f>
        <v>0</v>
      </c>
      <c r="O7203" s="370" cm="1">
        <f t="array" ref="O7203">+_xlfn.SWITCH(MONTH(C7203),1,1,2,1,3,1,4,2,5,2,6,3,7,3,8,3,9,3,10,2,11,2,12,1,2)</f>
        <v>1</v>
      </c>
      <c r="P7203" s="43"/>
    </row>
    <row r="7204" spans="1:16" ht="18" x14ac:dyDescent="0.35">
      <c r="A7204" s="9"/>
      <c r="C7204" s="393"/>
      <c r="E7204" s="394"/>
      <c r="F7204" s="394"/>
      <c r="G7204" s="394"/>
      <c r="I7204" s="368">
        <f t="shared" si="342"/>
        <v>0</v>
      </c>
      <c r="J7204" s="365">
        <f t="shared" si="343"/>
        <v>0</v>
      </c>
      <c r="K7204" s="369">
        <f t="shared" si="344"/>
        <v>6</v>
      </c>
      <c r="L7204" s="369">
        <f>+IF((C7204&gt;='Resultats - informe'!$E$16)*(C7204&lt;='Resultats - informe'!$G$16),1,0)</f>
        <v>1</v>
      </c>
      <c r="M7204" s="369" cm="1">
        <f t="array" ref="M7204">+_xlfn.IFS((C7204&gt;='Resultats - informe'!$D$26)*(C7204&lt;='Resultats - informe'!$E$26),0,(C7204&gt;='Resultats - informe'!$D$27)*(C7204&lt;='Resultats - informe'!$E$27),0,(C7204&gt;='Resultats - informe'!$D$28)*(C7204&lt;='Resultats - informe'!$E$28),0,(C7204&gt;='Resultats - informe'!$D$29)*(C7204&lt;='Resultats - informe'!$E$29),0,1,1)</f>
        <v>0</v>
      </c>
      <c r="N7204" s="366">
        <f>+VLOOKUP(D7204,'Resultats - informe'!$Y$18:$AG$42,'Introducció dades consum'!K7204+1,0)</f>
        <v>0</v>
      </c>
      <c r="O7204" s="370" cm="1">
        <f t="array" ref="O7204">+_xlfn.SWITCH(MONTH(C7204),1,1,2,1,3,1,4,2,5,2,6,3,7,3,8,3,9,3,10,2,11,2,12,1,2)</f>
        <v>1</v>
      </c>
      <c r="P7204" s="43"/>
    </row>
    <row r="7205" spans="1:16" ht="18" x14ac:dyDescent="0.35">
      <c r="A7205" s="9"/>
      <c r="C7205" s="393"/>
      <c r="E7205" s="394"/>
      <c r="F7205" s="394"/>
      <c r="G7205" s="394"/>
      <c r="I7205" s="368">
        <f t="shared" si="342"/>
        <v>0</v>
      </c>
      <c r="J7205" s="365">
        <f t="shared" si="343"/>
        <v>0</v>
      </c>
      <c r="K7205" s="369">
        <f t="shared" si="344"/>
        <v>6</v>
      </c>
      <c r="L7205" s="369">
        <f>+IF((C7205&gt;='Resultats - informe'!$E$16)*(C7205&lt;='Resultats - informe'!$G$16),1,0)</f>
        <v>1</v>
      </c>
      <c r="M7205" s="369" cm="1">
        <f t="array" ref="M7205">+_xlfn.IFS((C7205&gt;='Resultats - informe'!$D$26)*(C7205&lt;='Resultats - informe'!$E$26),0,(C7205&gt;='Resultats - informe'!$D$27)*(C7205&lt;='Resultats - informe'!$E$27),0,(C7205&gt;='Resultats - informe'!$D$28)*(C7205&lt;='Resultats - informe'!$E$28),0,(C7205&gt;='Resultats - informe'!$D$29)*(C7205&lt;='Resultats - informe'!$E$29),0,1,1)</f>
        <v>0</v>
      </c>
      <c r="N7205" s="366">
        <f>+VLOOKUP(D7205,'Resultats - informe'!$Y$18:$AG$42,'Introducció dades consum'!K7205+1,0)</f>
        <v>0</v>
      </c>
      <c r="O7205" s="370" cm="1">
        <f t="array" ref="O7205">+_xlfn.SWITCH(MONTH(C7205),1,1,2,1,3,1,4,2,5,2,6,3,7,3,8,3,9,3,10,2,11,2,12,1,2)</f>
        <v>1</v>
      </c>
      <c r="P7205" s="43"/>
    </row>
    <row r="7206" spans="1:16" ht="18" x14ac:dyDescent="0.35">
      <c r="A7206" s="9"/>
      <c r="C7206" s="393"/>
      <c r="E7206" s="394"/>
      <c r="F7206" s="394"/>
      <c r="G7206" s="394"/>
      <c r="I7206" s="368">
        <f t="shared" si="342"/>
        <v>0</v>
      </c>
      <c r="J7206" s="365">
        <f t="shared" si="343"/>
        <v>0</v>
      </c>
      <c r="K7206" s="369">
        <f t="shared" si="344"/>
        <v>6</v>
      </c>
      <c r="L7206" s="369">
        <f>+IF((C7206&gt;='Resultats - informe'!$E$16)*(C7206&lt;='Resultats - informe'!$G$16),1,0)</f>
        <v>1</v>
      </c>
      <c r="M7206" s="369" cm="1">
        <f t="array" ref="M7206">+_xlfn.IFS((C7206&gt;='Resultats - informe'!$D$26)*(C7206&lt;='Resultats - informe'!$E$26),0,(C7206&gt;='Resultats - informe'!$D$27)*(C7206&lt;='Resultats - informe'!$E$27),0,(C7206&gt;='Resultats - informe'!$D$28)*(C7206&lt;='Resultats - informe'!$E$28),0,(C7206&gt;='Resultats - informe'!$D$29)*(C7206&lt;='Resultats - informe'!$E$29),0,1,1)</f>
        <v>0</v>
      </c>
      <c r="N7206" s="366">
        <f>+VLOOKUP(D7206,'Resultats - informe'!$Y$18:$AG$42,'Introducció dades consum'!K7206+1,0)</f>
        <v>0</v>
      </c>
      <c r="O7206" s="370" cm="1">
        <f t="array" ref="O7206">+_xlfn.SWITCH(MONTH(C7206),1,1,2,1,3,1,4,2,5,2,6,3,7,3,8,3,9,3,10,2,11,2,12,1,2)</f>
        <v>1</v>
      </c>
      <c r="P7206" s="43"/>
    </row>
    <row r="7207" spans="1:16" ht="18" x14ac:dyDescent="0.35">
      <c r="A7207" s="9"/>
      <c r="C7207" s="393"/>
      <c r="E7207" s="394"/>
      <c r="F7207" s="394"/>
      <c r="G7207" s="394"/>
      <c r="I7207" s="368">
        <f t="shared" si="342"/>
        <v>0</v>
      </c>
      <c r="J7207" s="365">
        <f t="shared" si="343"/>
        <v>0</v>
      </c>
      <c r="K7207" s="369">
        <f t="shared" si="344"/>
        <v>6</v>
      </c>
      <c r="L7207" s="369">
        <f>+IF((C7207&gt;='Resultats - informe'!$E$16)*(C7207&lt;='Resultats - informe'!$G$16),1,0)</f>
        <v>1</v>
      </c>
      <c r="M7207" s="369" cm="1">
        <f t="array" ref="M7207">+_xlfn.IFS((C7207&gt;='Resultats - informe'!$D$26)*(C7207&lt;='Resultats - informe'!$E$26),0,(C7207&gt;='Resultats - informe'!$D$27)*(C7207&lt;='Resultats - informe'!$E$27),0,(C7207&gt;='Resultats - informe'!$D$28)*(C7207&lt;='Resultats - informe'!$E$28),0,(C7207&gt;='Resultats - informe'!$D$29)*(C7207&lt;='Resultats - informe'!$E$29),0,1,1)</f>
        <v>0</v>
      </c>
      <c r="N7207" s="366">
        <f>+VLOOKUP(D7207,'Resultats - informe'!$Y$18:$AG$42,'Introducció dades consum'!K7207+1,0)</f>
        <v>0</v>
      </c>
      <c r="O7207" s="370" cm="1">
        <f t="array" ref="O7207">+_xlfn.SWITCH(MONTH(C7207),1,1,2,1,3,1,4,2,5,2,6,3,7,3,8,3,9,3,10,2,11,2,12,1,2)</f>
        <v>1</v>
      </c>
      <c r="P7207" s="43"/>
    </row>
    <row r="7208" spans="1:16" ht="18" x14ac:dyDescent="0.35">
      <c r="A7208" s="9"/>
      <c r="C7208" s="393"/>
      <c r="E7208" s="394"/>
      <c r="F7208" s="394"/>
      <c r="G7208" s="394"/>
      <c r="I7208" s="368">
        <f t="shared" si="342"/>
        <v>0</v>
      </c>
      <c r="J7208" s="365">
        <f t="shared" si="343"/>
        <v>0</v>
      </c>
      <c r="K7208" s="369">
        <f t="shared" si="344"/>
        <v>6</v>
      </c>
      <c r="L7208" s="369">
        <f>+IF((C7208&gt;='Resultats - informe'!$E$16)*(C7208&lt;='Resultats - informe'!$G$16),1,0)</f>
        <v>1</v>
      </c>
      <c r="M7208" s="369" cm="1">
        <f t="array" ref="M7208">+_xlfn.IFS((C7208&gt;='Resultats - informe'!$D$26)*(C7208&lt;='Resultats - informe'!$E$26),0,(C7208&gt;='Resultats - informe'!$D$27)*(C7208&lt;='Resultats - informe'!$E$27),0,(C7208&gt;='Resultats - informe'!$D$28)*(C7208&lt;='Resultats - informe'!$E$28),0,(C7208&gt;='Resultats - informe'!$D$29)*(C7208&lt;='Resultats - informe'!$E$29),0,1,1)</f>
        <v>0</v>
      </c>
      <c r="N7208" s="366">
        <f>+VLOOKUP(D7208,'Resultats - informe'!$Y$18:$AG$42,'Introducció dades consum'!K7208+1,0)</f>
        <v>0</v>
      </c>
      <c r="O7208" s="370" cm="1">
        <f t="array" ref="O7208">+_xlfn.SWITCH(MONTH(C7208),1,1,2,1,3,1,4,2,5,2,6,3,7,3,8,3,9,3,10,2,11,2,12,1,2)</f>
        <v>1</v>
      </c>
      <c r="P7208" s="43"/>
    </row>
    <row r="7209" spans="1:16" ht="18" x14ac:dyDescent="0.35">
      <c r="A7209" s="9"/>
      <c r="C7209" s="393"/>
      <c r="E7209" s="394"/>
      <c r="F7209" s="394"/>
      <c r="G7209" s="394"/>
      <c r="I7209" s="368">
        <f t="shared" si="342"/>
        <v>0</v>
      </c>
      <c r="J7209" s="365">
        <f t="shared" si="343"/>
        <v>0</v>
      </c>
      <c r="K7209" s="369">
        <f t="shared" si="344"/>
        <v>6</v>
      </c>
      <c r="L7209" s="369">
        <f>+IF((C7209&gt;='Resultats - informe'!$E$16)*(C7209&lt;='Resultats - informe'!$G$16),1,0)</f>
        <v>1</v>
      </c>
      <c r="M7209" s="369" cm="1">
        <f t="array" ref="M7209">+_xlfn.IFS((C7209&gt;='Resultats - informe'!$D$26)*(C7209&lt;='Resultats - informe'!$E$26),0,(C7209&gt;='Resultats - informe'!$D$27)*(C7209&lt;='Resultats - informe'!$E$27),0,(C7209&gt;='Resultats - informe'!$D$28)*(C7209&lt;='Resultats - informe'!$E$28),0,(C7209&gt;='Resultats - informe'!$D$29)*(C7209&lt;='Resultats - informe'!$E$29),0,1,1)</f>
        <v>0</v>
      </c>
      <c r="N7209" s="366">
        <f>+VLOOKUP(D7209,'Resultats - informe'!$Y$18:$AG$42,'Introducció dades consum'!K7209+1,0)</f>
        <v>0</v>
      </c>
      <c r="O7209" s="370" cm="1">
        <f t="array" ref="O7209">+_xlfn.SWITCH(MONTH(C7209),1,1,2,1,3,1,4,2,5,2,6,3,7,3,8,3,9,3,10,2,11,2,12,1,2)</f>
        <v>1</v>
      </c>
      <c r="P7209" s="43"/>
    </row>
    <row r="7210" spans="1:16" ht="18" x14ac:dyDescent="0.35">
      <c r="A7210" s="9"/>
      <c r="C7210" s="393"/>
      <c r="E7210" s="394"/>
      <c r="F7210" s="394"/>
      <c r="G7210" s="394"/>
      <c r="I7210" s="368">
        <f t="shared" si="342"/>
        <v>0</v>
      </c>
      <c r="J7210" s="365">
        <f t="shared" si="343"/>
        <v>0</v>
      </c>
      <c r="K7210" s="369">
        <f t="shared" si="344"/>
        <v>6</v>
      </c>
      <c r="L7210" s="369">
        <f>+IF((C7210&gt;='Resultats - informe'!$E$16)*(C7210&lt;='Resultats - informe'!$G$16),1,0)</f>
        <v>1</v>
      </c>
      <c r="M7210" s="369" cm="1">
        <f t="array" ref="M7210">+_xlfn.IFS((C7210&gt;='Resultats - informe'!$D$26)*(C7210&lt;='Resultats - informe'!$E$26),0,(C7210&gt;='Resultats - informe'!$D$27)*(C7210&lt;='Resultats - informe'!$E$27),0,(C7210&gt;='Resultats - informe'!$D$28)*(C7210&lt;='Resultats - informe'!$E$28),0,(C7210&gt;='Resultats - informe'!$D$29)*(C7210&lt;='Resultats - informe'!$E$29),0,1,1)</f>
        <v>0</v>
      </c>
      <c r="N7210" s="366">
        <f>+VLOOKUP(D7210,'Resultats - informe'!$Y$18:$AG$42,'Introducció dades consum'!K7210+1,0)</f>
        <v>0</v>
      </c>
      <c r="O7210" s="370" cm="1">
        <f t="array" ref="O7210">+_xlfn.SWITCH(MONTH(C7210),1,1,2,1,3,1,4,2,5,2,6,3,7,3,8,3,9,3,10,2,11,2,12,1,2)</f>
        <v>1</v>
      </c>
      <c r="P7210" s="43"/>
    </row>
    <row r="7211" spans="1:16" ht="18" x14ac:dyDescent="0.35">
      <c r="A7211" s="9"/>
      <c r="C7211" s="393"/>
      <c r="E7211" s="394"/>
      <c r="F7211" s="394"/>
      <c r="G7211" s="394"/>
      <c r="I7211" s="368">
        <f t="shared" si="342"/>
        <v>0</v>
      </c>
      <c r="J7211" s="365">
        <f t="shared" si="343"/>
        <v>0</v>
      </c>
      <c r="K7211" s="369">
        <f t="shared" si="344"/>
        <v>6</v>
      </c>
      <c r="L7211" s="369">
        <f>+IF((C7211&gt;='Resultats - informe'!$E$16)*(C7211&lt;='Resultats - informe'!$G$16),1,0)</f>
        <v>1</v>
      </c>
      <c r="M7211" s="369" cm="1">
        <f t="array" ref="M7211">+_xlfn.IFS((C7211&gt;='Resultats - informe'!$D$26)*(C7211&lt;='Resultats - informe'!$E$26),0,(C7211&gt;='Resultats - informe'!$D$27)*(C7211&lt;='Resultats - informe'!$E$27),0,(C7211&gt;='Resultats - informe'!$D$28)*(C7211&lt;='Resultats - informe'!$E$28),0,(C7211&gt;='Resultats - informe'!$D$29)*(C7211&lt;='Resultats - informe'!$E$29),0,1,1)</f>
        <v>0</v>
      </c>
      <c r="N7211" s="366">
        <f>+VLOOKUP(D7211,'Resultats - informe'!$Y$18:$AG$42,'Introducció dades consum'!K7211+1,0)</f>
        <v>0</v>
      </c>
      <c r="O7211" s="370" cm="1">
        <f t="array" ref="O7211">+_xlfn.SWITCH(MONTH(C7211),1,1,2,1,3,1,4,2,5,2,6,3,7,3,8,3,9,3,10,2,11,2,12,1,2)</f>
        <v>1</v>
      </c>
      <c r="P7211" s="43"/>
    </row>
    <row r="7212" spans="1:16" ht="18" x14ac:dyDescent="0.35">
      <c r="A7212" s="9"/>
      <c r="C7212" s="393"/>
      <c r="E7212" s="394"/>
      <c r="F7212" s="394"/>
      <c r="G7212" s="394"/>
      <c r="I7212" s="368">
        <f t="shared" si="342"/>
        <v>0</v>
      </c>
      <c r="J7212" s="365">
        <f t="shared" si="343"/>
        <v>0</v>
      </c>
      <c r="K7212" s="369">
        <f t="shared" si="344"/>
        <v>6</v>
      </c>
      <c r="L7212" s="369">
        <f>+IF((C7212&gt;='Resultats - informe'!$E$16)*(C7212&lt;='Resultats - informe'!$G$16),1,0)</f>
        <v>1</v>
      </c>
      <c r="M7212" s="369" cm="1">
        <f t="array" ref="M7212">+_xlfn.IFS((C7212&gt;='Resultats - informe'!$D$26)*(C7212&lt;='Resultats - informe'!$E$26),0,(C7212&gt;='Resultats - informe'!$D$27)*(C7212&lt;='Resultats - informe'!$E$27),0,(C7212&gt;='Resultats - informe'!$D$28)*(C7212&lt;='Resultats - informe'!$E$28),0,(C7212&gt;='Resultats - informe'!$D$29)*(C7212&lt;='Resultats - informe'!$E$29),0,1,1)</f>
        <v>0</v>
      </c>
      <c r="N7212" s="366">
        <f>+VLOOKUP(D7212,'Resultats - informe'!$Y$18:$AG$42,'Introducció dades consum'!K7212+1,0)</f>
        <v>0</v>
      </c>
      <c r="O7212" s="370" cm="1">
        <f t="array" ref="O7212">+_xlfn.SWITCH(MONTH(C7212),1,1,2,1,3,1,4,2,5,2,6,3,7,3,8,3,9,3,10,2,11,2,12,1,2)</f>
        <v>1</v>
      </c>
      <c r="P7212" s="43"/>
    </row>
    <row r="7213" spans="1:16" ht="18" x14ac:dyDescent="0.35">
      <c r="A7213" s="9"/>
      <c r="C7213" s="393"/>
      <c r="E7213" s="394"/>
      <c r="F7213" s="394"/>
      <c r="G7213" s="394"/>
      <c r="I7213" s="368">
        <f t="shared" si="342"/>
        <v>0</v>
      </c>
      <c r="J7213" s="365">
        <f t="shared" si="343"/>
        <v>0</v>
      </c>
      <c r="K7213" s="369">
        <f t="shared" si="344"/>
        <v>6</v>
      </c>
      <c r="L7213" s="369">
        <f>+IF((C7213&gt;='Resultats - informe'!$E$16)*(C7213&lt;='Resultats - informe'!$G$16),1,0)</f>
        <v>1</v>
      </c>
      <c r="M7213" s="369" cm="1">
        <f t="array" ref="M7213">+_xlfn.IFS((C7213&gt;='Resultats - informe'!$D$26)*(C7213&lt;='Resultats - informe'!$E$26),0,(C7213&gt;='Resultats - informe'!$D$27)*(C7213&lt;='Resultats - informe'!$E$27),0,(C7213&gt;='Resultats - informe'!$D$28)*(C7213&lt;='Resultats - informe'!$E$28),0,(C7213&gt;='Resultats - informe'!$D$29)*(C7213&lt;='Resultats - informe'!$E$29),0,1,1)</f>
        <v>0</v>
      </c>
      <c r="N7213" s="366">
        <f>+VLOOKUP(D7213,'Resultats - informe'!$Y$18:$AG$42,'Introducció dades consum'!K7213+1,0)</f>
        <v>0</v>
      </c>
      <c r="O7213" s="370" cm="1">
        <f t="array" ref="O7213">+_xlfn.SWITCH(MONTH(C7213),1,1,2,1,3,1,4,2,5,2,6,3,7,3,8,3,9,3,10,2,11,2,12,1,2)</f>
        <v>1</v>
      </c>
      <c r="P7213" s="43"/>
    </row>
    <row r="7214" spans="1:16" ht="18" x14ac:dyDescent="0.35">
      <c r="A7214" s="9"/>
      <c r="C7214" s="393"/>
      <c r="E7214" s="394"/>
      <c r="F7214" s="394"/>
      <c r="G7214" s="394"/>
      <c r="I7214" s="368">
        <f t="shared" si="342"/>
        <v>0</v>
      </c>
      <c r="J7214" s="365">
        <f t="shared" si="343"/>
        <v>0</v>
      </c>
      <c r="K7214" s="369">
        <f t="shared" si="344"/>
        <v>6</v>
      </c>
      <c r="L7214" s="369">
        <f>+IF((C7214&gt;='Resultats - informe'!$E$16)*(C7214&lt;='Resultats - informe'!$G$16),1,0)</f>
        <v>1</v>
      </c>
      <c r="M7214" s="369" cm="1">
        <f t="array" ref="M7214">+_xlfn.IFS((C7214&gt;='Resultats - informe'!$D$26)*(C7214&lt;='Resultats - informe'!$E$26),0,(C7214&gt;='Resultats - informe'!$D$27)*(C7214&lt;='Resultats - informe'!$E$27),0,(C7214&gt;='Resultats - informe'!$D$28)*(C7214&lt;='Resultats - informe'!$E$28),0,(C7214&gt;='Resultats - informe'!$D$29)*(C7214&lt;='Resultats - informe'!$E$29),0,1,1)</f>
        <v>0</v>
      </c>
      <c r="N7214" s="366">
        <f>+VLOOKUP(D7214,'Resultats - informe'!$Y$18:$AG$42,'Introducció dades consum'!K7214+1,0)</f>
        <v>0</v>
      </c>
      <c r="O7214" s="370" cm="1">
        <f t="array" ref="O7214">+_xlfn.SWITCH(MONTH(C7214),1,1,2,1,3,1,4,2,5,2,6,3,7,3,8,3,9,3,10,2,11,2,12,1,2)</f>
        <v>1</v>
      </c>
      <c r="P7214" s="43"/>
    </row>
    <row r="7215" spans="1:16" ht="18" x14ac:dyDescent="0.35">
      <c r="A7215" s="9"/>
      <c r="C7215" s="393"/>
      <c r="E7215" s="394"/>
      <c r="F7215" s="394"/>
      <c r="G7215" s="394"/>
      <c r="I7215" s="368">
        <f t="shared" si="342"/>
        <v>0</v>
      </c>
      <c r="J7215" s="365">
        <f t="shared" si="343"/>
        <v>0</v>
      </c>
      <c r="K7215" s="369">
        <f t="shared" si="344"/>
        <v>6</v>
      </c>
      <c r="L7215" s="369">
        <f>+IF((C7215&gt;='Resultats - informe'!$E$16)*(C7215&lt;='Resultats - informe'!$G$16),1,0)</f>
        <v>1</v>
      </c>
      <c r="M7215" s="369" cm="1">
        <f t="array" ref="M7215">+_xlfn.IFS((C7215&gt;='Resultats - informe'!$D$26)*(C7215&lt;='Resultats - informe'!$E$26),0,(C7215&gt;='Resultats - informe'!$D$27)*(C7215&lt;='Resultats - informe'!$E$27),0,(C7215&gt;='Resultats - informe'!$D$28)*(C7215&lt;='Resultats - informe'!$E$28),0,(C7215&gt;='Resultats - informe'!$D$29)*(C7215&lt;='Resultats - informe'!$E$29),0,1,1)</f>
        <v>0</v>
      </c>
      <c r="N7215" s="366">
        <f>+VLOOKUP(D7215,'Resultats - informe'!$Y$18:$AG$42,'Introducció dades consum'!K7215+1,0)</f>
        <v>0</v>
      </c>
      <c r="O7215" s="370" cm="1">
        <f t="array" ref="O7215">+_xlfn.SWITCH(MONTH(C7215),1,1,2,1,3,1,4,2,5,2,6,3,7,3,8,3,9,3,10,2,11,2,12,1,2)</f>
        <v>1</v>
      </c>
      <c r="P7215" s="43"/>
    </row>
    <row r="7216" spans="1:16" ht="18" x14ac:dyDescent="0.35">
      <c r="A7216" s="9"/>
      <c r="C7216" s="393"/>
      <c r="E7216" s="394"/>
      <c r="F7216" s="394"/>
      <c r="G7216" s="394"/>
      <c r="I7216" s="368">
        <f t="shared" si="342"/>
        <v>0</v>
      </c>
      <c r="J7216" s="365">
        <f t="shared" si="343"/>
        <v>0</v>
      </c>
      <c r="K7216" s="369">
        <f t="shared" si="344"/>
        <v>6</v>
      </c>
      <c r="L7216" s="369">
        <f>+IF((C7216&gt;='Resultats - informe'!$E$16)*(C7216&lt;='Resultats - informe'!$G$16),1,0)</f>
        <v>1</v>
      </c>
      <c r="M7216" s="369" cm="1">
        <f t="array" ref="M7216">+_xlfn.IFS((C7216&gt;='Resultats - informe'!$D$26)*(C7216&lt;='Resultats - informe'!$E$26),0,(C7216&gt;='Resultats - informe'!$D$27)*(C7216&lt;='Resultats - informe'!$E$27),0,(C7216&gt;='Resultats - informe'!$D$28)*(C7216&lt;='Resultats - informe'!$E$28),0,(C7216&gt;='Resultats - informe'!$D$29)*(C7216&lt;='Resultats - informe'!$E$29),0,1,1)</f>
        <v>0</v>
      </c>
      <c r="N7216" s="366">
        <f>+VLOOKUP(D7216,'Resultats - informe'!$Y$18:$AG$42,'Introducció dades consum'!K7216+1,0)</f>
        <v>0</v>
      </c>
      <c r="O7216" s="370" cm="1">
        <f t="array" ref="O7216">+_xlfn.SWITCH(MONTH(C7216),1,1,2,1,3,1,4,2,5,2,6,3,7,3,8,3,9,3,10,2,11,2,12,1,2)</f>
        <v>1</v>
      </c>
      <c r="P7216" s="43"/>
    </row>
    <row r="7217" spans="1:16" ht="18" x14ac:dyDescent="0.35">
      <c r="A7217" s="9"/>
      <c r="C7217" s="393"/>
      <c r="E7217" s="394"/>
      <c r="F7217" s="394"/>
      <c r="G7217" s="394"/>
      <c r="I7217" s="368">
        <f t="shared" si="342"/>
        <v>0</v>
      </c>
      <c r="J7217" s="365">
        <f t="shared" si="343"/>
        <v>0</v>
      </c>
      <c r="K7217" s="369">
        <f t="shared" si="344"/>
        <v>6</v>
      </c>
      <c r="L7217" s="369">
        <f>+IF((C7217&gt;='Resultats - informe'!$E$16)*(C7217&lt;='Resultats - informe'!$G$16),1,0)</f>
        <v>1</v>
      </c>
      <c r="M7217" s="369" cm="1">
        <f t="array" ref="M7217">+_xlfn.IFS((C7217&gt;='Resultats - informe'!$D$26)*(C7217&lt;='Resultats - informe'!$E$26),0,(C7217&gt;='Resultats - informe'!$D$27)*(C7217&lt;='Resultats - informe'!$E$27),0,(C7217&gt;='Resultats - informe'!$D$28)*(C7217&lt;='Resultats - informe'!$E$28),0,(C7217&gt;='Resultats - informe'!$D$29)*(C7217&lt;='Resultats - informe'!$E$29),0,1,1)</f>
        <v>0</v>
      </c>
      <c r="N7217" s="366">
        <f>+VLOOKUP(D7217,'Resultats - informe'!$Y$18:$AG$42,'Introducció dades consum'!K7217+1,0)</f>
        <v>0</v>
      </c>
      <c r="O7217" s="370" cm="1">
        <f t="array" ref="O7217">+_xlfn.SWITCH(MONTH(C7217),1,1,2,1,3,1,4,2,5,2,6,3,7,3,8,3,9,3,10,2,11,2,12,1,2)</f>
        <v>1</v>
      </c>
      <c r="P7217" s="43"/>
    </row>
    <row r="7218" spans="1:16" ht="18" x14ac:dyDescent="0.35">
      <c r="A7218" s="9"/>
      <c r="C7218" s="393"/>
      <c r="E7218" s="394"/>
      <c r="F7218" s="394"/>
      <c r="G7218" s="394"/>
      <c r="I7218" s="368">
        <f t="shared" si="342"/>
        <v>0</v>
      </c>
      <c r="J7218" s="365">
        <f t="shared" si="343"/>
        <v>0</v>
      </c>
      <c r="K7218" s="369">
        <f t="shared" si="344"/>
        <v>6</v>
      </c>
      <c r="L7218" s="369">
        <f>+IF((C7218&gt;='Resultats - informe'!$E$16)*(C7218&lt;='Resultats - informe'!$G$16),1,0)</f>
        <v>1</v>
      </c>
      <c r="M7218" s="369" cm="1">
        <f t="array" ref="M7218">+_xlfn.IFS((C7218&gt;='Resultats - informe'!$D$26)*(C7218&lt;='Resultats - informe'!$E$26),0,(C7218&gt;='Resultats - informe'!$D$27)*(C7218&lt;='Resultats - informe'!$E$27),0,(C7218&gt;='Resultats - informe'!$D$28)*(C7218&lt;='Resultats - informe'!$E$28),0,(C7218&gt;='Resultats - informe'!$D$29)*(C7218&lt;='Resultats - informe'!$E$29),0,1,1)</f>
        <v>0</v>
      </c>
      <c r="N7218" s="366">
        <f>+VLOOKUP(D7218,'Resultats - informe'!$Y$18:$AG$42,'Introducció dades consum'!K7218+1,0)</f>
        <v>0</v>
      </c>
      <c r="O7218" s="370" cm="1">
        <f t="array" ref="O7218">+_xlfn.SWITCH(MONTH(C7218),1,1,2,1,3,1,4,2,5,2,6,3,7,3,8,3,9,3,10,2,11,2,12,1,2)</f>
        <v>1</v>
      </c>
      <c r="P7218" s="43"/>
    </row>
    <row r="7219" spans="1:16" ht="18" x14ac:dyDescent="0.35">
      <c r="A7219" s="9"/>
      <c r="C7219" s="393"/>
      <c r="E7219" s="394"/>
      <c r="F7219" s="394"/>
      <c r="G7219" s="394"/>
      <c r="I7219" s="368">
        <f t="shared" si="342"/>
        <v>0</v>
      </c>
      <c r="J7219" s="365">
        <f t="shared" si="343"/>
        <v>0</v>
      </c>
      <c r="K7219" s="369">
        <f t="shared" si="344"/>
        <v>6</v>
      </c>
      <c r="L7219" s="369">
        <f>+IF((C7219&gt;='Resultats - informe'!$E$16)*(C7219&lt;='Resultats - informe'!$G$16),1,0)</f>
        <v>1</v>
      </c>
      <c r="M7219" s="369" cm="1">
        <f t="array" ref="M7219">+_xlfn.IFS((C7219&gt;='Resultats - informe'!$D$26)*(C7219&lt;='Resultats - informe'!$E$26),0,(C7219&gt;='Resultats - informe'!$D$27)*(C7219&lt;='Resultats - informe'!$E$27),0,(C7219&gt;='Resultats - informe'!$D$28)*(C7219&lt;='Resultats - informe'!$E$28),0,(C7219&gt;='Resultats - informe'!$D$29)*(C7219&lt;='Resultats - informe'!$E$29),0,1,1)</f>
        <v>0</v>
      </c>
      <c r="N7219" s="366">
        <f>+VLOOKUP(D7219,'Resultats - informe'!$Y$18:$AG$42,'Introducció dades consum'!K7219+1,0)</f>
        <v>0</v>
      </c>
      <c r="O7219" s="370" cm="1">
        <f t="array" ref="O7219">+_xlfn.SWITCH(MONTH(C7219),1,1,2,1,3,1,4,2,5,2,6,3,7,3,8,3,9,3,10,2,11,2,12,1,2)</f>
        <v>1</v>
      </c>
      <c r="P7219" s="43"/>
    </row>
    <row r="7220" spans="1:16" ht="18" x14ac:dyDescent="0.35">
      <c r="A7220" s="9"/>
      <c r="C7220" s="393"/>
      <c r="E7220" s="394"/>
      <c r="F7220" s="394"/>
      <c r="G7220" s="394"/>
      <c r="I7220" s="368">
        <f t="shared" si="342"/>
        <v>0</v>
      </c>
      <c r="J7220" s="365">
        <f t="shared" si="343"/>
        <v>0</v>
      </c>
      <c r="K7220" s="369">
        <f t="shared" si="344"/>
        <v>6</v>
      </c>
      <c r="L7220" s="369">
        <f>+IF((C7220&gt;='Resultats - informe'!$E$16)*(C7220&lt;='Resultats - informe'!$G$16),1,0)</f>
        <v>1</v>
      </c>
      <c r="M7220" s="369" cm="1">
        <f t="array" ref="M7220">+_xlfn.IFS((C7220&gt;='Resultats - informe'!$D$26)*(C7220&lt;='Resultats - informe'!$E$26),0,(C7220&gt;='Resultats - informe'!$D$27)*(C7220&lt;='Resultats - informe'!$E$27),0,(C7220&gt;='Resultats - informe'!$D$28)*(C7220&lt;='Resultats - informe'!$E$28),0,(C7220&gt;='Resultats - informe'!$D$29)*(C7220&lt;='Resultats - informe'!$E$29),0,1,1)</f>
        <v>0</v>
      </c>
      <c r="N7220" s="366">
        <f>+VLOOKUP(D7220,'Resultats - informe'!$Y$18:$AG$42,'Introducció dades consum'!K7220+1,0)</f>
        <v>0</v>
      </c>
      <c r="O7220" s="370" cm="1">
        <f t="array" ref="O7220">+_xlfn.SWITCH(MONTH(C7220),1,1,2,1,3,1,4,2,5,2,6,3,7,3,8,3,9,3,10,2,11,2,12,1,2)</f>
        <v>1</v>
      </c>
      <c r="P7220" s="43"/>
    </row>
    <row r="7221" spans="1:16" ht="18" x14ac:dyDescent="0.35">
      <c r="A7221" s="9"/>
      <c r="C7221" s="393"/>
      <c r="E7221" s="394"/>
      <c r="F7221" s="394"/>
      <c r="G7221" s="394"/>
      <c r="I7221" s="368">
        <f t="shared" si="342"/>
        <v>0</v>
      </c>
      <c r="J7221" s="365">
        <f t="shared" si="343"/>
        <v>0</v>
      </c>
      <c r="K7221" s="369">
        <f t="shared" si="344"/>
        <v>6</v>
      </c>
      <c r="L7221" s="369">
        <f>+IF((C7221&gt;='Resultats - informe'!$E$16)*(C7221&lt;='Resultats - informe'!$G$16),1,0)</f>
        <v>1</v>
      </c>
      <c r="M7221" s="369" cm="1">
        <f t="array" ref="M7221">+_xlfn.IFS((C7221&gt;='Resultats - informe'!$D$26)*(C7221&lt;='Resultats - informe'!$E$26),0,(C7221&gt;='Resultats - informe'!$D$27)*(C7221&lt;='Resultats - informe'!$E$27),0,(C7221&gt;='Resultats - informe'!$D$28)*(C7221&lt;='Resultats - informe'!$E$28),0,(C7221&gt;='Resultats - informe'!$D$29)*(C7221&lt;='Resultats - informe'!$E$29),0,1,1)</f>
        <v>0</v>
      </c>
      <c r="N7221" s="366">
        <f>+VLOOKUP(D7221,'Resultats - informe'!$Y$18:$AG$42,'Introducció dades consum'!K7221+1,0)</f>
        <v>0</v>
      </c>
      <c r="O7221" s="370" cm="1">
        <f t="array" ref="O7221">+_xlfn.SWITCH(MONTH(C7221),1,1,2,1,3,1,4,2,5,2,6,3,7,3,8,3,9,3,10,2,11,2,12,1,2)</f>
        <v>1</v>
      </c>
      <c r="P7221" s="43"/>
    </row>
    <row r="7222" spans="1:16" ht="18" x14ac:dyDescent="0.35">
      <c r="A7222" s="9"/>
      <c r="C7222" s="393"/>
      <c r="E7222" s="394"/>
      <c r="F7222" s="394"/>
      <c r="G7222" s="394"/>
      <c r="I7222" s="368">
        <f t="shared" si="342"/>
        <v>0</v>
      </c>
      <c r="J7222" s="365">
        <f t="shared" si="343"/>
        <v>0</v>
      </c>
      <c r="K7222" s="369">
        <f t="shared" si="344"/>
        <v>6</v>
      </c>
      <c r="L7222" s="369">
        <f>+IF((C7222&gt;='Resultats - informe'!$E$16)*(C7222&lt;='Resultats - informe'!$G$16),1,0)</f>
        <v>1</v>
      </c>
      <c r="M7222" s="369" cm="1">
        <f t="array" ref="M7222">+_xlfn.IFS((C7222&gt;='Resultats - informe'!$D$26)*(C7222&lt;='Resultats - informe'!$E$26),0,(C7222&gt;='Resultats - informe'!$D$27)*(C7222&lt;='Resultats - informe'!$E$27),0,(C7222&gt;='Resultats - informe'!$D$28)*(C7222&lt;='Resultats - informe'!$E$28),0,(C7222&gt;='Resultats - informe'!$D$29)*(C7222&lt;='Resultats - informe'!$E$29),0,1,1)</f>
        <v>0</v>
      </c>
      <c r="N7222" s="366">
        <f>+VLOOKUP(D7222,'Resultats - informe'!$Y$18:$AG$42,'Introducció dades consum'!K7222+1,0)</f>
        <v>0</v>
      </c>
      <c r="O7222" s="370" cm="1">
        <f t="array" ref="O7222">+_xlfn.SWITCH(MONTH(C7222),1,1,2,1,3,1,4,2,5,2,6,3,7,3,8,3,9,3,10,2,11,2,12,1,2)</f>
        <v>1</v>
      </c>
      <c r="P7222" s="43"/>
    </row>
    <row r="7223" spans="1:16" ht="18" x14ac:dyDescent="0.35">
      <c r="A7223" s="9"/>
      <c r="C7223" s="393"/>
      <c r="E7223" s="394"/>
      <c r="F7223" s="394"/>
      <c r="G7223" s="394"/>
      <c r="I7223" s="368">
        <f t="shared" si="342"/>
        <v>0</v>
      </c>
      <c r="J7223" s="365">
        <f t="shared" si="343"/>
        <v>0</v>
      </c>
      <c r="K7223" s="369">
        <f t="shared" si="344"/>
        <v>6</v>
      </c>
      <c r="L7223" s="369">
        <f>+IF((C7223&gt;='Resultats - informe'!$E$16)*(C7223&lt;='Resultats - informe'!$G$16),1,0)</f>
        <v>1</v>
      </c>
      <c r="M7223" s="369" cm="1">
        <f t="array" ref="M7223">+_xlfn.IFS((C7223&gt;='Resultats - informe'!$D$26)*(C7223&lt;='Resultats - informe'!$E$26),0,(C7223&gt;='Resultats - informe'!$D$27)*(C7223&lt;='Resultats - informe'!$E$27),0,(C7223&gt;='Resultats - informe'!$D$28)*(C7223&lt;='Resultats - informe'!$E$28),0,(C7223&gt;='Resultats - informe'!$D$29)*(C7223&lt;='Resultats - informe'!$E$29),0,1,1)</f>
        <v>0</v>
      </c>
      <c r="N7223" s="366">
        <f>+VLOOKUP(D7223,'Resultats - informe'!$Y$18:$AG$42,'Introducció dades consum'!K7223+1,0)</f>
        <v>0</v>
      </c>
      <c r="O7223" s="370" cm="1">
        <f t="array" ref="O7223">+_xlfn.SWITCH(MONTH(C7223),1,1,2,1,3,1,4,2,5,2,6,3,7,3,8,3,9,3,10,2,11,2,12,1,2)</f>
        <v>1</v>
      </c>
      <c r="P7223" s="43"/>
    </row>
    <row r="7224" spans="1:16" ht="18" x14ac:dyDescent="0.35">
      <c r="A7224" s="9"/>
      <c r="C7224" s="393"/>
      <c r="E7224" s="394"/>
      <c r="F7224" s="394"/>
      <c r="G7224" s="394"/>
      <c r="I7224" s="368">
        <f t="shared" si="342"/>
        <v>0</v>
      </c>
      <c r="J7224" s="365">
        <f t="shared" si="343"/>
        <v>0</v>
      </c>
      <c r="K7224" s="369">
        <f t="shared" si="344"/>
        <v>6</v>
      </c>
      <c r="L7224" s="369">
        <f>+IF((C7224&gt;='Resultats - informe'!$E$16)*(C7224&lt;='Resultats - informe'!$G$16),1,0)</f>
        <v>1</v>
      </c>
      <c r="M7224" s="369" cm="1">
        <f t="array" ref="M7224">+_xlfn.IFS((C7224&gt;='Resultats - informe'!$D$26)*(C7224&lt;='Resultats - informe'!$E$26),0,(C7224&gt;='Resultats - informe'!$D$27)*(C7224&lt;='Resultats - informe'!$E$27),0,(C7224&gt;='Resultats - informe'!$D$28)*(C7224&lt;='Resultats - informe'!$E$28),0,(C7224&gt;='Resultats - informe'!$D$29)*(C7224&lt;='Resultats - informe'!$E$29),0,1,1)</f>
        <v>0</v>
      </c>
      <c r="N7224" s="366">
        <f>+VLOOKUP(D7224,'Resultats - informe'!$Y$18:$AG$42,'Introducció dades consum'!K7224+1,0)</f>
        <v>0</v>
      </c>
      <c r="O7224" s="370" cm="1">
        <f t="array" ref="O7224">+_xlfn.SWITCH(MONTH(C7224),1,1,2,1,3,1,4,2,5,2,6,3,7,3,8,3,9,3,10,2,11,2,12,1,2)</f>
        <v>1</v>
      </c>
      <c r="P7224" s="43"/>
    </row>
    <row r="7225" spans="1:16" ht="18" x14ac:dyDescent="0.35">
      <c r="A7225" s="9"/>
      <c r="C7225" s="393"/>
      <c r="E7225" s="394"/>
      <c r="F7225" s="394"/>
      <c r="G7225" s="394"/>
      <c r="I7225" s="368">
        <f t="shared" si="342"/>
        <v>0</v>
      </c>
      <c r="J7225" s="365">
        <f t="shared" si="343"/>
        <v>0</v>
      </c>
      <c r="K7225" s="369">
        <f t="shared" si="344"/>
        <v>6</v>
      </c>
      <c r="L7225" s="369">
        <f>+IF((C7225&gt;='Resultats - informe'!$E$16)*(C7225&lt;='Resultats - informe'!$G$16),1,0)</f>
        <v>1</v>
      </c>
      <c r="M7225" s="369" cm="1">
        <f t="array" ref="M7225">+_xlfn.IFS((C7225&gt;='Resultats - informe'!$D$26)*(C7225&lt;='Resultats - informe'!$E$26),0,(C7225&gt;='Resultats - informe'!$D$27)*(C7225&lt;='Resultats - informe'!$E$27),0,(C7225&gt;='Resultats - informe'!$D$28)*(C7225&lt;='Resultats - informe'!$E$28),0,(C7225&gt;='Resultats - informe'!$D$29)*(C7225&lt;='Resultats - informe'!$E$29),0,1,1)</f>
        <v>0</v>
      </c>
      <c r="N7225" s="366">
        <f>+VLOOKUP(D7225,'Resultats - informe'!$Y$18:$AG$42,'Introducció dades consum'!K7225+1,0)</f>
        <v>0</v>
      </c>
      <c r="O7225" s="370" cm="1">
        <f t="array" ref="O7225">+_xlfn.SWITCH(MONTH(C7225),1,1,2,1,3,1,4,2,5,2,6,3,7,3,8,3,9,3,10,2,11,2,12,1,2)</f>
        <v>1</v>
      </c>
      <c r="P7225" s="43"/>
    </row>
    <row r="7226" spans="1:16" ht="18" x14ac:dyDescent="0.35">
      <c r="A7226" s="9"/>
      <c r="C7226" s="393"/>
      <c r="E7226" s="394"/>
      <c r="F7226" s="394"/>
      <c r="G7226" s="394"/>
      <c r="I7226" s="368">
        <f t="shared" si="342"/>
        <v>0</v>
      </c>
      <c r="J7226" s="365">
        <f t="shared" si="343"/>
        <v>0</v>
      </c>
      <c r="K7226" s="369">
        <f t="shared" si="344"/>
        <v>6</v>
      </c>
      <c r="L7226" s="369">
        <f>+IF((C7226&gt;='Resultats - informe'!$E$16)*(C7226&lt;='Resultats - informe'!$G$16),1,0)</f>
        <v>1</v>
      </c>
      <c r="M7226" s="369" cm="1">
        <f t="array" ref="M7226">+_xlfn.IFS((C7226&gt;='Resultats - informe'!$D$26)*(C7226&lt;='Resultats - informe'!$E$26),0,(C7226&gt;='Resultats - informe'!$D$27)*(C7226&lt;='Resultats - informe'!$E$27),0,(C7226&gt;='Resultats - informe'!$D$28)*(C7226&lt;='Resultats - informe'!$E$28),0,(C7226&gt;='Resultats - informe'!$D$29)*(C7226&lt;='Resultats - informe'!$E$29),0,1,1)</f>
        <v>0</v>
      </c>
      <c r="N7226" s="366">
        <f>+VLOOKUP(D7226,'Resultats - informe'!$Y$18:$AG$42,'Introducció dades consum'!K7226+1,0)</f>
        <v>0</v>
      </c>
      <c r="O7226" s="370" cm="1">
        <f t="array" ref="O7226">+_xlfn.SWITCH(MONTH(C7226),1,1,2,1,3,1,4,2,5,2,6,3,7,3,8,3,9,3,10,2,11,2,12,1,2)</f>
        <v>1</v>
      </c>
      <c r="P7226" s="43"/>
    </row>
    <row r="7227" spans="1:16" ht="18" x14ac:dyDescent="0.35">
      <c r="A7227" s="9"/>
      <c r="C7227" s="393"/>
      <c r="E7227" s="394"/>
      <c r="F7227" s="394"/>
      <c r="G7227" s="394"/>
      <c r="I7227" s="368">
        <f t="shared" si="342"/>
        <v>0</v>
      </c>
      <c r="J7227" s="365">
        <f t="shared" si="343"/>
        <v>0</v>
      </c>
      <c r="K7227" s="369">
        <f t="shared" si="344"/>
        <v>6</v>
      </c>
      <c r="L7227" s="369">
        <f>+IF((C7227&gt;='Resultats - informe'!$E$16)*(C7227&lt;='Resultats - informe'!$G$16),1,0)</f>
        <v>1</v>
      </c>
      <c r="M7227" s="369" cm="1">
        <f t="array" ref="M7227">+_xlfn.IFS((C7227&gt;='Resultats - informe'!$D$26)*(C7227&lt;='Resultats - informe'!$E$26),0,(C7227&gt;='Resultats - informe'!$D$27)*(C7227&lt;='Resultats - informe'!$E$27),0,(C7227&gt;='Resultats - informe'!$D$28)*(C7227&lt;='Resultats - informe'!$E$28),0,(C7227&gt;='Resultats - informe'!$D$29)*(C7227&lt;='Resultats - informe'!$E$29),0,1,1)</f>
        <v>0</v>
      </c>
      <c r="N7227" s="366">
        <f>+VLOOKUP(D7227,'Resultats - informe'!$Y$18:$AG$42,'Introducció dades consum'!K7227+1,0)</f>
        <v>0</v>
      </c>
      <c r="O7227" s="370" cm="1">
        <f t="array" ref="O7227">+_xlfn.SWITCH(MONTH(C7227),1,1,2,1,3,1,4,2,5,2,6,3,7,3,8,3,9,3,10,2,11,2,12,1,2)</f>
        <v>1</v>
      </c>
      <c r="P7227" s="43"/>
    </row>
    <row r="7228" spans="1:16" ht="18" x14ac:dyDescent="0.35">
      <c r="A7228" s="9"/>
      <c r="C7228" s="393"/>
      <c r="E7228" s="394"/>
      <c r="F7228" s="394"/>
      <c r="G7228" s="394"/>
      <c r="I7228" s="368">
        <f t="shared" si="342"/>
        <v>0</v>
      </c>
      <c r="J7228" s="365">
        <f t="shared" si="343"/>
        <v>0</v>
      </c>
      <c r="K7228" s="369">
        <f t="shared" si="344"/>
        <v>6</v>
      </c>
      <c r="L7228" s="369">
        <f>+IF((C7228&gt;='Resultats - informe'!$E$16)*(C7228&lt;='Resultats - informe'!$G$16),1,0)</f>
        <v>1</v>
      </c>
      <c r="M7228" s="369" cm="1">
        <f t="array" ref="M7228">+_xlfn.IFS((C7228&gt;='Resultats - informe'!$D$26)*(C7228&lt;='Resultats - informe'!$E$26),0,(C7228&gt;='Resultats - informe'!$D$27)*(C7228&lt;='Resultats - informe'!$E$27),0,(C7228&gt;='Resultats - informe'!$D$28)*(C7228&lt;='Resultats - informe'!$E$28),0,(C7228&gt;='Resultats - informe'!$D$29)*(C7228&lt;='Resultats - informe'!$E$29),0,1,1)</f>
        <v>0</v>
      </c>
      <c r="N7228" s="366">
        <f>+VLOOKUP(D7228,'Resultats - informe'!$Y$18:$AG$42,'Introducció dades consum'!K7228+1,0)</f>
        <v>0</v>
      </c>
      <c r="O7228" s="370" cm="1">
        <f t="array" ref="O7228">+_xlfn.SWITCH(MONTH(C7228),1,1,2,1,3,1,4,2,5,2,6,3,7,3,8,3,9,3,10,2,11,2,12,1,2)</f>
        <v>1</v>
      </c>
      <c r="P7228" s="43"/>
    </row>
    <row r="7229" spans="1:16" ht="18" x14ac:dyDescent="0.35">
      <c r="A7229" s="9"/>
      <c r="C7229" s="393"/>
      <c r="E7229" s="394"/>
      <c r="F7229" s="394"/>
      <c r="G7229" s="394"/>
      <c r="I7229" s="368">
        <f t="shared" si="342"/>
        <v>0</v>
      </c>
      <c r="J7229" s="365">
        <f t="shared" si="343"/>
        <v>0</v>
      </c>
      <c r="K7229" s="369">
        <f t="shared" si="344"/>
        <v>6</v>
      </c>
      <c r="L7229" s="369">
        <f>+IF((C7229&gt;='Resultats - informe'!$E$16)*(C7229&lt;='Resultats - informe'!$G$16),1,0)</f>
        <v>1</v>
      </c>
      <c r="M7229" s="369" cm="1">
        <f t="array" ref="M7229">+_xlfn.IFS((C7229&gt;='Resultats - informe'!$D$26)*(C7229&lt;='Resultats - informe'!$E$26),0,(C7229&gt;='Resultats - informe'!$D$27)*(C7229&lt;='Resultats - informe'!$E$27),0,(C7229&gt;='Resultats - informe'!$D$28)*(C7229&lt;='Resultats - informe'!$E$28),0,(C7229&gt;='Resultats - informe'!$D$29)*(C7229&lt;='Resultats - informe'!$E$29),0,1,1)</f>
        <v>0</v>
      </c>
      <c r="N7229" s="366">
        <f>+VLOOKUP(D7229,'Resultats - informe'!$Y$18:$AG$42,'Introducció dades consum'!K7229+1,0)</f>
        <v>0</v>
      </c>
      <c r="O7229" s="370" cm="1">
        <f t="array" ref="O7229">+_xlfn.SWITCH(MONTH(C7229),1,1,2,1,3,1,4,2,5,2,6,3,7,3,8,3,9,3,10,2,11,2,12,1,2)</f>
        <v>1</v>
      </c>
      <c r="P7229" s="43"/>
    </row>
    <row r="7230" spans="1:16" ht="18" x14ac:dyDescent="0.35">
      <c r="A7230" s="9"/>
      <c r="C7230" s="393"/>
      <c r="E7230" s="394"/>
      <c r="F7230" s="394"/>
      <c r="G7230" s="394"/>
      <c r="I7230" s="368">
        <f t="shared" si="342"/>
        <v>0</v>
      </c>
      <c r="J7230" s="365">
        <f t="shared" si="343"/>
        <v>0</v>
      </c>
      <c r="K7230" s="369">
        <f t="shared" si="344"/>
        <v>6</v>
      </c>
      <c r="L7230" s="369">
        <f>+IF((C7230&gt;='Resultats - informe'!$E$16)*(C7230&lt;='Resultats - informe'!$G$16),1,0)</f>
        <v>1</v>
      </c>
      <c r="M7230" s="369" cm="1">
        <f t="array" ref="M7230">+_xlfn.IFS((C7230&gt;='Resultats - informe'!$D$26)*(C7230&lt;='Resultats - informe'!$E$26),0,(C7230&gt;='Resultats - informe'!$D$27)*(C7230&lt;='Resultats - informe'!$E$27),0,(C7230&gt;='Resultats - informe'!$D$28)*(C7230&lt;='Resultats - informe'!$E$28),0,(C7230&gt;='Resultats - informe'!$D$29)*(C7230&lt;='Resultats - informe'!$E$29),0,1,1)</f>
        <v>0</v>
      </c>
      <c r="N7230" s="366">
        <f>+VLOOKUP(D7230,'Resultats - informe'!$Y$18:$AG$42,'Introducció dades consum'!K7230+1,0)</f>
        <v>0</v>
      </c>
      <c r="O7230" s="370" cm="1">
        <f t="array" ref="O7230">+_xlfn.SWITCH(MONTH(C7230),1,1,2,1,3,1,4,2,5,2,6,3,7,3,8,3,9,3,10,2,11,2,12,1,2)</f>
        <v>1</v>
      </c>
      <c r="P7230" s="43"/>
    </row>
    <row r="7231" spans="1:16" ht="18" x14ac:dyDescent="0.35">
      <c r="A7231" s="9"/>
      <c r="C7231" s="393"/>
      <c r="E7231" s="394"/>
      <c r="F7231" s="394"/>
      <c r="G7231" s="394"/>
      <c r="I7231" s="368">
        <f t="shared" si="342"/>
        <v>0</v>
      </c>
      <c r="J7231" s="365">
        <f t="shared" si="343"/>
        <v>0</v>
      </c>
      <c r="K7231" s="369">
        <f t="shared" si="344"/>
        <v>6</v>
      </c>
      <c r="L7231" s="369">
        <f>+IF((C7231&gt;='Resultats - informe'!$E$16)*(C7231&lt;='Resultats - informe'!$G$16),1,0)</f>
        <v>1</v>
      </c>
      <c r="M7231" s="369" cm="1">
        <f t="array" ref="M7231">+_xlfn.IFS((C7231&gt;='Resultats - informe'!$D$26)*(C7231&lt;='Resultats - informe'!$E$26),0,(C7231&gt;='Resultats - informe'!$D$27)*(C7231&lt;='Resultats - informe'!$E$27),0,(C7231&gt;='Resultats - informe'!$D$28)*(C7231&lt;='Resultats - informe'!$E$28),0,(C7231&gt;='Resultats - informe'!$D$29)*(C7231&lt;='Resultats - informe'!$E$29),0,1,1)</f>
        <v>0</v>
      </c>
      <c r="N7231" s="366">
        <f>+VLOOKUP(D7231,'Resultats - informe'!$Y$18:$AG$42,'Introducció dades consum'!K7231+1,0)</f>
        <v>0</v>
      </c>
      <c r="O7231" s="370" cm="1">
        <f t="array" ref="O7231">+_xlfn.SWITCH(MONTH(C7231),1,1,2,1,3,1,4,2,5,2,6,3,7,3,8,3,9,3,10,2,11,2,12,1,2)</f>
        <v>1</v>
      </c>
      <c r="P7231" s="43"/>
    </row>
    <row r="7232" spans="1:16" ht="18" x14ac:dyDescent="0.35">
      <c r="A7232" s="9"/>
      <c r="C7232" s="393"/>
      <c r="E7232" s="394"/>
      <c r="F7232" s="394"/>
      <c r="G7232" s="394"/>
      <c r="I7232" s="368">
        <f t="shared" si="342"/>
        <v>0</v>
      </c>
      <c r="J7232" s="365">
        <f t="shared" si="343"/>
        <v>0</v>
      </c>
      <c r="K7232" s="369">
        <f t="shared" si="344"/>
        <v>6</v>
      </c>
      <c r="L7232" s="369">
        <f>+IF((C7232&gt;='Resultats - informe'!$E$16)*(C7232&lt;='Resultats - informe'!$G$16),1,0)</f>
        <v>1</v>
      </c>
      <c r="M7232" s="369" cm="1">
        <f t="array" ref="M7232">+_xlfn.IFS((C7232&gt;='Resultats - informe'!$D$26)*(C7232&lt;='Resultats - informe'!$E$26),0,(C7232&gt;='Resultats - informe'!$D$27)*(C7232&lt;='Resultats - informe'!$E$27),0,(C7232&gt;='Resultats - informe'!$D$28)*(C7232&lt;='Resultats - informe'!$E$28),0,(C7232&gt;='Resultats - informe'!$D$29)*(C7232&lt;='Resultats - informe'!$E$29),0,1,1)</f>
        <v>0</v>
      </c>
      <c r="N7232" s="366">
        <f>+VLOOKUP(D7232,'Resultats - informe'!$Y$18:$AG$42,'Introducció dades consum'!K7232+1,0)</f>
        <v>0</v>
      </c>
      <c r="O7232" s="370" cm="1">
        <f t="array" ref="O7232">+_xlfn.SWITCH(MONTH(C7232),1,1,2,1,3,1,4,2,5,2,6,3,7,3,8,3,9,3,10,2,11,2,12,1,2)</f>
        <v>1</v>
      </c>
      <c r="P7232" s="43"/>
    </row>
    <row r="7233" spans="1:16" ht="18" x14ac:dyDescent="0.35">
      <c r="A7233" s="9"/>
      <c r="C7233" s="393"/>
      <c r="E7233" s="394"/>
      <c r="F7233" s="394"/>
      <c r="G7233" s="394"/>
      <c r="I7233" s="368">
        <f t="shared" si="342"/>
        <v>0</v>
      </c>
      <c r="J7233" s="365">
        <f t="shared" si="343"/>
        <v>0</v>
      </c>
      <c r="K7233" s="369">
        <f t="shared" si="344"/>
        <v>6</v>
      </c>
      <c r="L7233" s="369">
        <f>+IF((C7233&gt;='Resultats - informe'!$E$16)*(C7233&lt;='Resultats - informe'!$G$16),1,0)</f>
        <v>1</v>
      </c>
      <c r="M7233" s="369" cm="1">
        <f t="array" ref="M7233">+_xlfn.IFS((C7233&gt;='Resultats - informe'!$D$26)*(C7233&lt;='Resultats - informe'!$E$26),0,(C7233&gt;='Resultats - informe'!$D$27)*(C7233&lt;='Resultats - informe'!$E$27),0,(C7233&gt;='Resultats - informe'!$D$28)*(C7233&lt;='Resultats - informe'!$E$28),0,(C7233&gt;='Resultats - informe'!$D$29)*(C7233&lt;='Resultats - informe'!$E$29),0,1,1)</f>
        <v>0</v>
      </c>
      <c r="N7233" s="366">
        <f>+VLOOKUP(D7233,'Resultats - informe'!$Y$18:$AG$42,'Introducció dades consum'!K7233+1,0)</f>
        <v>0</v>
      </c>
      <c r="O7233" s="370" cm="1">
        <f t="array" ref="O7233">+_xlfn.SWITCH(MONTH(C7233),1,1,2,1,3,1,4,2,5,2,6,3,7,3,8,3,9,3,10,2,11,2,12,1,2)</f>
        <v>1</v>
      </c>
      <c r="P7233" s="43"/>
    </row>
    <row r="7234" spans="1:16" ht="18" x14ac:dyDescent="0.35">
      <c r="A7234" s="9"/>
      <c r="C7234" s="393"/>
      <c r="E7234" s="394"/>
      <c r="F7234" s="394"/>
      <c r="G7234" s="394"/>
      <c r="I7234" s="368">
        <f t="shared" si="342"/>
        <v>0</v>
      </c>
      <c r="J7234" s="365">
        <f t="shared" si="343"/>
        <v>0</v>
      </c>
      <c r="K7234" s="369">
        <f t="shared" si="344"/>
        <v>6</v>
      </c>
      <c r="L7234" s="369">
        <f>+IF((C7234&gt;='Resultats - informe'!$E$16)*(C7234&lt;='Resultats - informe'!$G$16),1,0)</f>
        <v>1</v>
      </c>
      <c r="M7234" s="369" cm="1">
        <f t="array" ref="M7234">+_xlfn.IFS((C7234&gt;='Resultats - informe'!$D$26)*(C7234&lt;='Resultats - informe'!$E$26),0,(C7234&gt;='Resultats - informe'!$D$27)*(C7234&lt;='Resultats - informe'!$E$27),0,(C7234&gt;='Resultats - informe'!$D$28)*(C7234&lt;='Resultats - informe'!$E$28),0,(C7234&gt;='Resultats - informe'!$D$29)*(C7234&lt;='Resultats - informe'!$E$29),0,1,1)</f>
        <v>0</v>
      </c>
      <c r="N7234" s="366">
        <f>+VLOOKUP(D7234,'Resultats - informe'!$Y$18:$AG$42,'Introducció dades consum'!K7234+1,0)</f>
        <v>0</v>
      </c>
      <c r="O7234" s="370" cm="1">
        <f t="array" ref="O7234">+_xlfn.SWITCH(MONTH(C7234),1,1,2,1,3,1,4,2,5,2,6,3,7,3,8,3,9,3,10,2,11,2,12,1,2)</f>
        <v>1</v>
      </c>
      <c r="P7234" s="43"/>
    </row>
    <row r="7235" spans="1:16" ht="18" x14ac:dyDescent="0.35">
      <c r="A7235" s="9"/>
      <c r="C7235" s="393"/>
      <c r="E7235" s="394"/>
      <c r="F7235" s="394"/>
      <c r="G7235" s="394"/>
      <c r="I7235" s="368">
        <f t="shared" si="342"/>
        <v>0</v>
      </c>
      <c r="J7235" s="365">
        <f t="shared" si="343"/>
        <v>0</v>
      </c>
      <c r="K7235" s="369">
        <f t="shared" si="344"/>
        <v>6</v>
      </c>
      <c r="L7235" s="369">
        <f>+IF((C7235&gt;='Resultats - informe'!$E$16)*(C7235&lt;='Resultats - informe'!$G$16),1,0)</f>
        <v>1</v>
      </c>
      <c r="M7235" s="369" cm="1">
        <f t="array" ref="M7235">+_xlfn.IFS((C7235&gt;='Resultats - informe'!$D$26)*(C7235&lt;='Resultats - informe'!$E$26),0,(C7235&gt;='Resultats - informe'!$D$27)*(C7235&lt;='Resultats - informe'!$E$27),0,(C7235&gt;='Resultats - informe'!$D$28)*(C7235&lt;='Resultats - informe'!$E$28),0,(C7235&gt;='Resultats - informe'!$D$29)*(C7235&lt;='Resultats - informe'!$E$29),0,1,1)</f>
        <v>0</v>
      </c>
      <c r="N7235" s="366">
        <f>+VLOOKUP(D7235,'Resultats - informe'!$Y$18:$AG$42,'Introducció dades consum'!K7235+1,0)</f>
        <v>0</v>
      </c>
      <c r="O7235" s="370" cm="1">
        <f t="array" ref="O7235">+_xlfn.SWITCH(MONTH(C7235),1,1,2,1,3,1,4,2,5,2,6,3,7,3,8,3,9,3,10,2,11,2,12,1,2)</f>
        <v>1</v>
      </c>
      <c r="P7235" s="43"/>
    </row>
    <row r="7236" spans="1:16" ht="18" x14ac:dyDescent="0.35">
      <c r="A7236" s="9"/>
      <c r="C7236" s="393"/>
      <c r="E7236" s="394"/>
      <c r="F7236" s="394"/>
      <c r="G7236" s="394"/>
      <c r="I7236" s="368">
        <f t="shared" si="342"/>
        <v>0</v>
      </c>
      <c r="J7236" s="365">
        <f t="shared" si="343"/>
        <v>0</v>
      </c>
      <c r="K7236" s="369">
        <f t="shared" si="344"/>
        <v>6</v>
      </c>
      <c r="L7236" s="369">
        <f>+IF((C7236&gt;='Resultats - informe'!$E$16)*(C7236&lt;='Resultats - informe'!$G$16),1,0)</f>
        <v>1</v>
      </c>
      <c r="M7236" s="369" cm="1">
        <f t="array" ref="M7236">+_xlfn.IFS((C7236&gt;='Resultats - informe'!$D$26)*(C7236&lt;='Resultats - informe'!$E$26),0,(C7236&gt;='Resultats - informe'!$D$27)*(C7236&lt;='Resultats - informe'!$E$27),0,(C7236&gt;='Resultats - informe'!$D$28)*(C7236&lt;='Resultats - informe'!$E$28),0,(C7236&gt;='Resultats - informe'!$D$29)*(C7236&lt;='Resultats - informe'!$E$29),0,1,1)</f>
        <v>0</v>
      </c>
      <c r="N7236" s="366">
        <f>+VLOOKUP(D7236,'Resultats - informe'!$Y$18:$AG$42,'Introducció dades consum'!K7236+1,0)</f>
        <v>0</v>
      </c>
      <c r="O7236" s="370" cm="1">
        <f t="array" ref="O7236">+_xlfn.SWITCH(MONTH(C7236),1,1,2,1,3,1,4,2,5,2,6,3,7,3,8,3,9,3,10,2,11,2,12,1,2)</f>
        <v>1</v>
      </c>
      <c r="P7236" s="43"/>
    </row>
    <row r="7237" spans="1:16" ht="18" x14ac:dyDescent="0.35">
      <c r="A7237" s="9"/>
      <c r="C7237" s="393"/>
      <c r="E7237" s="394"/>
      <c r="F7237" s="394"/>
      <c r="G7237" s="394"/>
      <c r="I7237" s="368">
        <f t="shared" si="342"/>
        <v>0</v>
      </c>
      <c r="J7237" s="365">
        <f t="shared" si="343"/>
        <v>0</v>
      </c>
      <c r="K7237" s="369">
        <f t="shared" si="344"/>
        <v>6</v>
      </c>
      <c r="L7237" s="369">
        <f>+IF((C7237&gt;='Resultats - informe'!$E$16)*(C7237&lt;='Resultats - informe'!$G$16),1,0)</f>
        <v>1</v>
      </c>
      <c r="M7237" s="369" cm="1">
        <f t="array" ref="M7237">+_xlfn.IFS((C7237&gt;='Resultats - informe'!$D$26)*(C7237&lt;='Resultats - informe'!$E$26),0,(C7237&gt;='Resultats - informe'!$D$27)*(C7237&lt;='Resultats - informe'!$E$27),0,(C7237&gt;='Resultats - informe'!$D$28)*(C7237&lt;='Resultats - informe'!$E$28),0,(C7237&gt;='Resultats - informe'!$D$29)*(C7237&lt;='Resultats - informe'!$E$29),0,1,1)</f>
        <v>0</v>
      </c>
      <c r="N7237" s="366">
        <f>+VLOOKUP(D7237,'Resultats - informe'!$Y$18:$AG$42,'Introducció dades consum'!K7237+1,0)</f>
        <v>0</v>
      </c>
      <c r="O7237" s="370" cm="1">
        <f t="array" ref="O7237">+_xlfn.SWITCH(MONTH(C7237),1,1,2,1,3,1,4,2,5,2,6,3,7,3,8,3,9,3,10,2,11,2,12,1,2)</f>
        <v>1</v>
      </c>
      <c r="P7237" s="43"/>
    </row>
    <row r="7238" spans="1:16" ht="18" x14ac:dyDescent="0.35">
      <c r="A7238" s="9"/>
      <c r="C7238" s="393"/>
      <c r="E7238" s="394"/>
      <c r="F7238" s="394"/>
      <c r="G7238" s="394"/>
      <c r="I7238" s="368">
        <f t="shared" si="342"/>
        <v>0</v>
      </c>
      <c r="J7238" s="365">
        <f t="shared" si="343"/>
        <v>0</v>
      </c>
      <c r="K7238" s="369">
        <f t="shared" si="344"/>
        <v>6</v>
      </c>
      <c r="L7238" s="369">
        <f>+IF((C7238&gt;='Resultats - informe'!$E$16)*(C7238&lt;='Resultats - informe'!$G$16),1,0)</f>
        <v>1</v>
      </c>
      <c r="M7238" s="369" cm="1">
        <f t="array" ref="M7238">+_xlfn.IFS((C7238&gt;='Resultats - informe'!$D$26)*(C7238&lt;='Resultats - informe'!$E$26),0,(C7238&gt;='Resultats - informe'!$D$27)*(C7238&lt;='Resultats - informe'!$E$27),0,(C7238&gt;='Resultats - informe'!$D$28)*(C7238&lt;='Resultats - informe'!$E$28),0,(C7238&gt;='Resultats - informe'!$D$29)*(C7238&lt;='Resultats - informe'!$E$29),0,1,1)</f>
        <v>0</v>
      </c>
      <c r="N7238" s="366">
        <f>+VLOOKUP(D7238,'Resultats - informe'!$Y$18:$AG$42,'Introducció dades consum'!K7238+1,0)</f>
        <v>0</v>
      </c>
      <c r="O7238" s="370" cm="1">
        <f t="array" ref="O7238">+_xlfn.SWITCH(MONTH(C7238),1,1,2,1,3,1,4,2,5,2,6,3,7,3,8,3,9,3,10,2,11,2,12,1,2)</f>
        <v>1</v>
      </c>
      <c r="P7238" s="43"/>
    </row>
    <row r="7239" spans="1:16" ht="18" x14ac:dyDescent="0.35">
      <c r="A7239" s="9"/>
      <c r="C7239" s="393"/>
      <c r="E7239" s="394"/>
      <c r="F7239" s="394"/>
      <c r="G7239" s="394"/>
      <c r="I7239" s="368">
        <f t="shared" si="342"/>
        <v>0</v>
      </c>
      <c r="J7239" s="365">
        <f t="shared" si="343"/>
        <v>0</v>
      </c>
      <c r="K7239" s="369">
        <f t="shared" si="344"/>
        <v>6</v>
      </c>
      <c r="L7239" s="369">
        <f>+IF((C7239&gt;='Resultats - informe'!$E$16)*(C7239&lt;='Resultats - informe'!$G$16),1,0)</f>
        <v>1</v>
      </c>
      <c r="M7239" s="369" cm="1">
        <f t="array" ref="M7239">+_xlfn.IFS((C7239&gt;='Resultats - informe'!$D$26)*(C7239&lt;='Resultats - informe'!$E$26),0,(C7239&gt;='Resultats - informe'!$D$27)*(C7239&lt;='Resultats - informe'!$E$27),0,(C7239&gt;='Resultats - informe'!$D$28)*(C7239&lt;='Resultats - informe'!$E$28),0,(C7239&gt;='Resultats - informe'!$D$29)*(C7239&lt;='Resultats - informe'!$E$29),0,1,1)</f>
        <v>0</v>
      </c>
      <c r="N7239" s="366">
        <f>+VLOOKUP(D7239,'Resultats - informe'!$Y$18:$AG$42,'Introducció dades consum'!K7239+1,0)</f>
        <v>0</v>
      </c>
      <c r="O7239" s="370" cm="1">
        <f t="array" ref="O7239">+_xlfn.SWITCH(MONTH(C7239),1,1,2,1,3,1,4,2,5,2,6,3,7,3,8,3,9,3,10,2,11,2,12,1,2)</f>
        <v>1</v>
      </c>
      <c r="P7239" s="43"/>
    </row>
    <row r="7240" spans="1:16" ht="18" x14ac:dyDescent="0.35">
      <c r="A7240" s="9"/>
      <c r="C7240" s="393"/>
      <c r="E7240" s="394"/>
      <c r="F7240" s="394"/>
      <c r="G7240" s="394"/>
      <c r="I7240" s="368">
        <f t="shared" si="342"/>
        <v>0</v>
      </c>
      <c r="J7240" s="365">
        <f t="shared" si="343"/>
        <v>0</v>
      </c>
      <c r="K7240" s="369">
        <f t="shared" si="344"/>
        <v>6</v>
      </c>
      <c r="L7240" s="369">
        <f>+IF((C7240&gt;='Resultats - informe'!$E$16)*(C7240&lt;='Resultats - informe'!$G$16),1,0)</f>
        <v>1</v>
      </c>
      <c r="M7240" s="369" cm="1">
        <f t="array" ref="M7240">+_xlfn.IFS((C7240&gt;='Resultats - informe'!$D$26)*(C7240&lt;='Resultats - informe'!$E$26),0,(C7240&gt;='Resultats - informe'!$D$27)*(C7240&lt;='Resultats - informe'!$E$27),0,(C7240&gt;='Resultats - informe'!$D$28)*(C7240&lt;='Resultats - informe'!$E$28),0,(C7240&gt;='Resultats - informe'!$D$29)*(C7240&lt;='Resultats - informe'!$E$29),0,1,1)</f>
        <v>0</v>
      </c>
      <c r="N7240" s="366">
        <f>+VLOOKUP(D7240,'Resultats - informe'!$Y$18:$AG$42,'Introducció dades consum'!K7240+1,0)</f>
        <v>0</v>
      </c>
      <c r="O7240" s="370" cm="1">
        <f t="array" ref="O7240">+_xlfn.SWITCH(MONTH(C7240),1,1,2,1,3,1,4,2,5,2,6,3,7,3,8,3,9,3,10,2,11,2,12,1,2)</f>
        <v>1</v>
      </c>
      <c r="P7240" s="43"/>
    </row>
    <row r="7241" spans="1:16" ht="18" x14ac:dyDescent="0.35">
      <c r="A7241" s="9"/>
      <c r="C7241" s="393"/>
      <c r="E7241" s="394"/>
      <c r="F7241" s="394"/>
      <c r="G7241" s="394"/>
      <c r="I7241" s="368">
        <f t="shared" si="342"/>
        <v>0</v>
      </c>
      <c r="J7241" s="365">
        <f t="shared" si="343"/>
        <v>0</v>
      </c>
      <c r="K7241" s="369">
        <f t="shared" si="344"/>
        <v>6</v>
      </c>
      <c r="L7241" s="369">
        <f>+IF((C7241&gt;='Resultats - informe'!$E$16)*(C7241&lt;='Resultats - informe'!$G$16),1,0)</f>
        <v>1</v>
      </c>
      <c r="M7241" s="369" cm="1">
        <f t="array" ref="M7241">+_xlfn.IFS((C7241&gt;='Resultats - informe'!$D$26)*(C7241&lt;='Resultats - informe'!$E$26),0,(C7241&gt;='Resultats - informe'!$D$27)*(C7241&lt;='Resultats - informe'!$E$27),0,(C7241&gt;='Resultats - informe'!$D$28)*(C7241&lt;='Resultats - informe'!$E$28),0,(C7241&gt;='Resultats - informe'!$D$29)*(C7241&lt;='Resultats - informe'!$E$29),0,1,1)</f>
        <v>0</v>
      </c>
      <c r="N7241" s="366">
        <f>+VLOOKUP(D7241,'Resultats - informe'!$Y$18:$AG$42,'Introducció dades consum'!K7241+1,0)</f>
        <v>0</v>
      </c>
      <c r="O7241" s="370" cm="1">
        <f t="array" ref="O7241">+_xlfn.SWITCH(MONTH(C7241),1,1,2,1,3,1,4,2,5,2,6,3,7,3,8,3,9,3,10,2,11,2,12,1,2)</f>
        <v>1</v>
      </c>
      <c r="P7241" s="43"/>
    </row>
    <row r="7242" spans="1:16" ht="18" x14ac:dyDescent="0.35">
      <c r="A7242" s="9"/>
      <c r="C7242" s="393"/>
      <c r="E7242" s="394"/>
      <c r="F7242" s="394"/>
      <c r="G7242" s="394"/>
      <c r="I7242" s="368">
        <f t="shared" si="342"/>
        <v>0</v>
      </c>
      <c r="J7242" s="365">
        <f t="shared" si="343"/>
        <v>0</v>
      </c>
      <c r="K7242" s="369">
        <f t="shared" si="344"/>
        <v>6</v>
      </c>
      <c r="L7242" s="369">
        <f>+IF((C7242&gt;='Resultats - informe'!$E$16)*(C7242&lt;='Resultats - informe'!$G$16),1,0)</f>
        <v>1</v>
      </c>
      <c r="M7242" s="369" cm="1">
        <f t="array" ref="M7242">+_xlfn.IFS((C7242&gt;='Resultats - informe'!$D$26)*(C7242&lt;='Resultats - informe'!$E$26),0,(C7242&gt;='Resultats - informe'!$D$27)*(C7242&lt;='Resultats - informe'!$E$27),0,(C7242&gt;='Resultats - informe'!$D$28)*(C7242&lt;='Resultats - informe'!$E$28),0,(C7242&gt;='Resultats - informe'!$D$29)*(C7242&lt;='Resultats - informe'!$E$29),0,1,1)</f>
        <v>0</v>
      </c>
      <c r="N7242" s="366">
        <f>+VLOOKUP(D7242,'Resultats - informe'!$Y$18:$AG$42,'Introducció dades consum'!K7242+1,0)</f>
        <v>0</v>
      </c>
      <c r="O7242" s="370" cm="1">
        <f t="array" ref="O7242">+_xlfn.SWITCH(MONTH(C7242),1,1,2,1,3,1,4,2,5,2,6,3,7,3,8,3,9,3,10,2,11,2,12,1,2)</f>
        <v>1</v>
      </c>
      <c r="P7242" s="43"/>
    </row>
    <row r="7243" spans="1:16" ht="18" x14ac:dyDescent="0.35">
      <c r="A7243" s="9"/>
      <c r="C7243" s="393"/>
      <c r="E7243" s="394"/>
      <c r="F7243" s="394"/>
      <c r="G7243" s="394"/>
      <c r="I7243" s="368">
        <f t="shared" si="342"/>
        <v>0</v>
      </c>
      <c r="J7243" s="365">
        <f t="shared" si="343"/>
        <v>0</v>
      </c>
      <c r="K7243" s="369">
        <f t="shared" si="344"/>
        <v>6</v>
      </c>
      <c r="L7243" s="369">
        <f>+IF((C7243&gt;='Resultats - informe'!$E$16)*(C7243&lt;='Resultats - informe'!$G$16),1,0)</f>
        <v>1</v>
      </c>
      <c r="M7243" s="369" cm="1">
        <f t="array" ref="M7243">+_xlfn.IFS((C7243&gt;='Resultats - informe'!$D$26)*(C7243&lt;='Resultats - informe'!$E$26),0,(C7243&gt;='Resultats - informe'!$D$27)*(C7243&lt;='Resultats - informe'!$E$27),0,(C7243&gt;='Resultats - informe'!$D$28)*(C7243&lt;='Resultats - informe'!$E$28),0,(C7243&gt;='Resultats - informe'!$D$29)*(C7243&lt;='Resultats - informe'!$E$29),0,1,1)</f>
        <v>0</v>
      </c>
      <c r="N7243" s="366">
        <f>+VLOOKUP(D7243,'Resultats - informe'!$Y$18:$AG$42,'Introducció dades consum'!K7243+1,0)</f>
        <v>0</v>
      </c>
      <c r="O7243" s="370" cm="1">
        <f t="array" ref="O7243">+_xlfn.SWITCH(MONTH(C7243),1,1,2,1,3,1,4,2,5,2,6,3,7,3,8,3,9,3,10,2,11,2,12,1,2)</f>
        <v>1</v>
      </c>
      <c r="P7243" s="43"/>
    </row>
    <row r="7244" spans="1:16" ht="18" x14ac:dyDescent="0.35">
      <c r="A7244" s="9"/>
      <c r="C7244" s="393"/>
      <c r="E7244" s="394"/>
      <c r="F7244" s="394"/>
      <c r="G7244" s="394"/>
      <c r="I7244" s="368">
        <f t="shared" si="342"/>
        <v>0</v>
      </c>
      <c r="J7244" s="365">
        <f t="shared" si="343"/>
        <v>0</v>
      </c>
      <c r="K7244" s="369">
        <f t="shared" si="344"/>
        <v>6</v>
      </c>
      <c r="L7244" s="369">
        <f>+IF((C7244&gt;='Resultats - informe'!$E$16)*(C7244&lt;='Resultats - informe'!$G$16),1,0)</f>
        <v>1</v>
      </c>
      <c r="M7244" s="369" cm="1">
        <f t="array" ref="M7244">+_xlfn.IFS((C7244&gt;='Resultats - informe'!$D$26)*(C7244&lt;='Resultats - informe'!$E$26),0,(C7244&gt;='Resultats - informe'!$D$27)*(C7244&lt;='Resultats - informe'!$E$27),0,(C7244&gt;='Resultats - informe'!$D$28)*(C7244&lt;='Resultats - informe'!$E$28),0,(C7244&gt;='Resultats - informe'!$D$29)*(C7244&lt;='Resultats - informe'!$E$29),0,1,1)</f>
        <v>0</v>
      </c>
      <c r="N7244" s="366">
        <f>+VLOOKUP(D7244,'Resultats - informe'!$Y$18:$AG$42,'Introducció dades consum'!K7244+1,0)</f>
        <v>0</v>
      </c>
      <c r="O7244" s="370" cm="1">
        <f t="array" ref="O7244">+_xlfn.SWITCH(MONTH(C7244),1,1,2,1,3,1,4,2,5,2,6,3,7,3,8,3,9,3,10,2,11,2,12,1,2)</f>
        <v>1</v>
      </c>
      <c r="P7244" s="43"/>
    </row>
    <row r="7245" spans="1:16" ht="18" x14ac:dyDescent="0.35">
      <c r="A7245" s="9"/>
      <c r="C7245" s="393"/>
      <c r="E7245" s="394"/>
      <c r="F7245" s="394"/>
      <c r="G7245" s="394"/>
      <c r="I7245" s="368">
        <f t="shared" si="342"/>
        <v>0</v>
      </c>
      <c r="J7245" s="365">
        <f t="shared" si="343"/>
        <v>0</v>
      </c>
      <c r="K7245" s="369">
        <f t="shared" si="344"/>
        <v>6</v>
      </c>
      <c r="L7245" s="369">
        <f>+IF((C7245&gt;='Resultats - informe'!$E$16)*(C7245&lt;='Resultats - informe'!$G$16),1,0)</f>
        <v>1</v>
      </c>
      <c r="M7245" s="369" cm="1">
        <f t="array" ref="M7245">+_xlfn.IFS((C7245&gt;='Resultats - informe'!$D$26)*(C7245&lt;='Resultats - informe'!$E$26),0,(C7245&gt;='Resultats - informe'!$D$27)*(C7245&lt;='Resultats - informe'!$E$27),0,(C7245&gt;='Resultats - informe'!$D$28)*(C7245&lt;='Resultats - informe'!$E$28),0,(C7245&gt;='Resultats - informe'!$D$29)*(C7245&lt;='Resultats - informe'!$E$29),0,1,1)</f>
        <v>0</v>
      </c>
      <c r="N7245" s="366">
        <f>+VLOOKUP(D7245,'Resultats - informe'!$Y$18:$AG$42,'Introducció dades consum'!K7245+1,0)</f>
        <v>0</v>
      </c>
      <c r="O7245" s="370" cm="1">
        <f t="array" ref="O7245">+_xlfn.SWITCH(MONTH(C7245),1,1,2,1,3,1,4,2,5,2,6,3,7,3,8,3,9,3,10,2,11,2,12,1,2)</f>
        <v>1</v>
      </c>
      <c r="P7245" s="43"/>
    </row>
    <row r="7246" spans="1:16" ht="18" x14ac:dyDescent="0.35">
      <c r="A7246" s="9"/>
      <c r="C7246" s="393"/>
      <c r="E7246" s="394"/>
      <c r="F7246" s="394"/>
      <c r="G7246" s="394"/>
      <c r="I7246" s="368">
        <f t="shared" si="342"/>
        <v>0</v>
      </c>
      <c r="J7246" s="365">
        <f t="shared" si="343"/>
        <v>0</v>
      </c>
      <c r="K7246" s="369">
        <f t="shared" si="344"/>
        <v>6</v>
      </c>
      <c r="L7246" s="369">
        <f>+IF((C7246&gt;='Resultats - informe'!$E$16)*(C7246&lt;='Resultats - informe'!$G$16),1,0)</f>
        <v>1</v>
      </c>
      <c r="M7246" s="369" cm="1">
        <f t="array" ref="M7246">+_xlfn.IFS((C7246&gt;='Resultats - informe'!$D$26)*(C7246&lt;='Resultats - informe'!$E$26),0,(C7246&gt;='Resultats - informe'!$D$27)*(C7246&lt;='Resultats - informe'!$E$27),0,(C7246&gt;='Resultats - informe'!$D$28)*(C7246&lt;='Resultats - informe'!$E$28),0,(C7246&gt;='Resultats - informe'!$D$29)*(C7246&lt;='Resultats - informe'!$E$29),0,1,1)</f>
        <v>0</v>
      </c>
      <c r="N7246" s="366">
        <f>+VLOOKUP(D7246,'Resultats - informe'!$Y$18:$AG$42,'Introducció dades consum'!K7246+1,0)</f>
        <v>0</v>
      </c>
      <c r="O7246" s="370" cm="1">
        <f t="array" ref="O7246">+_xlfn.SWITCH(MONTH(C7246),1,1,2,1,3,1,4,2,5,2,6,3,7,3,8,3,9,3,10,2,11,2,12,1,2)</f>
        <v>1</v>
      </c>
      <c r="P7246" s="43"/>
    </row>
    <row r="7247" spans="1:16" ht="18" x14ac:dyDescent="0.35">
      <c r="A7247" s="9"/>
      <c r="C7247" s="393"/>
      <c r="E7247" s="394"/>
      <c r="F7247" s="394"/>
      <c r="G7247" s="394"/>
      <c r="I7247" s="368">
        <f t="shared" si="342"/>
        <v>0</v>
      </c>
      <c r="J7247" s="365">
        <f t="shared" si="343"/>
        <v>0</v>
      </c>
      <c r="K7247" s="369">
        <f t="shared" si="344"/>
        <v>6</v>
      </c>
      <c r="L7247" s="369">
        <f>+IF((C7247&gt;='Resultats - informe'!$E$16)*(C7247&lt;='Resultats - informe'!$G$16),1,0)</f>
        <v>1</v>
      </c>
      <c r="M7247" s="369" cm="1">
        <f t="array" ref="M7247">+_xlfn.IFS((C7247&gt;='Resultats - informe'!$D$26)*(C7247&lt;='Resultats - informe'!$E$26),0,(C7247&gt;='Resultats - informe'!$D$27)*(C7247&lt;='Resultats - informe'!$E$27),0,(C7247&gt;='Resultats - informe'!$D$28)*(C7247&lt;='Resultats - informe'!$E$28),0,(C7247&gt;='Resultats - informe'!$D$29)*(C7247&lt;='Resultats - informe'!$E$29),0,1,1)</f>
        <v>0</v>
      </c>
      <c r="N7247" s="366">
        <f>+VLOOKUP(D7247,'Resultats - informe'!$Y$18:$AG$42,'Introducció dades consum'!K7247+1,0)</f>
        <v>0</v>
      </c>
      <c r="O7247" s="370" cm="1">
        <f t="array" ref="O7247">+_xlfn.SWITCH(MONTH(C7247),1,1,2,1,3,1,4,2,5,2,6,3,7,3,8,3,9,3,10,2,11,2,12,1,2)</f>
        <v>1</v>
      </c>
      <c r="P7247" s="43"/>
    </row>
    <row r="7248" spans="1:16" ht="18" x14ac:dyDescent="0.35">
      <c r="A7248" s="9"/>
      <c r="C7248" s="393"/>
      <c r="E7248" s="394"/>
      <c r="F7248" s="394"/>
      <c r="G7248" s="394"/>
      <c r="I7248" s="368">
        <f t="shared" si="342"/>
        <v>0</v>
      </c>
      <c r="J7248" s="365">
        <f t="shared" si="343"/>
        <v>0</v>
      </c>
      <c r="K7248" s="369">
        <f t="shared" si="344"/>
        <v>6</v>
      </c>
      <c r="L7248" s="369">
        <f>+IF((C7248&gt;='Resultats - informe'!$E$16)*(C7248&lt;='Resultats - informe'!$G$16),1,0)</f>
        <v>1</v>
      </c>
      <c r="M7248" s="369" cm="1">
        <f t="array" ref="M7248">+_xlfn.IFS((C7248&gt;='Resultats - informe'!$D$26)*(C7248&lt;='Resultats - informe'!$E$26),0,(C7248&gt;='Resultats - informe'!$D$27)*(C7248&lt;='Resultats - informe'!$E$27),0,(C7248&gt;='Resultats - informe'!$D$28)*(C7248&lt;='Resultats - informe'!$E$28),0,(C7248&gt;='Resultats - informe'!$D$29)*(C7248&lt;='Resultats - informe'!$E$29),0,1,1)</f>
        <v>0</v>
      </c>
      <c r="N7248" s="366">
        <f>+VLOOKUP(D7248,'Resultats - informe'!$Y$18:$AG$42,'Introducció dades consum'!K7248+1,0)</f>
        <v>0</v>
      </c>
      <c r="O7248" s="370" cm="1">
        <f t="array" ref="O7248">+_xlfn.SWITCH(MONTH(C7248),1,1,2,1,3,1,4,2,5,2,6,3,7,3,8,3,9,3,10,2,11,2,12,1,2)</f>
        <v>1</v>
      </c>
      <c r="P7248" s="43"/>
    </row>
    <row r="7249" spans="1:16" ht="18" x14ac:dyDescent="0.35">
      <c r="A7249" s="9"/>
      <c r="C7249" s="393"/>
      <c r="E7249" s="394"/>
      <c r="F7249" s="394"/>
      <c r="G7249" s="394"/>
      <c r="I7249" s="368">
        <f t="shared" si="342"/>
        <v>0</v>
      </c>
      <c r="J7249" s="365">
        <f t="shared" si="343"/>
        <v>0</v>
      </c>
      <c r="K7249" s="369">
        <f t="shared" si="344"/>
        <v>6</v>
      </c>
      <c r="L7249" s="369">
        <f>+IF((C7249&gt;='Resultats - informe'!$E$16)*(C7249&lt;='Resultats - informe'!$G$16),1,0)</f>
        <v>1</v>
      </c>
      <c r="M7249" s="369" cm="1">
        <f t="array" ref="M7249">+_xlfn.IFS((C7249&gt;='Resultats - informe'!$D$26)*(C7249&lt;='Resultats - informe'!$E$26),0,(C7249&gt;='Resultats - informe'!$D$27)*(C7249&lt;='Resultats - informe'!$E$27),0,(C7249&gt;='Resultats - informe'!$D$28)*(C7249&lt;='Resultats - informe'!$E$28),0,(C7249&gt;='Resultats - informe'!$D$29)*(C7249&lt;='Resultats - informe'!$E$29),0,1,1)</f>
        <v>0</v>
      </c>
      <c r="N7249" s="366">
        <f>+VLOOKUP(D7249,'Resultats - informe'!$Y$18:$AG$42,'Introducció dades consum'!K7249+1,0)</f>
        <v>0</v>
      </c>
      <c r="O7249" s="370" cm="1">
        <f t="array" ref="O7249">+_xlfn.SWITCH(MONTH(C7249),1,1,2,1,3,1,4,2,5,2,6,3,7,3,8,3,9,3,10,2,11,2,12,1,2)</f>
        <v>1</v>
      </c>
      <c r="P7249" s="43"/>
    </row>
    <row r="7250" spans="1:16" ht="18" x14ac:dyDescent="0.35">
      <c r="A7250" s="9"/>
      <c r="C7250" s="393"/>
      <c r="E7250" s="394"/>
      <c r="F7250" s="394"/>
      <c r="G7250" s="394"/>
      <c r="I7250" s="368">
        <f t="shared" ref="I7250:I7313" si="345">+E7250+G7250</f>
        <v>0</v>
      </c>
      <c r="J7250" s="365">
        <f t="shared" ref="J7250:J7313" si="346">+C7250</f>
        <v>0</v>
      </c>
      <c r="K7250" s="369">
        <f t="shared" ref="K7250:K7313" si="347">+WEEKDAY(C7250,2)</f>
        <v>6</v>
      </c>
      <c r="L7250" s="369">
        <f>+IF((C7250&gt;='Resultats - informe'!$E$16)*(C7250&lt;='Resultats - informe'!$G$16),1,0)</f>
        <v>1</v>
      </c>
      <c r="M7250" s="369" cm="1">
        <f t="array" ref="M7250">+_xlfn.IFS((C7250&gt;='Resultats - informe'!$D$26)*(C7250&lt;='Resultats - informe'!$E$26),0,(C7250&gt;='Resultats - informe'!$D$27)*(C7250&lt;='Resultats - informe'!$E$27),0,(C7250&gt;='Resultats - informe'!$D$28)*(C7250&lt;='Resultats - informe'!$E$28),0,(C7250&gt;='Resultats - informe'!$D$29)*(C7250&lt;='Resultats - informe'!$E$29),0,1,1)</f>
        <v>0</v>
      </c>
      <c r="N7250" s="366">
        <f>+VLOOKUP(D7250,'Resultats - informe'!$Y$18:$AG$42,'Introducció dades consum'!K7250+1,0)</f>
        <v>0</v>
      </c>
      <c r="O7250" s="370" cm="1">
        <f t="array" ref="O7250">+_xlfn.SWITCH(MONTH(C7250),1,1,2,1,3,1,4,2,5,2,6,3,7,3,8,3,9,3,10,2,11,2,12,1,2)</f>
        <v>1</v>
      </c>
      <c r="P7250" s="43"/>
    </row>
    <row r="7251" spans="1:16" ht="18" x14ac:dyDescent="0.35">
      <c r="A7251" s="9"/>
      <c r="C7251" s="393"/>
      <c r="E7251" s="394"/>
      <c r="F7251" s="394"/>
      <c r="G7251" s="394"/>
      <c r="I7251" s="368">
        <f t="shared" si="345"/>
        <v>0</v>
      </c>
      <c r="J7251" s="365">
        <f t="shared" si="346"/>
        <v>0</v>
      </c>
      <c r="K7251" s="369">
        <f t="shared" si="347"/>
        <v>6</v>
      </c>
      <c r="L7251" s="369">
        <f>+IF((C7251&gt;='Resultats - informe'!$E$16)*(C7251&lt;='Resultats - informe'!$G$16),1,0)</f>
        <v>1</v>
      </c>
      <c r="M7251" s="369" cm="1">
        <f t="array" ref="M7251">+_xlfn.IFS((C7251&gt;='Resultats - informe'!$D$26)*(C7251&lt;='Resultats - informe'!$E$26),0,(C7251&gt;='Resultats - informe'!$D$27)*(C7251&lt;='Resultats - informe'!$E$27),0,(C7251&gt;='Resultats - informe'!$D$28)*(C7251&lt;='Resultats - informe'!$E$28),0,(C7251&gt;='Resultats - informe'!$D$29)*(C7251&lt;='Resultats - informe'!$E$29),0,1,1)</f>
        <v>0</v>
      </c>
      <c r="N7251" s="366">
        <f>+VLOOKUP(D7251,'Resultats - informe'!$Y$18:$AG$42,'Introducció dades consum'!K7251+1,0)</f>
        <v>0</v>
      </c>
      <c r="O7251" s="370" cm="1">
        <f t="array" ref="O7251">+_xlfn.SWITCH(MONTH(C7251),1,1,2,1,3,1,4,2,5,2,6,3,7,3,8,3,9,3,10,2,11,2,12,1,2)</f>
        <v>1</v>
      </c>
      <c r="P7251" s="43"/>
    </row>
    <row r="7252" spans="1:16" ht="18" x14ac:dyDescent="0.35">
      <c r="A7252" s="9"/>
      <c r="C7252" s="393"/>
      <c r="E7252" s="394"/>
      <c r="F7252" s="394"/>
      <c r="G7252" s="394"/>
      <c r="I7252" s="368">
        <f t="shared" si="345"/>
        <v>0</v>
      </c>
      <c r="J7252" s="365">
        <f t="shared" si="346"/>
        <v>0</v>
      </c>
      <c r="K7252" s="369">
        <f t="shared" si="347"/>
        <v>6</v>
      </c>
      <c r="L7252" s="369">
        <f>+IF((C7252&gt;='Resultats - informe'!$E$16)*(C7252&lt;='Resultats - informe'!$G$16),1,0)</f>
        <v>1</v>
      </c>
      <c r="M7252" s="369" cm="1">
        <f t="array" ref="M7252">+_xlfn.IFS((C7252&gt;='Resultats - informe'!$D$26)*(C7252&lt;='Resultats - informe'!$E$26),0,(C7252&gt;='Resultats - informe'!$D$27)*(C7252&lt;='Resultats - informe'!$E$27),0,(C7252&gt;='Resultats - informe'!$D$28)*(C7252&lt;='Resultats - informe'!$E$28),0,(C7252&gt;='Resultats - informe'!$D$29)*(C7252&lt;='Resultats - informe'!$E$29),0,1,1)</f>
        <v>0</v>
      </c>
      <c r="N7252" s="366">
        <f>+VLOOKUP(D7252,'Resultats - informe'!$Y$18:$AG$42,'Introducció dades consum'!K7252+1,0)</f>
        <v>0</v>
      </c>
      <c r="O7252" s="370" cm="1">
        <f t="array" ref="O7252">+_xlfn.SWITCH(MONTH(C7252),1,1,2,1,3,1,4,2,5,2,6,3,7,3,8,3,9,3,10,2,11,2,12,1,2)</f>
        <v>1</v>
      </c>
      <c r="P7252" s="43"/>
    </row>
    <row r="7253" spans="1:16" ht="18" x14ac:dyDescent="0.35">
      <c r="A7253" s="9"/>
      <c r="C7253" s="393"/>
      <c r="E7253" s="394"/>
      <c r="F7253" s="394"/>
      <c r="G7253" s="394"/>
      <c r="I7253" s="368">
        <f t="shared" si="345"/>
        <v>0</v>
      </c>
      <c r="J7253" s="365">
        <f t="shared" si="346"/>
        <v>0</v>
      </c>
      <c r="K7253" s="369">
        <f t="shared" si="347"/>
        <v>6</v>
      </c>
      <c r="L7253" s="369">
        <f>+IF((C7253&gt;='Resultats - informe'!$E$16)*(C7253&lt;='Resultats - informe'!$G$16),1,0)</f>
        <v>1</v>
      </c>
      <c r="M7253" s="369" cm="1">
        <f t="array" ref="M7253">+_xlfn.IFS((C7253&gt;='Resultats - informe'!$D$26)*(C7253&lt;='Resultats - informe'!$E$26),0,(C7253&gt;='Resultats - informe'!$D$27)*(C7253&lt;='Resultats - informe'!$E$27),0,(C7253&gt;='Resultats - informe'!$D$28)*(C7253&lt;='Resultats - informe'!$E$28),0,(C7253&gt;='Resultats - informe'!$D$29)*(C7253&lt;='Resultats - informe'!$E$29),0,1,1)</f>
        <v>0</v>
      </c>
      <c r="N7253" s="366">
        <f>+VLOOKUP(D7253,'Resultats - informe'!$Y$18:$AG$42,'Introducció dades consum'!K7253+1,0)</f>
        <v>0</v>
      </c>
      <c r="O7253" s="370" cm="1">
        <f t="array" ref="O7253">+_xlfn.SWITCH(MONTH(C7253),1,1,2,1,3,1,4,2,5,2,6,3,7,3,8,3,9,3,10,2,11,2,12,1,2)</f>
        <v>1</v>
      </c>
      <c r="P7253" s="43"/>
    </row>
    <row r="7254" spans="1:16" ht="18" x14ac:dyDescent="0.35">
      <c r="A7254" s="9"/>
      <c r="C7254" s="393"/>
      <c r="E7254" s="394"/>
      <c r="F7254" s="394"/>
      <c r="G7254" s="394"/>
      <c r="I7254" s="368">
        <f t="shared" si="345"/>
        <v>0</v>
      </c>
      <c r="J7254" s="365">
        <f t="shared" si="346"/>
        <v>0</v>
      </c>
      <c r="K7254" s="369">
        <f t="shared" si="347"/>
        <v>6</v>
      </c>
      <c r="L7254" s="369">
        <f>+IF((C7254&gt;='Resultats - informe'!$E$16)*(C7254&lt;='Resultats - informe'!$G$16),1,0)</f>
        <v>1</v>
      </c>
      <c r="M7254" s="369" cm="1">
        <f t="array" ref="M7254">+_xlfn.IFS((C7254&gt;='Resultats - informe'!$D$26)*(C7254&lt;='Resultats - informe'!$E$26),0,(C7254&gt;='Resultats - informe'!$D$27)*(C7254&lt;='Resultats - informe'!$E$27),0,(C7254&gt;='Resultats - informe'!$D$28)*(C7254&lt;='Resultats - informe'!$E$28),0,(C7254&gt;='Resultats - informe'!$D$29)*(C7254&lt;='Resultats - informe'!$E$29),0,1,1)</f>
        <v>0</v>
      </c>
      <c r="N7254" s="366">
        <f>+VLOOKUP(D7254,'Resultats - informe'!$Y$18:$AG$42,'Introducció dades consum'!K7254+1,0)</f>
        <v>0</v>
      </c>
      <c r="O7254" s="370" cm="1">
        <f t="array" ref="O7254">+_xlfn.SWITCH(MONTH(C7254),1,1,2,1,3,1,4,2,5,2,6,3,7,3,8,3,9,3,10,2,11,2,12,1,2)</f>
        <v>1</v>
      </c>
      <c r="P7254" s="43"/>
    </row>
    <row r="7255" spans="1:16" ht="18" x14ac:dyDescent="0.35">
      <c r="A7255" s="9"/>
      <c r="C7255" s="393"/>
      <c r="E7255" s="394"/>
      <c r="F7255" s="394"/>
      <c r="G7255" s="394"/>
      <c r="I7255" s="368">
        <f t="shared" si="345"/>
        <v>0</v>
      </c>
      <c r="J7255" s="365">
        <f t="shared" si="346"/>
        <v>0</v>
      </c>
      <c r="K7255" s="369">
        <f t="shared" si="347"/>
        <v>6</v>
      </c>
      <c r="L7255" s="369">
        <f>+IF((C7255&gt;='Resultats - informe'!$E$16)*(C7255&lt;='Resultats - informe'!$G$16),1,0)</f>
        <v>1</v>
      </c>
      <c r="M7255" s="369" cm="1">
        <f t="array" ref="M7255">+_xlfn.IFS((C7255&gt;='Resultats - informe'!$D$26)*(C7255&lt;='Resultats - informe'!$E$26),0,(C7255&gt;='Resultats - informe'!$D$27)*(C7255&lt;='Resultats - informe'!$E$27),0,(C7255&gt;='Resultats - informe'!$D$28)*(C7255&lt;='Resultats - informe'!$E$28),0,(C7255&gt;='Resultats - informe'!$D$29)*(C7255&lt;='Resultats - informe'!$E$29),0,1,1)</f>
        <v>0</v>
      </c>
      <c r="N7255" s="366">
        <f>+VLOOKUP(D7255,'Resultats - informe'!$Y$18:$AG$42,'Introducció dades consum'!K7255+1,0)</f>
        <v>0</v>
      </c>
      <c r="O7255" s="370" cm="1">
        <f t="array" ref="O7255">+_xlfn.SWITCH(MONTH(C7255),1,1,2,1,3,1,4,2,5,2,6,3,7,3,8,3,9,3,10,2,11,2,12,1,2)</f>
        <v>1</v>
      </c>
      <c r="P7255" s="43"/>
    </row>
    <row r="7256" spans="1:16" ht="18" x14ac:dyDescent="0.35">
      <c r="A7256" s="9"/>
      <c r="C7256" s="393"/>
      <c r="E7256" s="394"/>
      <c r="F7256" s="394"/>
      <c r="G7256" s="394"/>
      <c r="I7256" s="368">
        <f t="shared" si="345"/>
        <v>0</v>
      </c>
      <c r="J7256" s="365">
        <f t="shared" si="346"/>
        <v>0</v>
      </c>
      <c r="K7256" s="369">
        <f t="shared" si="347"/>
        <v>6</v>
      </c>
      <c r="L7256" s="369">
        <f>+IF((C7256&gt;='Resultats - informe'!$E$16)*(C7256&lt;='Resultats - informe'!$G$16),1,0)</f>
        <v>1</v>
      </c>
      <c r="M7256" s="369" cm="1">
        <f t="array" ref="M7256">+_xlfn.IFS((C7256&gt;='Resultats - informe'!$D$26)*(C7256&lt;='Resultats - informe'!$E$26),0,(C7256&gt;='Resultats - informe'!$D$27)*(C7256&lt;='Resultats - informe'!$E$27),0,(C7256&gt;='Resultats - informe'!$D$28)*(C7256&lt;='Resultats - informe'!$E$28),0,(C7256&gt;='Resultats - informe'!$D$29)*(C7256&lt;='Resultats - informe'!$E$29),0,1,1)</f>
        <v>0</v>
      </c>
      <c r="N7256" s="366">
        <f>+VLOOKUP(D7256,'Resultats - informe'!$Y$18:$AG$42,'Introducció dades consum'!K7256+1,0)</f>
        <v>0</v>
      </c>
      <c r="O7256" s="370" cm="1">
        <f t="array" ref="O7256">+_xlfn.SWITCH(MONTH(C7256),1,1,2,1,3,1,4,2,5,2,6,3,7,3,8,3,9,3,10,2,11,2,12,1,2)</f>
        <v>1</v>
      </c>
      <c r="P7256" s="43"/>
    </row>
    <row r="7257" spans="1:16" ht="18" x14ac:dyDescent="0.35">
      <c r="A7257" s="9"/>
      <c r="C7257" s="393"/>
      <c r="E7257" s="394"/>
      <c r="F7257" s="394"/>
      <c r="G7257" s="394"/>
      <c r="I7257" s="368">
        <f t="shared" si="345"/>
        <v>0</v>
      </c>
      <c r="J7257" s="365">
        <f t="shared" si="346"/>
        <v>0</v>
      </c>
      <c r="K7257" s="369">
        <f t="shared" si="347"/>
        <v>6</v>
      </c>
      <c r="L7257" s="369">
        <f>+IF((C7257&gt;='Resultats - informe'!$E$16)*(C7257&lt;='Resultats - informe'!$G$16),1,0)</f>
        <v>1</v>
      </c>
      <c r="M7257" s="369" cm="1">
        <f t="array" ref="M7257">+_xlfn.IFS((C7257&gt;='Resultats - informe'!$D$26)*(C7257&lt;='Resultats - informe'!$E$26),0,(C7257&gt;='Resultats - informe'!$D$27)*(C7257&lt;='Resultats - informe'!$E$27),0,(C7257&gt;='Resultats - informe'!$D$28)*(C7257&lt;='Resultats - informe'!$E$28),0,(C7257&gt;='Resultats - informe'!$D$29)*(C7257&lt;='Resultats - informe'!$E$29),0,1,1)</f>
        <v>0</v>
      </c>
      <c r="N7257" s="366">
        <f>+VLOOKUP(D7257,'Resultats - informe'!$Y$18:$AG$42,'Introducció dades consum'!K7257+1,0)</f>
        <v>0</v>
      </c>
      <c r="O7257" s="370" cm="1">
        <f t="array" ref="O7257">+_xlfn.SWITCH(MONTH(C7257),1,1,2,1,3,1,4,2,5,2,6,3,7,3,8,3,9,3,10,2,11,2,12,1,2)</f>
        <v>1</v>
      </c>
      <c r="P7257" s="43"/>
    </row>
    <row r="7258" spans="1:16" ht="18" x14ac:dyDescent="0.35">
      <c r="A7258" s="9"/>
      <c r="C7258" s="393"/>
      <c r="E7258" s="394"/>
      <c r="F7258" s="394"/>
      <c r="G7258" s="394"/>
      <c r="I7258" s="368">
        <f t="shared" si="345"/>
        <v>0</v>
      </c>
      <c r="J7258" s="365">
        <f t="shared" si="346"/>
        <v>0</v>
      </c>
      <c r="K7258" s="369">
        <f t="shared" si="347"/>
        <v>6</v>
      </c>
      <c r="L7258" s="369">
        <f>+IF((C7258&gt;='Resultats - informe'!$E$16)*(C7258&lt;='Resultats - informe'!$G$16),1,0)</f>
        <v>1</v>
      </c>
      <c r="M7258" s="369" cm="1">
        <f t="array" ref="M7258">+_xlfn.IFS((C7258&gt;='Resultats - informe'!$D$26)*(C7258&lt;='Resultats - informe'!$E$26),0,(C7258&gt;='Resultats - informe'!$D$27)*(C7258&lt;='Resultats - informe'!$E$27),0,(C7258&gt;='Resultats - informe'!$D$28)*(C7258&lt;='Resultats - informe'!$E$28),0,(C7258&gt;='Resultats - informe'!$D$29)*(C7258&lt;='Resultats - informe'!$E$29),0,1,1)</f>
        <v>0</v>
      </c>
      <c r="N7258" s="366">
        <f>+VLOOKUP(D7258,'Resultats - informe'!$Y$18:$AG$42,'Introducció dades consum'!K7258+1,0)</f>
        <v>0</v>
      </c>
      <c r="O7258" s="370" cm="1">
        <f t="array" ref="O7258">+_xlfn.SWITCH(MONTH(C7258),1,1,2,1,3,1,4,2,5,2,6,3,7,3,8,3,9,3,10,2,11,2,12,1,2)</f>
        <v>1</v>
      </c>
      <c r="P7258" s="43"/>
    </row>
    <row r="7259" spans="1:16" ht="18" x14ac:dyDescent="0.35">
      <c r="A7259" s="9"/>
      <c r="C7259" s="393"/>
      <c r="E7259" s="394"/>
      <c r="F7259" s="394"/>
      <c r="G7259" s="394"/>
      <c r="I7259" s="368">
        <f t="shared" si="345"/>
        <v>0</v>
      </c>
      <c r="J7259" s="365">
        <f t="shared" si="346"/>
        <v>0</v>
      </c>
      <c r="K7259" s="369">
        <f t="shared" si="347"/>
        <v>6</v>
      </c>
      <c r="L7259" s="369">
        <f>+IF((C7259&gt;='Resultats - informe'!$E$16)*(C7259&lt;='Resultats - informe'!$G$16),1,0)</f>
        <v>1</v>
      </c>
      <c r="M7259" s="369" cm="1">
        <f t="array" ref="M7259">+_xlfn.IFS((C7259&gt;='Resultats - informe'!$D$26)*(C7259&lt;='Resultats - informe'!$E$26),0,(C7259&gt;='Resultats - informe'!$D$27)*(C7259&lt;='Resultats - informe'!$E$27),0,(C7259&gt;='Resultats - informe'!$D$28)*(C7259&lt;='Resultats - informe'!$E$28),0,(C7259&gt;='Resultats - informe'!$D$29)*(C7259&lt;='Resultats - informe'!$E$29),0,1,1)</f>
        <v>0</v>
      </c>
      <c r="N7259" s="366">
        <f>+VLOOKUP(D7259,'Resultats - informe'!$Y$18:$AG$42,'Introducció dades consum'!K7259+1,0)</f>
        <v>0</v>
      </c>
      <c r="O7259" s="370" cm="1">
        <f t="array" ref="O7259">+_xlfn.SWITCH(MONTH(C7259),1,1,2,1,3,1,4,2,5,2,6,3,7,3,8,3,9,3,10,2,11,2,12,1,2)</f>
        <v>1</v>
      </c>
      <c r="P7259" s="43"/>
    </row>
    <row r="7260" spans="1:16" ht="18" x14ac:dyDescent="0.35">
      <c r="A7260" s="9"/>
      <c r="C7260" s="393"/>
      <c r="E7260" s="394"/>
      <c r="F7260" s="394"/>
      <c r="G7260" s="394"/>
      <c r="I7260" s="368">
        <f t="shared" si="345"/>
        <v>0</v>
      </c>
      <c r="J7260" s="365">
        <f t="shared" si="346"/>
        <v>0</v>
      </c>
      <c r="K7260" s="369">
        <f t="shared" si="347"/>
        <v>6</v>
      </c>
      <c r="L7260" s="369">
        <f>+IF((C7260&gt;='Resultats - informe'!$E$16)*(C7260&lt;='Resultats - informe'!$G$16),1,0)</f>
        <v>1</v>
      </c>
      <c r="M7260" s="369" cm="1">
        <f t="array" ref="M7260">+_xlfn.IFS((C7260&gt;='Resultats - informe'!$D$26)*(C7260&lt;='Resultats - informe'!$E$26),0,(C7260&gt;='Resultats - informe'!$D$27)*(C7260&lt;='Resultats - informe'!$E$27),0,(C7260&gt;='Resultats - informe'!$D$28)*(C7260&lt;='Resultats - informe'!$E$28),0,(C7260&gt;='Resultats - informe'!$D$29)*(C7260&lt;='Resultats - informe'!$E$29),0,1,1)</f>
        <v>0</v>
      </c>
      <c r="N7260" s="366">
        <f>+VLOOKUP(D7260,'Resultats - informe'!$Y$18:$AG$42,'Introducció dades consum'!K7260+1,0)</f>
        <v>0</v>
      </c>
      <c r="O7260" s="370" cm="1">
        <f t="array" ref="O7260">+_xlfn.SWITCH(MONTH(C7260),1,1,2,1,3,1,4,2,5,2,6,3,7,3,8,3,9,3,10,2,11,2,12,1,2)</f>
        <v>1</v>
      </c>
      <c r="P7260" s="43"/>
    </row>
    <row r="7261" spans="1:16" ht="18" x14ac:dyDescent="0.35">
      <c r="A7261" s="9"/>
      <c r="C7261" s="393"/>
      <c r="E7261" s="394"/>
      <c r="F7261" s="394"/>
      <c r="G7261" s="394"/>
      <c r="I7261" s="368">
        <f t="shared" si="345"/>
        <v>0</v>
      </c>
      <c r="J7261" s="365">
        <f t="shared" si="346"/>
        <v>0</v>
      </c>
      <c r="K7261" s="369">
        <f t="shared" si="347"/>
        <v>6</v>
      </c>
      <c r="L7261" s="369">
        <f>+IF((C7261&gt;='Resultats - informe'!$E$16)*(C7261&lt;='Resultats - informe'!$G$16),1,0)</f>
        <v>1</v>
      </c>
      <c r="M7261" s="369" cm="1">
        <f t="array" ref="M7261">+_xlfn.IFS((C7261&gt;='Resultats - informe'!$D$26)*(C7261&lt;='Resultats - informe'!$E$26),0,(C7261&gt;='Resultats - informe'!$D$27)*(C7261&lt;='Resultats - informe'!$E$27),0,(C7261&gt;='Resultats - informe'!$D$28)*(C7261&lt;='Resultats - informe'!$E$28),0,(C7261&gt;='Resultats - informe'!$D$29)*(C7261&lt;='Resultats - informe'!$E$29),0,1,1)</f>
        <v>0</v>
      </c>
      <c r="N7261" s="366">
        <f>+VLOOKUP(D7261,'Resultats - informe'!$Y$18:$AG$42,'Introducció dades consum'!K7261+1,0)</f>
        <v>0</v>
      </c>
      <c r="O7261" s="370" cm="1">
        <f t="array" ref="O7261">+_xlfn.SWITCH(MONTH(C7261),1,1,2,1,3,1,4,2,5,2,6,3,7,3,8,3,9,3,10,2,11,2,12,1,2)</f>
        <v>1</v>
      </c>
      <c r="P7261" s="43"/>
    </row>
    <row r="7262" spans="1:16" ht="18" x14ac:dyDescent="0.35">
      <c r="A7262" s="9"/>
      <c r="C7262" s="393"/>
      <c r="E7262" s="394"/>
      <c r="F7262" s="394"/>
      <c r="G7262" s="394"/>
      <c r="I7262" s="368">
        <f t="shared" si="345"/>
        <v>0</v>
      </c>
      <c r="J7262" s="365">
        <f t="shared" si="346"/>
        <v>0</v>
      </c>
      <c r="K7262" s="369">
        <f t="shared" si="347"/>
        <v>6</v>
      </c>
      <c r="L7262" s="369">
        <f>+IF((C7262&gt;='Resultats - informe'!$E$16)*(C7262&lt;='Resultats - informe'!$G$16),1,0)</f>
        <v>1</v>
      </c>
      <c r="M7262" s="369" cm="1">
        <f t="array" ref="M7262">+_xlfn.IFS((C7262&gt;='Resultats - informe'!$D$26)*(C7262&lt;='Resultats - informe'!$E$26),0,(C7262&gt;='Resultats - informe'!$D$27)*(C7262&lt;='Resultats - informe'!$E$27),0,(C7262&gt;='Resultats - informe'!$D$28)*(C7262&lt;='Resultats - informe'!$E$28),0,(C7262&gt;='Resultats - informe'!$D$29)*(C7262&lt;='Resultats - informe'!$E$29),0,1,1)</f>
        <v>0</v>
      </c>
      <c r="N7262" s="366">
        <f>+VLOOKUP(D7262,'Resultats - informe'!$Y$18:$AG$42,'Introducció dades consum'!K7262+1,0)</f>
        <v>0</v>
      </c>
      <c r="O7262" s="370" cm="1">
        <f t="array" ref="O7262">+_xlfn.SWITCH(MONTH(C7262),1,1,2,1,3,1,4,2,5,2,6,3,7,3,8,3,9,3,10,2,11,2,12,1,2)</f>
        <v>1</v>
      </c>
      <c r="P7262" s="43"/>
    </row>
    <row r="7263" spans="1:16" ht="18" x14ac:dyDescent="0.35">
      <c r="A7263" s="9"/>
      <c r="C7263" s="393"/>
      <c r="E7263" s="394"/>
      <c r="F7263" s="394"/>
      <c r="G7263" s="394"/>
      <c r="I7263" s="368">
        <f t="shared" si="345"/>
        <v>0</v>
      </c>
      <c r="J7263" s="365">
        <f t="shared" si="346"/>
        <v>0</v>
      </c>
      <c r="K7263" s="369">
        <f t="shared" si="347"/>
        <v>6</v>
      </c>
      <c r="L7263" s="369">
        <f>+IF((C7263&gt;='Resultats - informe'!$E$16)*(C7263&lt;='Resultats - informe'!$G$16),1,0)</f>
        <v>1</v>
      </c>
      <c r="M7263" s="369" cm="1">
        <f t="array" ref="M7263">+_xlfn.IFS((C7263&gt;='Resultats - informe'!$D$26)*(C7263&lt;='Resultats - informe'!$E$26),0,(C7263&gt;='Resultats - informe'!$D$27)*(C7263&lt;='Resultats - informe'!$E$27),0,(C7263&gt;='Resultats - informe'!$D$28)*(C7263&lt;='Resultats - informe'!$E$28),0,(C7263&gt;='Resultats - informe'!$D$29)*(C7263&lt;='Resultats - informe'!$E$29),0,1,1)</f>
        <v>0</v>
      </c>
      <c r="N7263" s="366">
        <f>+VLOOKUP(D7263,'Resultats - informe'!$Y$18:$AG$42,'Introducció dades consum'!K7263+1,0)</f>
        <v>0</v>
      </c>
      <c r="O7263" s="370" cm="1">
        <f t="array" ref="O7263">+_xlfn.SWITCH(MONTH(C7263),1,1,2,1,3,1,4,2,5,2,6,3,7,3,8,3,9,3,10,2,11,2,12,1,2)</f>
        <v>1</v>
      </c>
      <c r="P7263" s="43"/>
    </row>
    <row r="7264" spans="1:16" ht="18" x14ac:dyDescent="0.35">
      <c r="A7264" s="9"/>
      <c r="C7264" s="393"/>
      <c r="E7264" s="394"/>
      <c r="F7264" s="394"/>
      <c r="G7264" s="394"/>
      <c r="I7264" s="368">
        <f t="shared" si="345"/>
        <v>0</v>
      </c>
      <c r="J7264" s="365">
        <f t="shared" si="346"/>
        <v>0</v>
      </c>
      <c r="K7264" s="369">
        <f t="shared" si="347"/>
        <v>6</v>
      </c>
      <c r="L7264" s="369">
        <f>+IF((C7264&gt;='Resultats - informe'!$E$16)*(C7264&lt;='Resultats - informe'!$G$16),1,0)</f>
        <v>1</v>
      </c>
      <c r="M7264" s="369" cm="1">
        <f t="array" ref="M7264">+_xlfn.IFS((C7264&gt;='Resultats - informe'!$D$26)*(C7264&lt;='Resultats - informe'!$E$26),0,(C7264&gt;='Resultats - informe'!$D$27)*(C7264&lt;='Resultats - informe'!$E$27),0,(C7264&gt;='Resultats - informe'!$D$28)*(C7264&lt;='Resultats - informe'!$E$28),0,(C7264&gt;='Resultats - informe'!$D$29)*(C7264&lt;='Resultats - informe'!$E$29),0,1,1)</f>
        <v>0</v>
      </c>
      <c r="N7264" s="366">
        <f>+VLOOKUP(D7264,'Resultats - informe'!$Y$18:$AG$42,'Introducció dades consum'!K7264+1,0)</f>
        <v>0</v>
      </c>
      <c r="O7264" s="370" cm="1">
        <f t="array" ref="O7264">+_xlfn.SWITCH(MONTH(C7264),1,1,2,1,3,1,4,2,5,2,6,3,7,3,8,3,9,3,10,2,11,2,12,1,2)</f>
        <v>1</v>
      </c>
      <c r="P7264" s="43"/>
    </row>
    <row r="7265" spans="1:16" ht="18" x14ac:dyDescent="0.35">
      <c r="A7265" s="9"/>
      <c r="C7265" s="393"/>
      <c r="E7265" s="394"/>
      <c r="F7265" s="394"/>
      <c r="G7265" s="394"/>
      <c r="I7265" s="368">
        <f t="shared" si="345"/>
        <v>0</v>
      </c>
      <c r="J7265" s="365">
        <f t="shared" si="346"/>
        <v>0</v>
      </c>
      <c r="K7265" s="369">
        <f t="shared" si="347"/>
        <v>6</v>
      </c>
      <c r="L7265" s="369">
        <f>+IF((C7265&gt;='Resultats - informe'!$E$16)*(C7265&lt;='Resultats - informe'!$G$16),1,0)</f>
        <v>1</v>
      </c>
      <c r="M7265" s="369" cm="1">
        <f t="array" ref="M7265">+_xlfn.IFS((C7265&gt;='Resultats - informe'!$D$26)*(C7265&lt;='Resultats - informe'!$E$26),0,(C7265&gt;='Resultats - informe'!$D$27)*(C7265&lt;='Resultats - informe'!$E$27),0,(C7265&gt;='Resultats - informe'!$D$28)*(C7265&lt;='Resultats - informe'!$E$28),0,(C7265&gt;='Resultats - informe'!$D$29)*(C7265&lt;='Resultats - informe'!$E$29),0,1,1)</f>
        <v>0</v>
      </c>
      <c r="N7265" s="366">
        <f>+VLOOKUP(D7265,'Resultats - informe'!$Y$18:$AG$42,'Introducció dades consum'!K7265+1,0)</f>
        <v>0</v>
      </c>
      <c r="O7265" s="370" cm="1">
        <f t="array" ref="O7265">+_xlfn.SWITCH(MONTH(C7265),1,1,2,1,3,1,4,2,5,2,6,3,7,3,8,3,9,3,10,2,11,2,12,1,2)</f>
        <v>1</v>
      </c>
      <c r="P7265" s="43"/>
    </row>
    <row r="7266" spans="1:16" ht="18" x14ac:dyDescent="0.35">
      <c r="A7266" s="9"/>
      <c r="C7266" s="393"/>
      <c r="E7266" s="394"/>
      <c r="F7266" s="394"/>
      <c r="G7266" s="394"/>
      <c r="I7266" s="368">
        <f t="shared" si="345"/>
        <v>0</v>
      </c>
      <c r="J7266" s="365">
        <f t="shared" si="346"/>
        <v>0</v>
      </c>
      <c r="K7266" s="369">
        <f t="shared" si="347"/>
        <v>6</v>
      </c>
      <c r="L7266" s="369">
        <f>+IF((C7266&gt;='Resultats - informe'!$E$16)*(C7266&lt;='Resultats - informe'!$G$16),1,0)</f>
        <v>1</v>
      </c>
      <c r="M7266" s="369" cm="1">
        <f t="array" ref="M7266">+_xlfn.IFS((C7266&gt;='Resultats - informe'!$D$26)*(C7266&lt;='Resultats - informe'!$E$26),0,(C7266&gt;='Resultats - informe'!$D$27)*(C7266&lt;='Resultats - informe'!$E$27),0,(C7266&gt;='Resultats - informe'!$D$28)*(C7266&lt;='Resultats - informe'!$E$28),0,(C7266&gt;='Resultats - informe'!$D$29)*(C7266&lt;='Resultats - informe'!$E$29),0,1,1)</f>
        <v>0</v>
      </c>
      <c r="N7266" s="366">
        <f>+VLOOKUP(D7266,'Resultats - informe'!$Y$18:$AG$42,'Introducció dades consum'!K7266+1,0)</f>
        <v>0</v>
      </c>
      <c r="O7266" s="370" cm="1">
        <f t="array" ref="O7266">+_xlfn.SWITCH(MONTH(C7266),1,1,2,1,3,1,4,2,5,2,6,3,7,3,8,3,9,3,10,2,11,2,12,1,2)</f>
        <v>1</v>
      </c>
      <c r="P7266" s="43"/>
    </row>
    <row r="7267" spans="1:16" ht="18" x14ac:dyDescent="0.35">
      <c r="A7267" s="9"/>
      <c r="C7267" s="393"/>
      <c r="E7267" s="394"/>
      <c r="F7267" s="394"/>
      <c r="G7267" s="394"/>
      <c r="I7267" s="368">
        <f t="shared" si="345"/>
        <v>0</v>
      </c>
      <c r="J7267" s="365">
        <f t="shared" si="346"/>
        <v>0</v>
      </c>
      <c r="K7267" s="369">
        <f t="shared" si="347"/>
        <v>6</v>
      </c>
      <c r="L7267" s="369">
        <f>+IF((C7267&gt;='Resultats - informe'!$E$16)*(C7267&lt;='Resultats - informe'!$G$16),1,0)</f>
        <v>1</v>
      </c>
      <c r="M7267" s="369" cm="1">
        <f t="array" ref="M7267">+_xlfn.IFS((C7267&gt;='Resultats - informe'!$D$26)*(C7267&lt;='Resultats - informe'!$E$26),0,(C7267&gt;='Resultats - informe'!$D$27)*(C7267&lt;='Resultats - informe'!$E$27),0,(C7267&gt;='Resultats - informe'!$D$28)*(C7267&lt;='Resultats - informe'!$E$28),0,(C7267&gt;='Resultats - informe'!$D$29)*(C7267&lt;='Resultats - informe'!$E$29),0,1,1)</f>
        <v>0</v>
      </c>
      <c r="N7267" s="366">
        <f>+VLOOKUP(D7267,'Resultats - informe'!$Y$18:$AG$42,'Introducció dades consum'!K7267+1,0)</f>
        <v>0</v>
      </c>
      <c r="O7267" s="370" cm="1">
        <f t="array" ref="O7267">+_xlfn.SWITCH(MONTH(C7267),1,1,2,1,3,1,4,2,5,2,6,3,7,3,8,3,9,3,10,2,11,2,12,1,2)</f>
        <v>1</v>
      </c>
      <c r="P7267" s="43"/>
    </row>
    <row r="7268" spans="1:16" ht="18" x14ac:dyDescent="0.35">
      <c r="A7268" s="9"/>
      <c r="C7268" s="393"/>
      <c r="E7268" s="394"/>
      <c r="F7268" s="394"/>
      <c r="G7268" s="394"/>
      <c r="I7268" s="368">
        <f t="shared" si="345"/>
        <v>0</v>
      </c>
      <c r="J7268" s="365">
        <f t="shared" si="346"/>
        <v>0</v>
      </c>
      <c r="K7268" s="369">
        <f t="shared" si="347"/>
        <v>6</v>
      </c>
      <c r="L7268" s="369">
        <f>+IF((C7268&gt;='Resultats - informe'!$E$16)*(C7268&lt;='Resultats - informe'!$G$16),1,0)</f>
        <v>1</v>
      </c>
      <c r="M7268" s="369" cm="1">
        <f t="array" ref="M7268">+_xlfn.IFS((C7268&gt;='Resultats - informe'!$D$26)*(C7268&lt;='Resultats - informe'!$E$26),0,(C7268&gt;='Resultats - informe'!$D$27)*(C7268&lt;='Resultats - informe'!$E$27),0,(C7268&gt;='Resultats - informe'!$D$28)*(C7268&lt;='Resultats - informe'!$E$28),0,(C7268&gt;='Resultats - informe'!$D$29)*(C7268&lt;='Resultats - informe'!$E$29),0,1,1)</f>
        <v>0</v>
      </c>
      <c r="N7268" s="366">
        <f>+VLOOKUP(D7268,'Resultats - informe'!$Y$18:$AG$42,'Introducció dades consum'!K7268+1,0)</f>
        <v>0</v>
      </c>
      <c r="O7268" s="370" cm="1">
        <f t="array" ref="O7268">+_xlfn.SWITCH(MONTH(C7268),1,1,2,1,3,1,4,2,5,2,6,3,7,3,8,3,9,3,10,2,11,2,12,1,2)</f>
        <v>1</v>
      </c>
      <c r="P7268" s="43"/>
    </row>
    <row r="7269" spans="1:16" ht="18" x14ac:dyDescent="0.35">
      <c r="A7269" s="9"/>
      <c r="C7269" s="393"/>
      <c r="E7269" s="394"/>
      <c r="F7269" s="394"/>
      <c r="G7269" s="394"/>
      <c r="I7269" s="368">
        <f t="shared" si="345"/>
        <v>0</v>
      </c>
      <c r="J7269" s="365">
        <f t="shared" si="346"/>
        <v>0</v>
      </c>
      <c r="K7269" s="369">
        <f t="shared" si="347"/>
        <v>6</v>
      </c>
      <c r="L7269" s="369">
        <f>+IF((C7269&gt;='Resultats - informe'!$E$16)*(C7269&lt;='Resultats - informe'!$G$16),1,0)</f>
        <v>1</v>
      </c>
      <c r="M7269" s="369" cm="1">
        <f t="array" ref="M7269">+_xlfn.IFS((C7269&gt;='Resultats - informe'!$D$26)*(C7269&lt;='Resultats - informe'!$E$26),0,(C7269&gt;='Resultats - informe'!$D$27)*(C7269&lt;='Resultats - informe'!$E$27),0,(C7269&gt;='Resultats - informe'!$D$28)*(C7269&lt;='Resultats - informe'!$E$28),0,(C7269&gt;='Resultats - informe'!$D$29)*(C7269&lt;='Resultats - informe'!$E$29),0,1,1)</f>
        <v>0</v>
      </c>
      <c r="N7269" s="366">
        <f>+VLOOKUP(D7269,'Resultats - informe'!$Y$18:$AG$42,'Introducció dades consum'!K7269+1,0)</f>
        <v>0</v>
      </c>
      <c r="O7269" s="370" cm="1">
        <f t="array" ref="O7269">+_xlfn.SWITCH(MONTH(C7269),1,1,2,1,3,1,4,2,5,2,6,3,7,3,8,3,9,3,10,2,11,2,12,1,2)</f>
        <v>1</v>
      </c>
      <c r="P7269" s="43"/>
    </row>
    <row r="7270" spans="1:16" ht="18" x14ac:dyDescent="0.35">
      <c r="A7270" s="9"/>
      <c r="C7270" s="393"/>
      <c r="E7270" s="394"/>
      <c r="F7270" s="394"/>
      <c r="G7270" s="394"/>
      <c r="I7270" s="368">
        <f t="shared" si="345"/>
        <v>0</v>
      </c>
      <c r="J7270" s="365">
        <f t="shared" si="346"/>
        <v>0</v>
      </c>
      <c r="K7270" s="369">
        <f t="shared" si="347"/>
        <v>6</v>
      </c>
      <c r="L7270" s="369">
        <f>+IF((C7270&gt;='Resultats - informe'!$E$16)*(C7270&lt;='Resultats - informe'!$G$16),1,0)</f>
        <v>1</v>
      </c>
      <c r="M7270" s="369" cm="1">
        <f t="array" ref="M7270">+_xlfn.IFS((C7270&gt;='Resultats - informe'!$D$26)*(C7270&lt;='Resultats - informe'!$E$26),0,(C7270&gt;='Resultats - informe'!$D$27)*(C7270&lt;='Resultats - informe'!$E$27),0,(C7270&gt;='Resultats - informe'!$D$28)*(C7270&lt;='Resultats - informe'!$E$28),0,(C7270&gt;='Resultats - informe'!$D$29)*(C7270&lt;='Resultats - informe'!$E$29),0,1,1)</f>
        <v>0</v>
      </c>
      <c r="N7270" s="366">
        <f>+VLOOKUP(D7270,'Resultats - informe'!$Y$18:$AG$42,'Introducció dades consum'!K7270+1,0)</f>
        <v>0</v>
      </c>
      <c r="O7270" s="370" cm="1">
        <f t="array" ref="O7270">+_xlfn.SWITCH(MONTH(C7270),1,1,2,1,3,1,4,2,5,2,6,3,7,3,8,3,9,3,10,2,11,2,12,1,2)</f>
        <v>1</v>
      </c>
      <c r="P7270" s="43"/>
    </row>
    <row r="7271" spans="1:16" ht="18" x14ac:dyDescent="0.35">
      <c r="A7271" s="9"/>
      <c r="C7271" s="393"/>
      <c r="E7271" s="394"/>
      <c r="F7271" s="394"/>
      <c r="G7271" s="394"/>
      <c r="I7271" s="368">
        <f t="shared" si="345"/>
        <v>0</v>
      </c>
      <c r="J7271" s="365">
        <f t="shared" si="346"/>
        <v>0</v>
      </c>
      <c r="K7271" s="369">
        <f t="shared" si="347"/>
        <v>6</v>
      </c>
      <c r="L7271" s="369">
        <f>+IF((C7271&gt;='Resultats - informe'!$E$16)*(C7271&lt;='Resultats - informe'!$G$16),1,0)</f>
        <v>1</v>
      </c>
      <c r="M7271" s="369" cm="1">
        <f t="array" ref="M7271">+_xlfn.IFS((C7271&gt;='Resultats - informe'!$D$26)*(C7271&lt;='Resultats - informe'!$E$26),0,(C7271&gt;='Resultats - informe'!$D$27)*(C7271&lt;='Resultats - informe'!$E$27),0,(C7271&gt;='Resultats - informe'!$D$28)*(C7271&lt;='Resultats - informe'!$E$28),0,(C7271&gt;='Resultats - informe'!$D$29)*(C7271&lt;='Resultats - informe'!$E$29),0,1,1)</f>
        <v>0</v>
      </c>
      <c r="N7271" s="366">
        <f>+VLOOKUP(D7271,'Resultats - informe'!$Y$18:$AG$42,'Introducció dades consum'!K7271+1,0)</f>
        <v>0</v>
      </c>
      <c r="O7271" s="370" cm="1">
        <f t="array" ref="O7271">+_xlfn.SWITCH(MONTH(C7271),1,1,2,1,3,1,4,2,5,2,6,3,7,3,8,3,9,3,10,2,11,2,12,1,2)</f>
        <v>1</v>
      </c>
      <c r="P7271" s="43"/>
    </row>
    <row r="7272" spans="1:16" ht="18" x14ac:dyDescent="0.35">
      <c r="A7272" s="9"/>
      <c r="C7272" s="393"/>
      <c r="E7272" s="394"/>
      <c r="F7272" s="394"/>
      <c r="G7272" s="394"/>
      <c r="I7272" s="368">
        <f t="shared" si="345"/>
        <v>0</v>
      </c>
      <c r="J7272" s="365">
        <f t="shared" si="346"/>
        <v>0</v>
      </c>
      <c r="K7272" s="369">
        <f t="shared" si="347"/>
        <v>6</v>
      </c>
      <c r="L7272" s="369">
        <f>+IF((C7272&gt;='Resultats - informe'!$E$16)*(C7272&lt;='Resultats - informe'!$G$16),1,0)</f>
        <v>1</v>
      </c>
      <c r="M7272" s="369" cm="1">
        <f t="array" ref="M7272">+_xlfn.IFS((C7272&gt;='Resultats - informe'!$D$26)*(C7272&lt;='Resultats - informe'!$E$26),0,(C7272&gt;='Resultats - informe'!$D$27)*(C7272&lt;='Resultats - informe'!$E$27),0,(C7272&gt;='Resultats - informe'!$D$28)*(C7272&lt;='Resultats - informe'!$E$28),0,(C7272&gt;='Resultats - informe'!$D$29)*(C7272&lt;='Resultats - informe'!$E$29),0,1,1)</f>
        <v>0</v>
      </c>
      <c r="N7272" s="366">
        <f>+VLOOKUP(D7272,'Resultats - informe'!$Y$18:$AG$42,'Introducció dades consum'!K7272+1,0)</f>
        <v>0</v>
      </c>
      <c r="O7272" s="370" cm="1">
        <f t="array" ref="O7272">+_xlfn.SWITCH(MONTH(C7272),1,1,2,1,3,1,4,2,5,2,6,3,7,3,8,3,9,3,10,2,11,2,12,1,2)</f>
        <v>1</v>
      </c>
      <c r="P7272" s="43"/>
    </row>
    <row r="7273" spans="1:16" ht="18" x14ac:dyDescent="0.35">
      <c r="A7273" s="9"/>
      <c r="C7273" s="393"/>
      <c r="E7273" s="394"/>
      <c r="F7273" s="394"/>
      <c r="G7273" s="394"/>
      <c r="I7273" s="368">
        <f t="shared" si="345"/>
        <v>0</v>
      </c>
      <c r="J7273" s="365">
        <f t="shared" si="346"/>
        <v>0</v>
      </c>
      <c r="K7273" s="369">
        <f t="shared" si="347"/>
        <v>6</v>
      </c>
      <c r="L7273" s="369">
        <f>+IF((C7273&gt;='Resultats - informe'!$E$16)*(C7273&lt;='Resultats - informe'!$G$16),1,0)</f>
        <v>1</v>
      </c>
      <c r="M7273" s="369" cm="1">
        <f t="array" ref="M7273">+_xlfn.IFS((C7273&gt;='Resultats - informe'!$D$26)*(C7273&lt;='Resultats - informe'!$E$26),0,(C7273&gt;='Resultats - informe'!$D$27)*(C7273&lt;='Resultats - informe'!$E$27),0,(C7273&gt;='Resultats - informe'!$D$28)*(C7273&lt;='Resultats - informe'!$E$28),0,(C7273&gt;='Resultats - informe'!$D$29)*(C7273&lt;='Resultats - informe'!$E$29),0,1,1)</f>
        <v>0</v>
      </c>
      <c r="N7273" s="366">
        <f>+VLOOKUP(D7273,'Resultats - informe'!$Y$18:$AG$42,'Introducció dades consum'!K7273+1,0)</f>
        <v>0</v>
      </c>
      <c r="O7273" s="370" cm="1">
        <f t="array" ref="O7273">+_xlfn.SWITCH(MONTH(C7273),1,1,2,1,3,1,4,2,5,2,6,3,7,3,8,3,9,3,10,2,11,2,12,1,2)</f>
        <v>1</v>
      </c>
      <c r="P7273" s="43"/>
    </row>
    <row r="7274" spans="1:16" ht="18" x14ac:dyDescent="0.35">
      <c r="A7274" s="9"/>
      <c r="C7274" s="393"/>
      <c r="E7274" s="394"/>
      <c r="F7274" s="394"/>
      <c r="G7274" s="394"/>
      <c r="I7274" s="368">
        <f t="shared" si="345"/>
        <v>0</v>
      </c>
      <c r="J7274" s="365">
        <f t="shared" si="346"/>
        <v>0</v>
      </c>
      <c r="K7274" s="369">
        <f t="shared" si="347"/>
        <v>6</v>
      </c>
      <c r="L7274" s="369">
        <f>+IF((C7274&gt;='Resultats - informe'!$E$16)*(C7274&lt;='Resultats - informe'!$G$16),1,0)</f>
        <v>1</v>
      </c>
      <c r="M7274" s="369" cm="1">
        <f t="array" ref="M7274">+_xlfn.IFS((C7274&gt;='Resultats - informe'!$D$26)*(C7274&lt;='Resultats - informe'!$E$26),0,(C7274&gt;='Resultats - informe'!$D$27)*(C7274&lt;='Resultats - informe'!$E$27),0,(C7274&gt;='Resultats - informe'!$D$28)*(C7274&lt;='Resultats - informe'!$E$28),0,(C7274&gt;='Resultats - informe'!$D$29)*(C7274&lt;='Resultats - informe'!$E$29),0,1,1)</f>
        <v>0</v>
      </c>
      <c r="N7274" s="366">
        <f>+VLOOKUP(D7274,'Resultats - informe'!$Y$18:$AG$42,'Introducció dades consum'!K7274+1,0)</f>
        <v>0</v>
      </c>
      <c r="O7274" s="370" cm="1">
        <f t="array" ref="O7274">+_xlfn.SWITCH(MONTH(C7274),1,1,2,1,3,1,4,2,5,2,6,3,7,3,8,3,9,3,10,2,11,2,12,1,2)</f>
        <v>1</v>
      </c>
      <c r="P7274" s="43"/>
    </row>
    <row r="7275" spans="1:16" ht="18" x14ac:dyDescent="0.35">
      <c r="A7275" s="9"/>
      <c r="C7275" s="393"/>
      <c r="E7275" s="394"/>
      <c r="F7275" s="394"/>
      <c r="G7275" s="394"/>
      <c r="I7275" s="368">
        <f t="shared" si="345"/>
        <v>0</v>
      </c>
      <c r="J7275" s="365">
        <f t="shared" si="346"/>
        <v>0</v>
      </c>
      <c r="K7275" s="369">
        <f t="shared" si="347"/>
        <v>6</v>
      </c>
      <c r="L7275" s="369">
        <f>+IF((C7275&gt;='Resultats - informe'!$E$16)*(C7275&lt;='Resultats - informe'!$G$16),1,0)</f>
        <v>1</v>
      </c>
      <c r="M7275" s="369" cm="1">
        <f t="array" ref="M7275">+_xlfn.IFS((C7275&gt;='Resultats - informe'!$D$26)*(C7275&lt;='Resultats - informe'!$E$26),0,(C7275&gt;='Resultats - informe'!$D$27)*(C7275&lt;='Resultats - informe'!$E$27),0,(C7275&gt;='Resultats - informe'!$D$28)*(C7275&lt;='Resultats - informe'!$E$28),0,(C7275&gt;='Resultats - informe'!$D$29)*(C7275&lt;='Resultats - informe'!$E$29),0,1,1)</f>
        <v>0</v>
      </c>
      <c r="N7275" s="366">
        <f>+VLOOKUP(D7275,'Resultats - informe'!$Y$18:$AG$42,'Introducció dades consum'!K7275+1,0)</f>
        <v>0</v>
      </c>
      <c r="O7275" s="370" cm="1">
        <f t="array" ref="O7275">+_xlfn.SWITCH(MONTH(C7275),1,1,2,1,3,1,4,2,5,2,6,3,7,3,8,3,9,3,10,2,11,2,12,1,2)</f>
        <v>1</v>
      </c>
      <c r="P7275" s="43"/>
    </row>
    <row r="7276" spans="1:16" ht="18" x14ac:dyDescent="0.35">
      <c r="A7276" s="9"/>
      <c r="C7276" s="393"/>
      <c r="E7276" s="394"/>
      <c r="F7276" s="394"/>
      <c r="G7276" s="394"/>
      <c r="I7276" s="368">
        <f t="shared" si="345"/>
        <v>0</v>
      </c>
      <c r="J7276" s="365">
        <f t="shared" si="346"/>
        <v>0</v>
      </c>
      <c r="K7276" s="369">
        <f t="shared" si="347"/>
        <v>6</v>
      </c>
      <c r="L7276" s="369">
        <f>+IF((C7276&gt;='Resultats - informe'!$E$16)*(C7276&lt;='Resultats - informe'!$G$16),1,0)</f>
        <v>1</v>
      </c>
      <c r="M7276" s="369" cm="1">
        <f t="array" ref="M7276">+_xlfn.IFS((C7276&gt;='Resultats - informe'!$D$26)*(C7276&lt;='Resultats - informe'!$E$26),0,(C7276&gt;='Resultats - informe'!$D$27)*(C7276&lt;='Resultats - informe'!$E$27),0,(C7276&gt;='Resultats - informe'!$D$28)*(C7276&lt;='Resultats - informe'!$E$28),0,(C7276&gt;='Resultats - informe'!$D$29)*(C7276&lt;='Resultats - informe'!$E$29),0,1,1)</f>
        <v>0</v>
      </c>
      <c r="N7276" s="366">
        <f>+VLOOKUP(D7276,'Resultats - informe'!$Y$18:$AG$42,'Introducció dades consum'!K7276+1,0)</f>
        <v>0</v>
      </c>
      <c r="O7276" s="370" cm="1">
        <f t="array" ref="O7276">+_xlfn.SWITCH(MONTH(C7276),1,1,2,1,3,1,4,2,5,2,6,3,7,3,8,3,9,3,10,2,11,2,12,1,2)</f>
        <v>1</v>
      </c>
      <c r="P7276" s="43"/>
    </row>
    <row r="7277" spans="1:16" ht="18" x14ac:dyDescent="0.35">
      <c r="A7277" s="9"/>
      <c r="C7277" s="393"/>
      <c r="E7277" s="394"/>
      <c r="F7277" s="394"/>
      <c r="G7277" s="394"/>
      <c r="I7277" s="368">
        <f t="shared" si="345"/>
        <v>0</v>
      </c>
      <c r="J7277" s="365">
        <f t="shared" si="346"/>
        <v>0</v>
      </c>
      <c r="K7277" s="369">
        <f t="shared" si="347"/>
        <v>6</v>
      </c>
      <c r="L7277" s="369">
        <f>+IF((C7277&gt;='Resultats - informe'!$E$16)*(C7277&lt;='Resultats - informe'!$G$16),1,0)</f>
        <v>1</v>
      </c>
      <c r="M7277" s="369" cm="1">
        <f t="array" ref="M7277">+_xlfn.IFS((C7277&gt;='Resultats - informe'!$D$26)*(C7277&lt;='Resultats - informe'!$E$26),0,(C7277&gt;='Resultats - informe'!$D$27)*(C7277&lt;='Resultats - informe'!$E$27),0,(C7277&gt;='Resultats - informe'!$D$28)*(C7277&lt;='Resultats - informe'!$E$28),0,(C7277&gt;='Resultats - informe'!$D$29)*(C7277&lt;='Resultats - informe'!$E$29),0,1,1)</f>
        <v>0</v>
      </c>
      <c r="N7277" s="366">
        <f>+VLOOKUP(D7277,'Resultats - informe'!$Y$18:$AG$42,'Introducció dades consum'!K7277+1,0)</f>
        <v>0</v>
      </c>
      <c r="O7277" s="370" cm="1">
        <f t="array" ref="O7277">+_xlfn.SWITCH(MONTH(C7277),1,1,2,1,3,1,4,2,5,2,6,3,7,3,8,3,9,3,10,2,11,2,12,1,2)</f>
        <v>1</v>
      </c>
      <c r="P7277" s="43"/>
    </row>
    <row r="7278" spans="1:16" ht="18" x14ac:dyDescent="0.35">
      <c r="A7278" s="9"/>
      <c r="C7278" s="393"/>
      <c r="E7278" s="394"/>
      <c r="F7278" s="394"/>
      <c r="G7278" s="394"/>
      <c r="I7278" s="368">
        <f t="shared" si="345"/>
        <v>0</v>
      </c>
      <c r="J7278" s="365">
        <f t="shared" si="346"/>
        <v>0</v>
      </c>
      <c r="K7278" s="369">
        <f t="shared" si="347"/>
        <v>6</v>
      </c>
      <c r="L7278" s="369">
        <f>+IF((C7278&gt;='Resultats - informe'!$E$16)*(C7278&lt;='Resultats - informe'!$G$16),1,0)</f>
        <v>1</v>
      </c>
      <c r="M7278" s="369" cm="1">
        <f t="array" ref="M7278">+_xlfn.IFS((C7278&gt;='Resultats - informe'!$D$26)*(C7278&lt;='Resultats - informe'!$E$26),0,(C7278&gt;='Resultats - informe'!$D$27)*(C7278&lt;='Resultats - informe'!$E$27),0,(C7278&gt;='Resultats - informe'!$D$28)*(C7278&lt;='Resultats - informe'!$E$28),0,(C7278&gt;='Resultats - informe'!$D$29)*(C7278&lt;='Resultats - informe'!$E$29),0,1,1)</f>
        <v>0</v>
      </c>
      <c r="N7278" s="366">
        <f>+VLOOKUP(D7278,'Resultats - informe'!$Y$18:$AG$42,'Introducció dades consum'!K7278+1,0)</f>
        <v>0</v>
      </c>
      <c r="O7278" s="370" cm="1">
        <f t="array" ref="O7278">+_xlfn.SWITCH(MONTH(C7278),1,1,2,1,3,1,4,2,5,2,6,3,7,3,8,3,9,3,10,2,11,2,12,1,2)</f>
        <v>1</v>
      </c>
      <c r="P7278" s="43"/>
    </row>
    <row r="7279" spans="1:16" ht="18" x14ac:dyDescent="0.35">
      <c r="A7279" s="9"/>
      <c r="C7279" s="393"/>
      <c r="E7279" s="394"/>
      <c r="F7279" s="394"/>
      <c r="G7279" s="394"/>
      <c r="I7279" s="368">
        <f t="shared" si="345"/>
        <v>0</v>
      </c>
      <c r="J7279" s="365">
        <f t="shared" si="346"/>
        <v>0</v>
      </c>
      <c r="K7279" s="369">
        <f t="shared" si="347"/>
        <v>6</v>
      </c>
      <c r="L7279" s="369">
        <f>+IF((C7279&gt;='Resultats - informe'!$E$16)*(C7279&lt;='Resultats - informe'!$G$16),1,0)</f>
        <v>1</v>
      </c>
      <c r="M7279" s="369" cm="1">
        <f t="array" ref="M7279">+_xlfn.IFS((C7279&gt;='Resultats - informe'!$D$26)*(C7279&lt;='Resultats - informe'!$E$26),0,(C7279&gt;='Resultats - informe'!$D$27)*(C7279&lt;='Resultats - informe'!$E$27),0,(C7279&gt;='Resultats - informe'!$D$28)*(C7279&lt;='Resultats - informe'!$E$28),0,(C7279&gt;='Resultats - informe'!$D$29)*(C7279&lt;='Resultats - informe'!$E$29),0,1,1)</f>
        <v>0</v>
      </c>
      <c r="N7279" s="366">
        <f>+VLOOKUP(D7279,'Resultats - informe'!$Y$18:$AG$42,'Introducció dades consum'!K7279+1,0)</f>
        <v>0</v>
      </c>
      <c r="O7279" s="370" cm="1">
        <f t="array" ref="O7279">+_xlfn.SWITCH(MONTH(C7279),1,1,2,1,3,1,4,2,5,2,6,3,7,3,8,3,9,3,10,2,11,2,12,1,2)</f>
        <v>1</v>
      </c>
      <c r="P7279" s="43"/>
    </row>
    <row r="7280" spans="1:16" ht="18" x14ac:dyDescent="0.35">
      <c r="A7280" s="9"/>
      <c r="C7280" s="393"/>
      <c r="E7280" s="394"/>
      <c r="F7280" s="394"/>
      <c r="G7280" s="394"/>
      <c r="I7280" s="368">
        <f t="shared" si="345"/>
        <v>0</v>
      </c>
      <c r="J7280" s="365">
        <f t="shared" si="346"/>
        <v>0</v>
      </c>
      <c r="K7280" s="369">
        <f t="shared" si="347"/>
        <v>6</v>
      </c>
      <c r="L7280" s="369">
        <f>+IF((C7280&gt;='Resultats - informe'!$E$16)*(C7280&lt;='Resultats - informe'!$G$16),1,0)</f>
        <v>1</v>
      </c>
      <c r="M7280" s="369" cm="1">
        <f t="array" ref="M7280">+_xlfn.IFS((C7280&gt;='Resultats - informe'!$D$26)*(C7280&lt;='Resultats - informe'!$E$26),0,(C7280&gt;='Resultats - informe'!$D$27)*(C7280&lt;='Resultats - informe'!$E$27),0,(C7280&gt;='Resultats - informe'!$D$28)*(C7280&lt;='Resultats - informe'!$E$28),0,(C7280&gt;='Resultats - informe'!$D$29)*(C7280&lt;='Resultats - informe'!$E$29),0,1,1)</f>
        <v>0</v>
      </c>
      <c r="N7280" s="366">
        <f>+VLOOKUP(D7280,'Resultats - informe'!$Y$18:$AG$42,'Introducció dades consum'!K7280+1,0)</f>
        <v>0</v>
      </c>
      <c r="O7280" s="370" cm="1">
        <f t="array" ref="O7280">+_xlfn.SWITCH(MONTH(C7280),1,1,2,1,3,1,4,2,5,2,6,3,7,3,8,3,9,3,10,2,11,2,12,1,2)</f>
        <v>1</v>
      </c>
      <c r="P7280" s="43"/>
    </row>
    <row r="7281" spans="1:16" ht="18" x14ac:dyDescent="0.35">
      <c r="A7281" s="9"/>
      <c r="C7281" s="393"/>
      <c r="E7281" s="394"/>
      <c r="F7281" s="394"/>
      <c r="G7281" s="394"/>
      <c r="I7281" s="368">
        <f t="shared" si="345"/>
        <v>0</v>
      </c>
      <c r="J7281" s="365">
        <f t="shared" si="346"/>
        <v>0</v>
      </c>
      <c r="K7281" s="369">
        <f t="shared" si="347"/>
        <v>6</v>
      </c>
      <c r="L7281" s="369">
        <f>+IF((C7281&gt;='Resultats - informe'!$E$16)*(C7281&lt;='Resultats - informe'!$G$16),1,0)</f>
        <v>1</v>
      </c>
      <c r="M7281" s="369" cm="1">
        <f t="array" ref="M7281">+_xlfn.IFS((C7281&gt;='Resultats - informe'!$D$26)*(C7281&lt;='Resultats - informe'!$E$26),0,(C7281&gt;='Resultats - informe'!$D$27)*(C7281&lt;='Resultats - informe'!$E$27),0,(C7281&gt;='Resultats - informe'!$D$28)*(C7281&lt;='Resultats - informe'!$E$28),0,(C7281&gt;='Resultats - informe'!$D$29)*(C7281&lt;='Resultats - informe'!$E$29),0,1,1)</f>
        <v>0</v>
      </c>
      <c r="N7281" s="366">
        <f>+VLOOKUP(D7281,'Resultats - informe'!$Y$18:$AG$42,'Introducció dades consum'!K7281+1,0)</f>
        <v>0</v>
      </c>
      <c r="O7281" s="370" cm="1">
        <f t="array" ref="O7281">+_xlfn.SWITCH(MONTH(C7281),1,1,2,1,3,1,4,2,5,2,6,3,7,3,8,3,9,3,10,2,11,2,12,1,2)</f>
        <v>1</v>
      </c>
      <c r="P7281" s="43"/>
    </row>
    <row r="7282" spans="1:16" ht="18" x14ac:dyDescent="0.35">
      <c r="A7282" s="9"/>
      <c r="C7282" s="393"/>
      <c r="E7282" s="394"/>
      <c r="F7282" s="394"/>
      <c r="G7282" s="394"/>
      <c r="I7282" s="368">
        <f t="shared" si="345"/>
        <v>0</v>
      </c>
      <c r="J7282" s="365">
        <f t="shared" si="346"/>
        <v>0</v>
      </c>
      <c r="K7282" s="369">
        <f t="shared" si="347"/>
        <v>6</v>
      </c>
      <c r="L7282" s="369">
        <f>+IF((C7282&gt;='Resultats - informe'!$E$16)*(C7282&lt;='Resultats - informe'!$G$16),1,0)</f>
        <v>1</v>
      </c>
      <c r="M7282" s="369" cm="1">
        <f t="array" ref="M7282">+_xlfn.IFS((C7282&gt;='Resultats - informe'!$D$26)*(C7282&lt;='Resultats - informe'!$E$26),0,(C7282&gt;='Resultats - informe'!$D$27)*(C7282&lt;='Resultats - informe'!$E$27),0,(C7282&gt;='Resultats - informe'!$D$28)*(C7282&lt;='Resultats - informe'!$E$28),0,(C7282&gt;='Resultats - informe'!$D$29)*(C7282&lt;='Resultats - informe'!$E$29),0,1,1)</f>
        <v>0</v>
      </c>
      <c r="N7282" s="366">
        <f>+VLOOKUP(D7282,'Resultats - informe'!$Y$18:$AG$42,'Introducció dades consum'!K7282+1,0)</f>
        <v>0</v>
      </c>
      <c r="O7282" s="370" cm="1">
        <f t="array" ref="O7282">+_xlfn.SWITCH(MONTH(C7282),1,1,2,1,3,1,4,2,5,2,6,3,7,3,8,3,9,3,10,2,11,2,12,1,2)</f>
        <v>1</v>
      </c>
      <c r="P7282" s="43"/>
    </row>
    <row r="7283" spans="1:16" ht="18" x14ac:dyDescent="0.35">
      <c r="A7283" s="9"/>
      <c r="C7283" s="393"/>
      <c r="E7283" s="394"/>
      <c r="F7283" s="394"/>
      <c r="G7283" s="394"/>
      <c r="I7283" s="368">
        <f t="shared" si="345"/>
        <v>0</v>
      </c>
      <c r="J7283" s="365">
        <f t="shared" si="346"/>
        <v>0</v>
      </c>
      <c r="K7283" s="369">
        <f t="shared" si="347"/>
        <v>6</v>
      </c>
      <c r="L7283" s="369">
        <f>+IF((C7283&gt;='Resultats - informe'!$E$16)*(C7283&lt;='Resultats - informe'!$G$16),1,0)</f>
        <v>1</v>
      </c>
      <c r="M7283" s="369" cm="1">
        <f t="array" ref="M7283">+_xlfn.IFS((C7283&gt;='Resultats - informe'!$D$26)*(C7283&lt;='Resultats - informe'!$E$26),0,(C7283&gt;='Resultats - informe'!$D$27)*(C7283&lt;='Resultats - informe'!$E$27),0,(C7283&gt;='Resultats - informe'!$D$28)*(C7283&lt;='Resultats - informe'!$E$28),0,(C7283&gt;='Resultats - informe'!$D$29)*(C7283&lt;='Resultats - informe'!$E$29),0,1,1)</f>
        <v>0</v>
      </c>
      <c r="N7283" s="366">
        <f>+VLOOKUP(D7283,'Resultats - informe'!$Y$18:$AG$42,'Introducció dades consum'!K7283+1,0)</f>
        <v>0</v>
      </c>
      <c r="O7283" s="370" cm="1">
        <f t="array" ref="O7283">+_xlfn.SWITCH(MONTH(C7283),1,1,2,1,3,1,4,2,5,2,6,3,7,3,8,3,9,3,10,2,11,2,12,1,2)</f>
        <v>1</v>
      </c>
      <c r="P7283" s="43"/>
    </row>
    <row r="7284" spans="1:16" ht="18" x14ac:dyDescent="0.35">
      <c r="A7284" s="9"/>
      <c r="C7284" s="393"/>
      <c r="E7284" s="394"/>
      <c r="F7284" s="394"/>
      <c r="G7284" s="394"/>
      <c r="I7284" s="368">
        <f t="shared" si="345"/>
        <v>0</v>
      </c>
      <c r="J7284" s="365">
        <f t="shared" si="346"/>
        <v>0</v>
      </c>
      <c r="K7284" s="369">
        <f t="shared" si="347"/>
        <v>6</v>
      </c>
      <c r="L7284" s="369">
        <f>+IF((C7284&gt;='Resultats - informe'!$E$16)*(C7284&lt;='Resultats - informe'!$G$16),1,0)</f>
        <v>1</v>
      </c>
      <c r="M7284" s="369" cm="1">
        <f t="array" ref="M7284">+_xlfn.IFS((C7284&gt;='Resultats - informe'!$D$26)*(C7284&lt;='Resultats - informe'!$E$26),0,(C7284&gt;='Resultats - informe'!$D$27)*(C7284&lt;='Resultats - informe'!$E$27),0,(C7284&gt;='Resultats - informe'!$D$28)*(C7284&lt;='Resultats - informe'!$E$28),0,(C7284&gt;='Resultats - informe'!$D$29)*(C7284&lt;='Resultats - informe'!$E$29),0,1,1)</f>
        <v>0</v>
      </c>
      <c r="N7284" s="366">
        <f>+VLOOKUP(D7284,'Resultats - informe'!$Y$18:$AG$42,'Introducció dades consum'!K7284+1,0)</f>
        <v>0</v>
      </c>
      <c r="O7284" s="370" cm="1">
        <f t="array" ref="O7284">+_xlfn.SWITCH(MONTH(C7284),1,1,2,1,3,1,4,2,5,2,6,3,7,3,8,3,9,3,10,2,11,2,12,1,2)</f>
        <v>1</v>
      </c>
      <c r="P7284" s="43"/>
    </row>
    <row r="7285" spans="1:16" ht="18" x14ac:dyDescent="0.35">
      <c r="A7285" s="9"/>
      <c r="C7285" s="393"/>
      <c r="E7285" s="394"/>
      <c r="F7285" s="394"/>
      <c r="G7285" s="394"/>
      <c r="I7285" s="368">
        <f t="shared" si="345"/>
        <v>0</v>
      </c>
      <c r="J7285" s="365">
        <f t="shared" si="346"/>
        <v>0</v>
      </c>
      <c r="K7285" s="369">
        <f t="shared" si="347"/>
        <v>6</v>
      </c>
      <c r="L7285" s="369">
        <f>+IF((C7285&gt;='Resultats - informe'!$E$16)*(C7285&lt;='Resultats - informe'!$G$16),1,0)</f>
        <v>1</v>
      </c>
      <c r="M7285" s="369" cm="1">
        <f t="array" ref="M7285">+_xlfn.IFS((C7285&gt;='Resultats - informe'!$D$26)*(C7285&lt;='Resultats - informe'!$E$26),0,(C7285&gt;='Resultats - informe'!$D$27)*(C7285&lt;='Resultats - informe'!$E$27),0,(C7285&gt;='Resultats - informe'!$D$28)*(C7285&lt;='Resultats - informe'!$E$28),0,(C7285&gt;='Resultats - informe'!$D$29)*(C7285&lt;='Resultats - informe'!$E$29),0,1,1)</f>
        <v>0</v>
      </c>
      <c r="N7285" s="366">
        <f>+VLOOKUP(D7285,'Resultats - informe'!$Y$18:$AG$42,'Introducció dades consum'!K7285+1,0)</f>
        <v>0</v>
      </c>
      <c r="O7285" s="370" cm="1">
        <f t="array" ref="O7285">+_xlfn.SWITCH(MONTH(C7285),1,1,2,1,3,1,4,2,5,2,6,3,7,3,8,3,9,3,10,2,11,2,12,1,2)</f>
        <v>1</v>
      </c>
      <c r="P7285" s="43"/>
    </row>
    <row r="7286" spans="1:16" ht="18" x14ac:dyDescent="0.35">
      <c r="A7286" s="9"/>
      <c r="C7286" s="393"/>
      <c r="E7286" s="394"/>
      <c r="F7286" s="394"/>
      <c r="G7286" s="394"/>
      <c r="I7286" s="368">
        <f t="shared" si="345"/>
        <v>0</v>
      </c>
      <c r="J7286" s="365">
        <f t="shared" si="346"/>
        <v>0</v>
      </c>
      <c r="K7286" s="369">
        <f t="shared" si="347"/>
        <v>6</v>
      </c>
      <c r="L7286" s="369">
        <f>+IF((C7286&gt;='Resultats - informe'!$E$16)*(C7286&lt;='Resultats - informe'!$G$16),1,0)</f>
        <v>1</v>
      </c>
      <c r="M7286" s="369" cm="1">
        <f t="array" ref="M7286">+_xlfn.IFS((C7286&gt;='Resultats - informe'!$D$26)*(C7286&lt;='Resultats - informe'!$E$26),0,(C7286&gt;='Resultats - informe'!$D$27)*(C7286&lt;='Resultats - informe'!$E$27),0,(C7286&gt;='Resultats - informe'!$D$28)*(C7286&lt;='Resultats - informe'!$E$28),0,(C7286&gt;='Resultats - informe'!$D$29)*(C7286&lt;='Resultats - informe'!$E$29),0,1,1)</f>
        <v>0</v>
      </c>
      <c r="N7286" s="366">
        <f>+VLOOKUP(D7286,'Resultats - informe'!$Y$18:$AG$42,'Introducció dades consum'!K7286+1,0)</f>
        <v>0</v>
      </c>
      <c r="O7286" s="370" cm="1">
        <f t="array" ref="O7286">+_xlfn.SWITCH(MONTH(C7286),1,1,2,1,3,1,4,2,5,2,6,3,7,3,8,3,9,3,10,2,11,2,12,1,2)</f>
        <v>1</v>
      </c>
      <c r="P7286" s="43"/>
    </row>
    <row r="7287" spans="1:16" ht="18" x14ac:dyDescent="0.35">
      <c r="A7287" s="9"/>
      <c r="C7287" s="393"/>
      <c r="E7287" s="394"/>
      <c r="F7287" s="394"/>
      <c r="G7287" s="394"/>
      <c r="I7287" s="368">
        <f t="shared" si="345"/>
        <v>0</v>
      </c>
      <c r="J7287" s="365">
        <f t="shared" si="346"/>
        <v>0</v>
      </c>
      <c r="K7287" s="369">
        <f t="shared" si="347"/>
        <v>6</v>
      </c>
      <c r="L7287" s="369">
        <f>+IF((C7287&gt;='Resultats - informe'!$E$16)*(C7287&lt;='Resultats - informe'!$G$16),1,0)</f>
        <v>1</v>
      </c>
      <c r="M7287" s="369" cm="1">
        <f t="array" ref="M7287">+_xlfn.IFS((C7287&gt;='Resultats - informe'!$D$26)*(C7287&lt;='Resultats - informe'!$E$26),0,(C7287&gt;='Resultats - informe'!$D$27)*(C7287&lt;='Resultats - informe'!$E$27),0,(C7287&gt;='Resultats - informe'!$D$28)*(C7287&lt;='Resultats - informe'!$E$28),0,(C7287&gt;='Resultats - informe'!$D$29)*(C7287&lt;='Resultats - informe'!$E$29),0,1,1)</f>
        <v>0</v>
      </c>
      <c r="N7287" s="366">
        <f>+VLOOKUP(D7287,'Resultats - informe'!$Y$18:$AG$42,'Introducció dades consum'!K7287+1,0)</f>
        <v>0</v>
      </c>
      <c r="O7287" s="370" cm="1">
        <f t="array" ref="O7287">+_xlfn.SWITCH(MONTH(C7287),1,1,2,1,3,1,4,2,5,2,6,3,7,3,8,3,9,3,10,2,11,2,12,1,2)</f>
        <v>1</v>
      </c>
      <c r="P7287" s="43"/>
    </row>
    <row r="7288" spans="1:16" ht="18" x14ac:dyDescent="0.35">
      <c r="A7288" s="9"/>
      <c r="C7288" s="393"/>
      <c r="E7288" s="394"/>
      <c r="F7288" s="394"/>
      <c r="G7288" s="394"/>
      <c r="I7288" s="368">
        <f t="shared" si="345"/>
        <v>0</v>
      </c>
      <c r="J7288" s="365">
        <f t="shared" si="346"/>
        <v>0</v>
      </c>
      <c r="K7288" s="369">
        <f t="shared" si="347"/>
        <v>6</v>
      </c>
      <c r="L7288" s="369">
        <f>+IF((C7288&gt;='Resultats - informe'!$E$16)*(C7288&lt;='Resultats - informe'!$G$16),1,0)</f>
        <v>1</v>
      </c>
      <c r="M7288" s="369" cm="1">
        <f t="array" ref="M7288">+_xlfn.IFS((C7288&gt;='Resultats - informe'!$D$26)*(C7288&lt;='Resultats - informe'!$E$26),0,(C7288&gt;='Resultats - informe'!$D$27)*(C7288&lt;='Resultats - informe'!$E$27),0,(C7288&gt;='Resultats - informe'!$D$28)*(C7288&lt;='Resultats - informe'!$E$28),0,(C7288&gt;='Resultats - informe'!$D$29)*(C7288&lt;='Resultats - informe'!$E$29),0,1,1)</f>
        <v>0</v>
      </c>
      <c r="N7288" s="366">
        <f>+VLOOKUP(D7288,'Resultats - informe'!$Y$18:$AG$42,'Introducció dades consum'!K7288+1,0)</f>
        <v>0</v>
      </c>
      <c r="O7288" s="370" cm="1">
        <f t="array" ref="O7288">+_xlfn.SWITCH(MONTH(C7288),1,1,2,1,3,1,4,2,5,2,6,3,7,3,8,3,9,3,10,2,11,2,12,1,2)</f>
        <v>1</v>
      </c>
      <c r="P7288" s="43"/>
    </row>
    <row r="7289" spans="1:16" ht="18" x14ac:dyDescent="0.35">
      <c r="A7289" s="9"/>
      <c r="C7289" s="393"/>
      <c r="E7289" s="394"/>
      <c r="F7289" s="394"/>
      <c r="G7289" s="394"/>
      <c r="I7289" s="368">
        <f t="shared" si="345"/>
        <v>0</v>
      </c>
      <c r="J7289" s="365">
        <f t="shared" si="346"/>
        <v>0</v>
      </c>
      <c r="K7289" s="369">
        <f t="shared" si="347"/>
        <v>6</v>
      </c>
      <c r="L7289" s="369">
        <f>+IF((C7289&gt;='Resultats - informe'!$E$16)*(C7289&lt;='Resultats - informe'!$G$16),1,0)</f>
        <v>1</v>
      </c>
      <c r="M7289" s="369" cm="1">
        <f t="array" ref="M7289">+_xlfn.IFS((C7289&gt;='Resultats - informe'!$D$26)*(C7289&lt;='Resultats - informe'!$E$26),0,(C7289&gt;='Resultats - informe'!$D$27)*(C7289&lt;='Resultats - informe'!$E$27),0,(C7289&gt;='Resultats - informe'!$D$28)*(C7289&lt;='Resultats - informe'!$E$28),0,(C7289&gt;='Resultats - informe'!$D$29)*(C7289&lt;='Resultats - informe'!$E$29),0,1,1)</f>
        <v>0</v>
      </c>
      <c r="N7289" s="366">
        <f>+VLOOKUP(D7289,'Resultats - informe'!$Y$18:$AG$42,'Introducció dades consum'!K7289+1,0)</f>
        <v>0</v>
      </c>
      <c r="O7289" s="370" cm="1">
        <f t="array" ref="O7289">+_xlfn.SWITCH(MONTH(C7289),1,1,2,1,3,1,4,2,5,2,6,3,7,3,8,3,9,3,10,2,11,2,12,1,2)</f>
        <v>1</v>
      </c>
      <c r="P7289" s="43"/>
    </row>
    <row r="7290" spans="1:16" ht="18" x14ac:dyDescent="0.35">
      <c r="A7290" s="9"/>
      <c r="C7290" s="393"/>
      <c r="E7290" s="394"/>
      <c r="F7290" s="394"/>
      <c r="G7290" s="394"/>
      <c r="I7290" s="368">
        <f t="shared" si="345"/>
        <v>0</v>
      </c>
      <c r="J7290" s="365">
        <f t="shared" si="346"/>
        <v>0</v>
      </c>
      <c r="K7290" s="369">
        <f t="shared" si="347"/>
        <v>6</v>
      </c>
      <c r="L7290" s="369">
        <f>+IF((C7290&gt;='Resultats - informe'!$E$16)*(C7290&lt;='Resultats - informe'!$G$16),1,0)</f>
        <v>1</v>
      </c>
      <c r="M7290" s="369" cm="1">
        <f t="array" ref="M7290">+_xlfn.IFS((C7290&gt;='Resultats - informe'!$D$26)*(C7290&lt;='Resultats - informe'!$E$26),0,(C7290&gt;='Resultats - informe'!$D$27)*(C7290&lt;='Resultats - informe'!$E$27),0,(C7290&gt;='Resultats - informe'!$D$28)*(C7290&lt;='Resultats - informe'!$E$28),0,(C7290&gt;='Resultats - informe'!$D$29)*(C7290&lt;='Resultats - informe'!$E$29),0,1,1)</f>
        <v>0</v>
      </c>
      <c r="N7290" s="366">
        <f>+VLOOKUP(D7290,'Resultats - informe'!$Y$18:$AG$42,'Introducció dades consum'!K7290+1,0)</f>
        <v>0</v>
      </c>
      <c r="O7290" s="370" cm="1">
        <f t="array" ref="O7290">+_xlfn.SWITCH(MONTH(C7290),1,1,2,1,3,1,4,2,5,2,6,3,7,3,8,3,9,3,10,2,11,2,12,1,2)</f>
        <v>1</v>
      </c>
      <c r="P7290" s="43"/>
    </row>
    <row r="7291" spans="1:16" ht="18" x14ac:dyDescent="0.35">
      <c r="A7291" s="9"/>
      <c r="C7291" s="393"/>
      <c r="E7291" s="394"/>
      <c r="F7291" s="394"/>
      <c r="G7291" s="394"/>
      <c r="I7291" s="368">
        <f t="shared" si="345"/>
        <v>0</v>
      </c>
      <c r="J7291" s="365">
        <f t="shared" si="346"/>
        <v>0</v>
      </c>
      <c r="K7291" s="369">
        <f t="shared" si="347"/>
        <v>6</v>
      </c>
      <c r="L7291" s="369">
        <f>+IF((C7291&gt;='Resultats - informe'!$E$16)*(C7291&lt;='Resultats - informe'!$G$16),1,0)</f>
        <v>1</v>
      </c>
      <c r="M7291" s="369" cm="1">
        <f t="array" ref="M7291">+_xlfn.IFS((C7291&gt;='Resultats - informe'!$D$26)*(C7291&lt;='Resultats - informe'!$E$26),0,(C7291&gt;='Resultats - informe'!$D$27)*(C7291&lt;='Resultats - informe'!$E$27),0,(C7291&gt;='Resultats - informe'!$D$28)*(C7291&lt;='Resultats - informe'!$E$28),0,(C7291&gt;='Resultats - informe'!$D$29)*(C7291&lt;='Resultats - informe'!$E$29),0,1,1)</f>
        <v>0</v>
      </c>
      <c r="N7291" s="366">
        <f>+VLOOKUP(D7291,'Resultats - informe'!$Y$18:$AG$42,'Introducció dades consum'!K7291+1,0)</f>
        <v>0</v>
      </c>
      <c r="O7291" s="370" cm="1">
        <f t="array" ref="O7291">+_xlfn.SWITCH(MONTH(C7291),1,1,2,1,3,1,4,2,5,2,6,3,7,3,8,3,9,3,10,2,11,2,12,1,2)</f>
        <v>1</v>
      </c>
      <c r="P7291" s="43"/>
    </row>
    <row r="7292" spans="1:16" ht="18" x14ac:dyDescent="0.35">
      <c r="A7292" s="9"/>
      <c r="C7292" s="393"/>
      <c r="E7292" s="394"/>
      <c r="F7292" s="394"/>
      <c r="G7292" s="394"/>
      <c r="I7292" s="368">
        <f t="shared" si="345"/>
        <v>0</v>
      </c>
      <c r="J7292" s="365">
        <f t="shared" si="346"/>
        <v>0</v>
      </c>
      <c r="K7292" s="369">
        <f t="shared" si="347"/>
        <v>6</v>
      </c>
      <c r="L7292" s="369">
        <f>+IF((C7292&gt;='Resultats - informe'!$E$16)*(C7292&lt;='Resultats - informe'!$G$16),1,0)</f>
        <v>1</v>
      </c>
      <c r="M7292" s="369" cm="1">
        <f t="array" ref="M7292">+_xlfn.IFS((C7292&gt;='Resultats - informe'!$D$26)*(C7292&lt;='Resultats - informe'!$E$26),0,(C7292&gt;='Resultats - informe'!$D$27)*(C7292&lt;='Resultats - informe'!$E$27),0,(C7292&gt;='Resultats - informe'!$D$28)*(C7292&lt;='Resultats - informe'!$E$28),0,(C7292&gt;='Resultats - informe'!$D$29)*(C7292&lt;='Resultats - informe'!$E$29),0,1,1)</f>
        <v>0</v>
      </c>
      <c r="N7292" s="366">
        <f>+VLOOKUP(D7292,'Resultats - informe'!$Y$18:$AG$42,'Introducció dades consum'!K7292+1,0)</f>
        <v>0</v>
      </c>
      <c r="O7292" s="370" cm="1">
        <f t="array" ref="O7292">+_xlfn.SWITCH(MONTH(C7292),1,1,2,1,3,1,4,2,5,2,6,3,7,3,8,3,9,3,10,2,11,2,12,1,2)</f>
        <v>1</v>
      </c>
      <c r="P7292" s="43"/>
    </row>
    <row r="7293" spans="1:16" ht="18" x14ac:dyDescent="0.35">
      <c r="A7293" s="9"/>
      <c r="C7293" s="393"/>
      <c r="E7293" s="394"/>
      <c r="F7293" s="394"/>
      <c r="G7293" s="394"/>
      <c r="I7293" s="368">
        <f t="shared" si="345"/>
        <v>0</v>
      </c>
      <c r="J7293" s="365">
        <f t="shared" si="346"/>
        <v>0</v>
      </c>
      <c r="K7293" s="369">
        <f t="shared" si="347"/>
        <v>6</v>
      </c>
      <c r="L7293" s="369">
        <f>+IF((C7293&gt;='Resultats - informe'!$E$16)*(C7293&lt;='Resultats - informe'!$G$16),1,0)</f>
        <v>1</v>
      </c>
      <c r="M7293" s="369" cm="1">
        <f t="array" ref="M7293">+_xlfn.IFS((C7293&gt;='Resultats - informe'!$D$26)*(C7293&lt;='Resultats - informe'!$E$26),0,(C7293&gt;='Resultats - informe'!$D$27)*(C7293&lt;='Resultats - informe'!$E$27),0,(C7293&gt;='Resultats - informe'!$D$28)*(C7293&lt;='Resultats - informe'!$E$28),0,(C7293&gt;='Resultats - informe'!$D$29)*(C7293&lt;='Resultats - informe'!$E$29),0,1,1)</f>
        <v>0</v>
      </c>
      <c r="N7293" s="366">
        <f>+VLOOKUP(D7293,'Resultats - informe'!$Y$18:$AG$42,'Introducció dades consum'!K7293+1,0)</f>
        <v>0</v>
      </c>
      <c r="O7293" s="370" cm="1">
        <f t="array" ref="O7293">+_xlfn.SWITCH(MONTH(C7293),1,1,2,1,3,1,4,2,5,2,6,3,7,3,8,3,9,3,10,2,11,2,12,1,2)</f>
        <v>1</v>
      </c>
      <c r="P7293" s="43"/>
    </row>
    <row r="7294" spans="1:16" ht="18" x14ac:dyDescent="0.35">
      <c r="A7294" s="9"/>
      <c r="C7294" s="393"/>
      <c r="E7294" s="394"/>
      <c r="F7294" s="394"/>
      <c r="G7294" s="394"/>
      <c r="I7294" s="368">
        <f t="shared" si="345"/>
        <v>0</v>
      </c>
      <c r="J7294" s="365">
        <f t="shared" si="346"/>
        <v>0</v>
      </c>
      <c r="K7294" s="369">
        <f t="shared" si="347"/>
        <v>6</v>
      </c>
      <c r="L7294" s="369">
        <f>+IF((C7294&gt;='Resultats - informe'!$E$16)*(C7294&lt;='Resultats - informe'!$G$16),1,0)</f>
        <v>1</v>
      </c>
      <c r="M7294" s="369" cm="1">
        <f t="array" ref="M7294">+_xlfn.IFS((C7294&gt;='Resultats - informe'!$D$26)*(C7294&lt;='Resultats - informe'!$E$26),0,(C7294&gt;='Resultats - informe'!$D$27)*(C7294&lt;='Resultats - informe'!$E$27),0,(C7294&gt;='Resultats - informe'!$D$28)*(C7294&lt;='Resultats - informe'!$E$28),0,(C7294&gt;='Resultats - informe'!$D$29)*(C7294&lt;='Resultats - informe'!$E$29),0,1,1)</f>
        <v>0</v>
      </c>
      <c r="N7294" s="366">
        <f>+VLOOKUP(D7294,'Resultats - informe'!$Y$18:$AG$42,'Introducció dades consum'!K7294+1,0)</f>
        <v>0</v>
      </c>
      <c r="O7294" s="370" cm="1">
        <f t="array" ref="O7294">+_xlfn.SWITCH(MONTH(C7294),1,1,2,1,3,1,4,2,5,2,6,3,7,3,8,3,9,3,10,2,11,2,12,1,2)</f>
        <v>1</v>
      </c>
      <c r="P7294" s="43"/>
    </row>
    <row r="7295" spans="1:16" ht="18" x14ac:dyDescent="0.35">
      <c r="A7295" s="9"/>
      <c r="C7295" s="393"/>
      <c r="E7295" s="394"/>
      <c r="F7295" s="394"/>
      <c r="G7295" s="394"/>
      <c r="I7295" s="368">
        <f t="shared" si="345"/>
        <v>0</v>
      </c>
      <c r="J7295" s="365">
        <f t="shared" si="346"/>
        <v>0</v>
      </c>
      <c r="K7295" s="369">
        <f t="shared" si="347"/>
        <v>6</v>
      </c>
      <c r="L7295" s="369">
        <f>+IF((C7295&gt;='Resultats - informe'!$E$16)*(C7295&lt;='Resultats - informe'!$G$16),1,0)</f>
        <v>1</v>
      </c>
      <c r="M7295" s="369" cm="1">
        <f t="array" ref="M7295">+_xlfn.IFS((C7295&gt;='Resultats - informe'!$D$26)*(C7295&lt;='Resultats - informe'!$E$26),0,(C7295&gt;='Resultats - informe'!$D$27)*(C7295&lt;='Resultats - informe'!$E$27),0,(C7295&gt;='Resultats - informe'!$D$28)*(C7295&lt;='Resultats - informe'!$E$28),0,(C7295&gt;='Resultats - informe'!$D$29)*(C7295&lt;='Resultats - informe'!$E$29),0,1,1)</f>
        <v>0</v>
      </c>
      <c r="N7295" s="366">
        <f>+VLOOKUP(D7295,'Resultats - informe'!$Y$18:$AG$42,'Introducció dades consum'!K7295+1,0)</f>
        <v>0</v>
      </c>
      <c r="O7295" s="370" cm="1">
        <f t="array" ref="O7295">+_xlfn.SWITCH(MONTH(C7295),1,1,2,1,3,1,4,2,5,2,6,3,7,3,8,3,9,3,10,2,11,2,12,1,2)</f>
        <v>1</v>
      </c>
      <c r="P7295" s="43"/>
    </row>
    <row r="7296" spans="1:16" ht="18" x14ac:dyDescent="0.35">
      <c r="A7296" s="9"/>
      <c r="C7296" s="393"/>
      <c r="E7296" s="394"/>
      <c r="F7296" s="394"/>
      <c r="G7296" s="394"/>
      <c r="I7296" s="368">
        <f t="shared" si="345"/>
        <v>0</v>
      </c>
      <c r="J7296" s="365">
        <f t="shared" si="346"/>
        <v>0</v>
      </c>
      <c r="K7296" s="369">
        <f t="shared" si="347"/>
        <v>6</v>
      </c>
      <c r="L7296" s="369">
        <f>+IF((C7296&gt;='Resultats - informe'!$E$16)*(C7296&lt;='Resultats - informe'!$G$16),1,0)</f>
        <v>1</v>
      </c>
      <c r="M7296" s="369" cm="1">
        <f t="array" ref="M7296">+_xlfn.IFS((C7296&gt;='Resultats - informe'!$D$26)*(C7296&lt;='Resultats - informe'!$E$26),0,(C7296&gt;='Resultats - informe'!$D$27)*(C7296&lt;='Resultats - informe'!$E$27),0,(C7296&gt;='Resultats - informe'!$D$28)*(C7296&lt;='Resultats - informe'!$E$28),0,(C7296&gt;='Resultats - informe'!$D$29)*(C7296&lt;='Resultats - informe'!$E$29),0,1,1)</f>
        <v>0</v>
      </c>
      <c r="N7296" s="366">
        <f>+VLOOKUP(D7296,'Resultats - informe'!$Y$18:$AG$42,'Introducció dades consum'!K7296+1,0)</f>
        <v>0</v>
      </c>
      <c r="O7296" s="370" cm="1">
        <f t="array" ref="O7296">+_xlfn.SWITCH(MONTH(C7296),1,1,2,1,3,1,4,2,5,2,6,3,7,3,8,3,9,3,10,2,11,2,12,1,2)</f>
        <v>1</v>
      </c>
      <c r="P7296" s="43"/>
    </row>
    <row r="7297" spans="1:16" ht="18" x14ac:dyDescent="0.35">
      <c r="A7297" s="9"/>
      <c r="C7297" s="393"/>
      <c r="E7297" s="394"/>
      <c r="F7297" s="394"/>
      <c r="G7297" s="394"/>
      <c r="I7297" s="368">
        <f t="shared" si="345"/>
        <v>0</v>
      </c>
      <c r="J7297" s="365">
        <f t="shared" si="346"/>
        <v>0</v>
      </c>
      <c r="K7297" s="369">
        <f t="shared" si="347"/>
        <v>6</v>
      </c>
      <c r="L7297" s="369">
        <f>+IF((C7297&gt;='Resultats - informe'!$E$16)*(C7297&lt;='Resultats - informe'!$G$16),1,0)</f>
        <v>1</v>
      </c>
      <c r="M7297" s="369" cm="1">
        <f t="array" ref="M7297">+_xlfn.IFS((C7297&gt;='Resultats - informe'!$D$26)*(C7297&lt;='Resultats - informe'!$E$26),0,(C7297&gt;='Resultats - informe'!$D$27)*(C7297&lt;='Resultats - informe'!$E$27),0,(C7297&gt;='Resultats - informe'!$D$28)*(C7297&lt;='Resultats - informe'!$E$28),0,(C7297&gt;='Resultats - informe'!$D$29)*(C7297&lt;='Resultats - informe'!$E$29),0,1,1)</f>
        <v>0</v>
      </c>
      <c r="N7297" s="366">
        <f>+VLOOKUP(D7297,'Resultats - informe'!$Y$18:$AG$42,'Introducció dades consum'!K7297+1,0)</f>
        <v>0</v>
      </c>
      <c r="O7297" s="370" cm="1">
        <f t="array" ref="O7297">+_xlfn.SWITCH(MONTH(C7297),1,1,2,1,3,1,4,2,5,2,6,3,7,3,8,3,9,3,10,2,11,2,12,1,2)</f>
        <v>1</v>
      </c>
      <c r="P7297" s="43"/>
    </row>
    <row r="7298" spans="1:16" ht="18" x14ac:dyDescent="0.35">
      <c r="A7298" s="9"/>
      <c r="C7298" s="393"/>
      <c r="E7298" s="394"/>
      <c r="F7298" s="394"/>
      <c r="G7298" s="394"/>
      <c r="I7298" s="368">
        <f t="shared" si="345"/>
        <v>0</v>
      </c>
      <c r="J7298" s="365">
        <f t="shared" si="346"/>
        <v>0</v>
      </c>
      <c r="K7298" s="369">
        <f t="shared" si="347"/>
        <v>6</v>
      </c>
      <c r="L7298" s="369">
        <f>+IF((C7298&gt;='Resultats - informe'!$E$16)*(C7298&lt;='Resultats - informe'!$G$16),1,0)</f>
        <v>1</v>
      </c>
      <c r="M7298" s="369" cm="1">
        <f t="array" ref="M7298">+_xlfn.IFS((C7298&gt;='Resultats - informe'!$D$26)*(C7298&lt;='Resultats - informe'!$E$26),0,(C7298&gt;='Resultats - informe'!$D$27)*(C7298&lt;='Resultats - informe'!$E$27),0,(C7298&gt;='Resultats - informe'!$D$28)*(C7298&lt;='Resultats - informe'!$E$28),0,(C7298&gt;='Resultats - informe'!$D$29)*(C7298&lt;='Resultats - informe'!$E$29),0,1,1)</f>
        <v>0</v>
      </c>
      <c r="N7298" s="366">
        <f>+VLOOKUP(D7298,'Resultats - informe'!$Y$18:$AG$42,'Introducció dades consum'!K7298+1,0)</f>
        <v>0</v>
      </c>
      <c r="O7298" s="370" cm="1">
        <f t="array" ref="O7298">+_xlfn.SWITCH(MONTH(C7298),1,1,2,1,3,1,4,2,5,2,6,3,7,3,8,3,9,3,10,2,11,2,12,1,2)</f>
        <v>1</v>
      </c>
      <c r="P7298" s="43"/>
    </row>
    <row r="7299" spans="1:16" ht="18" x14ac:dyDescent="0.35">
      <c r="A7299" s="9"/>
      <c r="C7299" s="393"/>
      <c r="E7299" s="394"/>
      <c r="F7299" s="394"/>
      <c r="G7299" s="394"/>
      <c r="I7299" s="368">
        <f t="shared" si="345"/>
        <v>0</v>
      </c>
      <c r="J7299" s="365">
        <f t="shared" si="346"/>
        <v>0</v>
      </c>
      <c r="K7299" s="369">
        <f t="shared" si="347"/>
        <v>6</v>
      </c>
      <c r="L7299" s="369">
        <f>+IF((C7299&gt;='Resultats - informe'!$E$16)*(C7299&lt;='Resultats - informe'!$G$16),1,0)</f>
        <v>1</v>
      </c>
      <c r="M7299" s="369" cm="1">
        <f t="array" ref="M7299">+_xlfn.IFS((C7299&gt;='Resultats - informe'!$D$26)*(C7299&lt;='Resultats - informe'!$E$26),0,(C7299&gt;='Resultats - informe'!$D$27)*(C7299&lt;='Resultats - informe'!$E$27),0,(C7299&gt;='Resultats - informe'!$D$28)*(C7299&lt;='Resultats - informe'!$E$28),0,(C7299&gt;='Resultats - informe'!$D$29)*(C7299&lt;='Resultats - informe'!$E$29),0,1,1)</f>
        <v>0</v>
      </c>
      <c r="N7299" s="366">
        <f>+VLOOKUP(D7299,'Resultats - informe'!$Y$18:$AG$42,'Introducció dades consum'!K7299+1,0)</f>
        <v>0</v>
      </c>
      <c r="O7299" s="370" cm="1">
        <f t="array" ref="O7299">+_xlfn.SWITCH(MONTH(C7299),1,1,2,1,3,1,4,2,5,2,6,3,7,3,8,3,9,3,10,2,11,2,12,1,2)</f>
        <v>1</v>
      </c>
      <c r="P7299" s="43"/>
    </row>
    <row r="7300" spans="1:16" ht="18" x14ac:dyDescent="0.35">
      <c r="A7300" s="9"/>
      <c r="C7300" s="393"/>
      <c r="E7300" s="394"/>
      <c r="F7300" s="394"/>
      <c r="G7300" s="394"/>
      <c r="I7300" s="368">
        <f t="shared" si="345"/>
        <v>0</v>
      </c>
      <c r="J7300" s="365">
        <f t="shared" si="346"/>
        <v>0</v>
      </c>
      <c r="K7300" s="369">
        <f t="shared" si="347"/>
        <v>6</v>
      </c>
      <c r="L7300" s="369">
        <f>+IF((C7300&gt;='Resultats - informe'!$E$16)*(C7300&lt;='Resultats - informe'!$G$16),1,0)</f>
        <v>1</v>
      </c>
      <c r="M7300" s="369" cm="1">
        <f t="array" ref="M7300">+_xlfn.IFS((C7300&gt;='Resultats - informe'!$D$26)*(C7300&lt;='Resultats - informe'!$E$26),0,(C7300&gt;='Resultats - informe'!$D$27)*(C7300&lt;='Resultats - informe'!$E$27),0,(C7300&gt;='Resultats - informe'!$D$28)*(C7300&lt;='Resultats - informe'!$E$28),0,(C7300&gt;='Resultats - informe'!$D$29)*(C7300&lt;='Resultats - informe'!$E$29),0,1,1)</f>
        <v>0</v>
      </c>
      <c r="N7300" s="366">
        <f>+VLOOKUP(D7300,'Resultats - informe'!$Y$18:$AG$42,'Introducció dades consum'!K7300+1,0)</f>
        <v>0</v>
      </c>
      <c r="O7300" s="370" cm="1">
        <f t="array" ref="O7300">+_xlfn.SWITCH(MONTH(C7300),1,1,2,1,3,1,4,2,5,2,6,3,7,3,8,3,9,3,10,2,11,2,12,1,2)</f>
        <v>1</v>
      </c>
      <c r="P7300" s="43"/>
    </row>
    <row r="7301" spans="1:16" ht="18" x14ac:dyDescent="0.35">
      <c r="A7301" s="9"/>
      <c r="C7301" s="393"/>
      <c r="E7301" s="394"/>
      <c r="F7301" s="394"/>
      <c r="G7301" s="394"/>
      <c r="I7301" s="368">
        <f t="shared" si="345"/>
        <v>0</v>
      </c>
      <c r="J7301" s="365">
        <f t="shared" si="346"/>
        <v>0</v>
      </c>
      <c r="K7301" s="369">
        <f t="shared" si="347"/>
        <v>6</v>
      </c>
      <c r="L7301" s="369">
        <f>+IF((C7301&gt;='Resultats - informe'!$E$16)*(C7301&lt;='Resultats - informe'!$G$16),1,0)</f>
        <v>1</v>
      </c>
      <c r="M7301" s="369" cm="1">
        <f t="array" ref="M7301">+_xlfn.IFS((C7301&gt;='Resultats - informe'!$D$26)*(C7301&lt;='Resultats - informe'!$E$26),0,(C7301&gt;='Resultats - informe'!$D$27)*(C7301&lt;='Resultats - informe'!$E$27),0,(C7301&gt;='Resultats - informe'!$D$28)*(C7301&lt;='Resultats - informe'!$E$28),0,(C7301&gt;='Resultats - informe'!$D$29)*(C7301&lt;='Resultats - informe'!$E$29),0,1,1)</f>
        <v>0</v>
      </c>
      <c r="N7301" s="366">
        <f>+VLOOKUP(D7301,'Resultats - informe'!$Y$18:$AG$42,'Introducció dades consum'!K7301+1,0)</f>
        <v>0</v>
      </c>
      <c r="O7301" s="370" cm="1">
        <f t="array" ref="O7301">+_xlfn.SWITCH(MONTH(C7301),1,1,2,1,3,1,4,2,5,2,6,3,7,3,8,3,9,3,10,2,11,2,12,1,2)</f>
        <v>1</v>
      </c>
      <c r="P7301" s="43"/>
    </row>
    <row r="7302" spans="1:16" ht="18" x14ac:dyDescent="0.35">
      <c r="A7302" s="9"/>
      <c r="C7302" s="393"/>
      <c r="E7302" s="394"/>
      <c r="F7302" s="394"/>
      <c r="G7302" s="394"/>
      <c r="I7302" s="368">
        <f t="shared" si="345"/>
        <v>0</v>
      </c>
      <c r="J7302" s="365">
        <f t="shared" si="346"/>
        <v>0</v>
      </c>
      <c r="K7302" s="369">
        <f t="shared" si="347"/>
        <v>6</v>
      </c>
      <c r="L7302" s="369">
        <f>+IF((C7302&gt;='Resultats - informe'!$E$16)*(C7302&lt;='Resultats - informe'!$G$16),1,0)</f>
        <v>1</v>
      </c>
      <c r="M7302" s="369" cm="1">
        <f t="array" ref="M7302">+_xlfn.IFS((C7302&gt;='Resultats - informe'!$D$26)*(C7302&lt;='Resultats - informe'!$E$26),0,(C7302&gt;='Resultats - informe'!$D$27)*(C7302&lt;='Resultats - informe'!$E$27),0,(C7302&gt;='Resultats - informe'!$D$28)*(C7302&lt;='Resultats - informe'!$E$28),0,(C7302&gt;='Resultats - informe'!$D$29)*(C7302&lt;='Resultats - informe'!$E$29),0,1,1)</f>
        <v>0</v>
      </c>
      <c r="N7302" s="366">
        <f>+VLOOKUP(D7302,'Resultats - informe'!$Y$18:$AG$42,'Introducció dades consum'!K7302+1,0)</f>
        <v>0</v>
      </c>
      <c r="O7302" s="370" cm="1">
        <f t="array" ref="O7302">+_xlfn.SWITCH(MONTH(C7302),1,1,2,1,3,1,4,2,5,2,6,3,7,3,8,3,9,3,10,2,11,2,12,1,2)</f>
        <v>1</v>
      </c>
      <c r="P7302" s="43"/>
    </row>
    <row r="7303" spans="1:16" ht="18" x14ac:dyDescent="0.35">
      <c r="A7303" s="9"/>
      <c r="C7303" s="393"/>
      <c r="E7303" s="394"/>
      <c r="F7303" s="394"/>
      <c r="G7303" s="394"/>
      <c r="I7303" s="368">
        <f t="shared" si="345"/>
        <v>0</v>
      </c>
      <c r="J7303" s="365">
        <f t="shared" si="346"/>
        <v>0</v>
      </c>
      <c r="K7303" s="369">
        <f t="shared" si="347"/>
        <v>6</v>
      </c>
      <c r="L7303" s="369">
        <f>+IF((C7303&gt;='Resultats - informe'!$E$16)*(C7303&lt;='Resultats - informe'!$G$16),1,0)</f>
        <v>1</v>
      </c>
      <c r="M7303" s="369" cm="1">
        <f t="array" ref="M7303">+_xlfn.IFS((C7303&gt;='Resultats - informe'!$D$26)*(C7303&lt;='Resultats - informe'!$E$26),0,(C7303&gt;='Resultats - informe'!$D$27)*(C7303&lt;='Resultats - informe'!$E$27),0,(C7303&gt;='Resultats - informe'!$D$28)*(C7303&lt;='Resultats - informe'!$E$28),0,(C7303&gt;='Resultats - informe'!$D$29)*(C7303&lt;='Resultats - informe'!$E$29),0,1,1)</f>
        <v>0</v>
      </c>
      <c r="N7303" s="366">
        <f>+VLOOKUP(D7303,'Resultats - informe'!$Y$18:$AG$42,'Introducció dades consum'!K7303+1,0)</f>
        <v>0</v>
      </c>
      <c r="O7303" s="370" cm="1">
        <f t="array" ref="O7303">+_xlfn.SWITCH(MONTH(C7303),1,1,2,1,3,1,4,2,5,2,6,3,7,3,8,3,9,3,10,2,11,2,12,1,2)</f>
        <v>1</v>
      </c>
      <c r="P7303" s="43"/>
    </row>
    <row r="7304" spans="1:16" ht="18" x14ac:dyDescent="0.35">
      <c r="A7304" s="9"/>
      <c r="C7304" s="393"/>
      <c r="E7304" s="394"/>
      <c r="F7304" s="394"/>
      <c r="G7304" s="394"/>
      <c r="I7304" s="368">
        <f t="shared" si="345"/>
        <v>0</v>
      </c>
      <c r="J7304" s="365">
        <f t="shared" si="346"/>
        <v>0</v>
      </c>
      <c r="K7304" s="369">
        <f t="shared" si="347"/>
        <v>6</v>
      </c>
      <c r="L7304" s="369">
        <f>+IF((C7304&gt;='Resultats - informe'!$E$16)*(C7304&lt;='Resultats - informe'!$G$16),1,0)</f>
        <v>1</v>
      </c>
      <c r="M7304" s="369" cm="1">
        <f t="array" ref="M7304">+_xlfn.IFS((C7304&gt;='Resultats - informe'!$D$26)*(C7304&lt;='Resultats - informe'!$E$26),0,(C7304&gt;='Resultats - informe'!$D$27)*(C7304&lt;='Resultats - informe'!$E$27),0,(C7304&gt;='Resultats - informe'!$D$28)*(C7304&lt;='Resultats - informe'!$E$28),0,(C7304&gt;='Resultats - informe'!$D$29)*(C7304&lt;='Resultats - informe'!$E$29),0,1,1)</f>
        <v>0</v>
      </c>
      <c r="N7304" s="366">
        <f>+VLOOKUP(D7304,'Resultats - informe'!$Y$18:$AG$42,'Introducció dades consum'!K7304+1,0)</f>
        <v>0</v>
      </c>
      <c r="O7304" s="370" cm="1">
        <f t="array" ref="O7304">+_xlfn.SWITCH(MONTH(C7304),1,1,2,1,3,1,4,2,5,2,6,3,7,3,8,3,9,3,10,2,11,2,12,1,2)</f>
        <v>1</v>
      </c>
      <c r="P7304" s="43"/>
    </row>
    <row r="7305" spans="1:16" ht="18" x14ac:dyDescent="0.35">
      <c r="A7305" s="9"/>
      <c r="C7305" s="393"/>
      <c r="E7305" s="394"/>
      <c r="F7305" s="394"/>
      <c r="G7305" s="394"/>
      <c r="I7305" s="368">
        <f t="shared" si="345"/>
        <v>0</v>
      </c>
      <c r="J7305" s="365">
        <f t="shared" si="346"/>
        <v>0</v>
      </c>
      <c r="K7305" s="369">
        <f t="shared" si="347"/>
        <v>6</v>
      </c>
      <c r="L7305" s="369">
        <f>+IF((C7305&gt;='Resultats - informe'!$E$16)*(C7305&lt;='Resultats - informe'!$G$16),1,0)</f>
        <v>1</v>
      </c>
      <c r="M7305" s="369" cm="1">
        <f t="array" ref="M7305">+_xlfn.IFS((C7305&gt;='Resultats - informe'!$D$26)*(C7305&lt;='Resultats - informe'!$E$26),0,(C7305&gt;='Resultats - informe'!$D$27)*(C7305&lt;='Resultats - informe'!$E$27),0,(C7305&gt;='Resultats - informe'!$D$28)*(C7305&lt;='Resultats - informe'!$E$28),0,(C7305&gt;='Resultats - informe'!$D$29)*(C7305&lt;='Resultats - informe'!$E$29),0,1,1)</f>
        <v>0</v>
      </c>
      <c r="N7305" s="366">
        <f>+VLOOKUP(D7305,'Resultats - informe'!$Y$18:$AG$42,'Introducció dades consum'!K7305+1,0)</f>
        <v>0</v>
      </c>
      <c r="O7305" s="370" cm="1">
        <f t="array" ref="O7305">+_xlfn.SWITCH(MONTH(C7305),1,1,2,1,3,1,4,2,5,2,6,3,7,3,8,3,9,3,10,2,11,2,12,1,2)</f>
        <v>1</v>
      </c>
      <c r="P7305" s="43"/>
    </row>
    <row r="7306" spans="1:16" ht="18" x14ac:dyDescent="0.35">
      <c r="A7306" s="9"/>
      <c r="C7306" s="393"/>
      <c r="E7306" s="394"/>
      <c r="F7306" s="394"/>
      <c r="G7306" s="394"/>
      <c r="I7306" s="368">
        <f t="shared" si="345"/>
        <v>0</v>
      </c>
      <c r="J7306" s="365">
        <f t="shared" si="346"/>
        <v>0</v>
      </c>
      <c r="K7306" s="369">
        <f t="shared" si="347"/>
        <v>6</v>
      </c>
      <c r="L7306" s="369">
        <f>+IF((C7306&gt;='Resultats - informe'!$E$16)*(C7306&lt;='Resultats - informe'!$G$16),1,0)</f>
        <v>1</v>
      </c>
      <c r="M7306" s="369" cm="1">
        <f t="array" ref="M7306">+_xlfn.IFS((C7306&gt;='Resultats - informe'!$D$26)*(C7306&lt;='Resultats - informe'!$E$26),0,(C7306&gt;='Resultats - informe'!$D$27)*(C7306&lt;='Resultats - informe'!$E$27),0,(C7306&gt;='Resultats - informe'!$D$28)*(C7306&lt;='Resultats - informe'!$E$28),0,(C7306&gt;='Resultats - informe'!$D$29)*(C7306&lt;='Resultats - informe'!$E$29),0,1,1)</f>
        <v>0</v>
      </c>
      <c r="N7306" s="366">
        <f>+VLOOKUP(D7306,'Resultats - informe'!$Y$18:$AG$42,'Introducció dades consum'!K7306+1,0)</f>
        <v>0</v>
      </c>
      <c r="O7306" s="370" cm="1">
        <f t="array" ref="O7306">+_xlfn.SWITCH(MONTH(C7306),1,1,2,1,3,1,4,2,5,2,6,3,7,3,8,3,9,3,10,2,11,2,12,1,2)</f>
        <v>1</v>
      </c>
      <c r="P7306" s="43"/>
    </row>
    <row r="7307" spans="1:16" ht="18" x14ac:dyDescent="0.35">
      <c r="A7307" s="9"/>
      <c r="C7307" s="393"/>
      <c r="E7307" s="394"/>
      <c r="F7307" s="394"/>
      <c r="G7307" s="394"/>
      <c r="I7307" s="368">
        <f t="shared" si="345"/>
        <v>0</v>
      </c>
      <c r="J7307" s="365">
        <f t="shared" si="346"/>
        <v>0</v>
      </c>
      <c r="K7307" s="369">
        <f t="shared" si="347"/>
        <v>6</v>
      </c>
      <c r="L7307" s="369">
        <f>+IF((C7307&gt;='Resultats - informe'!$E$16)*(C7307&lt;='Resultats - informe'!$G$16),1,0)</f>
        <v>1</v>
      </c>
      <c r="M7307" s="369" cm="1">
        <f t="array" ref="M7307">+_xlfn.IFS((C7307&gt;='Resultats - informe'!$D$26)*(C7307&lt;='Resultats - informe'!$E$26),0,(C7307&gt;='Resultats - informe'!$D$27)*(C7307&lt;='Resultats - informe'!$E$27),0,(C7307&gt;='Resultats - informe'!$D$28)*(C7307&lt;='Resultats - informe'!$E$28),0,(C7307&gt;='Resultats - informe'!$D$29)*(C7307&lt;='Resultats - informe'!$E$29),0,1,1)</f>
        <v>0</v>
      </c>
      <c r="N7307" s="366">
        <f>+VLOOKUP(D7307,'Resultats - informe'!$Y$18:$AG$42,'Introducció dades consum'!K7307+1,0)</f>
        <v>0</v>
      </c>
      <c r="O7307" s="370" cm="1">
        <f t="array" ref="O7307">+_xlfn.SWITCH(MONTH(C7307),1,1,2,1,3,1,4,2,5,2,6,3,7,3,8,3,9,3,10,2,11,2,12,1,2)</f>
        <v>1</v>
      </c>
      <c r="P7307" s="43"/>
    </row>
    <row r="7308" spans="1:16" ht="18" x14ac:dyDescent="0.35">
      <c r="A7308" s="9"/>
      <c r="C7308" s="393"/>
      <c r="E7308" s="394"/>
      <c r="F7308" s="394"/>
      <c r="G7308" s="394"/>
      <c r="I7308" s="368">
        <f t="shared" si="345"/>
        <v>0</v>
      </c>
      <c r="J7308" s="365">
        <f t="shared" si="346"/>
        <v>0</v>
      </c>
      <c r="K7308" s="369">
        <f t="shared" si="347"/>
        <v>6</v>
      </c>
      <c r="L7308" s="369">
        <f>+IF((C7308&gt;='Resultats - informe'!$E$16)*(C7308&lt;='Resultats - informe'!$G$16),1,0)</f>
        <v>1</v>
      </c>
      <c r="M7308" s="369" cm="1">
        <f t="array" ref="M7308">+_xlfn.IFS((C7308&gt;='Resultats - informe'!$D$26)*(C7308&lt;='Resultats - informe'!$E$26),0,(C7308&gt;='Resultats - informe'!$D$27)*(C7308&lt;='Resultats - informe'!$E$27),0,(C7308&gt;='Resultats - informe'!$D$28)*(C7308&lt;='Resultats - informe'!$E$28),0,(C7308&gt;='Resultats - informe'!$D$29)*(C7308&lt;='Resultats - informe'!$E$29),0,1,1)</f>
        <v>0</v>
      </c>
      <c r="N7308" s="366">
        <f>+VLOOKUP(D7308,'Resultats - informe'!$Y$18:$AG$42,'Introducció dades consum'!K7308+1,0)</f>
        <v>0</v>
      </c>
      <c r="O7308" s="370" cm="1">
        <f t="array" ref="O7308">+_xlfn.SWITCH(MONTH(C7308),1,1,2,1,3,1,4,2,5,2,6,3,7,3,8,3,9,3,10,2,11,2,12,1,2)</f>
        <v>1</v>
      </c>
      <c r="P7308" s="43"/>
    </row>
    <row r="7309" spans="1:16" ht="18" x14ac:dyDescent="0.35">
      <c r="A7309" s="9"/>
      <c r="C7309" s="393"/>
      <c r="E7309" s="394"/>
      <c r="F7309" s="394"/>
      <c r="G7309" s="394"/>
      <c r="I7309" s="368">
        <f t="shared" si="345"/>
        <v>0</v>
      </c>
      <c r="J7309" s="365">
        <f t="shared" si="346"/>
        <v>0</v>
      </c>
      <c r="K7309" s="369">
        <f t="shared" si="347"/>
        <v>6</v>
      </c>
      <c r="L7309" s="369">
        <f>+IF((C7309&gt;='Resultats - informe'!$E$16)*(C7309&lt;='Resultats - informe'!$G$16),1,0)</f>
        <v>1</v>
      </c>
      <c r="M7309" s="369" cm="1">
        <f t="array" ref="M7309">+_xlfn.IFS((C7309&gt;='Resultats - informe'!$D$26)*(C7309&lt;='Resultats - informe'!$E$26),0,(C7309&gt;='Resultats - informe'!$D$27)*(C7309&lt;='Resultats - informe'!$E$27),0,(C7309&gt;='Resultats - informe'!$D$28)*(C7309&lt;='Resultats - informe'!$E$28),0,(C7309&gt;='Resultats - informe'!$D$29)*(C7309&lt;='Resultats - informe'!$E$29),0,1,1)</f>
        <v>0</v>
      </c>
      <c r="N7309" s="366">
        <f>+VLOOKUP(D7309,'Resultats - informe'!$Y$18:$AG$42,'Introducció dades consum'!K7309+1,0)</f>
        <v>0</v>
      </c>
      <c r="O7309" s="370" cm="1">
        <f t="array" ref="O7309">+_xlfn.SWITCH(MONTH(C7309),1,1,2,1,3,1,4,2,5,2,6,3,7,3,8,3,9,3,10,2,11,2,12,1,2)</f>
        <v>1</v>
      </c>
      <c r="P7309" s="43"/>
    </row>
    <row r="7310" spans="1:16" ht="18" x14ac:dyDescent="0.35">
      <c r="A7310" s="9"/>
      <c r="C7310" s="393"/>
      <c r="E7310" s="394"/>
      <c r="F7310" s="394"/>
      <c r="G7310" s="394"/>
      <c r="I7310" s="368">
        <f t="shared" si="345"/>
        <v>0</v>
      </c>
      <c r="J7310" s="365">
        <f t="shared" si="346"/>
        <v>0</v>
      </c>
      <c r="K7310" s="369">
        <f t="shared" si="347"/>
        <v>6</v>
      </c>
      <c r="L7310" s="369">
        <f>+IF((C7310&gt;='Resultats - informe'!$E$16)*(C7310&lt;='Resultats - informe'!$G$16),1,0)</f>
        <v>1</v>
      </c>
      <c r="M7310" s="369" cm="1">
        <f t="array" ref="M7310">+_xlfn.IFS((C7310&gt;='Resultats - informe'!$D$26)*(C7310&lt;='Resultats - informe'!$E$26),0,(C7310&gt;='Resultats - informe'!$D$27)*(C7310&lt;='Resultats - informe'!$E$27),0,(C7310&gt;='Resultats - informe'!$D$28)*(C7310&lt;='Resultats - informe'!$E$28),0,(C7310&gt;='Resultats - informe'!$D$29)*(C7310&lt;='Resultats - informe'!$E$29),0,1,1)</f>
        <v>0</v>
      </c>
      <c r="N7310" s="366">
        <f>+VLOOKUP(D7310,'Resultats - informe'!$Y$18:$AG$42,'Introducció dades consum'!K7310+1,0)</f>
        <v>0</v>
      </c>
      <c r="O7310" s="370" cm="1">
        <f t="array" ref="O7310">+_xlfn.SWITCH(MONTH(C7310),1,1,2,1,3,1,4,2,5,2,6,3,7,3,8,3,9,3,10,2,11,2,12,1,2)</f>
        <v>1</v>
      </c>
      <c r="P7310" s="43"/>
    </row>
    <row r="7311" spans="1:16" ht="18" x14ac:dyDescent="0.35">
      <c r="A7311" s="9"/>
      <c r="C7311" s="393"/>
      <c r="E7311" s="394"/>
      <c r="F7311" s="394"/>
      <c r="G7311" s="394"/>
      <c r="I7311" s="368">
        <f t="shared" si="345"/>
        <v>0</v>
      </c>
      <c r="J7311" s="365">
        <f t="shared" si="346"/>
        <v>0</v>
      </c>
      <c r="K7311" s="369">
        <f t="shared" si="347"/>
        <v>6</v>
      </c>
      <c r="L7311" s="369">
        <f>+IF((C7311&gt;='Resultats - informe'!$E$16)*(C7311&lt;='Resultats - informe'!$G$16),1,0)</f>
        <v>1</v>
      </c>
      <c r="M7311" s="369" cm="1">
        <f t="array" ref="M7311">+_xlfn.IFS((C7311&gt;='Resultats - informe'!$D$26)*(C7311&lt;='Resultats - informe'!$E$26),0,(C7311&gt;='Resultats - informe'!$D$27)*(C7311&lt;='Resultats - informe'!$E$27),0,(C7311&gt;='Resultats - informe'!$D$28)*(C7311&lt;='Resultats - informe'!$E$28),0,(C7311&gt;='Resultats - informe'!$D$29)*(C7311&lt;='Resultats - informe'!$E$29),0,1,1)</f>
        <v>0</v>
      </c>
      <c r="N7311" s="366">
        <f>+VLOOKUP(D7311,'Resultats - informe'!$Y$18:$AG$42,'Introducció dades consum'!K7311+1,0)</f>
        <v>0</v>
      </c>
      <c r="O7311" s="370" cm="1">
        <f t="array" ref="O7311">+_xlfn.SWITCH(MONTH(C7311),1,1,2,1,3,1,4,2,5,2,6,3,7,3,8,3,9,3,10,2,11,2,12,1,2)</f>
        <v>1</v>
      </c>
      <c r="P7311" s="43"/>
    </row>
    <row r="7312" spans="1:16" ht="18" x14ac:dyDescent="0.35">
      <c r="A7312" s="9"/>
      <c r="C7312" s="393"/>
      <c r="E7312" s="394"/>
      <c r="F7312" s="394"/>
      <c r="G7312" s="394"/>
      <c r="I7312" s="368">
        <f t="shared" si="345"/>
        <v>0</v>
      </c>
      <c r="J7312" s="365">
        <f t="shared" si="346"/>
        <v>0</v>
      </c>
      <c r="K7312" s="369">
        <f t="shared" si="347"/>
        <v>6</v>
      </c>
      <c r="L7312" s="369">
        <f>+IF((C7312&gt;='Resultats - informe'!$E$16)*(C7312&lt;='Resultats - informe'!$G$16),1,0)</f>
        <v>1</v>
      </c>
      <c r="M7312" s="369" cm="1">
        <f t="array" ref="M7312">+_xlfn.IFS((C7312&gt;='Resultats - informe'!$D$26)*(C7312&lt;='Resultats - informe'!$E$26),0,(C7312&gt;='Resultats - informe'!$D$27)*(C7312&lt;='Resultats - informe'!$E$27),0,(C7312&gt;='Resultats - informe'!$D$28)*(C7312&lt;='Resultats - informe'!$E$28),0,(C7312&gt;='Resultats - informe'!$D$29)*(C7312&lt;='Resultats - informe'!$E$29),0,1,1)</f>
        <v>0</v>
      </c>
      <c r="N7312" s="366">
        <f>+VLOOKUP(D7312,'Resultats - informe'!$Y$18:$AG$42,'Introducció dades consum'!K7312+1,0)</f>
        <v>0</v>
      </c>
      <c r="O7312" s="370" cm="1">
        <f t="array" ref="O7312">+_xlfn.SWITCH(MONTH(C7312),1,1,2,1,3,1,4,2,5,2,6,3,7,3,8,3,9,3,10,2,11,2,12,1,2)</f>
        <v>1</v>
      </c>
      <c r="P7312" s="43"/>
    </row>
    <row r="7313" spans="1:16" ht="18" x14ac:dyDescent="0.35">
      <c r="A7313" s="9"/>
      <c r="C7313" s="393"/>
      <c r="E7313" s="394"/>
      <c r="F7313" s="394"/>
      <c r="G7313" s="394"/>
      <c r="I7313" s="368">
        <f t="shared" si="345"/>
        <v>0</v>
      </c>
      <c r="J7313" s="365">
        <f t="shared" si="346"/>
        <v>0</v>
      </c>
      <c r="K7313" s="369">
        <f t="shared" si="347"/>
        <v>6</v>
      </c>
      <c r="L7313" s="369">
        <f>+IF((C7313&gt;='Resultats - informe'!$E$16)*(C7313&lt;='Resultats - informe'!$G$16),1,0)</f>
        <v>1</v>
      </c>
      <c r="M7313" s="369" cm="1">
        <f t="array" ref="M7313">+_xlfn.IFS((C7313&gt;='Resultats - informe'!$D$26)*(C7313&lt;='Resultats - informe'!$E$26),0,(C7313&gt;='Resultats - informe'!$D$27)*(C7313&lt;='Resultats - informe'!$E$27),0,(C7313&gt;='Resultats - informe'!$D$28)*(C7313&lt;='Resultats - informe'!$E$28),0,(C7313&gt;='Resultats - informe'!$D$29)*(C7313&lt;='Resultats - informe'!$E$29),0,1,1)</f>
        <v>0</v>
      </c>
      <c r="N7313" s="366">
        <f>+VLOOKUP(D7313,'Resultats - informe'!$Y$18:$AG$42,'Introducció dades consum'!K7313+1,0)</f>
        <v>0</v>
      </c>
      <c r="O7313" s="370" cm="1">
        <f t="array" ref="O7313">+_xlfn.SWITCH(MONTH(C7313),1,1,2,1,3,1,4,2,5,2,6,3,7,3,8,3,9,3,10,2,11,2,12,1,2)</f>
        <v>1</v>
      </c>
      <c r="P7313" s="43"/>
    </row>
    <row r="7314" spans="1:16" ht="18" x14ac:dyDescent="0.35">
      <c r="A7314" s="9"/>
      <c r="C7314" s="393"/>
      <c r="E7314" s="394"/>
      <c r="F7314" s="394"/>
      <c r="G7314" s="394"/>
      <c r="I7314" s="368">
        <f t="shared" ref="I7314:I7377" si="348">+E7314+G7314</f>
        <v>0</v>
      </c>
      <c r="J7314" s="365">
        <f t="shared" ref="J7314:J7377" si="349">+C7314</f>
        <v>0</v>
      </c>
      <c r="K7314" s="369">
        <f t="shared" ref="K7314:K7377" si="350">+WEEKDAY(C7314,2)</f>
        <v>6</v>
      </c>
      <c r="L7314" s="369">
        <f>+IF((C7314&gt;='Resultats - informe'!$E$16)*(C7314&lt;='Resultats - informe'!$G$16),1,0)</f>
        <v>1</v>
      </c>
      <c r="M7314" s="369" cm="1">
        <f t="array" ref="M7314">+_xlfn.IFS((C7314&gt;='Resultats - informe'!$D$26)*(C7314&lt;='Resultats - informe'!$E$26),0,(C7314&gt;='Resultats - informe'!$D$27)*(C7314&lt;='Resultats - informe'!$E$27),0,(C7314&gt;='Resultats - informe'!$D$28)*(C7314&lt;='Resultats - informe'!$E$28),0,(C7314&gt;='Resultats - informe'!$D$29)*(C7314&lt;='Resultats - informe'!$E$29),0,1,1)</f>
        <v>0</v>
      </c>
      <c r="N7314" s="366">
        <f>+VLOOKUP(D7314,'Resultats - informe'!$Y$18:$AG$42,'Introducció dades consum'!K7314+1,0)</f>
        <v>0</v>
      </c>
      <c r="O7314" s="370" cm="1">
        <f t="array" ref="O7314">+_xlfn.SWITCH(MONTH(C7314),1,1,2,1,3,1,4,2,5,2,6,3,7,3,8,3,9,3,10,2,11,2,12,1,2)</f>
        <v>1</v>
      </c>
      <c r="P7314" s="43"/>
    </row>
    <row r="7315" spans="1:16" ht="18" x14ac:dyDescent="0.35">
      <c r="A7315" s="9"/>
      <c r="C7315" s="393"/>
      <c r="E7315" s="394"/>
      <c r="F7315" s="394"/>
      <c r="G7315" s="394"/>
      <c r="I7315" s="368">
        <f t="shared" si="348"/>
        <v>0</v>
      </c>
      <c r="J7315" s="365">
        <f t="shared" si="349"/>
        <v>0</v>
      </c>
      <c r="K7315" s="369">
        <f t="shared" si="350"/>
        <v>6</v>
      </c>
      <c r="L7315" s="369">
        <f>+IF((C7315&gt;='Resultats - informe'!$E$16)*(C7315&lt;='Resultats - informe'!$G$16),1,0)</f>
        <v>1</v>
      </c>
      <c r="M7315" s="369" cm="1">
        <f t="array" ref="M7315">+_xlfn.IFS((C7315&gt;='Resultats - informe'!$D$26)*(C7315&lt;='Resultats - informe'!$E$26),0,(C7315&gt;='Resultats - informe'!$D$27)*(C7315&lt;='Resultats - informe'!$E$27),0,(C7315&gt;='Resultats - informe'!$D$28)*(C7315&lt;='Resultats - informe'!$E$28),0,(C7315&gt;='Resultats - informe'!$D$29)*(C7315&lt;='Resultats - informe'!$E$29),0,1,1)</f>
        <v>0</v>
      </c>
      <c r="N7315" s="366">
        <f>+VLOOKUP(D7315,'Resultats - informe'!$Y$18:$AG$42,'Introducció dades consum'!K7315+1,0)</f>
        <v>0</v>
      </c>
      <c r="O7315" s="370" cm="1">
        <f t="array" ref="O7315">+_xlfn.SWITCH(MONTH(C7315),1,1,2,1,3,1,4,2,5,2,6,3,7,3,8,3,9,3,10,2,11,2,12,1,2)</f>
        <v>1</v>
      </c>
      <c r="P7315" s="43"/>
    </row>
    <row r="7316" spans="1:16" ht="18" x14ac:dyDescent="0.35">
      <c r="A7316" s="9"/>
      <c r="C7316" s="393"/>
      <c r="E7316" s="394"/>
      <c r="F7316" s="394"/>
      <c r="G7316" s="394"/>
      <c r="I7316" s="368">
        <f t="shared" si="348"/>
        <v>0</v>
      </c>
      <c r="J7316" s="365">
        <f t="shared" si="349"/>
        <v>0</v>
      </c>
      <c r="K7316" s="369">
        <f t="shared" si="350"/>
        <v>6</v>
      </c>
      <c r="L7316" s="369">
        <f>+IF((C7316&gt;='Resultats - informe'!$E$16)*(C7316&lt;='Resultats - informe'!$G$16),1,0)</f>
        <v>1</v>
      </c>
      <c r="M7316" s="369" cm="1">
        <f t="array" ref="M7316">+_xlfn.IFS((C7316&gt;='Resultats - informe'!$D$26)*(C7316&lt;='Resultats - informe'!$E$26),0,(C7316&gt;='Resultats - informe'!$D$27)*(C7316&lt;='Resultats - informe'!$E$27),0,(C7316&gt;='Resultats - informe'!$D$28)*(C7316&lt;='Resultats - informe'!$E$28),0,(C7316&gt;='Resultats - informe'!$D$29)*(C7316&lt;='Resultats - informe'!$E$29),0,1,1)</f>
        <v>0</v>
      </c>
      <c r="N7316" s="366">
        <f>+VLOOKUP(D7316,'Resultats - informe'!$Y$18:$AG$42,'Introducció dades consum'!K7316+1,0)</f>
        <v>0</v>
      </c>
      <c r="O7316" s="370" cm="1">
        <f t="array" ref="O7316">+_xlfn.SWITCH(MONTH(C7316),1,1,2,1,3,1,4,2,5,2,6,3,7,3,8,3,9,3,10,2,11,2,12,1,2)</f>
        <v>1</v>
      </c>
      <c r="P7316" s="43"/>
    </row>
    <row r="7317" spans="1:16" ht="18" x14ac:dyDescent="0.35">
      <c r="A7317" s="9"/>
      <c r="C7317" s="393"/>
      <c r="E7317" s="394"/>
      <c r="F7317" s="394"/>
      <c r="G7317" s="394"/>
      <c r="I7317" s="368">
        <f t="shared" si="348"/>
        <v>0</v>
      </c>
      <c r="J7317" s="365">
        <f t="shared" si="349"/>
        <v>0</v>
      </c>
      <c r="K7317" s="369">
        <f t="shared" si="350"/>
        <v>6</v>
      </c>
      <c r="L7317" s="369">
        <f>+IF((C7317&gt;='Resultats - informe'!$E$16)*(C7317&lt;='Resultats - informe'!$G$16),1,0)</f>
        <v>1</v>
      </c>
      <c r="M7317" s="369" cm="1">
        <f t="array" ref="M7317">+_xlfn.IFS((C7317&gt;='Resultats - informe'!$D$26)*(C7317&lt;='Resultats - informe'!$E$26),0,(C7317&gt;='Resultats - informe'!$D$27)*(C7317&lt;='Resultats - informe'!$E$27),0,(C7317&gt;='Resultats - informe'!$D$28)*(C7317&lt;='Resultats - informe'!$E$28),0,(C7317&gt;='Resultats - informe'!$D$29)*(C7317&lt;='Resultats - informe'!$E$29),0,1,1)</f>
        <v>0</v>
      </c>
      <c r="N7317" s="366">
        <f>+VLOOKUP(D7317,'Resultats - informe'!$Y$18:$AG$42,'Introducció dades consum'!K7317+1,0)</f>
        <v>0</v>
      </c>
      <c r="O7317" s="370" cm="1">
        <f t="array" ref="O7317">+_xlfn.SWITCH(MONTH(C7317),1,1,2,1,3,1,4,2,5,2,6,3,7,3,8,3,9,3,10,2,11,2,12,1,2)</f>
        <v>1</v>
      </c>
      <c r="P7317" s="43"/>
    </row>
    <row r="7318" spans="1:16" ht="18" x14ac:dyDescent="0.35">
      <c r="A7318" s="9"/>
      <c r="C7318" s="393"/>
      <c r="E7318" s="394"/>
      <c r="F7318" s="394"/>
      <c r="G7318" s="394"/>
      <c r="I7318" s="368">
        <f t="shared" si="348"/>
        <v>0</v>
      </c>
      <c r="J7318" s="365">
        <f t="shared" si="349"/>
        <v>0</v>
      </c>
      <c r="K7318" s="369">
        <f t="shared" si="350"/>
        <v>6</v>
      </c>
      <c r="L7318" s="369">
        <f>+IF((C7318&gt;='Resultats - informe'!$E$16)*(C7318&lt;='Resultats - informe'!$G$16),1,0)</f>
        <v>1</v>
      </c>
      <c r="M7318" s="369" cm="1">
        <f t="array" ref="M7318">+_xlfn.IFS((C7318&gt;='Resultats - informe'!$D$26)*(C7318&lt;='Resultats - informe'!$E$26),0,(C7318&gt;='Resultats - informe'!$D$27)*(C7318&lt;='Resultats - informe'!$E$27),0,(C7318&gt;='Resultats - informe'!$D$28)*(C7318&lt;='Resultats - informe'!$E$28),0,(C7318&gt;='Resultats - informe'!$D$29)*(C7318&lt;='Resultats - informe'!$E$29),0,1,1)</f>
        <v>0</v>
      </c>
      <c r="N7318" s="366">
        <f>+VLOOKUP(D7318,'Resultats - informe'!$Y$18:$AG$42,'Introducció dades consum'!K7318+1,0)</f>
        <v>0</v>
      </c>
      <c r="O7318" s="370" cm="1">
        <f t="array" ref="O7318">+_xlfn.SWITCH(MONTH(C7318),1,1,2,1,3,1,4,2,5,2,6,3,7,3,8,3,9,3,10,2,11,2,12,1,2)</f>
        <v>1</v>
      </c>
      <c r="P7318" s="43"/>
    </row>
    <row r="7319" spans="1:16" ht="18" x14ac:dyDescent="0.35">
      <c r="A7319" s="9"/>
      <c r="C7319" s="393"/>
      <c r="E7319" s="394"/>
      <c r="F7319" s="394"/>
      <c r="G7319" s="394"/>
      <c r="I7319" s="368">
        <f t="shared" si="348"/>
        <v>0</v>
      </c>
      <c r="J7319" s="365">
        <f t="shared" si="349"/>
        <v>0</v>
      </c>
      <c r="K7319" s="369">
        <f t="shared" si="350"/>
        <v>6</v>
      </c>
      <c r="L7319" s="369">
        <f>+IF((C7319&gt;='Resultats - informe'!$E$16)*(C7319&lt;='Resultats - informe'!$G$16),1,0)</f>
        <v>1</v>
      </c>
      <c r="M7319" s="369" cm="1">
        <f t="array" ref="M7319">+_xlfn.IFS((C7319&gt;='Resultats - informe'!$D$26)*(C7319&lt;='Resultats - informe'!$E$26),0,(C7319&gt;='Resultats - informe'!$D$27)*(C7319&lt;='Resultats - informe'!$E$27),0,(C7319&gt;='Resultats - informe'!$D$28)*(C7319&lt;='Resultats - informe'!$E$28),0,(C7319&gt;='Resultats - informe'!$D$29)*(C7319&lt;='Resultats - informe'!$E$29),0,1,1)</f>
        <v>0</v>
      </c>
      <c r="N7319" s="366">
        <f>+VLOOKUP(D7319,'Resultats - informe'!$Y$18:$AG$42,'Introducció dades consum'!K7319+1,0)</f>
        <v>0</v>
      </c>
      <c r="O7319" s="370" cm="1">
        <f t="array" ref="O7319">+_xlfn.SWITCH(MONTH(C7319),1,1,2,1,3,1,4,2,5,2,6,3,7,3,8,3,9,3,10,2,11,2,12,1,2)</f>
        <v>1</v>
      </c>
      <c r="P7319" s="43"/>
    </row>
    <row r="7320" spans="1:16" ht="18" x14ac:dyDescent="0.35">
      <c r="A7320" s="9"/>
      <c r="C7320" s="393"/>
      <c r="E7320" s="394"/>
      <c r="F7320" s="394"/>
      <c r="G7320" s="394"/>
      <c r="I7320" s="368">
        <f t="shared" si="348"/>
        <v>0</v>
      </c>
      <c r="J7320" s="365">
        <f t="shared" si="349"/>
        <v>0</v>
      </c>
      <c r="K7320" s="369">
        <f t="shared" si="350"/>
        <v>6</v>
      </c>
      <c r="L7320" s="369">
        <f>+IF((C7320&gt;='Resultats - informe'!$E$16)*(C7320&lt;='Resultats - informe'!$G$16),1,0)</f>
        <v>1</v>
      </c>
      <c r="M7320" s="369" cm="1">
        <f t="array" ref="M7320">+_xlfn.IFS((C7320&gt;='Resultats - informe'!$D$26)*(C7320&lt;='Resultats - informe'!$E$26),0,(C7320&gt;='Resultats - informe'!$D$27)*(C7320&lt;='Resultats - informe'!$E$27),0,(C7320&gt;='Resultats - informe'!$D$28)*(C7320&lt;='Resultats - informe'!$E$28),0,(C7320&gt;='Resultats - informe'!$D$29)*(C7320&lt;='Resultats - informe'!$E$29),0,1,1)</f>
        <v>0</v>
      </c>
      <c r="N7320" s="366">
        <f>+VLOOKUP(D7320,'Resultats - informe'!$Y$18:$AG$42,'Introducció dades consum'!K7320+1,0)</f>
        <v>0</v>
      </c>
      <c r="O7320" s="370" cm="1">
        <f t="array" ref="O7320">+_xlfn.SWITCH(MONTH(C7320),1,1,2,1,3,1,4,2,5,2,6,3,7,3,8,3,9,3,10,2,11,2,12,1,2)</f>
        <v>1</v>
      </c>
      <c r="P7320" s="43"/>
    </row>
    <row r="7321" spans="1:16" ht="18" x14ac:dyDescent="0.35">
      <c r="A7321" s="9"/>
      <c r="C7321" s="393"/>
      <c r="E7321" s="394"/>
      <c r="F7321" s="394"/>
      <c r="G7321" s="394"/>
      <c r="I7321" s="368">
        <f t="shared" si="348"/>
        <v>0</v>
      </c>
      <c r="J7321" s="365">
        <f t="shared" si="349"/>
        <v>0</v>
      </c>
      <c r="K7321" s="369">
        <f t="shared" si="350"/>
        <v>6</v>
      </c>
      <c r="L7321" s="369">
        <f>+IF((C7321&gt;='Resultats - informe'!$E$16)*(C7321&lt;='Resultats - informe'!$G$16),1,0)</f>
        <v>1</v>
      </c>
      <c r="M7321" s="369" cm="1">
        <f t="array" ref="M7321">+_xlfn.IFS((C7321&gt;='Resultats - informe'!$D$26)*(C7321&lt;='Resultats - informe'!$E$26),0,(C7321&gt;='Resultats - informe'!$D$27)*(C7321&lt;='Resultats - informe'!$E$27),0,(C7321&gt;='Resultats - informe'!$D$28)*(C7321&lt;='Resultats - informe'!$E$28),0,(C7321&gt;='Resultats - informe'!$D$29)*(C7321&lt;='Resultats - informe'!$E$29),0,1,1)</f>
        <v>0</v>
      </c>
      <c r="N7321" s="366">
        <f>+VLOOKUP(D7321,'Resultats - informe'!$Y$18:$AG$42,'Introducció dades consum'!K7321+1,0)</f>
        <v>0</v>
      </c>
      <c r="O7321" s="370" cm="1">
        <f t="array" ref="O7321">+_xlfn.SWITCH(MONTH(C7321),1,1,2,1,3,1,4,2,5,2,6,3,7,3,8,3,9,3,10,2,11,2,12,1,2)</f>
        <v>1</v>
      </c>
      <c r="P7321" s="43"/>
    </row>
    <row r="7322" spans="1:16" ht="18" x14ac:dyDescent="0.35">
      <c r="A7322" s="9"/>
      <c r="C7322" s="393"/>
      <c r="E7322" s="394"/>
      <c r="F7322" s="394"/>
      <c r="G7322" s="394"/>
      <c r="I7322" s="368">
        <f t="shared" si="348"/>
        <v>0</v>
      </c>
      <c r="J7322" s="365">
        <f t="shared" si="349"/>
        <v>0</v>
      </c>
      <c r="K7322" s="369">
        <f t="shared" si="350"/>
        <v>6</v>
      </c>
      <c r="L7322" s="369">
        <f>+IF((C7322&gt;='Resultats - informe'!$E$16)*(C7322&lt;='Resultats - informe'!$G$16),1,0)</f>
        <v>1</v>
      </c>
      <c r="M7322" s="369" cm="1">
        <f t="array" ref="M7322">+_xlfn.IFS((C7322&gt;='Resultats - informe'!$D$26)*(C7322&lt;='Resultats - informe'!$E$26),0,(C7322&gt;='Resultats - informe'!$D$27)*(C7322&lt;='Resultats - informe'!$E$27),0,(C7322&gt;='Resultats - informe'!$D$28)*(C7322&lt;='Resultats - informe'!$E$28),0,(C7322&gt;='Resultats - informe'!$D$29)*(C7322&lt;='Resultats - informe'!$E$29),0,1,1)</f>
        <v>0</v>
      </c>
      <c r="N7322" s="366">
        <f>+VLOOKUP(D7322,'Resultats - informe'!$Y$18:$AG$42,'Introducció dades consum'!K7322+1,0)</f>
        <v>0</v>
      </c>
      <c r="O7322" s="370" cm="1">
        <f t="array" ref="O7322">+_xlfn.SWITCH(MONTH(C7322),1,1,2,1,3,1,4,2,5,2,6,3,7,3,8,3,9,3,10,2,11,2,12,1,2)</f>
        <v>1</v>
      </c>
      <c r="P7322" s="43"/>
    </row>
    <row r="7323" spans="1:16" ht="18" x14ac:dyDescent="0.35">
      <c r="A7323" s="9"/>
      <c r="C7323" s="393"/>
      <c r="E7323" s="394"/>
      <c r="F7323" s="394"/>
      <c r="G7323" s="394"/>
      <c r="I7323" s="368">
        <f t="shared" si="348"/>
        <v>0</v>
      </c>
      <c r="J7323" s="365">
        <f t="shared" si="349"/>
        <v>0</v>
      </c>
      <c r="K7323" s="369">
        <f t="shared" si="350"/>
        <v>6</v>
      </c>
      <c r="L7323" s="369">
        <f>+IF((C7323&gt;='Resultats - informe'!$E$16)*(C7323&lt;='Resultats - informe'!$G$16),1,0)</f>
        <v>1</v>
      </c>
      <c r="M7323" s="369" cm="1">
        <f t="array" ref="M7323">+_xlfn.IFS((C7323&gt;='Resultats - informe'!$D$26)*(C7323&lt;='Resultats - informe'!$E$26),0,(C7323&gt;='Resultats - informe'!$D$27)*(C7323&lt;='Resultats - informe'!$E$27),0,(C7323&gt;='Resultats - informe'!$D$28)*(C7323&lt;='Resultats - informe'!$E$28),0,(C7323&gt;='Resultats - informe'!$D$29)*(C7323&lt;='Resultats - informe'!$E$29),0,1,1)</f>
        <v>0</v>
      </c>
      <c r="N7323" s="366">
        <f>+VLOOKUP(D7323,'Resultats - informe'!$Y$18:$AG$42,'Introducció dades consum'!K7323+1,0)</f>
        <v>0</v>
      </c>
      <c r="O7323" s="370" cm="1">
        <f t="array" ref="O7323">+_xlfn.SWITCH(MONTH(C7323),1,1,2,1,3,1,4,2,5,2,6,3,7,3,8,3,9,3,10,2,11,2,12,1,2)</f>
        <v>1</v>
      </c>
      <c r="P7323" s="43"/>
    </row>
    <row r="7324" spans="1:16" ht="18" x14ac:dyDescent="0.35">
      <c r="A7324" s="9"/>
      <c r="C7324" s="393"/>
      <c r="E7324" s="394"/>
      <c r="F7324" s="394"/>
      <c r="G7324" s="394"/>
      <c r="I7324" s="368">
        <f t="shared" si="348"/>
        <v>0</v>
      </c>
      <c r="J7324" s="365">
        <f t="shared" si="349"/>
        <v>0</v>
      </c>
      <c r="K7324" s="369">
        <f t="shared" si="350"/>
        <v>6</v>
      </c>
      <c r="L7324" s="369">
        <f>+IF((C7324&gt;='Resultats - informe'!$E$16)*(C7324&lt;='Resultats - informe'!$G$16),1,0)</f>
        <v>1</v>
      </c>
      <c r="M7324" s="369" cm="1">
        <f t="array" ref="M7324">+_xlfn.IFS((C7324&gt;='Resultats - informe'!$D$26)*(C7324&lt;='Resultats - informe'!$E$26),0,(C7324&gt;='Resultats - informe'!$D$27)*(C7324&lt;='Resultats - informe'!$E$27),0,(C7324&gt;='Resultats - informe'!$D$28)*(C7324&lt;='Resultats - informe'!$E$28),0,(C7324&gt;='Resultats - informe'!$D$29)*(C7324&lt;='Resultats - informe'!$E$29),0,1,1)</f>
        <v>0</v>
      </c>
      <c r="N7324" s="366">
        <f>+VLOOKUP(D7324,'Resultats - informe'!$Y$18:$AG$42,'Introducció dades consum'!K7324+1,0)</f>
        <v>0</v>
      </c>
      <c r="O7324" s="370" cm="1">
        <f t="array" ref="O7324">+_xlfn.SWITCH(MONTH(C7324),1,1,2,1,3,1,4,2,5,2,6,3,7,3,8,3,9,3,10,2,11,2,12,1,2)</f>
        <v>1</v>
      </c>
      <c r="P7324" s="43"/>
    </row>
    <row r="7325" spans="1:16" ht="18" x14ac:dyDescent="0.35">
      <c r="A7325" s="9"/>
      <c r="C7325" s="393"/>
      <c r="E7325" s="394"/>
      <c r="F7325" s="394"/>
      <c r="G7325" s="394"/>
      <c r="I7325" s="368">
        <f t="shared" si="348"/>
        <v>0</v>
      </c>
      <c r="J7325" s="365">
        <f t="shared" si="349"/>
        <v>0</v>
      </c>
      <c r="K7325" s="369">
        <f t="shared" si="350"/>
        <v>6</v>
      </c>
      <c r="L7325" s="369">
        <f>+IF((C7325&gt;='Resultats - informe'!$E$16)*(C7325&lt;='Resultats - informe'!$G$16),1,0)</f>
        <v>1</v>
      </c>
      <c r="M7325" s="369" cm="1">
        <f t="array" ref="M7325">+_xlfn.IFS((C7325&gt;='Resultats - informe'!$D$26)*(C7325&lt;='Resultats - informe'!$E$26),0,(C7325&gt;='Resultats - informe'!$D$27)*(C7325&lt;='Resultats - informe'!$E$27),0,(C7325&gt;='Resultats - informe'!$D$28)*(C7325&lt;='Resultats - informe'!$E$28),0,(C7325&gt;='Resultats - informe'!$D$29)*(C7325&lt;='Resultats - informe'!$E$29),0,1,1)</f>
        <v>0</v>
      </c>
      <c r="N7325" s="366">
        <f>+VLOOKUP(D7325,'Resultats - informe'!$Y$18:$AG$42,'Introducció dades consum'!K7325+1,0)</f>
        <v>0</v>
      </c>
      <c r="O7325" s="370" cm="1">
        <f t="array" ref="O7325">+_xlfn.SWITCH(MONTH(C7325),1,1,2,1,3,1,4,2,5,2,6,3,7,3,8,3,9,3,10,2,11,2,12,1,2)</f>
        <v>1</v>
      </c>
      <c r="P7325" s="43"/>
    </row>
    <row r="7326" spans="1:16" ht="18" x14ac:dyDescent="0.35">
      <c r="A7326" s="9"/>
      <c r="C7326" s="393"/>
      <c r="E7326" s="394"/>
      <c r="F7326" s="394"/>
      <c r="G7326" s="394"/>
      <c r="I7326" s="368">
        <f t="shared" si="348"/>
        <v>0</v>
      </c>
      <c r="J7326" s="365">
        <f t="shared" si="349"/>
        <v>0</v>
      </c>
      <c r="K7326" s="369">
        <f t="shared" si="350"/>
        <v>6</v>
      </c>
      <c r="L7326" s="369">
        <f>+IF((C7326&gt;='Resultats - informe'!$E$16)*(C7326&lt;='Resultats - informe'!$G$16),1,0)</f>
        <v>1</v>
      </c>
      <c r="M7326" s="369" cm="1">
        <f t="array" ref="M7326">+_xlfn.IFS((C7326&gt;='Resultats - informe'!$D$26)*(C7326&lt;='Resultats - informe'!$E$26),0,(C7326&gt;='Resultats - informe'!$D$27)*(C7326&lt;='Resultats - informe'!$E$27),0,(C7326&gt;='Resultats - informe'!$D$28)*(C7326&lt;='Resultats - informe'!$E$28),0,(C7326&gt;='Resultats - informe'!$D$29)*(C7326&lt;='Resultats - informe'!$E$29),0,1,1)</f>
        <v>0</v>
      </c>
      <c r="N7326" s="366">
        <f>+VLOOKUP(D7326,'Resultats - informe'!$Y$18:$AG$42,'Introducció dades consum'!K7326+1,0)</f>
        <v>0</v>
      </c>
      <c r="O7326" s="370" cm="1">
        <f t="array" ref="O7326">+_xlfn.SWITCH(MONTH(C7326),1,1,2,1,3,1,4,2,5,2,6,3,7,3,8,3,9,3,10,2,11,2,12,1,2)</f>
        <v>1</v>
      </c>
      <c r="P7326" s="43"/>
    </row>
    <row r="7327" spans="1:16" ht="18" x14ac:dyDescent="0.35">
      <c r="A7327" s="9"/>
      <c r="C7327" s="393"/>
      <c r="E7327" s="394"/>
      <c r="F7327" s="394"/>
      <c r="G7327" s="394"/>
      <c r="I7327" s="368">
        <f t="shared" si="348"/>
        <v>0</v>
      </c>
      <c r="J7327" s="365">
        <f t="shared" si="349"/>
        <v>0</v>
      </c>
      <c r="K7327" s="369">
        <f t="shared" si="350"/>
        <v>6</v>
      </c>
      <c r="L7327" s="369">
        <f>+IF((C7327&gt;='Resultats - informe'!$E$16)*(C7327&lt;='Resultats - informe'!$G$16),1,0)</f>
        <v>1</v>
      </c>
      <c r="M7327" s="369" cm="1">
        <f t="array" ref="M7327">+_xlfn.IFS((C7327&gt;='Resultats - informe'!$D$26)*(C7327&lt;='Resultats - informe'!$E$26),0,(C7327&gt;='Resultats - informe'!$D$27)*(C7327&lt;='Resultats - informe'!$E$27),0,(C7327&gt;='Resultats - informe'!$D$28)*(C7327&lt;='Resultats - informe'!$E$28),0,(C7327&gt;='Resultats - informe'!$D$29)*(C7327&lt;='Resultats - informe'!$E$29),0,1,1)</f>
        <v>0</v>
      </c>
      <c r="N7327" s="366">
        <f>+VLOOKUP(D7327,'Resultats - informe'!$Y$18:$AG$42,'Introducció dades consum'!K7327+1,0)</f>
        <v>0</v>
      </c>
      <c r="O7327" s="370" cm="1">
        <f t="array" ref="O7327">+_xlfn.SWITCH(MONTH(C7327),1,1,2,1,3,1,4,2,5,2,6,3,7,3,8,3,9,3,10,2,11,2,12,1,2)</f>
        <v>1</v>
      </c>
      <c r="P7327" s="43"/>
    </row>
    <row r="7328" spans="1:16" ht="18" x14ac:dyDescent="0.35">
      <c r="A7328" s="9"/>
      <c r="C7328" s="393"/>
      <c r="E7328" s="394"/>
      <c r="F7328" s="394"/>
      <c r="G7328" s="394"/>
      <c r="I7328" s="368">
        <f t="shared" si="348"/>
        <v>0</v>
      </c>
      <c r="J7328" s="365">
        <f t="shared" si="349"/>
        <v>0</v>
      </c>
      <c r="K7328" s="369">
        <f t="shared" si="350"/>
        <v>6</v>
      </c>
      <c r="L7328" s="369">
        <f>+IF((C7328&gt;='Resultats - informe'!$E$16)*(C7328&lt;='Resultats - informe'!$G$16),1,0)</f>
        <v>1</v>
      </c>
      <c r="M7328" s="369" cm="1">
        <f t="array" ref="M7328">+_xlfn.IFS((C7328&gt;='Resultats - informe'!$D$26)*(C7328&lt;='Resultats - informe'!$E$26),0,(C7328&gt;='Resultats - informe'!$D$27)*(C7328&lt;='Resultats - informe'!$E$27),0,(C7328&gt;='Resultats - informe'!$D$28)*(C7328&lt;='Resultats - informe'!$E$28),0,(C7328&gt;='Resultats - informe'!$D$29)*(C7328&lt;='Resultats - informe'!$E$29),0,1,1)</f>
        <v>0</v>
      </c>
      <c r="N7328" s="366">
        <f>+VLOOKUP(D7328,'Resultats - informe'!$Y$18:$AG$42,'Introducció dades consum'!K7328+1,0)</f>
        <v>0</v>
      </c>
      <c r="O7328" s="370" cm="1">
        <f t="array" ref="O7328">+_xlfn.SWITCH(MONTH(C7328),1,1,2,1,3,1,4,2,5,2,6,3,7,3,8,3,9,3,10,2,11,2,12,1,2)</f>
        <v>1</v>
      </c>
      <c r="P7328" s="43"/>
    </row>
    <row r="7329" spans="1:16" ht="18" x14ac:dyDescent="0.35">
      <c r="A7329" s="9"/>
      <c r="C7329" s="393"/>
      <c r="E7329" s="394"/>
      <c r="F7329" s="394"/>
      <c r="G7329" s="394"/>
      <c r="I7329" s="368">
        <f t="shared" si="348"/>
        <v>0</v>
      </c>
      <c r="J7329" s="365">
        <f t="shared" si="349"/>
        <v>0</v>
      </c>
      <c r="K7329" s="369">
        <f t="shared" si="350"/>
        <v>6</v>
      </c>
      <c r="L7329" s="369">
        <f>+IF((C7329&gt;='Resultats - informe'!$E$16)*(C7329&lt;='Resultats - informe'!$G$16),1,0)</f>
        <v>1</v>
      </c>
      <c r="M7329" s="369" cm="1">
        <f t="array" ref="M7329">+_xlfn.IFS((C7329&gt;='Resultats - informe'!$D$26)*(C7329&lt;='Resultats - informe'!$E$26),0,(C7329&gt;='Resultats - informe'!$D$27)*(C7329&lt;='Resultats - informe'!$E$27),0,(C7329&gt;='Resultats - informe'!$D$28)*(C7329&lt;='Resultats - informe'!$E$28),0,(C7329&gt;='Resultats - informe'!$D$29)*(C7329&lt;='Resultats - informe'!$E$29),0,1,1)</f>
        <v>0</v>
      </c>
      <c r="N7329" s="366">
        <f>+VLOOKUP(D7329,'Resultats - informe'!$Y$18:$AG$42,'Introducció dades consum'!K7329+1,0)</f>
        <v>0</v>
      </c>
      <c r="O7329" s="370" cm="1">
        <f t="array" ref="O7329">+_xlfn.SWITCH(MONTH(C7329),1,1,2,1,3,1,4,2,5,2,6,3,7,3,8,3,9,3,10,2,11,2,12,1,2)</f>
        <v>1</v>
      </c>
      <c r="P7329" s="43"/>
    </row>
    <row r="7330" spans="1:16" ht="18" x14ac:dyDescent="0.35">
      <c r="A7330" s="9"/>
      <c r="C7330" s="393"/>
      <c r="E7330" s="394"/>
      <c r="F7330" s="394"/>
      <c r="G7330" s="394"/>
      <c r="I7330" s="368">
        <f t="shared" si="348"/>
        <v>0</v>
      </c>
      <c r="J7330" s="365">
        <f t="shared" si="349"/>
        <v>0</v>
      </c>
      <c r="K7330" s="369">
        <f t="shared" si="350"/>
        <v>6</v>
      </c>
      <c r="L7330" s="369">
        <f>+IF((C7330&gt;='Resultats - informe'!$E$16)*(C7330&lt;='Resultats - informe'!$G$16),1,0)</f>
        <v>1</v>
      </c>
      <c r="M7330" s="369" cm="1">
        <f t="array" ref="M7330">+_xlfn.IFS((C7330&gt;='Resultats - informe'!$D$26)*(C7330&lt;='Resultats - informe'!$E$26),0,(C7330&gt;='Resultats - informe'!$D$27)*(C7330&lt;='Resultats - informe'!$E$27),0,(C7330&gt;='Resultats - informe'!$D$28)*(C7330&lt;='Resultats - informe'!$E$28),0,(C7330&gt;='Resultats - informe'!$D$29)*(C7330&lt;='Resultats - informe'!$E$29),0,1,1)</f>
        <v>0</v>
      </c>
      <c r="N7330" s="366">
        <f>+VLOOKUP(D7330,'Resultats - informe'!$Y$18:$AG$42,'Introducció dades consum'!K7330+1,0)</f>
        <v>0</v>
      </c>
      <c r="O7330" s="370" cm="1">
        <f t="array" ref="O7330">+_xlfn.SWITCH(MONTH(C7330),1,1,2,1,3,1,4,2,5,2,6,3,7,3,8,3,9,3,10,2,11,2,12,1,2)</f>
        <v>1</v>
      </c>
      <c r="P7330" s="43"/>
    </row>
    <row r="7331" spans="1:16" ht="18" x14ac:dyDescent="0.35">
      <c r="A7331" s="9"/>
      <c r="C7331" s="393"/>
      <c r="E7331" s="394"/>
      <c r="F7331" s="394"/>
      <c r="G7331" s="394"/>
      <c r="I7331" s="368">
        <f t="shared" si="348"/>
        <v>0</v>
      </c>
      <c r="J7331" s="365">
        <f t="shared" si="349"/>
        <v>0</v>
      </c>
      <c r="K7331" s="369">
        <f t="shared" si="350"/>
        <v>6</v>
      </c>
      <c r="L7331" s="369">
        <f>+IF((C7331&gt;='Resultats - informe'!$E$16)*(C7331&lt;='Resultats - informe'!$G$16),1,0)</f>
        <v>1</v>
      </c>
      <c r="M7331" s="369" cm="1">
        <f t="array" ref="M7331">+_xlfn.IFS((C7331&gt;='Resultats - informe'!$D$26)*(C7331&lt;='Resultats - informe'!$E$26),0,(C7331&gt;='Resultats - informe'!$D$27)*(C7331&lt;='Resultats - informe'!$E$27),0,(C7331&gt;='Resultats - informe'!$D$28)*(C7331&lt;='Resultats - informe'!$E$28),0,(C7331&gt;='Resultats - informe'!$D$29)*(C7331&lt;='Resultats - informe'!$E$29),0,1,1)</f>
        <v>0</v>
      </c>
      <c r="N7331" s="366">
        <f>+VLOOKUP(D7331,'Resultats - informe'!$Y$18:$AG$42,'Introducció dades consum'!K7331+1,0)</f>
        <v>0</v>
      </c>
      <c r="O7331" s="370" cm="1">
        <f t="array" ref="O7331">+_xlfn.SWITCH(MONTH(C7331),1,1,2,1,3,1,4,2,5,2,6,3,7,3,8,3,9,3,10,2,11,2,12,1,2)</f>
        <v>1</v>
      </c>
      <c r="P7331" s="43"/>
    </row>
    <row r="7332" spans="1:16" ht="18" x14ac:dyDescent="0.35">
      <c r="A7332" s="9"/>
      <c r="C7332" s="393"/>
      <c r="E7332" s="394"/>
      <c r="F7332" s="394"/>
      <c r="G7332" s="394"/>
      <c r="I7332" s="368">
        <f t="shared" si="348"/>
        <v>0</v>
      </c>
      <c r="J7332" s="365">
        <f t="shared" si="349"/>
        <v>0</v>
      </c>
      <c r="K7332" s="369">
        <f t="shared" si="350"/>
        <v>6</v>
      </c>
      <c r="L7332" s="369">
        <f>+IF((C7332&gt;='Resultats - informe'!$E$16)*(C7332&lt;='Resultats - informe'!$G$16),1,0)</f>
        <v>1</v>
      </c>
      <c r="M7332" s="369" cm="1">
        <f t="array" ref="M7332">+_xlfn.IFS((C7332&gt;='Resultats - informe'!$D$26)*(C7332&lt;='Resultats - informe'!$E$26),0,(C7332&gt;='Resultats - informe'!$D$27)*(C7332&lt;='Resultats - informe'!$E$27),0,(C7332&gt;='Resultats - informe'!$D$28)*(C7332&lt;='Resultats - informe'!$E$28),0,(C7332&gt;='Resultats - informe'!$D$29)*(C7332&lt;='Resultats - informe'!$E$29),0,1,1)</f>
        <v>0</v>
      </c>
      <c r="N7332" s="366">
        <f>+VLOOKUP(D7332,'Resultats - informe'!$Y$18:$AG$42,'Introducció dades consum'!K7332+1,0)</f>
        <v>0</v>
      </c>
      <c r="O7332" s="370" cm="1">
        <f t="array" ref="O7332">+_xlfn.SWITCH(MONTH(C7332),1,1,2,1,3,1,4,2,5,2,6,3,7,3,8,3,9,3,10,2,11,2,12,1,2)</f>
        <v>1</v>
      </c>
      <c r="P7332" s="43"/>
    </row>
    <row r="7333" spans="1:16" ht="18" x14ac:dyDescent="0.35">
      <c r="A7333" s="9"/>
      <c r="C7333" s="393"/>
      <c r="E7333" s="394"/>
      <c r="F7333" s="394"/>
      <c r="G7333" s="394"/>
      <c r="I7333" s="368">
        <f t="shared" si="348"/>
        <v>0</v>
      </c>
      <c r="J7333" s="365">
        <f t="shared" si="349"/>
        <v>0</v>
      </c>
      <c r="K7333" s="369">
        <f t="shared" si="350"/>
        <v>6</v>
      </c>
      <c r="L7333" s="369">
        <f>+IF((C7333&gt;='Resultats - informe'!$E$16)*(C7333&lt;='Resultats - informe'!$G$16),1,0)</f>
        <v>1</v>
      </c>
      <c r="M7333" s="369" cm="1">
        <f t="array" ref="M7333">+_xlfn.IFS((C7333&gt;='Resultats - informe'!$D$26)*(C7333&lt;='Resultats - informe'!$E$26),0,(C7333&gt;='Resultats - informe'!$D$27)*(C7333&lt;='Resultats - informe'!$E$27),0,(C7333&gt;='Resultats - informe'!$D$28)*(C7333&lt;='Resultats - informe'!$E$28),0,(C7333&gt;='Resultats - informe'!$D$29)*(C7333&lt;='Resultats - informe'!$E$29),0,1,1)</f>
        <v>0</v>
      </c>
      <c r="N7333" s="366">
        <f>+VLOOKUP(D7333,'Resultats - informe'!$Y$18:$AG$42,'Introducció dades consum'!K7333+1,0)</f>
        <v>0</v>
      </c>
      <c r="O7333" s="370" cm="1">
        <f t="array" ref="O7333">+_xlfn.SWITCH(MONTH(C7333),1,1,2,1,3,1,4,2,5,2,6,3,7,3,8,3,9,3,10,2,11,2,12,1,2)</f>
        <v>1</v>
      </c>
      <c r="P7333" s="43"/>
    </row>
    <row r="7334" spans="1:16" ht="18" x14ac:dyDescent="0.35">
      <c r="A7334" s="9"/>
      <c r="C7334" s="393"/>
      <c r="E7334" s="394"/>
      <c r="F7334" s="394"/>
      <c r="G7334" s="394"/>
      <c r="I7334" s="368">
        <f t="shared" si="348"/>
        <v>0</v>
      </c>
      <c r="J7334" s="365">
        <f t="shared" si="349"/>
        <v>0</v>
      </c>
      <c r="K7334" s="369">
        <f t="shared" si="350"/>
        <v>6</v>
      </c>
      <c r="L7334" s="369">
        <f>+IF((C7334&gt;='Resultats - informe'!$E$16)*(C7334&lt;='Resultats - informe'!$G$16),1,0)</f>
        <v>1</v>
      </c>
      <c r="M7334" s="369" cm="1">
        <f t="array" ref="M7334">+_xlfn.IFS((C7334&gt;='Resultats - informe'!$D$26)*(C7334&lt;='Resultats - informe'!$E$26),0,(C7334&gt;='Resultats - informe'!$D$27)*(C7334&lt;='Resultats - informe'!$E$27),0,(C7334&gt;='Resultats - informe'!$D$28)*(C7334&lt;='Resultats - informe'!$E$28),0,(C7334&gt;='Resultats - informe'!$D$29)*(C7334&lt;='Resultats - informe'!$E$29),0,1,1)</f>
        <v>0</v>
      </c>
      <c r="N7334" s="366">
        <f>+VLOOKUP(D7334,'Resultats - informe'!$Y$18:$AG$42,'Introducció dades consum'!K7334+1,0)</f>
        <v>0</v>
      </c>
      <c r="O7334" s="370" cm="1">
        <f t="array" ref="O7334">+_xlfn.SWITCH(MONTH(C7334),1,1,2,1,3,1,4,2,5,2,6,3,7,3,8,3,9,3,10,2,11,2,12,1,2)</f>
        <v>1</v>
      </c>
      <c r="P7334" s="43"/>
    </row>
    <row r="7335" spans="1:16" ht="18" x14ac:dyDescent="0.35">
      <c r="A7335" s="9"/>
      <c r="C7335" s="393"/>
      <c r="E7335" s="394"/>
      <c r="F7335" s="394"/>
      <c r="G7335" s="394"/>
      <c r="I7335" s="368">
        <f t="shared" si="348"/>
        <v>0</v>
      </c>
      <c r="J7335" s="365">
        <f t="shared" si="349"/>
        <v>0</v>
      </c>
      <c r="K7335" s="369">
        <f t="shared" si="350"/>
        <v>6</v>
      </c>
      <c r="L7335" s="369">
        <f>+IF((C7335&gt;='Resultats - informe'!$E$16)*(C7335&lt;='Resultats - informe'!$G$16),1,0)</f>
        <v>1</v>
      </c>
      <c r="M7335" s="369" cm="1">
        <f t="array" ref="M7335">+_xlfn.IFS((C7335&gt;='Resultats - informe'!$D$26)*(C7335&lt;='Resultats - informe'!$E$26),0,(C7335&gt;='Resultats - informe'!$D$27)*(C7335&lt;='Resultats - informe'!$E$27),0,(C7335&gt;='Resultats - informe'!$D$28)*(C7335&lt;='Resultats - informe'!$E$28),0,(C7335&gt;='Resultats - informe'!$D$29)*(C7335&lt;='Resultats - informe'!$E$29),0,1,1)</f>
        <v>0</v>
      </c>
      <c r="N7335" s="366">
        <f>+VLOOKUP(D7335,'Resultats - informe'!$Y$18:$AG$42,'Introducció dades consum'!K7335+1,0)</f>
        <v>0</v>
      </c>
      <c r="O7335" s="370" cm="1">
        <f t="array" ref="O7335">+_xlfn.SWITCH(MONTH(C7335),1,1,2,1,3,1,4,2,5,2,6,3,7,3,8,3,9,3,10,2,11,2,12,1,2)</f>
        <v>1</v>
      </c>
      <c r="P7335" s="43"/>
    </row>
    <row r="7336" spans="1:16" ht="18" x14ac:dyDescent="0.35">
      <c r="A7336" s="9"/>
      <c r="C7336" s="393"/>
      <c r="E7336" s="394"/>
      <c r="F7336" s="394"/>
      <c r="G7336" s="394"/>
      <c r="I7336" s="368">
        <f t="shared" si="348"/>
        <v>0</v>
      </c>
      <c r="J7336" s="365">
        <f t="shared" si="349"/>
        <v>0</v>
      </c>
      <c r="K7336" s="369">
        <f t="shared" si="350"/>
        <v>6</v>
      </c>
      <c r="L7336" s="369">
        <f>+IF((C7336&gt;='Resultats - informe'!$E$16)*(C7336&lt;='Resultats - informe'!$G$16),1,0)</f>
        <v>1</v>
      </c>
      <c r="M7336" s="369" cm="1">
        <f t="array" ref="M7336">+_xlfn.IFS((C7336&gt;='Resultats - informe'!$D$26)*(C7336&lt;='Resultats - informe'!$E$26),0,(C7336&gt;='Resultats - informe'!$D$27)*(C7336&lt;='Resultats - informe'!$E$27),0,(C7336&gt;='Resultats - informe'!$D$28)*(C7336&lt;='Resultats - informe'!$E$28),0,(C7336&gt;='Resultats - informe'!$D$29)*(C7336&lt;='Resultats - informe'!$E$29),0,1,1)</f>
        <v>0</v>
      </c>
      <c r="N7336" s="366">
        <f>+VLOOKUP(D7336,'Resultats - informe'!$Y$18:$AG$42,'Introducció dades consum'!K7336+1,0)</f>
        <v>0</v>
      </c>
      <c r="O7336" s="370" cm="1">
        <f t="array" ref="O7336">+_xlfn.SWITCH(MONTH(C7336),1,1,2,1,3,1,4,2,5,2,6,3,7,3,8,3,9,3,10,2,11,2,12,1,2)</f>
        <v>1</v>
      </c>
      <c r="P7336" s="43"/>
    </row>
    <row r="7337" spans="1:16" ht="18" x14ac:dyDescent="0.35">
      <c r="A7337" s="9"/>
      <c r="C7337" s="393"/>
      <c r="E7337" s="394"/>
      <c r="F7337" s="394"/>
      <c r="G7337" s="394"/>
      <c r="I7337" s="368">
        <f t="shared" si="348"/>
        <v>0</v>
      </c>
      <c r="J7337" s="365">
        <f t="shared" si="349"/>
        <v>0</v>
      </c>
      <c r="K7337" s="369">
        <f t="shared" si="350"/>
        <v>6</v>
      </c>
      <c r="L7337" s="369">
        <f>+IF((C7337&gt;='Resultats - informe'!$E$16)*(C7337&lt;='Resultats - informe'!$G$16),1,0)</f>
        <v>1</v>
      </c>
      <c r="M7337" s="369" cm="1">
        <f t="array" ref="M7337">+_xlfn.IFS((C7337&gt;='Resultats - informe'!$D$26)*(C7337&lt;='Resultats - informe'!$E$26),0,(C7337&gt;='Resultats - informe'!$D$27)*(C7337&lt;='Resultats - informe'!$E$27),0,(C7337&gt;='Resultats - informe'!$D$28)*(C7337&lt;='Resultats - informe'!$E$28),0,(C7337&gt;='Resultats - informe'!$D$29)*(C7337&lt;='Resultats - informe'!$E$29),0,1,1)</f>
        <v>0</v>
      </c>
      <c r="N7337" s="366">
        <f>+VLOOKUP(D7337,'Resultats - informe'!$Y$18:$AG$42,'Introducció dades consum'!K7337+1,0)</f>
        <v>0</v>
      </c>
      <c r="O7337" s="370" cm="1">
        <f t="array" ref="O7337">+_xlfn.SWITCH(MONTH(C7337),1,1,2,1,3,1,4,2,5,2,6,3,7,3,8,3,9,3,10,2,11,2,12,1,2)</f>
        <v>1</v>
      </c>
      <c r="P7337" s="43"/>
    </row>
    <row r="7338" spans="1:16" ht="18" x14ac:dyDescent="0.35">
      <c r="A7338" s="9"/>
      <c r="C7338" s="393"/>
      <c r="E7338" s="394"/>
      <c r="F7338" s="394"/>
      <c r="G7338" s="394"/>
      <c r="I7338" s="368">
        <f t="shared" si="348"/>
        <v>0</v>
      </c>
      <c r="J7338" s="365">
        <f t="shared" si="349"/>
        <v>0</v>
      </c>
      <c r="K7338" s="369">
        <f t="shared" si="350"/>
        <v>6</v>
      </c>
      <c r="L7338" s="369">
        <f>+IF((C7338&gt;='Resultats - informe'!$E$16)*(C7338&lt;='Resultats - informe'!$G$16),1,0)</f>
        <v>1</v>
      </c>
      <c r="M7338" s="369" cm="1">
        <f t="array" ref="M7338">+_xlfn.IFS((C7338&gt;='Resultats - informe'!$D$26)*(C7338&lt;='Resultats - informe'!$E$26),0,(C7338&gt;='Resultats - informe'!$D$27)*(C7338&lt;='Resultats - informe'!$E$27),0,(C7338&gt;='Resultats - informe'!$D$28)*(C7338&lt;='Resultats - informe'!$E$28),0,(C7338&gt;='Resultats - informe'!$D$29)*(C7338&lt;='Resultats - informe'!$E$29),0,1,1)</f>
        <v>0</v>
      </c>
      <c r="N7338" s="366">
        <f>+VLOOKUP(D7338,'Resultats - informe'!$Y$18:$AG$42,'Introducció dades consum'!K7338+1,0)</f>
        <v>0</v>
      </c>
      <c r="O7338" s="370" cm="1">
        <f t="array" ref="O7338">+_xlfn.SWITCH(MONTH(C7338),1,1,2,1,3,1,4,2,5,2,6,3,7,3,8,3,9,3,10,2,11,2,12,1,2)</f>
        <v>1</v>
      </c>
      <c r="P7338" s="43"/>
    </row>
    <row r="7339" spans="1:16" ht="18" x14ac:dyDescent="0.35">
      <c r="A7339" s="9"/>
      <c r="C7339" s="393"/>
      <c r="E7339" s="394"/>
      <c r="F7339" s="394"/>
      <c r="G7339" s="394"/>
      <c r="I7339" s="368">
        <f t="shared" si="348"/>
        <v>0</v>
      </c>
      <c r="J7339" s="365">
        <f t="shared" si="349"/>
        <v>0</v>
      </c>
      <c r="K7339" s="369">
        <f t="shared" si="350"/>
        <v>6</v>
      </c>
      <c r="L7339" s="369">
        <f>+IF((C7339&gt;='Resultats - informe'!$E$16)*(C7339&lt;='Resultats - informe'!$G$16),1,0)</f>
        <v>1</v>
      </c>
      <c r="M7339" s="369" cm="1">
        <f t="array" ref="M7339">+_xlfn.IFS((C7339&gt;='Resultats - informe'!$D$26)*(C7339&lt;='Resultats - informe'!$E$26),0,(C7339&gt;='Resultats - informe'!$D$27)*(C7339&lt;='Resultats - informe'!$E$27),0,(C7339&gt;='Resultats - informe'!$D$28)*(C7339&lt;='Resultats - informe'!$E$28),0,(C7339&gt;='Resultats - informe'!$D$29)*(C7339&lt;='Resultats - informe'!$E$29),0,1,1)</f>
        <v>0</v>
      </c>
      <c r="N7339" s="366">
        <f>+VLOOKUP(D7339,'Resultats - informe'!$Y$18:$AG$42,'Introducció dades consum'!K7339+1,0)</f>
        <v>0</v>
      </c>
      <c r="O7339" s="370" cm="1">
        <f t="array" ref="O7339">+_xlfn.SWITCH(MONTH(C7339),1,1,2,1,3,1,4,2,5,2,6,3,7,3,8,3,9,3,10,2,11,2,12,1,2)</f>
        <v>1</v>
      </c>
      <c r="P7339" s="43"/>
    </row>
    <row r="7340" spans="1:16" ht="18" x14ac:dyDescent="0.35">
      <c r="A7340" s="9"/>
      <c r="C7340" s="393"/>
      <c r="E7340" s="394"/>
      <c r="F7340" s="394"/>
      <c r="G7340" s="394"/>
      <c r="I7340" s="368">
        <f t="shared" si="348"/>
        <v>0</v>
      </c>
      <c r="J7340" s="365">
        <f t="shared" si="349"/>
        <v>0</v>
      </c>
      <c r="K7340" s="369">
        <f t="shared" si="350"/>
        <v>6</v>
      </c>
      <c r="L7340" s="369">
        <f>+IF((C7340&gt;='Resultats - informe'!$E$16)*(C7340&lt;='Resultats - informe'!$G$16),1,0)</f>
        <v>1</v>
      </c>
      <c r="M7340" s="369" cm="1">
        <f t="array" ref="M7340">+_xlfn.IFS((C7340&gt;='Resultats - informe'!$D$26)*(C7340&lt;='Resultats - informe'!$E$26),0,(C7340&gt;='Resultats - informe'!$D$27)*(C7340&lt;='Resultats - informe'!$E$27),0,(C7340&gt;='Resultats - informe'!$D$28)*(C7340&lt;='Resultats - informe'!$E$28),0,(C7340&gt;='Resultats - informe'!$D$29)*(C7340&lt;='Resultats - informe'!$E$29),0,1,1)</f>
        <v>0</v>
      </c>
      <c r="N7340" s="366">
        <f>+VLOOKUP(D7340,'Resultats - informe'!$Y$18:$AG$42,'Introducció dades consum'!K7340+1,0)</f>
        <v>0</v>
      </c>
      <c r="O7340" s="370" cm="1">
        <f t="array" ref="O7340">+_xlfn.SWITCH(MONTH(C7340),1,1,2,1,3,1,4,2,5,2,6,3,7,3,8,3,9,3,10,2,11,2,12,1,2)</f>
        <v>1</v>
      </c>
      <c r="P7340" s="43"/>
    </row>
    <row r="7341" spans="1:16" ht="18" x14ac:dyDescent="0.35">
      <c r="A7341" s="9"/>
      <c r="C7341" s="393"/>
      <c r="E7341" s="394"/>
      <c r="F7341" s="394"/>
      <c r="G7341" s="394"/>
      <c r="I7341" s="368">
        <f t="shared" si="348"/>
        <v>0</v>
      </c>
      <c r="J7341" s="365">
        <f t="shared" si="349"/>
        <v>0</v>
      </c>
      <c r="K7341" s="369">
        <f t="shared" si="350"/>
        <v>6</v>
      </c>
      <c r="L7341" s="369">
        <f>+IF((C7341&gt;='Resultats - informe'!$E$16)*(C7341&lt;='Resultats - informe'!$G$16),1,0)</f>
        <v>1</v>
      </c>
      <c r="M7341" s="369" cm="1">
        <f t="array" ref="M7341">+_xlfn.IFS((C7341&gt;='Resultats - informe'!$D$26)*(C7341&lt;='Resultats - informe'!$E$26),0,(C7341&gt;='Resultats - informe'!$D$27)*(C7341&lt;='Resultats - informe'!$E$27),0,(C7341&gt;='Resultats - informe'!$D$28)*(C7341&lt;='Resultats - informe'!$E$28),0,(C7341&gt;='Resultats - informe'!$D$29)*(C7341&lt;='Resultats - informe'!$E$29),0,1,1)</f>
        <v>0</v>
      </c>
      <c r="N7341" s="366">
        <f>+VLOOKUP(D7341,'Resultats - informe'!$Y$18:$AG$42,'Introducció dades consum'!K7341+1,0)</f>
        <v>0</v>
      </c>
      <c r="O7341" s="370" cm="1">
        <f t="array" ref="O7341">+_xlfn.SWITCH(MONTH(C7341),1,1,2,1,3,1,4,2,5,2,6,3,7,3,8,3,9,3,10,2,11,2,12,1,2)</f>
        <v>1</v>
      </c>
      <c r="P7341" s="43"/>
    </row>
    <row r="7342" spans="1:16" ht="18" x14ac:dyDescent="0.35">
      <c r="A7342" s="9"/>
      <c r="C7342" s="393"/>
      <c r="E7342" s="394"/>
      <c r="F7342" s="394"/>
      <c r="G7342" s="394"/>
      <c r="I7342" s="368">
        <f t="shared" si="348"/>
        <v>0</v>
      </c>
      <c r="J7342" s="365">
        <f t="shared" si="349"/>
        <v>0</v>
      </c>
      <c r="K7342" s="369">
        <f t="shared" si="350"/>
        <v>6</v>
      </c>
      <c r="L7342" s="369">
        <f>+IF((C7342&gt;='Resultats - informe'!$E$16)*(C7342&lt;='Resultats - informe'!$G$16),1,0)</f>
        <v>1</v>
      </c>
      <c r="M7342" s="369" cm="1">
        <f t="array" ref="M7342">+_xlfn.IFS((C7342&gt;='Resultats - informe'!$D$26)*(C7342&lt;='Resultats - informe'!$E$26),0,(C7342&gt;='Resultats - informe'!$D$27)*(C7342&lt;='Resultats - informe'!$E$27),0,(C7342&gt;='Resultats - informe'!$D$28)*(C7342&lt;='Resultats - informe'!$E$28),0,(C7342&gt;='Resultats - informe'!$D$29)*(C7342&lt;='Resultats - informe'!$E$29),0,1,1)</f>
        <v>0</v>
      </c>
      <c r="N7342" s="366">
        <f>+VLOOKUP(D7342,'Resultats - informe'!$Y$18:$AG$42,'Introducció dades consum'!K7342+1,0)</f>
        <v>0</v>
      </c>
      <c r="O7342" s="370" cm="1">
        <f t="array" ref="O7342">+_xlfn.SWITCH(MONTH(C7342),1,1,2,1,3,1,4,2,5,2,6,3,7,3,8,3,9,3,10,2,11,2,12,1,2)</f>
        <v>1</v>
      </c>
      <c r="P7342" s="43"/>
    </row>
    <row r="7343" spans="1:16" ht="18" x14ac:dyDescent="0.35">
      <c r="A7343" s="9"/>
      <c r="C7343" s="393"/>
      <c r="E7343" s="394"/>
      <c r="F7343" s="394"/>
      <c r="G7343" s="394"/>
      <c r="I7343" s="368">
        <f t="shared" si="348"/>
        <v>0</v>
      </c>
      <c r="J7343" s="365">
        <f t="shared" si="349"/>
        <v>0</v>
      </c>
      <c r="K7343" s="369">
        <f t="shared" si="350"/>
        <v>6</v>
      </c>
      <c r="L7343" s="369">
        <f>+IF((C7343&gt;='Resultats - informe'!$E$16)*(C7343&lt;='Resultats - informe'!$G$16),1,0)</f>
        <v>1</v>
      </c>
      <c r="M7343" s="369" cm="1">
        <f t="array" ref="M7343">+_xlfn.IFS((C7343&gt;='Resultats - informe'!$D$26)*(C7343&lt;='Resultats - informe'!$E$26),0,(C7343&gt;='Resultats - informe'!$D$27)*(C7343&lt;='Resultats - informe'!$E$27),0,(C7343&gt;='Resultats - informe'!$D$28)*(C7343&lt;='Resultats - informe'!$E$28),0,(C7343&gt;='Resultats - informe'!$D$29)*(C7343&lt;='Resultats - informe'!$E$29),0,1,1)</f>
        <v>0</v>
      </c>
      <c r="N7343" s="366">
        <f>+VLOOKUP(D7343,'Resultats - informe'!$Y$18:$AG$42,'Introducció dades consum'!K7343+1,0)</f>
        <v>0</v>
      </c>
      <c r="O7343" s="370" cm="1">
        <f t="array" ref="O7343">+_xlfn.SWITCH(MONTH(C7343),1,1,2,1,3,1,4,2,5,2,6,3,7,3,8,3,9,3,10,2,11,2,12,1,2)</f>
        <v>1</v>
      </c>
      <c r="P7343" s="43"/>
    </row>
    <row r="7344" spans="1:16" ht="18" x14ac:dyDescent="0.35">
      <c r="A7344" s="9"/>
      <c r="C7344" s="393"/>
      <c r="E7344" s="394"/>
      <c r="F7344" s="394"/>
      <c r="G7344" s="394"/>
      <c r="I7344" s="368">
        <f t="shared" si="348"/>
        <v>0</v>
      </c>
      <c r="J7344" s="365">
        <f t="shared" si="349"/>
        <v>0</v>
      </c>
      <c r="K7344" s="369">
        <f t="shared" si="350"/>
        <v>6</v>
      </c>
      <c r="L7344" s="369">
        <f>+IF((C7344&gt;='Resultats - informe'!$E$16)*(C7344&lt;='Resultats - informe'!$G$16),1,0)</f>
        <v>1</v>
      </c>
      <c r="M7344" s="369" cm="1">
        <f t="array" ref="M7344">+_xlfn.IFS((C7344&gt;='Resultats - informe'!$D$26)*(C7344&lt;='Resultats - informe'!$E$26),0,(C7344&gt;='Resultats - informe'!$D$27)*(C7344&lt;='Resultats - informe'!$E$27),0,(C7344&gt;='Resultats - informe'!$D$28)*(C7344&lt;='Resultats - informe'!$E$28),0,(C7344&gt;='Resultats - informe'!$D$29)*(C7344&lt;='Resultats - informe'!$E$29),0,1,1)</f>
        <v>0</v>
      </c>
      <c r="N7344" s="366">
        <f>+VLOOKUP(D7344,'Resultats - informe'!$Y$18:$AG$42,'Introducció dades consum'!K7344+1,0)</f>
        <v>0</v>
      </c>
      <c r="O7344" s="370" cm="1">
        <f t="array" ref="O7344">+_xlfn.SWITCH(MONTH(C7344),1,1,2,1,3,1,4,2,5,2,6,3,7,3,8,3,9,3,10,2,11,2,12,1,2)</f>
        <v>1</v>
      </c>
      <c r="P7344" s="43"/>
    </row>
    <row r="7345" spans="1:16" ht="18" x14ac:dyDescent="0.35">
      <c r="A7345" s="9"/>
      <c r="C7345" s="393"/>
      <c r="E7345" s="394"/>
      <c r="F7345" s="394"/>
      <c r="G7345" s="394"/>
      <c r="I7345" s="368">
        <f t="shared" si="348"/>
        <v>0</v>
      </c>
      <c r="J7345" s="365">
        <f t="shared" si="349"/>
        <v>0</v>
      </c>
      <c r="K7345" s="369">
        <f t="shared" si="350"/>
        <v>6</v>
      </c>
      <c r="L7345" s="369">
        <f>+IF((C7345&gt;='Resultats - informe'!$E$16)*(C7345&lt;='Resultats - informe'!$G$16),1,0)</f>
        <v>1</v>
      </c>
      <c r="M7345" s="369" cm="1">
        <f t="array" ref="M7345">+_xlfn.IFS((C7345&gt;='Resultats - informe'!$D$26)*(C7345&lt;='Resultats - informe'!$E$26),0,(C7345&gt;='Resultats - informe'!$D$27)*(C7345&lt;='Resultats - informe'!$E$27),0,(C7345&gt;='Resultats - informe'!$D$28)*(C7345&lt;='Resultats - informe'!$E$28),0,(C7345&gt;='Resultats - informe'!$D$29)*(C7345&lt;='Resultats - informe'!$E$29),0,1,1)</f>
        <v>0</v>
      </c>
      <c r="N7345" s="366">
        <f>+VLOOKUP(D7345,'Resultats - informe'!$Y$18:$AG$42,'Introducció dades consum'!K7345+1,0)</f>
        <v>0</v>
      </c>
      <c r="O7345" s="370" cm="1">
        <f t="array" ref="O7345">+_xlfn.SWITCH(MONTH(C7345),1,1,2,1,3,1,4,2,5,2,6,3,7,3,8,3,9,3,10,2,11,2,12,1,2)</f>
        <v>1</v>
      </c>
      <c r="P7345" s="43"/>
    </row>
    <row r="7346" spans="1:16" ht="18" x14ac:dyDescent="0.35">
      <c r="A7346" s="9"/>
      <c r="C7346" s="393"/>
      <c r="E7346" s="394"/>
      <c r="F7346" s="394"/>
      <c r="G7346" s="394"/>
      <c r="I7346" s="368">
        <f t="shared" si="348"/>
        <v>0</v>
      </c>
      <c r="J7346" s="365">
        <f t="shared" si="349"/>
        <v>0</v>
      </c>
      <c r="K7346" s="369">
        <f t="shared" si="350"/>
        <v>6</v>
      </c>
      <c r="L7346" s="369">
        <f>+IF((C7346&gt;='Resultats - informe'!$E$16)*(C7346&lt;='Resultats - informe'!$G$16),1,0)</f>
        <v>1</v>
      </c>
      <c r="M7346" s="369" cm="1">
        <f t="array" ref="M7346">+_xlfn.IFS((C7346&gt;='Resultats - informe'!$D$26)*(C7346&lt;='Resultats - informe'!$E$26),0,(C7346&gt;='Resultats - informe'!$D$27)*(C7346&lt;='Resultats - informe'!$E$27),0,(C7346&gt;='Resultats - informe'!$D$28)*(C7346&lt;='Resultats - informe'!$E$28),0,(C7346&gt;='Resultats - informe'!$D$29)*(C7346&lt;='Resultats - informe'!$E$29),0,1,1)</f>
        <v>0</v>
      </c>
      <c r="N7346" s="366">
        <f>+VLOOKUP(D7346,'Resultats - informe'!$Y$18:$AG$42,'Introducció dades consum'!K7346+1,0)</f>
        <v>0</v>
      </c>
      <c r="O7346" s="370" cm="1">
        <f t="array" ref="O7346">+_xlfn.SWITCH(MONTH(C7346),1,1,2,1,3,1,4,2,5,2,6,3,7,3,8,3,9,3,10,2,11,2,12,1,2)</f>
        <v>1</v>
      </c>
      <c r="P7346" s="43"/>
    </row>
    <row r="7347" spans="1:16" ht="18" x14ac:dyDescent="0.35">
      <c r="A7347" s="9"/>
      <c r="C7347" s="393"/>
      <c r="E7347" s="394"/>
      <c r="F7347" s="394"/>
      <c r="G7347" s="394"/>
      <c r="I7347" s="368">
        <f t="shared" si="348"/>
        <v>0</v>
      </c>
      <c r="J7347" s="365">
        <f t="shared" si="349"/>
        <v>0</v>
      </c>
      <c r="K7347" s="369">
        <f t="shared" si="350"/>
        <v>6</v>
      </c>
      <c r="L7347" s="369">
        <f>+IF((C7347&gt;='Resultats - informe'!$E$16)*(C7347&lt;='Resultats - informe'!$G$16),1,0)</f>
        <v>1</v>
      </c>
      <c r="M7347" s="369" cm="1">
        <f t="array" ref="M7347">+_xlfn.IFS((C7347&gt;='Resultats - informe'!$D$26)*(C7347&lt;='Resultats - informe'!$E$26),0,(C7347&gt;='Resultats - informe'!$D$27)*(C7347&lt;='Resultats - informe'!$E$27),0,(C7347&gt;='Resultats - informe'!$D$28)*(C7347&lt;='Resultats - informe'!$E$28),0,(C7347&gt;='Resultats - informe'!$D$29)*(C7347&lt;='Resultats - informe'!$E$29),0,1,1)</f>
        <v>0</v>
      </c>
      <c r="N7347" s="366">
        <f>+VLOOKUP(D7347,'Resultats - informe'!$Y$18:$AG$42,'Introducció dades consum'!K7347+1,0)</f>
        <v>0</v>
      </c>
      <c r="O7347" s="370" cm="1">
        <f t="array" ref="O7347">+_xlfn.SWITCH(MONTH(C7347),1,1,2,1,3,1,4,2,5,2,6,3,7,3,8,3,9,3,10,2,11,2,12,1,2)</f>
        <v>1</v>
      </c>
      <c r="P7347" s="43"/>
    </row>
    <row r="7348" spans="1:16" ht="18" x14ac:dyDescent="0.35">
      <c r="A7348" s="9"/>
      <c r="C7348" s="393"/>
      <c r="E7348" s="394"/>
      <c r="F7348" s="394"/>
      <c r="G7348" s="394"/>
      <c r="I7348" s="368">
        <f t="shared" si="348"/>
        <v>0</v>
      </c>
      <c r="J7348" s="365">
        <f t="shared" si="349"/>
        <v>0</v>
      </c>
      <c r="K7348" s="369">
        <f t="shared" si="350"/>
        <v>6</v>
      </c>
      <c r="L7348" s="369">
        <f>+IF((C7348&gt;='Resultats - informe'!$E$16)*(C7348&lt;='Resultats - informe'!$G$16),1,0)</f>
        <v>1</v>
      </c>
      <c r="M7348" s="369" cm="1">
        <f t="array" ref="M7348">+_xlfn.IFS((C7348&gt;='Resultats - informe'!$D$26)*(C7348&lt;='Resultats - informe'!$E$26),0,(C7348&gt;='Resultats - informe'!$D$27)*(C7348&lt;='Resultats - informe'!$E$27),0,(C7348&gt;='Resultats - informe'!$D$28)*(C7348&lt;='Resultats - informe'!$E$28),0,(C7348&gt;='Resultats - informe'!$D$29)*(C7348&lt;='Resultats - informe'!$E$29),0,1,1)</f>
        <v>0</v>
      </c>
      <c r="N7348" s="366">
        <f>+VLOOKUP(D7348,'Resultats - informe'!$Y$18:$AG$42,'Introducció dades consum'!K7348+1,0)</f>
        <v>0</v>
      </c>
      <c r="O7348" s="370" cm="1">
        <f t="array" ref="O7348">+_xlfn.SWITCH(MONTH(C7348),1,1,2,1,3,1,4,2,5,2,6,3,7,3,8,3,9,3,10,2,11,2,12,1,2)</f>
        <v>1</v>
      </c>
      <c r="P7348" s="43"/>
    </row>
    <row r="7349" spans="1:16" ht="18" x14ac:dyDescent="0.35">
      <c r="A7349" s="9"/>
      <c r="C7349" s="393"/>
      <c r="E7349" s="394"/>
      <c r="F7349" s="394"/>
      <c r="G7349" s="394"/>
      <c r="I7349" s="368">
        <f t="shared" si="348"/>
        <v>0</v>
      </c>
      <c r="J7349" s="365">
        <f t="shared" si="349"/>
        <v>0</v>
      </c>
      <c r="K7349" s="369">
        <f t="shared" si="350"/>
        <v>6</v>
      </c>
      <c r="L7349" s="369">
        <f>+IF((C7349&gt;='Resultats - informe'!$E$16)*(C7349&lt;='Resultats - informe'!$G$16),1,0)</f>
        <v>1</v>
      </c>
      <c r="M7349" s="369" cm="1">
        <f t="array" ref="M7349">+_xlfn.IFS((C7349&gt;='Resultats - informe'!$D$26)*(C7349&lt;='Resultats - informe'!$E$26),0,(C7349&gt;='Resultats - informe'!$D$27)*(C7349&lt;='Resultats - informe'!$E$27),0,(C7349&gt;='Resultats - informe'!$D$28)*(C7349&lt;='Resultats - informe'!$E$28),0,(C7349&gt;='Resultats - informe'!$D$29)*(C7349&lt;='Resultats - informe'!$E$29),0,1,1)</f>
        <v>0</v>
      </c>
      <c r="N7349" s="366">
        <f>+VLOOKUP(D7349,'Resultats - informe'!$Y$18:$AG$42,'Introducció dades consum'!K7349+1,0)</f>
        <v>0</v>
      </c>
      <c r="O7349" s="370" cm="1">
        <f t="array" ref="O7349">+_xlfn.SWITCH(MONTH(C7349),1,1,2,1,3,1,4,2,5,2,6,3,7,3,8,3,9,3,10,2,11,2,12,1,2)</f>
        <v>1</v>
      </c>
      <c r="P7349" s="43"/>
    </row>
    <row r="7350" spans="1:16" ht="18" x14ac:dyDescent="0.35">
      <c r="A7350" s="9"/>
      <c r="C7350" s="393"/>
      <c r="E7350" s="394"/>
      <c r="F7350" s="394"/>
      <c r="G7350" s="394"/>
      <c r="I7350" s="368">
        <f t="shared" si="348"/>
        <v>0</v>
      </c>
      <c r="J7350" s="365">
        <f t="shared" si="349"/>
        <v>0</v>
      </c>
      <c r="K7350" s="369">
        <f t="shared" si="350"/>
        <v>6</v>
      </c>
      <c r="L7350" s="369">
        <f>+IF((C7350&gt;='Resultats - informe'!$E$16)*(C7350&lt;='Resultats - informe'!$G$16),1,0)</f>
        <v>1</v>
      </c>
      <c r="M7350" s="369" cm="1">
        <f t="array" ref="M7350">+_xlfn.IFS((C7350&gt;='Resultats - informe'!$D$26)*(C7350&lt;='Resultats - informe'!$E$26),0,(C7350&gt;='Resultats - informe'!$D$27)*(C7350&lt;='Resultats - informe'!$E$27),0,(C7350&gt;='Resultats - informe'!$D$28)*(C7350&lt;='Resultats - informe'!$E$28),0,(C7350&gt;='Resultats - informe'!$D$29)*(C7350&lt;='Resultats - informe'!$E$29),0,1,1)</f>
        <v>0</v>
      </c>
      <c r="N7350" s="366">
        <f>+VLOOKUP(D7350,'Resultats - informe'!$Y$18:$AG$42,'Introducció dades consum'!K7350+1,0)</f>
        <v>0</v>
      </c>
      <c r="O7350" s="370" cm="1">
        <f t="array" ref="O7350">+_xlfn.SWITCH(MONTH(C7350),1,1,2,1,3,1,4,2,5,2,6,3,7,3,8,3,9,3,10,2,11,2,12,1,2)</f>
        <v>1</v>
      </c>
      <c r="P7350" s="43"/>
    </row>
    <row r="7351" spans="1:16" ht="18" x14ac:dyDescent="0.35">
      <c r="A7351" s="9"/>
      <c r="C7351" s="393"/>
      <c r="E7351" s="394"/>
      <c r="F7351" s="394"/>
      <c r="G7351" s="394"/>
      <c r="I7351" s="368">
        <f t="shared" si="348"/>
        <v>0</v>
      </c>
      <c r="J7351" s="365">
        <f t="shared" si="349"/>
        <v>0</v>
      </c>
      <c r="K7351" s="369">
        <f t="shared" si="350"/>
        <v>6</v>
      </c>
      <c r="L7351" s="369">
        <f>+IF((C7351&gt;='Resultats - informe'!$E$16)*(C7351&lt;='Resultats - informe'!$G$16),1,0)</f>
        <v>1</v>
      </c>
      <c r="M7351" s="369" cm="1">
        <f t="array" ref="M7351">+_xlfn.IFS((C7351&gt;='Resultats - informe'!$D$26)*(C7351&lt;='Resultats - informe'!$E$26),0,(C7351&gt;='Resultats - informe'!$D$27)*(C7351&lt;='Resultats - informe'!$E$27),0,(C7351&gt;='Resultats - informe'!$D$28)*(C7351&lt;='Resultats - informe'!$E$28),0,(C7351&gt;='Resultats - informe'!$D$29)*(C7351&lt;='Resultats - informe'!$E$29),0,1,1)</f>
        <v>0</v>
      </c>
      <c r="N7351" s="366">
        <f>+VLOOKUP(D7351,'Resultats - informe'!$Y$18:$AG$42,'Introducció dades consum'!K7351+1,0)</f>
        <v>0</v>
      </c>
      <c r="O7351" s="370" cm="1">
        <f t="array" ref="O7351">+_xlfn.SWITCH(MONTH(C7351),1,1,2,1,3,1,4,2,5,2,6,3,7,3,8,3,9,3,10,2,11,2,12,1,2)</f>
        <v>1</v>
      </c>
      <c r="P7351" s="43"/>
    </row>
    <row r="7352" spans="1:16" ht="18" x14ac:dyDescent="0.35">
      <c r="A7352" s="9"/>
      <c r="C7352" s="393"/>
      <c r="E7352" s="394"/>
      <c r="F7352" s="394"/>
      <c r="G7352" s="394"/>
      <c r="I7352" s="368">
        <f t="shared" si="348"/>
        <v>0</v>
      </c>
      <c r="J7352" s="365">
        <f t="shared" si="349"/>
        <v>0</v>
      </c>
      <c r="K7352" s="369">
        <f t="shared" si="350"/>
        <v>6</v>
      </c>
      <c r="L7352" s="369">
        <f>+IF((C7352&gt;='Resultats - informe'!$E$16)*(C7352&lt;='Resultats - informe'!$G$16),1,0)</f>
        <v>1</v>
      </c>
      <c r="M7352" s="369" cm="1">
        <f t="array" ref="M7352">+_xlfn.IFS((C7352&gt;='Resultats - informe'!$D$26)*(C7352&lt;='Resultats - informe'!$E$26),0,(C7352&gt;='Resultats - informe'!$D$27)*(C7352&lt;='Resultats - informe'!$E$27),0,(C7352&gt;='Resultats - informe'!$D$28)*(C7352&lt;='Resultats - informe'!$E$28),0,(C7352&gt;='Resultats - informe'!$D$29)*(C7352&lt;='Resultats - informe'!$E$29),0,1,1)</f>
        <v>0</v>
      </c>
      <c r="N7352" s="366">
        <f>+VLOOKUP(D7352,'Resultats - informe'!$Y$18:$AG$42,'Introducció dades consum'!K7352+1,0)</f>
        <v>0</v>
      </c>
      <c r="O7352" s="370" cm="1">
        <f t="array" ref="O7352">+_xlfn.SWITCH(MONTH(C7352),1,1,2,1,3,1,4,2,5,2,6,3,7,3,8,3,9,3,10,2,11,2,12,1,2)</f>
        <v>1</v>
      </c>
      <c r="P7352" s="43"/>
    </row>
    <row r="7353" spans="1:16" ht="18" x14ac:dyDescent="0.35">
      <c r="A7353" s="9"/>
      <c r="C7353" s="393"/>
      <c r="E7353" s="394"/>
      <c r="F7353" s="394"/>
      <c r="G7353" s="394"/>
      <c r="I7353" s="368">
        <f t="shared" si="348"/>
        <v>0</v>
      </c>
      <c r="J7353" s="365">
        <f t="shared" si="349"/>
        <v>0</v>
      </c>
      <c r="K7353" s="369">
        <f t="shared" si="350"/>
        <v>6</v>
      </c>
      <c r="L7353" s="369">
        <f>+IF((C7353&gt;='Resultats - informe'!$E$16)*(C7353&lt;='Resultats - informe'!$G$16),1,0)</f>
        <v>1</v>
      </c>
      <c r="M7353" s="369" cm="1">
        <f t="array" ref="M7353">+_xlfn.IFS((C7353&gt;='Resultats - informe'!$D$26)*(C7353&lt;='Resultats - informe'!$E$26),0,(C7353&gt;='Resultats - informe'!$D$27)*(C7353&lt;='Resultats - informe'!$E$27),0,(C7353&gt;='Resultats - informe'!$D$28)*(C7353&lt;='Resultats - informe'!$E$28),0,(C7353&gt;='Resultats - informe'!$D$29)*(C7353&lt;='Resultats - informe'!$E$29),0,1,1)</f>
        <v>0</v>
      </c>
      <c r="N7353" s="366">
        <f>+VLOOKUP(D7353,'Resultats - informe'!$Y$18:$AG$42,'Introducció dades consum'!K7353+1,0)</f>
        <v>0</v>
      </c>
      <c r="O7353" s="370" cm="1">
        <f t="array" ref="O7353">+_xlfn.SWITCH(MONTH(C7353),1,1,2,1,3,1,4,2,5,2,6,3,7,3,8,3,9,3,10,2,11,2,12,1,2)</f>
        <v>1</v>
      </c>
      <c r="P7353" s="43"/>
    </row>
    <row r="7354" spans="1:16" ht="18" x14ac:dyDescent="0.35">
      <c r="A7354" s="9"/>
      <c r="C7354" s="393"/>
      <c r="E7354" s="394"/>
      <c r="F7354" s="394"/>
      <c r="G7354" s="394"/>
      <c r="I7354" s="368">
        <f t="shared" si="348"/>
        <v>0</v>
      </c>
      <c r="J7354" s="365">
        <f t="shared" si="349"/>
        <v>0</v>
      </c>
      <c r="K7354" s="369">
        <f t="shared" si="350"/>
        <v>6</v>
      </c>
      <c r="L7354" s="369">
        <f>+IF((C7354&gt;='Resultats - informe'!$E$16)*(C7354&lt;='Resultats - informe'!$G$16),1,0)</f>
        <v>1</v>
      </c>
      <c r="M7354" s="369" cm="1">
        <f t="array" ref="M7354">+_xlfn.IFS((C7354&gt;='Resultats - informe'!$D$26)*(C7354&lt;='Resultats - informe'!$E$26),0,(C7354&gt;='Resultats - informe'!$D$27)*(C7354&lt;='Resultats - informe'!$E$27),0,(C7354&gt;='Resultats - informe'!$D$28)*(C7354&lt;='Resultats - informe'!$E$28),0,(C7354&gt;='Resultats - informe'!$D$29)*(C7354&lt;='Resultats - informe'!$E$29),0,1,1)</f>
        <v>0</v>
      </c>
      <c r="N7354" s="366">
        <f>+VLOOKUP(D7354,'Resultats - informe'!$Y$18:$AG$42,'Introducció dades consum'!K7354+1,0)</f>
        <v>0</v>
      </c>
      <c r="O7354" s="370" cm="1">
        <f t="array" ref="O7354">+_xlfn.SWITCH(MONTH(C7354),1,1,2,1,3,1,4,2,5,2,6,3,7,3,8,3,9,3,10,2,11,2,12,1,2)</f>
        <v>1</v>
      </c>
      <c r="P7354" s="43"/>
    </row>
    <row r="7355" spans="1:16" ht="18" x14ac:dyDescent="0.35">
      <c r="A7355" s="9"/>
      <c r="C7355" s="393"/>
      <c r="E7355" s="394"/>
      <c r="F7355" s="394"/>
      <c r="G7355" s="394"/>
      <c r="I7355" s="368">
        <f t="shared" si="348"/>
        <v>0</v>
      </c>
      <c r="J7355" s="365">
        <f t="shared" si="349"/>
        <v>0</v>
      </c>
      <c r="K7355" s="369">
        <f t="shared" si="350"/>
        <v>6</v>
      </c>
      <c r="L7355" s="369">
        <f>+IF((C7355&gt;='Resultats - informe'!$E$16)*(C7355&lt;='Resultats - informe'!$G$16),1,0)</f>
        <v>1</v>
      </c>
      <c r="M7355" s="369" cm="1">
        <f t="array" ref="M7355">+_xlfn.IFS((C7355&gt;='Resultats - informe'!$D$26)*(C7355&lt;='Resultats - informe'!$E$26),0,(C7355&gt;='Resultats - informe'!$D$27)*(C7355&lt;='Resultats - informe'!$E$27),0,(C7355&gt;='Resultats - informe'!$D$28)*(C7355&lt;='Resultats - informe'!$E$28),0,(C7355&gt;='Resultats - informe'!$D$29)*(C7355&lt;='Resultats - informe'!$E$29),0,1,1)</f>
        <v>0</v>
      </c>
      <c r="N7355" s="366">
        <f>+VLOOKUP(D7355,'Resultats - informe'!$Y$18:$AG$42,'Introducció dades consum'!K7355+1,0)</f>
        <v>0</v>
      </c>
      <c r="O7355" s="370" cm="1">
        <f t="array" ref="O7355">+_xlfn.SWITCH(MONTH(C7355),1,1,2,1,3,1,4,2,5,2,6,3,7,3,8,3,9,3,10,2,11,2,12,1,2)</f>
        <v>1</v>
      </c>
      <c r="P7355" s="43"/>
    </row>
    <row r="7356" spans="1:16" ht="18" x14ac:dyDescent="0.35">
      <c r="A7356" s="9"/>
      <c r="C7356" s="393"/>
      <c r="E7356" s="394"/>
      <c r="F7356" s="394"/>
      <c r="G7356" s="394"/>
      <c r="I7356" s="368">
        <f t="shared" si="348"/>
        <v>0</v>
      </c>
      <c r="J7356" s="365">
        <f t="shared" si="349"/>
        <v>0</v>
      </c>
      <c r="K7356" s="369">
        <f t="shared" si="350"/>
        <v>6</v>
      </c>
      <c r="L7356" s="369">
        <f>+IF((C7356&gt;='Resultats - informe'!$E$16)*(C7356&lt;='Resultats - informe'!$G$16),1,0)</f>
        <v>1</v>
      </c>
      <c r="M7356" s="369" cm="1">
        <f t="array" ref="M7356">+_xlfn.IFS((C7356&gt;='Resultats - informe'!$D$26)*(C7356&lt;='Resultats - informe'!$E$26),0,(C7356&gt;='Resultats - informe'!$D$27)*(C7356&lt;='Resultats - informe'!$E$27),0,(C7356&gt;='Resultats - informe'!$D$28)*(C7356&lt;='Resultats - informe'!$E$28),0,(C7356&gt;='Resultats - informe'!$D$29)*(C7356&lt;='Resultats - informe'!$E$29),0,1,1)</f>
        <v>0</v>
      </c>
      <c r="N7356" s="366">
        <f>+VLOOKUP(D7356,'Resultats - informe'!$Y$18:$AG$42,'Introducció dades consum'!K7356+1,0)</f>
        <v>0</v>
      </c>
      <c r="O7356" s="370" cm="1">
        <f t="array" ref="O7356">+_xlfn.SWITCH(MONTH(C7356),1,1,2,1,3,1,4,2,5,2,6,3,7,3,8,3,9,3,10,2,11,2,12,1,2)</f>
        <v>1</v>
      </c>
      <c r="P7356" s="43"/>
    </row>
    <row r="7357" spans="1:16" ht="18" x14ac:dyDescent="0.35">
      <c r="A7357" s="9"/>
      <c r="C7357" s="393"/>
      <c r="E7357" s="394"/>
      <c r="F7357" s="394"/>
      <c r="G7357" s="394"/>
      <c r="I7357" s="368">
        <f t="shared" si="348"/>
        <v>0</v>
      </c>
      <c r="J7357" s="365">
        <f t="shared" si="349"/>
        <v>0</v>
      </c>
      <c r="K7357" s="369">
        <f t="shared" si="350"/>
        <v>6</v>
      </c>
      <c r="L7357" s="369">
        <f>+IF((C7357&gt;='Resultats - informe'!$E$16)*(C7357&lt;='Resultats - informe'!$G$16),1,0)</f>
        <v>1</v>
      </c>
      <c r="M7357" s="369" cm="1">
        <f t="array" ref="M7357">+_xlfn.IFS((C7357&gt;='Resultats - informe'!$D$26)*(C7357&lt;='Resultats - informe'!$E$26),0,(C7357&gt;='Resultats - informe'!$D$27)*(C7357&lt;='Resultats - informe'!$E$27),0,(C7357&gt;='Resultats - informe'!$D$28)*(C7357&lt;='Resultats - informe'!$E$28),0,(C7357&gt;='Resultats - informe'!$D$29)*(C7357&lt;='Resultats - informe'!$E$29),0,1,1)</f>
        <v>0</v>
      </c>
      <c r="N7357" s="366">
        <f>+VLOOKUP(D7357,'Resultats - informe'!$Y$18:$AG$42,'Introducció dades consum'!K7357+1,0)</f>
        <v>0</v>
      </c>
      <c r="O7357" s="370" cm="1">
        <f t="array" ref="O7357">+_xlfn.SWITCH(MONTH(C7357),1,1,2,1,3,1,4,2,5,2,6,3,7,3,8,3,9,3,10,2,11,2,12,1,2)</f>
        <v>1</v>
      </c>
      <c r="P7357" s="43"/>
    </row>
    <row r="7358" spans="1:16" ht="18" x14ac:dyDescent="0.35">
      <c r="A7358" s="9"/>
      <c r="C7358" s="393"/>
      <c r="E7358" s="394"/>
      <c r="F7358" s="394"/>
      <c r="G7358" s="394"/>
      <c r="I7358" s="368">
        <f t="shared" si="348"/>
        <v>0</v>
      </c>
      <c r="J7358" s="365">
        <f t="shared" si="349"/>
        <v>0</v>
      </c>
      <c r="K7358" s="369">
        <f t="shared" si="350"/>
        <v>6</v>
      </c>
      <c r="L7358" s="369">
        <f>+IF((C7358&gt;='Resultats - informe'!$E$16)*(C7358&lt;='Resultats - informe'!$G$16),1,0)</f>
        <v>1</v>
      </c>
      <c r="M7358" s="369" cm="1">
        <f t="array" ref="M7358">+_xlfn.IFS((C7358&gt;='Resultats - informe'!$D$26)*(C7358&lt;='Resultats - informe'!$E$26),0,(C7358&gt;='Resultats - informe'!$D$27)*(C7358&lt;='Resultats - informe'!$E$27),0,(C7358&gt;='Resultats - informe'!$D$28)*(C7358&lt;='Resultats - informe'!$E$28),0,(C7358&gt;='Resultats - informe'!$D$29)*(C7358&lt;='Resultats - informe'!$E$29),0,1,1)</f>
        <v>0</v>
      </c>
      <c r="N7358" s="366">
        <f>+VLOOKUP(D7358,'Resultats - informe'!$Y$18:$AG$42,'Introducció dades consum'!K7358+1,0)</f>
        <v>0</v>
      </c>
      <c r="O7358" s="370" cm="1">
        <f t="array" ref="O7358">+_xlfn.SWITCH(MONTH(C7358),1,1,2,1,3,1,4,2,5,2,6,3,7,3,8,3,9,3,10,2,11,2,12,1,2)</f>
        <v>1</v>
      </c>
      <c r="P7358" s="43"/>
    </row>
    <row r="7359" spans="1:16" ht="18" x14ac:dyDescent="0.35">
      <c r="A7359" s="9"/>
      <c r="C7359" s="393"/>
      <c r="E7359" s="394"/>
      <c r="F7359" s="394"/>
      <c r="G7359" s="394"/>
      <c r="I7359" s="368">
        <f t="shared" si="348"/>
        <v>0</v>
      </c>
      <c r="J7359" s="365">
        <f t="shared" si="349"/>
        <v>0</v>
      </c>
      <c r="K7359" s="369">
        <f t="shared" si="350"/>
        <v>6</v>
      </c>
      <c r="L7359" s="369">
        <f>+IF((C7359&gt;='Resultats - informe'!$E$16)*(C7359&lt;='Resultats - informe'!$G$16),1,0)</f>
        <v>1</v>
      </c>
      <c r="M7359" s="369" cm="1">
        <f t="array" ref="M7359">+_xlfn.IFS((C7359&gt;='Resultats - informe'!$D$26)*(C7359&lt;='Resultats - informe'!$E$26),0,(C7359&gt;='Resultats - informe'!$D$27)*(C7359&lt;='Resultats - informe'!$E$27),0,(C7359&gt;='Resultats - informe'!$D$28)*(C7359&lt;='Resultats - informe'!$E$28),0,(C7359&gt;='Resultats - informe'!$D$29)*(C7359&lt;='Resultats - informe'!$E$29),0,1,1)</f>
        <v>0</v>
      </c>
      <c r="N7359" s="366">
        <f>+VLOOKUP(D7359,'Resultats - informe'!$Y$18:$AG$42,'Introducció dades consum'!K7359+1,0)</f>
        <v>0</v>
      </c>
      <c r="O7359" s="370" cm="1">
        <f t="array" ref="O7359">+_xlfn.SWITCH(MONTH(C7359),1,1,2,1,3,1,4,2,5,2,6,3,7,3,8,3,9,3,10,2,11,2,12,1,2)</f>
        <v>1</v>
      </c>
      <c r="P7359" s="43"/>
    </row>
    <row r="7360" spans="1:16" ht="18" x14ac:dyDescent="0.35">
      <c r="A7360" s="9"/>
      <c r="C7360" s="393"/>
      <c r="E7360" s="394"/>
      <c r="F7360" s="394"/>
      <c r="G7360" s="394"/>
      <c r="I7360" s="368">
        <f t="shared" si="348"/>
        <v>0</v>
      </c>
      <c r="J7360" s="365">
        <f t="shared" si="349"/>
        <v>0</v>
      </c>
      <c r="K7360" s="369">
        <f t="shared" si="350"/>
        <v>6</v>
      </c>
      <c r="L7360" s="369">
        <f>+IF((C7360&gt;='Resultats - informe'!$E$16)*(C7360&lt;='Resultats - informe'!$G$16),1,0)</f>
        <v>1</v>
      </c>
      <c r="M7360" s="369" cm="1">
        <f t="array" ref="M7360">+_xlfn.IFS((C7360&gt;='Resultats - informe'!$D$26)*(C7360&lt;='Resultats - informe'!$E$26),0,(C7360&gt;='Resultats - informe'!$D$27)*(C7360&lt;='Resultats - informe'!$E$27),0,(C7360&gt;='Resultats - informe'!$D$28)*(C7360&lt;='Resultats - informe'!$E$28),0,(C7360&gt;='Resultats - informe'!$D$29)*(C7360&lt;='Resultats - informe'!$E$29),0,1,1)</f>
        <v>0</v>
      </c>
      <c r="N7360" s="366">
        <f>+VLOOKUP(D7360,'Resultats - informe'!$Y$18:$AG$42,'Introducció dades consum'!K7360+1,0)</f>
        <v>0</v>
      </c>
      <c r="O7360" s="370" cm="1">
        <f t="array" ref="O7360">+_xlfn.SWITCH(MONTH(C7360),1,1,2,1,3,1,4,2,5,2,6,3,7,3,8,3,9,3,10,2,11,2,12,1,2)</f>
        <v>1</v>
      </c>
      <c r="P7360" s="43"/>
    </row>
    <row r="7361" spans="1:16" ht="18" x14ac:dyDescent="0.35">
      <c r="A7361" s="9"/>
      <c r="C7361" s="393"/>
      <c r="E7361" s="394"/>
      <c r="F7361" s="394"/>
      <c r="G7361" s="394"/>
      <c r="I7361" s="368">
        <f t="shared" si="348"/>
        <v>0</v>
      </c>
      <c r="J7361" s="365">
        <f t="shared" si="349"/>
        <v>0</v>
      </c>
      <c r="K7361" s="369">
        <f t="shared" si="350"/>
        <v>6</v>
      </c>
      <c r="L7361" s="369">
        <f>+IF((C7361&gt;='Resultats - informe'!$E$16)*(C7361&lt;='Resultats - informe'!$G$16),1,0)</f>
        <v>1</v>
      </c>
      <c r="M7361" s="369" cm="1">
        <f t="array" ref="M7361">+_xlfn.IFS((C7361&gt;='Resultats - informe'!$D$26)*(C7361&lt;='Resultats - informe'!$E$26),0,(C7361&gt;='Resultats - informe'!$D$27)*(C7361&lt;='Resultats - informe'!$E$27),0,(C7361&gt;='Resultats - informe'!$D$28)*(C7361&lt;='Resultats - informe'!$E$28),0,(C7361&gt;='Resultats - informe'!$D$29)*(C7361&lt;='Resultats - informe'!$E$29),0,1,1)</f>
        <v>0</v>
      </c>
      <c r="N7361" s="366">
        <f>+VLOOKUP(D7361,'Resultats - informe'!$Y$18:$AG$42,'Introducció dades consum'!K7361+1,0)</f>
        <v>0</v>
      </c>
      <c r="O7361" s="370" cm="1">
        <f t="array" ref="O7361">+_xlfn.SWITCH(MONTH(C7361),1,1,2,1,3,1,4,2,5,2,6,3,7,3,8,3,9,3,10,2,11,2,12,1,2)</f>
        <v>1</v>
      </c>
      <c r="P7361" s="43"/>
    </row>
    <row r="7362" spans="1:16" ht="18" x14ac:dyDescent="0.35">
      <c r="A7362" s="9"/>
      <c r="C7362" s="393"/>
      <c r="E7362" s="394"/>
      <c r="F7362" s="394"/>
      <c r="G7362" s="394"/>
      <c r="I7362" s="368">
        <f t="shared" si="348"/>
        <v>0</v>
      </c>
      <c r="J7362" s="365">
        <f t="shared" si="349"/>
        <v>0</v>
      </c>
      <c r="K7362" s="369">
        <f t="shared" si="350"/>
        <v>6</v>
      </c>
      <c r="L7362" s="369">
        <f>+IF((C7362&gt;='Resultats - informe'!$E$16)*(C7362&lt;='Resultats - informe'!$G$16),1,0)</f>
        <v>1</v>
      </c>
      <c r="M7362" s="369" cm="1">
        <f t="array" ref="M7362">+_xlfn.IFS((C7362&gt;='Resultats - informe'!$D$26)*(C7362&lt;='Resultats - informe'!$E$26),0,(C7362&gt;='Resultats - informe'!$D$27)*(C7362&lt;='Resultats - informe'!$E$27),0,(C7362&gt;='Resultats - informe'!$D$28)*(C7362&lt;='Resultats - informe'!$E$28),0,(C7362&gt;='Resultats - informe'!$D$29)*(C7362&lt;='Resultats - informe'!$E$29),0,1,1)</f>
        <v>0</v>
      </c>
      <c r="N7362" s="366">
        <f>+VLOOKUP(D7362,'Resultats - informe'!$Y$18:$AG$42,'Introducció dades consum'!K7362+1,0)</f>
        <v>0</v>
      </c>
      <c r="O7362" s="370" cm="1">
        <f t="array" ref="O7362">+_xlfn.SWITCH(MONTH(C7362),1,1,2,1,3,1,4,2,5,2,6,3,7,3,8,3,9,3,10,2,11,2,12,1,2)</f>
        <v>1</v>
      </c>
      <c r="P7362" s="43"/>
    </row>
    <row r="7363" spans="1:16" ht="18" x14ac:dyDescent="0.35">
      <c r="A7363" s="9"/>
      <c r="C7363" s="393"/>
      <c r="E7363" s="394"/>
      <c r="F7363" s="394"/>
      <c r="G7363" s="394"/>
      <c r="I7363" s="368">
        <f t="shared" si="348"/>
        <v>0</v>
      </c>
      <c r="J7363" s="365">
        <f t="shared" si="349"/>
        <v>0</v>
      </c>
      <c r="K7363" s="369">
        <f t="shared" si="350"/>
        <v>6</v>
      </c>
      <c r="L7363" s="369">
        <f>+IF((C7363&gt;='Resultats - informe'!$E$16)*(C7363&lt;='Resultats - informe'!$G$16),1,0)</f>
        <v>1</v>
      </c>
      <c r="M7363" s="369" cm="1">
        <f t="array" ref="M7363">+_xlfn.IFS((C7363&gt;='Resultats - informe'!$D$26)*(C7363&lt;='Resultats - informe'!$E$26),0,(C7363&gt;='Resultats - informe'!$D$27)*(C7363&lt;='Resultats - informe'!$E$27),0,(C7363&gt;='Resultats - informe'!$D$28)*(C7363&lt;='Resultats - informe'!$E$28),0,(C7363&gt;='Resultats - informe'!$D$29)*(C7363&lt;='Resultats - informe'!$E$29),0,1,1)</f>
        <v>0</v>
      </c>
      <c r="N7363" s="366">
        <f>+VLOOKUP(D7363,'Resultats - informe'!$Y$18:$AG$42,'Introducció dades consum'!K7363+1,0)</f>
        <v>0</v>
      </c>
      <c r="O7363" s="370" cm="1">
        <f t="array" ref="O7363">+_xlfn.SWITCH(MONTH(C7363),1,1,2,1,3,1,4,2,5,2,6,3,7,3,8,3,9,3,10,2,11,2,12,1,2)</f>
        <v>1</v>
      </c>
      <c r="P7363" s="43"/>
    </row>
    <row r="7364" spans="1:16" ht="18" x14ac:dyDescent="0.35">
      <c r="A7364" s="9"/>
      <c r="C7364" s="393"/>
      <c r="E7364" s="394"/>
      <c r="F7364" s="394"/>
      <c r="G7364" s="394"/>
      <c r="I7364" s="368">
        <f t="shared" si="348"/>
        <v>0</v>
      </c>
      <c r="J7364" s="365">
        <f t="shared" si="349"/>
        <v>0</v>
      </c>
      <c r="K7364" s="369">
        <f t="shared" si="350"/>
        <v>6</v>
      </c>
      <c r="L7364" s="369">
        <f>+IF((C7364&gt;='Resultats - informe'!$E$16)*(C7364&lt;='Resultats - informe'!$G$16),1,0)</f>
        <v>1</v>
      </c>
      <c r="M7364" s="369" cm="1">
        <f t="array" ref="M7364">+_xlfn.IFS((C7364&gt;='Resultats - informe'!$D$26)*(C7364&lt;='Resultats - informe'!$E$26),0,(C7364&gt;='Resultats - informe'!$D$27)*(C7364&lt;='Resultats - informe'!$E$27),0,(C7364&gt;='Resultats - informe'!$D$28)*(C7364&lt;='Resultats - informe'!$E$28),0,(C7364&gt;='Resultats - informe'!$D$29)*(C7364&lt;='Resultats - informe'!$E$29),0,1,1)</f>
        <v>0</v>
      </c>
      <c r="N7364" s="366">
        <f>+VLOOKUP(D7364,'Resultats - informe'!$Y$18:$AG$42,'Introducció dades consum'!K7364+1,0)</f>
        <v>0</v>
      </c>
      <c r="O7364" s="370" cm="1">
        <f t="array" ref="O7364">+_xlfn.SWITCH(MONTH(C7364),1,1,2,1,3,1,4,2,5,2,6,3,7,3,8,3,9,3,10,2,11,2,12,1,2)</f>
        <v>1</v>
      </c>
      <c r="P7364" s="43"/>
    </row>
    <row r="7365" spans="1:16" ht="18" x14ac:dyDescent="0.35">
      <c r="A7365" s="9"/>
      <c r="C7365" s="393"/>
      <c r="E7365" s="394"/>
      <c r="F7365" s="394"/>
      <c r="G7365" s="394"/>
      <c r="I7365" s="368">
        <f t="shared" si="348"/>
        <v>0</v>
      </c>
      <c r="J7365" s="365">
        <f t="shared" si="349"/>
        <v>0</v>
      </c>
      <c r="K7365" s="369">
        <f t="shared" si="350"/>
        <v>6</v>
      </c>
      <c r="L7365" s="369">
        <f>+IF((C7365&gt;='Resultats - informe'!$E$16)*(C7365&lt;='Resultats - informe'!$G$16),1,0)</f>
        <v>1</v>
      </c>
      <c r="M7365" s="369" cm="1">
        <f t="array" ref="M7365">+_xlfn.IFS((C7365&gt;='Resultats - informe'!$D$26)*(C7365&lt;='Resultats - informe'!$E$26),0,(C7365&gt;='Resultats - informe'!$D$27)*(C7365&lt;='Resultats - informe'!$E$27),0,(C7365&gt;='Resultats - informe'!$D$28)*(C7365&lt;='Resultats - informe'!$E$28),0,(C7365&gt;='Resultats - informe'!$D$29)*(C7365&lt;='Resultats - informe'!$E$29),0,1,1)</f>
        <v>0</v>
      </c>
      <c r="N7365" s="366">
        <f>+VLOOKUP(D7365,'Resultats - informe'!$Y$18:$AG$42,'Introducció dades consum'!K7365+1,0)</f>
        <v>0</v>
      </c>
      <c r="O7365" s="370" cm="1">
        <f t="array" ref="O7365">+_xlfn.SWITCH(MONTH(C7365),1,1,2,1,3,1,4,2,5,2,6,3,7,3,8,3,9,3,10,2,11,2,12,1,2)</f>
        <v>1</v>
      </c>
      <c r="P7365" s="43"/>
    </row>
    <row r="7366" spans="1:16" ht="18" x14ac:dyDescent="0.35">
      <c r="A7366" s="9"/>
      <c r="C7366" s="393"/>
      <c r="E7366" s="394"/>
      <c r="F7366" s="394"/>
      <c r="G7366" s="394"/>
      <c r="I7366" s="368">
        <f t="shared" si="348"/>
        <v>0</v>
      </c>
      <c r="J7366" s="365">
        <f t="shared" si="349"/>
        <v>0</v>
      </c>
      <c r="K7366" s="369">
        <f t="shared" si="350"/>
        <v>6</v>
      </c>
      <c r="L7366" s="369">
        <f>+IF((C7366&gt;='Resultats - informe'!$E$16)*(C7366&lt;='Resultats - informe'!$G$16),1,0)</f>
        <v>1</v>
      </c>
      <c r="M7366" s="369" cm="1">
        <f t="array" ref="M7366">+_xlfn.IFS((C7366&gt;='Resultats - informe'!$D$26)*(C7366&lt;='Resultats - informe'!$E$26),0,(C7366&gt;='Resultats - informe'!$D$27)*(C7366&lt;='Resultats - informe'!$E$27),0,(C7366&gt;='Resultats - informe'!$D$28)*(C7366&lt;='Resultats - informe'!$E$28),0,(C7366&gt;='Resultats - informe'!$D$29)*(C7366&lt;='Resultats - informe'!$E$29),0,1,1)</f>
        <v>0</v>
      </c>
      <c r="N7366" s="366">
        <f>+VLOOKUP(D7366,'Resultats - informe'!$Y$18:$AG$42,'Introducció dades consum'!K7366+1,0)</f>
        <v>0</v>
      </c>
      <c r="O7366" s="370" cm="1">
        <f t="array" ref="O7366">+_xlfn.SWITCH(MONTH(C7366),1,1,2,1,3,1,4,2,5,2,6,3,7,3,8,3,9,3,10,2,11,2,12,1,2)</f>
        <v>1</v>
      </c>
      <c r="P7366" s="43"/>
    </row>
    <row r="7367" spans="1:16" ht="18" x14ac:dyDescent="0.35">
      <c r="A7367" s="9"/>
      <c r="C7367" s="393"/>
      <c r="E7367" s="394"/>
      <c r="F7367" s="394"/>
      <c r="G7367" s="394"/>
      <c r="I7367" s="368">
        <f t="shared" si="348"/>
        <v>0</v>
      </c>
      <c r="J7367" s="365">
        <f t="shared" si="349"/>
        <v>0</v>
      </c>
      <c r="K7367" s="369">
        <f t="shared" si="350"/>
        <v>6</v>
      </c>
      <c r="L7367" s="369">
        <f>+IF((C7367&gt;='Resultats - informe'!$E$16)*(C7367&lt;='Resultats - informe'!$G$16),1,0)</f>
        <v>1</v>
      </c>
      <c r="M7367" s="369" cm="1">
        <f t="array" ref="M7367">+_xlfn.IFS((C7367&gt;='Resultats - informe'!$D$26)*(C7367&lt;='Resultats - informe'!$E$26),0,(C7367&gt;='Resultats - informe'!$D$27)*(C7367&lt;='Resultats - informe'!$E$27),0,(C7367&gt;='Resultats - informe'!$D$28)*(C7367&lt;='Resultats - informe'!$E$28),0,(C7367&gt;='Resultats - informe'!$D$29)*(C7367&lt;='Resultats - informe'!$E$29),0,1,1)</f>
        <v>0</v>
      </c>
      <c r="N7367" s="366">
        <f>+VLOOKUP(D7367,'Resultats - informe'!$Y$18:$AG$42,'Introducció dades consum'!K7367+1,0)</f>
        <v>0</v>
      </c>
      <c r="O7367" s="370" cm="1">
        <f t="array" ref="O7367">+_xlfn.SWITCH(MONTH(C7367),1,1,2,1,3,1,4,2,5,2,6,3,7,3,8,3,9,3,10,2,11,2,12,1,2)</f>
        <v>1</v>
      </c>
      <c r="P7367" s="43"/>
    </row>
    <row r="7368" spans="1:16" ht="18" x14ac:dyDescent="0.35">
      <c r="A7368" s="9"/>
      <c r="C7368" s="393"/>
      <c r="E7368" s="394"/>
      <c r="F7368" s="394"/>
      <c r="G7368" s="394"/>
      <c r="I7368" s="368">
        <f t="shared" si="348"/>
        <v>0</v>
      </c>
      <c r="J7368" s="365">
        <f t="shared" si="349"/>
        <v>0</v>
      </c>
      <c r="K7368" s="369">
        <f t="shared" si="350"/>
        <v>6</v>
      </c>
      <c r="L7368" s="369">
        <f>+IF((C7368&gt;='Resultats - informe'!$E$16)*(C7368&lt;='Resultats - informe'!$G$16),1,0)</f>
        <v>1</v>
      </c>
      <c r="M7368" s="369" cm="1">
        <f t="array" ref="M7368">+_xlfn.IFS((C7368&gt;='Resultats - informe'!$D$26)*(C7368&lt;='Resultats - informe'!$E$26),0,(C7368&gt;='Resultats - informe'!$D$27)*(C7368&lt;='Resultats - informe'!$E$27),0,(C7368&gt;='Resultats - informe'!$D$28)*(C7368&lt;='Resultats - informe'!$E$28),0,(C7368&gt;='Resultats - informe'!$D$29)*(C7368&lt;='Resultats - informe'!$E$29),0,1,1)</f>
        <v>0</v>
      </c>
      <c r="N7368" s="366">
        <f>+VLOOKUP(D7368,'Resultats - informe'!$Y$18:$AG$42,'Introducció dades consum'!K7368+1,0)</f>
        <v>0</v>
      </c>
      <c r="O7368" s="370" cm="1">
        <f t="array" ref="O7368">+_xlfn.SWITCH(MONTH(C7368),1,1,2,1,3,1,4,2,5,2,6,3,7,3,8,3,9,3,10,2,11,2,12,1,2)</f>
        <v>1</v>
      </c>
      <c r="P7368" s="43"/>
    </row>
    <row r="7369" spans="1:16" ht="18" x14ac:dyDescent="0.35">
      <c r="A7369" s="9"/>
      <c r="C7369" s="393"/>
      <c r="E7369" s="394"/>
      <c r="F7369" s="394"/>
      <c r="G7369" s="394"/>
      <c r="I7369" s="368">
        <f t="shared" si="348"/>
        <v>0</v>
      </c>
      <c r="J7369" s="365">
        <f t="shared" si="349"/>
        <v>0</v>
      </c>
      <c r="K7369" s="369">
        <f t="shared" si="350"/>
        <v>6</v>
      </c>
      <c r="L7369" s="369">
        <f>+IF((C7369&gt;='Resultats - informe'!$E$16)*(C7369&lt;='Resultats - informe'!$G$16),1,0)</f>
        <v>1</v>
      </c>
      <c r="M7369" s="369" cm="1">
        <f t="array" ref="M7369">+_xlfn.IFS((C7369&gt;='Resultats - informe'!$D$26)*(C7369&lt;='Resultats - informe'!$E$26),0,(C7369&gt;='Resultats - informe'!$D$27)*(C7369&lt;='Resultats - informe'!$E$27),0,(C7369&gt;='Resultats - informe'!$D$28)*(C7369&lt;='Resultats - informe'!$E$28),0,(C7369&gt;='Resultats - informe'!$D$29)*(C7369&lt;='Resultats - informe'!$E$29),0,1,1)</f>
        <v>0</v>
      </c>
      <c r="N7369" s="366">
        <f>+VLOOKUP(D7369,'Resultats - informe'!$Y$18:$AG$42,'Introducció dades consum'!K7369+1,0)</f>
        <v>0</v>
      </c>
      <c r="O7369" s="370" cm="1">
        <f t="array" ref="O7369">+_xlfn.SWITCH(MONTH(C7369),1,1,2,1,3,1,4,2,5,2,6,3,7,3,8,3,9,3,10,2,11,2,12,1,2)</f>
        <v>1</v>
      </c>
      <c r="P7369" s="43"/>
    </row>
    <row r="7370" spans="1:16" ht="18" x14ac:dyDescent="0.35">
      <c r="A7370" s="9"/>
      <c r="C7370" s="393"/>
      <c r="E7370" s="394"/>
      <c r="F7370" s="394"/>
      <c r="G7370" s="394"/>
      <c r="I7370" s="368">
        <f t="shared" si="348"/>
        <v>0</v>
      </c>
      <c r="J7370" s="365">
        <f t="shared" si="349"/>
        <v>0</v>
      </c>
      <c r="K7370" s="369">
        <f t="shared" si="350"/>
        <v>6</v>
      </c>
      <c r="L7370" s="369">
        <f>+IF((C7370&gt;='Resultats - informe'!$E$16)*(C7370&lt;='Resultats - informe'!$G$16),1,0)</f>
        <v>1</v>
      </c>
      <c r="M7370" s="369" cm="1">
        <f t="array" ref="M7370">+_xlfn.IFS((C7370&gt;='Resultats - informe'!$D$26)*(C7370&lt;='Resultats - informe'!$E$26),0,(C7370&gt;='Resultats - informe'!$D$27)*(C7370&lt;='Resultats - informe'!$E$27),0,(C7370&gt;='Resultats - informe'!$D$28)*(C7370&lt;='Resultats - informe'!$E$28),0,(C7370&gt;='Resultats - informe'!$D$29)*(C7370&lt;='Resultats - informe'!$E$29),0,1,1)</f>
        <v>0</v>
      </c>
      <c r="N7370" s="366">
        <f>+VLOOKUP(D7370,'Resultats - informe'!$Y$18:$AG$42,'Introducció dades consum'!K7370+1,0)</f>
        <v>0</v>
      </c>
      <c r="O7370" s="370" cm="1">
        <f t="array" ref="O7370">+_xlfn.SWITCH(MONTH(C7370),1,1,2,1,3,1,4,2,5,2,6,3,7,3,8,3,9,3,10,2,11,2,12,1,2)</f>
        <v>1</v>
      </c>
      <c r="P7370" s="43"/>
    </row>
    <row r="7371" spans="1:16" ht="18" x14ac:dyDescent="0.35">
      <c r="A7371" s="9"/>
      <c r="C7371" s="393"/>
      <c r="E7371" s="394"/>
      <c r="F7371" s="394"/>
      <c r="G7371" s="394"/>
      <c r="I7371" s="368">
        <f t="shared" si="348"/>
        <v>0</v>
      </c>
      <c r="J7371" s="365">
        <f t="shared" si="349"/>
        <v>0</v>
      </c>
      <c r="K7371" s="369">
        <f t="shared" si="350"/>
        <v>6</v>
      </c>
      <c r="L7371" s="369">
        <f>+IF((C7371&gt;='Resultats - informe'!$E$16)*(C7371&lt;='Resultats - informe'!$G$16),1,0)</f>
        <v>1</v>
      </c>
      <c r="M7371" s="369" cm="1">
        <f t="array" ref="M7371">+_xlfn.IFS((C7371&gt;='Resultats - informe'!$D$26)*(C7371&lt;='Resultats - informe'!$E$26),0,(C7371&gt;='Resultats - informe'!$D$27)*(C7371&lt;='Resultats - informe'!$E$27),0,(C7371&gt;='Resultats - informe'!$D$28)*(C7371&lt;='Resultats - informe'!$E$28),0,(C7371&gt;='Resultats - informe'!$D$29)*(C7371&lt;='Resultats - informe'!$E$29),0,1,1)</f>
        <v>0</v>
      </c>
      <c r="N7371" s="366">
        <f>+VLOOKUP(D7371,'Resultats - informe'!$Y$18:$AG$42,'Introducció dades consum'!K7371+1,0)</f>
        <v>0</v>
      </c>
      <c r="O7371" s="370" cm="1">
        <f t="array" ref="O7371">+_xlfn.SWITCH(MONTH(C7371),1,1,2,1,3,1,4,2,5,2,6,3,7,3,8,3,9,3,10,2,11,2,12,1,2)</f>
        <v>1</v>
      </c>
      <c r="P7371" s="43"/>
    </row>
    <row r="7372" spans="1:16" ht="18" x14ac:dyDescent="0.35">
      <c r="A7372" s="9"/>
      <c r="C7372" s="393"/>
      <c r="E7372" s="394"/>
      <c r="F7372" s="394"/>
      <c r="G7372" s="394"/>
      <c r="I7372" s="368">
        <f t="shared" si="348"/>
        <v>0</v>
      </c>
      <c r="J7372" s="365">
        <f t="shared" si="349"/>
        <v>0</v>
      </c>
      <c r="K7372" s="369">
        <f t="shared" si="350"/>
        <v>6</v>
      </c>
      <c r="L7372" s="369">
        <f>+IF((C7372&gt;='Resultats - informe'!$E$16)*(C7372&lt;='Resultats - informe'!$G$16),1,0)</f>
        <v>1</v>
      </c>
      <c r="M7372" s="369" cm="1">
        <f t="array" ref="M7372">+_xlfn.IFS((C7372&gt;='Resultats - informe'!$D$26)*(C7372&lt;='Resultats - informe'!$E$26),0,(C7372&gt;='Resultats - informe'!$D$27)*(C7372&lt;='Resultats - informe'!$E$27),0,(C7372&gt;='Resultats - informe'!$D$28)*(C7372&lt;='Resultats - informe'!$E$28),0,(C7372&gt;='Resultats - informe'!$D$29)*(C7372&lt;='Resultats - informe'!$E$29),0,1,1)</f>
        <v>0</v>
      </c>
      <c r="N7372" s="366">
        <f>+VLOOKUP(D7372,'Resultats - informe'!$Y$18:$AG$42,'Introducció dades consum'!K7372+1,0)</f>
        <v>0</v>
      </c>
      <c r="O7372" s="370" cm="1">
        <f t="array" ref="O7372">+_xlfn.SWITCH(MONTH(C7372),1,1,2,1,3,1,4,2,5,2,6,3,7,3,8,3,9,3,10,2,11,2,12,1,2)</f>
        <v>1</v>
      </c>
      <c r="P7372" s="43"/>
    </row>
    <row r="7373" spans="1:16" ht="18" x14ac:dyDescent="0.35">
      <c r="A7373" s="9"/>
      <c r="C7373" s="393"/>
      <c r="E7373" s="394"/>
      <c r="F7373" s="394"/>
      <c r="G7373" s="394"/>
      <c r="I7373" s="368">
        <f t="shared" si="348"/>
        <v>0</v>
      </c>
      <c r="J7373" s="365">
        <f t="shared" si="349"/>
        <v>0</v>
      </c>
      <c r="K7373" s="369">
        <f t="shared" si="350"/>
        <v>6</v>
      </c>
      <c r="L7373" s="369">
        <f>+IF((C7373&gt;='Resultats - informe'!$E$16)*(C7373&lt;='Resultats - informe'!$G$16),1,0)</f>
        <v>1</v>
      </c>
      <c r="M7373" s="369" cm="1">
        <f t="array" ref="M7373">+_xlfn.IFS((C7373&gt;='Resultats - informe'!$D$26)*(C7373&lt;='Resultats - informe'!$E$26),0,(C7373&gt;='Resultats - informe'!$D$27)*(C7373&lt;='Resultats - informe'!$E$27),0,(C7373&gt;='Resultats - informe'!$D$28)*(C7373&lt;='Resultats - informe'!$E$28),0,(C7373&gt;='Resultats - informe'!$D$29)*(C7373&lt;='Resultats - informe'!$E$29),0,1,1)</f>
        <v>0</v>
      </c>
      <c r="N7373" s="366">
        <f>+VLOOKUP(D7373,'Resultats - informe'!$Y$18:$AG$42,'Introducció dades consum'!K7373+1,0)</f>
        <v>0</v>
      </c>
      <c r="O7373" s="370" cm="1">
        <f t="array" ref="O7373">+_xlfn.SWITCH(MONTH(C7373),1,1,2,1,3,1,4,2,5,2,6,3,7,3,8,3,9,3,10,2,11,2,12,1,2)</f>
        <v>1</v>
      </c>
      <c r="P7373" s="43"/>
    </row>
    <row r="7374" spans="1:16" ht="18" x14ac:dyDescent="0.35">
      <c r="A7374" s="9"/>
      <c r="C7374" s="393"/>
      <c r="E7374" s="394"/>
      <c r="F7374" s="394"/>
      <c r="G7374" s="394"/>
      <c r="I7374" s="368">
        <f t="shared" si="348"/>
        <v>0</v>
      </c>
      <c r="J7374" s="365">
        <f t="shared" si="349"/>
        <v>0</v>
      </c>
      <c r="K7374" s="369">
        <f t="shared" si="350"/>
        <v>6</v>
      </c>
      <c r="L7374" s="369">
        <f>+IF((C7374&gt;='Resultats - informe'!$E$16)*(C7374&lt;='Resultats - informe'!$G$16),1,0)</f>
        <v>1</v>
      </c>
      <c r="M7374" s="369" cm="1">
        <f t="array" ref="M7374">+_xlfn.IFS((C7374&gt;='Resultats - informe'!$D$26)*(C7374&lt;='Resultats - informe'!$E$26),0,(C7374&gt;='Resultats - informe'!$D$27)*(C7374&lt;='Resultats - informe'!$E$27),0,(C7374&gt;='Resultats - informe'!$D$28)*(C7374&lt;='Resultats - informe'!$E$28),0,(C7374&gt;='Resultats - informe'!$D$29)*(C7374&lt;='Resultats - informe'!$E$29),0,1,1)</f>
        <v>0</v>
      </c>
      <c r="N7374" s="366">
        <f>+VLOOKUP(D7374,'Resultats - informe'!$Y$18:$AG$42,'Introducció dades consum'!K7374+1,0)</f>
        <v>0</v>
      </c>
      <c r="O7374" s="370" cm="1">
        <f t="array" ref="O7374">+_xlfn.SWITCH(MONTH(C7374),1,1,2,1,3,1,4,2,5,2,6,3,7,3,8,3,9,3,10,2,11,2,12,1,2)</f>
        <v>1</v>
      </c>
      <c r="P7374" s="43"/>
    </row>
    <row r="7375" spans="1:16" ht="18" x14ac:dyDescent="0.35">
      <c r="A7375" s="9"/>
      <c r="C7375" s="393"/>
      <c r="E7375" s="394"/>
      <c r="F7375" s="394"/>
      <c r="G7375" s="394"/>
      <c r="I7375" s="368">
        <f t="shared" si="348"/>
        <v>0</v>
      </c>
      <c r="J7375" s="365">
        <f t="shared" si="349"/>
        <v>0</v>
      </c>
      <c r="K7375" s="369">
        <f t="shared" si="350"/>
        <v>6</v>
      </c>
      <c r="L7375" s="369">
        <f>+IF((C7375&gt;='Resultats - informe'!$E$16)*(C7375&lt;='Resultats - informe'!$G$16),1,0)</f>
        <v>1</v>
      </c>
      <c r="M7375" s="369" cm="1">
        <f t="array" ref="M7375">+_xlfn.IFS((C7375&gt;='Resultats - informe'!$D$26)*(C7375&lt;='Resultats - informe'!$E$26),0,(C7375&gt;='Resultats - informe'!$D$27)*(C7375&lt;='Resultats - informe'!$E$27),0,(C7375&gt;='Resultats - informe'!$D$28)*(C7375&lt;='Resultats - informe'!$E$28),0,(C7375&gt;='Resultats - informe'!$D$29)*(C7375&lt;='Resultats - informe'!$E$29),0,1,1)</f>
        <v>0</v>
      </c>
      <c r="N7375" s="366">
        <f>+VLOOKUP(D7375,'Resultats - informe'!$Y$18:$AG$42,'Introducció dades consum'!K7375+1,0)</f>
        <v>0</v>
      </c>
      <c r="O7375" s="370" cm="1">
        <f t="array" ref="O7375">+_xlfn.SWITCH(MONTH(C7375),1,1,2,1,3,1,4,2,5,2,6,3,7,3,8,3,9,3,10,2,11,2,12,1,2)</f>
        <v>1</v>
      </c>
      <c r="P7375" s="43"/>
    </row>
    <row r="7376" spans="1:16" ht="18" x14ac:dyDescent="0.35">
      <c r="A7376" s="9"/>
      <c r="C7376" s="393"/>
      <c r="E7376" s="394"/>
      <c r="F7376" s="394"/>
      <c r="G7376" s="394"/>
      <c r="I7376" s="368">
        <f t="shared" si="348"/>
        <v>0</v>
      </c>
      <c r="J7376" s="365">
        <f t="shared" si="349"/>
        <v>0</v>
      </c>
      <c r="K7376" s="369">
        <f t="shared" si="350"/>
        <v>6</v>
      </c>
      <c r="L7376" s="369">
        <f>+IF((C7376&gt;='Resultats - informe'!$E$16)*(C7376&lt;='Resultats - informe'!$G$16),1,0)</f>
        <v>1</v>
      </c>
      <c r="M7376" s="369" cm="1">
        <f t="array" ref="M7376">+_xlfn.IFS((C7376&gt;='Resultats - informe'!$D$26)*(C7376&lt;='Resultats - informe'!$E$26),0,(C7376&gt;='Resultats - informe'!$D$27)*(C7376&lt;='Resultats - informe'!$E$27),0,(C7376&gt;='Resultats - informe'!$D$28)*(C7376&lt;='Resultats - informe'!$E$28),0,(C7376&gt;='Resultats - informe'!$D$29)*(C7376&lt;='Resultats - informe'!$E$29),0,1,1)</f>
        <v>0</v>
      </c>
      <c r="N7376" s="366">
        <f>+VLOOKUP(D7376,'Resultats - informe'!$Y$18:$AG$42,'Introducció dades consum'!K7376+1,0)</f>
        <v>0</v>
      </c>
      <c r="O7376" s="370" cm="1">
        <f t="array" ref="O7376">+_xlfn.SWITCH(MONTH(C7376),1,1,2,1,3,1,4,2,5,2,6,3,7,3,8,3,9,3,10,2,11,2,12,1,2)</f>
        <v>1</v>
      </c>
      <c r="P7376" s="43"/>
    </row>
    <row r="7377" spans="1:16" ht="18" x14ac:dyDescent="0.35">
      <c r="A7377" s="9"/>
      <c r="C7377" s="393"/>
      <c r="E7377" s="394"/>
      <c r="F7377" s="394"/>
      <c r="G7377" s="394"/>
      <c r="I7377" s="368">
        <f t="shared" si="348"/>
        <v>0</v>
      </c>
      <c r="J7377" s="365">
        <f t="shared" si="349"/>
        <v>0</v>
      </c>
      <c r="K7377" s="369">
        <f t="shared" si="350"/>
        <v>6</v>
      </c>
      <c r="L7377" s="369">
        <f>+IF((C7377&gt;='Resultats - informe'!$E$16)*(C7377&lt;='Resultats - informe'!$G$16),1,0)</f>
        <v>1</v>
      </c>
      <c r="M7377" s="369" cm="1">
        <f t="array" ref="M7377">+_xlfn.IFS((C7377&gt;='Resultats - informe'!$D$26)*(C7377&lt;='Resultats - informe'!$E$26),0,(C7377&gt;='Resultats - informe'!$D$27)*(C7377&lt;='Resultats - informe'!$E$27),0,(C7377&gt;='Resultats - informe'!$D$28)*(C7377&lt;='Resultats - informe'!$E$28),0,(C7377&gt;='Resultats - informe'!$D$29)*(C7377&lt;='Resultats - informe'!$E$29),0,1,1)</f>
        <v>0</v>
      </c>
      <c r="N7377" s="366">
        <f>+VLOOKUP(D7377,'Resultats - informe'!$Y$18:$AG$42,'Introducció dades consum'!K7377+1,0)</f>
        <v>0</v>
      </c>
      <c r="O7377" s="370" cm="1">
        <f t="array" ref="O7377">+_xlfn.SWITCH(MONTH(C7377),1,1,2,1,3,1,4,2,5,2,6,3,7,3,8,3,9,3,10,2,11,2,12,1,2)</f>
        <v>1</v>
      </c>
      <c r="P7377" s="43"/>
    </row>
    <row r="7378" spans="1:16" ht="18" x14ac:dyDescent="0.35">
      <c r="A7378" s="9"/>
      <c r="C7378" s="393"/>
      <c r="E7378" s="394"/>
      <c r="F7378" s="394"/>
      <c r="G7378" s="394"/>
      <c r="I7378" s="368">
        <f t="shared" ref="I7378:I7441" si="351">+E7378+G7378</f>
        <v>0</v>
      </c>
      <c r="J7378" s="365">
        <f t="shared" ref="J7378:J7441" si="352">+C7378</f>
        <v>0</v>
      </c>
      <c r="K7378" s="369">
        <f t="shared" ref="K7378:K7441" si="353">+WEEKDAY(C7378,2)</f>
        <v>6</v>
      </c>
      <c r="L7378" s="369">
        <f>+IF((C7378&gt;='Resultats - informe'!$E$16)*(C7378&lt;='Resultats - informe'!$G$16),1,0)</f>
        <v>1</v>
      </c>
      <c r="M7378" s="369" cm="1">
        <f t="array" ref="M7378">+_xlfn.IFS((C7378&gt;='Resultats - informe'!$D$26)*(C7378&lt;='Resultats - informe'!$E$26),0,(C7378&gt;='Resultats - informe'!$D$27)*(C7378&lt;='Resultats - informe'!$E$27),0,(C7378&gt;='Resultats - informe'!$D$28)*(C7378&lt;='Resultats - informe'!$E$28),0,(C7378&gt;='Resultats - informe'!$D$29)*(C7378&lt;='Resultats - informe'!$E$29),0,1,1)</f>
        <v>0</v>
      </c>
      <c r="N7378" s="366">
        <f>+VLOOKUP(D7378,'Resultats - informe'!$Y$18:$AG$42,'Introducció dades consum'!K7378+1,0)</f>
        <v>0</v>
      </c>
      <c r="O7378" s="370" cm="1">
        <f t="array" ref="O7378">+_xlfn.SWITCH(MONTH(C7378),1,1,2,1,3,1,4,2,5,2,6,3,7,3,8,3,9,3,10,2,11,2,12,1,2)</f>
        <v>1</v>
      </c>
      <c r="P7378" s="43"/>
    </row>
    <row r="7379" spans="1:16" ht="18" x14ac:dyDescent="0.35">
      <c r="A7379" s="9"/>
      <c r="C7379" s="393"/>
      <c r="E7379" s="394"/>
      <c r="F7379" s="394"/>
      <c r="G7379" s="394"/>
      <c r="I7379" s="368">
        <f t="shared" si="351"/>
        <v>0</v>
      </c>
      <c r="J7379" s="365">
        <f t="shared" si="352"/>
        <v>0</v>
      </c>
      <c r="K7379" s="369">
        <f t="shared" si="353"/>
        <v>6</v>
      </c>
      <c r="L7379" s="369">
        <f>+IF((C7379&gt;='Resultats - informe'!$E$16)*(C7379&lt;='Resultats - informe'!$G$16),1,0)</f>
        <v>1</v>
      </c>
      <c r="M7379" s="369" cm="1">
        <f t="array" ref="M7379">+_xlfn.IFS((C7379&gt;='Resultats - informe'!$D$26)*(C7379&lt;='Resultats - informe'!$E$26),0,(C7379&gt;='Resultats - informe'!$D$27)*(C7379&lt;='Resultats - informe'!$E$27),0,(C7379&gt;='Resultats - informe'!$D$28)*(C7379&lt;='Resultats - informe'!$E$28),0,(C7379&gt;='Resultats - informe'!$D$29)*(C7379&lt;='Resultats - informe'!$E$29),0,1,1)</f>
        <v>0</v>
      </c>
      <c r="N7379" s="366">
        <f>+VLOOKUP(D7379,'Resultats - informe'!$Y$18:$AG$42,'Introducció dades consum'!K7379+1,0)</f>
        <v>0</v>
      </c>
      <c r="O7379" s="370" cm="1">
        <f t="array" ref="O7379">+_xlfn.SWITCH(MONTH(C7379),1,1,2,1,3,1,4,2,5,2,6,3,7,3,8,3,9,3,10,2,11,2,12,1,2)</f>
        <v>1</v>
      </c>
      <c r="P7379" s="43"/>
    </row>
    <row r="7380" spans="1:16" ht="18" x14ac:dyDescent="0.35">
      <c r="A7380" s="9"/>
      <c r="C7380" s="393"/>
      <c r="E7380" s="394"/>
      <c r="F7380" s="394"/>
      <c r="G7380" s="394"/>
      <c r="I7380" s="368">
        <f t="shared" si="351"/>
        <v>0</v>
      </c>
      <c r="J7380" s="365">
        <f t="shared" si="352"/>
        <v>0</v>
      </c>
      <c r="K7380" s="369">
        <f t="shared" si="353"/>
        <v>6</v>
      </c>
      <c r="L7380" s="369">
        <f>+IF((C7380&gt;='Resultats - informe'!$E$16)*(C7380&lt;='Resultats - informe'!$G$16),1,0)</f>
        <v>1</v>
      </c>
      <c r="M7380" s="369" cm="1">
        <f t="array" ref="M7380">+_xlfn.IFS((C7380&gt;='Resultats - informe'!$D$26)*(C7380&lt;='Resultats - informe'!$E$26),0,(C7380&gt;='Resultats - informe'!$D$27)*(C7380&lt;='Resultats - informe'!$E$27),0,(C7380&gt;='Resultats - informe'!$D$28)*(C7380&lt;='Resultats - informe'!$E$28),0,(C7380&gt;='Resultats - informe'!$D$29)*(C7380&lt;='Resultats - informe'!$E$29),0,1,1)</f>
        <v>0</v>
      </c>
      <c r="N7380" s="366">
        <f>+VLOOKUP(D7380,'Resultats - informe'!$Y$18:$AG$42,'Introducció dades consum'!K7380+1,0)</f>
        <v>0</v>
      </c>
      <c r="O7380" s="370" cm="1">
        <f t="array" ref="O7380">+_xlfn.SWITCH(MONTH(C7380),1,1,2,1,3,1,4,2,5,2,6,3,7,3,8,3,9,3,10,2,11,2,12,1,2)</f>
        <v>1</v>
      </c>
      <c r="P7380" s="43"/>
    </row>
    <row r="7381" spans="1:16" ht="18" x14ac:dyDescent="0.35">
      <c r="A7381" s="9"/>
      <c r="C7381" s="393"/>
      <c r="E7381" s="394"/>
      <c r="F7381" s="394"/>
      <c r="G7381" s="394"/>
      <c r="I7381" s="368">
        <f t="shared" si="351"/>
        <v>0</v>
      </c>
      <c r="J7381" s="365">
        <f t="shared" si="352"/>
        <v>0</v>
      </c>
      <c r="K7381" s="369">
        <f t="shared" si="353"/>
        <v>6</v>
      </c>
      <c r="L7381" s="369">
        <f>+IF((C7381&gt;='Resultats - informe'!$E$16)*(C7381&lt;='Resultats - informe'!$G$16),1,0)</f>
        <v>1</v>
      </c>
      <c r="M7381" s="369" cm="1">
        <f t="array" ref="M7381">+_xlfn.IFS((C7381&gt;='Resultats - informe'!$D$26)*(C7381&lt;='Resultats - informe'!$E$26),0,(C7381&gt;='Resultats - informe'!$D$27)*(C7381&lt;='Resultats - informe'!$E$27),0,(C7381&gt;='Resultats - informe'!$D$28)*(C7381&lt;='Resultats - informe'!$E$28),0,(C7381&gt;='Resultats - informe'!$D$29)*(C7381&lt;='Resultats - informe'!$E$29),0,1,1)</f>
        <v>0</v>
      </c>
      <c r="N7381" s="366">
        <f>+VLOOKUP(D7381,'Resultats - informe'!$Y$18:$AG$42,'Introducció dades consum'!K7381+1,0)</f>
        <v>0</v>
      </c>
      <c r="O7381" s="370" cm="1">
        <f t="array" ref="O7381">+_xlfn.SWITCH(MONTH(C7381),1,1,2,1,3,1,4,2,5,2,6,3,7,3,8,3,9,3,10,2,11,2,12,1,2)</f>
        <v>1</v>
      </c>
      <c r="P7381" s="43"/>
    </row>
    <row r="7382" spans="1:16" ht="18" x14ac:dyDescent="0.35">
      <c r="A7382" s="9"/>
      <c r="C7382" s="393"/>
      <c r="E7382" s="394"/>
      <c r="F7382" s="394"/>
      <c r="G7382" s="394"/>
      <c r="I7382" s="368">
        <f t="shared" si="351"/>
        <v>0</v>
      </c>
      <c r="J7382" s="365">
        <f t="shared" si="352"/>
        <v>0</v>
      </c>
      <c r="K7382" s="369">
        <f t="shared" si="353"/>
        <v>6</v>
      </c>
      <c r="L7382" s="369">
        <f>+IF((C7382&gt;='Resultats - informe'!$E$16)*(C7382&lt;='Resultats - informe'!$G$16),1,0)</f>
        <v>1</v>
      </c>
      <c r="M7382" s="369" cm="1">
        <f t="array" ref="M7382">+_xlfn.IFS((C7382&gt;='Resultats - informe'!$D$26)*(C7382&lt;='Resultats - informe'!$E$26),0,(C7382&gt;='Resultats - informe'!$D$27)*(C7382&lt;='Resultats - informe'!$E$27),0,(C7382&gt;='Resultats - informe'!$D$28)*(C7382&lt;='Resultats - informe'!$E$28),0,(C7382&gt;='Resultats - informe'!$D$29)*(C7382&lt;='Resultats - informe'!$E$29),0,1,1)</f>
        <v>0</v>
      </c>
      <c r="N7382" s="366">
        <f>+VLOOKUP(D7382,'Resultats - informe'!$Y$18:$AG$42,'Introducció dades consum'!K7382+1,0)</f>
        <v>0</v>
      </c>
      <c r="O7382" s="370" cm="1">
        <f t="array" ref="O7382">+_xlfn.SWITCH(MONTH(C7382),1,1,2,1,3,1,4,2,5,2,6,3,7,3,8,3,9,3,10,2,11,2,12,1,2)</f>
        <v>1</v>
      </c>
      <c r="P7382" s="43"/>
    </row>
    <row r="7383" spans="1:16" ht="18" x14ac:dyDescent="0.35">
      <c r="A7383" s="9"/>
      <c r="C7383" s="393"/>
      <c r="E7383" s="394"/>
      <c r="F7383" s="394"/>
      <c r="G7383" s="394"/>
      <c r="I7383" s="368">
        <f t="shared" si="351"/>
        <v>0</v>
      </c>
      <c r="J7383" s="365">
        <f t="shared" si="352"/>
        <v>0</v>
      </c>
      <c r="K7383" s="369">
        <f t="shared" si="353"/>
        <v>6</v>
      </c>
      <c r="L7383" s="369">
        <f>+IF((C7383&gt;='Resultats - informe'!$E$16)*(C7383&lt;='Resultats - informe'!$G$16),1,0)</f>
        <v>1</v>
      </c>
      <c r="M7383" s="369" cm="1">
        <f t="array" ref="M7383">+_xlfn.IFS((C7383&gt;='Resultats - informe'!$D$26)*(C7383&lt;='Resultats - informe'!$E$26),0,(C7383&gt;='Resultats - informe'!$D$27)*(C7383&lt;='Resultats - informe'!$E$27),0,(C7383&gt;='Resultats - informe'!$D$28)*(C7383&lt;='Resultats - informe'!$E$28),0,(C7383&gt;='Resultats - informe'!$D$29)*(C7383&lt;='Resultats - informe'!$E$29),0,1,1)</f>
        <v>0</v>
      </c>
      <c r="N7383" s="366">
        <f>+VLOOKUP(D7383,'Resultats - informe'!$Y$18:$AG$42,'Introducció dades consum'!K7383+1,0)</f>
        <v>0</v>
      </c>
      <c r="O7383" s="370" cm="1">
        <f t="array" ref="O7383">+_xlfn.SWITCH(MONTH(C7383),1,1,2,1,3,1,4,2,5,2,6,3,7,3,8,3,9,3,10,2,11,2,12,1,2)</f>
        <v>1</v>
      </c>
      <c r="P7383" s="43"/>
    </row>
    <row r="7384" spans="1:16" ht="18" x14ac:dyDescent="0.35">
      <c r="A7384" s="9"/>
      <c r="C7384" s="393"/>
      <c r="E7384" s="394"/>
      <c r="F7384" s="394"/>
      <c r="G7384" s="394"/>
      <c r="I7384" s="368">
        <f t="shared" si="351"/>
        <v>0</v>
      </c>
      <c r="J7384" s="365">
        <f t="shared" si="352"/>
        <v>0</v>
      </c>
      <c r="K7384" s="369">
        <f t="shared" si="353"/>
        <v>6</v>
      </c>
      <c r="L7384" s="369">
        <f>+IF((C7384&gt;='Resultats - informe'!$E$16)*(C7384&lt;='Resultats - informe'!$G$16),1,0)</f>
        <v>1</v>
      </c>
      <c r="M7384" s="369" cm="1">
        <f t="array" ref="M7384">+_xlfn.IFS((C7384&gt;='Resultats - informe'!$D$26)*(C7384&lt;='Resultats - informe'!$E$26),0,(C7384&gt;='Resultats - informe'!$D$27)*(C7384&lt;='Resultats - informe'!$E$27),0,(C7384&gt;='Resultats - informe'!$D$28)*(C7384&lt;='Resultats - informe'!$E$28),0,(C7384&gt;='Resultats - informe'!$D$29)*(C7384&lt;='Resultats - informe'!$E$29),0,1,1)</f>
        <v>0</v>
      </c>
      <c r="N7384" s="366">
        <f>+VLOOKUP(D7384,'Resultats - informe'!$Y$18:$AG$42,'Introducció dades consum'!K7384+1,0)</f>
        <v>0</v>
      </c>
      <c r="O7384" s="370" cm="1">
        <f t="array" ref="O7384">+_xlfn.SWITCH(MONTH(C7384),1,1,2,1,3,1,4,2,5,2,6,3,7,3,8,3,9,3,10,2,11,2,12,1,2)</f>
        <v>1</v>
      </c>
      <c r="P7384" s="43"/>
    </row>
    <row r="7385" spans="1:16" ht="18" x14ac:dyDescent="0.35">
      <c r="A7385" s="9"/>
      <c r="C7385" s="393"/>
      <c r="E7385" s="394"/>
      <c r="F7385" s="394"/>
      <c r="G7385" s="394"/>
      <c r="I7385" s="368">
        <f t="shared" si="351"/>
        <v>0</v>
      </c>
      <c r="J7385" s="365">
        <f t="shared" si="352"/>
        <v>0</v>
      </c>
      <c r="K7385" s="369">
        <f t="shared" si="353"/>
        <v>6</v>
      </c>
      <c r="L7385" s="369">
        <f>+IF((C7385&gt;='Resultats - informe'!$E$16)*(C7385&lt;='Resultats - informe'!$G$16),1,0)</f>
        <v>1</v>
      </c>
      <c r="M7385" s="369" cm="1">
        <f t="array" ref="M7385">+_xlfn.IFS((C7385&gt;='Resultats - informe'!$D$26)*(C7385&lt;='Resultats - informe'!$E$26),0,(C7385&gt;='Resultats - informe'!$D$27)*(C7385&lt;='Resultats - informe'!$E$27),0,(C7385&gt;='Resultats - informe'!$D$28)*(C7385&lt;='Resultats - informe'!$E$28),0,(C7385&gt;='Resultats - informe'!$D$29)*(C7385&lt;='Resultats - informe'!$E$29),0,1,1)</f>
        <v>0</v>
      </c>
      <c r="N7385" s="366">
        <f>+VLOOKUP(D7385,'Resultats - informe'!$Y$18:$AG$42,'Introducció dades consum'!K7385+1,0)</f>
        <v>0</v>
      </c>
      <c r="O7385" s="370" cm="1">
        <f t="array" ref="O7385">+_xlfn.SWITCH(MONTH(C7385),1,1,2,1,3,1,4,2,5,2,6,3,7,3,8,3,9,3,10,2,11,2,12,1,2)</f>
        <v>1</v>
      </c>
      <c r="P7385" s="43"/>
    </row>
    <row r="7386" spans="1:16" ht="18" x14ac:dyDescent="0.35">
      <c r="A7386" s="9"/>
      <c r="C7386" s="393"/>
      <c r="E7386" s="394"/>
      <c r="F7386" s="394"/>
      <c r="G7386" s="394"/>
      <c r="I7386" s="368">
        <f t="shared" si="351"/>
        <v>0</v>
      </c>
      <c r="J7386" s="365">
        <f t="shared" si="352"/>
        <v>0</v>
      </c>
      <c r="K7386" s="369">
        <f t="shared" si="353"/>
        <v>6</v>
      </c>
      <c r="L7386" s="369">
        <f>+IF((C7386&gt;='Resultats - informe'!$E$16)*(C7386&lt;='Resultats - informe'!$G$16),1,0)</f>
        <v>1</v>
      </c>
      <c r="M7386" s="369" cm="1">
        <f t="array" ref="M7386">+_xlfn.IFS((C7386&gt;='Resultats - informe'!$D$26)*(C7386&lt;='Resultats - informe'!$E$26),0,(C7386&gt;='Resultats - informe'!$D$27)*(C7386&lt;='Resultats - informe'!$E$27),0,(C7386&gt;='Resultats - informe'!$D$28)*(C7386&lt;='Resultats - informe'!$E$28),0,(C7386&gt;='Resultats - informe'!$D$29)*(C7386&lt;='Resultats - informe'!$E$29),0,1,1)</f>
        <v>0</v>
      </c>
      <c r="N7386" s="366">
        <f>+VLOOKUP(D7386,'Resultats - informe'!$Y$18:$AG$42,'Introducció dades consum'!K7386+1,0)</f>
        <v>0</v>
      </c>
      <c r="O7386" s="370" cm="1">
        <f t="array" ref="O7386">+_xlfn.SWITCH(MONTH(C7386),1,1,2,1,3,1,4,2,5,2,6,3,7,3,8,3,9,3,10,2,11,2,12,1,2)</f>
        <v>1</v>
      </c>
      <c r="P7386" s="43"/>
    </row>
    <row r="7387" spans="1:16" ht="18" x14ac:dyDescent="0.35">
      <c r="A7387" s="9"/>
      <c r="C7387" s="393"/>
      <c r="E7387" s="394"/>
      <c r="F7387" s="394"/>
      <c r="G7387" s="394"/>
      <c r="I7387" s="368">
        <f t="shared" si="351"/>
        <v>0</v>
      </c>
      <c r="J7387" s="365">
        <f t="shared" si="352"/>
        <v>0</v>
      </c>
      <c r="K7387" s="369">
        <f t="shared" si="353"/>
        <v>6</v>
      </c>
      <c r="L7387" s="369">
        <f>+IF((C7387&gt;='Resultats - informe'!$E$16)*(C7387&lt;='Resultats - informe'!$G$16),1,0)</f>
        <v>1</v>
      </c>
      <c r="M7387" s="369" cm="1">
        <f t="array" ref="M7387">+_xlfn.IFS((C7387&gt;='Resultats - informe'!$D$26)*(C7387&lt;='Resultats - informe'!$E$26),0,(C7387&gt;='Resultats - informe'!$D$27)*(C7387&lt;='Resultats - informe'!$E$27),0,(C7387&gt;='Resultats - informe'!$D$28)*(C7387&lt;='Resultats - informe'!$E$28),0,(C7387&gt;='Resultats - informe'!$D$29)*(C7387&lt;='Resultats - informe'!$E$29),0,1,1)</f>
        <v>0</v>
      </c>
      <c r="N7387" s="366">
        <f>+VLOOKUP(D7387,'Resultats - informe'!$Y$18:$AG$42,'Introducció dades consum'!K7387+1,0)</f>
        <v>0</v>
      </c>
      <c r="O7387" s="370" cm="1">
        <f t="array" ref="O7387">+_xlfn.SWITCH(MONTH(C7387),1,1,2,1,3,1,4,2,5,2,6,3,7,3,8,3,9,3,10,2,11,2,12,1,2)</f>
        <v>1</v>
      </c>
      <c r="P7387" s="43"/>
    </row>
    <row r="7388" spans="1:16" ht="18" x14ac:dyDescent="0.35">
      <c r="A7388" s="9"/>
      <c r="C7388" s="393"/>
      <c r="E7388" s="394"/>
      <c r="F7388" s="394"/>
      <c r="G7388" s="394"/>
      <c r="I7388" s="368">
        <f t="shared" si="351"/>
        <v>0</v>
      </c>
      <c r="J7388" s="365">
        <f t="shared" si="352"/>
        <v>0</v>
      </c>
      <c r="K7388" s="369">
        <f t="shared" si="353"/>
        <v>6</v>
      </c>
      <c r="L7388" s="369">
        <f>+IF((C7388&gt;='Resultats - informe'!$E$16)*(C7388&lt;='Resultats - informe'!$G$16),1,0)</f>
        <v>1</v>
      </c>
      <c r="M7388" s="369" cm="1">
        <f t="array" ref="M7388">+_xlfn.IFS((C7388&gt;='Resultats - informe'!$D$26)*(C7388&lt;='Resultats - informe'!$E$26),0,(C7388&gt;='Resultats - informe'!$D$27)*(C7388&lt;='Resultats - informe'!$E$27),0,(C7388&gt;='Resultats - informe'!$D$28)*(C7388&lt;='Resultats - informe'!$E$28),0,(C7388&gt;='Resultats - informe'!$D$29)*(C7388&lt;='Resultats - informe'!$E$29),0,1,1)</f>
        <v>0</v>
      </c>
      <c r="N7388" s="366">
        <f>+VLOOKUP(D7388,'Resultats - informe'!$Y$18:$AG$42,'Introducció dades consum'!K7388+1,0)</f>
        <v>0</v>
      </c>
      <c r="O7388" s="370" cm="1">
        <f t="array" ref="O7388">+_xlfn.SWITCH(MONTH(C7388),1,1,2,1,3,1,4,2,5,2,6,3,7,3,8,3,9,3,10,2,11,2,12,1,2)</f>
        <v>1</v>
      </c>
      <c r="P7388" s="43"/>
    </row>
    <row r="7389" spans="1:16" ht="18" x14ac:dyDescent="0.35">
      <c r="A7389" s="9"/>
      <c r="C7389" s="393"/>
      <c r="E7389" s="394"/>
      <c r="F7389" s="394"/>
      <c r="G7389" s="394"/>
      <c r="I7389" s="368">
        <f t="shared" si="351"/>
        <v>0</v>
      </c>
      <c r="J7389" s="365">
        <f t="shared" si="352"/>
        <v>0</v>
      </c>
      <c r="K7389" s="369">
        <f t="shared" si="353"/>
        <v>6</v>
      </c>
      <c r="L7389" s="369">
        <f>+IF((C7389&gt;='Resultats - informe'!$E$16)*(C7389&lt;='Resultats - informe'!$G$16),1,0)</f>
        <v>1</v>
      </c>
      <c r="M7389" s="369" cm="1">
        <f t="array" ref="M7389">+_xlfn.IFS((C7389&gt;='Resultats - informe'!$D$26)*(C7389&lt;='Resultats - informe'!$E$26),0,(C7389&gt;='Resultats - informe'!$D$27)*(C7389&lt;='Resultats - informe'!$E$27),0,(C7389&gt;='Resultats - informe'!$D$28)*(C7389&lt;='Resultats - informe'!$E$28),0,(C7389&gt;='Resultats - informe'!$D$29)*(C7389&lt;='Resultats - informe'!$E$29),0,1,1)</f>
        <v>0</v>
      </c>
      <c r="N7389" s="366">
        <f>+VLOOKUP(D7389,'Resultats - informe'!$Y$18:$AG$42,'Introducció dades consum'!K7389+1,0)</f>
        <v>0</v>
      </c>
      <c r="O7389" s="370" cm="1">
        <f t="array" ref="O7389">+_xlfn.SWITCH(MONTH(C7389),1,1,2,1,3,1,4,2,5,2,6,3,7,3,8,3,9,3,10,2,11,2,12,1,2)</f>
        <v>1</v>
      </c>
      <c r="P7389" s="43"/>
    </row>
    <row r="7390" spans="1:16" ht="18" x14ac:dyDescent="0.35">
      <c r="A7390" s="9"/>
      <c r="C7390" s="393"/>
      <c r="E7390" s="394"/>
      <c r="F7390" s="394"/>
      <c r="G7390" s="394"/>
      <c r="I7390" s="368">
        <f t="shared" si="351"/>
        <v>0</v>
      </c>
      <c r="J7390" s="365">
        <f t="shared" si="352"/>
        <v>0</v>
      </c>
      <c r="K7390" s="369">
        <f t="shared" si="353"/>
        <v>6</v>
      </c>
      <c r="L7390" s="369">
        <f>+IF((C7390&gt;='Resultats - informe'!$E$16)*(C7390&lt;='Resultats - informe'!$G$16),1,0)</f>
        <v>1</v>
      </c>
      <c r="M7390" s="369" cm="1">
        <f t="array" ref="M7390">+_xlfn.IFS((C7390&gt;='Resultats - informe'!$D$26)*(C7390&lt;='Resultats - informe'!$E$26),0,(C7390&gt;='Resultats - informe'!$D$27)*(C7390&lt;='Resultats - informe'!$E$27),0,(C7390&gt;='Resultats - informe'!$D$28)*(C7390&lt;='Resultats - informe'!$E$28),0,(C7390&gt;='Resultats - informe'!$D$29)*(C7390&lt;='Resultats - informe'!$E$29),0,1,1)</f>
        <v>0</v>
      </c>
      <c r="N7390" s="366">
        <f>+VLOOKUP(D7390,'Resultats - informe'!$Y$18:$AG$42,'Introducció dades consum'!K7390+1,0)</f>
        <v>0</v>
      </c>
      <c r="O7390" s="370" cm="1">
        <f t="array" ref="O7390">+_xlfn.SWITCH(MONTH(C7390),1,1,2,1,3,1,4,2,5,2,6,3,7,3,8,3,9,3,10,2,11,2,12,1,2)</f>
        <v>1</v>
      </c>
      <c r="P7390" s="43"/>
    </row>
    <row r="7391" spans="1:16" ht="18" x14ac:dyDescent="0.35">
      <c r="A7391" s="9"/>
      <c r="C7391" s="393"/>
      <c r="E7391" s="394"/>
      <c r="F7391" s="394"/>
      <c r="G7391" s="394"/>
      <c r="I7391" s="368">
        <f t="shared" si="351"/>
        <v>0</v>
      </c>
      <c r="J7391" s="365">
        <f t="shared" si="352"/>
        <v>0</v>
      </c>
      <c r="K7391" s="369">
        <f t="shared" si="353"/>
        <v>6</v>
      </c>
      <c r="L7391" s="369">
        <f>+IF((C7391&gt;='Resultats - informe'!$E$16)*(C7391&lt;='Resultats - informe'!$G$16),1,0)</f>
        <v>1</v>
      </c>
      <c r="M7391" s="369" cm="1">
        <f t="array" ref="M7391">+_xlfn.IFS((C7391&gt;='Resultats - informe'!$D$26)*(C7391&lt;='Resultats - informe'!$E$26),0,(C7391&gt;='Resultats - informe'!$D$27)*(C7391&lt;='Resultats - informe'!$E$27),0,(C7391&gt;='Resultats - informe'!$D$28)*(C7391&lt;='Resultats - informe'!$E$28),0,(C7391&gt;='Resultats - informe'!$D$29)*(C7391&lt;='Resultats - informe'!$E$29),0,1,1)</f>
        <v>0</v>
      </c>
      <c r="N7391" s="366">
        <f>+VLOOKUP(D7391,'Resultats - informe'!$Y$18:$AG$42,'Introducció dades consum'!K7391+1,0)</f>
        <v>0</v>
      </c>
      <c r="O7391" s="370" cm="1">
        <f t="array" ref="O7391">+_xlfn.SWITCH(MONTH(C7391),1,1,2,1,3,1,4,2,5,2,6,3,7,3,8,3,9,3,10,2,11,2,12,1,2)</f>
        <v>1</v>
      </c>
      <c r="P7391" s="43"/>
    </row>
    <row r="7392" spans="1:16" ht="18" x14ac:dyDescent="0.35">
      <c r="A7392" s="9"/>
      <c r="C7392" s="393"/>
      <c r="E7392" s="394"/>
      <c r="F7392" s="394"/>
      <c r="G7392" s="394"/>
      <c r="I7392" s="368">
        <f t="shared" si="351"/>
        <v>0</v>
      </c>
      <c r="J7392" s="365">
        <f t="shared" si="352"/>
        <v>0</v>
      </c>
      <c r="K7392" s="369">
        <f t="shared" si="353"/>
        <v>6</v>
      </c>
      <c r="L7392" s="369">
        <f>+IF((C7392&gt;='Resultats - informe'!$E$16)*(C7392&lt;='Resultats - informe'!$G$16),1,0)</f>
        <v>1</v>
      </c>
      <c r="M7392" s="369" cm="1">
        <f t="array" ref="M7392">+_xlfn.IFS((C7392&gt;='Resultats - informe'!$D$26)*(C7392&lt;='Resultats - informe'!$E$26),0,(C7392&gt;='Resultats - informe'!$D$27)*(C7392&lt;='Resultats - informe'!$E$27),0,(C7392&gt;='Resultats - informe'!$D$28)*(C7392&lt;='Resultats - informe'!$E$28),0,(C7392&gt;='Resultats - informe'!$D$29)*(C7392&lt;='Resultats - informe'!$E$29),0,1,1)</f>
        <v>0</v>
      </c>
      <c r="N7392" s="366">
        <f>+VLOOKUP(D7392,'Resultats - informe'!$Y$18:$AG$42,'Introducció dades consum'!K7392+1,0)</f>
        <v>0</v>
      </c>
      <c r="O7392" s="370" cm="1">
        <f t="array" ref="O7392">+_xlfn.SWITCH(MONTH(C7392),1,1,2,1,3,1,4,2,5,2,6,3,7,3,8,3,9,3,10,2,11,2,12,1,2)</f>
        <v>1</v>
      </c>
      <c r="P7392" s="43"/>
    </row>
    <row r="7393" spans="1:16" ht="18" x14ac:dyDescent="0.35">
      <c r="A7393" s="9"/>
      <c r="C7393" s="393"/>
      <c r="E7393" s="394"/>
      <c r="F7393" s="394"/>
      <c r="G7393" s="394"/>
      <c r="I7393" s="368">
        <f t="shared" si="351"/>
        <v>0</v>
      </c>
      <c r="J7393" s="365">
        <f t="shared" si="352"/>
        <v>0</v>
      </c>
      <c r="K7393" s="369">
        <f t="shared" si="353"/>
        <v>6</v>
      </c>
      <c r="L7393" s="369">
        <f>+IF((C7393&gt;='Resultats - informe'!$E$16)*(C7393&lt;='Resultats - informe'!$G$16),1,0)</f>
        <v>1</v>
      </c>
      <c r="M7393" s="369" cm="1">
        <f t="array" ref="M7393">+_xlfn.IFS((C7393&gt;='Resultats - informe'!$D$26)*(C7393&lt;='Resultats - informe'!$E$26),0,(C7393&gt;='Resultats - informe'!$D$27)*(C7393&lt;='Resultats - informe'!$E$27),0,(C7393&gt;='Resultats - informe'!$D$28)*(C7393&lt;='Resultats - informe'!$E$28),0,(C7393&gt;='Resultats - informe'!$D$29)*(C7393&lt;='Resultats - informe'!$E$29),0,1,1)</f>
        <v>0</v>
      </c>
      <c r="N7393" s="366">
        <f>+VLOOKUP(D7393,'Resultats - informe'!$Y$18:$AG$42,'Introducció dades consum'!K7393+1,0)</f>
        <v>0</v>
      </c>
      <c r="O7393" s="370" cm="1">
        <f t="array" ref="O7393">+_xlfn.SWITCH(MONTH(C7393),1,1,2,1,3,1,4,2,5,2,6,3,7,3,8,3,9,3,10,2,11,2,12,1,2)</f>
        <v>1</v>
      </c>
      <c r="P7393" s="43"/>
    </row>
    <row r="7394" spans="1:16" ht="18" x14ac:dyDescent="0.35">
      <c r="A7394" s="9"/>
      <c r="C7394" s="393"/>
      <c r="E7394" s="394"/>
      <c r="F7394" s="394"/>
      <c r="G7394" s="394"/>
      <c r="I7394" s="368">
        <f t="shared" si="351"/>
        <v>0</v>
      </c>
      <c r="J7394" s="365">
        <f t="shared" si="352"/>
        <v>0</v>
      </c>
      <c r="K7394" s="369">
        <f t="shared" si="353"/>
        <v>6</v>
      </c>
      <c r="L7394" s="369">
        <f>+IF((C7394&gt;='Resultats - informe'!$E$16)*(C7394&lt;='Resultats - informe'!$G$16),1,0)</f>
        <v>1</v>
      </c>
      <c r="M7394" s="369" cm="1">
        <f t="array" ref="M7394">+_xlfn.IFS((C7394&gt;='Resultats - informe'!$D$26)*(C7394&lt;='Resultats - informe'!$E$26),0,(C7394&gt;='Resultats - informe'!$D$27)*(C7394&lt;='Resultats - informe'!$E$27),0,(C7394&gt;='Resultats - informe'!$D$28)*(C7394&lt;='Resultats - informe'!$E$28),0,(C7394&gt;='Resultats - informe'!$D$29)*(C7394&lt;='Resultats - informe'!$E$29),0,1,1)</f>
        <v>0</v>
      </c>
      <c r="N7394" s="366">
        <f>+VLOOKUP(D7394,'Resultats - informe'!$Y$18:$AG$42,'Introducció dades consum'!K7394+1,0)</f>
        <v>0</v>
      </c>
      <c r="O7394" s="370" cm="1">
        <f t="array" ref="O7394">+_xlfn.SWITCH(MONTH(C7394),1,1,2,1,3,1,4,2,5,2,6,3,7,3,8,3,9,3,10,2,11,2,12,1,2)</f>
        <v>1</v>
      </c>
      <c r="P7394" s="43"/>
    </row>
    <row r="7395" spans="1:16" ht="18" x14ac:dyDescent="0.35">
      <c r="A7395" s="9"/>
      <c r="C7395" s="393"/>
      <c r="E7395" s="394"/>
      <c r="F7395" s="394"/>
      <c r="G7395" s="394"/>
      <c r="I7395" s="368">
        <f t="shared" si="351"/>
        <v>0</v>
      </c>
      <c r="J7395" s="365">
        <f t="shared" si="352"/>
        <v>0</v>
      </c>
      <c r="K7395" s="369">
        <f t="shared" si="353"/>
        <v>6</v>
      </c>
      <c r="L7395" s="369">
        <f>+IF((C7395&gt;='Resultats - informe'!$E$16)*(C7395&lt;='Resultats - informe'!$G$16),1,0)</f>
        <v>1</v>
      </c>
      <c r="M7395" s="369" cm="1">
        <f t="array" ref="M7395">+_xlfn.IFS((C7395&gt;='Resultats - informe'!$D$26)*(C7395&lt;='Resultats - informe'!$E$26),0,(C7395&gt;='Resultats - informe'!$D$27)*(C7395&lt;='Resultats - informe'!$E$27),0,(C7395&gt;='Resultats - informe'!$D$28)*(C7395&lt;='Resultats - informe'!$E$28),0,(C7395&gt;='Resultats - informe'!$D$29)*(C7395&lt;='Resultats - informe'!$E$29),0,1,1)</f>
        <v>0</v>
      </c>
      <c r="N7395" s="366">
        <f>+VLOOKUP(D7395,'Resultats - informe'!$Y$18:$AG$42,'Introducció dades consum'!K7395+1,0)</f>
        <v>0</v>
      </c>
      <c r="O7395" s="370" cm="1">
        <f t="array" ref="O7395">+_xlfn.SWITCH(MONTH(C7395),1,1,2,1,3,1,4,2,5,2,6,3,7,3,8,3,9,3,10,2,11,2,12,1,2)</f>
        <v>1</v>
      </c>
      <c r="P7395" s="43"/>
    </row>
    <row r="7396" spans="1:16" ht="18" x14ac:dyDescent="0.35">
      <c r="A7396" s="9"/>
      <c r="C7396" s="393"/>
      <c r="E7396" s="394"/>
      <c r="F7396" s="394"/>
      <c r="G7396" s="394"/>
      <c r="I7396" s="368">
        <f t="shared" si="351"/>
        <v>0</v>
      </c>
      <c r="J7396" s="365">
        <f t="shared" si="352"/>
        <v>0</v>
      </c>
      <c r="K7396" s="369">
        <f t="shared" si="353"/>
        <v>6</v>
      </c>
      <c r="L7396" s="369">
        <f>+IF((C7396&gt;='Resultats - informe'!$E$16)*(C7396&lt;='Resultats - informe'!$G$16),1,0)</f>
        <v>1</v>
      </c>
      <c r="M7396" s="369" cm="1">
        <f t="array" ref="M7396">+_xlfn.IFS((C7396&gt;='Resultats - informe'!$D$26)*(C7396&lt;='Resultats - informe'!$E$26),0,(C7396&gt;='Resultats - informe'!$D$27)*(C7396&lt;='Resultats - informe'!$E$27),0,(C7396&gt;='Resultats - informe'!$D$28)*(C7396&lt;='Resultats - informe'!$E$28),0,(C7396&gt;='Resultats - informe'!$D$29)*(C7396&lt;='Resultats - informe'!$E$29),0,1,1)</f>
        <v>0</v>
      </c>
      <c r="N7396" s="366">
        <f>+VLOOKUP(D7396,'Resultats - informe'!$Y$18:$AG$42,'Introducció dades consum'!K7396+1,0)</f>
        <v>0</v>
      </c>
      <c r="O7396" s="370" cm="1">
        <f t="array" ref="O7396">+_xlfn.SWITCH(MONTH(C7396),1,1,2,1,3,1,4,2,5,2,6,3,7,3,8,3,9,3,10,2,11,2,12,1,2)</f>
        <v>1</v>
      </c>
      <c r="P7396" s="43"/>
    </row>
    <row r="7397" spans="1:16" ht="18" x14ac:dyDescent="0.35">
      <c r="A7397" s="9"/>
      <c r="C7397" s="393"/>
      <c r="E7397" s="394"/>
      <c r="F7397" s="394"/>
      <c r="G7397" s="394"/>
      <c r="I7397" s="368">
        <f t="shared" si="351"/>
        <v>0</v>
      </c>
      <c r="J7397" s="365">
        <f t="shared" si="352"/>
        <v>0</v>
      </c>
      <c r="K7397" s="369">
        <f t="shared" si="353"/>
        <v>6</v>
      </c>
      <c r="L7397" s="369">
        <f>+IF((C7397&gt;='Resultats - informe'!$E$16)*(C7397&lt;='Resultats - informe'!$G$16),1,0)</f>
        <v>1</v>
      </c>
      <c r="M7397" s="369" cm="1">
        <f t="array" ref="M7397">+_xlfn.IFS((C7397&gt;='Resultats - informe'!$D$26)*(C7397&lt;='Resultats - informe'!$E$26),0,(C7397&gt;='Resultats - informe'!$D$27)*(C7397&lt;='Resultats - informe'!$E$27),0,(C7397&gt;='Resultats - informe'!$D$28)*(C7397&lt;='Resultats - informe'!$E$28),0,(C7397&gt;='Resultats - informe'!$D$29)*(C7397&lt;='Resultats - informe'!$E$29),0,1,1)</f>
        <v>0</v>
      </c>
      <c r="N7397" s="366">
        <f>+VLOOKUP(D7397,'Resultats - informe'!$Y$18:$AG$42,'Introducció dades consum'!K7397+1,0)</f>
        <v>0</v>
      </c>
      <c r="O7397" s="370" cm="1">
        <f t="array" ref="O7397">+_xlfn.SWITCH(MONTH(C7397),1,1,2,1,3,1,4,2,5,2,6,3,7,3,8,3,9,3,10,2,11,2,12,1,2)</f>
        <v>1</v>
      </c>
      <c r="P7397" s="43"/>
    </row>
    <row r="7398" spans="1:16" ht="18" x14ac:dyDescent="0.35">
      <c r="A7398" s="9"/>
      <c r="C7398" s="393"/>
      <c r="E7398" s="394"/>
      <c r="F7398" s="394"/>
      <c r="G7398" s="394"/>
      <c r="I7398" s="368">
        <f t="shared" si="351"/>
        <v>0</v>
      </c>
      <c r="J7398" s="365">
        <f t="shared" si="352"/>
        <v>0</v>
      </c>
      <c r="K7398" s="369">
        <f t="shared" si="353"/>
        <v>6</v>
      </c>
      <c r="L7398" s="369">
        <f>+IF((C7398&gt;='Resultats - informe'!$E$16)*(C7398&lt;='Resultats - informe'!$G$16),1,0)</f>
        <v>1</v>
      </c>
      <c r="M7398" s="369" cm="1">
        <f t="array" ref="M7398">+_xlfn.IFS((C7398&gt;='Resultats - informe'!$D$26)*(C7398&lt;='Resultats - informe'!$E$26),0,(C7398&gt;='Resultats - informe'!$D$27)*(C7398&lt;='Resultats - informe'!$E$27),0,(C7398&gt;='Resultats - informe'!$D$28)*(C7398&lt;='Resultats - informe'!$E$28),0,(C7398&gt;='Resultats - informe'!$D$29)*(C7398&lt;='Resultats - informe'!$E$29),0,1,1)</f>
        <v>0</v>
      </c>
      <c r="N7398" s="366">
        <f>+VLOOKUP(D7398,'Resultats - informe'!$Y$18:$AG$42,'Introducció dades consum'!K7398+1,0)</f>
        <v>0</v>
      </c>
      <c r="O7398" s="370" cm="1">
        <f t="array" ref="O7398">+_xlfn.SWITCH(MONTH(C7398),1,1,2,1,3,1,4,2,5,2,6,3,7,3,8,3,9,3,10,2,11,2,12,1,2)</f>
        <v>1</v>
      </c>
      <c r="P7398" s="43"/>
    </row>
    <row r="7399" spans="1:16" ht="18" x14ac:dyDescent="0.35">
      <c r="A7399" s="9"/>
      <c r="C7399" s="393"/>
      <c r="E7399" s="394"/>
      <c r="F7399" s="394"/>
      <c r="G7399" s="394"/>
      <c r="I7399" s="368">
        <f t="shared" si="351"/>
        <v>0</v>
      </c>
      <c r="J7399" s="365">
        <f t="shared" si="352"/>
        <v>0</v>
      </c>
      <c r="K7399" s="369">
        <f t="shared" si="353"/>
        <v>6</v>
      </c>
      <c r="L7399" s="369">
        <f>+IF((C7399&gt;='Resultats - informe'!$E$16)*(C7399&lt;='Resultats - informe'!$G$16),1,0)</f>
        <v>1</v>
      </c>
      <c r="M7399" s="369" cm="1">
        <f t="array" ref="M7399">+_xlfn.IFS((C7399&gt;='Resultats - informe'!$D$26)*(C7399&lt;='Resultats - informe'!$E$26),0,(C7399&gt;='Resultats - informe'!$D$27)*(C7399&lt;='Resultats - informe'!$E$27),0,(C7399&gt;='Resultats - informe'!$D$28)*(C7399&lt;='Resultats - informe'!$E$28),0,(C7399&gt;='Resultats - informe'!$D$29)*(C7399&lt;='Resultats - informe'!$E$29),0,1,1)</f>
        <v>0</v>
      </c>
      <c r="N7399" s="366">
        <f>+VLOOKUP(D7399,'Resultats - informe'!$Y$18:$AG$42,'Introducció dades consum'!K7399+1,0)</f>
        <v>0</v>
      </c>
      <c r="O7399" s="370" cm="1">
        <f t="array" ref="O7399">+_xlfn.SWITCH(MONTH(C7399),1,1,2,1,3,1,4,2,5,2,6,3,7,3,8,3,9,3,10,2,11,2,12,1,2)</f>
        <v>1</v>
      </c>
      <c r="P7399" s="43"/>
    </row>
    <row r="7400" spans="1:16" ht="18" x14ac:dyDescent="0.35">
      <c r="A7400" s="9"/>
      <c r="C7400" s="393"/>
      <c r="E7400" s="394"/>
      <c r="F7400" s="394"/>
      <c r="G7400" s="394"/>
      <c r="I7400" s="368">
        <f t="shared" si="351"/>
        <v>0</v>
      </c>
      <c r="J7400" s="365">
        <f t="shared" si="352"/>
        <v>0</v>
      </c>
      <c r="K7400" s="369">
        <f t="shared" si="353"/>
        <v>6</v>
      </c>
      <c r="L7400" s="369">
        <f>+IF((C7400&gt;='Resultats - informe'!$E$16)*(C7400&lt;='Resultats - informe'!$G$16),1,0)</f>
        <v>1</v>
      </c>
      <c r="M7400" s="369" cm="1">
        <f t="array" ref="M7400">+_xlfn.IFS((C7400&gt;='Resultats - informe'!$D$26)*(C7400&lt;='Resultats - informe'!$E$26),0,(C7400&gt;='Resultats - informe'!$D$27)*(C7400&lt;='Resultats - informe'!$E$27),0,(C7400&gt;='Resultats - informe'!$D$28)*(C7400&lt;='Resultats - informe'!$E$28),0,(C7400&gt;='Resultats - informe'!$D$29)*(C7400&lt;='Resultats - informe'!$E$29),0,1,1)</f>
        <v>0</v>
      </c>
      <c r="N7400" s="366">
        <f>+VLOOKUP(D7400,'Resultats - informe'!$Y$18:$AG$42,'Introducció dades consum'!K7400+1,0)</f>
        <v>0</v>
      </c>
      <c r="O7400" s="370" cm="1">
        <f t="array" ref="O7400">+_xlfn.SWITCH(MONTH(C7400),1,1,2,1,3,1,4,2,5,2,6,3,7,3,8,3,9,3,10,2,11,2,12,1,2)</f>
        <v>1</v>
      </c>
      <c r="P7400" s="43"/>
    </row>
    <row r="7401" spans="1:16" ht="18" x14ac:dyDescent="0.35">
      <c r="A7401" s="9"/>
      <c r="C7401" s="393"/>
      <c r="E7401" s="394"/>
      <c r="F7401" s="394"/>
      <c r="G7401" s="394"/>
      <c r="I7401" s="368">
        <f t="shared" si="351"/>
        <v>0</v>
      </c>
      <c r="J7401" s="365">
        <f t="shared" si="352"/>
        <v>0</v>
      </c>
      <c r="K7401" s="369">
        <f t="shared" si="353"/>
        <v>6</v>
      </c>
      <c r="L7401" s="369">
        <f>+IF((C7401&gt;='Resultats - informe'!$E$16)*(C7401&lt;='Resultats - informe'!$G$16),1,0)</f>
        <v>1</v>
      </c>
      <c r="M7401" s="369" cm="1">
        <f t="array" ref="M7401">+_xlfn.IFS((C7401&gt;='Resultats - informe'!$D$26)*(C7401&lt;='Resultats - informe'!$E$26),0,(C7401&gt;='Resultats - informe'!$D$27)*(C7401&lt;='Resultats - informe'!$E$27),0,(C7401&gt;='Resultats - informe'!$D$28)*(C7401&lt;='Resultats - informe'!$E$28),0,(C7401&gt;='Resultats - informe'!$D$29)*(C7401&lt;='Resultats - informe'!$E$29),0,1,1)</f>
        <v>0</v>
      </c>
      <c r="N7401" s="366">
        <f>+VLOOKUP(D7401,'Resultats - informe'!$Y$18:$AG$42,'Introducció dades consum'!K7401+1,0)</f>
        <v>0</v>
      </c>
      <c r="O7401" s="370" cm="1">
        <f t="array" ref="O7401">+_xlfn.SWITCH(MONTH(C7401),1,1,2,1,3,1,4,2,5,2,6,3,7,3,8,3,9,3,10,2,11,2,12,1,2)</f>
        <v>1</v>
      </c>
      <c r="P7401" s="43"/>
    </row>
    <row r="7402" spans="1:16" ht="18" x14ac:dyDescent="0.35">
      <c r="A7402" s="9"/>
      <c r="C7402" s="393"/>
      <c r="E7402" s="394"/>
      <c r="F7402" s="394"/>
      <c r="G7402" s="394"/>
      <c r="I7402" s="368">
        <f t="shared" si="351"/>
        <v>0</v>
      </c>
      <c r="J7402" s="365">
        <f t="shared" si="352"/>
        <v>0</v>
      </c>
      <c r="K7402" s="369">
        <f t="shared" si="353"/>
        <v>6</v>
      </c>
      <c r="L7402" s="369">
        <f>+IF((C7402&gt;='Resultats - informe'!$E$16)*(C7402&lt;='Resultats - informe'!$G$16),1,0)</f>
        <v>1</v>
      </c>
      <c r="M7402" s="369" cm="1">
        <f t="array" ref="M7402">+_xlfn.IFS((C7402&gt;='Resultats - informe'!$D$26)*(C7402&lt;='Resultats - informe'!$E$26),0,(C7402&gt;='Resultats - informe'!$D$27)*(C7402&lt;='Resultats - informe'!$E$27),0,(C7402&gt;='Resultats - informe'!$D$28)*(C7402&lt;='Resultats - informe'!$E$28),0,(C7402&gt;='Resultats - informe'!$D$29)*(C7402&lt;='Resultats - informe'!$E$29),0,1,1)</f>
        <v>0</v>
      </c>
      <c r="N7402" s="366">
        <f>+VLOOKUP(D7402,'Resultats - informe'!$Y$18:$AG$42,'Introducció dades consum'!K7402+1,0)</f>
        <v>0</v>
      </c>
      <c r="O7402" s="370" cm="1">
        <f t="array" ref="O7402">+_xlfn.SWITCH(MONTH(C7402),1,1,2,1,3,1,4,2,5,2,6,3,7,3,8,3,9,3,10,2,11,2,12,1,2)</f>
        <v>1</v>
      </c>
      <c r="P7402" s="43"/>
    </row>
    <row r="7403" spans="1:16" ht="18" x14ac:dyDescent="0.35">
      <c r="A7403" s="9"/>
      <c r="C7403" s="393"/>
      <c r="E7403" s="394"/>
      <c r="F7403" s="394"/>
      <c r="G7403" s="394"/>
      <c r="I7403" s="368">
        <f t="shared" si="351"/>
        <v>0</v>
      </c>
      <c r="J7403" s="365">
        <f t="shared" si="352"/>
        <v>0</v>
      </c>
      <c r="K7403" s="369">
        <f t="shared" si="353"/>
        <v>6</v>
      </c>
      <c r="L7403" s="369">
        <f>+IF((C7403&gt;='Resultats - informe'!$E$16)*(C7403&lt;='Resultats - informe'!$G$16),1,0)</f>
        <v>1</v>
      </c>
      <c r="M7403" s="369" cm="1">
        <f t="array" ref="M7403">+_xlfn.IFS((C7403&gt;='Resultats - informe'!$D$26)*(C7403&lt;='Resultats - informe'!$E$26),0,(C7403&gt;='Resultats - informe'!$D$27)*(C7403&lt;='Resultats - informe'!$E$27),0,(C7403&gt;='Resultats - informe'!$D$28)*(C7403&lt;='Resultats - informe'!$E$28),0,(C7403&gt;='Resultats - informe'!$D$29)*(C7403&lt;='Resultats - informe'!$E$29),0,1,1)</f>
        <v>0</v>
      </c>
      <c r="N7403" s="366">
        <f>+VLOOKUP(D7403,'Resultats - informe'!$Y$18:$AG$42,'Introducció dades consum'!K7403+1,0)</f>
        <v>0</v>
      </c>
      <c r="O7403" s="370" cm="1">
        <f t="array" ref="O7403">+_xlfn.SWITCH(MONTH(C7403),1,1,2,1,3,1,4,2,5,2,6,3,7,3,8,3,9,3,10,2,11,2,12,1,2)</f>
        <v>1</v>
      </c>
      <c r="P7403" s="43"/>
    </row>
    <row r="7404" spans="1:16" ht="18" x14ac:dyDescent="0.35">
      <c r="A7404" s="9"/>
      <c r="C7404" s="393"/>
      <c r="E7404" s="394"/>
      <c r="F7404" s="394"/>
      <c r="G7404" s="394"/>
      <c r="I7404" s="368">
        <f t="shared" si="351"/>
        <v>0</v>
      </c>
      <c r="J7404" s="365">
        <f t="shared" si="352"/>
        <v>0</v>
      </c>
      <c r="K7404" s="369">
        <f t="shared" si="353"/>
        <v>6</v>
      </c>
      <c r="L7404" s="369">
        <f>+IF((C7404&gt;='Resultats - informe'!$E$16)*(C7404&lt;='Resultats - informe'!$G$16),1,0)</f>
        <v>1</v>
      </c>
      <c r="M7404" s="369" cm="1">
        <f t="array" ref="M7404">+_xlfn.IFS((C7404&gt;='Resultats - informe'!$D$26)*(C7404&lt;='Resultats - informe'!$E$26),0,(C7404&gt;='Resultats - informe'!$D$27)*(C7404&lt;='Resultats - informe'!$E$27),0,(C7404&gt;='Resultats - informe'!$D$28)*(C7404&lt;='Resultats - informe'!$E$28),0,(C7404&gt;='Resultats - informe'!$D$29)*(C7404&lt;='Resultats - informe'!$E$29),0,1,1)</f>
        <v>0</v>
      </c>
      <c r="N7404" s="366">
        <f>+VLOOKUP(D7404,'Resultats - informe'!$Y$18:$AG$42,'Introducció dades consum'!K7404+1,0)</f>
        <v>0</v>
      </c>
      <c r="O7404" s="370" cm="1">
        <f t="array" ref="O7404">+_xlfn.SWITCH(MONTH(C7404),1,1,2,1,3,1,4,2,5,2,6,3,7,3,8,3,9,3,10,2,11,2,12,1,2)</f>
        <v>1</v>
      </c>
      <c r="P7404" s="43"/>
    </row>
    <row r="7405" spans="1:16" ht="18" x14ac:dyDescent="0.35">
      <c r="A7405" s="9"/>
      <c r="C7405" s="393"/>
      <c r="E7405" s="394"/>
      <c r="F7405" s="394"/>
      <c r="G7405" s="394"/>
      <c r="I7405" s="368">
        <f t="shared" si="351"/>
        <v>0</v>
      </c>
      <c r="J7405" s="365">
        <f t="shared" si="352"/>
        <v>0</v>
      </c>
      <c r="K7405" s="369">
        <f t="shared" si="353"/>
        <v>6</v>
      </c>
      <c r="L7405" s="369">
        <f>+IF((C7405&gt;='Resultats - informe'!$E$16)*(C7405&lt;='Resultats - informe'!$G$16),1,0)</f>
        <v>1</v>
      </c>
      <c r="M7405" s="369" cm="1">
        <f t="array" ref="M7405">+_xlfn.IFS((C7405&gt;='Resultats - informe'!$D$26)*(C7405&lt;='Resultats - informe'!$E$26),0,(C7405&gt;='Resultats - informe'!$D$27)*(C7405&lt;='Resultats - informe'!$E$27),0,(C7405&gt;='Resultats - informe'!$D$28)*(C7405&lt;='Resultats - informe'!$E$28),0,(C7405&gt;='Resultats - informe'!$D$29)*(C7405&lt;='Resultats - informe'!$E$29),0,1,1)</f>
        <v>0</v>
      </c>
      <c r="N7405" s="366">
        <f>+VLOOKUP(D7405,'Resultats - informe'!$Y$18:$AG$42,'Introducció dades consum'!K7405+1,0)</f>
        <v>0</v>
      </c>
      <c r="O7405" s="370" cm="1">
        <f t="array" ref="O7405">+_xlfn.SWITCH(MONTH(C7405),1,1,2,1,3,1,4,2,5,2,6,3,7,3,8,3,9,3,10,2,11,2,12,1,2)</f>
        <v>1</v>
      </c>
      <c r="P7405" s="43"/>
    </row>
    <row r="7406" spans="1:16" ht="18" x14ac:dyDescent="0.35">
      <c r="A7406" s="9"/>
      <c r="C7406" s="393"/>
      <c r="E7406" s="394"/>
      <c r="F7406" s="394"/>
      <c r="G7406" s="394"/>
      <c r="I7406" s="368">
        <f t="shared" si="351"/>
        <v>0</v>
      </c>
      <c r="J7406" s="365">
        <f t="shared" si="352"/>
        <v>0</v>
      </c>
      <c r="K7406" s="369">
        <f t="shared" si="353"/>
        <v>6</v>
      </c>
      <c r="L7406" s="369">
        <f>+IF((C7406&gt;='Resultats - informe'!$E$16)*(C7406&lt;='Resultats - informe'!$G$16),1,0)</f>
        <v>1</v>
      </c>
      <c r="M7406" s="369" cm="1">
        <f t="array" ref="M7406">+_xlfn.IFS((C7406&gt;='Resultats - informe'!$D$26)*(C7406&lt;='Resultats - informe'!$E$26),0,(C7406&gt;='Resultats - informe'!$D$27)*(C7406&lt;='Resultats - informe'!$E$27),0,(C7406&gt;='Resultats - informe'!$D$28)*(C7406&lt;='Resultats - informe'!$E$28),0,(C7406&gt;='Resultats - informe'!$D$29)*(C7406&lt;='Resultats - informe'!$E$29),0,1,1)</f>
        <v>0</v>
      </c>
      <c r="N7406" s="366">
        <f>+VLOOKUP(D7406,'Resultats - informe'!$Y$18:$AG$42,'Introducció dades consum'!K7406+1,0)</f>
        <v>0</v>
      </c>
      <c r="O7406" s="370" cm="1">
        <f t="array" ref="O7406">+_xlfn.SWITCH(MONTH(C7406),1,1,2,1,3,1,4,2,5,2,6,3,7,3,8,3,9,3,10,2,11,2,12,1,2)</f>
        <v>1</v>
      </c>
      <c r="P7406" s="43"/>
    </row>
    <row r="7407" spans="1:16" ht="18" x14ac:dyDescent="0.35">
      <c r="A7407" s="9"/>
      <c r="C7407" s="393"/>
      <c r="E7407" s="394"/>
      <c r="F7407" s="394"/>
      <c r="G7407" s="394"/>
      <c r="I7407" s="368">
        <f t="shared" si="351"/>
        <v>0</v>
      </c>
      <c r="J7407" s="365">
        <f t="shared" si="352"/>
        <v>0</v>
      </c>
      <c r="K7407" s="369">
        <f t="shared" si="353"/>
        <v>6</v>
      </c>
      <c r="L7407" s="369">
        <f>+IF((C7407&gt;='Resultats - informe'!$E$16)*(C7407&lt;='Resultats - informe'!$G$16),1,0)</f>
        <v>1</v>
      </c>
      <c r="M7407" s="369" cm="1">
        <f t="array" ref="M7407">+_xlfn.IFS((C7407&gt;='Resultats - informe'!$D$26)*(C7407&lt;='Resultats - informe'!$E$26),0,(C7407&gt;='Resultats - informe'!$D$27)*(C7407&lt;='Resultats - informe'!$E$27),0,(C7407&gt;='Resultats - informe'!$D$28)*(C7407&lt;='Resultats - informe'!$E$28),0,(C7407&gt;='Resultats - informe'!$D$29)*(C7407&lt;='Resultats - informe'!$E$29),0,1,1)</f>
        <v>0</v>
      </c>
      <c r="N7407" s="366">
        <f>+VLOOKUP(D7407,'Resultats - informe'!$Y$18:$AG$42,'Introducció dades consum'!K7407+1,0)</f>
        <v>0</v>
      </c>
      <c r="O7407" s="370" cm="1">
        <f t="array" ref="O7407">+_xlfn.SWITCH(MONTH(C7407),1,1,2,1,3,1,4,2,5,2,6,3,7,3,8,3,9,3,10,2,11,2,12,1,2)</f>
        <v>1</v>
      </c>
      <c r="P7407" s="43"/>
    </row>
    <row r="7408" spans="1:16" ht="18" x14ac:dyDescent="0.35">
      <c r="A7408" s="9"/>
      <c r="C7408" s="393"/>
      <c r="E7408" s="394"/>
      <c r="F7408" s="394"/>
      <c r="G7408" s="394"/>
      <c r="I7408" s="368">
        <f t="shared" si="351"/>
        <v>0</v>
      </c>
      <c r="J7408" s="365">
        <f t="shared" si="352"/>
        <v>0</v>
      </c>
      <c r="K7408" s="369">
        <f t="shared" si="353"/>
        <v>6</v>
      </c>
      <c r="L7408" s="369">
        <f>+IF((C7408&gt;='Resultats - informe'!$E$16)*(C7408&lt;='Resultats - informe'!$G$16),1,0)</f>
        <v>1</v>
      </c>
      <c r="M7408" s="369" cm="1">
        <f t="array" ref="M7408">+_xlfn.IFS((C7408&gt;='Resultats - informe'!$D$26)*(C7408&lt;='Resultats - informe'!$E$26),0,(C7408&gt;='Resultats - informe'!$D$27)*(C7408&lt;='Resultats - informe'!$E$27),0,(C7408&gt;='Resultats - informe'!$D$28)*(C7408&lt;='Resultats - informe'!$E$28),0,(C7408&gt;='Resultats - informe'!$D$29)*(C7408&lt;='Resultats - informe'!$E$29),0,1,1)</f>
        <v>0</v>
      </c>
      <c r="N7408" s="366">
        <f>+VLOOKUP(D7408,'Resultats - informe'!$Y$18:$AG$42,'Introducció dades consum'!K7408+1,0)</f>
        <v>0</v>
      </c>
      <c r="O7408" s="370" cm="1">
        <f t="array" ref="O7408">+_xlfn.SWITCH(MONTH(C7408),1,1,2,1,3,1,4,2,5,2,6,3,7,3,8,3,9,3,10,2,11,2,12,1,2)</f>
        <v>1</v>
      </c>
      <c r="P7408" s="43"/>
    </row>
    <row r="7409" spans="1:16" ht="18" x14ac:dyDescent="0.35">
      <c r="A7409" s="9"/>
      <c r="C7409" s="393"/>
      <c r="E7409" s="394"/>
      <c r="F7409" s="394"/>
      <c r="G7409" s="394"/>
      <c r="I7409" s="368">
        <f t="shared" si="351"/>
        <v>0</v>
      </c>
      <c r="J7409" s="365">
        <f t="shared" si="352"/>
        <v>0</v>
      </c>
      <c r="K7409" s="369">
        <f t="shared" si="353"/>
        <v>6</v>
      </c>
      <c r="L7409" s="369">
        <f>+IF((C7409&gt;='Resultats - informe'!$E$16)*(C7409&lt;='Resultats - informe'!$G$16),1,0)</f>
        <v>1</v>
      </c>
      <c r="M7409" s="369" cm="1">
        <f t="array" ref="M7409">+_xlfn.IFS((C7409&gt;='Resultats - informe'!$D$26)*(C7409&lt;='Resultats - informe'!$E$26),0,(C7409&gt;='Resultats - informe'!$D$27)*(C7409&lt;='Resultats - informe'!$E$27),0,(C7409&gt;='Resultats - informe'!$D$28)*(C7409&lt;='Resultats - informe'!$E$28),0,(C7409&gt;='Resultats - informe'!$D$29)*(C7409&lt;='Resultats - informe'!$E$29),0,1,1)</f>
        <v>0</v>
      </c>
      <c r="N7409" s="366">
        <f>+VLOOKUP(D7409,'Resultats - informe'!$Y$18:$AG$42,'Introducció dades consum'!K7409+1,0)</f>
        <v>0</v>
      </c>
      <c r="O7409" s="370" cm="1">
        <f t="array" ref="O7409">+_xlfn.SWITCH(MONTH(C7409),1,1,2,1,3,1,4,2,5,2,6,3,7,3,8,3,9,3,10,2,11,2,12,1,2)</f>
        <v>1</v>
      </c>
      <c r="P7409" s="43"/>
    </row>
    <row r="7410" spans="1:16" ht="18" x14ac:dyDescent="0.35">
      <c r="A7410" s="9"/>
      <c r="C7410" s="393"/>
      <c r="E7410" s="394"/>
      <c r="F7410" s="394"/>
      <c r="G7410" s="394"/>
      <c r="I7410" s="368">
        <f t="shared" si="351"/>
        <v>0</v>
      </c>
      <c r="J7410" s="365">
        <f t="shared" si="352"/>
        <v>0</v>
      </c>
      <c r="K7410" s="369">
        <f t="shared" si="353"/>
        <v>6</v>
      </c>
      <c r="L7410" s="369">
        <f>+IF((C7410&gt;='Resultats - informe'!$E$16)*(C7410&lt;='Resultats - informe'!$G$16),1,0)</f>
        <v>1</v>
      </c>
      <c r="M7410" s="369" cm="1">
        <f t="array" ref="M7410">+_xlfn.IFS((C7410&gt;='Resultats - informe'!$D$26)*(C7410&lt;='Resultats - informe'!$E$26),0,(C7410&gt;='Resultats - informe'!$D$27)*(C7410&lt;='Resultats - informe'!$E$27),0,(C7410&gt;='Resultats - informe'!$D$28)*(C7410&lt;='Resultats - informe'!$E$28),0,(C7410&gt;='Resultats - informe'!$D$29)*(C7410&lt;='Resultats - informe'!$E$29),0,1,1)</f>
        <v>0</v>
      </c>
      <c r="N7410" s="366">
        <f>+VLOOKUP(D7410,'Resultats - informe'!$Y$18:$AG$42,'Introducció dades consum'!K7410+1,0)</f>
        <v>0</v>
      </c>
      <c r="O7410" s="370" cm="1">
        <f t="array" ref="O7410">+_xlfn.SWITCH(MONTH(C7410),1,1,2,1,3,1,4,2,5,2,6,3,7,3,8,3,9,3,10,2,11,2,12,1,2)</f>
        <v>1</v>
      </c>
      <c r="P7410" s="43"/>
    </row>
    <row r="7411" spans="1:16" ht="18" x14ac:dyDescent="0.35">
      <c r="A7411" s="9"/>
      <c r="C7411" s="393"/>
      <c r="E7411" s="394"/>
      <c r="F7411" s="394"/>
      <c r="G7411" s="394"/>
      <c r="I7411" s="368">
        <f t="shared" si="351"/>
        <v>0</v>
      </c>
      <c r="J7411" s="365">
        <f t="shared" si="352"/>
        <v>0</v>
      </c>
      <c r="K7411" s="369">
        <f t="shared" si="353"/>
        <v>6</v>
      </c>
      <c r="L7411" s="369">
        <f>+IF((C7411&gt;='Resultats - informe'!$E$16)*(C7411&lt;='Resultats - informe'!$G$16),1,0)</f>
        <v>1</v>
      </c>
      <c r="M7411" s="369" cm="1">
        <f t="array" ref="M7411">+_xlfn.IFS((C7411&gt;='Resultats - informe'!$D$26)*(C7411&lt;='Resultats - informe'!$E$26),0,(C7411&gt;='Resultats - informe'!$D$27)*(C7411&lt;='Resultats - informe'!$E$27),0,(C7411&gt;='Resultats - informe'!$D$28)*(C7411&lt;='Resultats - informe'!$E$28),0,(C7411&gt;='Resultats - informe'!$D$29)*(C7411&lt;='Resultats - informe'!$E$29),0,1,1)</f>
        <v>0</v>
      </c>
      <c r="N7411" s="366">
        <f>+VLOOKUP(D7411,'Resultats - informe'!$Y$18:$AG$42,'Introducció dades consum'!K7411+1,0)</f>
        <v>0</v>
      </c>
      <c r="O7411" s="370" cm="1">
        <f t="array" ref="O7411">+_xlfn.SWITCH(MONTH(C7411),1,1,2,1,3,1,4,2,5,2,6,3,7,3,8,3,9,3,10,2,11,2,12,1,2)</f>
        <v>1</v>
      </c>
      <c r="P7411" s="43"/>
    </row>
    <row r="7412" spans="1:16" ht="18" x14ac:dyDescent="0.35">
      <c r="A7412" s="9"/>
      <c r="C7412" s="393"/>
      <c r="E7412" s="394"/>
      <c r="F7412" s="394"/>
      <c r="G7412" s="394"/>
      <c r="I7412" s="368">
        <f t="shared" si="351"/>
        <v>0</v>
      </c>
      <c r="J7412" s="365">
        <f t="shared" si="352"/>
        <v>0</v>
      </c>
      <c r="K7412" s="369">
        <f t="shared" si="353"/>
        <v>6</v>
      </c>
      <c r="L7412" s="369">
        <f>+IF((C7412&gt;='Resultats - informe'!$E$16)*(C7412&lt;='Resultats - informe'!$G$16),1,0)</f>
        <v>1</v>
      </c>
      <c r="M7412" s="369" cm="1">
        <f t="array" ref="M7412">+_xlfn.IFS((C7412&gt;='Resultats - informe'!$D$26)*(C7412&lt;='Resultats - informe'!$E$26),0,(C7412&gt;='Resultats - informe'!$D$27)*(C7412&lt;='Resultats - informe'!$E$27),0,(C7412&gt;='Resultats - informe'!$D$28)*(C7412&lt;='Resultats - informe'!$E$28),0,(C7412&gt;='Resultats - informe'!$D$29)*(C7412&lt;='Resultats - informe'!$E$29),0,1,1)</f>
        <v>0</v>
      </c>
      <c r="N7412" s="366">
        <f>+VLOOKUP(D7412,'Resultats - informe'!$Y$18:$AG$42,'Introducció dades consum'!K7412+1,0)</f>
        <v>0</v>
      </c>
      <c r="O7412" s="370" cm="1">
        <f t="array" ref="O7412">+_xlfn.SWITCH(MONTH(C7412),1,1,2,1,3,1,4,2,5,2,6,3,7,3,8,3,9,3,10,2,11,2,12,1,2)</f>
        <v>1</v>
      </c>
      <c r="P7412" s="43"/>
    </row>
    <row r="7413" spans="1:16" ht="18" x14ac:dyDescent="0.35">
      <c r="A7413" s="9"/>
      <c r="C7413" s="393"/>
      <c r="E7413" s="394"/>
      <c r="F7413" s="394"/>
      <c r="G7413" s="394"/>
      <c r="I7413" s="368">
        <f t="shared" si="351"/>
        <v>0</v>
      </c>
      <c r="J7413" s="365">
        <f t="shared" si="352"/>
        <v>0</v>
      </c>
      <c r="K7413" s="369">
        <f t="shared" si="353"/>
        <v>6</v>
      </c>
      <c r="L7413" s="369">
        <f>+IF((C7413&gt;='Resultats - informe'!$E$16)*(C7413&lt;='Resultats - informe'!$G$16),1,0)</f>
        <v>1</v>
      </c>
      <c r="M7413" s="369" cm="1">
        <f t="array" ref="M7413">+_xlfn.IFS((C7413&gt;='Resultats - informe'!$D$26)*(C7413&lt;='Resultats - informe'!$E$26),0,(C7413&gt;='Resultats - informe'!$D$27)*(C7413&lt;='Resultats - informe'!$E$27),0,(C7413&gt;='Resultats - informe'!$D$28)*(C7413&lt;='Resultats - informe'!$E$28),0,(C7413&gt;='Resultats - informe'!$D$29)*(C7413&lt;='Resultats - informe'!$E$29),0,1,1)</f>
        <v>0</v>
      </c>
      <c r="N7413" s="366">
        <f>+VLOOKUP(D7413,'Resultats - informe'!$Y$18:$AG$42,'Introducció dades consum'!K7413+1,0)</f>
        <v>0</v>
      </c>
      <c r="O7413" s="370" cm="1">
        <f t="array" ref="O7413">+_xlfn.SWITCH(MONTH(C7413),1,1,2,1,3,1,4,2,5,2,6,3,7,3,8,3,9,3,10,2,11,2,12,1,2)</f>
        <v>1</v>
      </c>
      <c r="P7413" s="43"/>
    </row>
    <row r="7414" spans="1:16" ht="18" x14ac:dyDescent="0.35">
      <c r="A7414" s="9"/>
      <c r="C7414" s="393"/>
      <c r="E7414" s="394"/>
      <c r="F7414" s="394"/>
      <c r="G7414" s="394"/>
      <c r="I7414" s="368">
        <f t="shared" si="351"/>
        <v>0</v>
      </c>
      <c r="J7414" s="365">
        <f t="shared" si="352"/>
        <v>0</v>
      </c>
      <c r="K7414" s="369">
        <f t="shared" si="353"/>
        <v>6</v>
      </c>
      <c r="L7414" s="369">
        <f>+IF((C7414&gt;='Resultats - informe'!$E$16)*(C7414&lt;='Resultats - informe'!$G$16),1,0)</f>
        <v>1</v>
      </c>
      <c r="M7414" s="369" cm="1">
        <f t="array" ref="M7414">+_xlfn.IFS((C7414&gt;='Resultats - informe'!$D$26)*(C7414&lt;='Resultats - informe'!$E$26),0,(C7414&gt;='Resultats - informe'!$D$27)*(C7414&lt;='Resultats - informe'!$E$27),0,(C7414&gt;='Resultats - informe'!$D$28)*(C7414&lt;='Resultats - informe'!$E$28),0,(C7414&gt;='Resultats - informe'!$D$29)*(C7414&lt;='Resultats - informe'!$E$29),0,1,1)</f>
        <v>0</v>
      </c>
      <c r="N7414" s="366">
        <f>+VLOOKUP(D7414,'Resultats - informe'!$Y$18:$AG$42,'Introducció dades consum'!K7414+1,0)</f>
        <v>0</v>
      </c>
      <c r="O7414" s="370" cm="1">
        <f t="array" ref="O7414">+_xlfn.SWITCH(MONTH(C7414),1,1,2,1,3,1,4,2,5,2,6,3,7,3,8,3,9,3,10,2,11,2,12,1,2)</f>
        <v>1</v>
      </c>
      <c r="P7414" s="43"/>
    </row>
    <row r="7415" spans="1:16" ht="18" x14ac:dyDescent="0.35">
      <c r="A7415" s="9"/>
      <c r="C7415" s="393"/>
      <c r="E7415" s="394"/>
      <c r="F7415" s="394"/>
      <c r="G7415" s="394"/>
      <c r="I7415" s="368">
        <f t="shared" si="351"/>
        <v>0</v>
      </c>
      <c r="J7415" s="365">
        <f t="shared" si="352"/>
        <v>0</v>
      </c>
      <c r="K7415" s="369">
        <f t="shared" si="353"/>
        <v>6</v>
      </c>
      <c r="L7415" s="369">
        <f>+IF((C7415&gt;='Resultats - informe'!$E$16)*(C7415&lt;='Resultats - informe'!$G$16),1,0)</f>
        <v>1</v>
      </c>
      <c r="M7415" s="369" cm="1">
        <f t="array" ref="M7415">+_xlfn.IFS((C7415&gt;='Resultats - informe'!$D$26)*(C7415&lt;='Resultats - informe'!$E$26),0,(C7415&gt;='Resultats - informe'!$D$27)*(C7415&lt;='Resultats - informe'!$E$27),0,(C7415&gt;='Resultats - informe'!$D$28)*(C7415&lt;='Resultats - informe'!$E$28),0,(C7415&gt;='Resultats - informe'!$D$29)*(C7415&lt;='Resultats - informe'!$E$29),0,1,1)</f>
        <v>0</v>
      </c>
      <c r="N7415" s="366">
        <f>+VLOOKUP(D7415,'Resultats - informe'!$Y$18:$AG$42,'Introducció dades consum'!K7415+1,0)</f>
        <v>0</v>
      </c>
      <c r="O7415" s="370" cm="1">
        <f t="array" ref="O7415">+_xlfn.SWITCH(MONTH(C7415),1,1,2,1,3,1,4,2,5,2,6,3,7,3,8,3,9,3,10,2,11,2,12,1,2)</f>
        <v>1</v>
      </c>
      <c r="P7415" s="43"/>
    </row>
    <row r="7416" spans="1:16" ht="18" x14ac:dyDescent="0.35">
      <c r="A7416" s="9"/>
      <c r="C7416" s="393"/>
      <c r="E7416" s="394"/>
      <c r="F7416" s="394"/>
      <c r="G7416" s="394"/>
      <c r="I7416" s="368">
        <f t="shared" si="351"/>
        <v>0</v>
      </c>
      <c r="J7416" s="365">
        <f t="shared" si="352"/>
        <v>0</v>
      </c>
      <c r="K7416" s="369">
        <f t="shared" si="353"/>
        <v>6</v>
      </c>
      <c r="L7416" s="369">
        <f>+IF((C7416&gt;='Resultats - informe'!$E$16)*(C7416&lt;='Resultats - informe'!$G$16),1,0)</f>
        <v>1</v>
      </c>
      <c r="M7416" s="369" cm="1">
        <f t="array" ref="M7416">+_xlfn.IFS((C7416&gt;='Resultats - informe'!$D$26)*(C7416&lt;='Resultats - informe'!$E$26),0,(C7416&gt;='Resultats - informe'!$D$27)*(C7416&lt;='Resultats - informe'!$E$27),0,(C7416&gt;='Resultats - informe'!$D$28)*(C7416&lt;='Resultats - informe'!$E$28),0,(C7416&gt;='Resultats - informe'!$D$29)*(C7416&lt;='Resultats - informe'!$E$29),0,1,1)</f>
        <v>0</v>
      </c>
      <c r="N7416" s="366">
        <f>+VLOOKUP(D7416,'Resultats - informe'!$Y$18:$AG$42,'Introducció dades consum'!K7416+1,0)</f>
        <v>0</v>
      </c>
      <c r="O7416" s="370" cm="1">
        <f t="array" ref="O7416">+_xlfn.SWITCH(MONTH(C7416),1,1,2,1,3,1,4,2,5,2,6,3,7,3,8,3,9,3,10,2,11,2,12,1,2)</f>
        <v>1</v>
      </c>
      <c r="P7416" s="43"/>
    </row>
    <row r="7417" spans="1:16" ht="18" x14ac:dyDescent="0.35">
      <c r="A7417" s="9"/>
      <c r="C7417" s="393"/>
      <c r="E7417" s="394"/>
      <c r="F7417" s="394"/>
      <c r="G7417" s="394"/>
      <c r="I7417" s="368">
        <f t="shared" si="351"/>
        <v>0</v>
      </c>
      <c r="J7417" s="365">
        <f t="shared" si="352"/>
        <v>0</v>
      </c>
      <c r="K7417" s="369">
        <f t="shared" si="353"/>
        <v>6</v>
      </c>
      <c r="L7417" s="369">
        <f>+IF((C7417&gt;='Resultats - informe'!$E$16)*(C7417&lt;='Resultats - informe'!$G$16),1,0)</f>
        <v>1</v>
      </c>
      <c r="M7417" s="369" cm="1">
        <f t="array" ref="M7417">+_xlfn.IFS((C7417&gt;='Resultats - informe'!$D$26)*(C7417&lt;='Resultats - informe'!$E$26),0,(C7417&gt;='Resultats - informe'!$D$27)*(C7417&lt;='Resultats - informe'!$E$27),0,(C7417&gt;='Resultats - informe'!$D$28)*(C7417&lt;='Resultats - informe'!$E$28),0,(C7417&gt;='Resultats - informe'!$D$29)*(C7417&lt;='Resultats - informe'!$E$29),0,1,1)</f>
        <v>0</v>
      </c>
      <c r="N7417" s="366">
        <f>+VLOOKUP(D7417,'Resultats - informe'!$Y$18:$AG$42,'Introducció dades consum'!K7417+1,0)</f>
        <v>0</v>
      </c>
      <c r="O7417" s="370" cm="1">
        <f t="array" ref="O7417">+_xlfn.SWITCH(MONTH(C7417),1,1,2,1,3,1,4,2,5,2,6,3,7,3,8,3,9,3,10,2,11,2,12,1,2)</f>
        <v>1</v>
      </c>
      <c r="P7417" s="43"/>
    </row>
    <row r="7418" spans="1:16" ht="18" x14ac:dyDescent="0.35">
      <c r="A7418" s="9"/>
      <c r="C7418" s="393"/>
      <c r="E7418" s="394"/>
      <c r="F7418" s="394"/>
      <c r="G7418" s="394"/>
      <c r="I7418" s="368">
        <f t="shared" si="351"/>
        <v>0</v>
      </c>
      <c r="J7418" s="365">
        <f t="shared" si="352"/>
        <v>0</v>
      </c>
      <c r="K7418" s="369">
        <f t="shared" si="353"/>
        <v>6</v>
      </c>
      <c r="L7418" s="369">
        <f>+IF((C7418&gt;='Resultats - informe'!$E$16)*(C7418&lt;='Resultats - informe'!$G$16),1,0)</f>
        <v>1</v>
      </c>
      <c r="M7418" s="369" cm="1">
        <f t="array" ref="M7418">+_xlfn.IFS((C7418&gt;='Resultats - informe'!$D$26)*(C7418&lt;='Resultats - informe'!$E$26),0,(C7418&gt;='Resultats - informe'!$D$27)*(C7418&lt;='Resultats - informe'!$E$27),0,(C7418&gt;='Resultats - informe'!$D$28)*(C7418&lt;='Resultats - informe'!$E$28),0,(C7418&gt;='Resultats - informe'!$D$29)*(C7418&lt;='Resultats - informe'!$E$29),0,1,1)</f>
        <v>0</v>
      </c>
      <c r="N7418" s="366">
        <f>+VLOOKUP(D7418,'Resultats - informe'!$Y$18:$AG$42,'Introducció dades consum'!K7418+1,0)</f>
        <v>0</v>
      </c>
      <c r="O7418" s="370" cm="1">
        <f t="array" ref="O7418">+_xlfn.SWITCH(MONTH(C7418),1,1,2,1,3,1,4,2,5,2,6,3,7,3,8,3,9,3,10,2,11,2,12,1,2)</f>
        <v>1</v>
      </c>
      <c r="P7418" s="43"/>
    </row>
    <row r="7419" spans="1:16" ht="18" x14ac:dyDescent="0.35">
      <c r="A7419" s="9"/>
      <c r="C7419" s="393"/>
      <c r="E7419" s="394"/>
      <c r="F7419" s="394"/>
      <c r="G7419" s="394"/>
      <c r="I7419" s="368">
        <f t="shared" si="351"/>
        <v>0</v>
      </c>
      <c r="J7419" s="365">
        <f t="shared" si="352"/>
        <v>0</v>
      </c>
      <c r="K7419" s="369">
        <f t="shared" si="353"/>
        <v>6</v>
      </c>
      <c r="L7419" s="369">
        <f>+IF((C7419&gt;='Resultats - informe'!$E$16)*(C7419&lt;='Resultats - informe'!$G$16),1,0)</f>
        <v>1</v>
      </c>
      <c r="M7419" s="369" cm="1">
        <f t="array" ref="M7419">+_xlfn.IFS((C7419&gt;='Resultats - informe'!$D$26)*(C7419&lt;='Resultats - informe'!$E$26),0,(C7419&gt;='Resultats - informe'!$D$27)*(C7419&lt;='Resultats - informe'!$E$27),0,(C7419&gt;='Resultats - informe'!$D$28)*(C7419&lt;='Resultats - informe'!$E$28),0,(C7419&gt;='Resultats - informe'!$D$29)*(C7419&lt;='Resultats - informe'!$E$29),0,1,1)</f>
        <v>0</v>
      </c>
      <c r="N7419" s="366">
        <f>+VLOOKUP(D7419,'Resultats - informe'!$Y$18:$AG$42,'Introducció dades consum'!K7419+1,0)</f>
        <v>0</v>
      </c>
      <c r="O7419" s="370" cm="1">
        <f t="array" ref="O7419">+_xlfn.SWITCH(MONTH(C7419),1,1,2,1,3,1,4,2,5,2,6,3,7,3,8,3,9,3,10,2,11,2,12,1,2)</f>
        <v>1</v>
      </c>
      <c r="P7419" s="43"/>
    </row>
    <row r="7420" spans="1:16" ht="18" x14ac:dyDescent="0.35">
      <c r="A7420" s="9"/>
      <c r="C7420" s="393"/>
      <c r="E7420" s="394"/>
      <c r="F7420" s="394"/>
      <c r="G7420" s="394"/>
      <c r="I7420" s="368">
        <f t="shared" si="351"/>
        <v>0</v>
      </c>
      <c r="J7420" s="365">
        <f t="shared" si="352"/>
        <v>0</v>
      </c>
      <c r="K7420" s="369">
        <f t="shared" si="353"/>
        <v>6</v>
      </c>
      <c r="L7420" s="369">
        <f>+IF((C7420&gt;='Resultats - informe'!$E$16)*(C7420&lt;='Resultats - informe'!$G$16),1,0)</f>
        <v>1</v>
      </c>
      <c r="M7420" s="369" cm="1">
        <f t="array" ref="M7420">+_xlfn.IFS((C7420&gt;='Resultats - informe'!$D$26)*(C7420&lt;='Resultats - informe'!$E$26),0,(C7420&gt;='Resultats - informe'!$D$27)*(C7420&lt;='Resultats - informe'!$E$27),0,(C7420&gt;='Resultats - informe'!$D$28)*(C7420&lt;='Resultats - informe'!$E$28),0,(C7420&gt;='Resultats - informe'!$D$29)*(C7420&lt;='Resultats - informe'!$E$29),0,1,1)</f>
        <v>0</v>
      </c>
      <c r="N7420" s="366">
        <f>+VLOOKUP(D7420,'Resultats - informe'!$Y$18:$AG$42,'Introducció dades consum'!K7420+1,0)</f>
        <v>0</v>
      </c>
      <c r="O7420" s="370" cm="1">
        <f t="array" ref="O7420">+_xlfn.SWITCH(MONTH(C7420),1,1,2,1,3,1,4,2,5,2,6,3,7,3,8,3,9,3,10,2,11,2,12,1,2)</f>
        <v>1</v>
      </c>
      <c r="P7420" s="43"/>
    </row>
    <row r="7421" spans="1:16" ht="18" x14ac:dyDescent="0.35">
      <c r="A7421" s="9"/>
      <c r="C7421" s="393"/>
      <c r="E7421" s="394"/>
      <c r="F7421" s="394"/>
      <c r="G7421" s="394"/>
      <c r="I7421" s="368">
        <f t="shared" si="351"/>
        <v>0</v>
      </c>
      <c r="J7421" s="365">
        <f t="shared" si="352"/>
        <v>0</v>
      </c>
      <c r="K7421" s="369">
        <f t="shared" si="353"/>
        <v>6</v>
      </c>
      <c r="L7421" s="369">
        <f>+IF((C7421&gt;='Resultats - informe'!$E$16)*(C7421&lt;='Resultats - informe'!$G$16),1,0)</f>
        <v>1</v>
      </c>
      <c r="M7421" s="369" cm="1">
        <f t="array" ref="M7421">+_xlfn.IFS((C7421&gt;='Resultats - informe'!$D$26)*(C7421&lt;='Resultats - informe'!$E$26),0,(C7421&gt;='Resultats - informe'!$D$27)*(C7421&lt;='Resultats - informe'!$E$27),0,(C7421&gt;='Resultats - informe'!$D$28)*(C7421&lt;='Resultats - informe'!$E$28),0,(C7421&gt;='Resultats - informe'!$D$29)*(C7421&lt;='Resultats - informe'!$E$29),0,1,1)</f>
        <v>0</v>
      </c>
      <c r="N7421" s="366">
        <f>+VLOOKUP(D7421,'Resultats - informe'!$Y$18:$AG$42,'Introducció dades consum'!K7421+1,0)</f>
        <v>0</v>
      </c>
      <c r="O7421" s="370" cm="1">
        <f t="array" ref="O7421">+_xlfn.SWITCH(MONTH(C7421),1,1,2,1,3,1,4,2,5,2,6,3,7,3,8,3,9,3,10,2,11,2,12,1,2)</f>
        <v>1</v>
      </c>
      <c r="P7421" s="43"/>
    </row>
    <row r="7422" spans="1:16" ht="18" x14ac:dyDescent="0.35">
      <c r="A7422" s="9"/>
      <c r="C7422" s="393"/>
      <c r="E7422" s="394"/>
      <c r="F7422" s="394"/>
      <c r="G7422" s="394"/>
      <c r="I7422" s="368">
        <f t="shared" si="351"/>
        <v>0</v>
      </c>
      <c r="J7422" s="365">
        <f t="shared" si="352"/>
        <v>0</v>
      </c>
      <c r="K7422" s="369">
        <f t="shared" si="353"/>
        <v>6</v>
      </c>
      <c r="L7422" s="369">
        <f>+IF((C7422&gt;='Resultats - informe'!$E$16)*(C7422&lt;='Resultats - informe'!$G$16),1,0)</f>
        <v>1</v>
      </c>
      <c r="M7422" s="369" cm="1">
        <f t="array" ref="M7422">+_xlfn.IFS((C7422&gt;='Resultats - informe'!$D$26)*(C7422&lt;='Resultats - informe'!$E$26),0,(C7422&gt;='Resultats - informe'!$D$27)*(C7422&lt;='Resultats - informe'!$E$27),0,(C7422&gt;='Resultats - informe'!$D$28)*(C7422&lt;='Resultats - informe'!$E$28),0,(C7422&gt;='Resultats - informe'!$D$29)*(C7422&lt;='Resultats - informe'!$E$29),0,1,1)</f>
        <v>0</v>
      </c>
      <c r="N7422" s="366">
        <f>+VLOOKUP(D7422,'Resultats - informe'!$Y$18:$AG$42,'Introducció dades consum'!K7422+1,0)</f>
        <v>0</v>
      </c>
      <c r="O7422" s="370" cm="1">
        <f t="array" ref="O7422">+_xlfn.SWITCH(MONTH(C7422),1,1,2,1,3,1,4,2,5,2,6,3,7,3,8,3,9,3,10,2,11,2,12,1,2)</f>
        <v>1</v>
      </c>
      <c r="P7422" s="43"/>
    </row>
    <row r="7423" spans="1:16" ht="18" x14ac:dyDescent="0.35">
      <c r="A7423" s="9"/>
      <c r="C7423" s="393"/>
      <c r="E7423" s="394"/>
      <c r="F7423" s="394"/>
      <c r="G7423" s="394"/>
      <c r="I7423" s="368">
        <f t="shared" si="351"/>
        <v>0</v>
      </c>
      <c r="J7423" s="365">
        <f t="shared" si="352"/>
        <v>0</v>
      </c>
      <c r="K7423" s="369">
        <f t="shared" si="353"/>
        <v>6</v>
      </c>
      <c r="L7423" s="369">
        <f>+IF((C7423&gt;='Resultats - informe'!$E$16)*(C7423&lt;='Resultats - informe'!$G$16),1,0)</f>
        <v>1</v>
      </c>
      <c r="M7423" s="369" cm="1">
        <f t="array" ref="M7423">+_xlfn.IFS((C7423&gt;='Resultats - informe'!$D$26)*(C7423&lt;='Resultats - informe'!$E$26),0,(C7423&gt;='Resultats - informe'!$D$27)*(C7423&lt;='Resultats - informe'!$E$27),0,(C7423&gt;='Resultats - informe'!$D$28)*(C7423&lt;='Resultats - informe'!$E$28),0,(C7423&gt;='Resultats - informe'!$D$29)*(C7423&lt;='Resultats - informe'!$E$29),0,1,1)</f>
        <v>0</v>
      </c>
      <c r="N7423" s="366">
        <f>+VLOOKUP(D7423,'Resultats - informe'!$Y$18:$AG$42,'Introducció dades consum'!K7423+1,0)</f>
        <v>0</v>
      </c>
      <c r="O7423" s="370" cm="1">
        <f t="array" ref="O7423">+_xlfn.SWITCH(MONTH(C7423),1,1,2,1,3,1,4,2,5,2,6,3,7,3,8,3,9,3,10,2,11,2,12,1,2)</f>
        <v>1</v>
      </c>
      <c r="P7423" s="43"/>
    </row>
    <row r="7424" spans="1:16" ht="18" x14ac:dyDescent="0.35">
      <c r="A7424" s="9"/>
      <c r="C7424" s="393"/>
      <c r="E7424" s="394"/>
      <c r="F7424" s="394"/>
      <c r="G7424" s="394"/>
      <c r="I7424" s="368">
        <f t="shared" si="351"/>
        <v>0</v>
      </c>
      <c r="J7424" s="365">
        <f t="shared" si="352"/>
        <v>0</v>
      </c>
      <c r="K7424" s="369">
        <f t="shared" si="353"/>
        <v>6</v>
      </c>
      <c r="L7424" s="369">
        <f>+IF((C7424&gt;='Resultats - informe'!$E$16)*(C7424&lt;='Resultats - informe'!$G$16),1,0)</f>
        <v>1</v>
      </c>
      <c r="M7424" s="369" cm="1">
        <f t="array" ref="M7424">+_xlfn.IFS((C7424&gt;='Resultats - informe'!$D$26)*(C7424&lt;='Resultats - informe'!$E$26),0,(C7424&gt;='Resultats - informe'!$D$27)*(C7424&lt;='Resultats - informe'!$E$27),0,(C7424&gt;='Resultats - informe'!$D$28)*(C7424&lt;='Resultats - informe'!$E$28),0,(C7424&gt;='Resultats - informe'!$D$29)*(C7424&lt;='Resultats - informe'!$E$29),0,1,1)</f>
        <v>0</v>
      </c>
      <c r="N7424" s="366">
        <f>+VLOOKUP(D7424,'Resultats - informe'!$Y$18:$AG$42,'Introducció dades consum'!K7424+1,0)</f>
        <v>0</v>
      </c>
      <c r="O7424" s="370" cm="1">
        <f t="array" ref="O7424">+_xlfn.SWITCH(MONTH(C7424),1,1,2,1,3,1,4,2,5,2,6,3,7,3,8,3,9,3,10,2,11,2,12,1,2)</f>
        <v>1</v>
      </c>
      <c r="P7424" s="43"/>
    </row>
    <row r="7425" spans="1:16" ht="18" x14ac:dyDescent="0.35">
      <c r="A7425" s="9"/>
      <c r="C7425" s="393"/>
      <c r="E7425" s="394"/>
      <c r="F7425" s="394"/>
      <c r="G7425" s="394"/>
      <c r="I7425" s="368">
        <f t="shared" si="351"/>
        <v>0</v>
      </c>
      <c r="J7425" s="365">
        <f t="shared" si="352"/>
        <v>0</v>
      </c>
      <c r="K7425" s="369">
        <f t="shared" si="353"/>
        <v>6</v>
      </c>
      <c r="L7425" s="369">
        <f>+IF((C7425&gt;='Resultats - informe'!$E$16)*(C7425&lt;='Resultats - informe'!$G$16),1,0)</f>
        <v>1</v>
      </c>
      <c r="M7425" s="369" cm="1">
        <f t="array" ref="M7425">+_xlfn.IFS((C7425&gt;='Resultats - informe'!$D$26)*(C7425&lt;='Resultats - informe'!$E$26),0,(C7425&gt;='Resultats - informe'!$D$27)*(C7425&lt;='Resultats - informe'!$E$27),0,(C7425&gt;='Resultats - informe'!$D$28)*(C7425&lt;='Resultats - informe'!$E$28),0,(C7425&gt;='Resultats - informe'!$D$29)*(C7425&lt;='Resultats - informe'!$E$29),0,1,1)</f>
        <v>0</v>
      </c>
      <c r="N7425" s="366">
        <f>+VLOOKUP(D7425,'Resultats - informe'!$Y$18:$AG$42,'Introducció dades consum'!K7425+1,0)</f>
        <v>0</v>
      </c>
      <c r="O7425" s="370" cm="1">
        <f t="array" ref="O7425">+_xlfn.SWITCH(MONTH(C7425),1,1,2,1,3,1,4,2,5,2,6,3,7,3,8,3,9,3,10,2,11,2,12,1,2)</f>
        <v>1</v>
      </c>
      <c r="P7425" s="43"/>
    </row>
    <row r="7426" spans="1:16" ht="18" x14ac:dyDescent="0.35">
      <c r="A7426" s="9"/>
      <c r="C7426" s="393"/>
      <c r="E7426" s="394"/>
      <c r="F7426" s="394"/>
      <c r="G7426" s="394"/>
      <c r="I7426" s="368">
        <f t="shared" si="351"/>
        <v>0</v>
      </c>
      <c r="J7426" s="365">
        <f t="shared" si="352"/>
        <v>0</v>
      </c>
      <c r="K7426" s="369">
        <f t="shared" si="353"/>
        <v>6</v>
      </c>
      <c r="L7426" s="369">
        <f>+IF((C7426&gt;='Resultats - informe'!$E$16)*(C7426&lt;='Resultats - informe'!$G$16),1,0)</f>
        <v>1</v>
      </c>
      <c r="M7426" s="369" cm="1">
        <f t="array" ref="M7426">+_xlfn.IFS((C7426&gt;='Resultats - informe'!$D$26)*(C7426&lt;='Resultats - informe'!$E$26),0,(C7426&gt;='Resultats - informe'!$D$27)*(C7426&lt;='Resultats - informe'!$E$27),0,(C7426&gt;='Resultats - informe'!$D$28)*(C7426&lt;='Resultats - informe'!$E$28),0,(C7426&gt;='Resultats - informe'!$D$29)*(C7426&lt;='Resultats - informe'!$E$29),0,1,1)</f>
        <v>0</v>
      </c>
      <c r="N7426" s="366">
        <f>+VLOOKUP(D7426,'Resultats - informe'!$Y$18:$AG$42,'Introducció dades consum'!K7426+1,0)</f>
        <v>0</v>
      </c>
      <c r="O7426" s="370" cm="1">
        <f t="array" ref="O7426">+_xlfn.SWITCH(MONTH(C7426),1,1,2,1,3,1,4,2,5,2,6,3,7,3,8,3,9,3,10,2,11,2,12,1,2)</f>
        <v>1</v>
      </c>
      <c r="P7426" s="43"/>
    </row>
    <row r="7427" spans="1:16" ht="18" x14ac:dyDescent="0.35">
      <c r="A7427" s="9"/>
      <c r="C7427" s="393"/>
      <c r="E7427" s="394"/>
      <c r="F7427" s="394"/>
      <c r="G7427" s="394"/>
      <c r="I7427" s="368">
        <f t="shared" si="351"/>
        <v>0</v>
      </c>
      <c r="J7427" s="365">
        <f t="shared" si="352"/>
        <v>0</v>
      </c>
      <c r="K7427" s="369">
        <f t="shared" si="353"/>
        <v>6</v>
      </c>
      <c r="L7427" s="369">
        <f>+IF((C7427&gt;='Resultats - informe'!$E$16)*(C7427&lt;='Resultats - informe'!$G$16),1,0)</f>
        <v>1</v>
      </c>
      <c r="M7427" s="369" cm="1">
        <f t="array" ref="M7427">+_xlfn.IFS((C7427&gt;='Resultats - informe'!$D$26)*(C7427&lt;='Resultats - informe'!$E$26),0,(C7427&gt;='Resultats - informe'!$D$27)*(C7427&lt;='Resultats - informe'!$E$27),0,(C7427&gt;='Resultats - informe'!$D$28)*(C7427&lt;='Resultats - informe'!$E$28),0,(C7427&gt;='Resultats - informe'!$D$29)*(C7427&lt;='Resultats - informe'!$E$29),0,1,1)</f>
        <v>0</v>
      </c>
      <c r="N7427" s="366">
        <f>+VLOOKUP(D7427,'Resultats - informe'!$Y$18:$AG$42,'Introducció dades consum'!K7427+1,0)</f>
        <v>0</v>
      </c>
      <c r="O7427" s="370" cm="1">
        <f t="array" ref="O7427">+_xlfn.SWITCH(MONTH(C7427),1,1,2,1,3,1,4,2,5,2,6,3,7,3,8,3,9,3,10,2,11,2,12,1,2)</f>
        <v>1</v>
      </c>
      <c r="P7427" s="43"/>
    </row>
    <row r="7428" spans="1:16" ht="18" x14ac:dyDescent="0.35">
      <c r="A7428" s="9"/>
      <c r="C7428" s="393"/>
      <c r="E7428" s="394"/>
      <c r="F7428" s="394"/>
      <c r="G7428" s="394"/>
      <c r="I7428" s="368">
        <f t="shared" si="351"/>
        <v>0</v>
      </c>
      <c r="J7428" s="365">
        <f t="shared" si="352"/>
        <v>0</v>
      </c>
      <c r="K7428" s="369">
        <f t="shared" si="353"/>
        <v>6</v>
      </c>
      <c r="L7428" s="369">
        <f>+IF((C7428&gt;='Resultats - informe'!$E$16)*(C7428&lt;='Resultats - informe'!$G$16),1,0)</f>
        <v>1</v>
      </c>
      <c r="M7428" s="369" cm="1">
        <f t="array" ref="M7428">+_xlfn.IFS((C7428&gt;='Resultats - informe'!$D$26)*(C7428&lt;='Resultats - informe'!$E$26),0,(C7428&gt;='Resultats - informe'!$D$27)*(C7428&lt;='Resultats - informe'!$E$27),0,(C7428&gt;='Resultats - informe'!$D$28)*(C7428&lt;='Resultats - informe'!$E$28),0,(C7428&gt;='Resultats - informe'!$D$29)*(C7428&lt;='Resultats - informe'!$E$29),0,1,1)</f>
        <v>0</v>
      </c>
      <c r="N7428" s="366">
        <f>+VLOOKUP(D7428,'Resultats - informe'!$Y$18:$AG$42,'Introducció dades consum'!K7428+1,0)</f>
        <v>0</v>
      </c>
      <c r="O7428" s="370" cm="1">
        <f t="array" ref="O7428">+_xlfn.SWITCH(MONTH(C7428),1,1,2,1,3,1,4,2,5,2,6,3,7,3,8,3,9,3,10,2,11,2,12,1,2)</f>
        <v>1</v>
      </c>
      <c r="P7428" s="43"/>
    </row>
    <row r="7429" spans="1:16" ht="18" x14ac:dyDescent="0.35">
      <c r="A7429" s="9"/>
      <c r="C7429" s="393"/>
      <c r="E7429" s="394"/>
      <c r="F7429" s="394"/>
      <c r="G7429" s="394"/>
      <c r="I7429" s="368">
        <f t="shared" si="351"/>
        <v>0</v>
      </c>
      <c r="J7429" s="365">
        <f t="shared" si="352"/>
        <v>0</v>
      </c>
      <c r="K7429" s="369">
        <f t="shared" si="353"/>
        <v>6</v>
      </c>
      <c r="L7429" s="369">
        <f>+IF((C7429&gt;='Resultats - informe'!$E$16)*(C7429&lt;='Resultats - informe'!$G$16),1,0)</f>
        <v>1</v>
      </c>
      <c r="M7429" s="369" cm="1">
        <f t="array" ref="M7429">+_xlfn.IFS((C7429&gt;='Resultats - informe'!$D$26)*(C7429&lt;='Resultats - informe'!$E$26),0,(C7429&gt;='Resultats - informe'!$D$27)*(C7429&lt;='Resultats - informe'!$E$27),0,(C7429&gt;='Resultats - informe'!$D$28)*(C7429&lt;='Resultats - informe'!$E$28),0,(C7429&gt;='Resultats - informe'!$D$29)*(C7429&lt;='Resultats - informe'!$E$29),0,1,1)</f>
        <v>0</v>
      </c>
      <c r="N7429" s="366">
        <f>+VLOOKUP(D7429,'Resultats - informe'!$Y$18:$AG$42,'Introducció dades consum'!K7429+1,0)</f>
        <v>0</v>
      </c>
      <c r="O7429" s="370" cm="1">
        <f t="array" ref="O7429">+_xlfn.SWITCH(MONTH(C7429),1,1,2,1,3,1,4,2,5,2,6,3,7,3,8,3,9,3,10,2,11,2,12,1,2)</f>
        <v>1</v>
      </c>
      <c r="P7429" s="43"/>
    </row>
    <row r="7430" spans="1:16" ht="18" x14ac:dyDescent="0.35">
      <c r="A7430" s="9"/>
      <c r="C7430" s="393"/>
      <c r="E7430" s="394"/>
      <c r="F7430" s="394"/>
      <c r="G7430" s="394"/>
      <c r="I7430" s="368">
        <f t="shared" si="351"/>
        <v>0</v>
      </c>
      <c r="J7430" s="365">
        <f t="shared" si="352"/>
        <v>0</v>
      </c>
      <c r="K7430" s="369">
        <f t="shared" si="353"/>
        <v>6</v>
      </c>
      <c r="L7430" s="369">
        <f>+IF((C7430&gt;='Resultats - informe'!$E$16)*(C7430&lt;='Resultats - informe'!$G$16),1,0)</f>
        <v>1</v>
      </c>
      <c r="M7430" s="369" cm="1">
        <f t="array" ref="M7430">+_xlfn.IFS((C7430&gt;='Resultats - informe'!$D$26)*(C7430&lt;='Resultats - informe'!$E$26),0,(C7430&gt;='Resultats - informe'!$D$27)*(C7430&lt;='Resultats - informe'!$E$27),0,(C7430&gt;='Resultats - informe'!$D$28)*(C7430&lt;='Resultats - informe'!$E$28),0,(C7430&gt;='Resultats - informe'!$D$29)*(C7430&lt;='Resultats - informe'!$E$29),0,1,1)</f>
        <v>0</v>
      </c>
      <c r="N7430" s="366">
        <f>+VLOOKUP(D7430,'Resultats - informe'!$Y$18:$AG$42,'Introducció dades consum'!K7430+1,0)</f>
        <v>0</v>
      </c>
      <c r="O7430" s="370" cm="1">
        <f t="array" ref="O7430">+_xlfn.SWITCH(MONTH(C7430),1,1,2,1,3,1,4,2,5,2,6,3,7,3,8,3,9,3,10,2,11,2,12,1,2)</f>
        <v>1</v>
      </c>
      <c r="P7430" s="43"/>
    </row>
    <row r="7431" spans="1:16" ht="18" x14ac:dyDescent="0.35">
      <c r="A7431" s="9"/>
      <c r="C7431" s="393"/>
      <c r="E7431" s="394"/>
      <c r="F7431" s="394"/>
      <c r="G7431" s="394"/>
      <c r="I7431" s="368">
        <f t="shared" si="351"/>
        <v>0</v>
      </c>
      <c r="J7431" s="365">
        <f t="shared" si="352"/>
        <v>0</v>
      </c>
      <c r="K7431" s="369">
        <f t="shared" si="353"/>
        <v>6</v>
      </c>
      <c r="L7431" s="369">
        <f>+IF((C7431&gt;='Resultats - informe'!$E$16)*(C7431&lt;='Resultats - informe'!$G$16),1,0)</f>
        <v>1</v>
      </c>
      <c r="M7431" s="369" cm="1">
        <f t="array" ref="M7431">+_xlfn.IFS((C7431&gt;='Resultats - informe'!$D$26)*(C7431&lt;='Resultats - informe'!$E$26),0,(C7431&gt;='Resultats - informe'!$D$27)*(C7431&lt;='Resultats - informe'!$E$27),0,(C7431&gt;='Resultats - informe'!$D$28)*(C7431&lt;='Resultats - informe'!$E$28),0,(C7431&gt;='Resultats - informe'!$D$29)*(C7431&lt;='Resultats - informe'!$E$29),0,1,1)</f>
        <v>0</v>
      </c>
      <c r="N7431" s="366">
        <f>+VLOOKUP(D7431,'Resultats - informe'!$Y$18:$AG$42,'Introducció dades consum'!K7431+1,0)</f>
        <v>0</v>
      </c>
      <c r="O7431" s="370" cm="1">
        <f t="array" ref="O7431">+_xlfn.SWITCH(MONTH(C7431),1,1,2,1,3,1,4,2,5,2,6,3,7,3,8,3,9,3,10,2,11,2,12,1,2)</f>
        <v>1</v>
      </c>
      <c r="P7431" s="43"/>
    </row>
    <row r="7432" spans="1:16" ht="18" x14ac:dyDescent="0.35">
      <c r="A7432" s="9"/>
      <c r="C7432" s="393"/>
      <c r="E7432" s="394"/>
      <c r="F7432" s="394"/>
      <c r="G7432" s="394"/>
      <c r="I7432" s="368">
        <f t="shared" si="351"/>
        <v>0</v>
      </c>
      <c r="J7432" s="365">
        <f t="shared" si="352"/>
        <v>0</v>
      </c>
      <c r="K7432" s="369">
        <f t="shared" si="353"/>
        <v>6</v>
      </c>
      <c r="L7432" s="369">
        <f>+IF((C7432&gt;='Resultats - informe'!$E$16)*(C7432&lt;='Resultats - informe'!$G$16),1,0)</f>
        <v>1</v>
      </c>
      <c r="M7432" s="369" cm="1">
        <f t="array" ref="M7432">+_xlfn.IFS((C7432&gt;='Resultats - informe'!$D$26)*(C7432&lt;='Resultats - informe'!$E$26),0,(C7432&gt;='Resultats - informe'!$D$27)*(C7432&lt;='Resultats - informe'!$E$27),0,(C7432&gt;='Resultats - informe'!$D$28)*(C7432&lt;='Resultats - informe'!$E$28),0,(C7432&gt;='Resultats - informe'!$D$29)*(C7432&lt;='Resultats - informe'!$E$29),0,1,1)</f>
        <v>0</v>
      </c>
      <c r="N7432" s="366">
        <f>+VLOOKUP(D7432,'Resultats - informe'!$Y$18:$AG$42,'Introducció dades consum'!K7432+1,0)</f>
        <v>0</v>
      </c>
      <c r="O7432" s="370" cm="1">
        <f t="array" ref="O7432">+_xlfn.SWITCH(MONTH(C7432),1,1,2,1,3,1,4,2,5,2,6,3,7,3,8,3,9,3,10,2,11,2,12,1,2)</f>
        <v>1</v>
      </c>
      <c r="P7432" s="43"/>
    </row>
    <row r="7433" spans="1:16" ht="18" x14ac:dyDescent="0.35">
      <c r="A7433" s="9"/>
      <c r="C7433" s="393"/>
      <c r="E7433" s="394"/>
      <c r="F7433" s="394"/>
      <c r="G7433" s="394"/>
      <c r="I7433" s="368">
        <f t="shared" si="351"/>
        <v>0</v>
      </c>
      <c r="J7433" s="365">
        <f t="shared" si="352"/>
        <v>0</v>
      </c>
      <c r="K7433" s="369">
        <f t="shared" si="353"/>
        <v>6</v>
      </c>
      <c r="L7433" s="369">
        <f>+IF((C7433&gt;='Resultats - informe'!$E$16)*(C7433&lt;='Resultats - informe'!$G$16),1,0)</f>
        <v>1</v>
      </c>
      <c r="M7433" s="369" cm="1">
        <f t="array" ref="M7433">+_xlfn.IFS((C7433&gt;='Resultats - informe'!$D$26)*(C7433&lt;='Resultats - informe'!$E$26),0,(C7433&gt;='Resultats - informe'!$D$27)*(C7433&lt;='Resultats - informe'!$E$27),0,(C7433&gt;='Resultats - informe'!$D$28)*(C7433&lt;='Resultats - informe'!$E$28),0,(C7433&gt;='Resultats - informe'!$D$29)*(C7433&lt;='Resultats - informe'!$E$29),0,1,1)</f>
        <v>0</v>
      </c>
      <c r="N7433" s="366">
        <f>+VLOOKUP(D7433,'Resultats - informe'!$Y$18:$AG$42,'Introducció dades consum'!K7433+1,0)</f>
        <v>0</v>
      </c>
      <c r="O7433" s="370" cm="1">
        <f t="array" ref="O7433">+_xlfn.SWITCH(MONTH(C7433),1,1,2,1,3,1,4,2,5,2,6,3,7,3,8,3,9,3,10,2,11,2,12,1,2)</f>
        <v>1</v>
      </c>
      <c r="P7433" s="43"/>
    </row>
    <row r="7434" spans="1:16" ht="18" x14ac:dyDescent="0.35">
      <c r="A7434" s="9"/>
      <c r="C7434" s="393"/>
      <c r="E7434" s="394"/>
      <c r="F7434" s="394"/>
      <c r="G7434" s="394"/>
      <c r="I7434" s="368">
        <f t="shared" si="351"/>
        <v>0</v>
      </c>
      <c r="J7434" s="365">
        <f t="shared" si="352"/>
        <v>0</v>
      </c>
      <c r="K7434" s="369">
        <f t="shared" si="353"/>
        <v>6</v>
      </c>
      <c r="L7434" s="369">
        <f>+IF((C7434&gt;='Resultats - informe'!$E$16)*(C7434&lt;='Resultats - informe'!$G$16),1,0)</f>
        <v>1</v>
      </c>
      <c r="M7434" s="369" cm="1">
        <f t="array" ref="M7434">+_xlfn.IFS((C7434&gt;='Resultats - informe'!$D$26)*(C7434&lt;='Resultats - informe'!$E$26),0,(C7434&gt;='Resultats - informe'!$D$27)*(C7434&lt;='Resultats - informe'!$E$27),0,(C7434&gt;='Resultats - informe'!$D$28)*(C7434&lt;='Resultats - informe'!$E$28),0,(C7434&gt;='Resultats - informe'!$D$29)*(C7434&lt;='Resultats - informe'!$E$29),0,1,1)</f>
        <v>0</v>
      </c>
      <c r="N7434" s="366">
        <f>+VLOOKUP(D7434,'Resultats - informe'!$Y$18:$AG$42,'Introducció dades consum'!K7434+1,0)</f>
        <v>0</v>
      </c>
      <c r="O7434" s="370" cm="1">
        <f t="array" ref="O7434">+_xlfn.SWITCH(MONTH(C7434),1,1,2,1,3,1,4,2,5,2,6,3,7,3,8,3,9,3,10,2,11,2,12,1,2)</f>
        <v>1</v>
      </c>
      <c r="P7434" s="43"/>
    </row>
    <row r="7435" spans="1:16" ht="18" x14ac:dyDescent="0.35">
      <c r="A7435" s="9"/>
      <c r="C7435" s="393"/>
      <c r="E7435" s="394"/>
      <c r="F7435" s="394"/>
      <c r="G7435" s="394"/>
      <c r="I7435" s="368">
        <f t="shared" si="351"/>
        <v>0</v>
      </c>
      <c r="J7435" s="365">
        <f t="shared" si="352"/>
        <v>0</v>
      </c>
      <c r="K7435" s="369">
        <f t="shared" si="353"/>
        <v>6</v>
      </c>
      <c r="L7435" s="369">
        <f>+IF((C7435&gt;='Resultats - informe'!$E$16)*(C7435&lt;='Resultats - informe'!$G$16),1,0)</f>
        <v>1</v>
      </c>
      <c r="M7435" s="369" cm="1">
        <f t="array" ref="M7435">+_xlfn.IFS((C7435&gt;='Resultats - informe'!$D$26)*(C7435&lt;='Resultats - informe'!$E$26),0,(C7435&gt;='Resultats - informe'!$D$27)*(C7435&lt;='Resultats - informe'!$E$27),0,(C7435&gt;='Resultats - informe'!$D$28)*(C7435&lt;='Resultats - informe'!$E$28),0,(C7435&gt;='Resultats - informe'!$D$29)*(C7435&lt;='Resultats - informe'!$E$29),0,1,1)</f>
        <v>0</v>
      </c>
      <c r="N7435" s="366">
        <f>+VLOOKUP(D7435,'Resultats - informe'!$Y$18:$AG$42,'Introducció dades consum'!K7435+1,0)</f>
        <v>0</v>
      </c>
      <c r="O7435" s="370" cm="1">
        <f t="array" ref="O7435">+_xlfn.SWITCH(MONTH(C7435),1,1,2,1,3,1,4,2,5,2,6,3,7,3,8,3,9,3,10,2,11,2,12,1,2)</f>
        <v>1</v>
      </c>
      <c r="P7435" s="43"/>
    </row>
    <row r="7436" spans="1:16" ht="18" x14ac:dyDescent="0.35">
      <c r="A7436" s="9"/>
      <c r="C7436" s="393"/>
      <c r="E7436" s="394"/>
      <c r="F7436" s="394"/>
      <c r="G7436" s="394"/>
      <c r="I7436" s="368">
        <f t="shared" si="351"/>
        <v>0</v>
      </c>
      <c r="J7436" s="365">
        <f t="shared" si="352"/>
        <v>0</v>
      </c>
      <c r="K7436" s="369">
        <f t="shared" si="353"/>
        <v>6</v>
      </c>
      <c r="L7436" s="369">
        <f>+IF((C7436&gt;='Resultats - informe'!$E$16)*(C7436&lt;='Resultats - informe'!$G$16),1,0)</f>
        <v>1</v>
      </c>
      <c r="M7436" s="369" cm="1">
        <f t="array" ref="M7436">+_xlfn.IFS((C7436&gt;='Resultats - informe'!$D$26)*(C7436&lt;='Resultats - informe'!$E$26),0,(C7436&gt;='Resultats - informe'!$D$27)*(C7436&lt;='Resultats - informe'!$E$27),0,(C7436&gt;='Resultats - informe'!$D$28)*(C7436&lt;='Resultats - informe'!$E$28),0,(C7436&gt;='Resultats - informe'!$D$29)*(C7436&lt;='Resultats - informe'!$E$29),0,1,1)</f>
        <v>0</v>
      </c>
      <c r="N7436" s="366">
        <f>+VLOOKUP(D7436,'Resultats - informe'!$Y$18:$AG$42,'Introducció dades consum'!K7436+1,0)</f>
        <v>0</v>
      </c>
      <c r="O7436" s="370" cm="1">
        <f t="array" ref="O7436">+_xlfn.SWITCH(MONTH(C7436),1,1,2,1,3,1,4,2,5,2,6,3,7,3,8,3,9,3,10,2,11,2,12,1,2)</f>
        <v>1</v>
      </c>
      <c r="P7436" s="43"/>
    </row>
    <row r="7437" spans="1:16" ht="18" x14ac:dyDescent="0.35">
      <c r="A7437" s="9"/>
      <c r="C7437" s="393"/>
      <c r="E7437" s="394"/>
      <c r="F7437" s="394"/>
      <c r="G7437" s="394"/>
      <c r="I7437" s="368">
        <f t="shared" si="351"/>
        <v>0</v>
      </c>
      <c r="J7437" s="365">
        <f t="shared" si="352"/>
        <v>0</v>
      </c>
      <c r="K7437" s="369">
        <f t="shared" si="353"/>
        <v>6</v>
      </c>
      <c r="L7437" s="369">
        <f>+IF((C7437&gt;='Resultats - informe'!$E$16)*(C7437&lt;='Resultats - informe'!$G$16),1,0)</f>
        <v>1</v>
      </c>
      <c r="M7437" s="369" cm="1">
        <f t="array" ref="M7437">+_xlfn.IFS((C7437&gt;='Resultats - informe'!$D$26)*(C7437&lt;='Resultats - informe'!$E$26),0,(C7437&gt;='Resultats - informe'!$D$27)*(C7437&lt;='Resultats - informe'!$E$27),0,(C7437&gt;='Resultats - informe'!$D$28)*(C7437&lt;='Resultats - informe'!$E$28),0,(C7437&gt;='Resultats - informe'!$D$29)*(C7437&lt;='Resultats - informe'!$E$29),0,1,1)</f>
        <v>0</v>
      </c>
      <c r="N7437" s="366">
        <f>+VLOOKUP(D7437,'Resultats - informe'!$Y$18:$AG$42,'Introducció dades consum'!K7437+1,0)</f>
        <v>0</v>
      </c>
      <c r="O7437" s="370" cm="1">
        <f t="array" ref="O7437">+_xlfn.SWITCH(MONTH(C7437),1,1,2,1,3,1,4,2,5,2,6,3,7,3,8,3,9,3,10,2,11,2,12,1,2)</f>
        <v>1</v>
      </c>
      <c r="P7437" s="43"/>
    </row>
    <row r="7438" spans="1:16" ht="18" x14ac:dyDescent="0.35">
      <c r="A7438" s="9"/>
      <c r="C7438" s="393"/>
      <c r="E7438" s="394"/>
      <c r="F7438" s="394"/>
      <c r="G7438" s="394"/>
      <c r="I7438" s="368">
        <f t="shared" si="351"/>
        <v>0</v>
      </c>
      <c r="J7438" s="365">
        <f t="shared" si="352"/>
        <v>0</v>
      </c>
      <c r="K7438" s="369">
        <f t="shared" si="353"/>
        <v>6</v>
      </c>
      <c r="L7438" s="369">
        <f>+IF((C7438&gt;='Resultats - informe'!$E$16)*(C7438&lt;='Resultats - informe'!$G$16),1,0)</f>
        <v>1</v>
      </c>
      <c r="M7438" s="369" cm="1">
        <f t="array" ref="M7438">+_xlfn.IFS((C7438&gt;='Resultats - informe'!$D$26)*(C7438&lt;='Resultats - informe'!$E$26),0,(C7438&gt;='Resultats - informe'!$D$27)*(C7438&lt;='Resultats - informe'!$E$27),0,(C7438&gt;='Resultats - informe'!$D$28)*(C7438&lt;='Resultats - informe'!$E$28),0,(C7438&gt;='Resultats - informe'!$D$29)*(C7438&lt;='Resultats - informe'!$E$29),0,1,1)</f>
        <v>0</v>
      </c>
      <c r="N7438" s="366">
        <f>+VLOOKUP(D7438,'Resultats - informe'!$Y$18:$AG$42,'Introducció dades consum'!K7438+1,0)</f>
        <v>0</v>
      </c>
      <c r="O7438" s="370" cm="1">
        <f t="array" ref="O7438">+_xlfn.SWITCH(MONTH(C7438),1,1,2,1,3,1,4,2,5,2,6,3,7,3,8,3,9,3,10,2,11,2,12,1,2)</f>
        <v>1</v>
      </c>
      <c r="P7438" s="43"/>
    </row>
    <row r="7439" spans="1:16" ht="18" x14ac:dyDescent="0.35">
      <c r="A7439" s="9"/>
      <c r="C7439" s="393"/>
      <c r="E7439" s="394"/>
      <c r="F7439" s="394"/>
      <c r="G7439" s="394"/>
      <c r="I7439" s="368">
        <f t="shared" si="351"/>
        <v>0</v>
      </c>
      <c r="J7439" s="365">
        <f t="shared" si="352"/>
        <v>0</v>
      </c>
      <c r="K7439" s="369">
        <f t="shared" si="353"/>
        <v>6</v>
      </c>
      <c r="L7439" s="369">
        <f>+IF((C7439&gt;='Resultats - informe'!$E$16)*(C7439&lt;='Resultats - informe'!$G$16),1,0)</f>
        <v>1</v>
      </c>
      <c r="M7439" s="369" cm="1">
        <f t="array" ref="M7439">+_xlfn.IFS((C7439&gt;='Resultats - informe'!$D$26)*(C7439&lt;='Resultats - informe'!$E$26),0,(C7439&gt;='Resultats - informe'!$D$27)*(C7439&lt;='Resultats - informe'!$E$27),0,(C7439&gt;='Resultats - informe'!$D$28)*(C7439&lt;='Resultats - informe'!$E$28),0,(C7439&gt;='Resultats - informe'!$D$29)*(C7439&lt;='Resultats - informe'!$E$29),0,1,1)</f>
        <v>0</v>
      </c>
      <c r="N7439" s="366">
        <f>+VLOOKUP(D7439,'Resultats - informe'!$Y$18:$AG$42,'Introducció dades consum'!K7439+1,0)</f>
        <v>0</v>
      </c>
      <c r="O7439" s="370" cm="1">
        <f t="array" ref="O7439">+_xlfn.SWITCH(MONTH(C7439),1,1,2,1,3,1,4,2,5,2,6,3,7,3,8,3,9,3,10,2,11,2,12,1,2)</f>
        <v>1</v>
      </c>
      <c r="P7439" s="43"/>
    </row>
    <row r="7440" spans="1:16" ht="18" x14ac:dyDescent="0.35">
      <c r="A7440" s="9"/>
      <c r="C7440" s="393"/>
      <c r="E7440" s="394"/>
      <c r="F7440" s="394"/>
      <c r="G7440" s="394"/>
      <c r="I7440" s="368">
        <f t="shared" si="351"/>
        <v>0</v>
      </c>
      <c r="J7440" s="365">
        <f t="shared" si="352"/>
        <v>0</v>
      </c>
      <c r="K7440" s="369">
        <f t="shared" si="353"/>
        <v>6</v>
      </c>
      <c r="L7440" s="369">
        <f>+IF((C7440&gt;='Resultats - informe'!$E$16)*(C7440&lt;='Resultats - informe'!$G$16),1,0)</f>
        <v>1</v>
      </c>
      <c r="M7440" s="369" cm="1">
        <f t="array" ref="M7440">+_xlfn.IFS((C7440&gt;='Resultats - informe'!$D$26)*(C7440&lt;='Resultats - informe'!$E$26),0,(C7440&gt;='Resultats - informe'!$D$27)*(C7440&lt;='Resultats - informe'!$E$27),0,(C7440&gt;='Resultats - informe'!$D$28)*(C7440&lt;='Resultats - informe'!$E$28),0,(C7440&gt;='Resultats - informe'!$D$29)*(C7440&lt;='Resultats - informe'!$E$29),0,1,1)</f>
        <v>0</v>
      </c>
      <c r="N7440" s="366">
        <f>+VLOOKUP(D7440,'Resultats - informe'!$Y$18:$AG$42,'Introducció dades consum'!K7440+1,0)</f>
        <v>0</v>
      </c>
      <c r="O7440" s="370" cm="1">
        <f t="array" ref="O7440">+_xlfn.SWITCH(MONTH(C7440),1,1,2,1,3,1,4,2,5,2,6,3,7,3,8,3,9,3,10,2,11,2,12,1,2)</f>
        <v>1</v>
      </c>
      <c r="P7440" s="43"/>
    </row>
    <row r="7441" spans="1:16" ht="18" x14ac:dyDescent="0.35">
      <c r="A7441" s="9"/>
      <c r="C7441" s="393"/>
      <c r="E7441" s="394"/>
      <c r="F7441" s="394"/>
      <c r="G7441" s="394"/>
      <c r="I7441" s="368">
        <f t="shared" si="351"/>
        <v>0</v>
      </c>
      <c r="J7441" s="365">
        <f t="shared" si="352"/>
        <v>0</v>
      </c>
      <c r="K7441" s="369">
        <f t="shared" si="353"/>
        <v>6</v>
      </c>
      <c r="L7441" s="369">
        <f>+IF((C7441&gt;='Resultats - informe'!$E$16)*(C7441&lt;='Resultats - informe'!$G$16),1,0)</f>
        <v>1</v>
      </c>
      <c r="M7441" s="369" cm="1">
        <f t="array" ref="M7441">+_xlfn.IFS((C7441&gt;='Resultats - informe'!$D$26)*(C7441&lt;='Resultats - informe'!$E$26),0,(C7441&gt;='Resultats - informe'!$D$27)*(C7441&lt;='Resultats - informe'!$E$27),0,(C7441&gt;='Resultats - informe'!$D$28)*(C7441&lt;='Resultats - informe'!$E$28),0,(C7441&gt;='Resultats - informe'!$D$29)*(C7441&lt;='Resultats - informe'!$E$29),0,1,1)</f>
        <v>0</v>
      </c>
      <c r="N7441" s="366">
        <f>+VLOOKUP(D7441,'Resultats - informe'!$Y$18:$AG$42,'Introducció dades consum'!K7441+1,0)</f>
        <v>0</v>
      </c>
      <c r="O7441" s="370" cm="1">
        <f t="array" ref="O7441">+_xlfn.SWITCH(MONTH(C7441),1,1,2,1,3,1,4,2,5,2,6,3,7,3,8,3,9,3,10,2,11,2,12,1,2)</f>
        <v>1</v>
      </c>
      <c r="P7441" s="43"/>
    </row>
    <row r="7442" spans="1:16" ht="18" x14ac:dyDescent="0.35">
      <c r="A7442" s="9"/>
      <c r="C7442" s="393"/>
      <c r="E7442" s="394"/>
      <c r="F7442" s="394"/>
      <c r="G7442" s="394"/>
      <c r="I7442" s="368">
        <f t="shared" ref="I7442:I7505" si="354">+E7442+G7442</f>
        <v>0</v>
      </c>
      <c r="J7442" s="365">
        <f t="shared" ref="J7442:J7505" si="355">+C7442</f>
        <v>0</v>
      </c>
      <c r="K7442" s="369">
        <f t="shared" ref="K7442:K7505" si="356">+WEEKDAY(C7442,2)</f>
        <v>6</v>
      </c>
      <c r="L7442" s="369">
        <f>+IF((C7442&gt;='Resultats - informe'!$E$16)*(C7442&lt;='Resultats - informe'!$G$16),1,0)</f>
        <v>1</v>
      </c>
      <c r="M7442" s="369" cm="1">
        <f t="array" ref="M7442">+_xlfn.IFS((C7442&gt;='Resultats - informe'!$D$26)*(C7442&lt;='Resultats - informe'!$E$26),0,(C7442&gt;='Resultats - informe'!$D$27)*(C7442&lt;='Resultats - informe'!$E$27),0,(C7442&gt;='Resultats - informe'!$D$28)*(C7442&lt;='Resultats - informe'!$E$28),0,(C7442&gt;='Resultats - informe'!$D$29)*(C7442&lt;='Resultats - informe'!$E$29),0,1,1)</f>
        <v>0</v>
      </c>
      <c r="N7442" s="366">
        <f>+VLOOKUP(D7442,'Resultats - informe'!$Y$18:$AG$42,'Introducció dades consum'!K7442+1,0)</f>
        <v>0</v>
      </c>
      <c r="O7442" s="370" cm="1">
        <f t="array" ref="O7442">+_xlfn.SWITCH(MONTH(C7442),1,1,2,1,3,1,4,2,5,2,6,3,7,3,8,3,9,3,10,2,11,2,12,1,2)</f>
        <v>1</v>
      </c>
      <c r="P7442" s="43"/>
    </row>
    <row r="7443" spans="1:16" ht="18" x14ac:dyDescent="0.35">
      <c r="A7443" s="9"/>
      <c r="C7443" s="393"/>
      <c r="E7443" s="394"/>
      <c r="F7443" s="394"/>
      <c r="G7443" s="394"/>
      <c r="I7443" s="368">
        <f t="shared" si="354"/>
        <v>0</v>
      </c>
      <c r="J7443" s="365">
        <f t="shared" si="355"/>
        <v>0</v>
      </c>
      <c r="K7443" s="369">
        <f t="shared" si="356"/>
        <v>6</v>
      </c>
      <c r="L7443" s="369">
        <f>+IF((C7443&gt;='Resultats - informe'!$E$16)*(C7443&lt;='Resultats - informe'!$G$16),1,0)</f>
        <v>1</v>
      </c>
      <c r="M7443" s="369" cm="1">
        <f t="array" ref="M7443">+_xlfn.IFS((C7443&gt;='Resultats - informe'!$D$26)*(C7443&lt;='Resultats - informe'!$E$26),0,(C7443&gt;='Resultats - informe'!$D$27)*(C7443&lt;='Resultats - informe'!$E$27),0,(C7443&gt;='Resultats - informe'!$D$28)*(C7443&lt;='Resultats - informe'!$E$28),0,(C7443&gt;='Resultats - informe'!$D$29)*(C7443&lt;='Resultats - informe'!$E$29),0,1,1)</f>
        <v>0</v>
      </c>
      <c r="N7443" s="366">
        <f>+VLOOKUP(D7443,'Resultats - informe'!$Y$18:$AG$42,'Introducció dades consum'!K7443+1,0)</f>
        <v>0</v>
      </c>
      <c r="O7443" s="370" cm="1">
        <f t="array" ref="O7443">+_xlfn.SWITCH(MONTH(C7443),1,1,2,1,3,1,4,2,5,2,6,3,7,3,8,3,9,3,10,2,11,2,12,1,2)</f>
        <v>1</v>
      </c>
      <c r="P7443" s="43"/>
    </row>
    <row r="7444" spans="1:16" ht="18" x14ac:dyDescent="0.35">
      <c r="A7444" s="9"/>
      <c r="C7444" s="393"/>
      <c r="E7444" s="394"/>
      <c r="F7444" s="394"/>
      <c r="G7444" s="394"/>
      <c r="I7444" s="368">
        <f t="shared" si="354"/>
        <v>0</v>
      </c>
      <c r="J7444" s="365">
        <f t="shared" si="355"/>
        <v>0</v>
      </c>
      <c r="K7444" s="369">
        <f t="shared" si="356"/>
        <v>6</v>
      </c>
      <c r="L7444" s="369">
        <f>+IF((C7444&gt;='Resultats - informe'!$E$16)*(C7444&lt;='Resultats - informe'!$G$16),1,0)</f>
        <v>1</v>
      </c>
      <c r="M7444" s="369" cm="1">
        <f t="array" ref="M7444">+_xlfn.IFS((C7444&gt;='Resultats - informe'!$D$26)*(C7444&lt;='Resultats - informe'!$E$26),0,(C7444&gt;='Resultats - informe'!$D$27)*(C7444&lt;='Resultats - informe'!$E$27),0,(C7444&gt;='Resultats - informe'!$D$28)*(C7444&lt;='Resultats - informe'!$E$28),0,(C7444&gt;='Resultats - informe'!$D$29)*(C7444&lt;='Resultats - informe'!$E$29),0,1,1)</f>
        <v>0</v>
      </c>
      <c r="N7444" s="366">
        <f>+VLOOKUP(D7444,'Resultats - informe'!$Y$18:$AG$42,'Introducció dades consum'!K7444+1,0)</f>
        <v>0</v>
      </c>
      <c r="O7444" s="370" cm="1">
        <f t="array" ref="O7444">+_xlfn.SWITCH(MONTH(C7444),1,1,2,1,3,1,4,2,5,2,6,3,7,3,8,3,9,3,10,2,11,2,12,1,2)</f>
        <v>1</v>
      </c>
      <c r="P7444" s="43"/>
    </row>
    <row r="7445" spans="1:16" ht="18" x14ac:dyDescent="0.35">
      <c r="A7445" s="9"/>
      <c r="C7445" s="393"/>
      <c r="E7445" s="394"/>
      <c r="F7445" s="394"/>
      <c r="G7445" s="394"/>
      <c r="I7445" s="368">
        <f t="shared" si="354"/>
        <v>0</v>
      </c>
      <c r="J7445" s="365">
        <f t="shared" si="355"/>
        <v>0</v>
      </c>
      <c r="K7445" s="369">
        <f t="shared" si="356"/>
        <v>6</v>
      </c>
      <c r="L7445" s="369">
        <f>+IF((C7445&gt;='Resultats - informe'!$E$16)*(C7445&lt;='Resultats - informe'!$G$16),1,0)</f>
        <v>1</v>
      </c>
      <c r="M7445" s="369" cm="1">
        <f t="array" ref="M7445">+_xlfn.IFS((C7445&gt;='Resultats - informe'!$D$26)*(C7445&lt;='Resultats - informe'!$E$26),0,(C7445&gt;='Resultats - informe'!$D$27)*(C7445&lt;='Resultats - informe'!$E$27),0,(C7445&gt;='Resultats - informe'!$D$28)*(C7445&lt;='Resultats - informe'!$E$28),0,(C7445&gt;='Resultats - informe'!$D$29)*(C7445&lt;='Resultats - informe'!$E$29),0,1,1)</f>
        <v>0</v>
      </c>
      <c r="N7445" s="366">
        <f>+VLOOKUP(D7445,'Resultats - informe'!$Y$18:$AG$42,'Introducció dades consum'!K7445+1,0)</f>
        <v>0</v>
      </c>
      <c r="O7445" s="370" cm="1">
        <f t="array" ref="O7445">+_xlfn.SWITCH(MONTH(C7445),1,1,2,1,3,1,4,2,5,2,6,3,7,3,8,3,9,3,10,2,11,2,12,1,2)</f>
        <v>1</v>
      </c>
      <c r="P7445" s="43"/>
    </row>
    <row r="7446" spans="1:16" ht="18" x14ac:dyDescent="0.35">
      <c r="A7446" s="9"/>
      <c r="C7446" s="393"/>
      <c r="E7446" s="394"/>
      <c r="F7446" s="394"/>
      <c r="G7446" s="394"/>
      <c r="I7446" s="368">
        <f t="shared" si="354"/>
        <v>0</v>
      </c>
      <c r="J7446" s="365">
        <f t="shared" si="355"/>
        <v>0</v>
      </c>
      <c r="K7446" s="369">
        <f t="shared" si="356"/>
        <v>6</v>
      </c>
      <c r="L7446" s="369">
        <f>+IF((C7446&gt;='Resultats - informe'!$E$16)*(C7446&lt;='Resultats - informe'!$G$16),1,0)</f>
        <v>1</v>
      </c>
      <c r="M7446" s="369" cm="1">
        <f t="array" ref="M7446">+_xlfn.IFS((C7446&gt;='Resultats - informe'!$D$26)*(C7446&lt;='Resultats - informe'!$E$26),0,(C7446&gt;='Resultats - informe'!$D$27)*(C7446&lt;='Resultats - informe'!$E$27),0,(C7446&gt;='Resultats - informe'!$D$28)*(C7446&lt;='Resultats - informe'!$E$28),0,(C7446&gt;='Resultats - informe'!$D$29)*(C7446&lt;='Resultats - informe'!$E$29),0,1,1)</f>
        <v>0</v>
      </c>
      <c r="N7446" s="366">
        <f>+VLOOKUP(D7446,'Resultats - informe'!$Y$18:$AG$42,'Introducció dades consum'!K7446+1,0)</f>
        <v>0</v>
      </c>
      <c r="O7446" s="370" cm="1">
        <f t="array" ref="O7446">+_xlfn.SWITCH(MONTH(C7446),1,1,2,1,3,1,4,2,5,2,6,3,7,3,8,3,9,3,10,2,11,2,12,1,2)</f>
        <v>1</v>
      </c>
      <c r="P7446" s="43"/>
    </row>
    <row r="7447" spans="1:16" ht="18" x14ac:dyDescent="0.35">
      <c r="A7447" s="9"/>
      <c r="C7447" s="393"/>
      <c r="E7447" s="394"/>
      <c r="F7447" s="394"/>
      <c r="G7447" s="394"/>
      <c r="I7447" s="368">
        <f t="shared" si="354"/>
        <v>0</v>
      </c>
      <c r="J7447" s="365">
        <f t="shared" si="355"/>
        <v>0</v>
      </c>
      <c r="K7447" s="369">
        <f t="shared" si="356"/>
        <v>6</v>
      </c>
      <c r="L7447" s="369">
        <f>+IF((C7447&gt;='Resultats - informe'!$E$16)*(C7447&lt;='Resultats - informe'!$G$16),1,0)</f>
        <v>1</v>
      </c>
      <c r="M7447" s="369" cm="1">
        <f t="array" ref="M7447">+_xlfn.IFS((C7447&gt;='Resultats - informe'!$D$26)*(C7447&lt;='Resultats - informe'!$E$26),0,(C7447&gt;='Resultats - informe'!$D$27)*(C7447&lt;='Resultats - informe'!$E$27),0,(C7447&gt;='Resultats - informe'!$D$28)*(C7447&lt;='Resultats - informe'!$E$28),0,(C7447&gt;='Resultats - informe'!$D$29)*(C7447&lt;='Resultats - informe'!$E$29),0,1,1)</f>
        <v>0</v>
      </c>
      <c r="N7447" s="366">
        <f>+VLOOKUP(D7447,'Resultats - informe'!$Y$18:$AG$42,'Introducció dades consum'!K7447+1,0)</f>
        <v>0</v>
      </c>
      <c r="O7447" s="370" cm="1">
        <f t="array" ref="O7447">+_xlfn.SWITCH(MONTH(C7447),1,1,2,1,3,1,4,2,5,2,6,3,7,3,8,3,9,3,10,2,11,2,12,1,2)</f>
        <v>1</v>
      </c>
      <c r="P7447" s="43"/>
    </row>
    <row r="7448" spans="1:16" ht="18" x14ac:dyDescent="0.35">
      <c r="A7448" s="9"/>
      <c r="C7448" s="393"/>
      <c r="E7448" s="394"/>
      <c r="F7448" s="394"/>
      <c r="G7448" s="394"/>
      <c r="I7448" s="368">
        <f t="shared" si="354"/>
        <v>0</v>
      </c>
      <c r="J7448" s="365">
        <f t="shared" si="355"/>
        <v>0</v>
      </c>
      <c r="K7448" s="369">
        <f t="shared" si="356"/>
        <v>6</v>
      </c>
      <c r="L7448" s="369">
        <f>+IF((C7448&gt;='Resultats - informe'!$E$16)*(C7448&lt;='Resultats - informe'!$G$16),1,0)</f>
        <v>1</v>
      </c>
      <c r="M7448" s="369" cm="1">
        <f t="array" ref="M7448">+_xlfn.IFS((C7448&gt;='Resultats - informe'!$D$26)*(C7448&lt;='Resultats - informe'!$E$26),0,(C7448&gt;='Resultats - informe'!$D$27)*(C7448&lt;='Resultats - informe'!$E$27),0,(C7448&gt;='Resultats - informe'!$D$28)*(C7448&lt;='Resultats - informe'!$E$28),0,(C7448&gt;='Resultats - informe'!$D$29)*(C7448&lt;='Resultats - informe'!$E$29),0,1,1)</f>
        <v>0</v>
      </c>
      <c r="N7448" s="366">
        <f>+VLOOKUP(D7448,'Resultats - informe'!$Y$18:$AG$42,'Introducció dades consum'!K7448+1,0)</f>
        <v>0</v>
      </c>
      <c r="O7448" s="370" cm="1">
        <f t="array" ref="O7448">+_xlfn.SWITCH(MONTH(C7448),1,1,2,1,3,1,4,2,5,2,6,3,7,3,8,3,9,3,10,2,11,2,12,1,2)</f>
        <v>1</v>
      </c>
      <c r="P7448" s="43"/>
    </row>
    <row r="7449" spans="1:16" ht="18" x14ac:dyDescent="0.35">
      <c r="A7449" s="9"/>
      <c r="C7449" s="393"/>
      <c r="E7449" s="394"/>
      <c r="F7449" s="394"/>
      <c r="G7449" s="394"/>
      <c r="I7449" s="368">
        <f t="shared" si="354"/>
        <v>0</v>
      </c>
      <c r="J7449" s="365">
        <f t="shared" si="355"/>
        <v>0</v>
      </c>
      <c r="K7449" s="369">
        <f t="shared" si="356"/>
        <v>6</v>
      </c>
      <c r="L7449" s="369">
        <f>+IF((C7449&gt;='Resultats - informe'!$E$16)*(C7449&lt;='Resultats - informe'!$G$16),1,0)</f>
        <v>1</v>
      </c>
      <c r="M7449" s="369" cm="1">
        <f t="array" ref="M7449">+_xlfn.IFS((C7449&gt;='Resultats - informe'!$D$26)*(C7449&lt;='Resultats - informe'!$E$26),0,(C7449&gt;='Resultats - informe'!$D$27)*(C7449&lt;='Resultats - informe'!$E$27),0,(C7449&gt;='Resultats - informe'!$D$28)*(C7449&lt;='Resultats - informe'!$E$28),0,(C7449&gt;='Resultats - informe'!$D$29)*(C7449&lt;='Resultats - informe'!$E$29),0,1,1)</f>
        <v>0</v>
      </c>
      <c r="N7449" s="366">
        <f>+VLOOKUP(D7449,'Resultats - informe'!$Y$18:$AG$42,'Introducció dades consum'!K7449+1,0)</f>
        <v>0</v>
      </c>
      <c r="O7449" s="370" cm="1">
        <f t="array" ref="O7449">+_xlfn.SWITCH(MONTH(C7449),1,1,2,1,3,1,4,2,5,2,6,3,7,3,8,3,9,3,10,2,11,2,12,1,2)</f>
        <v>1</v>
      </c>
      <c r="P7449" s="43"/>
    </row>
    <row r="7450" spans="1:16" ht="18" x14ac:dyDescent="0.35">
      <c r="A7450" s="9"/>
      <c r="C7450" s="393"/>
      <c r="E7450" s="394"/>
      <c r="F7450" s="394"/>
      <c r="G7450" s="394"/>
      <c r="I7450" s="368">
        <f t="shared" si="354"/>
        <v>0</v>
      </c>
      <c r="J7450" s="365">
        <f t="shared" si="355"/>
        <v>0</v>
      </c>
      <c r="K7450" s="369">
        <f t="shared" si="356"/>
        <v>6</v>
      </c>
      <c r="L7450" s="369">
        <f>+IF((C7450&gt;='Resultats - informe'!$E$16)*(C7450&lt;='Resultats - informe'!$G$16),1,0)</f>
        <v>1</v>
      </c>
      <c r="M7450" s="369" cm="1">
        <f t="array" ref="M7450">+_xlfn.IFS((C7450&gt;='Resultats - informe'!$D$26)*(C7450&lt;='Resultats - informe'!$E$26),0,(C7450&gt;='Resultats - informe'!$D$27)*(C7450&lt;='Resultats - informe'!$E$27),0,(C7450&gt;='Resultats - informe'!$D$28)*(C7450&lt;='Resultats - informe'!$E$28),0,(C7450&gt;='Resultats - informe'!$D$29)*(C7450&lt;='Resultats - informe'!$E$29),0,1,1)</f>
        <v>0</v>
      </c>
      <c r="N7450" s="366">
        <f>+VLOOKUP(D7450,'Resultats - informe'!$Y$18:$AG$42,'Introducció dades consum'!K7450+1,0)</f>
        <v>0</v>
      </c>
      <c r="O7450" s="370" cm="1">
        <f t="array" ref="O7450">+_xlfn.SWITCH(MONTH(C7450),1,1,2,1,3,1,4,2,5,2,6,3,7,3,8,3,9,3,10,2,11,2,12,1,2)</f>
        <v>1</v>
      </c>
      <c r="P7450" s="43"/>
    </row>
    <row r="7451" spans="1:16" ht="18" x14ac:dyDescent="0.35">
      <c r="A7451" s="9"/>
      <c r="C7451" s="393"/>
      <c r="E7451" s="394"/>
      <c r="F7451" s="394"/>
      <c r="G7451" s="394"/>
      <c r="I7451" s="368">
        <f t="shared" si="354"/>
        <v>0</v>
      </c>
      <c r="J7451" s="365">
        <f t="shared" si="355"/>
        <v>0</v>
      </c>
      <c r="K7451" s="369">
        <f t="shared" si="356"/>
        <v>6</v>
      </c>
      <c r="L7451" s="369">
        <f>+IF((C7451&gt;='Resultats - informe'!$E$16)*(C7451&lt;='Resultats - informe'!$G$16),1,0)</f>
        <v>1</v>
      </c>
      <c r="M7451" s="369" cm="1">
        <f t="array" ref="M7451">+_xlfn.IFS((C7451&gt;='Resultats - informe'!$D$26)*(C7451&lt;='Resultats - informe'!$E$26),0,(C7451&gt;='Resultats - informe'!$D$27)*(C7451&lt;='Resultats - informe'!$E$27),0,(C7451&gt;='Resultats - informe'!$D$28)*(C7451&lt;='Resultats - informe'!$E$28),0,(C7451&gt;='Resultats - informe'!$D$29)*(C7451&lt;='Resultats - informe'!$E$29),0,1,1)</f>
        <v>0</v>
      </c>
      <c r="N7451" s="366">
        <f>+VLOOKUP(D7451,'Resultats - informe'!$Y$18:$AG$42,'Introducció dades consum'!K7451+1,0)</f>
        <v>0</v>
      </c>
      <c r="O7451" s="370" cm="1">
        <f t="array" ref="O7451">+_xlfn.SWITCH(MONTH(C7451),1,1,2,1,3,1,4,2,5,2,6,3,7,3,8,3,9,3,10,2,11,2,12,1,2)</f>
        <v>1</v>
      </c>
      <c r="P7451" s="43"/>
    </row>
    <row r="7452" spans="1:16" ht="18" x14ac:dyDescent="0.35">
      <c r="A7452" s="9"/>
      <c r="C7452" s="393"/>
      <c r="E7452" s="394"/>
      <c r="F7452" s="394"/>
      <c r="G7452" s="394"/>
      <c r="I7452" s="368">
        <f t="shared" si="354"/>
        <v>0</v>
      </c>
      <c r="J7452" s="365">
        <f t="shared" si="355"/>
        <v>0</v>
      </c>
      <c r="K7452" s="369">
        <f t="shared" si="356"/>
        <v>6</v>
      </c>
      <c r="L7452" s="369">
        <f>+IF((C7452&gt;='Resultats - informe'!$E$16)*(C7452&lt;='Resultats - informe'!$G$16),1,0)</f>
        <v>1</v>
      </c>
      <c r="M7452" s="369" cm="1">
        <f t="array" ref="M7452">+_xlfn.IFS((C7452&gt;='Resultats - informe'!$D$26)*(C7452&lt;='Resultats - informe'!$E$26),0,(C7452&gt;='Resultats - informe'!$D$27)*(C7452&lt;='Resultats - informe'!$E$27),0,(C7452&gt;='Resultats - informe'!$D$28)*(C7452&lt;='Resultats - informe'!$E$28),0,(C7452&gt;='Resultats - informe'!$D$29)*(C7452&lt;='Resultats - informe'!$E$29),0,1,1)</f>
        <v>0</v>
      </c>
      <c r="N7452" s="366">
        <f>+VLOOKUP(D7452,'Resultats - informe'!$Y$18:$AG$42,'Introducció dades consum'!K7452+1,0)</f>
        <v>0</v>
      </c>
      <c r="O7452" s="370" cm="1">
        <f t="array" ref="O7452">+_xlfn.SWITCH(MONTH(C7452),1,1,2,1,3,1,4,2,5,2,6,3,7,3,8,3,9,3,10,2,11,2,12,1,2)</f>
        <v>1</v>
      </c>
      <c r="P7452" s="43"/>
    </row>
    <row r="7453" spans="1:16" ht="18" x14ac:dyDescent="0.35">
      <c r="A7453" s="9"/>
      <c r="C7453" s="393"/>
      <c r="E7453" s="394"/>
      <c r="F7453" s="394"/>
      <c r="G7453" s="394"/>
      <c r="I7453" s="368">
        <f t="shared" si="354"/>
        <v>0</v>
      </c>
      <c r="J7453" s="365">
        <f t="shared" si="355"/>
        <v>0</v>
      </c>
      <c r="K7453" s="369">
        <f t="shared" si="356"/>
        <v>6</v>
      </c>
      <c r="L7453" s="369">
        <f>+IF((C7453&gt;='Resultats - informe'!$E$16)*(C7453&lt;='Resultats - informe'!$G$16),1,0)</f>
        <v>1</v>
      </c>
      <c r="M7453" s="369" cm="1">
        <f t="array" ref="M7453">+_xlfn.IFS((C7453&gt;='Resultats - informe'!$D$26)*(C7453&lt;='Resultats - informe'!$E$26),0,(C7453&gt;='Resultats - informe'!$D$27)*(C7453&lt;='Resultats - informe'!$E$27),0,(C7453&gt;='Resultats - informe'!$D$28)*(C7453&lt;='Resultats - informe'!$E$28),0,(C7453&gt;='Resultats - informe'!$D$29)*(C7453&lt;='Resultats - informe'!$E$29),0,1,1)</f>
        <v>0</v>
      </c>
      <c r="N7453" s="366">
        <f>+VLOOKUP(D7453,'Resultats - informe'!$Y$18:$AG$42,'Introducció dades consum'!K7453+1,0)</f>
        <v>0</v>
      </c>
      <c r="O7453" s="370" cm="1">
        <f t="array" ref="O7453">+_xlfn.SWITCH(MONTH(C7453),1,1,2,1,3,1,4,2,5,2,6,3,7,3,8,3,9,3,10,2,11,2,12,1,2)</f>
        <v>1</v>
      </c>
      <c r="P7453" s="43"/>
    </row>
    <row r="7454" spans="1:16" ht="18" x14ac:dyDescent="0.35">
      <c r="A7454" s="9"/>
      <c r="C7454" s="393"/>
      <c r="E7454" s="394"/>
      <c r="F7454" s="394"/>
      <c r="G7454" s="394"/>
      <c r="I7454" s="368">
        <f t="shared" si="354"/>
        <v>0</v>
      </c>
      <c r="J7454" s="365">
        <f t="shared" si="355"/>
        <v>0</v>
      </c>
      <c r="K7454" s="369">
        <f t="shared" si="356"/>
        <v>6</v>
      </c>
      <c r="L7454" s="369">
        <f>+IF((C7454&gt;='Resultats - informe'!$E$16)*(C7454&lt;='Resultats - informe'!$G$16),1,0)</f>
        <v>1</v>
      </c>
      <c r="M7454" s="369" cm="1">
        <f t="array" ref="M7454">+_xlfn.IFS((C7454&gt;='Resultats - informe'!$D$26)*(C7454&lt;='Resultats - informe'!$E$26),0,(C7454&gt;='Resultats - informe'!$D$27)*(C7454&lt;='Resultats - informe'!$E$27),0,(C7454&gt;='Resultats - informe'!$D$28)*(C7454&lt;='Resultats - informe'!$E$28),0,(C7454&gt;='Resultats - informe'!$D$29)*(C7454&lt;='Resultats - informe'!$E$29),0,1,1)</f>
        <v>0</v>
      </c>
      <c r="N7454" s="366">
        <f>+VLOOKUP(D7454,'Resultats - informe'!$Y$18:$AG$42,'Introducció dades consum'!K7454+1,0)</f>
        <v>0</v>
      </c>
      <c r="O7454" s="370" cm="1">
        <f t="array" ref="O7454">+_xlfn.SWITCH(MONTH(C7454),1,1,2,1,3,1,4,2,5,2,6,3,7,3,8,3,9,3,10,2,11,2,12,1,2)</f>
        <v>1</v>
      </c>
      <c r="P7454" s="43"/>
    </row>
    <row r="7455" spans="1:16" ht="18" x14ac:dyDescent="0.35">
      <c r="A7455" s="9"/>
      <c r="C7455" s="393"/>
      <c r="E7455" s="394"/>
      <c r="F7455" s="394"/>
      <c r="G7455" s="394"/>
      <c r="I7455" s="368">
        <f t="shared" si="354"/>
        <v>0</v>
      </c>
      <c r="J7455" s="365">
        <f t="shared" si="355"/>
        <v>0</v>
      </c>
      <c r="K7455" s="369">
        <f t="shared" si="356"/>
        <v>6</v>
      </c>
      <c r="L7455" s="369">
        <f>+IF((C7455&gt;='Resultats - informe'!$E$16)*(C7455&lt;='Resultats - informe'!$G$16),1,0)</f>
        <v>1</v>
      </c>
      <c r="M7455" s="369" cm="1">
        <f t="array" ref="M7455">+_xlfn.IFS((C7455&gt;='Resultats - informe'!$D$26)*(C7455&lt;='Resultats - informe'!$E$26),0,(C7455&gt;='Resultats - informe'!$D$27)*(C7455&lt;='Resultats - informe'!$E$27),0,(C7455&gt;='Resultats - informe'!$D$28)*(C7455&lt;='Resultats - informe'!$E$28),0,(C7455&gt;='Resultats - informe'!$D$29)*(C7455&lt;='Resultats - informe'!$E$29),0,1,1)</f>
        <v>0</v>
      </c>
      <c r="N7455" s="366">
        <f>+VLOOKUP(D7455,'Resultats - informe'!$Y$18:$AG$42,'Introducció dades consum'!K7455+1,0)</f>
        <v>0</v>
      </c>
      <c r="O7455" s="370" cm="1">
        <f t="array" ref="O7455">+_xlfn.SWITCH(MONTH(C7455),1,1,2,1,3,1,4,2,5,2,6,3,7,3,8,3,9,3,10,2,11,2,12,1,2)</f>
        <v>1</v>
      </c>
      <c r="P7455" s="43"/>
    </row>
    <row r="7456" spans="1:16" ht="18" x14ac:dyDescent="0.35">
      <c r="A7456" s="9"/>
      <c r="C7456" s="393"/>
      <c r="E7456" s="394"/>
      <c r="F7456" s="394"/>
      <c r="G7456" s="394"/>
      <c r="I7456" s="368">
        <f t="shared" si="354"/>
        <v>0</v>
      </c>
      <c r="J7456" s="365">
        <f t="shared" si="355"/>
        <v>0</v>
      </c>
      <c r="K7456" s="369">
        <f t="shared" si="356"/>
        <v>6</v>
      </c>
      <c r="L7456" s="369">
        <f>+IF((C7456&gt;='Resultats - informe'!$E$16)*(C7456&lt;='Resultats - informe'!$G$16),1,0)</f>
        <v>1</v>
      </c>
      <c r="M7456" s="369" cm="1">
        <f t="array" ref="M7456">+_xlfn.IFS((C7456&gt;='Resultats - informe'!$D$26)*(C7456&lt;='Resultats - informe'!$E$26),0,(C7456&gt;='Resultats - informe'!$D$27)*(C7456&lt;='Resultats - informe'!$E$27),0,(C7456&gt;='Resultats - informe'!$D$28)*(C7456&lt;='Resultats - informe'!$E$28),0,(C7456&gt;='Resultats - informe'!$D$29)*(C7456&lt;='Resultats - informe'!$E$29),0,1,1)</f>
        <v>0</v>
      </c>
      <c r="N7456" s="366">
        <f>+VLOOKUP(D7456,'Resultats - informe'!$Y$18:$AG$42,'Introducció dades consum'!K7456+1,0)</f>
        <v>0</v>
      </c>
      <c r="O7456" s="370" cm="1">
        <f t="array" ref="O7456">+_xlfn.SWITCH(MONTH(C7456),1,1,2,1,3,1,4,2,5,2,6,3,7,3,8,3,9,3,10,2,11,2,12,1,2)</f>
        <v>1</v>
      </c>
      <c r="P7456" s="43"/>
    </row>
    <row r="7457" spans="1:16" ht="18" x14ac:dyDescent="0.35">
      <c r="A7457" s="9"/>
      <c r="C7457" s="393"/>
      <c r="E7457" s="394"/>
      <c r="F7457" s="394"/>
      <c r="G7457" s="394"/>
      <c r="I7457" s="368">
        <f t="shared" si="354"/>
        <v>0</v>
      </c>
      <c r="J7457" s="365">
        <f t="shared" si="355"/>
        <v>0</v>
      </c>
      <c r="K7457" s="369">
        <f t="shared" si="356"/>
        <v>6</v>
      </c>
      <c r="L7457" s="369">
        <f>+IF((C7457&gt;='Resultats - informe'!$E$16)*(C7457&lt;='Resultats - informe'!$G$16),1,0)</f>
        <v>1</v>
      </c>
      <c r="M7457" s="369" cm="1">
        <f t="array" ref="M7457">+_xlfn.IFS((C7457&gt;='Resultats - informe'!$D$26)*(C7457&lt;='Resultats - informe'!$E$26),0,(C7457&gt;='Resultats - informe'!$D$27)*(C7457&lt;='Resultats - informe'!$E$27),0,(C7457&gt;='Resultats - informe'!$D$28)*(C7457&lt;='Resultats - informe'!$E$28),0,(C7457&gt;='Resultats - informe'!$D$29)*(C7457&lt;='Resultats - informe'!$E$29),0,1,1)</f>
        <v>0</v>
      </c>
      <c r="N7457" s="366">
        <f>+VLOOKUP(D7457,'Resultats - informe'!$Y$18:$AG$42,'Introducció dades consum'!K7457+1,0)</f>
        <v>0</v>
      </c>
      <c r="O7457" s="370" cm="1">
        <f t="array" ref="O7457">+_xlfn.SWITCH(MONTH(C7457),1,1,2,1,3,1,4,2,5,2,6,3,7,3,8,3,9,3,10,2,11,2,12,1,2)</f>
        <v>1</v>
      </c>
      <c r="P7457" s="43"/>
    </row>
    <row r="7458" spans="1:16" ht="18" x14ac:dyDescent="0.35">
      <c r="A7458" s="9"/>
      <c r="C7458" s="393"/>
      <c r="E7458" s="394"/>
      <c r="F7458" s="394"/>
      <c r="G7458" s="394"/>
      <c r="I7458" s="368">
        <f t="shared" si="354"/>
        <v>0</v>
      </c>
      <c r="J7458" s="365">
        <f t="shared" si="355"/>
        <v>0</v>
      </c>
      <c r="K7458" s="369">
        <f t="shared" si="356"/>
        <v>6</v>
      </c>
      <c r="L7458" s="369">
        <f>+IF((C7458&gt;='Resultats - informe'!$E$16)*(C7458&lt;='Resultats - informe'!$G$16),1,0)</f>
        <v>1</v>
      </c>
      <c r="M7458" s="369" cm="1">
        <f t="array" ref="M7458">+_xlfn.IFS((C7458&gt;='Resultats - informe'!$D$26)*(C7458&lt;='Resultats - informe'!$E$26),0,(C7458&gt;='Resultats - informe'!$D$27)*(C7458&lt;='Resultats - informe'!$E$27),0,(C7458&gt;='Resultats - informe'!$D$28)*(C7458&lt;='Resultats - informe'!$E$28),0,(C7458&gt;='Resultats - informe'!$D$29)*(C7458&lt;='Resultats - informe'!$E$29),0,1,1)</f>
        <v>0</v>
      </c>
      <c r="N7458" s="366">
        <f>+VLOOKUP(D7458,'Resultats - informe'!$Y$18:$AG$42,'Introducció dades consum'!K7458+1,0)</f>
        <v>0</v>
      </c>
      <c r="O7458" s="370" cm="1">
        <f t="array" ref="O7458">+_xlfn.SWITCH(MONTH(C7458),1,1,2,1,3,1,4,2,5,2,6,3,7,3,8,3,9,3,10,2,11,2,12,1,2)</f>
        <v>1</v>
      </c>
      <c r="P7458" s="43"/>
    </row>
    <row r="7459" spans="1:16" ht="18" x14ac:dyDescent="0.35">
      <c r="A7459" s="9"/>
      <c r="C7459" s="393"/>
      <c r="E7459" s="394"/>
      <c r="F7459" s="394"/>
      <c r="G7459" s="394"/>
      <c r="I7459" s="368">
        <f t="shared" si="354"/>
        <v>0</v>
      </c>
      <c r="J7459" s="365">
        <f t="shared" si="355"/>
        <v>0</v>
      </c>
      <c r="K7459" s="369">
        <f t="shared" si="356"/>
        <v>6</v>
      </c>
      <c r="L7459" s="369">
        <f>+IF((C7459&gt;='Resultats - informe'!$E$16)*(C7459&lt;='Resultats - informe'!$G$16),1,0)</f>
        <v>1</v>
      </c>
      <c r="M7459" s="369" cm="1">
        <f t="array" ref="M7459">+_xlfn.IFS((C7459&gt;='Resultats - informe'!$D$26)*(C7459&lt;='Resultats - informe'!$E$26),0,(C7459&gt;='Resultats - informe'!$D$27)*(C7459&lt;='Resultats - informe'!$E$27),0,(C7459&gt;='Resultats - informe'!$D$28)*(C7459&lt;='Resultats - informe'!$E$28),0,(C7459&gt;='Resultats - informe'!$D$29)*(C7459&lt;='Resultats - informe'!$E$29),0,1,1)</f>
        <v>0</v>
      </c>
      <c r="N7459" s="366">
        <f>+VLOOKUP(D7459,'Resultats - informe'!$Y$18:$AG$42,'Introducció dades consum'!K7459+1,0)</f>
        <v>0</v>
      </c>
      <c r="O7459" s="370" cm="1">
        <f t="array" ref="O7459">+_xlfn.SWITCH(MONTH(C7459),1,1,2,1,3,1,4,2,5,2,6,3,7,3,8,3,9,3,10,2,11,2,12,1,2)</f>
        <v>1</v>
      </c>
      <c r="P7459" s="43"/>
    </row>
    <row r="7460" spans="1:16" ht="18" x14ac:dyDescent="0.35">
      <c r="A7460" s="9"/>
      <c r="C7460" s="393"/>
      <c r="E7460" s="394"/>
      <c r="F7460" s="394"/>
      <c r="G7460" s="394"/>
      <c r="I7460" s="368">
        <f t="shared" si="354"/>
        <v>0</v>
      </c>
      <c r="J7460" s="365">
        <f t="shared" si="355"/>
        <v>0</v>
      </c>
      <c r="K7460" s="369">
        <f t="shared" si="356"/>
        <v>6</v>
      </c>
      <c r="L7460" s="369">
        <f>+IF((C7460&gt;='Resultats - informe'!$E$16)*(C7460&lt;='Resultats - informe'!$G$16),1,0)</f>
        <v>1</v>
      </c>
      <c r="M7460" s="369" cm="1">
        <f t="array" ref="M7460">+_xlfn.IFS((C7460&gt;='Resultats - informe'!$D$26)*(C7460&lt;='Resultats - informe'!$E$26),0,(C7460&gt;='Resultats - informe'!$D$27)*(C7460&lt;='Resultats - informe'!$E$27),0,(C7460&gt;='Resultats - informe'!$D$28)*(C7460&lt;='Resultats - informe'!$E$28),0,(C7460&gt;='Resultats - informe'!$D$29)*(C7460&lt;='Resultats - informe'!$E$29),0,1,1)</f>
        <v>0</v>
      </c>
      <c r="N7460" s="366">
        <f>+VLOOKUP(D7460,'Resultats - informe'!$Y$18:$AG$42,'Introducció dades consum'!K7460+1,0)</f>
        <v>0</v>
      </c>
      <c r="O7460" s="370" cm="1">
        <f t="array" ref="O7460">+_xlfn.SWITCH(MONTH(C7460),1,1,2,1,3,1,4,2,5,2,6,3,7,3,8,3,9,3,10,2,11,2,12,1,2)</f>
        <v>1</v>
      </c>
      <c r="P7460" s="43"/>
    </row>
    <row r="7461" spans="1:16" ht="18" x14ac:dyDescent="0.35">
      <c r="A7461" s="9"/>
      <c r="C7461" s="393"/>
      <c r="E7461" s="394"/>
      <c r="F7461" s="394"/>
      <c r="G7461" s="394"/>
      <c r="I7461" s="368">
        <f t="shared" si="354"/>
        <v>0</v>
      </c>
      <c r="J7461" s="365">
        <f t="shared" si="355"/>
        <v>0</v>
      </c>
      <c r="K7461" s="369">
        <f t="shared" si="356"/>
        <v>6</v>
      </c>
      <c r="L7461" s="369">
        <f>+IF((C7461&gt;='Resultats - informe'!$E$16)*(C7461&lt;='Resultats - informe'!$G$16),1,0)</f>
        <v>1</v>
      </c>
      <c r="M7461" s="369" cm="1">
        <f t="array" ref="M7461">+_xlfn.IFS((C7461&gt;='Resultats - informe'!$D$26)*(C7461&lt;='Resultats - informe'!$E$26),0,(C7461&gt;='Resultats - informe'!$D$27)*(C7461&lt;='Resultats - informe'!$E$27),0,(C7461&gt;='Resultats - informe'!$D$28)*(C7461&lt;='Resultats - informe'!$E$28),0,(C7461&gt;='Resultats - informe'!$D$29)*(C7461&lt;='Resultats - informe'!$E$29),0,1,1)</f>
        <v>0</v>
      </c>
      <c r="N7461" s="366">
        <f>+VLOOKUP(D7461,'Resultats - informe'!$Y$18:$AG$42,'Introducció dades consum'!K7461+1,0)</f>
        <v>0</v>
      </c>
      <c r="O7461" s="370" cm="1">
        <f t="array" ref="O7461">+_xlfn.SWITCH(MONTH(C7461),1,1,2,1,3,1,4,2,5,2,6,3,7,3,8,3,9,3,10,2,11,2,12,1,2)</f>
        <v>1</v>
      </c>
      <c r="P7461" s="43"/>
    </row>
    <row r="7462" spans="1:16" ht="18" x14ac:dyDescent="0.35">
      <c r="A7462" s="9"/>
      <c r="C7462" s="393"/>
      <c r="E7462" s="394"/>
      <c r="F7462" s="394"/>
      <c r="G7462" s="394"/>
      <c r="I7462" s="368">
        <f t="shared" si="354"/>
        <v>0</v>
      </c>
      <c r="J7462" s="365">
        <f t="shared" si="355"/>
        <v>0</v>
      </c>
      <c r="K7462" s="369">
        <f t="shared" si="356"/>
        <v>6</v>
      </c>
      <c r="L7462" s="369">
        <f>+IF((C7462&gt;='Resultats - informe'!$E$16)*(C7462&lt;='Resultats - informe'!$G$16),1,0)</f>
        <v>1</v>
      </c>
      <c r="M7462" s="369" cm="1">
        <f t="array" ref="M7462">+_xlfn.IFS((C7462&gt;='Resultats - informe'!$D$26)*(C7462&lt;='Resultats - informe'!$E$26),0,(C7462&gt;='Resultats - informe'!$D$27)*(C7462&lt;='Resultats - informe'!$E$27),0,(C7462&gt;='Resultats - informe'!$D$28)*(C7462&lt;='Resultats - informe'!$E$28),0,(C7462&gt;='Resultats - informe'!$D$29)*(C7462&lt;='Resultats - informe'!$E$29),0,1,1)</f>
        <v>0</v>
      </c>
      <c r="N7462" s="366">
        <f>+VLOOKUP(D7462,'Resultats - informe'!$Y$18:$AG$42,'Introducció dades consum'!K7462+1,0)</f>
        <v>0</v>
      </c>
      <c r="O7462" s="370" cm="1">
        <f t="array" ref="O7462">+_xlfn.SWITCH(MONTH(C7462),1,1,2,1,3,1,4,2,5,2,6,3,7,3,8,3,9,3,10,2,11,2,12,1,2)</f>
        <v>1</v>
      </c>
      <c r="P7462" s="43"/>
    </row>
    <row r="7463" spans="1:16" ht="18" x14ac:dyDescent="0.35">
      <c r="A7463" s="9"/>
      <c r="C7463" s="393"/>
      <c r="E7463" s="394"/>
      <c r="F7463" s="394"/>
      <c r="G7463" s="394"/>
      <c r="I7463" s="368">
        <f t="shared" si="354"/>
        <v>0</v>
      </c>
      <c r="J7463" s="365">
        <f t="shared" si="355"/>
        <v>0</v>
      </c>
      <c r="K7463" s="369">
        <f t="shared" si="356"/>
        <v>6</v>
      </c>
      <c r="L7463" s="369">
        <f>+IF((C7463&gt;='Resultats - informe'!$E$16)*(C7463&lt;='Resultats - informe'!$G$16),1,0)</f>
        <v>1</v>
      </c>
      <c r="M7463" s="369" cm="1">
        <f t="array" ref="M7463">+_xlfn.IFS((C7463&gt;='Resultats - informe'!$D$26)*(C7463&lt;='Resultats - informe'!$E$26),0,(C7463&gt;='Resultats - informe'!$D$27)*(C7463&lt;='Resultats - informe'!$E$27),0,(C7463&gt;='Resultats - informe'!$D$28)*(C7463&lt;='Resultats - informe'!$E$28),0,(C7463&gt;='Resultats - informe'!$D$29)*(C7463&lt;='Resultats - informe'!$E$29),0,1,1)</f>
        <v>0</v>
      </c>
      <c r="N7463" s="366">
        <f>+VLOOKUP(D7463,'Resultats - informe'!$Y$18:$AG$42,'Introducció dades consum'!K7463+1,0)</f>
        <v>0</v>
      </c>
      <c r="O7463" s="370" cm="1">
        <f t="array" ref="O7463">+_xlfn.SWITCH(MONTH(C7463),1,1,2,1,3,1,4,2,5,2,6,3,7,3,8,3,9,3,10,2,11,2,12,1,2)</f>
        <v>1</v>
      </c>
      <c r="P7463" s="43"/>
    </row>
    <row r="7464" spans="1:16" ht="18" x14ac:dyDescent="0.35">
      <c r="A7464" s="9"/>
      <c r="C7464" s="393"/>
      <c r="E7464" s="394"/>
      <c r="F7464" s="394"/>
      <c r="G7464" s="394"/>
      <c r="I7464" s="368">
        <f t="shared" si="354"/>
        <v>0</v>
      </c>
      <c r="J7464" s="365">
        <f t="shared" si="355"/>
        <v>0</v>
      </c>
      <c r="K7464" s="369">
        <f t="shared" si="356"/>
        <v>6</v>
      </c>
      <c r="L7464" s="369">
        <f>+IF((C7464&gt;='Resultats - informe'!$E$16)*(C7464&lt;='Resultats - informe'!$G$16),1,0)</f>
        <v>1</v>
      </c>
      <c r="M7464" s="369" cm="1">
        <f t="array" ref="M7464">+_xlfn.IFS((C7464&gt;='Resultats - informe'!$D$26)*(C7464&lt;='Resultats - informe'!$E$26),0,(C7464&gt;='Resultats - informe'!$D$27)*(C7464&lt;='Resultats - informe'!$E$27),0,(C7464&gt;='Resultats - informe'!$D$28)*(C7464&lt;='Resultats - informe'!$E$28),0,(C7464&gt;='Resultats - informe'!$D$29)*(C7464&lt;='Resultats - informe'!$E$29),0,1,1)</f>
        <v>0</v>
      </c>
      <c r="N7464" s="366">
        <f>+VLOOKUP(D7464,'Resultats - informe'!$Y$18:$AG$42,'Introducció dades consum'!K7464+1,0)</f>
        <v>0</v>
      </c>
      <c r="O7464" s="370" cm="1">
        <f t="array" ref="O7464">+_xlfn.SWITCH(MONTH(C7464),1,1,2,1,3,1,4,2,5,2,6,3,7,3,8,3,9,3,10,2,11,2,12,1,2)</f>
        <v>1</v>
      </c>
      <c r="P7464" s="43"/>
    </row>
    <row r="7465" spans="1:16" ht="18" x14ac:dyDescent="0.35">
      <c r="A7465" s="9"/>
      <c r="C7465" s="393"/>
      <c r="E7465" s="394"/>
      <c r="F7465" s="394"/>
      <c r="G7465" s="394"/>
      <c r="I7465" s="368">
        <f t="shared" si="354"/>
        <v>0</v>
      </c>
      <c r="J7465" s="365">
        <f t="shared" si="355"/>
        <v>0</v>
      </c>
      <c r="K7465" s="369">
        <f t="shared" si="356"/>
        <v>6</v>
      </c>
      <c r="L7465" s="369">
        <f>+IF((C7465&gt;='Resultats - informe'!$E$16)*(C7465&lt;='Resultats - informe'!$G$16),1,0)</f>
        <v>1</v>
      </c>
      <c r="M7465" s="369" cm="1">
        <f t="array" ref="M7465">+_xlfn.IFS((C7465&gt;='Resultats - informe'!$D$26)*(C7465&lt;='Resultats - informe'!$E$26),0,(C7465&gt;='Resultats - informe'!$D$27)*(C7465&lt;='Resultats - informe'!$E$27),0,(C7465&gt;='Resultats - informe'!$D$28)*(C7465&lt;='Resultats - informe'!$E$28),0,(C7465&gt;='Resultats - informe'!$D$29)*(C7465&lt;='Resultats - informe'!$E$29),0,1,1)</f>
        <v>0</v>
      </c>
      <c r="N7465" s="366">
        <f>+VLOOKUP(D7465,'Resultats - informe'!$Y$18:$AG$42,'Introducció dades consum'!K7465+1,0)</f>
        <v>0</v>
      </c>
      <c r="O7465" s="370" cm="1">
        <f t="array" ref="O7465">+_xlfn.SWITCH(MONTH(C7465),1,1,2,1,3,1,4,2,5,2,6,3,7,3,8,3,9,3,10,2,11,2,12,1,2)</f>
        <v>1</v>
      </c>
      <c r="P7465" s="43"/>
    </row>
    <row r="7466" spans="1:16" ht="18" x14ac:dyDescent="0.35">
      <c r="A7466" s="9"/>
      <c r="C7466" s="393"/>
      <c r="E7466" s="394"/>
      <c r="F7466" s="394"/>
      <c r="G7466" s="394"/>
      <c r="I7466" s="368">
        <f t="shared" si="354"/>
        <v>0</v>
      </c>
      <c r="J7466" s="365">
        <f t="shared" si="355"/>
        <v>0</v>
      </c>
      <c r="K7466" s="369">
        <f t="shared" si="356"/>
        <v>6</v>
      </c>
      <c r="L7466" s="369">
        <f>+IF((C7466&gt;='Resultats - informe'!$E$16)*(C7466&lt;='Resultats - informe'!$G$16),1,0)</f>
        <v>1</v>
      </c>
      <c r="M7466" s="369" cm="1">
        <f t="array" ref="M7466">+_xlfn.IFS((C7466&gt;='Resultats - informe'!$D$26)*(C7466&lt;='Resultats - informe'!$E$26),0,(C7466&gt;='Resultats - informe'!$D$27)*(C7466&lt;='Resultats - informe'!$E$27),0,(C7466&gt;='Resultats - informe'!$D$28)*(C7466&lt;='Resultats - informe'!$E$28),0,(C7466&gt;='Resultats - informe'!$D$29)*(C7466&lt;='Resultats - informe'!$E$29),0,1,1)</f>
        <v>0</v>
      </c>
      <c r="N7466" s="366">
        <f>+VLOOKUP(D7466,'Resultats - informe'!$Y$18:$AG$42,'Introducció dades consum'!K7466+1,0)</f>
        <v>0</v>
      </c>
      <c r="O7466" s="370" cm="1">
        <f t="array" ref="O7466">+_xlfn.SWITCH(MONTH(C7466),1,1,2,1,3,1,4,2,5,2,6,3,7,3,8,3,9,3,10,2,11,2,12,1,2)</f>
        <v>1</v>
      </c>
      <c r="P7466" s="43"/>
    </row>
    <row r="7467" spans="1:16" ht="18" x14ac:dyDescent="0.35">
      <c r="A7467" s="9"/>
      <c r="C7467" s="393"/>
      <c r="E7467" s="394"/>
      <c r="F7467" s="394"/>
      <c r="G7467" s="394"/>
      <c r="I7467" s="368">
        <f t="shared" si="354"/>
        <v>0</v>
      </c>
      <c r="J7467" s="365">
        <f t="shared" si="355"/>
        <v>0</v>
      </c>
      <c r="K7467" s="369">
        <f t="shared" si="356"/>
        <v>6</v>
      </c>
      <c r="L7467" s="369">
        <f>+IF((C7467&gt;='Resultats - informe'!$E$16)*(C7467&lt;='Resultats - informe'!$G$16),1,0)</f>
        <v>1</v>
      </c>
      <c r="M7467" s="369" cm="1">
        <f t="array" ref="M7467">+_xlfn.IFS((C7467&gt;='Resultats - informe'!$D$26)*(C7467&lt;='Resultats - informe'!$E$26),0,(C7467&gt;='Resultats - informe'!$D$27)*(C7467&lt;='Resultats - informe'!$E$27),0,(C7467&gt;='Resultats - informe'!$D$28)*(C7467&lt;='Resultats - informe'!$E$28),0,(C7467&gt;='Resultats - informe'!$D$29)*(C7467&lt;='Resultats - informe'!$E$29),0,1,1)</f>
        <v>0</v>
      </c>
      <c r="N7467" s="366">
        <f>+VLOOKUP(D7467,'Resultats - informe'!$Y$18:$AG$42,'Introducció dades consum'!K7467+1,0)</f>
        <v>0</v>
      </c>
      <c r="O7467" s="370" cm="1">
        <f t="array" ref="O7467">+_xlfn.SWITCH(MONTH(C7467),1,1,2,1,3,1,4,2,5,2,6,3,7,3,8,3,9,3,10,2,11,2,12,1,2)</f>
        <v>1</v>
      </c>
      <c r="P7467" s="43"/>
    </row>
    <row r="7468" spans="1:16" ht="18" x14ac:dyDescent="0.35">
      <c r="A7468" s="9"/>
      <c r="C7468" s="393"/>
      <c r="E7468" s="394"/>
      <c r="F7468" s="394"/>
      <c r="G7468" s="394"/>
      <c r="I7468" s="368">
        <f t="shared" si="354"/>
        <v>0</v>
      </c>
      <c r="J7468" s="365">
        <f t="shared" si="355"/>
        <v>0</v>
      </c>
      <c r="K7468" s="369">
        <f t="shared" si="356"/>
        <v>6</v>
      </c>
      <c r="L7468" s="369">
        <f>+IF((C7468&gt;='Resultats - informe'!$E$16)*(C7468&lt;='Resultats - informe'!$G$16),1,0)</f>
        <v>1</v>
      </c>
      <c r="M7468" s="369" cm="1">
        <f t="array" ref="M7468">+_xlfn.IFS((C7468&gt;='Resultats - informe'!$D$26)*(C7468&lt;='Resultats - informe'!$E$26),0,(C7468&gt;='Resultats - informe'!$D$27)*(C7468&lt;='Resultats - informe'!$E$27),0,(C7468&gt;='Resultats - informe'!$D$28)*(C7468&lt;='Resultats - informe'!$E$28),0,(C7468&gt;='Resultats - informe'!$D$29)*(C7468&lt;='Resultats - informe'!$E$29),0,1,1)</f>
        <v>0</v>
      </c>
      <c r="N7468" s="366">
        <f>+VLOOKUP(D7468,'Resultats - informe'!$Y$18:$AG$42,'Introducció dades consum'!K7468+1,0)</f>
        <v>0</v>
      </c>
      <c r="O7468" s="370" cm="1">
        <f t="array" ref="O7468">+_xlfn.SWITCH(MONTH(C7468),1,1,2,1,3,1,4,2,5,2,6,3,7,3,8,3,9,3,10,2,11,2,12,1,2)</f>
        <v>1</v>
      </c>
      <c r="P7468" s="43"/>
    </row>
    <row r="7469" spans="1:16" ht="18" x14ac:dyDescent="0.35">
      <c r="A7469" s="9"/>
      <c r="C7469" s="393"/>
      <c r="E7469" s="394"/>
      <c r="F7469" s="394"/>
      <c r="G7469" s="394"/>
      <c r="I7469" s="368">
        <f t="shared" si="354"/>
        <v>0</v>
      </c>
      <c r="J7469" s="365">
        <f t="shared" si="355"/>
        <v>0</v>
      </c>
      <c r="K7469" s="369">
        <f t="shared" si="356"/>
        <v>6</v>
      </c>
      <c r="L7469" s="369">
        <f>+IF((C7469&gt;='Resultats - informe'!$E$16)*(C7469&lt;='Resultats - informe'!$G$16),1,0)</f>
        <v>1</v>
      </c>
      <c r="M7469" s="369" cm="1">
        <f t="array" ref="M7469">+_xlfn.IFS((C7469&gt;='Resultats - informe'!$D$26)*(C7469&lt;='Resultats - informe'!$E$26),0,(C7469&gt;='Resultats - informe'!$D$27)*(C7469&lt;='Resultats - informe'!$E$27),0,(C7469&gt;='Resultats - informe'!$D$28)*(C7469&lt;='Resultats - informe'!$E$28),0,(C7469&gt;='Resultats - informe'!$D$29)*(C7469&lt;='Resultats - informe'!$E$29),0,1,1)</f>
        <v>0</v>
      </c>
      <c r="N7469" s="366">
        <f>+VLOOKUP(D7469,'Resultats - informe'!$Y$18:$AG$42,'Introducció dades consum'!K7469+1,0)</f>
        <v>0</v>
      </c>
      <c r="O7469" s="370" cm="1">
        <f t="array" ref="O7469">+_xlfn.SWITCH(MONTH(C7469),1,1,2,1,3,1,4,2,5,2,6,3,7,3,8,3,9,3,10,2,11,2,12,1,2)</f>
        <v>1</v>
      </c>
      <c r="P7469" s="43"/>
    </row>
    <row r="7470" spans="1:16" ht="18" x14ac:dyDescent="0.35">
      <c r="A7470" s="9"/>
      <c r="C7470" s="393"/>
      <c r="E7470" s="394"/>
      <c r="F7470" s="394"/>
      <c r="G7470" s="394"/>
      <c r="I7470" s="368">
        <f t="shared" si="354"/>
        <v>0</v>
      </c>
      <c r="J7470" s="365">
        <f t="shared" si="355"/>
        <v>0</v>
      </c>
      <c r="K7470" s="369">
        <f t="shared" si="356"/>
        <v>6</v>
      </c>
      <c r="L7470" s="369">
        <f>+IF((C7470&gt;='Resultats - informe'!$E$16)*(C7470&lt;='Resultats - informe'!$G$16),1,0)</f>
        <v>1</v>
      </c>
      <c r="M7470" s="369" cm="1">
        <f t="array" ref="M7470">+_xlfn.IFS((C7470&gt;='Resultats - informe'!$D$26)*(C7470&lt;='Resultats - informe'!$E$26),0,(C7470&gt;='Resultats - informe'!$D$27)*(C7470&lt;='Resultats - informe'!$E$27),0,(C7470&gt;='Resultats - informe'!$D$28)*(C7470&lt;='Resultats - informe'!$E$28),0,(C7470&gt;='Resultats - informe'!$D$29)*(C7470&lt;='Resultats - informe'!$E$29),0,1,1)</f>
        <v>0</v>
      </c>
      <c r="N7470" s="366">
        <f>+VLOOKUP(D7470,'Resultats - informe'!$Y$18:$AG$42,'Introducció dades consum'!K7470+1,0)</f>
        <v>0</v>
      </c>
      <c r="O7470" s="370" cm="1">
        <f t="array" ref="O7470">+_xlfn.SWITCH(MONTH(C7470),1,1,2,1,3,1,4,2,5,2,6,3,7,3,8,3,9,3,10,2,11,2,12,1,2)</f>
        <v>1</v>
      </c>
      <c r="P7470" s="43"/>
    </row>
    <row r="7471" spans="1:16" ht="18" x14ac:dyDescent="0.35">
      <c r="A7471" s="9"/>
      <c r="C7471" s="393"/>
      <c r="E7471" s="394"/>
      <c r="F7471" s="394"/>
      <c r="G7471" s="394"/>
      <c r="I7471" s="368">
        <f t="shared" si="354"/>
        <v>0</v>
      </c>
      <c r="J7471" s="365">
        <f t="shared" si="355"/>
        <v>0</v>
      </c>
      <c r="K7471" s="369">
        <f t="shared" si="356"/>
        <v>6</v>
      </c>
      <c r="L7471" s="369">
        <f>+IF((C7471&gt;='Resultats - informe'!$E$16)*(C7471&lt;='Resultats - informe'!$G$16),1,0)</f>
        <v>1</v>
      </c>
      <c r="M7471" s="369" cm="1">
        <f t="array" ref="M7471">+_xlfn.IFS((C7471&gt;='Resultats - informe'!$D$26)*(C7471&lt;='Resultats - informe'!$E$26),0,(C7471&gt;='Resultats - informe'!$D$27)*(C7471&lt;='Resultats - informe'!$E$27),0,(C7471&gt;='Resultats - informe'!$D$28)*(C7471&lt;='Resultats - informe'!$E$28),0,(C7471&gt;='Resultats - informe'!$D$29)*(C7471&lt;='Resultats - informe'!$E$29),0,1,1)</f>
        <v>0</v>
      </c>
      <c r="N7471" s="366">
        <f>+VLOOKUP(D7471,'Resultats - informe'!$Y$18:$AG$42,'Introducció dades consum'!K7471+1,0)</f>
        <v>0</v>
      </c>
      <c r="O7471" s="370" cm="1">
        <f t="array" ref="O7471">+_xlfn.SWITCH(MONTH(C7471),1,1,2,1,3,1,4,2,5,2,6,3,7,3,8,3,9,3,10,2,11,2,12,1,2)</f>
        <v>1</v>
      </c>
      <c r="P7471" s="43"/>
    </row>
    <row r="7472" spans="1:16" ht="18" x14ac:dyDescent="0.35">
      <c r="A7472" s="9"/>
      <c r="C7472" s="393"/>
      <c r="E7472" s="394"/>
      <c r="F7472" s="394"/>
      <c r="G7472" s="394"/>
      <c r="I7472" s="368">
        <f t="shared" si="354"/>
        <v>0</v>
      </c>
      <c r="J7472" s="365">
        <f t="shared" si="355"/>
        <v>0</v>
      </c>
      <c r="K7472" s="369">
        <f t="shared" si="356"/>
        <v>6</v>
      </c>
      <c r="L7472" s="369">
        <f>+IF((C7472&gt;='Resultats - informe'!$E$16)*(C7472&lt;='Resultats - informe'!$G$16),1,0)</f>
        <v>1</v>
      </c>
      <c r="M7472" s="369" cm="1">
        <f t="array" ref="M7472">+_xlfn.IFS((C7472&gt;='Resultats - informe'!$D$26)*(C7472&lt;='Resultats - informe'!$E$26),0,(C7472&gt;='Resultats - informe'!$D$27)*(C7472&lt;='Resultats - informe'!$E$27),0,(C7472&gt;='Resultats - informe'!$D$28)*(C7472&lt;='Resultats - informe'!$E$28),0,(C7472&gt;='Resultats - informe'!$D$29)*(C7472&lt;='Resultats - informe'!$E$29),0,1,1)</f>
        <v>0</v>
      </c>
      <c r="N7472" s="366">
        <f>+VLOOKUP(D7472,'Resultats - informe'!$Y$18:$AG$42,'Introducció dades consum'!K7472+1,0)</f>
        <v>0</v>
      </c>
      <c r="O7472" s="370" cm="1">
        <f t="array" ref="O7472">+_xlfn.SWITCH(MONTH(C7472),1,1,2,1,3,1,4,2,5,2,6,3,7,3,8,3,9,3,10,2,11,2,12,1,2)</f>
        <v>1</v>
      </c>
      <c r="P7472" s="43"/>
    </row>
    <row r="7473" spans="1:16" ht="18" x14ac:dyDescent="0.35">
      <c r="A7473" s="9"/>
      <c r="C7473" s="393"/>
      <c r="E7473" s="394"/>
      <c r="F7473" s="394"/>
      <c r="G7473" s="394"/>
      <c r="I7473" s="368">
        <f t="shared" si="354"/>
        <v>0</v>
      </c>
      <c r="J7473" s="365">
        <f t="shared" si="355"/>
        <v>0</v>
      </c>
      <c r="K7473" s="369">
        <f t="shared" si="356"/>
        <v>6</v>
      </c>
      <c r="L7473" s="369">
        <f>+IF((C7473&gt;='Resultats - informe'!$E$16)*(C7473&lt;='Resultats - informe'!$G$16),1,0)</f>
        <v>1</v>
      </c>
      <c r="M7473" s="369" cm="1">
        <f t="array" ref="M7473">+_xlfn.IFS((C7473&gt;='Resultats - informe'!$D$26)*(C7473&lt;='Resultats - informe'!$E$26),0,(C7473&gt;='Resultats - informe'!$D$27)*(C7473&lt;='Resultats - informe'!$E$27),0,(C7473&gt;='Resultats - informe'!$D$28)*(C7473&lt;='Resultats - informe'!$E$28),0,(C7473&gt;='Resultats - informe'!$D$29)*(C7473&lt;='Resultats - informe'!$E$29),0,1,1)</f>
        <v>0</v>
      </c>
      <c r="N7473" s="366">
        <f>+VLOOKUP(D7473,'Resultats - informe'!$Y$18:$AG$42,'Introducció dades consum'!K7473+1,0)</f>
        <v>0</v>
      </c>
      <c r="O7473" s="370" cm="1">
        <f t="array" ref="O7473">+_xlfn.SWITCH(MONTH(C7473),1,1,2,1,3,1,4,2,5,2,6,3,7,3,8,3,9,3,10,2,11,2,12,1,2)</f>
        <v>1</v>
      </c>
      <c r="P7473" s="43"/>
    </row>
    <row r="7474" spans="1:16" ht="18" x14ac:dyDescent="0.35">
      <c r="A7474" s="9"/>
      <c r="C7474" s="393"/>
      <c r="E7474" s="394"/>
      <c r="F7474" s="394"/>
      <c r="G7474" s="394"/>
      <c r="I7474" s="368">
        <f t="shared" si="354"/>
        <v>0</v>
      </c>
      <c r="J7474" s="365">
        <f t="shared" si="355"/>
        <v>0</v>
      </c>
      <c r="K7474" s="369">
        <f t="shared" si="356"/>
        <v>6</v>
      </c>
      <c r="L7474" s="369">
        <f>+IF((C7474&gt;='Resultats - informe'!$E$16)*(C7474&lt;='Resultats - informe'!$G$16),1,0)</f>
        <v>1</v>
      </c>
      <c r="M7474" s="369" cm="1">
        <f t="array" ref="M7474">+_xlfn.IFS((C7474&gt;='Resultats - informe'!$D$26)*(C7474&lt;='Resultats - informe'!$E$26),0,(C7474&gt;='Resultats - informe'!$D$27)*(C7474&lt;='Resultats - informe'!$E$27),0,(C7474&gt;='Resultats - informe'!$D$28)*(C7474&lt;='Resultats - informe'!$E$28),0,(C7474&gt;='Resultats - informe'!$D$29)*(C7474&lt;='Resultats - informe'!$E$29),0,1,1)</f>
        <v>0</v>
      </c>
      <c r="N7474" s="366">
        <f>+VLOOKUP(D7474,'Resultats - informe'!$Y$18:$AG$42,'Introducció dades consum'!K7474+1,0)</f>
        <v>0</v>
      </c>
      <c r="O7474" s="370" cm="1">
        <f t="array" ref="O7474">+_xlfn.SWITCH(MONTH(C7474),1,1,2,1,3,1,4,2,5,2,6,3,7,3,8,3,9,3,10,2,11,2,12,1,2)</f>
        <v>1</v>
      </c>
      <c r="P7474" s="43"/>
    </row>
    <row r="7475" spans="1:16" ht="18" x14ac:dyDescent="0.35">
      <c r="A7475" s="9"/>
      <c r="C7475" s="393"/>
      <c r="E7475" s="394"/>
      <c r="F7475" s="394"/>
      <c r="G7475" s="394"/>
      <c r="I7475" s="368">
        <f t="shared" si="354"/>
        <v>0</v>
      </c>
      <c r="J7475" s="365">
        <f t="shared" si="355"/>
        <v>0</v>
      </c>
      <c r="K7475" s="369">
        <f t="shared" si="356"/>
        <v>6</v>
      </c>
      <c r="L7475" s="369">
        <f>+IF((C7475&gt;='Resultats - informe'!$E$16)*(C7475&lt;='Resultats - informe'!$G$16),1,0)</f>
        <v>1</v>
      </c>
      <c r="M7475" s="369" cm="1">
        <f t="array" ref="M7475">+_xlfn.IFS((C7475&gt;='Resultats - informe'!$D$26)*(C7475&lt;='Resultats - informe'!$E$26),0,(C7475&gt;='Resultats - informe'!$D$27)*(C7475&lt;='Resultats - informe'!$E$27),0,(C7475&gt;='Resultats - informe'!$D$28)*(C7475&lt;='Resultats - informe'!$E$28),0,(C7475&gt;='Resultats - informe'!$D$29)*(C7475&lt;='Resultats - informe'!$E$29),0,1,1)</f>
        <v>0</v>
      </c>
      <c r="N7475" s="366">
        <f>+VLOOKUP(D7475,'Resultats - informe'!$Y$18:$AG$42,'Introducció dades consum'!K7475+1,0)</f>
        <v>0</v>
      </c>
      <c r="O7475" s="370" cm="1">
        <f t="array" ref="O7475">+_xlfn.SWITCH(MONTH(C7475),1,1,2,1,3,1,4,2,5,2,6,3,7,3,8,3,9,3,10,2,11,2,12,1,2)</f>
        <v>1</v>
      </c>
      <c r="P7475" s="43"/>
    </row>
    <row r="7476" spans="1:16" ht="18" x14ac:dyDescent="0.35">
      <c r="A7476" s="9"/>
      <c r="C7476" s="393"/>
      <c r="E7476" s="394"/>
      <c r="F7476" s="394"/>
      <c r="G7476" s="394"/>
      <c r="I7476" s="368">
        <f t="shared" si="354"/>
        <v>0</v>
      </c>
      <c r="J7476" s="365">
        <f t="shared" si="355"/>
        <v>0</v>
      </c>
      <c r="K7476" s="369">
        <f t="shared" si="356"/>
        <v>6</v>
      </c>
      <c r="L7476" s="369">
        <f>+IF((C7476&gt;='Resultats - informe'!$E$16)*(C7476&lt;='Resultats - informe'!$G$16),1,0)</f>
        <v>1</v>
      </c>
      <c r="M7476" s="369" cm="1">
        <f t="array" ref="M7476">+_xlfn.IFS((C7476&gt;='Resultats - informe'!$D$26)*(C7476&lt;='Resultats - informe'!$E$26),0,(C7476&gt;='Resultats - informe'!$D$27)*(C7476&lt;='Resultats - informe'!$E$27),0,(C7476&gt;='Resultats - informe'!$D$28)*(C7476&lt;='Resultats - informe'!$E$28),0,(C7476&gt;='Resultats - informe'!$D$29)*(C7476&lt;='Resultats - informe'!$E$29),0,1,1)</f>
        <v>0</v>
      </c>
      <c r="N7476" s="366">
        <f>+VLOOKUP(D7476,'Resultats - informe'!$Y$18:$AG$42,'Introducció dades consum'!K7476+1,0)</f>
        <v>0</v>
      </c>
      <c r="O7476" s="370" cm="1">
        <f t="array" ref="O7476">+_xlfn.SWITCH(MONTH(C7476),1,1,2,1,3,1,4,2,5,2,6,3,7,3,8,3,9,3,10,2,11,2,12,1,2)</f>
        <v>1</v>
      </c>
      <c r="P7476" s="43"/>
    </row>
    <row r="7477" spans="1:16" ht="18" x14ac:dyDescent="0.35">
      <c r="A7477" s="9"/>
      <c r="C7477" s="393"/>
      <c r="E7477" s="394"/>
      <c r="F7477" s="394"/>
      <c r="G7477" s="394"/>
      <c r="I7477" s="368">
        <f t="shared" si="354"/>
        <v>0</v>
      </c>
      <c r="J7477" s="365">
        <f t="shared" si="355"/>
        <v>0</v>
      </c>
      <c r="K7477" s="369">
        <f t="shared" si="356"/>
        <v>6</v>
      </c>
      <c r="L7477" s="369">
        <f>+IF((C7477&gt;='Resultats - informe'!$E$16)*(C7477&lt;='Resultats - informe'!$G$16),1,0)</f>
        <v>1</v>
      </c>
      <c r="M7477" s="369" cm="1">
        <f t="array" ref="M7477">+_xlfn.IFS((C7477&gt;='Resultats - informe'!$D$26)*(C7477&lt;='Resultats - informe'!$E$26),0,(C7477&gt;='Resultats - informe'!$D$27)*(C7477&lt;='Resultats - informe'!$E$27),0,(C7477&gt;='Resultats - informe'!$D$28)*(C7477&lt;='Resultats - informe'!$E$28),0,(C7477&gt;='Resultats - informe'!$D$29)*(C7477&lt;='Resultats - informe'!$E$29),0,1,1)</f>
        <v>0</v>
      </c>
      <c r="N7477" s="366">
        <f>+VLOOKUP(D7477,'Resultats - informe'!$Y$18:$AG$42,'Introducció dades consum'!K7477+1,0)</f>
        <v>0</v>
      </c>
      <c r="O7477" s="370" cm="1">
        <f t="array" ref="O7477">+_xlfn.SWITCH(MONTH(C7477),1,1,2,1,3,1,4,2,5,2,6,3,7,3,8,3,9,3,10,2,11,2,12,1,2)</f>
        <v>1</v>
      </c>
      <c r="P7477" s="43"/>
    </row>
    <row r="7478" spans="1:16" ht="18" x14ac:dyDescent="0.35">
      <c r="A7478" s="9"/>
      <c r="C7478" s="393"/>
      <c r="E7478" s="394"/>
      <c r="F7478" s="394"/>
      <c r="G7478" s="394"/>
      <c r="I7478" s="368">
        <f t="shared" si="354"/>
        <v>0</v>
      </c>
      <c r="J7478" s="365">
        <f t="shared" si="355"/>
        <v>0</v>
      </c>
      <c r="K7478" s="369">
        <f t="shared" si="356"/>
        <v>6</v>
      </c>
      <c r="L7478" s="369">
        <f>+IF((C7478&gt;='Resultats - informe'!$E$16)*(C7478&lt;='Resultats - informe'!$G$16),1,0)</f>
        <v>1</v>
      </c>
      <c r="M7478" s="369" cm="1">
        <f t="array" ref="M7478">+_xlfn.IFS((C7478&gt;='Resultats - informe'!$D$26)*(C7478&lt;='Resultats - informe'!$E$26),0,(C7478&gt;='Resultats - informe'!$D$27)*(C7478&lt;='Resultats - informe'!$E$27),0,(C7478&gt;='Resultats - informe'!$D$28)*(C7478&lt;='Resultats - informe'!$E$28),0,(C7478&gt;='Resultats - informe'!$D$29)*(C7478&lt;='Resultats - informe'!$E$29),0,1,1)</f>
        <v>0</v>
      </c>
      <c r="N7478" s="366">
        <f>+VLOOKUP(D7478,'Resultats - informe'!$Y$18:$AG$42,'Introducció dades consum'!K7478+1,0)</f>
        <v>0</v>
      </c>
      <c r="O7478" s="370" cm="1">
        <f t="array" ref="O7478">+_xlfn.SWITCH(MONTH(C7478),1,1,2,1,3,1,4,2,5,2,6,3,7,3,8,3,9,3,10,2,11,2,12,1,2)</f>
        <v>1</v>
      </c>
      <c r="P7478" s="43"/>
    </row>
    <row r="7479" spans="1:16" ht="18" x14ac:dyDescent="0.35">
      <c r="A7479" s="9"/>
      <c r="C7479" s="393"/>
      <c r="E7479" s="394"/>
      <c r="F7479" s="394"/>
      <c r="G7479" s="394"/>
      <c r="I7479" s="368">
        <f t="shared" si="354"/>
        <v>0</v>
      </c>
      <c r="J7479" s="365">
        <f t="shared" si="355"/>
        <v>0</v>
      </c>
      <c r="K7479" s="369">
        <f t="shared" si="356"/>
        <v>6</v>
      </c>
      <c r="L7479" s="369">
        <f>+IF((C7479&gt;='Resultats - informe'!$E$16)*(C7479&lt;='Resultats - informe'!$G$16),1,0)</f>
        <v>1</v>
      </c>
      <c r="M7479" s="369" cm="1">
        <f t="array" ref="M7479">+_xlfn.IFS((C7479&gt;='Resultats - informe'!$D$26)*(C7479&lt;='Resultats - informe'!$E$26),0,(C7479&gt;='Resultats - informe'!$D$27)*(C7479&lt;='Resultats - informe'!$E$27),0,(C7479&gt;='Resultats - informe'!$D$28)*(C7479&lt;='Resultats - informe'!$E$28),0,(C7479&gt;='Resultats - informe'!$D$29)*(C7479&lt;='Resultats - informe'!$E$29),0,1,1)</f>
        <v>0</v>
      </c>
      <c r="N7479" s="366">
        <f>+VLOOKUP(D7479,'Resultats - informe'!$Y$18:$AG$42,'Introducció dades consum'!K7479+1,0)</f>
        <v>0</v>
      </c>
      <c r="O7479" s="370" cm="1">
        <f t="array" ref="O7479">+_xlfn.SWITCH(MONTH(C7479),1,1,2,1,3,1,4,2,5,2,6,3,7,3,8,3,9,3,10,2,11,2,12,1,2)</f>
        <v>1</v>
      </c>
      <c r="P7479" s="43"/>
    </row>
    <row r="7480" spans="1:16" ht="18" x14ac:dyDescent="0.35">
      <c r="A7480" s="9"/>
      <c r="C7480" s="393"/>
      <c r="E7480" s="394"/>
      <c r="F7480" s="394"/>
      <c r="G7480" s="394"/>
      <c r="I7480" s="368">
        <f t="shared" si="354"/>
        <v>0</v>
      </c>
      <c r="J7480" s="365">
        <f t="shared" si="355"/>
        <v>0</v>
      </c>
      <c r="K7480" s="369">
        <f t="shared" si="356"/>
        <v>6</v>
      </c>
      <c r="L7480" s="369">
        <f>+IF((C7480&gt;='Resultats - informe'!$E$16)*(C7480&lt;='Resultats - informe'!$G$16),1,0)</f>
        <v>1</v>
      </c>
      <c r="M7480" s="369" cm="1">
        <f t="array" ref="M7480">+_xlfn.IFS((C7480&gt;='Resultats - informe'!$D$26)*(C7480&lt;='Resultats - informe'!$E$26),0,(C7480&gt;='Resultats - informe'!$D$27)*(C7480&lt;='Resultats - informe'!$E$27),0,(C7480&gt;='Resultats - informe'!$D$28)*(C7480&lt;='Resultats - informe'!$E$28),0,(C7480&gt;='Resultats - informe'!$D$29)*(C7480&lt;='Resultats - informe'!$E$29),0,1,1)</f>
        <v>0</v>
      </c>
      <c r="N7480" s="366">
        <f>+VLOOKUP(D7480,'Resultats - informe'!$Y$18:$AG$42,'Introducció dades consum'!K7480+1,0)</f>
        <v>0</v>
      </c>
      <c r="O7480" s="370" cm="1">
        <f t="array" ref="O7480">+_xlfn.SWITCH(MONTH(C7480),1,1,2,1,3,1,4,2,5,2,6,3,7,3,8,3,9,3,10,2,11,2,12,1,2)</f>
        <v>1</v>
      </c>
      <c r="P7480" s="43"/>
    </row>
    <row r="7481" spans="1:16" ht="18" x14ac:dyDescent="0.35">
      <c r="A7481" s="9"/>
      <c r="C7481" s="393"/>
      <c r="E7481" s="394"/>
      <c r="F7481" s="394"/>
      <c r="G7481" s="394"/>
      <c r="I7481" s="368">
        <f t="shared" si="354"/>
        <v>0</v>
      </c>
      <c r="J7481" s="365">
        <f t="shared" si="355"/>
        <v>0</v>
      </c>
      <c r="K7481" s="369">
        <f t="shared" si="356"/>
        <v>6</v>
      </c>
      <c r="L7481" s="369">
        <f>+IF((C7481&gt;='Resultats - informe'!$E$16)*(C7481&lt;='Resultats - informe'!$G$16),1,0)</f>
        <v>1</v>
      </c>
      <c r="M7481" s="369" cm="1">
        <f t="array" ref="M7481">+_xlfn.IFS((C7481&gt;='Resultats - informe'!$D$26)*(C7481&lt;='Resultats - informe'!$E$26),0,(C7481&gt;='Resultats - informe'!$D$27)*(C7481&lt;='Resultats - informe'!$E$27),0,(C7481&gt;='Resultats - informe'!$D$28)*(C7481&lt;='Resultats - informe'!$E$28),0,(C7481&gt;='Resultats - informe'!$D$29)*(C7481&lt;='Resultats - informe'!$E$29),0,1,1)</f>
        <v>0</v>
      </c>
      <c r="N7481" s="366">
        <f>+VLOOKUP(D7481,'Resultats - informe'!$Y$18:$AG$42,'Introducció dades consum'!K7481+1,0)</f>
        <v>0</v>
      </c>
      <c r="O7481" s="370" cm="1">
        <f t="array" ref="O7481">+_xlfn.SWITCH(MONTH(C7481),1,1,2,1,3,1,4,2,5,2,6,3,7,3,8,3,9,3,10,2,11,2,12,1,2)</f>
        <v>1</v>
      </c>
      <c r="P7481" s="43"/>
    </row>
    <row r="7482" spans="1:16" ht="18" x14ac:dyDescent="0.35">
      <c r="A7482" s="9"/>
      <c r="C7482" s="393"/>
      <c r="E7482" s="394"/>
      <c r="F7482" s="394"/>
      <c r="G7482" s="394"/>
      <c r="I7482" s="368">
        <f t="shared" si="354"/>
        <v>0</v>
      </c>
      <c r="J7482" s="365">
        <f t="shared" si="355"/>
        <v>0</v>
      </c>
      <c r="K7482" s="369">
        <f t="shared" si="356"/>
        <v>6</v>
      </c>
      <c r="L7482" s="369">
        <f>+IF((C7482&gt;='Resultats - informe'!$E$16)*(C7482&lt;='Resultats - informe'!$G$16),1,0)</f>
        <v>1</v>
      </c>
      <c r="M7482" s="369" cm="1">
        <f t="array" ref="M7482">+_xlfn.IFS((C7482&gt;='Resultats - informe'!$D$26)*(C7482&lt;='Resultats - informe'!$E$26),0,(C7482&gt;='Resultats - informe'!$D$27)*(C7482&lt;='Resultats - informe'!$E$27),0,(C7482&gt;='Resultats - informe'!$D$28)*(C7482&lt;='Resultats - informe'!$E$28),0,(C7482&gt;='Resultats - informe'!$D$29)*(C7482&lt;='Resultats - informe'!$E$29),0,1,1)</f>
        <v>0</v>
      </c>
      <c r="N7482" s="366">
        <f>+VLOOKUP(D7482,'Resultats - informe'!$Y$18:$AG$42,'Introducció dades consum'!K7482+1,0)</f>
        <v>0</v>
      </c>
      <c r="O7482" s="370" cm="1">
        <f t="array" ref="O7482">+_xlfn.SWITCH(MONTH(C7482),1,1,2,1,3,1,4,2,5,2,6,3,7,3,8,3,9,3,10,2,11,2,12,1,2)</f>
        <v>1</v>
      </c>
      <c r="P7482" s="43"/>
    </row>
    <row r="7483" spans="1:16" ht="18" x14ac:dyDescent="0.35">
      <c r="A7483" s="9"/>
      <c r="C7483" s="393"/>
      <c r="E7483" s="394"/>
      <c r="F7483" s="394"/>
      <c r="G7483" s="394"/>
      <c r="I7483" s="368">
        <f t="shared" si="354"/>
        <v>0</v>
      </c>
      <c r="J7483" s="365">
        <f t="shared" si="355"/>
        <v>0</v>
      </c>
      <c r="K7483" s="369">
        <f t="shared" si="356"/>
        <v>6</v>
      </c>
      <c r="L7483" s="369">
        <f>+IF((C7483&gt;='Resultats - informe'!$E$16)*(C7483&lt;='Resultats - informe'!$G$16),1,0)</f>
        <v>1</v>
      </c>
      <c r="M7483" s="369" cm="1">
        <f t="array" ref="M7483">+_xlfn.IFS((C7483&gt;='Resultats - informe'!$D$26)*(C7483&lt;='Resultats - informe'!$E$26),0,(C7483&gt;='Resultats - informe'!$D$27)*(C7483&lt;='Resultats - informe'!$E$27),0,(C7483&gt;='Resultats - informe'!$D$28)*(C7483&lt;='Resultats - informe'!$E$28),0,(C7483&gt;='Resultats - informe'!$D$29)*(C7483&lt;='Resultats - informe'!$E$29),0,1,1)</f>
        <v>0</v>
      </c>
      <c r="N7483" s="366">
        <f>+VLOOKUP(D7483,'Resultats - informe'!$Y$18:$AG$42,'Introducció dades consum'!K7483+1,0)</f>
        <v>0</v>
      </c>
      <c r="O7483" s="370" cm="1">
        <f t="array" ref="O7483">+_xlfn.SWITCH(MONTH(C7483),1,1,2,1,3,1,4,2,5,2,6,3,7,3,8,3,9,3,10,2,11,2,12,1,2)</f>
        <v>1</v>
      </c>
      <c r="P7483" s="43"/>
    </row>
    <row r="7484" spans="1:16" ht="18" x14ac:dyDescent="0.35">
      <c r="A7484" s="9"/>
      <c r="C7484" s="393"/>
      <c r="E7484" s="394"/>
      <c r="F7484" s="394"/>
      <c r="G7484" s="394"/>
      <c r="I7484" s="368">
        <f t="shared" si="354"/>
        <v>0</v>
      </c>
      <c r="J7484" s="365">
        <f t="shared" si="355"/>
        <v>0</v>
      </c>
      <c r="K7484" s="369">
        <f t="shared" si="356"/>
        <v>6</v>
      </c>
      <c r="L7484" s="369">
        <f>+IF((C7484&gt;='Resultats - informe'!$E$16)*(C7484&lt;='Resultats - informe'!$G$16),1,0)</f>
        <v>1</v>
      </c>
      <c r="M7484" s="369" cm="1">
        <f t="array" ref="M7484">+_xlfn.IFS((C7484&gt;='Resultats - informe'!$D$26)*(C7484&lt;='Resultats - informe'!$E$26),0,(C7484&gt;='Resultats - informe'!$D$27)*(C7484&lt;='Resultats - informe'!$E$27),0,(C7484&gt;='Resultats - informe'!$D$28)*(C7484&lt;='Resultats - informe'!$E$28),0,(C7484&gt;='Resultats - informe'!$D$29)*(C7484&lt;='Resultats - informe'!$E$29),0,1,1)</f>
        <v>0</v>
      </c>
      <c r="N7484" s="366">
        <f>+VLOOKUP(D7484,'Resultats - informe'!$Y$18:$AG$42,'Introducció dades consum'!K7484+1,0)</f>
        <v>0</v>
      </c>
      <c r="O7484" s="370" cm="1">
        <f t="array" ref="O7484">+_xlfn.SWITCH(MONTH(C7484),1,1,2,1,3,1,4,2,5,2,6,3,7,3,8,3,9,3,10,2,11,2,12,1,2)</f>
        <v>1</v>
      </c>
      <c r="P7484" s="43"/>
    </row>
    <row r="7485" spans="1:16" ht="18" x14ac:dyDescent="0.35">
      <c r="A7485" s="9"/>
      <c r="C7485" s="393"/>
      <c r="E7485" s="394"/>
      <c r="F7485" s="394"/>
      <c r="G7485" s="394"/>
      <c r="I7485" s="368">
        <f t="shared" si="354"/>
        <v>0</v>
      </c>
      <c r="J7485" s="365">
        <f t="shared" si="355"/>
        <v>0</v>
      </c>
      <c r="K7485" s="369">
        <f t="shared" si="356"/>
        <v>6</v>
      </c>
      <c r="L7485" s="369">
        <f>+IF((C7485&gt;='Resultats - informe'!$E$16)*(C7485&lt;='Resultats - informe'!$G$16),1,0)</f>
        <v>1</v>
      </c>
      <c r="M7485" s="369" cm="1">
        <f t="array" ref="M7485">+_xlfn.IFS((C7485&gt;='Resultats - informe'!$D$26)*(C7485&lt;='Resultats - informe'!$E$26),0,(C7485&gt;='Resultats - informe'!$D$27)*(C7485&lt;='Resultats - informe'!$E$27),0,(C7485&gt;='Resultats - informe'!$D$28)*(C7485&lt;='Resultats - informe'!$E$28),0,(C7485&gt;='Resultats - informe'!$D$29)*(C7485&lt;='Resultats - informe'!$E$29),0,1,1)</f>
        <v>0</v>
      </c>
      <c r="N7485" s="366">
        <f>+VLOOKUP(D7485,'Resultats - informe'!$Y$18:$AG$42,'Introducció dades consum'!K7485+1,0)</f>
        <v>0</v>
      </c>
      <c r="O7485" s="370" cm="1">
        <f t="array" ref="O7485">+_xlfn.SWITCH(MONTH(C7485),1,1,2,1,3,1,4,2,5,2,6,3,7,3,8,3,9,3,10,2,11,2,12,1,2)</f>
        <v>1</v>
      </c>
      <c r="P7485" s="43"/>
    </row>
    <row r="7486" spans="1:16" ht="18" x14ac:dyDescent="0.35">
      <c r="A7486" s="9"/>
      <c r="C7486" s="393"/>
      <c r="E7486" s="394"/>
      <c r="F7486" s="394"/>
      <c r="G7486" s="394"/>
      <c r="I7486" s="368">
        <f t="shared" si="354"/>
        <v>0</v>
      </c>
      <c r="J7486" s="365">
        <f t="shared" si="355"/>
        <v>0</v>
      </c>
      <c r="K7486" s="369">
        <f t="shared" si="356"/>
        <v>6</v>
      </c>
      <c r="L7486" s="369">
        <f>+IF((C7486&gt;='Resultats - informe'!$E$16)*(C7486&lt;='Resultats - informe'!$G$16),1,0)</f>
        <v>1</v>
      </c>
      <c r="M7486" s="369" cm="1">
        <f t="array" ref="M7486">+_xlfn.IFS((C7486&gt;='Resultats - informe'!$D$26)*(C7486&lt;='Resultats - informe'!$E$26),0,(C7486&gt;='Resultats - informe'!$D$27)*(C7486&lt;='Resultats - informe'!$E$27),0,(C7486&gt;='Resultats - informe'!$D$28)*(C7486&lt;='Resultats - informe'!$E$28),0,(C7486&gt;='Resultats - informe'!$D$29)*(C7486&lt;='Resultats - informe'!$E$29),0,1,1)</f>
        <v>0</v>
      </c>
      <c r="N7486" s="366">
        <f>+VLOOKUP(D7486,'Resultats - informe'!$Y$18:$AG$42,'Introducció dades consum'!K7486+1,0)</f>
        <v>0</v>
      </c>
      <c r="O7486" s="370" cm="1">
        <f t="array" ref="O7486">+_xlfn.SWITCH(MONTH(C7486),1,1,2,1,3,1,4,2,5,2,6,3,7,3,8,3,9,3,10,2,11,2,12,1,2)</f>
        <v>1</v>
      </c>
      <c r="P7486" s="43"/>
    </row>
    <row r="7487" spans="1:16" ht="18" x14ac:dyDescent="0.35">
      <c r="A7487" s="9"/>
      <c r="C7487" s="393"/>
      <c r="E7487" s="394"/>
      <c r="F7487" s="394"/>
      <c r="G7487" s="394"/>
      <c r="I7487" s="368">
        <f t="shared" si="354"/>
        <v>0</v>
      </c>
      <c r="J7487" s="365">
        <f t="shared" si="355"/>
        <v>0</v>
      </c>
      <c r="K7487" s="369">
        <f t="shared" si="356"/>
        <v>6</v>
      </c>
      <c r="L7487" s="369">
        <f>+IF((C7487&gt;='Resultats - informe'!$E$16)*(C7487&lt;='Resultats - informe'!$G$16),1,0)</f>
        <v>1</v>
      </c>
      <c r="M7487" s="369" cm="1">
        <f t="array" ref="M7487">+_xlfn.IFS((C7487&gt;='Resultats - informe'!$D$26)*(C7487&lt;='Resultats - informe'!$E$26),0,(C7487&gt;='Resultats - informe'!$D$27)*(C7487&lt;='Resultats - informe'!$E$27),0,(C7487&gt;='Resultats - informe'!$D$28)*(C7487&lt;='Resultats - informe'!$E$28),0,(C7487&gt;='Resultats - informe'!$D$29)*(C7487&lt;='Resultats - informe'!$E$29),0,1,1)</f>
        <v>0</v>
      </c>
      <c r="N7487" s="366">
        <f>+VLOOKUP(D7487,'Resultats - informe'!$Y$18:$AG$42,'Introducció dades consum'!K7487+1,0)</f>
        <v>0</v>
      </c>
      <c r="O7487" s="370" cm="1">
        <f t="array" ref="O7487">+_xlfn.SWITCH(MONTH(C7487),1,1,2,1,3,1,4,2,5,2,6,3,7,3,8,3,9,3,10,2,11,2,12,1,2)</f>
        <v>1</v>
      </c>
      <c r="P7487" s="43"/>
    </row>
    <row r="7488" spans="1:16" ht="18" x14ac:dyDescent="0.35">
      <c r="A7488" s="9"/>
      <c r="C7488" s="393"/>
      <c r="E7488" s="394"/>
      <c r="F7488" s="394"/>
      <c r="G7488" s="394"/>
      <c r="I7488" s="368">
        <f t="shared" si="354"/>
        <v>0</v>
      </c>
      <c r="J7488" s="365">
        <f t="shared" si="355"/>
        <v>0</v>
      </c>
      <c r="K7488" s="369">
        <f t="shared" si="356"/>
        <v>6</v>
      </c>
      <c r="L7488" s="369">
        <f>+IF((C7488&gt;='Resultats - informe'!$E$16)*(C7488&lt;='Resultats - informe'!$G$16),1,0)</f>
        <v>1</v>
      </c>
      <c r="M7488" s="369" cm="1">
        <f t="array" ref="M7488">+_xlfn.IFS((C7488&gt;='Resultats - informe'!$D$26)*(C7488&lt;='Resultats - informe'!$E$26),0,(C7488&gt;='Resultats - informe'!$D$27)*(C7488&lt;='Resultats - informe'!$E$27),0,(C7488&gt;='Resultats - informe'!$D$28)*(C7488&lt;='Resultats - informe'!$E$28),0,(C7488&gt;='Resultats - informe'!$D$29)*(C7488&lt;='Resultats - informe'!$E$29),0,1,1)</f>
        <v>0</v>
      </c>
      <c r="N7488" s="366">
        <f>+VLOOKUP(D7488,'Resultats - informe'!$Y$18:$AG$42,'Introducció dades consum'!K7488+1,0)</f>
        <v>0</v>
      </c>
      <c r="O7488" s="370" cm="1">
        <f t="array" ref="O7488">+_xlfn.SWITCH(MONTH(C7488),1,1,2,1,3,1,4,2,5,2,6,3,7,3,8,3,9,3,10,2,11,2,12,1,2)</f>
        <v>1</v>
      </c>
      <c r="P7488" s="43"/>
    </row>
    <row r="7489" spans="1:16" ht="18" x14ac:dyDescent="0.35">
      <c r="A7489" s="9"/>
      <c r="C7489" s="393"/>
      <c r="E7489" s="394"/>
      <c r="F7489" s="394"/>
      <c r="G7489" s="394"/>
      <c r="I7489" s="368">
        <f t="shared" si="354"/>
        <v>0</v>
      </c>
      <c r="J7489" s="365">
        <f t="shared" si="355"/>
        <v>0</v>
      </c>
      <c r="K7489" s="369">
        <f t="shared" si="356"/>
        <v>6</v>
      </c>
      <c r="L7489" s="369">
        <f>+IF((C7489&gt;='Resultats - informe'!$E$16)*(C7489&lt;='Resultats - informe'!$G$16),1,0)</f>
        <v>1</v>
      </c>
      <c r="M7489" s="369" cm="1">
        <f t="array" ref="M7489">+_xlfn.IFS((C7489&gt;='Resultats - informe'!$D$26)*(C7489&lt;='Resultats - informe'!$E$26),0,(C7489&gt;='Resultats - informe'!$D$27)*(C7489&lt;='Resultats - informe'!$E$27),0,(C7489&gt;='Resultats - informe'!$D$28)*(C7489&lt;='Resultats - informe'!$E$28),0,(C7489&gt;='Resultats - informe'!$D$29)*(C7489&lt;='Resultats - informe'!$E$29),0,1,1)</f>
        <v>0</v>
      </c>
      <c r="N7489" s="366">
        <f>+VLOOKUP(D7489,'Resultats - informe'!$Y$18:$AG$42,'Introducció dades consum'!K7489+1,0)</f>
        <v>0</v>
      </c>
      <c r="O7489" s="370" cm="1">
        <f t="array" ref="O7489">+_xlfn.SWITCH(MONTH(C7489),1,1,2,1,3,1,4,2,5,2,6,3,7,3,8,3,9,3,10,2,11,2,12,1,2)</f>
        <v>1</v>
      </c>
      <c r="P7489" s="43"/>
    </row>
    <row r="7490" spans="1:16" ht="18" x14ac:dyDescent="0.35">
      <c r="A7490" s="9"/>
      <c r="C7490" s="393"/>
      <c r="E7490" s="394"/>
      <c r="F7490" s="394"/>
      <c r="G7490" s="394"/>
      <c r="I7490" s="368">
        <f t="shared" si="354"/>
        <v>0</v>
      </c>
      <c r="J7490" s="365">
        <f t="shared" si="355"/>
        <v>0</v>
      </c>
      <c r="K7490" s="369">
        <f t="shared" si="356"/>
        <v>6</v>
      </c>
      <c r="L7490" s="369">
        <f>+IF((C7490&gt;='Resultats - informe'!$E$16)*(C7490&lt;='Resultats - informe'!$G$16),1,0)</f>
        <v>1</v>
      </c>
      <c r="M7490" s="369" cm="1">
        <f t="array" ref="M7490">+_xlfn.IFS((C7490&gt;='Resultats - informe'!$D$26)*(C7490&lt;='Resultats - informe'!$E$26),0,(C7490&gt;='Resultats - informe'!$D$27)*(C7490&lt;='Resultats - informe'!$E$27),0,(C7490&gt;='Resultats - informe'!$D$28)*(C7490&lt;='Resultats - informe'!$E$28),0,(C7490&gt;='Resultats - informe'!$D$29)*(C7490&lt;='Resultats - informe'!$E$29),0,1,1)</f>
        <v>0</v>
      </c>
      <c r="N7490" s="366">
        <f>+VLOOKUP(D7490,'Resultats - informe'!$Y$18:$AG$42,'Introducció dades consum'!K7490+1,0)</f>
        <v>0</v>
      </c>
      <c r="O7490" s="370" cm="1">
        <f t="array" ref="O7490">+_xlfn.SWITCH(MONTH(C7490),1,1,2,1,3,1,4,2,5,2,6,3,7,3,8,3,9,3,10,2,11,2,12,1,2)</f>
        <v>1</v>
      </c>
      <c r="P7490" s="43"/>
    </row>
    <row r="7491" spans="1:16" ht="18" x14ac:dyDescent="0.35">
      <c r="A7491" s="9"/>
      <c r="C7491" s="393"/>
      <c r="E7491" s="394"/>
      <c r="F7491" s="394"/>
      <c r="G7491" s="394"/>
      <c r="I7491" s="368">
        <f t="shared" si="354"/>
        <v>0</v>
      </c>
      <c r="J7491" s="365">
        <f t="shared" si="355"/>
        <v>0</v>
      </c>
      <c r="K7491" s="369">
        <f t="shared" si="356"/>
        <v>6</v>
      </c>
      <c r="L7491" s="369">
        <f>+IF((C7491&gt;='Resultats - informe'!$E$16)*(C7491&lt;='Resultats - informe'!$G$16),1,0)</f>
        <v>1</v>
      </c>
      <c r="M7491" s="369" cm="1">
        <f t="array" ref="M7491">+_xlfn.IFS((C7491&gt;='Resultats - informe'!$D$26)*(C7491&lt;='Resultats - informe'!$E$26),0,(C7491&gt;='Resultats - informe'!$D$27)*(C7491&lt;='Resultats - informe'!$E$27),0,(C7491&gt;='Resultats - informe'!$D$28)*(C7491&lt;='Resultats - informe'!$E$28),0,(C7491&gt;='Resultats - informe'!$D$29)*(C7491&lt;='Resultats - informe'!$E$29),0,1,1)</f>
        <v>0</v>
      </c>
      <c r="N7491" s="366">
        <f>+VLOOKUP(D7491,'Resultats - informe'!$Y$18:$AG$42,'Introducció dades consum'!K7491+1,0)</f>
        <v>0</v>
      </c>
      <c r="O7491" s="370" cm="1">
        <f t="array" ref="O7491">+_xlfn.SWITCH(MONTH(C7491),1,1,2,1,3,1,4,2,5,2,6,3,7,3,8,3,9,3,10,2,11,2,12,1,2)</f>
        <v>1</v>
      </c>
      <c r="P7491" s="43"/>
    </row>
    <row r="7492" spans="1:16" ht="18" x14ac:dyDescent="0.35">
      <c r="A7492" s="9"/>
      <c r="C7492" s="393"/>
      <c r="E7492" s="394"/>
      <c r="F7492" s="394"/>
      <c r="G7492" s="394"/>
      <c r="I7492" s="368">
        <f t="shared" si="354"/>
        <v>0</v>
      </c>
      <c r="J7492" s="365">
        <f t="shared" si="355"/>
        <v>0</v>
      </c>
      <c r="K7492" s="369">
        <f t="shared" si="356"/>
        <v>6</v>
      </c>
      <c r="L7492" s="369">
        <f>+IF((C7492&gt;='Resultats - informe'!$E$16)*(C7492&lt;='Resultats - informe'!$G$16),1,0)</f>
        <v>1</v>
      </c>
      <c r="M7492" s="369" cm="1">
        <f t="array" ref="M7492">+_xlfn.IFS((C7492&gt;='Resultats - informe'!$D$26)*(C7492&lt;='Resultats - informe'!$E$26),0,(C7492&gt;='Resultats - informe'!$D$27)*(C7492&lt;='Resultats - informe'!$E$27),0,(C7492&gt;='Resultats - informe'!$D$28)*(C7492&lt;='Resultats - informe'!$E$28),0,(C7492&gt;='Resultats - informe'!$D$29)*(C7492&lt;='Resultats - informe'!$E$29),0,1,1)</f>
        <v>0</v>
      </c>
      <c r="N7492" s="366">
        <f>+VLOOKUP(D7492,'Resultats - informe'!$Y$18:$AG$42,'Introducció dades consum'!K7492+1,0)</f>
        <v>0</v>
      </c>
      <c r="O7492" s="370" cm="1">
        <f t="array" ref="O7492">+_xlfn.SWITCH(MONTH(C7492),1,1,2,1,3,1,4,2,5,2,6,3,7,3,8,3,9,3,10,2,11,2,12,1,2)</f>
        <v>1</v>
      </c>
      <c r="P7492" s="43"/>
    </row>
    <row r="7493" spans="1:16" ht="18" x14ac:dyDescent="0.35">
      <c r="A7493" s="9"/>
      <c r="C7493" s="393"/>
      <c r="E7493" s="394"/>
      <c r="F7493" s="394"/>
      <c r="G7493" s="394"/>
      <c r="I7493" s="368">
        <f t="shared" si="354"/>
        <v>0</v>
      </c>
      <c r="J7493" s="365">
        <f t="shared" si="355"/>
        <v>0</v>
      </c>
      <c r="K7493" s="369">
        <f t="shared" si="356"/>
        <v>6</v>
      </c>
      <c r="L7493" s="369">
        <f>+IF((C7493&gt;='Resultats - informe'!$E$16)*(C7493&lt;='Resultats - informe'!$G$16),1,0)</f>
        <v>1</v>
      </c>
      <c r="M7493" s="369" cm="1">
        <f t="array" ref="M7493">+_xlfn.IFS((C7493&gt;='Resultats - informe'!$D$26)*(C7493&lt;='Resultats - informe'!$E$26),0,(C7493&gt;='Resultats - informe'!$D$27)*(C7493&lt;='Resultats - informe'!$E$27),0,(C7493&gt;='Resultats - informe'!$D$28)*(C7493&lt;='Resultats - informe'!$E$28),0,(C7493&gt;='Resultats - informe'!$D$29)*(C7493&lt;='Resultats - informe'!$E$29),0,1,1)</f>
        <v>0</v>
      </c>
      <c r="N7493" s="366">
        <f>+VLOOKUP(D7493,'Resultats - informe'!$Y$18:$AG$42,'Introducció dades consum'!K7493+1,0)</f>
        <v>0</v>
      </c>
      <c r="O7493" s="370" cm="1">
        <f t="array" ref="O7493">+_xlfn.SWITCH(MONTH(C7493),1,1,2,1,3,1,4,2,5,2,6,3,7,3,8,3,9,3,10,2,11,2,12,1,2)</f>
        <v>1</v>
      </c>
      <c r="P7493" s="43"/>
    </row>
    <row r="7494" spans="1:16" ht="18" x14ac:dyDescent="0.35">
      <c r="A7494" s="9"/>
      <c r="C7494" s="393"/>
      <c r="E7494" s="394"/>
      <c r="F7494" s="394"/>
      <c r="G7494" s="394"/>
      <c r="I7494" s="368">
        <f t="shared" si="354"/>
        <v>0</v>
      </c>
      <c r="J7494" s="365">
        <f t="shared" si="355"/>
        <v>0</v>
      </c>
      <c r="K7494" s="369">
        <f t="shared" si="356"/>
        <v>6</v>
      </c>
      <c r="L7494" s="369">
        <f>+IF((C7494&gt;='Resultats - informe'!$E$16)*(C7494&lt;='Resultats - informe'!$G$16),1,0)</f>
        <v>1</v>
      </c>
      <c r="M7494" s="369" cm="1">
        <f t="array" ref="M7494">+_xlfn.IFS((C7494&gt;='Resultats - informe'!$D$26)*(C7494&lt;='Resultats - informe'!$E$26),0,(C7494&gt;='Resultats - informe'!$D$27)*(C7494&lt;='Resultats - informe'!$E$27),0,(C7494&gt;='Resultats - informe'!$D$28)*(C7494&lt;='Resultats - informe'!$E$28),0,(C7494&gt;='Resultats - informe'!$D$29)*(C7494&lt;='Resultats - informe'!$E$29),0,1,1)</f>
        <v>0</v>
      </c>
      <c r="N7494" s="366">
        <f>+VLOOKUP(D7494,'Resultats - informe'!$Y$18:$AG$42,'Introducció dades consum'!K7494+1,0)</f>
        <v>0</v>
      </c>
      <c r="O7494" s="370" cm="1">
        <f t="array" ref="O7494">+_xlfn.SWITCH(MONTH(C7494),1,1,2,1,3,1,4,2,5,2,6,3,7,3,8,3,9,3,10,2,11,2,12,1,2)</f>
        <v>1</v>
      </c>
      <c r="P7494" s="43"/>
    </row>
    <row r="7495" spans="1:16" ht="18" x14ac:dyDescent="0.35">
      <c r="A7495" s="9"/>
      <c r="C7495" s="393"/>
      <c r="E7495" s="394"/>
      <c r="F7495" s="394"/>
      <c r="G7495" s="394"/>
      <c r="I7495" s="368">
        <f t="shared" si="354"/>
        <v>0</v>
      </c>
      <c r="J7495" s="365">
        <f t="shared" si="355"/>
        <v>0</v>
      </c>
      <c r="K7495" s="369">
        <f t="shared" si="356"/>
        <v>6</v>
      </c>
      <c r="L7495" s="369">
        <f>+IF((C7495&gt;='Resultats - informe'!$E$16)*(C7495&lt;='Resultats - informe'!$G$16),1,0)</f>
        <v>1</v>
      </c>
      <c r="M7495" s="369" cm="1">
        <f t="array" ref="M7495">+_xlfn.IFS((C7495&gt;='Resultats - informe'!$D$26)*(C7495&lt;='Resultats - informe'!$E$26),0,(C7495&gt;='Resultats - informe'!$D$27)*(C7495&lt;='Resultats - informe'!$E$27),0,(C7495&gt;='Resultats - informe'!$D$28)*(C7495&lt;='Resultats - informe'!$E$28),0,(C7495&gt;='Resultats - informe'!$D$29)*(C7495&lt;='Resultats - informe'!$E$29),0,1,1)</f>
        <v>0</v>
      </c>
      <c r="N7495" s="366">
        <f>+VLOOKUP(D7495,'Resultats - informe'!$Y$18:$AG$42,'Introducció dades consum'!K7495+1,0)</f>
        <v>0</v>
      </c>
      <c r="O7495" s="370" cm="1">
        <f t="array" ref="O7495">+_xlfn.SWITCH(MONTH(C7495),1,1,2,1,3,1,4,2,5,2,6,3,7,3,8,3,9,3,10,2,11,2,12,1,2)</f>
        <v>1</v>
      </c>
      <c r="P7495" s="43"/>
    </row>
    <row r="7496" spans="1:16" ht="18" x14ac:dyDescent="0.35">
      <c r="A7496" s="9"/>
      <c r="C7496" s="393"/>
      <c r="E7496" s="394"/>
      <c r="F7496" s="394"/>
      <c r="G7496" s="394"/>
      <c r="I7496" s="368">
        <f t="shared" si="354"/>
        <v>0</v>
      </c>
      <c r="J7496" s="365">
        <f t="shared" si="355"/>
        <v>0</v>
      </c>
      <c r="K7496" s="369">
        <f t="shared" si="356"/>
        <v>6</v>
      </c>
      <c r="L7496" s="369">
        <f>+IF((C7496&gt;='Resultats - informe'!$E$16)*(C7496&lt;='Resultats - informe'!$G$16),1,0)</f>
        <v>1</v>
      </c>
      <c r="M7496" s="369" cm="1">
        <f t="array" ref="M7496">+_xlfn.IFS((C7496&gt;='Resultats - informe'!$D$26)*(C7496&lt;='Resultats - informe'!$E$26),0,(C7496&gt;='Resultats - informe'!$D$27)*(C7496&lt;='Resultats - informe'!$E$27),0,(C7496&gt;='Resultats - informe'!$D$28)*(C7496&lt;='Resultats - informe'!$E$28),0,(C7496&gt;='Resultats - informe'!$D$29)*(C7496&lt;='Resultats - informe'!$E$29),0,1,1)</f>
        <v>0</v>
      </c>
      <c r="N7496" s="366">
        <f>+VLOOKUP(D7496,'Resultats - informe'!$Y$18:$AG$42,'Introducció dades consum'!K7496+1,0)</f>
        <v>0</v>
      </c>
      <c r="O7496" s="370" cm="1">
        <f t="array" ref="O7496">+_xlfn.SWITCH(MONTH(C7496),1,1,2,1,3,1,4,2,5,2,6,3,7,3,8,3,9,3,10,2,11,2,12,1,2)</f>
        <v>1</v>
      </c>
      <c r="P7496" s="43"/>
    </row>
    <row r="7497" spans="1:16" ht="18" x14ac:dyDescent="0.35">
      <c r="A7497" s="9"/>
      <c r="C7497" s="393"/>
      <c r="E7497" s="394"/>
      <c r="F7497" s="394"/>
      <c r="G7497" s="394"/>
      <c r="I7497" s="368">
        <f t="shared" si="354"/>
        <v>0</v>
      </c>
      <c r="J7497" s="365">
        <f t="shared" si="355"/>
        <v>0</v>
      </c>
      <c r="K7497" s="369">
        <f t="shared" si="356"/>
        <v>6</v>
      </c>
      <c r="L7497" s="369">
        <f>+IF((C7497&gt;='Resultats - informe'!$E$16)*(C7497&lt;='Resultats - informe'!$G$16),1,0)</f>
        <v>1</v>
      </c>
      <c r="M7497" s="369" cm="1">
        <f t="array" ref="M7497">+_xlfn.IFS((C7497&gt;='Resultats - informe'!$D$26)*(C7497&lt;='Resultats - informe'!$E$26),0,(C7497&gt;='Resultats - informe'!$D$27)*(C7497&lt;='Resultats - informe'!$E$27),0,(C7497&gt;='Resultats - informe'!$D$28)*(C7497&lt;='Resultats - informe'!$E$28),0,(C7497&gt;='Resultats - informe'!$D$29)*(C7497&lt;='Resultats - informe'!$E$29),0,1,1)</f>
        <v>0</v>
      </c>
      <c r="N7497" s="366">
        <f>+VLOOKUP(D7497,'Resultats - informe'!$Y$18:$AG$42,'Introducció dades consum'!K7497+1,0)</f>
        <v>0</v>
      </c>
      <c r="O7497" s="370" cm="1">
        <f t="array" ref="O7497">+_xlfn.SWITCH(MONTH(C7497),1,1,2,1,3,1,4,2,5,2,6,3,7,3,8,3,9,3,10,2,11,2,12,1,2)</f>
        <v>1</v>
      </c>
      <c r="P7497" s="43"/>
    </row>
    <row r="7498" spans="1:16" ht="18" x14ac:dyDescent="0.35">
      <c r="A7498" s="9"/>
      <c r="C7498" s="393"/>
      <c r="E7498" s="394"/>
      <c r="F7498" s="394"/>
      <c r="G7498" s="394"/>
      <c r="I7498" s="368">
        <f t="shared" si="354"/>
        <v>0</v>
      </c>
      <c r="J7498" s="365">
        <f t="shared" si="355"/>
        <v>0</v>
      </c>
      <c r="K7498" s="369">
        <f t="shared" si="356"/>
        <v>6</v>
      </c>
      <c r="L7498" s="369">
        <f>+IF((C7498&gt;='Resultats - informe'!$E$16)*(C7498&lt;='Resultats - informe'!$G$16),1,0)</f>
        <v>1</v>
      </c>
      <c r="M7498" s="369" cm="1">
        <f t="array" ref="M7498">+_xlfn.IFS((C7498&gt;='Resultats - informe'!$D$26)*(C7498&lt;='Resultats - informe'!$E$26),0,(C7498&gt;='Resultats - informe'!$D$27)*(C7498&lt;='Resultats - informe'!$E$27),0,(C7498&gt;='Resultats - informe'!$D$28)*(C7498&lt;='Resultats - informe'!$E$28),0,(C7498&gt;='Resultats - informe'!$D$29)*(C7498&lt;='Resultats - informe'!$E$29),0,1,1)</f>
        <v>0</v>
      </c>
      <c r="N7498" s="366">
        <f>+VLOOKUP(D7498,'Resultats - informe'!$Y$18:$AG$42,'Introducció dades consum'!K7498+1,0)</f>
        <v>0</v>
      </c>
      <c r="O7498" s="370" cm="1">
        <f t="array" ref="O7498">+_xlfn.SWITCH(MONTH(C7498),1,1,2,1,3,1,4,2,5,2,6,3,7,3,8,3,9,3,10,2,11,2,12,1,2)</f>
        <v>1</v>
      </c>
      <c r="P7498" s="43"/>
    </row>
    <row r="7499" spans="1:16" ht="18" x14ac:dyDescent="0.35">
      <c r="A7499" s="9"/>
      <c r="C7499" s="393"/>
      <c r="E7499" s="394"/>
      <c r="F7499" s="394"/>
      <c r="G7499" s="394"/>
      <c r="I7499" s="368">
        <f t="shared" si="354"/>
        <v>0</v>
      </c>
      <c r="J7499" s="365">
        <f t="shared" si="355"/>
        <v>0</v>
      </c>
      <c r="K7499" s="369">
        <f t="shared" si="356"/>
        <v>6</v>
      </c>
      <c r="L7499" s="369">
        <f>+IF((C7499&gt;='Resultats - informe'!$E$16)*(C7499&lt;='Resultats - informe'!$G$16),1,0)</f>
        <v>1</v>
      </c>
      <c r="M7499" s="369" cm="1">
        <f t="array" ref="M7499">+_xlfn.IFS((C7499&gt;='Resultats - informe'!$D$26)*(C7499&lt;='Resultats - informe'!$E$26),0,(C7499&gt;='Resultats - informe'!$D$27)*(C7499&lt;='Resultats - informe'!$E$27),0,(C7499&gt;='Resultats - informe'!$D$28)*(C7499&lt;='Resultats - informe'!$E$28),0,(C7499&gt;='Resultats - informe'!$D$29)*(C7499&lt;='Resultats - informe'!$E$29),0,1,1)</f>
        <v>0</v>
      </c>
      <c r="N7499" s="366">
        <f>+VLOOKUP(D7499,'Resultats - informe'!$Y$18:$AG$42,'Introducció dades consum'!K7499+1,0)</f>
        <v>0</v>
      </c>
      <c r="O7499" s="370" cm="1">
        <f t="array" ref="O7499">+_xlfn.SWITCH(MONTH(C7499),1,1,2,1,3,1,4,2,5,2,6,3,7,3,8,3,9,3,10,2,11,2,12,1,2)</f>
        <v>1</v>
      </c>
      <c r="P7499" s="43"/>
    </row>
    <row r="7500" spans="1:16" ht="18" x14ac:dyDescent="0.35">
      <c r="A7500" s="9"/>
      <c r="C7500" s="393"/>
      <c r="E7500" s="394"/>
      <c r="F7500" s="394"/>
      <c r="G7500" s="394"/>
      <c r="I7500" s="368">
        <f t="shared" si="354"/>
        <v>0</v>
      </c>
      <c r="J7500" s="365">
        <f t="shared" si="355"/>
        <v>0</v>
      </c>
      <c r="K7500" s="369">
        <f t="shared" si="356"/>
        <v>6</v>
      </c>
      <c r="L7500" s="369">
        <f>+IF((C7500&gt;='Resultats - informe'!$E$16)*(C7500&lt;='Resultats - informe'!$G$16),1,0)</f>
        <v>1</v>
      </c>
      <c r="M7500" s="369" cm="1">
        <f t="array" ref="M7500">+_xlfn.IFS((C7500&gt;='Resultats - informe'!$D$26)*(C7500&lt;='Resultats - informe'!$E$26),0,(C7500&gt;='Resultats - informe'!$D$27)*(C7500&lt;='Resultats - informe'!$E$27),0,(C7500&gt;='Resultats - informe'!$D$28)*(C7500&lt;='Resultats - informe'!$E$28),0,(C7500&gt;='Resultats - informe'!$D$29)*(C7500&lt;='Resultats - informe'!$E$29),0,1,1)</f>
        <v>0</v>
      </c>
      <c r="N7500" s="366">
        <f>+VLOOKUP(D7500,'Resultats - informe'!$Y$18:$AG$42,'Introducció dades consum'!K7500+1,0)</f>
        <v>0</v>
      </c>
      <c r="O7500" s="370" cm="1">
        <f t="array" ref="O7500">+_xlfn.SWITCH(MONTH(C7500),1,1,2,1,3,1,4,2,5,2,6,3,7,3,8,3,9,3,10,2,11,2,12,1,2)</f>
        <v>1</v>
      </c>
      <c r="P7500" s="43"/>
    </row>
    <row r="7501" spans="1:16" ht="18" x14ac:dyDescent="0.35">
      <c r="A7501" s="9"/>
      <c r="C7501" s="393"/>
      <c r="E7501" s="394"/>
      <c r="F7501" s="394"/>
      <c r="G7501" s="394"/>
      <c r="I7501" s="368">
        <f t="shared" si="354"/>
        <v>0</v>
      </c>
      <c r="J7501" s="365">
        <f t="shared" si="355"/>
        <v>0</v>
      </c>
      <c r="K7501" s="369">
        <f t="shared" si="356"/>
        <v>6</v>
      </c>
      <c r="L7501" s="369">
        <f>+IF((C7501&gt;='Resultats - informe'!$E$16)*(C7501&lt;='Resultats - informe'!$G$16),1,0)</f>
        <v>1</v>
      </c>
      <c r="M7501" s="369" cm="1">
        <f t="array" ref="M7501">+_xlfn.IFS((C7501&gt;='Resultats - informe'!$D$26)*(C7501&lt;='Resultats - informe'!$E$26),0,(C7501&gt;='Resultats - informe'!$D$27)*(C7501&lt;='Resultats - informe'!$E$27),0,(C7501&gt;='Resultats - informe'!$D$28)*(C7501&lt;='Resultats - informe'!$E$28),0,(C7501&gt;='Resultats - informe'!$D$29)*(C7501&lt;='Resultats - informe'!$E$29),0,1,1)</f>
        <v>0</v>
      </c>
      <c r="N7501" s="366">
        <f>+VLOOKUP(D7501,'Resultats - informe'!$Y$18:$AG$42,'Introducció dades consum'!K7501+1,0)</f>
        <v>0</v>
      </c>
      <c r="O7501" s="370" cm="1">
        <f t="array" ref="O7501">+_xlfn.SWITCH(MONTH(C7501),1,1,2,1,3,1,4,2,5,2,6,3,7,3,8,3,9,3,10,2,11,2,12,1,2)</f>
        <v>1</v>
      </c>
      <c r="P7501" s="43"/>
    </row>
    <row r="7502" spans="1:16" ht="18" x14ac:dyDescent="0.35">
      <c r="A7502" s="9"/>
      <c r="C7502" s="393"/>
      <c r="E7502" s="394"/>
      <c r="F7502" s="394"/>
      <c r="G7502" s="394"/>
      <c r="I7502" s="368">
        <f t="shared" si="354"/>
        <v>0</v>
      </c>
      <c r="J7502" s="365">
        <f t="shared" si="355"/>
        <v>0</v>
      </c>
      <c r="K7502" s="369">
        <f t="shared" si="356"/>
        <v>6</v>
      </c>
      <c r="L7502" s="369">
        <f>+IF((C7502&gt;='Resultats - informe'!$E$16)*(C7502&lt;='Resultats - informe'!$G$16),1,0)</f>
        <v>1</v>
      </c>
      <c r="M7502" s="369" cm="1">
        <f t="array" ref="M7502">+_xlfn.IFS((C7502&gt;='Resultats - informe'!$D$26)*(C7502&lt;='Resultats - informe'!$E$26),0,(C7502&gt;='Resultats - informe'!$D$27)*(C7502&lt;='Resultats - informe'!$E$27),0,(C7502&gt;='Resultats - informe'!$D$28)*(C7502&lt;='Resultats - informe'!$E$28),0,(C7502&gt;='Resultats - informe'!$D$29)*(C7502&lt;='Resultats - informe'!$E$29),0,1,1)</f>
        <v>0</v>
      </c>
      <c r="N7502" s="366">
        <f>+VLOOKUP(D7502,'Resultats - informe'!$Y$18:$AG$42,'Introducció dades consum'!K7502+1,0)</f>
        <v>0</v>
      </c>
      <c r="O7502" s="370" cm="1">
        <f t="array" ref="O7502">+_xlfn.SWITCH(MONTH(C7502),1,1,2,1,3,1,4,2,5,2,6,3,7,3,8,3,9,3,10,2,11,2,12,1,2)</f>
        <v>1</v>
      </c>
      <c r="P7502" s="43"/>
    </row>
    <row r="7503" spans="1:16" ht="18" x14ac:dyDescent="0.35">
      <c r="A7503" s="9"/>
      <c r="C7503" s="393"/>
      <c r="E7503" s="394"/>
      <c r="F7503" s="394"/>
      <c r="G7503" s="394"/>
      <c r="I7503" s="368">
        <f t="shared" si="354"/>
        <v>0</v>
      </c>
      <c r="J7503" s="365">
        <f t="shared" si="355"/>
        <v>0</v>
      </c>
      <c r="K7503" s="369">
        <f t="shared" si="356"/>
        <v>6</v>
      </c>
      <c r="L7503" s="369">
        <f>+IF((C7503&gt;='Resultats - informe'!$E$16)*(C7503&lt;='Resultats - informe'!$G$16),1,0)</f>
        <v>1</v>
      </c>
      <c r="M7503" s="369" cm="1">
        <f t="array" ref="M7503">+_xlfn.IFS((C7503&gt;='Resultats - informe'!$D$26)*(C7503&lt;='Resultats - informe'!$E$26),0,(C7503&gt;='Resultats - informe'!$D$27)*(C7503&lt;='Resultats - informe'!$E$27),0,(C7503&gt;='Resultats - informe'!$D$28)*(C7503&lt;='Resultats - informe'!$E$28),0,(C7503&gt;='Resultats - informe'!$D$29)*(C7503&lt;='Resultats - informe'!$E$29),0,1,1)</f>
        <v>0</v>
      </c>
      <c r="N7503" s="366">
        <f>+VLOOKUP(D7503,'Resultats - informe'!$Y$18:$AG$42,'Introducció dades consum'!K7503+1,0)</f>
        <v>0</v>
      </c>
      <c r="O7503" s="370" cm="1">
        <f t="array" ref="O7503">+_xlfn.SWITCH(MONTH(C7503),1,1,2,1,3,1,4,2,5,2,6,3,7,3,8,3,9,3,10,2,11,2,12,1,2)</f>
        <v>1</v>
      </c>
      <c r="P7503" s="43"/>
    </row>
    <row r="7504" spans="1:16" ht="18" x14ac:dyDescent="0.35">
      <c r="A7504" s="9"/>
      <c r="C7504" s="393"/>
      <c r="E7504" s="394"/>
      <c r="F7504" s="394"/>
      <c r="G7504" s="394"/>
      <c r="I7504" s="368">
        <f t="shared" si="354"/>
        <v>0</v>
      </c>
      <c r="J7504" s="365">
        <f t="shared" si="355"/>
        <v>0</v>
      </c>
      <c r="K7504" s="369">
        <f t="shared" si="356"/>
        <v>6</v>
      </c>
      <c r="L7504" s="369">
        <f>+IF((C7504&gt;='Resultats - informe'!$E$16)*(C7504&lt;='Resultats - informe'!$G$16),1,0)</f>
        <v>1</v>
      </c>
      <c r="M7504" s="369" cm="1">
        <f t="array" ref="M7504">+_xlfn.IFS((C7504&gt;='Resultats - informe'!$D$26)*(C7504&lt;='Resultats - informe'!$E$26),0,(C7504&gt;='Resultats - informe'!$D$27)*(C7504&lt;='Resultats - informe'!$E$27),0,(C7504&gt;='Resultats - informe'!$D$28)*(C7504&lt;='Resultats - informe'!$E$28),0,(C7504&gt;='Resultats - informe'!$D$29)*(C7504&lt;='Resultats - informe'!$E$29),0,1,1)</f>
        <v>0</v>
      </c>
      <c r="N7504" s="366">
        <f>+VLOOKUP(D7504,'Resultats - informe'!$Y$18:$AG$42,'Introducció dades consum'!K7504+1,0)</f>
        <v>0</v>
      </c>
      <c r="O7504" s="370" cm="1">
        <f t="array" ref="O7504">+_xlfn.SWITCH(MONTH(C7504),1,1,2,1,3,1,4,2,5,2,6,3,7,3,8,3,9,3,10,2,11,2,12,1,2)</f>
        <v>1</v>
      </c>
      <c r="P7504" s="43"/>
    </row>
    <row r="7505" spans="1:16" ht="18" x14ac:dyDescent="0.35">
      <c r="A7505" s="9"/>
      <c r="C7505" s="393"/>
      <c r="E7505" s="394"/>
      <c r="F7505" s="394"/>
      <c r="G7505" s="394"/>
      <c r="I7505" s="368">
        <f t="shared" si="354"/>
        <v>0</v>
      </c>
      <c r="J7505" s="365">
        <f t="shared" si="355"/>
        <v>0</v>
      </c>
      <c r="K7505" s="369">
        <f t="shared" si="356"/>
        <v>6</v>
      </c>
      <c r="L7505" s="369">
        <f>+IF((C7505&gt;='Resultats - informe'!$E$16)*(C7505&lt;='Resultats - informe'!$G$16),1,0)</f>
        <v>1</v>
      </c>
      <c r="M7505" s="369" cm="1">
        <f t="array" ref="M7505">+_xlfn.IFS((C7505&gt;='Resultats - informe'!$D$26)*(C7505&lt;='Resultats - informe'!$E$26),0,(C7505&gt;='Resultats - informe'!$D$27)*(C7505&lt;='Resultats - informe'!$E$27),0,(C7505&gt;='Resultats - informe'!$D$28)*(C7505&lt;='Resultats - informe'!$E$28),0,(C7505&gt;='Resultats - informe'!$D$29)*(C7505&lt;='Resultats - informe'!$E$29),0,1,1)</f>
        <v>0</v>
      </c>
      <c r="N7505" s="366">
        <f>+VLOOKUP(D7505,'Resultats - informe'!$Y$18:$AG$42,'Introducció dades consum'!K7505+1,0)</f>
        <v>0</v>
      </c>
      <c r="O7505" s="370" cm="1">
        <f t="array" ref="O7505">+_xlfn.SWITCH(MONTH(C7505),1,1,2,1,3,1,4,2,5,2,6,3,7,3,8,3,9,3,10,2,11,2,12,1,2)</f>
        <v>1</v>
      </c>
      <c r="P7505" s="43"/>
    </row>
    <row r="7506" spans="1:16" ht="18" x14ac:dyDescent="0.35">
      <c r="A7506" s="9"/>
      <c r="C7506" s="393"/>
      <c r="E7506" s="394"/>
      <c r="F7506" s="394"/>
      <c r="G7506" s="394"/>
      <c r="I7506" s="368">
        <f t="shared" ref="I7506:I7569" si="357">+E7506+G7506</f>
        <v>0</v>
      </c>
      <c r="J7506" s="365">
        <f t="shared" ref="J7506:J7569" si="358">+C7506</f>
        <v>0</v>
      </c>
      <c r="K7506" s="369">
        <f t="shared" ref="K7506:K7569" si="359">+WEEKDAY(C7506,2)</f>
        <v>6</v>
      </c>
      <c r="L7506" s="369">
        <f>+IF((C7506&gt;='Resultats - informe'!$E$16)*(C7506&lt;='Resultats - informe'!$G$16),1,0)</f>
        <v>1</v>
      </c>
      <c r="M7506" s="369" cm="1">
        <f t="array" ref="M7506">+_xlfn.IFS((C7506&gt;='Resultats - informe'!$D$26)*(C7506&lt;='Resultats - informe'!$E$26),0,(C7506&gt;='Resultats - informe'!$D$27)*(C7506&lt;='Resultats - informe'!$E$27),0,(C7506&gt;='Resultats - informe'!$D$28)*(C7506&lt;='Resultats - informe'!$E$28),0,(C7506&gt;='Resultats - informe'!$D$29)*(C7506&lt;='Resultats - informe'!$E$29),0,1,1)</f>
        <v>0</v>
      </c>
      <c r="N7506" s="366">
        <f>+VLOOKUP(D7506,'Resultats - informe'!$Y$18:$AG$42,'Introducció dades consum'!K7506+1,0)</f>
        <v>0</v>
      </c>
      <c r="O7506" s="370" cm="1">
        <f t="array" ref="O7506">+_xlfn.SWITCH(MONTH(C7506),1,1,2,1,3,1,4,2,5,2,6,3,7,3,8,3,9,3,10,2,11,2,12,1,2)</f>
        <v>1</v>
      </c>
      <c r="P7506" s="43"/>
    </row>
    <row r="7507" spans="1:16" ht="18" x14ac:dyDescent="0.35">
      <c r="A7507" s="9"/>
      <c r="C7507" s="393"/>
      <c r="E7507" s="394"/>
      <c r="F7507" s="394"/>
      <c r="G7507" s="394"/>
      <c r="I7507" s="368">
        <f t="shared" si="357"/>
        <v>0</v>
      </c>
      <c r="J7507" s="365">
        <f t="shared" si="358"/>
        <v>0</v>
      </c>
      <c r="K7507" s="369">
        <f t="shared" si="359"/>
        <v>6</v>
      </c>
      <c r="L7507" s="369">
        <f>+IF((C7507&gt;='Resultats - informe'!$E$16)*(C7507&lt;='Resultats - informe'!$G$16),1,0)</f>
        <v>1</v>
      </c>
      <c r="M7507" s="369" cm="1">
        <f t="array" ref="M7507">+_xlfn.IFS((C7507&gt;='Resultats - informe'!$D$26)*(C7507&lt;='Resultats - informe'!$E$26),0,(C7507&gt;='Resultats - informe'!$D$27)*(C7507&lt;='Resultats - informe'!$E$27),0,(C7507&gt;='Resultats - informe'!$D$28)*(C7507&lt;='Resultats - informe'!$E$28),0,(C7507&gt;='Resultats - informe'!$D$29)*(C7507&lt;='Resultats - informe'!$E$29),0,1,1)</f>
        <v>0</v>
      </c>
      <c r="N7507" s="366">
        <f>+VLOOKUP(D7507,'Resultats - informe'!$Y$18:$AG$42,'Introducció dades consum'!K7507+1,0)</f>
        <v>0</v>
      </c>
      <c r="O7507" s="370" cm="1">
        <f t="array" ref="O7507">+_xlfn.SWITCH(MONTH(C7507),1,1,2,1,3,1,4,2,5,2,6,3,7,3,8,3,9,3,10,2,11,2,12,1,2)</f>
        <v>1</v>
      </c>
      <c r="P7507" s="43"/>
    </row>
    <row r="7508" spans="1:16" ht="18" x14ac:dyDescent="0.35">
      <c r="A7508" s="9"/>
      <c r="C7508" s="393"/>
      <c r="E7508" s="394"/>
      <c r="F7508" s="394"/>
      <c r="G7508" s="394"/>
      <c r="I7508" s="368">
        <f t="shared" si="357"/>
        <v>0</v>
      </c>
      <c r="J7508" s="365">
        <f t="shared" si="358"/>
        <v>0</v>
      </c>
      <c r="K7508" s="369">
        <f t="shared" si="359"/>
        <v>6</v>
      </c>
      <c r="L7508" s="369">
        <f>+IF((C7508&gt;='Resultats - informe'!$E$16)*(C7508&lt;='Resultats - informe'!$G$16),1,0)</f>
        <v>1</v>
      </c>
      <c r="M7508" s="369" cm="1">
        <f t="array" ref="M7508">+_xlfn.IFS((C7508&gt;='Resultats - informe'!$D$26)*(C7508&lt;='Resultats - informe'!$E$26),0,(C7508&gt;='Resultats - informe'!$D$27)*(C7508&lt;='Resultats - informe'!$E$27),0,(C7508&gt;='Resultats - informe'!$D$28)*(C7508&lt;='Resultats - informe'!$E$28),0,(C7508&gt;='Resultats - informe'!$D$29)*(C7508&lt;='Resultats - informe'!$E$29),0,1,1)</f>
        <v>0</v>
      </c>
      <c r="N7508" s="366">
        <f>+VLOOKUP(D7508,'Resultats - informe'!$Y$18:$AG$42,'Introducció dades consum'!K7508+1,0)</f>
        <v>0</v>
      </c>
      <c r="O7508" s="370" cm="1">
        <f t="array" ref="O7508">+_xlfn.SWITCH(MONTH(C7508),1,1,2,1,3,1,4,2,5,2,6,3,7,3,8,3,9,3,10,2,11,2,12,1,2)</f>
        <v>1</v>
      </c>
      <c r="P7508" s="43"/>
    </row>
    <row r="7509" spans="1:16" ht="18" x14ac:dyDescent="0.35">
      <c r="A7509" s="9"/>
      <c r="C7509" s="393"/>
      <c r="E7509" s="394"/>
      <c r="F7509" s="394"/>
      <c r="G7509" s="394"/>
      <c r="I7509" s="368">
        <f t="shared" si="357"/>
        <v>0</v>
      </c>
      <c r="J7509" s="365">
        <f t="shared" si="358"/>
        <v>0</v>
      </c>
      <c r="K7509" s="369">
        <f t="shared" si="359"/>
        <v>6</v>
      </c>
      <c r="L7509" s="369">
        <f>+IF((C7509&gt;='Resultats - informe'!$E$16)*(C7509&lt;='Resultats - informe'!$G$16),1,0)</f>
        <v>1</v>
      </c>
      <c r="M7509" s="369" cm="1">
        <f t="array" ref="M7509">+_xlfn.IFS((C7509&gt;='Resultats - informe'!$D$26)*(C7509&lt;='Resultats - informe'!$E$26),0,(C7509&gt;='Resultats - informe'!$D$27)*(C7509&lt;='Resultats - informe'!$E$27),0,(C7509&gt;='Resultats - informe'!$D$28)*(C7509&lt;='Resultats - informe'!$E$28),0,(C7509&gt;='Resultats - informe'!$D$29)*(C7509&lt;='Resultats - informe'!$E$29),0,1,1)</f>
        <v>0</v>
      </c>
      <c r="N7509" s="366">
        <f>+VLOOKUP(D7509,'Resultats - informe'!$Y$18:$AG$42,'Introducció dades consum'!K7509+1,0)</f>
        <v>0</v>
      </c>
      <c r="O7509" s="370" cm="1">
        <f t="array" ref="O7509">+_xlfn.SWITCH(MONTH(C7509),1,1,2,1,3,1,4,2,5,2,6,3,7,3,8,3,9,3,10,2,11,2,12,1,2)</f>
        <v>1</v>
      </c>
      <c r="P7509" s="43"/>
    </row>
    <row r="7510" spans="1:16" ht="18" x14ac:dyDescent="0.35">
      <c r="A7510" s="9"/>
      <c r="C7510" s="393"/>
      <c r="E7510" s="394"/>
      <c r="F7510" s="394"/>
      <c r="G7510" s="394"/>
      <c r="I7510" s="368">
        <f t="shared" si="357"/>
        <v>0</v>
      </c>
      <c r="J7510" s="365">
        <f t="shared" si="358"/>
        <v>0</v>
      </c>
      <c r="K7510" s="369">
        <f t="shared" si="359"/>
        <v>6</v>
      </c>
      <c r="L7510" s="369">
        <f>+IF((C7510&gt;='Resultats - informe'!$E$16)*(C7510&lt;='Resultats - informe'!$G$16),1,0)</f>
        <v>1</v>
      </c>
      <c r="M7510" s="369" cm="1">
        <f t="array" ref="M7510">+_xlfn.IFS((C7510&gt;='Resultats - informe'!$D$26)*(C7510&lt;='Resultats - informe'!$E$26),0,(C7510&gt;='Resultats - informe'!$D$27)*(C7510&lt;='Resultats - informe'!$E$27),0,(C7510&gt;='Resultats - informe'!$D$28)*(C7510&lt;='Resultats - informe'!$E$28),0,(C7510&gt;='Resultats - informe'!$D$29)*(C7510&lt;='Resultats - informe'!$E$29),0,1,1)</f>
        <v>0</v>
      </c>
      <c r="N7510" s="366">
        <f>+VLOOKUP(D7510,'Resultats - informe'!$Y$18:$AG$42,'Introducció dades consum'!K7510+1,0)</f>
        <v>0</v>
      </c>
      <c r="O7510" s="370" cm="1">
        <f t="array" ref="O7510">+_xlfn.SWITCH(MONTH(C7510),1,1,2,1,3,1,4,2,5,2,6,3,7,3,8,3,9,3,10,2,11,2,12,1,2)</f>
        <v>1</v>
      </c>
      <c r="P7510" s="43"/>
    </row>
    <row r="7511" spans="1:16" ht="18" x14ac:dyDescent="0.35">
      <c r="A7511" s="9"/>
      <c r="C7511" s="393"/>
      <c r="E7511" s="394"/>
      <c r="F7511" s="394"/>
      <c r="G7511" s="394"/>
      <c r="I7511" s="368">
        <f t="shared" si="357"/>
        <v>0</v>
      </c>
      <c r="J7511" s="365">
        <f t="shared" si="358"/>
        <v>0</v>
      </c>
      <c r="K7511" s="369">
        <f t="shared" si="359"/>
        <v>6</v>
      </c>
      <c r="L7511" s="369">
        <f>+IF((C7511&gt;='Resultats - informe'!$E$16)*(C7511&lt;='Resultats - informe'!$G$16),1,0)</f>
        <v>1</v>
      </c>
      <c r="M7511" s="369" cm="1">
        <f t="array" ref="M7511">+_xlfn.IFS((C7511&gt;='Resultats - informe'!$D$26)*(C7511&lt;='Resultats - informe'!$E$26),0,(C7511&gt;='Resultats - informe'!$D$27)*(C7511&lt;='Resultats - informe'!$E$27),0,(C7511&gt;='Resultats - informe'!$D$28)*(C7511&lt;='Resultats - informe'!$E$28),0,(C7511&gt;='Resultats - informe'!$D$29)*(C7511&lt;='Resultats - informe'!$E$29),0,1,1)</f>
        <v>0</v>
      </c>
      <c r="N7511" s="366">
        <f>+VLOOKUP(D7511,'Resultats - informe'!$Y$18:$AG$42,'Introducció dades consum'!K7511+1,0)</f>
        <v>0</v>
      </c>
      <c r="O7511" s="370" cm="1">
        <f t="array" ref="O7511">+_xlfn.SWITCH(MONTH(C7511),1,1,2,1,3,1,4,2,5,2,6,3,7,3,8,3,9,3,10,2,11,2,12,1,2)</f>
        <v>1</v>
      </c>
      <c r="P7511" s="43"/>
    </row>
    <row r="7512" spans="1:16" ht="18" x14ac:dyDescent="0.35">
      <c r="A7512" s="9"/>
      <c r="C7512" s="393"/>
      <c r="E7512" s="394"/>
      <c r="F7512" s="394"/>
      <c r="G7512" s="394"/>
      <c r="I7512" s="368">
        <f t="shared" si="357"/>
        <v>0</v>
      </c>
      <c r="J7512" s="365">
        <f t="shared" si="358"/>
        <v>0</v>
      </c>
      <c r="K7512" s="369">
        <f t="shared" si="359"/>
        <v>6</v>
      </c>
      <c r="L7512" s="369">
        <f>+IF((C7512&gt;='Resultats - informe'!$E$16)*(C7512&lt;='Resultats - informe'!$G$16),1,0)</f>
        <v>1</v>
      </c>
      <c r="M7512" s="369" cm="1">
        <f t="array" ref="M7512">+_xlfn.IFS((C7512&gt;='Resultats - informe'!$D$26)*(C7512&lt;='Resultats - informe'!$E$26),0,(C7512&gt;='Resultats - informe'!$D$27)*(C7512&lt;='Resultats - informe'!$E$27),0,(C7512&gt;='Resultats - informe'!$D$28)*(C7512&lt;='Resultats - informe'!$E$28),0,(C7512&gt;='Resultats - informe'!$D$29)*(C7512&lt;='Resultats - informe'!$E$29),0,1,1)</f>
        <v>0</v>
      </c>
      <c r="N7512" s="366">
        <f>+VLOOKUP(D7512,'Resultats - informe'!$Y$18:$AG$42,'Introducció dades consum'!K7512+1,0)</f>
        <v>0</v>
      </c>
      <c r="O7512" s="370" cm="1">
        <f t="array" ref="O7512">+_xlfn.SWITCH(MONTH(C7512),1,1,2,1,3,1,4,2,5,2,6,3,7,3,8,3,9,3,10,2,11,2,12,1,2)</f>
        <v>1</v>
      </c>
      <c r="P7512" s="43"/>
    </row>
    <row r="7513" spans="1:16" ht="18" x14ac:dyDescent="0.35">
      <c r="A7513" s="9"/>
      <c r="C7513" s="393"/>
      <c r="E7513" s="394"/>
      <c r="F7513" s="394"/>
      <c r="G7513" s="394"/>
      <c r="I7513" s="368">
        <f t="shared" si="357"/>
        <v>0</v>
      </c>
      <c r="J7513" s="365">
        <f t="shared" si="358"/>
        <v>0</v>
      </c>
      <c r="K7513" s="369">
        <f t="shared" si="359"/>
        <v>6</v>
      </c>
      <c r="L7513" s="369">
        <f>+IF((C7513&gt;='Resultats - informe'!$E$16)*(C7513&lt;='Resultats - informe'!$G$16),1,0)</f>
        <v>1</v>
      </c>
      <c r="M7513" s="369" cm="1">
        <f t="array" ref="M7513">+_xlfn.IFS((C7513&gt;='Resultats - informe'!$D$26)*(C7513&lt;='Resultats - informe'!$E$26),0,(C7513&gt;='Resultats - informe'!$D$27)*(C7513&lt;='Resultats - informe'!$E$27),0,(C7513&gt;='Resultats - informe'!$D$28)*(C7513&lt;='Resultats - informe'!$E$28),0,(C7513&gt;='Resultats - informe'!$D$29)*(C7513&lt;='Resultats - informe'!$E$29),0,1,1)</f>
        <v>0</v>
      </c>
      <c r="N7513" s="366">
        <f>+VLOOKUP(D7513,'Resultats - informe'!$Y$18:$AG$42,'Introducció dades consum'!K7513+1,0)</f>
        <v>0</v>
      </c>
      <c r="O7513" s="370" cm="1">
        <f t="array" ref="O7513">+_xlfn.SWITCH(MONTH(C7513),1,1,2,1,3,1,4,2,5,2,6,3,7,3,8,3,9,3,10,2,11,2,12,1,2)</f>
        <v>1</v>
      </c>
      <c r="P7513" s="43"/>
    </row>
    <row r="7514" spans="1:16" ht="18" x14ac:dyDescent="0.35">
      <c r="A7514" s="9"/>
      <c r="C7514" s="393"/>
      <c r="E7514" s="394"/>
      <c r="F7514" s="394"/>
      <c r="G7514" s="394"/>
      <c r="I7514" s="368">
        <f t="shared" si="357"/>
        <v>0</v>
      </c>
      <c r="J7514" s="365">
        <f t="shared" si="358"/>
        <v>0</v>
      </c>
      <c r="K7514" s="369">
        <f t="shared" si="359"/>
        <v>6</v>
      </c>
      <c r="L7514" s="369">
        <f>+IF((C7514&gt;='Resultats - informe'!$E$16)*(C7514&lt;='Resultats - informe'!$G$16),1,0)</f>
        <v>1</v>
      </c>
      <c r="M7514" s="369" cm="1">
        <f t="array" ref="M7514">+_xlfn.IFS((C7514&gt;='Resultats - informe'!$D$26)*(C7514&lt;='Resultats - informe'!$E$26),0,(C7514&gt;='Resultats - informe'!$D$27)*(C7514&lt;='Resultats - informe'!$E$27),0,(C7514&gt;='Resultats - informe'!$D$28)*(C7514&lt;='Resultats - informe'!$E$28),0,(C7514&gt;='Resultats - informe'!$D$29)*(C7514&lt;='Resultats - informe'!$E$29),0,1,1)</f>
        <v>0</v>
      </c>
      <c r="N7514" s="366">
        <f>+VLOOKUP(D7514,'Resultats - informe'!$Y$18:$AG$42,'Introducció dades consum'!K7514+1,0)</f>
        <v>0</v>
      </c>
      <c r="O7514" s="370" cm="1">
        <f t="array" ref="O7514">+_xlfn.SWITCH(MONTH(C7514),1,1,2,1,3,1,4,2,5,2,6,3,7,3,8,3,9,3,10,2,11,2,12,1,2)</f>
        <v>1</v>
      </c>
      <c r="P7514" s="43"/>
    </row>
    <row r="7515" spans="1:16" ht="18" x14ac:dyDescent="0.35">
      <c r="A7515" s="9"/>
      <c r="C7515" s="393"/>
      <c r="E7515" s="394"/>
      <c r="F7515" s="394"/>
      <c r="G7515" s="394"/>
      <c r="I7515" s="368">
        <f t="shared" si="357"/>
        <v>0</v>
      </c>
      <c r="J7515" s="365">
        <f t="shared" si="358"/>
        <v>0</v>
      </c>
      <c r="K7515" s="369">
        <f t="shared" si="359"/>
        <v>6</v>
      </c>
      <c r="L7515" s="369">
        <f>+IF((C7515&gt;='Resultats - informe'!$E$16)*(C7515&lt;='Resultats - informe'!$G$16),1,0)</f>
        <v>1</v>
      </c>
      <c r="M7515" s="369" cm="1">
        <f t="array" ref="M7515">+_xlfn.IFS((C7515&gt;='Resultats - informe'!$D$26)*(C7515&lt;='Resultats - informe'!$E$26),0,(C7515&gt;='Resultats - informe'!$D$27)*(C7515&lt;='Resultats - informe'!$E$27),0,(C7515&gt;='Resultats - informe'!$D$28)*(C7515&lt;='Resultats - informe'!$E$28),0,(C7515&gt;='Resultats - informe'!$D$29)*(C7515&lt;='Resultats - informe'!$E$29),0,1,1)</f>
        <v>0</v>
      </c>
      <c r="N7515" s="366">
        <f>+VLOOKUP(D7515,'Resultats - informe'!$Y$18:$AG$42,'Introducció dades consum'!K7515+1,0)</f>
        <v>0</v>
      </c>
      <c r="O7515" s="370" cm="1">
        <f t="array" ref="O7515">+_xlfn.SWITCH(MONTH(C7515),1,1,2,1,3,1,4,2,5,2,6,3,7,3,8,3,9,3,10,2,11,2,12,1,2)</f>
        <v>1</v>
      </c>
      <c r="P7515" s="43"/>
    </row>
    <row r="7516" spans="1:16" ht="18" x14ac:dyDescent="0.35">
      <c r="A7516" s="9"/>
      <c r="C7516" s="393"/>
      <c r="E7516" s="394"/>
      <c r="F7516" s="394"/>
      <c r="G7516" s="394"/>
      <c r="I7516" s="368">
        <f t="shared" si="357"/>
        <v>0</v>
      </c>
      <c r="J7516" s="365">
        <f t="shared" si="358"/>
        <v>0</v>
      </c>
      <c r="K7516" s="369">
        <f t="shared" si="359"/>
        <v>6</v>
      </c>
      <c r="L7516" s="369">
        <f>+IF((C7516&gt;='Resultats - informe'!$E$16)*(C7516&lt;='Resultats - informe'!$G$16),1,0)</f>
        <v>1</v>
      </c>
      <c r="M7516" s="369" cm="1">
        <f t="array" ref="M7516">+_xlfn.IFS((C7516&gt;='Resultats - informe'!$D$26)*(C7516&lt;='Resultats - informe'!$E$26),0,(C7516&gt;='Resultats - informe'!$D$27)*(C7516&lt;='Resultats - informe'!$E$27),0,(C7516&gt;='Resultats - informe'!$D$28)*(C7516&lt;='Resultats - informe'!$E$28),0,(C7516&gt;='Resultats - informe'!$D$29)*(C7516&lt;='Resultats - informe'!$E$29),0,1,1)</f>
        <v>0</v>
      </c>
      <c r="N7516" s="366">
        <f>+VLOOKUP(D7516,'Resultats - informe'!$Y$18:$AG$42,'Introducció dades consum'!K7516+1,0)</f>
        <v>0</v>
      </c>
      <c r="O7516" s="370" cm="1">
        <f t="array" ref="O7516">+_xlfn.SWITCH(MONTH(C7516),1,1,2,1,3,1,4,2,5,2,6,3,7,3,8,3,9,3,10,2,11,2,12,1,2)</f>
        <v>1</v>
      </c>
      <c r="P7516" s="43"/>
    </row>
    <row r="7517" spans="1:16" ht="18" x14ac:dyDescent="0.35">
      <c r="A7517" s="9"/>
      <c r="C7517" s="393"/>
      <c r="E7517" s="394"/>
      <c r="F7517" s="394"/>
      <c r="G7517" s="394"/>
      <c r="I7517" s="368">
        <f t="shared" si="357"/>
        <v>0</v>
      </c>
      <c r="J7517" s="365">
        <f t="shared" si="358"/>
        <v>0</v>
      </c>
      <c r="K7517" s="369">
        <f t="shared" si="359"/>
        <v>6</v>
      </c>
      <c r="L7517" s="369">
        <f>+IF((C7517&gt;='Resultats - informe'!$E$16)*(C7517&lt;='Resultats - informe'!$G$16),1,0)</f>
        <v>1</v>
      </c>
      <c r="M7517" s="369" cm="1">
        <f t="array" ref="M7517">+_xlfn.IFS((C7517&gt;='Resultats - informe'!$D$26)*(C7517&lt;='Resultats - informe'!$E$26),0,(C7517&gt;='Resultats - informe'!$D$27)*(C7517&lt;='Resultats - informe'!$E$27),0,(C7517&gt;='Resultats - informe'!$D$28)*(C7517&lt;='Resultats - informe'!$E$28),0,(C7517&gt;='Resultats - informe'!$D$29)*(C7517&lt;='Resultats - informe'!$E$29),0,1,1)</f>
        <v>0</v>
      </c>
      <c r="N7517" s="366">
        <f>+VLOOKUP(D7517,'Resultats - informe'!$Y$18:$AG$42,'Introducció dades consum'!K7517+1,0)</f>
        <v>0</v>
      </c>
      <c r="O7517" s="370" cm="1">
        <f t="array" ref="O7517">+_xlfn.SWITCH(MONTH(C7517),1,1,2,1,3,1,4,2,5,2,6,3,7,3,8,3,9,3,10,2,11,2,12,1,2)</f>
        <v>1</v>
      </c>
      <c r="P7517" s="43"/>
    </row>
    <row r="7518" spans="1:16" ht="18" x14ac:dyDescent="0.35">
      <c r="A7518" s="9"/>
      <c r="C7518" s="393"/>
      <c r="E7518" s="394"/>
      <c r="F7518" s="394"/>
      <c r="G7518" s="394"/>
      <c r="I7518" s="368">
        <f t="shared" si="357"/>
        <v>0</v>
      </c>
      <c r="J7518" s="365">
        <f t="shared" si="358"/>
        <v>0</v>
      </c>
      <c r="K7518" s="369">
        <f t="shared" si="359"/>
        <v>6</v>
      </c>
      <c r="L7518" s="369">
        <f>+IF((C7518&gt;='Resultats - informe'!$E$16)*(C7518&lt;='Resultats - informe'!$G$16),1,0)</f>
        <v>1</v>
      </c>
      <c r="M7518" s="369" cm="1">
        <f t="array" ref="M7518">+_xlfn.IFS((C7518&gt;='Resultats - informe'!$D$26)*(C7518&lt;='Resultats - informe'!$E$26),0,(C7518&gt;='Resultats - informe'!$D$27)*(C7518&lt;='Resultats - informe'!$E$27),0,(C7518&gt;='Resultats - informe'!$D$28)*(C7518&lt;='Resultats - informe'!$E$28),0,(C7518&gt;='Resultats - informe'!$D$29)*(C7518&lt;='Resultats - informe'!$E$29),0,1,1)</f>
        <v>0</v>
      </c>
      <c r="N7518" s="366">
        <f>+VLOOKUP(D7518,'Resultats - informe'!$Y$18:$AG$42,'Introducció dades consum'!K7518+1,0)</f>
        <v>0</v>
      </c>
      <c r="O7518" s="370" cm="1">
        <f t="array" ref="O7518">+_xlfn.SWITCH(MONTH(C7518),1,1,2,1,3,1,4,2,5,2,6,3,7,3,8,3,9,3,10,2,11,2,12,1,2)</f>
        <v>1</v>
      </c>
      <c r="P7518" s="43"/>
    </row>
    <row r="7519" spans="1:16" ht="18" x14ac:dyDescent="0.35">
      <c r="A7519" s="9"/>
      <c r="C7519" s="393"/>
      <c r="E7519" s="394"/>
      <c r="F7519" s="394"/>
      <c r="G7519" s="394"/>
      <c r="I7519" s="368">
        <f t="shared" si="357"/>
        <v>0</v>
      </c>
      <c r="J7519" s="365">
        <f t="shared" si="358"/>
        <v>0</v>
      </c>
      <c r="K7519" s="369">
        <f t="shared" si="359"/>
        <v>6</v>
      </c>
      <c r="L7519" s="369">
        <f>+IF((C7519&gt;='Resultats - informe'!$E$16)*(C7519&lt;='Resultats - informe'!$G$16),1,0)</f>
        <v>1</v>
      </c>
      <c r="M7519" s="369" cm="1">
        <f t="array" ref="M7519">+_xlfn.IFS((C7519&gt;='Resultats - informe'!$D$26)*(C7519&lt;='Resultats - informe'!$E$26),0,(C7519&gt;='Resultats - informe'!$D$27)*(C7519&lt;='Resultats - informe'!$E$27),0,(C7519&gt;='Resultats - informe'!$D$28)*(C7519&lt;='Resultats - informe'!$E$28),0,(C7519&gt;='Resultats - informe'!$D$29)*(C7519&lt;='Resultats - informe'!$E$29),0,1,1)</f>
        <v>0</v>
      </c>
      <c r="N7519" s="366">
        <f>+VLOOKUP(D7519,'Resultats - informe'!$Y$18:$AG$42,'Introducció dades consum'!K7519+1,0)</f>
        <v>0</v>
      </c>
      <c r="O7519" s="370" cm="1">
        <f t="array" ref="O7519">+_xlfn.SWITCH(MONTH(C7519),1,1,2,1,3,1,4,2,5,2,6,3,7,3,8,3,9,3,10,2,11,2,12,1,2)</f>
        <v>1</v>
      </c>
      <c r="P7519" s="43"/>
    </row>
    <row r="7520" spans="1:16" ht="18" x14ac:dyDescent="0.35">
      <c r="A7520" s="9"/>
      <c r="C7520" s="393"/>
      <c r="E7520" s="394"/>
      <c r="F7520" s="394"/>
      <c r="G7520" s="394"/>
      <c r="I7520" s="368">
        <f t="shared" si="357"/>
        <v>0</v>
      </c>
      <c r="J7520" s="365">
        <f t="shared" si="358"/>
        <v>0</v>
      </c>
      <c r="K7520" s="369">
        <f t="shared" si="359"/>
        <v>6</v>
      </c>
      <c r="L7520" s="369">
        <f>+IF((C7520&gt;='Resultats - informe'!$E$16)*(C7520&lt;='Resultats - informe'!$G$16),1,0)</f>
        <v>1</v>
      </c>
      <c r="M7520" s="369" cm="1">
        <f t="array" ref="M7520">+_xlfn.IFS((C7520&gt;='Resultats - informe'!$D$26)*(C7520&lt;='Resultats - informe'!$E$26),0,(C7520&gt;='Resultats - informe'!$D$27)*(C7520&lt;='Resultats - informe'!$E$27),0,(C7520&gt;='Resultats - informe'!$D$28)*(C7520&lt;='Resultats - informe'!$E$28),0,(C7520&gt;='Resultats - informe'!$D$29)*(C7520&lt;='Resultats - informe'!$E$29),0,1,1)</f>
        <v>0</v>
      </c>
      <c r="N7520" s="366">
        <f>+VLOOKUP(D7520,'Resultats - informe'!$Y$18:$AG$42,'Introducció dades consum'!K7520+1,0)</f>
        <v>0</v>
      </c>
      <c r="O7520" s="370" cm="1">
        <f t="array" ref="O7520">+_xlfn.SWITCH(MONTH(C7520),1,1,2,1,3,1,4,2,5,2,6,3,7,3,8,3,9,3,10,2,11,2,12,1,2)</f>
        <v>1</v>
      </c>
      <c r="P7520" s="43"/>
    </row>
    <row r="7521" spans="1:16" ht="18" x14ac:dyDescent="0.35">
      <c r="A7521" s="9"/>
      <c r="C7521" s="393"/>
      <c r="E7521" s="394"/>
      <c r="F7521" s="394"/>
      <c r="G7521" s="394"/>
      <c r="I7521" s="368">
        <f t="shared" si="357"/>
        <v>0</v>
      </c>
      <c r="J7521" s="365">
        <f t="shared" si="358"/>
        <v>0</v>
      </c>
      <c r="K7521" s="369">
        <f t="shared" si="359"/>
        <v>6</v>
      </c>
      <c r="L7521" s="369">
        <f>+IF((C7521&gt;='Resultats - informe'!$E$16)*(C7521&lt;='Resultats - informe'!$G$16),1,0)</f>
        <v>1</v>
      </c>
      <c r="M7521" s="369" cm="1">
        <f t="array" ref="M7521">+_xlfn.IFS((C7521&gt;='Resultats - informe'!$D$26)*(C7521&lt;='Resultats - informe'!$E$26),0,(C7521&gt;='Resultats - informe'!$D$27)*(C7521&lt;='Resultats - informe'!$E$27),0,(C7521&gt;='Resultats - informe'!$D$28)*(C7521&lt;='Resultats - informe'!$E$28),0,(C7521&gt;='Resultats - informe'!$D$29)*(C7521&lt;='Resultats - informe'!$E$29),0,1,1)</f>
        <v>0</v>
      </c>
      <c r="N7521" s="366">
        <f>+VLOOKUP(D7521,'Resultats - informe'!$Y$18:$AG$42,'Introducció dades consum'!K7521+1,0)</f>
        <v>0</v>
      </c>
      <c r="O7521" s="370" cm="1">
        <f t="array" ref="O7521">+_xlfn.SWITCH(MONTH(C7521),1,1,2,1,3,1,4,2,5,2,6,3,7,3,8,3,9,3,10,2,11,2,12,1,2)</f>
        <v>1</v>
      </c>
      <c r="P7521" s="43"/>
    </row>
    <row r="7522" spans="1:16" ht="18" x14ac:dyDescent="0.35">
      <c r="A7522" s="9"/>
      <c r="C7522" s="393"/>
      <c r="E7522" s="394"/>
      <c r="F7522" s="394"/>
      <c r="G7522" s="394"/>
      <c r="I7522" s="368">
        <f t="shared" si="357"/>
        <v>0</v>
      </c>
      <c r="J7522" s="365">
        <f t="shared" si="358"/>
        <v>0</v>
      </c>
      <c r="K7522" s="369">
        <f t="shared" si="359"/>
        <v>6</v>
      </c>
      <c r="L7522" s="369">
        <f>+IF((C7522&gt;='Resultats - informe'!$E$16)*(C7522&lt;='Resultats - informe'!$G$16),1,0)</f>
        <v>1</v>
      </c>
      <c r="M7522" s="369" cm="1">
        <f t="array" ref="M7522">+_xlfn.IFS((C7522&gt;='Resultats - informe'!$D$26)*(C7522&lt;='Resultats - informe'!$E$26),0,(C7522&gt;='Resultats - informe'!$D$27)*(C7522&lt;='Resultats - informe'!$E$27),0,(C7522&gt;='Resultats - informe'!$D$28)*(C7522&lt;='Resultats - informe'!$E$28),0,(C7522&gt;='Resultats - informe'!$D$29)*(C7522&lt;='Resultats - informe'!$E$29),0,1,1)</f>
        <v>0</v>
      </c>
      <c r="N7522" s="366">
        <f>+VLOOKUP(D7522,'Resultats - informe'!$Y$18:$AG$42,'Introducció dades consum'!K7522+1,0)</f>
        <v>0</v>
      </c>
      <c r="O7522" s="370" cm="1">
        <f t="array" ref="O7522">+_xlfn.SWITCH(MONTH(C7522),1,1,2,1,3,1,4,2,5,2,6,3,7,3,8,3,9,3,10,2,11,2,12,1,2)</f>
        <v>1</v>
      </c>
      <c r="P7522" s="43"/>
    </row>
    <row r="7523" spans="1:16" ht="18" x14ac:dyDescent="0.35">
      <c r="A7523" s="9"/>
      <c r="C7523" s="393"/>
      <c r="E7523" s="394"/>
      <c r="F7523" s="394"/>
      <c r="G7523" s="394"/>
      <c r="I7523" s="368">
        <f t="shared" si="357"/>
        <v>0</v>
      </c>
      <c r="J7523" s="365">
        <f t="shared" si="358"/>
        <v>0</v>
      </c>
      <c r="K7523" s="369">
        <f t="shared" si="359"/>
        <v>6</v>
      </c>
      <c r="L7523" s="369">
        <f>+IF((C7523&gt;='Resultats - informe'!$E$16)*(C7523&lt;='Resultats - informe'!$G$16),1,0)</f>
        <v>1</v>
      </c>
      <c r="M7523" s="369" cm="1">
        <f t="array" ref="M7523">+_xlfn.IFS((C7523&gt;='Resultats - informe'!$D$26)*(C7523&lt;='Resultats - informe'!$E$26),0,(C7523&gt;='Resultats - informe'!$D$27)*(C7523&lt;='Resultats - informe'!$E$27),0,(C7523&gt;='Resultats - informe'!$D$28)*(C7523&lt;='Resultats - informe'!$E$28),0,(C7523&gt;='Resultats - informe'!$D$29)*(C7523&lt;='Resultats - informe'!$E$29),0,1,1)</f>
        <v>0</v>
      </c>
      <c r="N7523" s="366">
        <f>+VLOOKUP(D7523,'Resultats - informe'!$Y$18:$AG$42,'Introducció dades consum'!K7523+1,0)</f>
        <v>0</v>
      </c>
      <c r="O7523" s="370" cm="1">
        <f t="array" ref="O7523">+_xlfn.SWITCH(MONTH(C7523),1,1,2,1,3,1,4,2,5,2,6,3,7,3,8,3,9,3,10,2,11,2,12,1,2)</f>
        <v>1</v>
      </c>
      <c r="P7523" s="43"/>
    </row>
    <row r="7524" spans="1:16" ht="18" x14ac:dyDescent="0.35">
      <c r="A7524" s="9"/>
      <c r="C7524" s="393"/>
      <c r="E7524" s="394"/>
      <c r="F7524" s="394"/>
      <c r="G7524" s="394"/>
      <c r="I7524" s="368">
        <f t="shared" si="357"/>
        <v>0</v>
      </c>
      <c r="J7524" s="365">
        <f t="shared" si="358"/>
        <v>0</v>
      </c>
      <c r="K7524" s="369">
        <f t="shared" si="359"/>
        <v>6</v>
      </c>
      <c r="L7524" s="369">
        <f>+IF((C7524&gt;='Resultats - informe'!$E$16)*(C7524&lt;='Resultats - informe'!$G$16),1,0)</f>
        <v>1</v>
      </c>
      <c r="M7524" s="369" cm="1">
        <f t="array" ref="M7524">+_xlfn.IFS((C7524&gt;='Resultats - informe'!$D$26)*(C7524&lt;='Resultats - informe'!$E$26),0,(C7524&gt;='Resultats - informe'!$D$27)*(C7524&lt;='Resultats - informe'!$E$27),0,(C7524&gt;='Resultats - informe'!$D$28)*(C7524&lt;='Resultats - informe'!$E$28),0,(C7524&gt;='Resultats - informe'!$D$29)*(C7524&lt;='Resultats - informe'!$E$29),0,1,1)</f>
        <v>0</v>
      </c>
      <c r="N7524" s="366">
        <f>+VLOOKUP(D7524,'Resultats - informe'!$Y$18:$AG$42,'Introducció dades consum'!K7524+1,0)</f>
        <v>0</v>
      </c>
      <c r="O7524" s="370" cm="1">
        <f t="array" ref="O7524">+_xlfn.SWITCH(MONTH(C7524),1,1,2,1,3,1,4,2,5,2,6,3,7,3,8,3,9,3,10,2,11,2,12,1,2)</f>
        <v>1</v>
      </c>
      <c r="P7524" s="43"/>
    </row>
    <row r="7525" spans="1:16" ht="18" x14ac:dyDescent="0.35">
      <c r="A7525" s="9"/>
      <c r="C7525" s="393"/>
      <c r="E7525" s="394"/>
      <c r="F7525" s="394"/>
      <c r="G7525" s="394"/>
      <c r="I7525" s="368">
        <f t="shared" si="357"/>
        <v>0</v>
      </c>
      <c r="J7525" s="365">
        <f t="shared" si="358"/>
        <v>0</v>
      </c>
      <c r="K7525" s="369">
        <f t="shared" si="359"/>
        <v>6</v>
      </c>
      <c r="L7525" s="369">
        <f>+IF((C7525&gt;='Resultats - informe'!$E$16)*(C7525&lt;='Resultats - informe'!$G$16),1,0)</f>
        <v>1</v>
      </c>
      <c r="M7525" s="369" cm="1">
        <f t="array" ref="M7525">+_xlfn.IFS((C7525&gt;='Resultats - informe'!$D$26)*(C7525&lt;='Resultats - informe'!$E$26),0,(C7525&gt;='Resultats - informe'!$D$27)*(C7525&lt;='Resultats - informe'!$E$27),0,(C7525&gt;='Resultats - informe'!$D$28)*(C7525&lt;='Resultats - informe'!$E$28),0,(C7525&gt;='Resultats - informe'!$D$29)*(C7525&lt;='Resultats - informe'!$E$29),0,1,1)</f>
        <v>0</v>
      </c>
      <c r="N7525" s="366">
        <f>+VLOOKUP(D7525,'Resultats - informe'!$Y$18:$AG$42,'Introducció dades consum'!K7525+1,0)</f>
        <v>0</v>
      </c>
      <c r="O7525" s="370" cm="1">
        <f t="array" ref="O7525">+_xlfn.SWITCH(MONTH(C7525),1,1,2,1,3,1,4,2,5,2,6,3,7,3,8,3,9,3,10,2,11,2,12,1,2)</f>
        <v>1</v>
      </c>
      <c r="P7525" s="43"/>
    </row>
    <row r="7526" spans="1:16" ht="18" x14ac:dyDescent="0.35">
      <c r="A7526" s="9"/>
      <c r="C7526" s="393"/>
      <c r="E7526" s="394"/>
      <c r="F7526" s="394"/>
      <c r="G7526" s="394"/>
      <c r="I7526" s="368">
        <f t="shared" si="357"/>
        <v>0</v>
      </c>
      <c r="J7526" s="365">
        <f t="shared" si="358"/>
        <v>0</v>
      </c>
      <c r="K7526" s="369">
        <f t="shared" si="359"/>
        <v>6</v>
      </c>
      <c r="L7526" s="369">
        <f>+IF((C7526&gt;='Resultats - informe'!$E$16)*(C7526&lt;='Resultats - informe'!$G$16),1,0)</f>
        <v>1</v>
      </c>
      <c r="M7526" s="369" cm="1">
        <f t="array" ref="M7526">+_xlfn.IFS((C7526&gt;='Resultats - informe'!$D$26)*(C7526&lt;='Resultats - informe'!$E$26),0,(C7526&gt;='Resultats - informe'!$D$27)*(C7526&lt;='Resultats - informe'!$E$27),0,(C7526&gt;='Resultats - informe'!$D$28)*(C7526&lt;='Resultats - informe'!$E$28),0,(C7526&gt;='Resultats - informe'!$D$29)*(C7526&lt;='Resultats - informe'!$E$29),0,1,1)</f>
        <v>0</v>
      </c>
      <c r="N7526" s="366">
        <f>+VLOOKUP(D7526,'Resultats - informe'!$Y$18:$AG$42,'Introducció dades consum'!K7526+1,0)</f>
        <v>0</v>
      </c>
      <c r="O7526" s="370" cm="1">
        <f t="array" ref="O7526">+_xlfn.SWITCH(MONTH(C7526),1,1,2,1,3,1,4,2,5,2,6,3,7,3,8,3,9,3,10,2,11,2,12,1,2)</f>
        <v>1</v>
      </c>
      <c r="P7526" s="43"/>
    </row>
    <row r="7527" spans="1:16" ht="18" x14ac:dyDescent="0.35">
      <c r="A7527" s="9"/>
      <c r="C7527" s="393"/>
      <c r="E7527" s="394"/>
      <c r="F7527" s="394"/>
      <c r="G7527" s="394"/>
      <c r="I7527" s="368">
        <f t="shared" si="357"/>
        <v>0</v>
      </c>
      <c r="J7527" s="365">
        <f t="shared" si="358"/>
        <v>0</v>
      </c>
      <c r="K7527" s="369">
        <f t="shared" si="359"/>
        <v>6</v>
      </c>
      <c r="L7527" s="369">
        <f>+IF((C7527&gt;='Resultats - informe'!$E$16)*(C7527&lt;='Resultats - informe'!$G$16),1,0)</f>
        <v>1</v>
      </c>
      <c r="M7527" s="369" cm="1">
        <f t="array" ref="M7527">+_xlfn.IFS((C7527&gt;='Resultats - informe'!$D$26)*(C7527&lt;='Resultats - informe'!$E$26),0,(C7527&gt;='Resultats - informe'!$D$27)*(C7527&lt;='Resultats - informe'!$E$27),0,(C7527&gt;='Resultats - informe'!$D$28)*(C7527&lt;='Resultats - informe'!$E$28),0,(C7527&gt;='Resultats - informe'!$D$29)*(C7527&lt;='Resultats - informe'!$E$29),0,1,1)</f>
        <v>0</v>
      </c>
      <c r="N7527" s="366">
        <f>+VLOOKUP(D7527,'Resultats - informe'!$Y$18:$AG$42,'Introducció dades consum'!K7527+1,0)</f>
        <v>0</v>
      </c>
      <c r="O7527" s="370" cm="1">
        <f t="array" ref="O7527">+_xlfn.SWITCH(MONTH(C7527),1,1,2,1,3,1,4,2,5,2,6,3,7,3,8,3,9,3,10,2,11,2,12,1,2)</f>
        <v>1</v>
      </c>
      <c r="P7527" s="43"/>
    </row>
    <row r="7528" spans="1:16" ht="18" x14ac:dyDescent="0.35">
      <c r="A7528" s="9"/>
      <c r="C7528" s="393"/>
      <c r="E7528" s="394"/>
      <c r="F7528" s="394"/>
      <c r="G7528" s="394"/>
      <c r="I7528" s="368">
        <f t="shared" si="357"/>
        <v>0</v>
      </c>
      <c r="J7528" s="365">
        <f t="shared" si="358"/>
        <v>0</v>
      </c>
      <c r="K7528" s="369">
        <f t="shared" si="359"/>
        <v>6</v>
      </c>
      <c r="L7528" s="369">
        <f>+IF((C7528&gt;='Resultats - informe'!$E$16)*(C7528&lt;='Resultats - informe'!$G$16),1,0)</f>
        <v>1</v>
      </c>
      <c r="M7528" s="369" cm="1">
        <f t="array" ref="M7528">+_xlfn.IFS((C7528&gt;='Resultats - informe'!$D$26)*(C7528&lt;='Resultats - informe'!$E$26),0,(C7528&gt;='Resultats - informe'!$D$27)*(C7528&lt;='Resultats - informe'!$E$27),0,(C7528&gt;='Resultats - informe'!$D$28)*(C7528&lt;='Resultats - informe'!$E$28),0,(C7528&gt;='Resultats - informe'!$D$29)*(C7528&lt;='Resultats - informe'!$E$29),0,1,1)</f>
        <v>0</v>
      </c>
      <c r="N7528" s="366">
        <f>+VLOOKUP(D7528,'Resultats - informe'!$Y$18:$AG$42,'Introducció dades consum'!K7528+1,0)</f>
        <v>0</v>
      </c>
      <c r="O7528" s="370" cm="1">
        <f t="array" ref="O7528">+_xlfn.SWITCH(MONTH(C7528),1,1,2,1,3,1,4,2,5,2,6,3,7,3,8,3,9,3,10,2,11,2,12,1,2)</f>
        <v>1</v>
      </c>
      <c r="P7528" s="43"/>
    </row>
    <row r="7529" spans="1:16" ht="18" x14ac:dyDescent="0.35">
      <c r="A7529" s="9"/>
      <c r="C7529" s="393"/>
      <c r="E7529" s="394"/>
      <c r="F7529" s="394"/>
      <c r="G7529" s="394"/>
      <c r="I7529" s="368">
        <f t="shared" si="357"/>
        <v>0</v>
      </c>
      <c r="J7529" s="365">
        <f t="shared" si="358"/>
        <v>0</v>
      </c>
      <c r="K7529" s="369">
        <f t="shared" si="359"/>
        <v>6</v>
      </c>
      <c r="L7529" s="369">
        <f>+IF((C7529&gt;='Resultats - informe'!$E$16)*(C7529&lt;='Resultats - informe'!$G$16),1,0)</f>
        <v>1</v>
      </c>
      <c r="M7529" s="369" cm="1">
        <f t="array" ref="M7529">+_xlfn.IFS((C7529&gt;='Resultats - informe'!$D$26)*(C7529&lt;='Resultats - informe'!$E$26),0,(C7529&gt;='Resultats - informe'!$D$27)*(C7529&lt;='Resultats - informe'!$E$27),0,(C7529&gt;='Resultats - informe'!$D$28)*(C7529&lt;='Resultats - informe'!$E$28),0,(C7529&gt;='Resultats - informe'!$D$29)*(C7529&lt;='Resultats - informe'!$E$29),0,1,1)</f>
        <v>0</v>
      </c>
      <c r="N7529" s="366">
        <f>+VLOOKUP(D7529,'Resultats - informe'!$Y$18:$AG$42,'Introducció dades consum'!K7529+1,0)</f>
        <v>0</v>
      </c>
      <c r="O7529" s="370" cm="1">
        <f t="array" ref="O7529">+_xlfn.SWITCH(MONTH(C7529),1,1,2,1,3,1,4,2,5,2,6,3,7,3,8,3,9,3,10,2,11,2,12,1,2)</f>
        <v>1</v>
      </c>
      <c r="P7529" s="43"/>
    </row>
    <row r="7530" spans="1:16" ht="18" x14ac:dyDescent="0.35">
      <c r="A7530" s="9"/>
      <c r="C7530" s="393"/>
      <c r="E7530" s="394"/>
      <c r="F7530" s="394"/>
      <c r="G7530" s="394"/>
      <c r="I7530" s="368">
        <f t="shared" si="357"/>
        <v>0</v>
      </c>
      <c r="J7530" s="365">
        <f t="shared" si="358"/>
        <v>0</v>
      </c>
      <c r="K7530" s="369">
        <f t="shared" si="359"/>
        <v>6</v>
      </c>
      <c r="L7530" s="369">
        <f>+IF((C7530&gt;='Resultats - informe'!$E$16)*(C7530&lt;='Resultats - informe'!$G$16),1,0)</f>
        <v>1</v>
      </c>
      <c r="M7530" s="369" cm="1">
        <f t="array" ref="M7530">+_xlfn.IFS((C7530&gt;='Resultats - informe'!$D$26)*(C7530&lt;='Resultats - informe'!$E$26),0,(C7530&gt;='Resultats - informe'!$D$27)*(C7530&lt;='Resultats - informe'!$E$27),0,(C7530&gt;='Resultats - informe'!$D$28)*(C7530&lt;='Resultats - informe'!$E$28),0,(C7530&gt;='Resultats - informe'!$D$29)*(C7530&lt;='Resultats - informe'!$E$29),0,1,1)</f>
        <v>0</v>
      </c>
      <c r="N7530" s="366">
        <f>+VLOOKUP(D7530,'Resultats - informe'!$Y$18:$AG$42,'Introducció dades consum'!K7530+1,0)</f>
        <v>0</v>
      </c>
      <c r="O7530" s="370" cm="1">
        <f t="array" ref="O7530">+_xlfn.SWITCH(MONTH(C7530),1,1,2,1,3,1,4,2,5,2,6,3,7,3,8,3,9,3,10,2,11,2,12,1,2)</f>
        <v>1</v>
      </c>
      <c r="P7530" s="43"/>
    </row>
    <row r="7531" spans="1:16" ht="18" x14ac:dyDescent="0.35">
      <c r="A7531" s="9"/>
      <c r="C7531" s="393"/>
      <c r="E7531" s="394"/>
      <c r="F7531" s="394"/>
      <c r="G7531" s="394"/>
      <c r="I7531" s="368">
        <f t="shared" si="357"/>
        <v>0</v>
      </c>
      <c r="J7531" s="365">
        <f t="shared" si="358"/>
        <v>0</v>
      </c>
      <c r="K7531" s="369">
        <f t="shared" si="359"/>
        <v>6</v>
      </c>
      <c r="L7531" s="369">
        <f>+IF((C7531&gt;='Resultats - informe'!$E$16)*(C7531&lt;='Resultats - informe'!$G$16),1,0)</f>
        <v>1</v>
      </c>
      <c r="M7531" s="369" cm="1">
        <f t="array" ref="M7531">+_xlfn.IFS((C7531&gt;='Resultats - informe'!$D$26)*(C7531&lt;='Resultats - informe'!$E$26),0,(C7531&gt;='Resultats - informe'!$D$27)*(C7531&lt;='Resultats - informe'!$E$27),0,(C7531&gt;='Resultats - informe'!$D$28)*(C7531&lt;='Resultats - informe'!$E$28),0,(C7531&gt;='Resultats - informe'!$D$29)*(C7531&lt;='Resultats - informe'!$E$29),0,1,1)</f>
        <v>0</v>
      </c>
      <c r="N7531" s="366">
        <f>+VLOOKUP(D7531,'Resultats - informe'!$Y$18:$AG$42,'Introducció dades consum'!K7531+1,0)</f>
        <v>0</v>
      </c>
      <c r="O7531" s="370" cm="1">
        <f t="array" ref="O7531">+_xlfn.SWITCH(MONTH(C7531),1,1,2,1,3,1,4,2,5,2,6,3,7,3,8,3,9,3,10,2,11,2,12,1,2)</f>
        <v>1</v>
      </c>
      <c r="P7531" s="43"/>
    </row>
    <row r="7532" spans="1:16" ht="18" x14ac:dyDescent="0.35">
      <c r="A7532" s="9"/>
      <c r="C7532" s="393"/>
      <c r="E7532" s="394"/>
      <c r="F7532" s="394"/>
      <c r="G7532" s="394"/>
      <c r="I7532" s="368">
        <f t="shared" si="357"/>
        <v>0</v>
      </c>
      <c r="J7532" s="365">
        <f t="shared" si="358"/>
        <v>0</v>
      </c>
      <c r="K7532" s="369">
        <f t="shared" si="359"/>
        <v>6</v>
      </c>
      <c r="L7532" s="369">
        <f>+IF((C7532&gt;='Resultats - informe'!$E$16)*(C7532&lt;='Resultats - informe'!$G$16),1,0)</f>
        <v>1</v>
      </c>
      <c r="M7532" s="369" cm="1">
        <f t="array" ref="M7532">+_xlfn.IFS((C7532&gt;='Resultats - informe'!$D$26)*(C7532&lt;='Resultats - informe'!$E$26),0,(C7532&gt;='Resultats - informe'!$D$27)*(C7532&lt;='Resultats - informe'!$E$27),0,(C7532&gt;='Resultats - informe'!$D$28)*(C7532&lt;='Resultats - informe'!$E$28),0,(C7532&gt;='Resultats - informe'!$D$29)*(C7532&lt;='Resultats - informe'!$E$29),0,1,1)</f>
        <v>0</v>
      </c>
      <c r="N7532" s="366">
        <f>+VLOOKUP(D7532,'Resultats - informe'!$Y$18:$AG$42,'Introducció dades consum'!K7532+1,0)</f>
        <v>0</v>
      </c>
      <c r="O7532" s="370" cm="1">
        <f t="array" ref="O7532">+_xlfn.SWITCH(MONTH(C7532),1,1,2,1,3,1,4,2,5,2,6,3,7,3,8,3,9,3,10,2,11,2,12,1,2)</f>
        <v>1</v>
      </c>
      <c r="P7532" s="43"/>
    </row>
    <row r="7533" spans="1:16" ht="18" x14ac:dyDescent="0.35">
      <c r="A7533" s="9"/>
      <c r="C7533" s="393"/>
      <c r="E7533" s="394"/>
      <c r="F7533" s="394"/>
      <c r="G7533" s="394"/>
      <c r="I7533" s="368">
        <f t="shared" si="357"/>
        <v>0</v>
      </c>
      <c r="J7533" s="365">
        <f t="shared" si="358"/>
        <v>0</v>
      </c>
      <c r="K7533" s="369">
        <f t="shared" si="359"/>
        <v>6</v>
      </c>
      <c r="L7533" s="369">
        <f>+IF((C7533&gt;='Resultats - informe'!$E$16)*(C7533&lt;='Resultats - informe'!$G$16),1,0)</f>
        <v>1</v>
      </c>
      <c r="M7533" s="369" cm="1">
        <f t="array" ref="M7533">+_xlfn.IFS((C7533&gt;='Resultats - informe'!$D$26)*(C7533&lt;='Resultats - informe'!$E$26),0,(C7533&gt;='Resultats - informe'!$D$27)*(C7533&lt;='Resultats - informe'!$E$27),0,(C7533&gt;='Resultats - informe'!$D$28)*(C7533&lt;='Resultats - informe'!$E$28),0,(C7533&gt;='Resultats - informe'!$D$29)*(C7533&lt;='Resultats - informe'!$E$29),0,1,1)</f>
        <v>0</v>
      </c>
      <c r="N7533" s="366">
        <f>+VLOOKUP(D7533,'Resultats - informe'!$Y$18:$AG$42,'Introducció dades consum'!K7533+1,0)</f>
        <v>0</v>
      </c>
      <c r="O7533" s="370" cm="1">
        <f t="array" ref="O7533">+_xlfn.SWITCH(MONTH(C7533),1,1,2,1,3,1,4,2,5,2,6,3,7,3,8,3,9,3,10,2,11,2,12,1,2)</f>
        <v>1</v>
      </c>
      <c r="P7533" s="43"/>
    </row>
    <row r="7534" spans="1:16" ht="18" x14ac:dyDescent="0.35">
      <c r="A7534" s="9"/>
      <c r="C7534" s="393"/>
      <c r="E7534" s="394"/>
      <c r="F7534" s="394"/>
      <c r="G7534" s="394"/>
      <c r="I7534" s="368">
        <f t="shared" si="357"/>
        <v>0</v>
      </c>
      <c r="J7534" s="365">
        <f t="shared" si="358"/>
        <v>0</v>
      </c>
      <c r="K7534" s="369">
        <f t="shared" si="359"/>
        <v>6</v>
      </c>
      <c r="L7534" s="369">
        <f>+IF((C7534&gt;='Resultats - informe'!$E$16)*(C7534&lt;='Resultats - informe'!$G$16),1,0)</f>
        <v>1</v>
      </c>
      <c r="M7534" s="369" cm="1">
        <f t="array" ref="M7534">+_xlfn.IFS((C7534&gt;='Resultats - informe'!$D$26)*(C7534&lt;='Resultats - informe'!$E$26),0,(C7534&gt;='Resultats - informe'!$D$27)*(C7534&lt;='Resultats - informe'!$E$27),0,(C7534&gt;='Resultats - informe'!$D$28)*(C7534&lt;='Resultats - informe'!$E$28),0,(C7534&gt;='Resultats - informe'!$D$29)*(C7534&lt;='Resultats - informe'!$E$29),0,1,1)</f>
        <v>0</v>
      </c>
      <c r="N7534" s="366">
        <f>+VLOOKUP(D7534,'Resultats - informe'!$Y$18:$AG$42,'Introducció dades consum'!K7534+1,0)</f>
        <v>0</v>
      </c>
      <c r="O7534" s="370" cm="1">
        <f t="array" ref="O7534">+_xlfn.SWITCH(MONTH(C7534),1,1,2,1,3,1,4,2,5,2,6,3,7,3,8,3,9,3,10,2,11,2,12,1,2)</f>
        <v>1</v>
      </c>
      <c r="P7534" s="43"/>
    </row>
    <row r="7535" spans="1:16" ht="18" x14ac:dyDescent="0.35">
      <c r="A7535" s="9"/>
      <c r="C7535" s="393"/>
      <c r="E7535" s="394"/>
      <c r="F7535" s="394"/>
      <c r="G7535" s="394"/>
      <c r="I7535" s="368">
        <f t="shared" si="357"/>
        <v>0</v>
      </c>
      <c r="J7535" s="365">
        <f t="shared" si="358"/>
        <v>0</v>
      </c>
      <c r="K7535" s="369">
        <f t="shared" si="359"/>
        <v>6</v>
      </c>
      <c r="L7535" s="369">
        <f>+IF((C7535&gt;='Resultats - informe'!$E$16)*(C7535&lt;='Resultats - informe'!$G$16),1,0)</f>
        <v>1</v>
      </c>
      <c r="M7535" s="369" cm="1">
        <f t="array" ref="M7535">+_xlfn.IFS((C7535&gt;='Resultats - informe'!$D$26)*(C7535&lt;='Resultats - informe'!$E$26),0,(C7535&gt;='Resultats - informe'!$D$27)*(C7535&lt;='Resultats - informe'!$E$27),0,(C7535&gt;='Resultats - informe'!$D$28)*(C7535&lt;='Resultats - informe'!$E$28),0,(C7535&gt;='Resultats - informe'!$D$29)*(C7535&lt;='Resultats - informe'!$E$29),0,1,1)</f>
        <v>0</v>
      </c>
      <c r="N7535" s="366">
        <f>+VLOOKUP(D7535,'Resultats - informe'!$Y$18:$AG$42,'Introducció dades consum'!K7535+1,0)</f>
        <v>0</v>
      </c>
      <c r="O7535" s="370" cm="1">
        <f t="array" ref="O7535">+_xlfn.SWITCH(MONTH(C7535),1,1,2,1,3,1,4,2,5,2,6,3,7,3,8,3,9,3,10,2,11,2,12,1,2)</f>
        <v>1</v>
      </c>
      <c r="P7535" s="43"/>
    </row>
    <row r="7536" spans="1:16" ht="18" x14ac:dyDescent="0.35">
      <c r="A7536" s="9"/>
      <c r="C7536" s="393"/>
      <c r="E7536" s="394"/>
      <c r="F7536" s="394"/>
      <c r="G7536" s="394"/>
      <c r="I7536" s="368">
        <f t="shared" si="357"/>
        <v>0</v>
      </c>
      <c r="J7536" s="365">
        <f t="shared" si="358"/>
        <v>0</v>
      </c>
      <c r="K7536" s="369">
        <f t="shared" si="359"/>
        <v>6</v>
      </c>
      <c r="L7536" s="369">
        <f>+IF((C7536&gt;='Resultats - informe'!$E$16)*(C7536&lt;='Resultats - informe'!$G$16),1,0)</f>
        <v>1</v>
      </c>
      <c r="M7536" s="369" cm="1">
        <f t="array" ref="M7536">+_xlfn.IFS((C7536&gt;='Resultats - informe'!$D$26)*(C7536&lt;='Resultats - informe'!$E$26),0,(C7536&gt;='Resultats - informe'!$D$27)*(C7536&lt;='Resultats - informe'!$E$27),0,(C7536&gt;='Resultats - informe'!$D$28)*(C7536&lt;='Resultats - informe'!$E$28),0,(C7536&gt;='Resultats - informe'!$D$29)*(C7536&lt;='Resultats - informe'!$E$29),0,1,1)</f>
        <v>0</v>
      </c>
      <c r="N7536" s="366">
        <f>+VLOOKUP(D7536,'Resultats - informe'!$Y$18:$AG$42,'Introducció dades consum'!K7536+1,0)</f>
        <v>0</v>
      </c>
      <c r="O7536" s="370" cm="1">
        <f t="array" ref="O7536">+_xlfn.SWITCH(MONTH(C7536),1,1,2,1,3,1,4,2,5,2,6,3,7,3,8,3,9,3,10,2,11,2,12,1,2)</f>
        <v>1</v>
      </c>
      <c r="P7536" s="43"/>
    </row>
    <row r="7537" spans="1:16" ht="18" x14ac:dyDescent="0.35">
      <c r="A7537" s="9"/>
      <c r="C7537" s="393"/>
      <c r="E7537" s="394"/>
      <c r="F7537" s="394"/>
      <c r="G7537" s="394"/>
      <c r="I7537" s="368">
        <f t="shared" si="357"/>
        <v>0</v>
      </c>
      <c r="J7537" s="365">
        <f t="shared" si="358"/>
        <v>0</v>
      </c>
      <c r="K7537" s="369">
        <f t="shared" si="359"/>
        <v>6</v>
      </c>
      <c r="L7537" s="369">
        <f>+IF((C7537&gt;='Resultats - informe'!$E$16)*(C7537&lt;='Resultats - informe'!$G$16),1,0)</f>
        <v>1</v>
      </c>
      <c r="M7537" s="369" cm="1">
        <f t="array" ref="M7537">+_xlfn.IFS((C7537&gt;='Resultats - informe'!$D$26)*(C7537&lt;='Resultats - informe'!$E$26),0,(C7537&gt;='Resultats - informe'!$D$27)*(C7537&lt;='Resultats - informe'!$E$27),0,(C7537&gt;='Resultats - informe'!$D$28)*(C7537&lt;='Resultats - informe'!$E$28),0,(C7537&gt;='Resultats - informe'!$D$29)*(C7537&lt;='Resultats - informe'!$E$29),0,1,1)</f>
        <v>0</v>
      </c>
      <c r="N7537" s="366">
        <f>+VLOOKUP(D7537,'Resultats - informe'!$Y$18:$AG$42,'Introducció dades consum'!K7537+1,0)</f>
        <v>0</v>
      </c>
      <c r="O7537" s="370" cm="1">
        <f t="array" ref="O7537">+_xlfn.SWITCH(MONTH(C7537),1,1,2,1,3,1,4,2,5,2,6,3,7,3,8,3,9,3,10,2,11,2,12,1,2)</f>
        <v>1</v>
      </c>
      <c r="P7537" s="43"/>
    </row>
    <row r="7538" spans="1:16" ht="18" x14ac:dyDescent="0.35">
      <c r="A7538" s="9"/>
      <c r="C7538" s="393"/>
      <c r="E7538" s="394"/>
      <c r="F7538" s="394"/>
      <c r="G7538" s="394"/>
      <c r="I7538" s="368">
        <f t="shared" si="357"/>
        <v>0</v>
      </c>
      <c r="J7538" s="365">
        <f t="shared" si="358"/>
        <v>0</v>
      </c>
      <c r="K7538" s="369">
        <f t="shared" si="359"/>
        <v>6</v>
      </c>
      <c r="L7538" s="369">
        <f>+IF((C7538&gt;='Resultats - informe'!$E$16)*(C7538&lt;='Resultats - informe'!$G$16),1,0)</f>
        <v>1</v>
      </c>
      <c r="M7538" s="369" cm="1">
        <f t="array" ref="M7538">+_xlfn.IFS((C7538&gt;='Resultats - informe'!$D$26)*(C7538&lt;='Resultats - informe'!$E$26),0,(C7538&gt;='Resultats - informe'!$D$27)*(C7538&lt;='Resultats - informe'!$E$27),0,(C7538&gt;='Resultats - informe'!$D$28)*(C7538&lt;='Resultats - informe'!$E$28),0,(C7538&gt;='Resultats - informe'!$D$29)*(C7538&lt;='Resultats - informe'!$E$29),0,1,1)</f>
        <v>0</v>
      </c>
      <c r="N7538" s="366">
        <f>+VLOOKUP(D7538,'Resultats - informe'!$Y$18:$AG$42,'Introducció dades consum'!K7538+1,0)</f>
        <v>0</v>
      </c>
      <c r="O7538" s="370" cm="1">
        <f t="array" ref="O7538">+_xlfn.SWITCH(MONTH(C7538),1,1,2,1,3,1,4,2,5,2,6,3,7,3,8,3,9,3,10,2,11,2,12,1,2)</f>
        <v>1</v>
      </c>
      <c r="P7538" s="43"/>
    </row>
    <row r="7539" spans="1:16" ht="18" x14ac:dyDescent="0.35">
      <c r="A7539" s="9"/>
      <c r="C7539" s="393"/>
      <c r="E7539" s="394"/>
      <c r="F7539" s="394"/>
      <c r="G7539" s="394"/>
      <c r="I7539" s="368">
        <f t="shared" si="357"/>
        <v>0</v>
      </c>
      <c r="J7539" s="365">
        <f t="shared" si="358"/>
        <v>0</v>
      </c>
      <c r="K7539" s="369">
        <f t="shared" si="359"/>
        <v>6</v>
      </c>
      <c r="L7539" s="369">
        <f>+IF((C7539&gt;='Resultats - informe'!$E$16)*(C7539&lt;='Resultats - informe'!$G$16),1,0)</f>
        <v>1</v>
      </c>
      <c r="M7539" s="369" cm="1">
        <f t="array" ref="M7539">+_xlfn.IFS((C7539&gt;='Resultats - informe'!$D$26)*(C7539&lt;='Resultats - informe'!$E$26),0,(C7539&gt;='Resultats - informe'!$D$27)*(C7539&lt;='Resultats - informe'!$E$27),0,(C7539&gt;='Resultats - informe'!$D$28)*(C7539&lt;='Resultats - informe'!$E$28),0,(C7539&gt;='Resultats - informe'!$D$29)*(C7539&lt;='Resultats - informe'!$E$29),0,1,1)</f>
        <v>0</v>
      </c>
      <c r="N7539" s="366">
        <f>+VLOOKUP(D7539,'Resultats - informe'!$Y$18:$AG$42,'Introducció dades consum'!K7539+1,0)</f>
        <v>0</v>
      </c>
      <c r="O7539" s="370" cm="1">
        <f t="array" ref="O7539">+_xlfn.SWITCH(MONTH(C7539),1,1,2,1,3,1,4,2,5,2,6,3,7,3,8,3,9,3,10,2,11,2,12,1,2)</f>
        <v>1</v>
      </c>
      <c r="P7539" s="43"/>
    </row>
    <row r="7540" spans="1:16" ht="18" x14ac:dyDescent="0.35">
      <c r="A7540" s="9"/>
      <c r="C7540" s="393"/>
      <c r="E7540" s="394"/>
      <c r="F7540" s="394"/>
      <c r="G7540" s="394"/>
      <c r="I7540" s="368">
        <f t="shared" si="357"/>
        <v>0</v>
      </c>
      <c r="J7540" s="365">
        <f t="shared" si="358"/>
        <v>0</v>
      </c>
      <c r="K7540" s="369">
        <f t="shared" si="359"/>
        <v>6</v>
      </c>
      <c r="L7540" s="369">
        <f>+IF((C7540&gt;='Resultats - informe'!$E$16)*(C7540&lt;='Resultats - informe'!$G$16),1,0)</f>
        <v>1</v>
      </c>
      <c r="M7540" s="369" cm="1">
        <f t="array" ref="M7540">+_xlfn.IFS((C7540&gt;='Resultats - informe'!$D$26)*(C7540&lt;='Resultats - informe'!$E$26),0,(C7540&gt;='Resultats - informe'!$D$27)*(C7540&lt;='Resultats - informe'!$E$27),0,(C7540&gt;='Resultats - informe'!$D$28)*(C7540&lt;='Resultats - informe'!$E$28),0,(C7540&gt;='Resultats - informe'!$D$29)*(C7540&lt;='Resultats - informe'!$E$29),0,1,1)</f>
        <v>0</v>
      </c>
      <c r="N7540" s="366">
        <f>+VLOOKUP(D7540,'Resultats - informe'!$Y$18:$AG$42,'Introducció dades consum'!K7540+1,0)</f>
        <v>0</v>
      </c>
      <c r="O7540" s="370" cm="1">
        <f t="array" ref="O7540">+_xlfn.SWITCH(MONTH(C7540),1,1,2,1,3,1,4,2,5,2,6,3,7,3,8,3,9,3,10,2,11,2,12,1,2)</f>
        <v>1</v>
      </c>
      <c r="P7540" s="43"/>
    </row>
    <row r="7541" spans="1:16" ht="18" x14ac:dyDescent="0.35">
      <c r="A7541" s="9"/>
      <c r="C7541" s="393"/>
      <c r="E7541" s="394"/>
      <c r="F7541" s="394"/>
      <c r="G7541" s="394"/>
      <c r="I7541" s="368">
        <f t="shared" si="357"/>
        <v>0</v>
      </c>
      <c r="J7541" s="365">
        <f t="shared" si="358"/>
        <v>0</v>
      </c>
      <c r="K7541" s="369">
        <f t="shared" si="359"/>
        <v>6</v>
      </c>
      <c r="L7541" s="369">
        <f>+IF((C7541&gt;='Resultats - informe'!$E$16)*(C7541&lt;='Resultats - informe'!$G$16),1,0)</f>
        <v>1</v>
      </c>
      <c r="M7541" s="369" cm="1">
        <f t="array" ref="M7541">+_xlfn.IFS((C7541&gt;='Resultats - informe'!$D$26)*(C7541&lt;='Resultats - informe'!$E$26),0,(C7541&gt;='Resultats - informe'!$D$27)*(C7541&lt;='Resultats - informe'!$E$27),0,(C7541&gt;='Resultats - informe'!$D$28)*(C7541&lt;='Resultats - informe'!$E$28),0,(C7541&gt;='Resultats - informe'!$D$29)*(C7541&lt;='Resultats - informe'!$E$29),0,1,1)</f>
        <v>0</v>
      </c>
      <c r="N7541" s="366">
        <f>+VLOOKUP(D7541,'Resultats - informe'!$Y$18:$AG$42,'Introducció dades consum'!K7541+1,0)</f>
        <v>0</v>
      </c>
      <c r="O7541" s="370" cm="1">
        <f t="array" ref="O7541">+_xlfn.SWITCH(MONTH(C7541),1,1,2,1,3,1,4,2,5,2,6,3,7,3,8,3,9,3,10,2,11,2,12,1,2)</f>
        <v>1</v>
      </c>
      <c r="P7541" s="43"/>
    </row>
    <row r="7542" spans="1:16" ht="18" x14ac:dyDescent="0.35">
      <c r="A7542" s="9"/>
      <c r="C7542" s="393"/>
      <c r="E7542" s="394"/>
      <c r="F7542" s="394"/>
      <c r="G7542" s="394"/>
      <c r="I7542" s="368">
        <f t="shared" si="357"/>
        <v>0</v>
      </c>
      <c r="J7542" s="365">
        <f t="shared" si="358"/>
        <v>0</v>
      </c>
      <c r="K7542" s="369">
        <f t="shared" si="359"/>
        <v>6</v>
      </c>
      <c r="L7542" s="369">
        <f>+IF((C7542&gt;='Resultats - informe'!$E$16)*(C7542&lt;='Resultats - informe'!$G$16),1,0)</f>
        <v>1</v>
      </c>
      <c r="M7542" s="369" cm="1">
        <f t="array" ref="M7542">+_xlfn.IFS((C7542&gt;='Resultats - informe'!$D$26)*(C7542&lt;='Resultats - informe'!$E$26),0,(C7542&gt;='Resultats - informe'!$D$27)*(C7542&lt;='Resultats - informe'!$E$27),0,(C7542&gt;='Resultats - informe'!$D$28)*(C7542&lt;='Resultats - informe'!$E$28),0,(C7542&gt;='Resultats - informe'!$D$29)*(C7542&lt;='Resultats - informe'!$E$29),0,1,1)</f>
        <v>0</v>
      </c>
      <c r="N7542" s="366">
        <f>+VLOOKUP(D7542,'Resultats - informe'!$Y$18:$AG$42,'Introducció dades consum'!K7542+1,0)</f>
        <v>0</v>
      </c>
      <c r="O7542" s="370" cm="1">
        <f t="array" ref="O7542">+_xlfn.SWITCH(MONTH(C7542),1,1,2,1,3,1,4,2,5,2,6,3,7,3,8,3,9,3,10,2,11,2,12,1,2)</f>
        <v>1</v>
      </c>
      <c r="P7542" s="43"/>
    </row>
    <row r="7543" spans="1:16" ht="18" x14ac:dyDescent="0.35">
      <c r="A7543" s="9"/>
      <c r="C7543" s="393"/>
      <c r="E7543" s="394"/>
      <c r="F7543" s="394"/>
      <c r="G7543" s="394"/>
      <c r="I7543" s="368">
        <f t="shared" si="357"/>
        <v>0</v>
      </c>
      <c r="J7543" s="365">
        <f t="shared" si="358"/>
        <v>0</v>
      </c>
      <c r="K7543" s="369">
        <f t="shared" si="359"/>
        <v>6</v>
      </c>
      <c r="L7543" s="369">
        <f>+IF((C7543&gt;='Resultats - informe'!$E$16)*(C7543&lt;='Resultats - informe'!$G$16),1,0)</f>
        <v>1</v>
      </c>
      <c r="M7543" s="369" cm="1">
        <f t="array" ref="M7543">+_xlfn.IFS((C7543&gt;='Resultats - informe'!$D$26)*(C7543&lt;='Resultats - informe'!$E$26),0,(C7543&gt;='Resultats - informe'!$D$27)*(C7543&lt;='Resultats - informe'!$E$27),0,(C7543&gt;='Resultats - informe'!$D$28)*(C7543&lt;='Resultats - informe'!$E$28),0,(C7543&gt;='Resultats - informe'!$D$29)*(C7543&lt;='Resultats - informe'!$E$29),0,1,1)</f>
        <v>0</v>
      </c>
      <c r="N7543" s="366">
        <f>+VLOOKUP(D7543,'Resultats - informe'!$Y$18:$AG$42,'Introducció dades consum'!K7543+1,0)</f>
        <v>0</v>
      </c>
      <c r="O7543" s="370" cm="1">
        <f t="array" ref="O7543">+_xlfn.SWITCH(MONTH(C7543),1,1,2,1,3,1,4,2,5,2,6,3,7,3,8,3,9,3,10,2,11,2,12,1,2)</f>
        <v>1</v>
      </c>
      <c r="P7543" s="43"/>
    </row>
    <row r="7544" spans="1:16" ht="18" x14ac:dyDescent="0.35">
      <c r="A7544" s="9"/>
      <c r="C7544" s="393"/>
      <c r="E7544" s="394"/>
      <c r="F7544" s="394"/>
      <c r="G7544" s="394"/>
      <c r="I7544" s="368">
        <f t="shared" si="357"/>
        <v>0</v>
      </c>
      <c r="J7544" s="365">
        <f t="shared" si="358"/>
        <v>0</v>
      </c>
      <c r="K7544" s="369">
        <f t="shared" si="359"/>
        <v>6</v>
      </c>
      <c r="L7544" s="369">
        <f>+IF((C7544&gt;='Resultats - informe'!$E$16)*(C7544&lt;='Resultats - informe'!$G$16),1,0)</f>
        <v>1</v>
      </c>
      <c r="M7544" s="369" cm="1">
        <f t="array" ref="M7544">+_xlfn.IFS((C7544&gt;='Resultats - informe'!$D$26)*(C7544&lt;='Resultats - informe'!$E$26),0,(C7544&gt;='Resultats - informe'!$D$27)*(C7544&lt;='Resultats - informe'!$E$27),0,(C7544&gt;='Resultats - informe'!$D$28)*(C7544&lt;='Resultats - informe'!$E$28),0,(C7544&gt;='Resultats - informe'!$D$29)*(C7544&lt;='Resultats - informe'!$E$29),0,1,1)</f>
        <v>0</v>
      </c>
      <c r="N7544" s="366">
        <f>+VLOOKUP(D7544,'Resultats - informe'!$Y$18:$AG$42,'Introducció dades consum'!K7544+1,0)</f>
        <v>0</v>
      </c>
      <c r="O7544" s="370" cm="1">
        <f t="array" ref="O7544">+_xlfn.SWITCH(MONTH(C7544),1,1,2,1,3,1,4,2,5,2,6,3,7,3,8,3,9,3,10,2,11,2,12,1,2)</f>
        <v>1</v>
      </c>
      <c r="P7544" s="43"/>
    </row>
    <row r="7545" spans="1:16" ht="18" x14ac:dyDescent="0.35">
      <c r="A7545" s="9"/>
      <c r="C7545" s="393"/>
      <c r="E7545" s="394"/>
      <c r="F7545" s="394"/>
      <c r="G7545" s="394"/>
      <c r="I7545" s="368">
        <f t="shared" si="357"/>
        <v>0</v>
      </c>
      <c r="J7545" s="365">
        <f t="shared" si="358"/>
        <v>0</v>
      </c>
      <c r="K7545" s="369">
        <f t="shared" si="359"/>
        <v>6</v>
      </c>
      <c r="L7545" s="369">
        <f>+IF((C7545&gt;='Resultats - informe'!$E$16)*(C7545&lt;='Resultats - informe'!$G$16),1,0)</f>
        <v>1</v>
      </c>
      <c r="M7545" s="369" cm="1">
        <f t="array" ref="M7545">+_xlfn.IFS((C7545&gt;='Resultats - informe'!$D$26)*(C7545&lt;='Resultats - informe'!$E$26),0,(C7545&gt;='Resultats - informe'!$D$27)*(C7545&lt;='Resultats - informe'!$E$27),0,(C7545&gt;='Resultats - informe'!$D$28)*(C7545&lt;='Resultats - informe'!$E$28),0,(C7545&gt;='Resultats - informe'!$D$29)*(C7545&lt;='Resultats - informe'!$E$29),0,1,1)</f>
        <v>0</v>
      </c>
      <c r="N7545" s="366">
        <f>+VLOOKUP(D7545,'Resultats - informe'!$Y$18:$AG$42,'Introducció dades consum'!K7545+1,0)</f>
        <v>0</v>
      </c>
      <c r="O7545" s="370" cm="1">
        <f t="array" ref="O7545">+_xlfn.SWITCH(MONTH(C7545),1,1,2,1,3,1,4,2,5,2,6,3,7,3,8,3,9,3,10,2,11,2,12,1,2)</f>
        <v>1</v>
      </c>
      <c r="P7545" s="43"/>
    </row>
    <row r="7546" spans="1:16" ht="18" x14ac:dyDescent="0.35">
      <c r="A7546" s="9"/>
      <c r="C7546" s="393"/>
      <c r="E7546" s="394"/>
      <c r="F7546" s="394"/>
      <c r="G7546" s="394"/>
      <c r="I7546" s="368">
        <f t="shared" si="357"/>
        <v>0</v>
      </c>
      <c r="J7546" s="365">
        <f t="shared" si="358"/>
        <v>0</v>
      </c>
      <c r="K7546" s="369">
        <f t="shared" si="359"/>
        <v>6</v>
      </c>
      <c r="L7546" s="369">
        <f>+IF((C7546&gt;='Resultats - informe'!$E$16)*(C7546&lt;='Resultats - informe'!$G$16),1,0)</f>
        <v>1</v>
      </c>
      <c r="M7546" s="369" cm="1">
        <f t="array" ref="M7546">+_xlfn.IFS((C7546&gt;='Resultats - informe'!$D$26)*(C7546&lt;='Resultats - informe'!$E$26),0,(C7546&gt;='Resultats - informe'!$D$27)*(C7546&lt;='Resultats - informe'!$E$27),0,(C7546&gt;='Resultats - informe'!$D$28)*(C7546&lt;='Resultats - informe'!$E$28),0,(C7546&gt;='Resultats - informe'!$D$29)*(C7546&lt;='Resultats - informe'!$E$29),0,1,1)</f>
        <v>0</v>
      </c>
      <c r="N7546" s="366">
        <f>+VLOOKUP(D7546,'Resultats - informe'!$Y$18:$AG$42,'Introducció dades consum'!K7546+1,0)</f>
        <v>0</v>
      </c>
      <c r="O7546" s="370" cm="1">
        <f t="array" ref="O7546">+_xlfn.SWITCH(MONTH(C7546),1,1,2,1,3,1,4,2,5,2,6,3,7,3,8,3,9,3,10,2,11,2,12,1,2)</f>
        <v>1</v>
      </c>
      <c r="P7546" s="43"/>
    </row>
    <row r="7547" spans="1:16" ht="18" x14ac:dyDescent="0.35">
      <c r="A7547" s="9"/>
      <c r="C7547" s="393"/>
      <c r="E7547" s="394"/>
      <c r="F7547" s="394"/>
      <c r="G7547" s="394"/>
      <c r="I7547" s="368">
        <f t="shared" si="357"/>
        <v>0</v>
      </c>
      <c r="J7547" s="365">
        <f t="shared" si="358"/>
        <v>0</v>
      </c>
      <c r="K7547" s="369">
        <f t="shared" si="359"/>
        <v>6</v>
      </c>
      <c r="L7547" s="369">
        <f>+IF((C7547&gt;='Resultats - informe'!$E$16)*(C7547&lt;='Resultats - informe'!$G$16),1,0)</f>
        <v>1</v>
      </c>
      <c r="M7547" s="369" cm="1">
        <f t="array" ref="M7547">+_xlfn.IFS((C7547&gt;='Resultats - informe'!$D$26)*(C7547&lt;='Resultats - informe'!$E$26),0,(C7547&gt;='Resultats - informe'!$D$27)*(C7547&lt;='Resultats - informe'!$E$27),0,(C7547&gt;='Resultats - informe'!$D$28)*(C7547&lt;='Resultats - informe'!$E$28),0,(C7547&gt;='Resultats - informe'!$D$29)*(C7547&lt;='Resultats - informe'!$E$29),0,1,1)</f>
        <v>0</v>
      </c>
      <c r="N7547" s="366">
        <f>+VLOOKUP(D7547,'Resultats - informe'!$Y$18:$AG$42,'Introducció dades consum'!K7547+1,0)</f>
        <v>0</v>
      </c>
      <c r="O7547" s="370" cm="1">
        <f t="array" ref="O7547">+_xlfn.SWITCH(MONTH(C7547),1,1,2,1,3,1,4,2,5,2,6,3,7,3,8,3,9,3,10,2,11,2,12,1,2)</f>
        <v>1</v>
      </c>
      <c r="P7547" s="43"/>
    </row>
    <row r="7548" spans="1:16" ht="18" x14ac:dyDescent="0.35">
      <c r="A7548" s="9"/>
      <c r="C7548" s="393"/>
      <c r="E7548" s="394"/>
      <c r="F7548" s="394"/>
      <c r="G7548" s="394"/>
      <c r="I7548" s="368">
        <f t="shared" si="357"/>
        <v>0</v>
      </c>
      <c r="J7548" s="365">
        <f t="shared" si="358"/>
        <v>0</v>
      </c>
      <c r="K7548" s="369">
        <f t="shared" si="359"/>
        <v>6</v>
      </c>
      <c r="L7548" s="369">
        <f>+IF((C7548&gt;='Resultats - informe'!$E$16)*(C7548&lt;='Resultats - informe'!$G$16),1,0)</f>
        <v>1</v>
      </c>
      <c r="M7548" s="369" cm="1">
        <f t="array" ref="M7548">+_xlfn.IFS((C7548&gt;='Resultats - informe'!$D$26)*(C7548&lt;='Resultats - informe'!$E$26),0,(C7548&gt;='Resultats - informe'!$D$27)*(C7548&lt;='Resultats - informe'!$E$27),0,(C7548&gt;='Resultats - informe'!$D$28)*(C7548&lt;='Resultats - informe'!$E$28),0,(C7548&gt;='Resultats - informe'!$D$29)*(C7548&lt;='Resultats - informe'!$E$29),0,1,1)</f>
        <v>0</v>
      </c>
      <c r="N7548" s="366">
        <f>+VLOOKUP(D7548,'Resultats - informe'!$Y$18:$AG$42,'Introducció dades consum'!K7548+1,0)</f>
        <v>0</v>
      </c>
      <c r="O7548" s="370" cm="1">
        <f t="array" ref="O7548">+_xlfn.SWITCH(MONTH(C7548),1,1,2,1,3,1,4,2,5,2,6,3,7,3,8,3,9,3,10,2,11,2,12,1,2)</f>
        <v>1</v>
      </c>
      <c r="P7548" s="43"/>
    </row>
    <row r="7549" spans="1:16" ht="18" x14ac:dyDescent="0.35">
      <c r="A7549" s="9"/>
      <c r="C7549" s="393"/>
      <c r="E7549" s="394"/>
      <c r="F7549" s="394"/>
      <c r="G7549" s="394"/>
      <c r="I7549" s="368">
        <f t="shared" si="357"/>
        <v>0</v>
      </c>
      <c r="J7549" s="365">
        <f t="shared" si="358"/>
        <v>0</v>
      </c>
      <c r="K7549" s="369">
        <f t="shared" si="359"/>
        <v>6</v>
      </c>
      <c r="L7549" s="369">
        <f>+IF((C7549&gt;='Resultats - informe'!$E$16)*(C7549&lt;='Resultats - informe'!$G$16),1,0)</f>
        <v>1</v>
      </c>
      <c r="M7549" s="369" cm="1">
        <f t="array" ref="M7549">+_xlfn.IFS((C7549&gt;='Resultats - informe'!$D$26)*(C7549&lt;='Resultats - informe'!$E$26),0,(C7549&gt;='Resultats - informe'!$D$27)*(C7549&lt;='Resultats - informe'!$E$27),0,(C7549&gt;='Resultats - informe'!$D$28)*(C7549&lt;='Resultats - informe'!$E$28),0,(C7549&gt;='Resultats - informe'!$D$29)*(C7549&lt;='Resultats - informe'!$E$29),0,1,1)</f>
        <v>0</v>
      </c>
      <c r="N7549" s="366">
        <f>+VLOOKUP(D7549,'Resultats - informe'!$Y$18:$AG$42,'Introducció dades consum'!K7549+1,0)</f>
        <v>0</v>
      </c>
      <c r="O7549" s="370" cm="1">
        <f t="array" ref="O7549">+_xlfn.SWITCH(MONTH(C7549),1,1,2,1,3,1,4,2,5,2,6,3,7,3,8,3,9,3,10,2,11,2,12,1,2)</f>
        <v>1</v>
      </c>
      <c r="P7549" s="43"/>
    </row>
    <row r="7550" spans="1:16" ht="18" x14ac:dyDescent="0.35">
      <c r="A7550" s="9"/>
      <c r="C7550" s="393"/>
      <c r="E7550" s="394"/>
      <c r="F7550" s="394"/>
      <c r="G7550" s="394"/>
      <c r="I7550" s="368">
        <f t="shared" si="357"/>
        <v>0</v>
      </c>
      <c r="J7550" s="365">
        <f t="shared" si="358"/>
        <v>0</v>
      </c>
      <c r="K7550" s="369">
        <f t="shared" si="359"/>
        <v>6</v>
      </c>
      <c r="L7550" s="369">
        <f>+IF((C7550&gt;='Resultats - informe'!$E$16)*(C7550&lt;='Resultats - informe'!$G$16),1,0)</f>
        <v>1</v>
      </c>
      <c r="M7550" s="369" cm="1">
        <f t="array" ref="M7550">+_xlfn.IFS((C7550&gt;='Resultats - informe'!$D$26)*(C7550&lt;='Resultats - informe'!$E$26),0,(C7550&gt;='Resultats - informe'!$D$27)*(C7550&lt;='Resultats - informe'!$E$27),0,(C7550&gt;='Resultats - informe'!$D$28)*(C7550&lt;='Resultats - informe'!$E$28),0,(C7550&gt;='Resultats - informe'!$D$29)*(C7550&lt;='Resultats - informe'!$E$29),0,1,1)</f>
        <v>0</v>
      </c>
      <c r="N7550" s="366">
        <f>+VLOOKUP(D7550,'Resultats - informe'!$Y$18:$AG$42,'Introducció dades consum'!K7550+1,0)</f>
        <v>0</v>
      </c>
      <c r="O7550" s="370" cm="1">
        <f t="array" ref="O7550">+_xlfn.SWITCH(MONTH(C7550),1,1,2,1,3,1,4,2,5,2,6,3,7,3,8,3,9,3,10,2,11,2,12,1,2)</f>
        <v>1</v>
      </c>
      <c r="P7550" s="43"/>
    </row>
    <row r="7551" spans="1:16" ht="18" x14ac:dyDescent="0.35">
      <c r="A7551" s="9"/>
      <c r="C7551" s="393"/>
      <c r="E7551" s="394"/>
      <c r="F7551" s="394"/>
      <c r="G7551" s="394"/>
      <c r="I7551" s="368">
        <f t="shared" si="357"/>
        <v>0</v>
      </c>
      <c r="J7551" s="365">
        <f t="shared" si="358"/>
        <v>0</v>
      </c>
      <c r="K7551" s="369">
        <f t="shared" si="359"/>
        <v>6</v>
      </c>
      <c r="L7551" s="369">
        <f>+IF((C7551&gt;='Resultats - informe'!$E$16)*(C7551&lt;='Resultats - informe'!$G$16),1,0)</f>
        <v>1</v>
      </c>
      <c r="M7551" s="369" cm="1">
        <f t="array" ref="M7551">+_xlfn.IFS((C7551&gt;='Resultats - informe'!$D$26)*(C7551&lt;='Resultats - informe'!$E$26),0,(C7551&gt;='Resultats - informe'!$D$27)*(C7551&lt;='Resultats - informe'!$E$27),0,(C7551&gt;='Resultats - informe'!$D$28)*(C7551&lt;='Resultats - informe'!$E$28),0,(C7551&gt;='Resultats - informe'!$D$29)*(C7551&lt;='Resultats - informe'!$E$29),0,1,1)</f>
        <v>0</v>
      </c>
      <c r="N7551" s="366">
        <f>+VLOOKUP(D7551,'Resultats - informe'!$Y$18:$AG$42,'Introducció dades consum'!K7551+1,0)</f>
        <v>0</v>
      </c>
      <c r="O7551" s="370" cm="1">
        <f t="array" ref="O7551">+_xlfn.SWITCH(MONTH(C7551),1,1,2,1,3,1,4,2,5,2,6,3,7,3,8,3,9,3,10,2,11,2,12,1,2)</f>
        <v>1</v>
      </c>
      <c r="P7551" s="43"/>
    </row>
    <row r="7552" spans="1:16" ht="18" x14ac:dyDescent="0.35">
      <c r="A7552" s="9"/>
      <c r="C7552" s="393"/>
      <c r="E7552" s="394"/>
      <c r="F7552" s="394"/>
      <c r="G7552" s="394"/>
      <c r="I7552" s="368">
        <f t="shared" si="357"/>
        <v>0</v>
      </c>
      <c r="J7552" s="365">
        <f t="shared" si="358"/>
        <v>0</v>
      </c>
      <c r="K7552" s="369">
        <f t="shared" si="359"/>
        <v>6</v>
      </c>
      <c r="L7552" s="369">
        <f>+IF((C7552&gt;='Resultats - informe'!$E$16)*(C7552&lt;='Resultats - informe'!$G$16),1,0)</f>
        <v>1</v>
      </c>
      <c r="M7552" s="369" cm="1">
        <f t="array" ref="M7552">+_xlfn.IFS((C7552&gt;='Resultats - informe'!$D$26)*(C7552&lt;='Resultats - informe'!$E$26),0,(C7552&gt;='Resultats - informe'!$D$27)*(C7552&lt;='Resultats - informe'!$E$27),0,(C7552&gt;='Resultats - informe'!$D$28)*(C7552&lt;='Resultats - informe'!$E$28),0,(C7552&gt;='Resultats - informe'!$D$29)*(C7552&lt;='Resultats - informe'!$E$29),0,1,1)</f>
        <v>0</v>
      </c>
      <c r="N7552" s="366">
        <f>+VLOOKUP(D7552,'Resultats - informe'!$Y$18:$AG$42,'Introducció dades consum'!K7552+1,0)</f>
        <v>0</v>
      </c>
      <c r="O7552" s="370" cm="1">
        <f t="array" ref="O7552">+_xlfn.SWITCH(MONTH(C7552),1,1,2,1,3,1,4,2,5,2,6,3,7,3,8,3,9,3,10,2,11,2,12,1,2)</f>
        <v>1</v>
      </c>
      <c r="P7552" s="43"/>
    </row>
    <row r="7553" spans="1:16" ht="18" x14ac:dyDescent="0.35">
      <c r="A7553" s="9"/>
      <c r="C7553" s="393"/>
      <c r="E7553" s="394"/>
      <c r="F7553" s="394"/>
      <c r="G7553" s="394"/>
      <c r="I7553" s="368">
        <f t="shared" si="357"/>
        <v>0</v>
      </c>
      <c r="J7553" s="365">
        <f t="shared" si="358"/>
        <v>0</v>
      </c>
      <c r="K7553" s="369">
        <f t="shared" si="359"/>
        <v>6</v>
      </c>
      <c r="L7553" s="369">
        <f>+IF((C7553&gt;='Resultats - informe'!$E$16)*(C7553&lt;='Resultats - informe'!$G$16),1,0)</f>
        <v>1</v>
      </c>
      <c r="M7553" s="369" cm="1">
        <f t="array" ref="M7553">+_xlfn.IFS((C7553&gt;='Resultats - informe'!$D$26)*(C7553&lt;='Resultats - informe'!$E$26),0,(C7553&gt;='Resultats - informe'!$D$27)*(C7553&lt;='Resultats - informe'!$E$27),0,(C7553&gt;='Resultats - informe'!$D$28)*(C7553&lt;='Resultats - informe'!$E$28),0,(C7553&gt;='Resultats - informe'!$D$29)*(C7553&lt;='Resultats - informe'!$E$29),0,1,1)</f>
        <v>0</v>
      </c>
      <c r="N7553" s="366">
        <f>+VLOOKUP(D7553,'Resultats - informe'!$Y$18:$AG$42,'Introducció dades consum'!K7553+1,0)</f>
        <v>0</v>
      </c>
      <c r="O7553" s="370" cm="1">
        <f t="array" ref="O7553">+_xlfn.SWITCH(MONTH(C7553),1,1,2,1,3,1,4,2,5,2,6,3,7,3,8,3,9,3,10,2,11,2,12,1,2)</f>
        <v>1</v>
      </c>
      <c r="P7553" s="43"/>
    </row>
    <row r="7554" spans="1:16" ht="18" x14ac:dyDescent="0.35">
      <c r="A7554" s="9"/>
      <c r="C7554" s="393"/>
      <c r="E7554" s="394"/>
      <c r="F7554" s="394"/>
      <c r="G7554" s="394"/>
      <c r="I7554" s="368">
        <f t="shared" si="357"/>
        <v>0</v>
      </c>
      <c r="J7554" s="365">
        <f t="shared" si="358"/>
        <v>0</v>
      </c>
      <c r="K7554" s="369">
        <f t="shared" si="359"/>
        <v>6</v>
      </c>
      <c r="L7554" s="369">
        <f>+IF((C7554&gt;='Resultats - informe'!$E$16)*(C7554&lt;='Resultats - informe'!$G$16),1,0)</f>
        <v>1</v>
      </c>
      <c r="M7554" s="369" cm="1">
        <f t="array" ref="M7554">+_xlfn.IFS((C7554&gt;='Resultats - informe'!$D$26)*(C7554&lt;='Resultats - informe'!$E$26),0,(C7554&gt;='Resultats - informe'!$D$27)*(C7554&lt;='Resultats - informe'!$E$27),0,(C7554&gt;='Resultats - informe'!$D$28)*(C7554&lt;='Resultats - informe'!$E$28),0,(C7554&gt;='Resultats - informe'!$D$29)*(C7554&lt;='Resultats - informe'!$E$29),0,1,1)</f>
        <v>0</v>
      </c>
      <c r="N7554" s="366">
        <f>+VLOOKUP(D7554,'Resultats - informe'!$Y$18:$AG$42,'Introducció dades consum'!K7554+1,0)</f>
        <v>0</v>
      </c>
      <c r="O7554" s="370" cm="1">
        <f t="array" ref="O7554">+_xlfn.SWITCH(MONTH(C7554),1,1,2,1,3,1,4,2,5,2,6,3,7,3,8,3,9,3,10,2,11,2,12,1,2)</f>
        <v>1</v>
      </c>
      <c r="P7554" s="43"/>
    </row>
    <row r="7555" spans="1:16" ht="18" x14ac:dyDescent="0.35">
      <c r="A7555" s="9"/>
      <c r="C7555" s="393"/>
      <c r="E7555" s="394"/>
      <c r="F7555" s="394"/>
      <c r="G7555" s="394"/>
      <c r="I7555" s="368">
        <f t="shared" si="357"/>
        <v>0</v>
      </c>
      <c r="J7555" s="365">
        <f t="shared" si="358"/>
        <v>0</v>
      </c>
      <c r="K7555" s="369">
        <f t="shared" si="359"/>
        <v>6</v>
      </c>
      <c r="L7555" s="369">
        <f>+IF((C7555&gt;='Resultats - informe'!$E$16)*(C7555&lt;='Resultats - informe'!$G$16),1,0)</f>
        <v>1</v>
      </c>
      <c r="M7555" s="369" cm="1">
        <f t="array" ref="M7555">+_xlfn.IFS((C7555&gt;='Resultats - informe'!$D$26)*(C7555&lt;='Resultats - informe'!$E$26),0,(C7555&gt;='Resultats - informe'!$D$27)*(C7555&lt;='Resultats - informe'!$E$27),0,(C7555&gt;='Resultats - informe'!$D$28)*(C7555&lt;='Resultats - informe'!$E$28),0,(C7555&gt;='Resultats - informe'!$D$29)*(C7555&lt;='Resultats - informe'!$E$29),0,1,1)</f>
        <v>0</v>
      </c>
      <c r="N7555" s="366">
        <f>+VLOOKUP(D7555,'Resultats - informe'!$Y$18:$AG$42,'Introducció dades consum'!K7555+1,0)</f>
        <v>0</v>
      </c>
      <c r="O7555" s="370" cm="1">
        <f t="array" ref="O7555">+_xlfn.SWITCH(MONTH(C7555),1,1,2,1,3,1,4,2,5,2,6,3,7,3,8,3,9,3,10,2,11,2,12,1,2)</f>
        <v>1</v>
      </c>
      <c r="P7555" s="43"/>
    </row>
    <row r="7556" spans="1:16" ht="18" x14ac:dyDescent="0.35">
      <c r="A7556" s="9"/>
      <c r="C7556" s="393"/>
      <c r="E7556" s="394"/>
      <c r="F7556" s="394"/>
      <c r="G7556" s="394"/>
      <c r="I7556" s="368">
        <f t="shared" si="357"/>
        <v>0</v>
      </c>
      <c r="J7556" s="365">
        <f t="shared" si="358"/>
        <v>0</v>
      </c>
      <c r="K7556" s="369">
        <f t="shared" si="359"/>
        <v>6</v>
      </c>
      <c r="L7556" s="369">
        <f>+IF((C7556&gt;='Resultats - informe'!$E$16)*(C7556&lt;='Resultats - informe'!$G$16),1,0)</f>
        <v>1</v>
      </c>
      <c r="M7556" s="369" cm="1">
        <f t="array" ref="M7556">+_xlfn.IFS((C7556&gt;='Resultats - informe'!$D$26)*(C7556&lt;='Resultats - informe'!$E$26),0,(C7556&gt;='Resultats - informe'!$D$27)*(C7556&lt;='Resultats - informe'!$E$27),0,(C7556&gt;='Resultats - informe'!$D$28)*(C7556&lt;='Resultats - informe'!$E$28),0,(C7556&gt;='Resultats - informe'!$D$29)*(C7556&lt;='Resultats - informe'!$E$29),0,1,1)</f>
        <v>0</v>
      </c>
      <c r="N7556" s="366">
        <f>+VLOOKUP(D7556,'Resultats - informe'!$Y$18:$AG$42,'Introducció dades consum'!K7556+1,0)</f>
        <v>0</v>
      </c>
      <c r="O7556" s="370" cm="1">
        <f t="array" ref="O7556">+_xlfn.SWITCH(MONTH(C7556),1,1,2,1,3,1,4,2,5,2,6,3,7,3,8,3,9,3,10,2,11,2,12,1,2)</f>
        <v>1</v>
      </c>
      <c r="P7556" s="43"/>
    </row>
    <row r="7557" spans="1:16" ht="18" x14ac:dyDescent="0.35">
      <c r="A7557" s="9"/>
      <c r="C7557" s="393"/>
      <c r="E7557" s="394"/>
      <c r="F7557" s="394"/>
      <c r="G7557" s="394"/>
      <c r="I7557" s="368">
        <f t="shared" si="357"/>
        <v>0</v>
      </c>
      <c r="J7557" s="365">
        <f t="shared" si="358"/>
        <v>0</v>
      </c>
      <c r="K7557" s="369">
        <f t="shared" si="359"/>
        <v>6</v>
      </c>
      <c r="L7557" s="369">
        <f>+IF((C7557&gt;='Resultats - informe'!$E$16)*(C7557&lt;='Resultats - informe'!$G$16),1,0)</f>
        <v>1</v>
      </c>
      <c r="M7557" s="369" cm="1">
        <f t="array" ref="M7557">+_xlfn.IFS((C7557&gt;='Resultats - informe'!$D$26)*(C7557&lt;='Resultats - informe'!$E$26),0,(C7557&gt;='Resultats - informe'!$D$27)*(C7557&lt;='Resultats - informe'!$E$27),0,(C7557&gt;='Resultats - informe'!$D$28)*(C7557&lt;='Resultats - informe'!$E$28),0,(C7557&gt;='Resultats - informe'!$D$29)*(C7557&lt;='Resultats - informe'!$E$29),0,1,1)</f>
        <v>0</v>
      </c>
      <c r="N7557" s="366">
        <f>+VLOOKUP(D7557,'Resultats - informe'!$Y$18:$AG$42,'Introducció dades consum'!K7557+1,0)</f>
        <v>0</v>
      </c>
      <c r="O7557" s="370" cm="1">
        <f t="array" ref="O7557">+_xlfn.SWITCH(MONTH(C7557),1,1,2,1,3,1,4,2,5,2,6,3,7,3,8,3,9,3,10,2,11,2,12,1,2)</f>
        <v>1</v>
      </c>
      <c r="P7557" s="43"/>
    </row>
    <row r="7558" spans="1:16" ht="18" x14ac:dyDescent="0.35">
      <c r="A7558" s="9"/>
      <c r="C7558" s="393"/>
      <c r="E7558" s="394"/>
      <c r="F7558" s="394"/>
      <c r="G7558" s="394"/>
      <c r="I7558" s="368">
        <f t="shared" si="357"/>
        <v>0</v>
      </c>
      <c r="J7558" s="365">
        <f t="shared" si="358"/>
        <v>0</v>
      </c>
      <c r="K7558" s="369">
        <f t="shared" si="359"/>
        <v>6</v>
      </c>
      <c r="L7558" s="369">
        <f>+IF((C7558&gt;='Resultats - informe'!$E$16)*(C7558&lt;='Resultats - informe'!$G$16),1,0)</f>
        <v>1</v>
      </c>
      <c r="M7558" s="369" cm="1">
        <f t="array" ref="M7558">+_xlfn.IFS((C7558&gt;='Resultats - informe'!$D$26)*(C7558&lt;='Resultats - informe'!$E$26),0,(C7558&gt;='Resultats - informe'!$D$27)*(C7558&lt;='Resultats - informe'!$E$27),0,(C7558&gt;='Resultats - informe'!$D$28)*(C7558&lt;='Resultats - informe'!$E$28),0,(C7558&gt;='Resultats - informe'!$D$29)*(C7558&lt;='Resultats - informe'!$E$29),0,1,1)</f>
        <v>0</v>
      </c>
      <c r="N7558" s="366">
        <f>+VLOOKUP(D7558,'Resultats - informe'!$Y$18:$AG$42,'Introducció dades consum'!K7558+1,0)</f>
        <v>0</v>
      </c>
      <c r="O7558" s="370" cm="1">
        <f t="array" ref="O7558">+_xlfn.SWITCH(MONTH(C7558),1,1,2,1,3,1,4,2,5,2,6,3,7,3,8,3,9,3,10,2,11,2,12,1,2)</f>
        <v>1</v>
      </c>
      <c r="P7558" s="43"/>
    </row>
    <row r="7559" spans="1:16" ht="18" x14ac:dyDescent="0.35">
      <c r="A7559" s="9"/>
      <c r="C7559" s="393"/>
      <c r="E7559" s="394"/>
      <c r="F7559" s="394"/>
      <c r="G7559" s="394"/>
      <c r="I7559" s="368">
        <f t="shared" si="357"/>
        <v>0</v>
      </c>
      <c r="J7559" s="365">
        <f t="shared" si="358"/>
        <v>0</v>
      </c>
      <c r="K7559" s="369">
        <f t="shared" si="359"/>
        <v>6</v>
      </c>
      <c r="L7559" s="369">
        <f>+IF((C7559&gt;='Resultats - informe'!$E$16)*(C7559&lt;='Resultats - informe'!$G$16),1,0)</f>
        <v>1</v>
      </c>
      <c r="M7559" s="369" cm="1">
        <f t="array" ref="M7559">+_xlfn.IFS((C7559&gt;='Resultats - informe'!$D$26)*(C7559&lt;='Resultats - informe'!$E$26),0,(C7559&gt;='Resultats - informe'!$D$27)*(C7559&lt;='Resultats - informe'!$E$27),0,(C7559&gt;='Resultats - informe'!$D$28)*(C7559&lt;='Resultats - informe'!$E$28),0,(C7559&gt;='Resultats - informe'!$D$29)*(C7559&lt;='Resultats - informe'!$E$29),0,1,1)</f>
        <v>0</v>
      </c>
      <c r="N7559" s="366">
        <f>+VLOOKUP(D7559,'Resultats - informe'!$Y$18:$AG$42,'Introducció dades consum'!K7559+1,0)</f>
        <v>0</v>
      </c>
      <c r="O7559" s="370" cm="1">
        <f t="array" ref="O7559">+_xlfn.SWITCH(MONTH(C7559),1,1,2,1,3,1,4,2,5,2,6,3,7,3,8,3,9,3,10,2,11,2,12,1,2)</f>
        <v>1</v>
      </c>
      <c r="P7559" s="43"/>
    </row>
    <row r="7560" spans="1:16" ht="18" x14ac:dyDescent="0.35">
      <c r="A7560" s="9"/>
      <c r="C7560" s="393"/>
      <c r="E7560" s="394"/>
      <c r="F7560" s="394"/>
      <c r="G7560" s="394"/>
      <c r="I7560" s="368">
        <f t="shared" si="357"/>
        <v>0</v>
      </c>
      <c r="J7560" s="365">
        <f t="shared" si="358"/>
        <v>0</v>
      </c>
      <c r="K7560" s="369">
        <f t="shared" si="359"/>
        <v>6</v>
      </c>
      <c r="L7560" s="369">
        <f>+IF((C7560&gt;='Resultats - informe'!$E$16)*(C7560&lt;='Resultats - informe'!$G$16),1,0)</f>
        <v>1</v>
      </c>
      <c r="M7560" s="369" cm="1">
        <f t="array" ref="M7560">+_xlfn.IFS((C7560&gt;='Resultats - informe'!$D$26)*(C7560&lt;='Resultats - informe'!$E$26),0,(C7560&gt;='Resultats - informe'!$D$27)*(C7560&lt;='Resultats - informe'!$E$27),0,(C7560&gt;='Resultats - informe'!$D$28)*(C7560&lt;='Resultats - informe'!$E$28),0,(C7560&gt;='Resultats - informe'!$D$29)*(C7560&lt;='Resultats - informe'!$E$29),0,1,1)</f>
        <v>0</v>
      </c>
      <c r="N7560" s="366">
        <f>+VLOOKUP(D7560,'Resultats - informe'!$Y$18:$AG$42,'Introducció dades consum'!K7560+1,0)</f>
        <v>0</v>
      </c>
      <c r="O7560" s="370" cm="1">
        <f t="array" ref="O7560">+_xlfn.SWITCH(MONTH(C7560),1,1,2,1,3,1,4,2,5,2,6,3,7,3,8,3,9,3,10,2,11,2,12,1,2)</f>
        <v>1</v>
      </c>
      <c r="P7560" s="43"/>
    </row>
    <row r="7561" spans="1:16" ht="18" x14ac:dyDescent="0.35">
      <c r="A7561" s="9"/>
      <c r="C7561" s="393"/>
      <c r="E7561" s="394"/>
      <c r="F7561" s="394"/>
      <c r="G7561" s="394"/>
      <c r="I7561" s="368">
        <f t="shared" si="357"/>
        <v>0</v>
      </c>
      <c r="J7561" s="365">
        <f t="shared" si="358"/>
        <v>0</v>
      </c>
      <c r="K7561" s="369">
        <f t="shared" si="359"/>
        <v>6</v>
      </c>
      <c r="L7561" s="369">
        <f>+IF((C7561&gt;='Resultats - informe'!$E$16)*(C7561&lt;='Resultats - informe'!$G$16),1,0)</f>
        <v>1</v>
      </c>
      <c r="M7561" s="369" cm="1">
        <f t="array" ref="M7561">+_xlfn.IFS((C7561&gt;='Resultats - informe'!$D$26)*(C7561&lt;='Resultats - informe'!$E$26),0,(C7561&gt;='Resultats - informe'!$D$27)*(C7561&lt;='Resultats - informe'!$E$27),0,(C7561&gt;='Resultats - informe'!$D$28)*(C7561&lt;='Resultats - informe'!$E$28),0,(C7561&gt;='Resultats - informe'!$D$29)*(C7561&lt;='Resultats - informe'!$E$29),0,1,1)</f>
        <v>0</v>
      </c>
      <c r="N7561" s="366">
        <f>+VLOOKUP(D7561,'Resultats - informe'!$Y$18:$AG$42,'Introducció dades consum'!K7561+1,0)</f>
        <v>0</v>
      </c>
      <c r="O7561" s="370" cm="1">
        <f t="array" ref="O7561">+_xlfn.SWITCH(MONTH(C7561),1,1,2,1,3,1,4,2,5,2,6,3,7,3,8,3,9,3,10,2,11,2,12,1,2)</f>
        <v>1</v>
      </c>
      <c r="P7561" s="43"/>
    </row>
    <row r="7562" spans="1:16" ht="18" x14ac:dyDescent="0.35">
      <c r="A7562" s="9"/>
      <c r="C7562" s="393"/>
      <c r="E7562" s="394"/>
      <c r="F7562" s="394"/>
      <c r="G7562" s="394"/>
      <c r="I7562" s="368">
        <f t="shared" si="357"/>
        <v>0</v>
      </c>
      <c r="J7562" s="365">
        <f t="shared" si="358"/>
        <v>0</v>
      </c>
      <c r="K7562" s="369">
        <f t="shared" si="359"/>
        <v>6</v>
      </c>
      <c r="L7562" s="369">
        <f>+IF((C7562&gt;='Resultats - informe'!$E$16)*(C7562&lt;='Resultats - informe'!$G$16),1,0)</f>
        <v>1</v>
      </c>
      <c r="M7562" s="369" cm="1">
        <f t="array" ref="M7562">+_xlfn.IFS((C7562&gt;='Resultats - informe'!$D$26)*(C7562&lt;='Resultats - informe'!$E$26),0,(C7562&gt;='Resultats - informe'!$D$27)*(C7562&lt;='Resultats - informe'!$E$27),0,(C7562&gt;='Resultats - informe'!$D$28)*(C7562&lt;='Resultats - informe'!$E$28),0,(C7562&gt;='Resultats - informe'!$D$29)*(C7562&lt;='Resultats - informe'!$E$29),0,1,1)</f>
        <v>0</v>
      </c>
      <c r="N7562" s="366">
        <f>+VLOOKUP(D7562,'Resultats - informe'!$Y$18:$AG$42,'Introducció dades consum'!K7562+1,0)</f>
        <v>0</v>
      </c>
      <c r="O7562" s="370" cm="1">
        <f t="array" ref="O7562">+_xlfn.SWITCH(MONTH(C7562),1,1,2,1,3,1,4,2,5,2,6,3,7,3,8,3,9,3,10,2,11,2,12,1,2)</f>
        <v>1</v>
      </c>
      <c r="P7562" s="43"/>
    </row>
    <row r="7563" spans="1:16" ht="18" x14ac:dyDescent="0.35">
      <c r="A7563" s="9"/>
      <c r="C7563" s="393"/>
      <c r="E7563" s="394"/>
      <c r="F7563" s="394"/>
      <c r="G7563" s="394"/>
      <c r="I7563" s="368">
        <f t="shared" si="357"/>
        <v>0</v>
      </c>
      <c r="J7563" s="365">
        <f t="shared" si="358"/>
        <v>0</v>
      </c>
      <c r="K7563" s="369">
        <f t="shared" si="359"/>
        <v>6</v>
      </c>
      <c r="L7563" s="369">
        <f>+IF((C7563&gt;='Resultats - informe'!$E$16)*(C7563&lt;='Resultats - informe'!$G$16),1,0)</f>
        <v>1</v>
      </c>
      <c r="M7563" s="369" cm="1">
        <f t="array" ref="M7563">+_xlfn.IFS((C7563&gt;='Resultats - informe'!$D$26)*(C7563&lt;='Resultats - informe'!$E$26),0,(C7563&gt;='Resultats - informe'!$D$27)*(C7563&lt;='Resultats - informe'!$E$27),0,(C7563&gt;='Resultats - informe'!$D$28)*(C7563&lt;='Resultats - informe'!$E$28),0,(C7563&gt;='Resultats - informe'!$D$29)*(C7563&lt;='Resultats - informe'!$E$29),0,1,1)</f>
        <v>0</v>
      </c>
      <c r="N7563" s="366">
        <f>+VLOOKUP(D7563,'Resultats - informe'!$Y$18:$AG$42,'Introducció dades consum'!K7563+1,0)</f>
        <v>0</v>
      </c>
      <c r="O7563" s="370" cm="1">
        <f t="array" ref="O7563">+_xlfn.SWITCH(MONTH(C7563),1,1,2,1,3,1,4,2,5,2,6,3,7,3,8,3,9,3,10,2,11,2,12,1,2)</f>
        <v>1</v>
      </c>
      <c r="P7563" s="43"/>
    </row>
    <row r="7564" spans="1:16" ht="18" x14ac:dyDescent="0.35">
      <c r="A7564" s="9"/>
      <c r="C7564" s="393"/>
      <c r="E7564" s="394"/>
      <c r="F7564" s="394"/>
      <c r="G7564" s="394"/>
      <c r="I7564" s="368">
        <f t="shared" si="357"/>
        <v>0</v>
      </c>
      <c r="J7564" s="365">
        <f t="shared" si="358"/>
        <v>0</v>
      </c>
      <c r="K7564" s="369">
        <f t="shared" si="359"/>
        <v>6</v>
      </c>
      <c r="L7564" s="369">
        <f>+IF((C7564&gt;='Resultats - informe'!$E$16)*(C7564&lt;='Resultats - informe'!$G$16),1,0)</f>
        <v>1</v>
      </c>
      <c r="M7564" s="369" cm="1">
        <f t="array" ref="M7564">+_xlfn.IFS((C7564&gt;='Resultats - informe'!$D$26)*(C7564&lt;='Resultats - informe'!$E$26),0,(C7564&gt;='Resultats - informe'!$D$27)*(C7564&lt;='Resultats - informe'!$E$27),0,(C7564&gt;='Resultats - informe'!$D$28)*(C7564&lt;='Resultats - informe'!$E$28),0,(C7564&gt;='Resultats - informe'!$D$29)*(C7564&lt;='Resultats - informe'!$E$29),0,1,1)</f>
        <v>0</v>
      </c>
      <c r="N7564" s="366">
        <f>+VLOOKUP(D7564,'Resultats - informe'!$Y$18:$AG$42,'Introducció dades consum'!K7564+1,0)</f>
        <v>0</v>
      </c>
      <c r="O7564" s="370" cm="1">
        <f t="array" ref="O7564">+_xlfn.SWITCH(MONTH(C7564),1,1,2,1,3,1,4,2,5,2,6,3,7,3,8,3,9,3,10,2,11,2,12,1,2)</f>
        <v>1</v>
      </c>
      <c r="P7564" s="43"/>
    </row>
    <row r="7565" spans="1:16" ht="18" x14ac:dyDescent="0.35">
      <c r="A7565" s="9"/>
      <c r="C7565" s="393"/>
      <c r="E7565" s="394"/>
      <c r="F7565" s="394"/>
      <c r="G7565" s="394"/>
      <c r="I7565" s="368">
        <f t="shared" si="357"/>
        <v>0</v>
      </c>
      <c r="J7565" s="365">
        <f t="shared" si="358"/>
        <v>0</v>
      </c>
      <c r="K7565" s="369">
        <f t="shared" si="359"/>
        <v>6</v>
      </c>
      <c r="L7565" s="369">
        <f>+IF((C7565&gt;='Resultats - informe'!$E$16)*(C7565&lt;='Resultats - informe'!$G$16),1,0)</f>
        <v>1</v>
      </c>
      <c r="M7565" s="369" cm="1">
        <f t="array" ref="M7565">+_xlfn.IFS((C7565&gt;='Resultats - informe'!$D$26)*(C7565&lt;='Resultats - informe'!$E$26),0,(C7565&gt;='Resultats - informe'!$D$27)*(C7565&lt;='Resultats - informe'!$E$27),0,(C7565&gt;='Resultats - informe'!$D$28)*(C7565&lt;='Resultats - informe'!$E$28),0,(C7565&gt;='Resultats - informe'!$D$29)*(C7565&lt;='Resultats - informe'!$E$29),0,1,1)</f>
        <v>0</v>
      </c>
      <c r="N7565" s="366">
        <f>+VLOOKUP(D7565,'Resultats - informe'!$Y$18:$AG$42,'Introducció dades consum'!K7565+1,0)</f>
        <v>0</v>
      </c>
      <c r="O7565" s="370" cm="1">
        <f t="array" ref="O7565">+_xlfn.SWITCH(MONTH(C7565),1,1,2,1,3,1,4,2,5,2,6,3,7,3,8,3,9,3,10,2,11,2,12,1,2)</f>
        <v>1</v>
      </c>
      <c r="P7565" s="43"/>
    </row>
    <row r="7566" spans="1:16" ht="18" x14ac:dyDescent="0.35">
      <c r="A7566" s="9"/>
      <c r="C7566" s="393"/>
      <c r="E7566" s="394"/>
      <c r="F7566" s="394"/>
      <c r="G7566" s="394"/>
      <c r="I7566" s="368">
        <f t="shared" si="357"/>
        <v>0</v>
      </c>
      <c r="J7566" s="365">
        <f t="shared" si="358"/>
        <v>0</v>
      </c>
      <c r="K7566" s="369">
        <f t="shared" si="359"/>
        <v>6</v>
      </c>
      <c r="L7566" s="369">
        <f>+IF((C7566&gt;='Resultats - informe'!$E$16)*(C7566&lt;='Resultats - informe'!$G$16),1,0)</f>
        <v>1</v>
      </c>
      <c r="M7566" s="369" cm="1">
        <f t="array" ref="M7566">+_xlfn.IFS((C7566&gt;='Resultats - informe'!$D$26)*(C7566&lt;='Resultats - informe'!$E$26),0,(C7566&gt;='Resultats - informe'!$D$27)*(C7566&lt;='Resultats - informe'!$E$27),0,(C7566&gt;='Resultats - informe'!$D$28)*(C7566&lt;='Resultats - informe'!$E$28),0,(C7566&gt;='Resultats - informe'!$D$29)*(C7566&lt;='Resultats - informe'!$E$29),0,1,1)</f>
        <v>0</v>
      </c>
      <c r="N7566" s="366">
        <f>+VLOOKUP(D7566,'Resultats - informe'!$Y$18:$AG$42,'Introducció dades consum'!K7566+1,0)</f>
        <v>0</v>
      </c>
      <c r="O7566" s="370" cm="1">
        <f t="array" ref="O7566">+_xlfn.SWITCH(MONTH(C7566),1,1,2,1,3,1,4,2,5,2,6,3,7,3,8,3,9,3,10,2,11,2,12,1,2)</f>
        <v>1</v>
      </c>
      <c r="P7566" s="43"/>
    </row>
    <row r="7567" spans="1:16" ht="18" x14ac:dyDescent="0.35">
      <c r="A7567" s="9"/>
      <c r="C7567" s="393"/>
      <c r="E7567" s="394"/>
      <c r="F7567" s="394"/>
      <c r="G7567" s="394"/>
      <c r="I7567" s="368">
        <f t="shared" si="357"/>
        <v>0</v>
      </c>
      <c r="J7567" s="365">
        <f t="shared" si="358"/>
        <v>0</v>
      </c>
      <c r="K7567" s="369">
        <f t="shared" si="359"/>
        <v>6</v>
      </c>
      <c r="L7567" s="369">
        <f>+IF((C7567&gt;='Resultats - informe'!$E$16)*(C7567&lt;='Resultats - informe'!$G$16),1,0)</f>
        <v>1</v>
      </c>
      <c r="M7567" s="369" cm="1">
        <f t="array" ref="M7567">+_xlfn.IFS((C7567&gt;='Resultats - informe'!$D$26)*(C7567&lt;='Resultats - informe'!$E$26),0,(C7567&gt;='Resultats - informe'!$D$27)*(C7567&lt;='Resultats - informe'!$E$27),0,(C7567&gt;='Resultats - informe'!$D$28)*(C7567&lt;='Resultats - informe'!$E$28),0,(C7567&gt;='Resultats - informe'!$D$29)*(C7567&lt;='Resultats - informe'!$E$29),0,1,1)</f>
        <v>0</v>
      </c>
      <c r="N7567" s="366">
        <f>+VLOOKUP(D7567,'Resultats - informe'!$Y$18:$AG$42,'Introducció dades consum'!K7567+1,0)</f>
        <v>0</v>
      </c>
      <c r="O7567" s="370" cm="1">
        <f t="array" ref="O7567">+_xlfn.SWITCH(MONTH(C7567),1,1,2,1,3,1,4,2,5,2,6,3,7,3,8,3,9,3,10,2,11,2,12,1,2)</f>
        <v>1</v>
      </c>
      <c r="P7567" s="43"/>
    </row>
    <row r="7568" spans="1:16" ht="18" x14ac:dyDescent="0.35">
      <c r="A7568" s="9"/>
      <c r="C7568" s="393"/>
      <c r="E7568" s="394"/>
      <c r="F7568" s="394"/>
      <c r="G7568" s="394"/>
      <c r="I7568" s="368">
        <f t="shared" si="357"/>
        <v>0</v>
      </c>
      <c r="J7568" s="365">
        <f t="shared" si="358"/>
        <v>0</v>
      </c>
      <c r="K7568" s="369">
        <f t="shared" si="359"/>
        <v>6</v>
      </c>
      <c r="L7568" s="369">
        <f>+IF((C7568&gt;='Resultats - informe'!$E$16)*(C7568&lt;='Resultats - informe'!$G$16),1,0)</f>
        <v>1</v>
      </c>
      <c r="M7568" s="369" cm="1">
        <f t="array" ref="M7568">+_xlfn.IFS((C7568&gt;='Resultats - informe'!$D$26)*(C7568&lt;='Resultats - informe'!$E$26),0,(C7568&gt;='Resultats - informe'!$D$27)*(C7568&lt;='Resultats - informe'!$E$27),0,(C7568&gt;='Resultats - informe'!$D$28)*(C7568&lt;='Resultats - informe'!$E$28),0,(C7568&gt;='Resultats - informe'!$D$29)*(C7568&lt;='Resultats - informe'!$E$29),0,1,1)</f>
        <v>0</v>
      </c>
      <c r="N7568" s="366">
        <f>+VLOOKUP(D7568,'Resultats - informe'!$Y$18:$AG$42,'Introducció dades consum'!K7568+1,0)</f>
        <v>0</v>
      </c>
      <c r="O7568" s="370" cm="1">
        <f t="array" ref="O7568">+_xlfn.SWITCH(MONTH(C7568),1,1,2,1,3,1,4,2,5,2,6,3,7,3,8,3,9,3,10,2,11,2,12,1,2)</f>
        <v>1</v>
      </c>
      <c r="P7568" s="43"/>
    </row>
    <row r="7569" spans="1:16" ht="18" x14ac:dyDescent="0.35">
      <c r="A7569" s="9"/>
      <c r="C7569" s="393"/>
      <c r="E7569" s="394"/>
      <c r="F7569" s="394"/>
      <c r="G7569" s="394"/>
      <c r="I7569" s="368">
        <f t="shared" si="357"/>
        <v>0</v>
      </c>
      <c r="J7569" s="365">
        <f t="shared" si="358"/>
        <v>0</v>
      </c>
      <c r="K7569" s="369">
        <f t="shared" si="359"/>
        <v>6</v>
      </c>
      <c r="L7569" s="369">
        <f>+IF((C7569&gt;='Resultats - informe'!$E$16)*(C7569&lt;='Resultats - informe'!$G$16),1,0)</f>
        <v>1</v>
      </c>
      <c r="M7569" s="369" cm="1">
        <f t="array" ref="M7569">+_xlfn.IFS((C7569&gt;='Resultats - informe'!$D$26)*(C7569&lt;='Resultats - informe'!$E$26),0,(C7569&gt;='Resultats - informe'!$D$27)*(C7569&lt;='Resultats - informe'!$E$27),0,(C7569&gt;='Resultats - informe'!$D$28)*(C7569&lt;='Resultats - informe'!$E$28),0,(C7569&gt;='Resultats - informe'!$D$29)*(C7569&lt;='Resultats - informe'!$E$29),0,1,1)</f>
        <v>0</v>
      </c>
      <c r="N7569" s="366">
        <f>+VLOOKUP(D7569,'Resultats - informe'!$Y$18:$AG$42,'Introducció dades consum'!K7569+1,0)</f>
        <v>0</v>
      </c>
      <c r="O7569" s="370" cm="1">
        <f t="array" ref="O7569">+_xlfn.SWITCH(MONTH(C7569),1,1,2,1,3,1,4,2,5,2,6,3,7,3,8,3,9,3,10,2,11,2,12,1,2)</f>
        <v>1</v>
      </c>
      <c r="P7569" s="43"/>
    </row>
    <row r="7570" spans="1:16" ht="18" x14ac:dyDescent="0.35">
      <c r="A7570" s="9"/>
      <c r="C7570" s="393"/>
      <c r="E7570" s="394"/>
      <c r="F7570" s="394"/>
      <c r="G7570" s="394"/>
      <c r="I7570" s="368">
        <f t="shared" ref="I7570:I7633" si="360">+E7570+G7570</f>
        <v>0</v>
      </c>
      <c r="J7570" s="365">
        <f t="shared" ref="J7570:J7633" si="361">+C7570</f>
        <v>0</v>
      </c>
      <c r="K7570" s="369">
        <f t="shared" ref="K7570:K7633" si="362">+WEEKDAY(C7570,2)</f>
        <v>6</v>
      </c>
      <c r="L7570" s="369">
        <f>+IF((C7570&gt;='Resultats - informe'!$E$16)*(C7570&lt;='Resultats - informe'!$G$16),1,0)</f>
        <v>1</v>
      </c>
      <c r="M7570" s="369" cm="1">
        <f t="array" ref="M7570">+_xlfn.IFS((C7570&gt;='Resultats - informe'!$D$26)*(C7570&lt;='Resultats - informe'!$E$26),0,(C7570&gt;='Resultats - informe'!$D$27)*(C7570&lt;='Resultats - informe'!$E$27),0,(C7570&gt;='Resultats - informe'!$D$28)*(C7570&lt;='Resultats - informe'!$E$28),0,(C7570&gt;='Resultats - informe'!$D$29)*(C7570&lt;='Resultats - informe'!$E$29),0,1,1)</f>
        <v>0</v>
      </c>
      <c r="N7570" s="366">
        <f>+VLOOKUP(D7570,'Resultats - informe'!$Y$18:$AG$42,'Introducció dades consum'!K7570+1,0)</f>
        <v>0</v>
      </c>
      <c r="O7570" s="370" cm="1">
        <f t="array" ref="O7570">+_xlfn.SWITCH(MONTH(C7570),1,1,2,1,3,1,4,2,5,2,6,3,7,3,8,3,9,3,10,2,11,2,12,1,2)</f>
        <v>1</v>
      </c>
      <c r="P7570" s="43"/>
    </row>
    <row r="7571" spans="1:16" ht="18" x14ac:dyDescent="0.35">
      <c r="A7571" s="9"/>
      <c r="C7571" s="393"/>
      <c r="E7571" s="394"/>
      <c r="F7571" s="394"/>
      <c r="G7571" s="394"/>
      <c r="I7571" s="368">
        <f t="shared" si="360"/>
        <v>0</v>
      </c>
      <c r="J7571" s="365">
        <f t="shared" si="361"/>
        <v>0</v>
      </c>
      <c r="K7571" s="369">
        <f t="shared" si="362"/>
        <v>6</v>
      </c>
      <c r="L7571" s="369">
        <f>+IF((C7571&gt;='Resultats - informe'!$E$16)*(C7571&lt;='Resultats - informe'!$G$16),1,0)</f>
        <v>1</v>
      </c>
      <c r="M7571" s="369" cm="1">
        <f t="array" ref="M7571">+_xlfn.IFS((C7571&gt;='Resultats - informe'!$D$26)*(C7571&lt;='Resultats - informe'!$E$26),0,(C7571&gt;='Resultats - informe'!$D$27)*(C7571&lt;='Resultats - informe'!$E$27),0,(C7571&gt;='Resultats - informe'!$D$28)*(C7571&lt;='Resultats - informe'!$E$28),0,(C7571&gt;='Resultats - informe'!$D$29)*(C7571&lt;='Resultats - informe'!$E$29),0,1,1)</f>
        <v>0</v>
      </c>
      <c r="N7571" s="366">
        <f>+VLOOKUP(D7571,'Resultats - informe'!$Y$18:$AG$42,'Introducció dades consum'!K7571+1,0)</f>
        <v>0</v>
      </c>
      <c r="O7571" s="370" cm="1">
        <f t="array" ref="O7571">+_xlfn.SWITCH(MONTH(C7571),1,1,2,1,3,1,4,2,5,2,6,3,7,3,8,3,9,3,10,2,11,2,12,1,2)</f>
        <v>1</v>
      </c>
      <c r="P7571" s="43"/>
    </row>
    <row r="7572" spans="1:16" ht="18" x14ac:dyDescent="0.35">
      <c r="A7572" s="9"/>
      <c r="C7572" s="393"/>
      <c r="E7572" s="394"/>
      <c r="F7572" s="394"/>
      <c r="G7572" s="394"/>
      <c r="I7572" s="368">
        <f t="shared" si="360"/>
        <v>0</v>
      </c>
      <c r="J7572" s="365">
        <f t="shared" si="361"/>
        <v>0</v>
      </c>
      <c r="K7572" s="369">
        <f t="shared" si="362"/>
        <v>6</v>
      </c>
      <c r="L7572" s="369">
        <f>+IF((C7572&gt;='Resultats - informe'!$E$16)*(C7572&lt;='Resultats - informe'!$G$16),1,0)</f>
        <v>1</v>
      </c>
      <c r="M7572" s="369" cm="1">
        <f t="array" ref="M7572">+_xlfn.IFS((C7572&gt;='Resultats - informe'!$D$26)*(C7572&lt;='Resultats - informe'!$E$26),0,(C7572&gt;='Resultats - informe'!$D$27)*(C7572&lt;='Resultats - informe'!$E$27),0,(C7572&gt;='Resultats - informe'!$D$28)*(C7572&lt;='Resultats - informe'!$E$28),0,(C7572&gt;='Resultats - informe'!$D$29)*(C7572&lt;='Resultats - informe'!$E$29),0,1,1)</f>
        <v>0</v>
      </c>
      <c r="N7572" s="366">
        <f>+VLOOKUP(D7572,'Resultats - informe'!$Y$18:$AG$42,'Introducció dades consum'!K7572+1,0)</f>
        <v>0</v>
      </c>
      <c r="O7572" s="370" cm="1">
        <f t="array" ref="O7572">+_xlfn.SWITCH(MONTH(C7572),1,1,2,1,3,1,4,2,5,2,6,3,7,3,8,3,9,3,10,2,11,2,12,1,2)</f>
        <v>1</v>
      </c>
      <c r="P7572" s="43"/>
    </row>
    <row r="7573" spans="1:16" ht="18" x14ac:dyDescent="0.35">
      <c r="A7573" s="9"/>
      <c r="C7573" s="393"/>
      <c r="E7573" s="394"/>
      <c r="F7573" s="394"/>
      <c r="G7573" s="394"/>
      <c r="I7573" s="368">
        <f t="shared" si="360"/>
        <v>0</v>
      </c>
      <c r="J7573" s="365">
        <f t="shared" si="361"/>
        <v>0</v>
      </c>
      <c r="K7573" s="369">
        <f t="shared" si="362"/>
        <v>6</v>
      </c>
      <c r="L7573" s="369">
        <f>+IF((C7573&gt;='Resultats - informe'!$E$16)*(C7573&lt;='Resultats - informe'!$G$16),1,0)</f>
        <v>1</v>
      </c>
      <c r="M7573" s="369" cm="1">
        <f t="array" ref="M7573">+_xlfn.IFS((C7573&gt;='Resultats - informe'!$D$26)*(C7573&lt;='Resultats - informe'!$E$26),0,(C7573&gt;='Resultats - informe'!$D$27)*(C7573&lt;='Resultats - informe'!$E$27),0,(C7573&gt;='Resultats - informe'!$D$28)*(C7573&lt;='Resultats - informe'!$E$28),0,(C7573&gt;='Resultats - informe'!$D$29)*(C7573&lt;='Resultats - informe'!$E$29),0,1,1)</f>
        <v>0</v>
      </c>
      <c r="N7573" s="366">
        <f>+VLOOKUP(D7573,'Resultats - informe'!$Y$18:$AG$42,'Introducció dades consum'!K7573+1,0)</f>
        <v>0</v>
      </c>
      <c r="O7573" s="370" cm="1">
        <f t="array" ref="O7573">+_xlfn.SWITCH(MONTH(C7573),1,1,2,1,3,1,4,2,5,2,6,3,7,3,8,3,9,3,10,2,11,2,12,1,2)</f>
        <v>1</v>
      </c>
      <c r="P7573" s="43"/>
    </row>
    <row r="7574" spans="1:16" ht="18" x14ac:dyDescent="0.35">
      <c r="A7574" s="9"/>
      <c r="C7574" s="393"/>
      <c r="E7574" s="394"/>
      <c r="F7574" s="394"/>
      <c r="G7574" s="394"/>
      <c r="I7574" s="368">
        <f t="shared" si="360"/>
        <v>0</v>
      </c>
      <c r="J7574" s="365">
        <f t="shared" si="361"/>
        <v>0</v>
      </c>
      <c r="K7574" s="369">
        <f t="shared" si="362"/>
        <v>6</v>
      </c>
      <c r="L7574" s="369">
        <f>+IF((C7574&gt;='Resultats - informe'!$E$16)*(C7574&lt;='Resultats - informe'!$G$16),1,0)</f>
        <v>1</v>
      </c>
      <c r="M7574" s="369" cm="1">
        <f t="array" ref="M7574">+_xlfn.IFS((C7574&gt;='Resultats - informe'!$D$26)*(C7574&lt;='Resultats - informe'!$E$26),0,(C7574&gt;='Resultats - informe'!$D$27)*(C7574&lt;='Resultats - informe'!$E$27),0,(C7574&gt;='Resultats - informe'!$D$28)*(C7574&lt;='Resultats - informe'!$E$28),0,(C7574&gt;='Resultats - informe'!$D$29)*(C7574&lt;='Resultats - informe'!$E$29),0,1,1)</f>
        <v>0</v>
      </c>
      <c r="N7574" s="366">
        <f>+VLOOKUP(D7574,'Resultats - informe'!$Y$18:$AG$42,'Introducció dades consum'!K7574+1,0)</f>
        <v>0</v>
      </c>
      <c r="O7574" s="370" cm="1">
        <f t="array" ref="O7574">+_xlfn.SWITCH(MONTH(C7574),1,1,2,1,3,1,4,2,5,2,6,3,7,3,8,3,9,3,10,2,11,2,12,1,2)</f>
        <v>1</v>
      </c>
      <c r="P7574" s="43"/>
    </row>
    <row r="7575" spans="1:16" ht="18" x14ac:dyDescent="0.35">
      <c r="A7575" s="9"/>
      <c r="C7575" s="393"/>
      <c r="E7575" s="394"/>
      <c r="F7575" s="394"/>
      <c r="G7575" s="394"/>
      <c r="I7575" s="368">
        <f t="shared" si="360"/>
        <v>0</v>
      </c>
      <c r="J7575" s="365">
        <f t="shared" si="361"/>
        <v>0</v>
      </c>
      <c r="K7575" s="369">
        <f t="shared" si="362"/>
        <v>6</v>
      </c>
      <c r="L7575" s="369">
        <f>+IF((C7575&gt;='Resultats - informe'!$E$16)*(C7575&lt;='Resultats - informe'!$G$16),1,0)</f>
        <v>1</v>
      </c>
      <c r="M7575" s="369" cm="1">
        <f t="array" ref="M7575">+_xlfn.IFS((C7575&gt;='Resultats - informe'!$D$26)*(C7575&lt;='Resultats - informe'!$E$26),0,(C7575&gt;='Resultats - informe'!$D$27)*(C7575&lt;='Resultats - informe'!$E$27),0,(C7575&gt;='Resultats - informe'!$D$28)*(C7575&lt;='Resultats - informe'!$E$28),0,(C7575&gt;='Resultats - informe'!$D$29)*(C7575&lt;='Resultats - informe'!$E$29),0,1,1)</f>
        <v>0</v>
      </c>
      <c r="N7575" s="366">
        <f>+VLOOKUP(D7575,'Resultats - informe'!$Y$18:$AG$42,'Introducció dades consum'!K7575+1,0)</f>
        <v>0</v>
      </c>
      <c r="O7575" s="370" cm="1">
        <f t="array" ref="O7575">+_xlfn.SWITCH(MONTH(C7575),1,1,2,1,3,1,4,2,5,2,6,3,7,3,8,3,9,3,10,2,11,2,12,1,2)</f>
        <v>1</v>
      </c>
      <c r="P7575" s="43"/>
    </row>
    <row r="7576" spans="1:16" ht="18" x14ac:dyDescent="0.35">
      <c r="A7576" s="9"/>
      <c r="C7576" s="393"/>
      <c r="E7576" s="394"/>
      <c r="F7576" s="394"/>
      <c r="G7576" s="394"/>
      <c r="I7576" s="368">
        <f t="shared" si="360"/>
        <v>0</v>
      </c>
      <c r="J7576" s="365">
        <f t="shared" si="361"/>
        <v>0</v>
      </c>
      <c r="K7576" s="369">
        <f t="shared" si="362"/>
        <v>6</v>
      </c>
      <c r="L7576" s="369">
        <f>+IF((C7576&gt;='Resultats - informe'!$E$16)*(C7576&lt;='Resultats - informe'!$G$16),1,0)</f>
        <v>1</v>
      </c>
      <c r="M7576" s="369" cm="1">
        <f t="array" ref="M7576">+_xlfn.IFS((C7576&gt;='Resultats - informe'!$D$26)*(C7576&lt;='Resultats - informe'!$E$26),0,(C7576&gt;='Resultats - informe'!$D$27)*(C7576&lt;='Resultats - informe'!$E$27),0,(C7576&gt;='Resultats - informe'!$D$28)*(C7576&lt;='Resultats - informe'!$E$28),0,(C7576&gt;='Resultats - informe'!$D$29)*(C7576&lt;='Resultats - informe'!$E$29),0,1,1)</f>
        <v>0</v>
      </c>
      <c r="N7576" s="366">
        <f>+VLOOKUP(D7576,'Resultats - informe'!$Y$18:$AG$42,'Introducció dades consum'!K7576+1,0)</f>
        <v>0</v>
      </c>
      <c r="O7576" s="370" cm="1">
        <f t="array" ref="O7576">+_xlfn.SWITCH(MONTH(C7576),1,1,2,1,3,1,4,2,5,2,6,3,7,3,8,3,9,3,10,2,11,2,12,1,2)</f>
        <v>1</v>
      </c>
      <c r="P7576" s="43"/>
    </row>
    <row r="7577" spans="1:16" ht="18" x14ac:dyDescent="0.35">
      <c r="A7577" s="9"/>
      <c r="C7577" s="393"/>
      <c r="E7577" s="394"/>
      <c r="F7577" s="394"/>
      <c r="G7577" s="394"/>
      <c r="I7577" s="368">
        <f t="shared" si="360"/>
        <v>0</v>
      </c>
      <c r="J7577" s="365">
        <f t="shared" si="361"/>
        <v>0</v>
      </c>
      <c r="K7577" s="369">
        <f t="shared" si="362"/>
        <v>6</v>
      </c>
      <c r="L7577" s="369">
        <f>+IF((C7577&gt;='Resultats - informe'!$E$16)*(C7577&lt;='Resultats - informe'!$G$16),1,0)</f>
        <v>1</v>
      </c>
      <c r="M7577" s="369" cm="1">
        <f t="array" ref="M7577">+_xlfn.IFS((C7577&gt;='Resultats - informe'!$D$26)*(C7577&lt;='Resultats - informe'!$E$26),0,(C7577&gt;='Resultats - informe'!$D$27)*(C7577&lt;='Resultats - informe'!$E$27),0,(C7577&gt;='Resultats - informe'!$D$28)*(C7577&lt;='Resultats - informe'!$E$28),0,(C7577&gt;='Resultats - informe'!$D$29)*(C7577&lt;='Resultats - informe'!$E$29),0,1,1)</f>
        <v>0</v>
      </c>
      <c r="N7577" s="366">
        <f>+VLOOKUP(D7577,'Resultats - informe'!$Y$18:$AG$42,'Introducció dades consum'!K7577+1,0)</f>
        <v>0</v>
      </c>
      <c r="O7577" s="370" cm="1">
        <f t="array" ref="O7577">+_xlfn.SWITCH(MONTH(C7577),1,1,2,1,3,1,4,2,5,2,6,3,7,3,8,3,9,3,10,2,11,2,12,1,2)</f>
        <v>1</v>
      </c>
      <c r="P7577" s="43"/>
    </row>
    <row r="7578" spans="1:16" ht="18" x14ac:dyDescent="0.35">
      <c r="A7578" s="9"/>
      <c r="C7578" s="393"/>
      <c r="E7578" s="394"/>
      <c r="F7578" s="394"/>
      <c r="G7578" s="394"/>
      <c r="I7578" s="368">
        <f t="shared" si="360"/>
        <v>0</v>
      </c>
      <c r="J7578" s="365">
        <f t="shared" si="361"/>
        <v>0</v>
      </c>
      <c r="K7578" s="369">
        <f t="shared" si="362"/>
        <v>6</v>
      </c>
      <c r="L7578" s="369">
        <f>+IF((C7578&gt;='Resultats - informe'!$E$16)*(C7578&lt;='Resultats - informe'!$G$16),1,0)</f>
        <v>1</v>
      </c>
      <c r="M7578" s="369" cm="1">
        <f t="array" ref="M7578">+_xlfn.IFS((C7578&gt;='Resultats - informe'!$D$26)*(C7578&lt;='Resultats - informe'!$E$26),0,(C7578&gt;='Resultats - informe'!$D$27)*(C7578&lt;='Resultats - informe'!$E$27),0,(C7578&gt;='Resultats - informe'!$D$28)*(C7578&lt;='Resultats - informe'!$E$28),0,(C7578&gt;='Resultats - informe'!$D$29)*(C7578&lt;='Resultats - informe'!$E$29),0,1,1)</f>
        <v>0</v>
      </c>
      <c r="N7578" s="366">
        <f>+VLOOKUP(D7578,'Resultats - informe'!$Y$18:$AG$42,'Introducció dades consum'!K7578+1,0)</f>
        <v>0</v>
      </c>
      <c r="O7578" s="370" cm="1">
        <f t="array" ref="O7578">+_xlfn.SWITCH(MONTH(C7578),1,1,2,1,3,1,4,2,5,2,6,3,7,3,8,3,9,3,10,2,11,2,12,1,2)</f>
        <v>1</v>
      </c>
      <c r="P7578" s="43"/>
    </row>
    <row r="7579" spans="1:16" ht="18" x14ac:dyDescent="0.35">
      <c r="A7579" s="9"/>
      <c r="C7579" s="393"/>
      <c r="E7579" s="394"/>
      <c r="F7579" s="394"/>
      <c r="G7579" s="394"/>
      <c r="I7579" s="368">
        <f t="shared" si="360"/>
        <v>0</v>
      </c>
      <c r="J7579" s="365">
        <f t="shared" si="361"/>
        <v>0</v>
      </c>
      <c r="K7579" s="369">
        <f t="shared" si="362"/>
        <v>6</v>
      </c>
      <c r="L7579" s="369">
        <f>+IF((C7579&gt;='Resultats - informe'!$E$16)*(C7579&lt;='Resultats - informe'!$G$16),1,0)</f>
        <v>1</v>
      </c>
      <c r="M7579" s="369" cm="1">
        <f t="array" ref="M7579">+_xlfn.IFS((C7579&gt;='Resultats - informe'!$D$26)*(C7579&lt;='Resultats - informe'!$E$26),0,(C7579&gt;='Resultats - informe'!$D$27)*(C7579&lt;='Resultats - informe'!$E$27),0,(C7579&gt;='Resultats - informe'!$D$28)*(C7579&lt;='Resultats - informe'!$E$28),0,(C7579&gt;='Resultats - informe'!$D$29)*(C7579&lt;='Resultats - informe'!$E$29),0,1,1)</f>
        <v>0</v>
      </c>
      <c r="N7579" s="366">
        <f>+VLOOKUP(D7579,'Resultats - informe'!$Y$18:$AG$42,'Introducció dades consum'!K7579+1,0)</f>
        <v>0</v>
      </c>
      <c r="O7579" s="370" cm="1">
        <f t="array" ref="O7579">+_xlfn.SWITCH(MONTH(C7579),1,1,2,1,3,1,4,2,5,2,6,3,7,3,8,3,9,3,10,2,11,2,12,1,2)</f>
        <v>1</v>
      </c>
      <c r="P7579" s="43"/>
    </row>
    <row r="7580" spans="1:16" ht="18" x14ac:dyDescent="0.35">
      <c r="A7580" s="9"/>
      <c r="C7580" s="393"/>
      <c r="E7580" s="394"/>
      <c r="F7580" s="394"/>
      <c r="G7580" s="394"/>
      <c r="I7580" s="368">
        <f t="shared" si="360"/>
        <v>0</v>
      </c>
      <c r="J7580" s="365">
        <f t="shared" si="361"/>
        <v>0</v>
      </c>
      <c r="K7580" s="369">
        <f t="shared" si="362"/>
        <v>6</v>
      </c>
      <c r="L7580" s="369">
        <f>+IF((C7580&gt;='Resultats - informe'!$E$16)*(C7580&lt;='Resultats - informe'!$G$16),1,0)</f>
        <v>1</v>
      </c>
      <c r="M7580" s="369" cm="1">
        <f t="array" ref="M7580">+_xlfn.IFS((C7580&gt;='Resultats - informe'!$D$26)*(C7580&lt;='Resultats - informe'!$E$26),0,(C7580&gt;='Resultats - informe'!$D$27)*(C7580&lt;='Resultats - informe'!$E$27),0,(C7580&gt;='Resultats - informe'!$D$28)*(C7580&lt;='Resultats - informe'!$E$28),0,(C7580&gt;='Resultats - informe'!$D$29)*(C7580&lt;='Resultats - informe'!$E$29),0,1,1)</f>
        <v>0</v>
      </c>
      <c r="N7580" s="366">
        <f>+VLOOKUP(D7580,'Resultats - informe'!$Y$18:$AG$42,'Introducció dades consum'!K7580+1,0)</f>
        <v>0</v>
      </c>
      <c r="O7580" s="370" cm="1">
        <f t="array" ref="O7580">+_xlfn.SWITCH(MONTH(C7580),1,1,2,1,3,1,4,2,5,2,6,3,7,3,8,3,9,3,10,2,11,2,12,1,2)</f>
        <v>1</v>
      </c>
      <c r="P7580" s="43"/>
    </row>
    <row r="7581" spans="1:16" ht="18" x14ac:dyDescent="0.35">
      <c r="A7581" s="9"/>
      <c r="C7581" s="393"/>
      <c r="E7581" s="394"/>
      <c r="F7581" s="394"/>
      <c r="G7581" s="394"/>
      <c r="I7581" s="368">
        <f t="shared" si="360"/>
        <v>0</v>
      </c>
      <c r="J7581" s="365">
        <f t="shared" si="361"/>
        <v>0</v>
      </c>
      <c r="K7581" s="369">
        <f t="shared" si="362"/>
        <v>6</v>
      </c>
      <c r="L7581" s="369">
        <f>+IF((C7581&gt;='Resultats - informe'!$E$16)*(C7581&lt;='Resultats - informe'!$G$16),1,0)</f>
        <v>1</v>
      </c>
      <c r="M7581" s="369" cm="1">
        <f t="array" ref="M7581">+_xlfn.IFS((C7581&gt;='Resultats - informe'!$D$26)*(C7581&lt;='Resultats - informe'!$E$26),0,(C7581&gt;='Resultats - informe'!$D$27)*(C7581&lt;='Resultats - informe'!$E$27),0,(C7581&gt;='Resultats - informe'!$D$28)*(C7581&lt;='Resultats - informe'!$E$28),0,(C7581&gt;='Resultats - informe'!$D$29)*(C7581&lt;='Resultats - informe'!$E$29),0,1,1)</f>
        <v>0</v>
      </c>
      <c r="N7581" s="366">
        <f>+VLOOKUP(D7581,'Resultats - informe'!$Y$18:$AG$42,'Introducció dades consum'!K7581+1,0)</f>
        <v>0</v>
      </c>
      <c r="O7581" s="370" cm="1">
        <f t="array" ref="O7581">+_xlfn.SWITCH(MONTH(C7581),1,1,2,1,3,1,4,2,5,2,6,3,7,3,8,3,9,3,10,2,11,2,12,1,2)</f>
        <v>1</v>
      </c>
      <c r="P7581" s="43"/>
    </row>
    <row r="7582" spans="1:16" ht="18" x14ac:dyDescent="0.35">
      <c r="A7582" s="9"/>
      <c r="C7582" s="393"/>
      <c r="E7582" s="394"/>
      <c r="F7582" s="394"/>
      <c r="G7582" s="394"/>
      <c r="I7582" s="368">
        <f t="shared" si="360"/>
        <v>0</v>
      </c>
      <c r="J7582" s="365">
        <f t="shared" si="361"/>
        <v>0</v>
      </c>
      <c r="K7582" s="369">
        <f t="shared" si="362"/>
        <v>6</v>
      </c>
      <c r="L7582" s="369">
        <f>+IF((C7582&gt;='Resultats - informe'!$E$16)*(C7582&lt;='Resultats - informe'!$G$16),1,0)</f>
        <v>1</v>
      </c>
      <c r="M7582" s="369" cm="1">
        <f t="array" ref="M7582">+_xlfn.IFS((C7582&gt;='Resultats - informe'!$D$26)*(C7582&lt;='Resultats - informe'!$E$26),0,(C7582&gt;='Resultats - informe'!$D$27)*(C7582&lt;='Resultats - informe'!$E$27),0,(C7582&gt;='Resultats - informe'!$D$28)*(C7582&lt;='Resultats - informe'!$E$28),0,(C7582&gt;='Resultats - informe'!$D$29)*(C7582&lt;='Resultats - informe'!$E$29),0,1,1)</f>
        <v>0</v>
      </c>
      <c r="N7582" s="366">
        <f>+VLOOKUP(D7582,'Resultats - informe'!$Y$18:$AG$42,'Introducció dades consum'!K7582+1,0)</f>
        <v>0</v>
      </c>
      <c r="O7582" s="370" cm="1">
        <f t="array" ref="O7582">+_xlfn.SWITCH(MONTH(C7582),1,1,2,1,3,1,4,2,5,2,6,3,7,3,8,3,9,3,10,2,11,2,12,1,2)</f>
        <v>1</v>
      </c>
      <c r="P7582" s="43"/>
    </row>
    <row r="7583" spans="1:16" ht="18" x14ac:dyDescent="0.35">
      <c r="A7583" s="9"/>
      <c r="C7583" s="393"/>
      <c r="E7583" s="394"/>
      <c r="F7583" s="394"/>
      <c r="G7583" s="394"/>
      <c r="I7583" s="368">
        <f t="shared" si="360"/>
        <v>0</v>
      </c>
      <c r="J7583" s="365">
        <f t="shared" si="361"/>
        <v>0</v>
      </c>
      <c r="K7583" s="369">
        <f t="shared" si="362"/>
        <v>6</v>
      </c>
      <c r="L7583" s="369">
        <f>+IF((C7583&gt;='Resultats - informe'!$E$16)*(C7583&lt;='Resultats - informe'!$G$16),1,0)</f>
        <v>1</v>
      </c>
      <c r="M7583" s="369" cm="1">
        <f t="array" ref="M7583">+_xlfn.IFS((C7583&gt;='Resultats - informe'!$D$26)*(C7583&lt;='Resultats - informe'!$E$26),0,(C7583&gt;='Resultats - informe'!$D$27)*(C7583&lt;='Resultats - informe'!$E$27),0,(C7583&gt;='Resultats - informe'!$D$28)*(C7583&lt;='Resultats - informe'!$E$28),0,(C7583&gt;='Resultats - informe'!$D$29)*(C7583&lt;='Resultats - informe'!$E$29),0,1,1)</f>
        <v>0</v>
      </c>
      <c r="N7583" s="366">
        <f>+VLOOKUP(D7583,'Resultats - informe'!$Y$18:$AG$42,'Introducció dades consum'!K7583+1,0)</f>
        <v>0</v>
      </c>
      <c r="O7583" s="370" cm="1">
        <f t="array" ref="O7583">+_xlfn.SWITCH(MONTH(C7583),1,1,2,1,3,1,4,2,5,2,6,3,7,3,8,3,9,3,10,2,11,2,12,1,2)</f>
        <v>1</v>
      </c>
      <c r="P7583" s="43"/>
    </row>
    <row r="7584" spans="1:16" ht="18" x14ac:dyDescent="0.35">
      <c r="A7584" s="9"/>
      <c r="C7584" s="393"/>
      <c r="E7584" s="394"/>
      <c r="F7584" s="394"/>
      <c r="G7584" s="394"/>
      <c r="I7584" s="368">
        <f t="shared" si="360"/>
        <v>0</v>
      </c>
      <c r="J7584" s="365">
        <f t="shared" si="361"/>
        <v>0</v>
      </c>
      <c r="K7584" s="369">
        <f t="shared" si="362"/>
        <v>6</v>
      </c>
      <c r="L7584" s="369">
        <f>+IF((C7584&gt;='Resultats - informe'!$E$16)*(C7584&lt;='Resultats - informe'!$G$16),1,0)</f>
        <v>1</v>
      </c>
      <c r="M7584" s="369" cm="1">
        <f t="array" ref="M7584">+_xlfn.IFS((C7584&gt;='Resultats - informe'!$D$26)*(C7584&lt;='Resultats - informe'!$E$26),0,(C7584&gt;='Resultats - informe'!$D$27)*(C7584&lt;='Resultats - informe'!$E$27),0,(C7584&gt;='Resultats - informe'!$D$28)*(C7584&lt;='Resultats - informe'!$E$28),0,(C7584&gt;='Resultats - informe'!$D$29)*(C7584&lt;='Resultats - informe'!$E$29),0,1,1)</f>
        <v>0</v>
      </c>
      <c r="N7584" s="366">
        <f>+VLOOKUP(D7584,'Resultats - informe'!$Y$18:$AG$42,'Introducció dades consum'!K7584+1,0)</f>
        <v>0</v>
      </c>
      <c r="O7584" s="370" cm="1">
        <f t="array" ref="O7584">+_xlfn.SWITCH(MONTH(C7584),1,1,2,1,3,1,4,2,5,2,6,3,7,3,8,3,9,3,10,2,11,2,12,1,2)</f>
        <v>1</v>
      </c>
      <c r="P7584" s="43"/>
    </row>
    <row r="7585" spans="1:16" ht="18" x14ac:dyDescent="0.35">
      <c r="A7585" s="9"/>
      <c r="C7585" s="393"/>
      <c r="E7585" s="394"/>
      <c r="F7585" s="394"/>
      <c r="G7585" s="394"/>
      <c r="I7585" s="368">
        <f t="shared" si="360"/>
        <v>0</v>
      </c>
      <c r="J7585" s="365">
        <f t="shared" si="361"/>
        <v>0</v>
      </c>
      <c r="K7585" s="369">
        <f t="shared" si="362"/>
        <v>6</v>
      </c>
      <c r="L7585" s="369">
        <f>+IF((C7585&gt;='Resultats - informe'!$E$16)*(C7585&lt;='Resultats - informe'!$G$16),1,0)</f>
        <v>1</v>
      </c>
      <c r="M7585" s="369" cm="1">
        <f t="array" ref="M7585">+_xlfn.IFS((C7585&gt;='Resultats - informe'!$D$26)*(C7585&lt;='Resultats - informe'!$E$26),0,(C7585&gt;='Resultats - informe'!$D$27)*(C7585&lt;='Resultats - informe'!$E$27),0,(C7585&gt;='Resultats - informe'!$D$28)*(C7585&lt;='Resultats - informe'!$E$28),0,(C7585&gt;='Resultats - informe'!$D$29)*(C7585&lt;='Resultats - informe'!$E$29),0,1,1)</f>
        <v>0</v>
      </c>
      <c r="N7585" s="366">
        <f>+VLOOKUP(D7585,'Resultats - informe'!$Y$18:$AG$42,'Introducció dades consum'!K7585+1,0)</f>
        <v>0</v>
      </c>
      <c r="O7585" s="370" cm="1">
        <f t="array" ref="O7585">+_xlfn.SWITCH(MONTH(C7585),1,1,2,1,3,1,4,2,5,2,6,3,7,3,8,3,9,3,10,2,11,2,12,1,2)</f>
        <v>1</v>
      </c>
      <c r="P7585" s="43"/>
    </row>
    <row r="7586" spans="1:16" ht="18" x14ac:dyDescent="0.35">
      <c r="A7586" s="9"/>
      <c r="C7586" s="393"/>
      <c r="E7586" s="394"/>
      <c r="F7586" s="394"/>
      <c r="G7586" s="394"/>
      <c r="I7586" s="368">
        <f t="shared" si="360"/>
        <v>0</v>
      </c>
      <c r="J7586" s="365">
        <f t="shared" si="361"/>
        <v>0</v>
      </c>
      <c r="K7586" s="369">
        <f t="shared" si="362"/>
        <v>6</v>
      </c>
      <c r="L7586" s="369">
        <f>+IF((C7586&gt;='Resultats - informe'!$E$16)*(C7586&lt;='Resultats - informe'!$G$16),1,0)</f>
        <v>1</v>
      </c>
      <c r="M7586" s="369" cm="1">
        <f t="array" ref="M7586">+_xlfn.IFS((C7586&gt;='Resultats - informe'!$D$26)*(C7586&lt;='Resultats - informe'!$E$26),0,(C7586&gt;='Resultats - informe'!$D$27)*(C7586&lt;='Resultats - informe'!$E$27),0,(C7586&gt;='Resultats - informe'!$D$28)*(C7586&lt;='Resultats - informe'!$E$28),0,(C7586&gt;='Resultats - informe'!$D$29)*(C7586&lt;='Resultats - informe'!$E$29),0,1,1)</f>
        <v>0</v>
      </c>
      <c r="N7586" s="366">
        <f>+VLOOKUP(D7586,'Resultats - informe'!$Y$18:$AG$42,'Introducció dades consum'!K7586+1,0)</f>
        <v>0</v>
      </c>
      <c r="O7586" s="370" cm="1">
        <f t="array" ref="O7586">+_xlfn.SWITCH(MONTH(C7586),1,1,2,1,3,1,4,2,5,2,6,3,7,3,8,3,9,3,10,2,11,2,12,1,2)</f>
        <v>1</v>
      </c>
      <c r="P7586" s="43"/>
    </row>
    <row r="7587" spans="1:16" ht="18" x14ac:dyDescent="0.35">
      <c r="A7587" s="9"/>
      <c r="C7587" s="393"/>
      <c r="E7587" s="394"/>
      <c r="F7587" s="394"/>
      <c r="G7587" s="394"/>
      <c r="I7587" s="368">
        <f t="shared" si="360"/>
        <v>0</v>
      </c>
      <c r="J7587" s="365">
        <f t="shared" si="361"/>
        <v>0</v>
      </c>
      <c r="K7587" s="369">
        <f t="shared" si="362"/>
        <v>6</v>
      </c>
      <c r="L7587" s="369">
        <f>+IF((C7587&gt;='Resultats - informe'!$E$16)*(C7587&lt;='Resultats - informe'!$G$16),1,0)</f>
        <v>1</v>
      </c>
      <c r="M7587" s="369" cm="1">
        <f t="array" ref="M7587">+_xlfn.IFS((C7587&gt;='Resultats - informe'!$D$26)*(C7587&lt;='Resultats - informe'!$E$26),0,(C7587&gt;='Resultats - informe'!$D$27)*(C7587&lt;='Resultats - informe'!$E$27),0,(C7587&gt;='Resultats - informe'!$D$28)*(C7587&lt;='Resultats - informe'!$E$28),0,(C7587&gt;='Resultats - informe'!$D$29)*(C7587&lt;='Resultats - informe'!$E$29),0,1,1)</f>
        <v>0</v>
      </c>
      <c r="N7587" s="366">
        <f>+VLOOKUP(D7587,'Resultats - informe'!$Y$18:$AG$42,'Introducció dades consum'!K7587+1,0)</f>
        <v>0</v>
      </c>
      <c r="O7587" s="370" cm="1">
        <f t="array" ref="O7587">+_xlfn.SWITCH(MONTH(C7587),1,1,2,1,3,1,4,2,5,2,6,3,7,3,8,3,9,3,10,2,11,2,12,1,2)</f>
        <v>1</v>
      </c>
      <c r="P7587" s="43"/>
    </row>
    <row r="7588" spans="1:16" ht="18" x14ac:dyDescent="0.35">
      <c r="A7588" s="9"/>
      <c r="C7588" s="393"/>
      <c r="E7588" s="394"/>
      <c r="F7588" s="394"/>
      <c r="G7588" s="394"/>
      <c r="I7588" s="368">
        <f t="shared" si="360"/>
        <v>0</v>
      </c>
      <c r="J7588" s="365">
        <f t="shared" si="361"/>
        <v>0</v>
      </c>
      <c r="K7588" s="369">
        <f t="shared" si="362"/>
        <v>6</v>
      </c>
      <c r="L7588" s="369">
        <f>+IF((C7588&gt;='Resultats - informe'!$E$16)*(C7588&lt;='Resultats - informe'!$G$16),1,0)</f>
        <v>1</v>
      </c>
      <c r="M7588" s="369" cm="1">
        <f t="array" ref="M7588">+_xlfn.IFS((C7588&gt;='Resultats - informe'!$D$26)*(C7588&lt;='Resultats - informe'!$E$26),0,(C7588&gt;='Resultats - informe'!$D$27)*(C7588&lt;='Resultats - informe'!$E$27),0,(C7588&gt;='Resultats - informe'!$D$28)*(C7588&lt;='Resultats - informe'!$E$28),0,(C7588&gt;='Resultats - informe'!$D$29)*(C7588&lt;='Resultats - informe'!$E$29),0,1,1)</f>
        <v>0</v>
      </c>
      <c r="N7588" s="366">
        <f>+VLOOKUP(D7588,'Resultats - informe'!$Y$18:$AG$42,'Introducció dades consum'!K7588+1,0)</f>
        <v>0</v>
      </c>
      <c r="O7588" s="370" cm="1">
        <f t="array" ref="O7588">+_xlfn.SWITCH(MONTH(C7588),1,1,2,1,3,1,4,2,5,2,6,3,7,3,8,3,9,3,10,2,11,2,12,1,2)</f>
        <v>1</v>
      </c>
      <c r="P7588" s="43"/>
    </row>
    <row r="7589" spans="1:16" ht="18" x14ac:dyDescent="0.35">
      <c r="A7589" s="9"/>
      <c r="C7589" s="393"/>
      <c r="E7589" s="394"/>
      <c r="F7589" s="394"/>
      <c r="G7589" s="394"/>
      <c r="I7589" s="368">
        <f t="shared" si="360"/>
        <v>0</v>
      </c>
      <c r="J7589" s="365">
        <f t="shared" si="361"/>
        <v>0</v>
      </c>
      <c r="K7589" s="369">
        <f t="shared" si="362"/>
        <v>6</v>
      </c>
      <c r="L7589" s="369">
        <f>+IF((C7589&gt;='Resultats - informe'!$E$16)*(C7589&lt;='Resultats - informe'!$G$16),1,0)</f>
        <v>1</v>
      </c>
      <c r="M7589" s="369" cm="1">
        <f t="array" ref="M7589">+_xlfn.IFS((C7589&gt;='Resultats - informe'!$D$26)*(C7589&lt;='Resultats - informe'!$E$26),0,(C7589&gt;='Resultats - informe'!$D$27)*(C7589&lt;='Resultats - informe'!$E$27),0,(C7589&gt;='Resultats - informe'!$D$28)*(C7589&lt;='Resultats - informe'!$E$28),0,(C7589&gt;='Resultats - informe'!$D$29)*(C7589&lt;='Resultats - informe'!$E$29),0,1,1)</f>
        <v>0</v>
      </c>
      <c r="N7589" s="366">
        <f>+VLOOKUP(D7589,'Resultats - informe'!$Y$18:$AG$42,'Introducció dades consum'!K7589+1,0)</f>
        <v>0</v>
      </c>
      <c r="O7589" s="370" cm="1">
        <f t="array" ref="O7589">+_xlfn.SWITCH(MONTH(C7589),1,1,2,1,3,1,4,2,5,2,6,3,7,3,8,3,9,3,10,2,11,2,12,1,2)</f>
        <v>1</v>
      </c>
      <c r="P7589" s="43"/>
    </row>
    <row r="7590" spans="1:16" ht="18" x14ac:dyDescent="0.35">
      <c r="A7590" s="9"/>
      <c r="C7590" s="393"/>
      <c r="E7590" s="394"/>
      <c r="F7590" s="394"/>
      <c r="G7590" s="394"/>
      <c r="I7590" s="368">
        <f t="shared" si="360"/>
        <v>0</v>
      </c>
      <c r="J7590" s="365">
        <f t="shared" si="361"/>
        <v>0</v>
      </c>
      <c r="K7590" s="369">
        <f t="shared" si="362"/>
        <v>6</v>
      </c>
      <c r="L7590" s="369">
        <f>+IF((C7590&gt;='Resultats - informe'!$E$16)*(C7590&lt;='Resultats - informe'!$G$16),1,0)</f>
        <v>1</v>
      </c>
      <c r="M7590" s="369" cm="1">
        <f t="array" ref="M7590">+_xlfn.IFS((C7590&gt;='Resultats - informe'!$D$26)*(C7590&lt;='Resultats - informe'!$E$26),0,(C7590&gt;='Resultats - informe'!$D$27)*(C7590&lt;='Resultats - informe'!$E$27),0,(C7590&gt;='Resultats - informe'!$D$28)*(C7590&lt;='Resultats - informe'!$E$28),0,(C7590&gt;='Resultats - informe'!$D$29)*(C7590&lt;='Resultats - informe'!$E$29),0,1,1)</f>
        <v>0</v>
      </c>
      <c r="N7590" s="366">
        <f>+VLOOKUP(D7590,'Resultats - informe'!$Y$18:$AG$42,'Introducció dades consum'!K7590+1,0)</f>
        <v>0</v>
      </c>
      <c r="O7590" s="370" cm="1">
        <f t="array" ref="O7590">+_xlfn.SWITCH(MONTH(C7590),1,1,2,1,3,1,4,2,5,2,6,3,7,3,8,3,9,3,10,2,11,2,12,1,2)</f>
        <v>1</v>
      </c>
      <c r="P7590" s="43"/>
    </row>
    <row r="7591" spans="1:16" ht="18" x14ac:dyDescent="0.35">
      <c r="A7591" s="9"/>
      <c r="C7591" s="393"/>
      <c r="E7591" s="394"/>
      <c r="F7591" s="394"/>
      <c r="G7591" s="394"/>
      <c r="I7591" s="368">
        <f t="shared" si="360"/>
        <v>0</v>
      </c>
      <c r="J7591" s="365">
        <f t="shared" si="361"/>
        <v>0</v>
      </c>
      <c r="K7591" s="369">
        <f t="shared" si="362"/>
        <v>6</v>
      </c>
      <c r="L7591" s="369">
        <f>+IF((C7591&gt;='Resultats - informe'!$E$16)*(C7591&lt;='Resultats - informe'!$G$16),1,0)</f>
        <v>1</v>
      </c>
      <c r="M7591" s="369" cm="1">
        <f t="array" ref="M7591">+_xlfn.IFS((C7591&gt;='Resultats - informe'!$D$26)*(C7591&lt;='Resultats - informe'!$E$26),0,(C7591&gt;='Resultats - informe'!$D$27)*(C7591&lt;='Resultats - informe'!$E$27),0,(C7591&gt;='Resultats - informe'!$D$28)*(C7591&lt;='Resultats - informe'!$E$28),0,(C7591&gt;='Resultats - informe'!$D$29)*(C7591&lt;='Resultats - informe'!$E$29),0,1,1)</f>
        <v>0</v>
      </c>
      <c r="N7591" s="366">
        <f>+VLOOKUP(D7591,'Resultats - informe'!$Y$18:$AG$42,'Introducció dades consum'!K7591+1,0)</f>
        <v>0</v>
      </c>
      <c r="O7591" s="370" cm="1">
        <f t="array" ref="O7591">+_xlfn.SWITCH(MONTH(C7591),1,1,2,1,3,1,4,2,5,2,6,3,7,3,8,3,9,3,10,2,11,2,12,1,2)</f>
        <v>1</v>
      </c>
      <c r="P7591" s="43"/>
    </row>
    <row r="7592" spans="1:16" ht="18" x14ac:dyDescent="0.35">
      <c r="A7592" s="9"/>
      <c r="C7592" s="393"/>
      <c r="E7592" s="394"/>
      <c r="F7592" s="394"/>
      <c r="G7592" s="394"/>
      <c r="I7592" s="368">
        <f t="shared" si="360"/>
        <v>0</v>
      </c>
      <c r="J7592" s="365">
        <f t="shared" si="361"/>
        <v>0</v>
      </c>
      <c r="K7592" s="369">
        <f t="shared" si="362"/>
        <v>6</v>
      </c>
      <c r="L7592" s="369">
        <f>+IF((C7592&gt;='Resultats - informe'!$E$16)*(C7592&lt;='Resultats - informe'!$G$16),1,0)</f>
        <v>1</v>
      </c>
      <c r="M7592" s="369" cm="1">
        <f t="array" ref="M7592">+_xlfn.IFS((C7592&gt;='Resultats - informe'!$D$26)*(C7592&lt;='Resultats - informe'!$E$26),0,(C7592&gt;='Resultats - informe'!$D$27)*(C7592&lt;='Resultats - informe'!$E$27),0,(C7592&gt;='Resultats - informe'!$D$28)*(C7592&lt;='Resultats - informe'!$E$28),0,(C7592&gt;='Resultats - informe'!$D$29)*(C7592&lt;='Resultats - informe'!$E$29),0,1,1)</f>
        <v>0</v>
      </c>
      <c r="N7592" s="366">
        <f>+VLOOKUP(D7592,'Resultats - informe'!$Y$18:$AG$42,'Introducció dades consum'!K7592+1,0)</f>
        <v>0</v>
      </c>
      <c r="O7592" s="370" cm="1">
        <f t="array" ref="O7592">+_xlfn.SWITCH(MONTH(C7592),1,1,2,1,3,1,4,2,5,2,6,3,7,3,8,3,9,3,10,2,11,2,12,1,2)</f>
        <v>1</v>
      </c>
      <c r="P7592" s="43"/>
    </row>
    <row r="7593" spans="1:16" ht="18" x14ac:dyDescent="0.35">
      <c r="A7593" s="9"/>
      <c r="C7593" s="393"/>
      <c r="E7593" s="394"/>
      <c r="F7593" s="394"/>
      <c r="G7593" s="394"/>
      <c r="I7593" s="368">
        <f t="shared" si="360"/>
        <v>0</v>
      </c>
      <c r="J7593" s="365">
        <f t="shared" si="361"/>
        <v>0</v>
      </c>
      <c r="K7593" s="369">
        <f t="shared" si="362"/>
        <v>6</v>
      </c>
      <c r="L7593" s="369">
        <f>+IF((C7593&gt;='Resultats - informe'!$E$16)*(C7593&lt;='Resultats - informe'!$G$16),1,0)</f>
        <v>1</v>
      </c>
      <c r="M7593" s="369" cm="1">
        <f t="array" ref="M7593">+_xlfn.IFS((C7593&gt;='Resultats - informe'!$D$26)*(C7593&lt;='Resultats - informe'!$E$26),0,(C7593&gt;='Resultats - informe'!$D$27)*(C7593&lt;='Resultats - informe'!$E$27),0,(C7593&gt;='Resultats - informe'!$D$28)*(C7593&lt;='Resultats - informe'!$E$28),0,(C7593&gt;='Resultats - informe'!$D$29)*(C7593&lt;='Resultats - informe'!$E$29),0,1,1)</f>
        <v>0</v>
      </c>
      <c r="N7593" s="366">
        <f>+VLOOKUP(D7593,'Resultats - informe'!$Y$18:$AG$42,'Introducció dades consum'!K7593+1,0)</f>
        <v>0</v>
      </c>
      <c r="O7593" s="370" cm="1">
        <f t="array" ref="O7593">+_xlfn.SWITCH(MONTH(C7593),1,1,2,1,3,1,4,2,5,2,6,3,7,3,8,3,9,3,10,2,11,2,12,1,2)</f>
        <v>1</v>
      </c>
      <c r="P7593" s="43"/>
    </row>
    <row r="7594" spans="1:16" ht="18" x14ac:dyDescent="0.35">
      <c r="A7594" s="9"/>
      <c r="C7594" s="393"/>
      <c r="E7594" s="394"/>
      <c r="F7594" s="394"/>
      <c r="G7594" s="394"/>
      <c r="I7594" s="368">
        <f t="shared" si="360"/>
        <v>0</v>
      </c>
      <c r="J7594" s="365">
        <f t="shared" si="361"/>
        <v>0</v>
      </c>
      <c r="K7594" s="369">
        <f t="shared" si="362"/>
        <v>6</v>
      </c>
      <c r="L7594" s="369">
        <f>+IF((C7594&gt;='Resultats - informe'!$E$16)*(C7594&lt;='Resultats - informe'!$G$16),1,0)</f>
        <v>1</v>
      </c>
      <c r="M7594" s="369" cm="1">
        <f t="array" ref="M7594">+_xlfn.IFS((C7594&gt;='Resultats - informe'!$D$26)*(C7594&lt;='Resultats - informe'!$E$26),0,(C7594&gt;='Resultats - informe'!$D$27)*(C7594&lt;='Resultats - informe'!$E$27),0,(C7594&gt;='Resultats - informe'!$D$28)*(C7594&lt;='Resultats - informe'!$E$28),0,(C7594&gt;='Resultats - informe'!$D$29)*(C7594&lt;='Resultats - informe'!$E$29),0,1,1)</f>
        <v>0</v>
      </c>
      <c r="N7594" s="366">
        <f>+VLOOKUP(D7594,'Resultats - informe'!$Y$18:$AG$42,'Introducció dades consum'!K7594+1,0)</f>
        <v>0</v>
      </c>
      <c r="O7594" s="370" cm="1">
        <f t="array" ref="O7594">+_xlfn.SWITCH(MONTH(C7594),1,1,2,1,3,1,4,2,5,2,6,3,7,3,8,3,9,3,10,2,11,2,12,1,2)</f>
        <v>1</v>
      </c>
      <c r="P7594" s="43"/>
    </row>
    <row r="7595" spans="1:16" ht="18" x14ac:dyDescent="0.35">
      <c r="A7595" s="9"/>
      <c r="C7595" s="393"/>
      <c r="E7595" s="394"/>
      <c r="F7595" s="394"/>
      <c r="G7595" s="394"/>
      <c r="I7595" s="368">
        <f t="shared" si="360"/>
        <v>0</v>
      </c>
      <c r="J7595" s="365">
        <f t="shared" si="361"/>
        <v>0</v>
      </c>
      <c r="K7595" s="369">
        <f t="shared" si="362"/>
        <v>6</v>
      </c>
      <c r="L7595" s="369">
        <f>+IF((C7595&gt;='Resultats - informe'!$E$16)*(C7595&lt;='Resultats - informe'!$G$16),1,0)</f>
        <v>1</v>
      </c>
      <c r="M7595" s="369" cm="1">
        <f t="array" ref="M7595">+_xlfn.IFS((C7595&gt;='Resultats - informe'!$D$26)*(C7595&lt;='Resultats - informe'!$E$26),0,(C7595&gt;='Resultats - informe'!$D$27)*(C7595&lt;='Resultats - informe'!$E$27),0,(C7595&gt;='Resultats - informe'!$D$28)*(C7595&lt;='Resultats - informe'!$E$28),0,(C7595&gt;='Resultats - informe'!$D$29)*(C7595&lt;='Resultats - informe'!$E$29),0,1,1)</f>
        <v>0</v>
      </c>
      <c r="N7595" s="366">
        <f>+VLOOKUP(D7595,'Resultats - informe'!$Y$18:$AG$42,'Introducció dades consum'!K7595+1,0)</f>
        <v>0</v>
      </c>
      <c r="O7595" s="370" cm="1">
        <f t="array" ref="O7595">+_xlfn.SWITCH(MONTH(C7595),1,1,2,1,3,1,4,2,5,2,6,3,7,3,8,3,9,3,10,2,11,2,12,1,2)</f>
        <v>1</v>
      </c>
      <c r="P7595" s="43"/>
    </row>
    <row r="7596" spans="1:16" ht="18" x14ac:dyDescent="0.35">
      <c r="A7596" s="9"/>
      <c r="C7596" s="393"/>
      <c r="E7596" s="394"/>
      <c r="F7596" s="394"/>
      <c r="G7596" s="394"/>
      <c r="I7596" s="368">
        <f t="shared" si="360"/>
        <v>0</v>
      </c>
      <c r="J7596" s="365">
        <f t="shared" si="361"/>
        <v>0</v>
      </c>
      <c r="K7596" s="369">
        <f t="shared" si="362"/>
        <v>6</v>
      </c>
      <c r="L7596" s="369">
        <f>+IF((C7596&gt;='Resultats - informe'!$E$16)*(C7596&lt;='Resultats - informe'!$G$16),1,0)</f>
        <v>1</v>
      </c>
      <c r="M7596" s="369" cm="1">
        <f t="array" ref="M7596">+_xlfn.IFS((C7596&gt;='Resultats - informe'!$D$26)*(C7596&lt;='Resultats - informe'!$E$26),0,(C7596&gt;='Resultats - informe'!$D$27)*(C7596&lt;='Resultats - informe'!$E$27),0,(C7596&gt;='Resultats - informe'!$D$28)*(C7596&lt;='Resultats - informe'!$E$28),0,(C7596&gt;='Resultats - informe'!$D$29)*(C7596&lt;='Resultats - informe'!$E$29),0,1,1)</f>
        <v>0</v>
      </c>
      <c r="N7596" s="366">
        <f>+VLOOKUP(D7596,'Resultats - informe'!$Y$18:$AG$42,'Introducció dades consum'!K7596+1,0)</f>
        <v>0</v>
      </c>
      <c r="O7596" s="370" cm="1">
        <f t="array" ref="O7596">+_xlfn.SWITCH(MONTH(C7596),1,1,2,1,3,1,4,2,5,2,6,3,7,3,8,3,9,3,10,2,11,2,12,1,2)</f>
        <v>1</v>
      </c>
      <c r="P7596" s="43"/>
    </row>
    <row r="7597" spans="1:16" ht="18" x14ac:dyDescent="0.35">
      <c r="A7597" s="9"/>
      <c r="C7597" s="393"/>
      <c r="E7597" s="394"/>
      <c r="F7597" s="394"/>
      <c r="G7597" s="394"/>
      <c r="I7597" s="368">
        <f t="shared" si="360"/>
        <v>0</v>
      </c>
      <c r="J7597" s="365">
        <f t="shared" si="361"/>
        <v>0</v>
      </c>
      <c r="K7597" s="369">
        <f t="shared" si="362"/>
        <v>6</v>
      </c>
      <c r="L7597" s="369">
        <f>+IF((C7597&gt;='Resultats - informe'!$E$16)*(C7597&lt;='Resultats - informe'!$G$16),1,0)</f>
        <v>1</v>
      </c>
      <c r="M7597" s="369" cm="1">
        <f t="array" ref="M7597">+_xlfn.IFS((C7597&gt;='Resultats - informe'!$D$26)*(C7597&lt;='Resultats - informe'!$E$26),0,(C7597&gt;='Resultats - informe'!$D$27)*(C7597&lt;='Resultats - informe'!$E$27),0,(C7597&gt;='Resultats - informe'!$D$28)*(C7597&lt;='Resultats - informe'!$E$28),0,(C7597&gt;='Resultats - informe'!$D$29)*(C7597&lt;='Resultats - informe'!$E$29),0,1,1)</f>
        <v>0</v>
      </c>
      <c r="N7597" s="366">
        <f>+VLOOKUP(D7597,'Resultats - informe'!$Y$18:$AG$42,'Introducció dades consum'!K7597+1,0)</f>
        <v>0</v>
      </c>
      <c r="O7597" s="370" cm="1">
        <f t="array" ref="O7597">+_xlfn.SWITCH(MONTH(C7597),1,1,2,1,3,1,4,2,5,2,6,3,7,3,8,3,9,3,10,2,11,2,12,1,2)</f>
        <v>1</v>
      </c>
      <c r="P7597" s="43"/>
    </row>
    <row r="7598" spans="1:16" ht="18" x14ac:dyDescent="0.35">
      <c r="A7598" s="9"/>
      <c r="C7598" s="393"/>
      <c r="E7598" s="394"/>
      <c r="F7598" s="394"/>
      <c r="G7598" s="394"/>
      <c r="I7598" s="368">
        <f t="shared" si="360"/>
        <v>0</v>
      </c>
      <c r="J7598" s="365">
        <f t="shared" si="361"/>
        <v>0</v>
      </c>
      <c r="K7598" s="369">
        <f t="shared" si="362"/>
        <v>6</v>
      </c>
      <c r="L7598" s="369">
        <f>+IF((C7598&gt;='Resultats - informe'!$E$16)*(C7598&lt;='Resultats - informe'!$G$16),1,0)</f>
        <v>1</v>
      </c>
      <c r="M7598" s="369" cm="1">
        <f t="array" ref="M7598">+_xlfn.IFS((C7598&gt;='Resultats - informe'!$D$26)*(C7598&lt;='Resultats - informe'!$E$26),0,(C7598&gt;='Resultats - informe'!$D$27)*(C7598&lt;='Resultats - informe'!$E$27),0,(C7598&gt;='Resultats - informe'!$D$28)*(C7598&lt;='Resultats - informe'!$E$28),0,(C7598&gt;='Resultats - informe'!$D$29)*(C7598&lt;='Resultats - informe'!$E$29),0,1,1)</f>
        <v>0</v>
      </c>
      <c r="N7598" s="366">
        <f>+VLOOKUP(D7598,'Resultats - informe'!$Y$18:$AG$42,'Introducció dades consum'!K7598+1,0)</f>
        <v>0</v>
      </c>
      <c r="O7598" s="370" cm="1">
        <f t="array" ref="O7598">+_xlfn.SWITCH(MONTH(C7598),1,1,2,1,3,1,4,2,5,2,6,3,7,3,8,3,9,3,10,2,11,2,12,1,2)</f>
        <v>1</v>
      </c>
      <c r="P7598" s="43"/>
    </row>
    <row r="7599" spans="1:16" ht="18" x14ac:dyDescent="0.35">
      <c r="A7599" s="9"/>
      <c r="C7599" s="393"/>
      <c r="E7599" s="394"/>
      <c r="F7599" s="394"/>
      <c r="G7599" s="394"/>
      <c r="I7599" s="368">
        <f t="shared" si="360"/>
        <v>0</v>
      </c>
      <c r="J7599" s="365">
        <f t="shared" si="361"/>
        <v>0</v>
      </c>
      <c r="K7599" s="369">
        <f t="shared" si="362"/>
        <v>6</v>
      </c>
      <c r="L7599" s="369">
        <f>+IF((C7599&gt;='Resultats - informe'!$E$16)*(C7599&lt;='Resultats - informe'!$G$16),1,0)</f>
        <v>1</v>
      </c>
      <c r="M7599" s="369" cm="1">
        <f t="array" ref="M7599">+_xlfn.IFS((C7599&gt;='Resultats - informe'!$D$26)*(C7599&lt;='Resultats - informe'!$E$26),0,(C7599&gt;='Resultats - informe'!$D$27)*(C7599&lt;='Resultats - informe'!$E$27),0,(C7599&gt;='Resultats - informe'!$D$28)*(C7599&lt;='Resultats - informe'!$E$28),0,(C7599&gt;='Resultats - informe'!$D$29)*(C7599&lt;='Resultats - informe'!$E$29),0,1,1)</f>
        <v>0</v>
      </c>
      <c r="N7599" s="366">
        <f>+VLOOKUP(D7599,'Resultats - informe'!$Y$18:$AG$42,'Introducció dades consum'!K7599+1,0)</f>
        <v>0</v>
      </c>
      <c r="O7599" s="370" cm="1">
        <f t="array" ref="O7599">+_xlfn.SWITCH(MONTH(C7599),1,1,2,1,3,1,4,2,5,2,6,3,7,3,8,3,9,3,10,2,11,2,12,1,2)</f>
        <v>1</v>
      </c>
      <c r="P7599" s="43"/>
    </row>
    <row r="7600" spans="1:16" ht="18" x14ac:dyDescent="0.35">
      <c r="A7600" s="9"/>
      <c r="C7600" s="393"/>
      <c r="E7600" s="394"/>
      <c r="F7600" s="394"/>
      <c r="G7600" s="394"/>
      <c r="I7600" s="368">
        <f t="shared" si="360"/>
        <v>0</v>
      </c>
      <c r="J7600" s="365">
        <f t="shared" si="361"/>
        <v>0</v>
      </c>
      <c r="K7600" s="369">
        <f t="shared" si="362"/>
        <v>6</v>
      </c>
      <c r="L7600" s="369">
        <f>+IF((C7600&gt;='Resultats - informe'!$E$16)*(C7600&lt;='Resultats - informe'!$G$16),1,0)</f>
        <v>1</v>
      </c>
      <c r="M7600" s="369" cm="1">
        <f t="array" ref="M7600">+_xlfn.IFS((C7600&gt;='Resultats - informe'!$D$26)*(C7600&lt;='Resultats - informe'!$E$26),0,(C7600&gt;='Resultats - informe'!$D$27)*(C7600&lt;='Resultats - informe'!$E$27),0,(C7600&gt;='Resultats - informe'!$D$28)*(C7600&lt;='Resultats - informe'!$E$28),0,(C7600&gt;='Resultats - informe'!$D$29)*(C7600&lt;='Resultats - informe'!$E$29),0,1,1)</f>
        <v>0</v>
      </c>
      <c r="N7600" s="366">
        <f>+VLOOKUP(D7600,'Resultats - informe'!$Y$18:$AG$42,'Introducció dades consum'!K7600+1,0)</f>
        <v>0</v>
      </c>
      <c r="O7600" s="370" cm="1">
        <f t="array" ref="O7600">+_xlfn.SWITCH(MONTH(C7600),1,1,2,1,3,1,4,2,5,2,6,3,7,3,8,3,9,3,10,2,11,2,12,1,2)</f>
        <v>1</v>
      </c>
      <c r="P7600" s="43"/>
    </row>
    <row r="7601" spans="1:16" ht="18" x14ac:dyDescent="0.35">
      <c r="A7601" s="9"/>
      <c r="C7601" s="393"/>
      <c r="E7601" s="394"/>
      <c r="F7601" s="394"/>
      <c r="G7601" s="394"/>
      <c r="I7601" s="368">
        <f t="shared" si="360"/>
        <v>0</v>
      </c>
      <c r="J7601" s="365">
        <f t="shared" si="361"/>
        <v>0</v>
      </c>
      <c r="K7601" s="369">
        <f t="shared" si="362"/>
        <v>6</v>
      </c>
      <c r="L7601" s="369">
        <f>+IF((C7601&gt;='Resultats - informe'!$E$16)*(C7601&lt;='Resultats - informe'!$G$16),1,0)</f>
        <v>1</v>
      </c>
      <c r="M7601" s="369" cm="1">
        <f t="array" ref="M7601">+_xlfn.IFS((C7601&gt;='Resultats - informe'!$D$26)*(C7601&lt;='Resultats - informe'!$E$26),0,(C7601&gt;='Resultats - informe'!$D$27)*(C7601&lt;='Resultats - informe'!$E$27),0,(C7601&gt;='Resultats - informe'!$D$28)*(C7601&lt;='Resultats - informe'!$E$28),0,(C7601&gt;='Resultats - informe'!$D$29)*(C7601&lt;='Resultats - informe'!$E$29),0,1,1)</f>
        <v>0</v>
      </c>
      <c r="N7601" s="366">
        <f>+VLOOKUP(D7601,'Resultats - informe'!$Y$18:$AG$42,'Introducció dades consum'!K7601+1,0)</f>
        <v>0</v>
      </c>
      <c r="O7601" s="370" cm="1">
        <f t="array" ref="O7601">+_xlfn.SWITCH(MONTH(C7601),1,1,2,1,3,1,4,2,5,2,6,3,7,3,8,3,9,3,10,2,11,2,12,1,2)</f>
        <v>1</v>
      </c>
      <c r="P7601" s="43"/>
    </row>
    <row r="7602" spans="1:16" ht="18" x14ac:dyDescent="0.35">
      <c r="A7602" s="9"/>
      <c r="C7602" s="393"/>
      <c r="E7602" s="394"/>
      <c r="F7602" s="394"/>
      <c r="G7602" s="394"/>
      <c r="I7602" s="368">
        <f t="shared" si="360"/>
        <v>0</v>
      </c>
      <c r="J7602" s="365">
        <f t="shared" si="361"/>
        <v>0</v>
      </c>
      <c r="K7602" s="369">
        <f t="shared" si="362"/>
        <v>6</v>
      </c>
      <c r="L7602" s="369">
        <f>+IF((C7602&gt;='Resultats - informe'!$E$16)*(C7602&lt;='Resultats - informe'!$G$16),1,0)</f>
        <v>1</v>
      </c>
      <c r="M7602" s="369" cm="1">
        <f t="array" ref="M7602">+_xlfn.IFS((C7602&gt;='Resultats - informe'!$D$26)*(C7602&lt;='Resultats - informe'!$E$26),0,(C7602&gt;='Resultats - informe'!$D$27)*(C7602&lt;='Resultats - informe'!$E$27),0,(C7602&gt;='Resultats - informe'!$D$28)*(C7602&lt;='Resultats - informe'!$E$28),0,(C7602&gt;='Resultats - informe'!$D$29)*(C7602&lt;='Resultats - informe'!$E$29),0,1,1)</f>
        <v>0</v>
      </c>
      <c r="N7602" s="366">
        <f>+VLOOKUP(D7602,'Resultats - informe'!$Y$18:$AG$42,'Introducció dades consum'!K7602+1,0)</f>
        <v>0</v>
      </c>
      <c r="O7602" s="370" cm="1">
        <f t="array" ref="O7602">+_xlfn.SWITCH(MONTH(C7602),1,1,2,1,3,1,4,2,5,2,6,3,7,3,8,3,9,3,10,2,11,2,12,1,2)</f>
        <v>1</v>
      </c>
      <c r="P7602" s="43"/>
    </row>
    <row r="7603" spans="1:16" ht="18" x14ac:dyDescent="0.35">
      <c r="A7603" s="9"/>
      <c r="C7603" s="393"/>
      <c r="E7603" s="394"/>
      <c r="F7603" s="394"/>
      <c r="G7603" s="394"/>
      <c r="I7603" s="368">
        <f t="shared" si="360"/>
        <v>0</v>
      </c>
      <c r="J7603" s="365">
        <f t="shared" si="361"/>
        <v>0</v>
      </c>
      <c r="K7603" s="369">
        <f t="shared" si="362"/>
        <v>6</v>
      </c>
      <c r="L7603" s="369">
        <f>+IF((C7603&gt;='Resultats - informe'!$E$16)*(C7603&lt;='Resultats - informe'!$G$16),1,0)</f>
        <v>1</v>
      </c>
      <c r="M7603" s="369" cm="1">
        <f t="array" ref="M7603">+_xlfn.IFS((C7603&gt;='Resultats - informe'!$D$26)*(C7603&lt;='Resultats - informe'!$E$26),0,(C7603&gt;='Resultats - informe'!$D$27)*(C7603&lt;='Resultats - informe'!$E$27),0,(C7603&gt;='Resultats - informe'!$D$28)*(C7603&lt;='Resultats - informe'!$E$28),0,(C7603&gt;='Resultats - informe'!$D$29)*(C7603&lt;='Resultats - informe'!$E$29),0,1,1)</f>
        <v>0</v>
      </c>
      <c r="N7603" s="366">
        <f>+VLOOKUP(D7603,'Resultats - informe'!$Y$18:$AG$42,'Introducció dades consum'!K7603+1,0)</f>
        <v>0</v>
      </c>
      <c r="O7603" s="370" cm="1">
        <f t="array" ref="O7603">+_xlfn.SWITCH(MONTH(C7603),1,1,2,1,3,1,4,2,5,2,6,3,7,3,8,3,9,3,10,2,11,2,12,1,2)</f>
        <v>1</v>
      </c>
      <c r="P7603" s="43"/>
    </row>
    <row r="7604" spans="1:16" ht="18" x14ac:dyDescent="0.35">
      <c r="A7604" s="9"/>
      <c r="C7604" s="393"/>
      <c r="E7604" s="394"/>
      <c r="F7604" s="394"/>
      <c r="G7604" s="394"/>
      <c r="I7604" s="368">
        <f t="shared" si="360"/>
        <v>0</v>
      </c>
      <c r="J7604" s="365">
        <f t="shared" si="361"/>
        <v>0</v>
      </c>
      <c r="K7604" s="369">
        <f t="shared" si="362"/>
        <v>6</v>
      </c>
      <c r="L7604" s="369">
        <f>+IF((C7604&gt;='Resultats - informe'!$E$16)*(C7604&lt;='Resultats - informe'!$G$16),1,0)</f>
        <v>1</v>
      </c>
      <c r="M7604" s="369" cm="1">
        <f t="array" ref="M7604">+_xlfn.IFS((C7604&gt;='Resultats - informe'!$D$26)*(C7604&lt;='Resultats - informe'!$E$26),0,(C7604&gt;='Resultats - informe'!$D$27)*(C7604&lt;='Resultats - informe'!$E$27),0,(C7604&gt;='Resultats - informe'!$D$28)*(C7604&lt;='Resultats - informe'!$E$28),0,(C7604&gt;='Resultats - informe'!$D$29)*(C7604&lt;='Resultats - informe'!$E$29),0,1,1)</f>
        <v>0</v>
      </c>
      <c r="N7604" s="366">
        <f>+VLOOKUP(D7604,'Resultats - informe'!$Y$18:$AG$42,'Introducció dades consum'!K7604+1,0)</f>
        <v>0</v>
      </c>
      <c r="O7604" s="370" cm="1">
        <f t="array" ref="O7604">+_xlfn.SWITCH(MONTH(C7604),1,1,2,1,3,1,4,2,5,2,6,3,7,3,8,3,9,3,10,2,11,2,12,1,2)</f>
        <v>1</v>
      </c>
      <c r="P7604" s="43"/>
    </row>
    <row r="7605" spans="1:16" ht="18" x14ac:dyDescent="0.35">
      <c r="A7605" s="9"/>
      <c r="C7605" s="393"/>
      <c r="E7605" s="394"/>
      <c r="F7605" s="394"/>
      <c r="G7605" s="394"/>
      <c r="I7605" s="368">
        <f t="shared" si="360"/>
        <v>0</v>
      </c>
      <c r="J7605" s="365">
        <f t="shared" si="361"/>
        <v>0</v>
      </c>
      <c r="K7605" s="369">
        <f t="shared" si="362"/>
        <v>6</v>
      </c>
      <c r="L7605" s="369">
        <f>+IF((C7605&gt;='Resultats - informe'!$E$16)*(C7605&lt;='Resultats - informe'!$G$16),1,0)</f>
        <v>1</v>
      </c>
      <c r="M7605" s="369" cm="1">
        <f t="array" ref="M7605">+_xlfn.IFS((C7605&gt;='Resultats - informe'!$D$26)*(C7605&lt;='Resultats - informe'!$E$26),0,(C7605&gt;='Resultats - informe'!$D$27)*(C7605&lt;='Resultats - informe'!$E$27),0,(C7605&gt;='Resultats - informe'!$D$28)*(C7605&lt;='Resultats - informe'!$E$28),0,(C7605&gt;='Resultats - informe'!$D$29)*(C7605&lt;='Resultats - informe'!$E$29),0,1,1)</f>
        <v>0</v>
      </c>
      <c r="N7605" s="366">
        <f>+VLOOKUP(D7605,'Resultats - informe'!$Y$18:$AG$42,'Introducció dades consum'!K7605+1,0)</f>
        <v>0</v>
      </c>
      <c r="O7605" s="370" cm="1">
        <f t="array" ref="O7605">+_xlfn.SWITCH(MONTH(C7605),1,1,2,1,3,1,4,2,5,2,6,3,7,3,8,3,9,3,10,2,11,2,12,1,2)</f>
        <v>1</v>
      </c>
      <c r="P7605" s="43"/>
    </row>
    <row r="7606" spans="1:16" ht="18" x14ac:dyDescent="0.35">
      <c r="A7606" s="9"/>
      <c r="C7606" s="393"/>
      <c r="E7606" s="394"/>
      <c r="F7606" s="394"/>
      <c r="G7606" s="394"/>
      <c r="I7606" s="368">
        <f t="shared" si="360"/>
        <v>0</v>
      </c>
      <c r="J7606" s="365">
        <f t="shared" si="361"/>
        <v>0</v>
      </c>
      <c r="K7606" s="369">
        <f t="shared" si="362"/>
        <v>6</v>
      </c>
      <c r="L7606" s="369">
        <f>+IF((C7606&gt;='Resultats - informe'!$E$16)*(C7606&lt;='Resultats - informe'!$G$16),1,0)</f>
        <v>1</v>
      </c>
      <c r="M7606" s="369" cm="1">
        <f t="array" ref="M7606">+_xlfn.IFS((C7606&gt;='Resultats - informe'!$D$26)*(C7606&lt;='Resultats - informe'!$E$26),0,(C7606&gt;='Resultats - informe'!$D$27)*(C7606&lt;='Resultats - informe'!$E$27),0,(C7606&gt;='Resultats - informe'!$D$28)*(C7606&lt;='Resultats - informe'!$E$28),0,(C7606&gt;='Resultats - informe'!$D$29)*(C7606&lt;='Resultats - informe'!$E$29),0,1,1)</f>
        <v>0</v>
      </c>
      <c r="N7606" s="366">
        <f>+VLOOKUP(D7606,'Resultats - informe'!$Y$18:$AG$42,'Introducció dades consum'!K7606+1,0)</f>
        <v>0</v>
      </c>
      <c r="O7606" s="370" cm="1">
        <f t="array" ref="O7606">+_xlfn.SWITCH(MONTH(C7606),1,1,2,1,3,1,4,2,5,2,6,3,7,3,8,3,9,3,10,2,11,2,12,1,2)</f>
        <v>1</v>
      </c>
      <c r="P7606" s="43"/>
    </row>
    <row r="7607" spans="1:16" ht="18" x14ac:dyDescent="0.35">
      <c r="A7607" s="9"/>
      <c r="C7607" s="393"/>
      <c r="E7607" s="394"/>
      <c r="F7607" s="394"/>
      <c r="G7607" s="394"/>
      <c r="I7607" s="368">
        <f t="shared" si="360"/>
        <v>0</v>
      </c>
      <c r="J7607" s="365">
        <f t="shared" si="361"/>
        <v>0</v>
      </c>
      <c r="K7607" s="369">
        <f t="shared" si="362"/>
        <v>6</v>
      </c>
      <c r="L7607" s="369">
        <f>+IF((C7607&gt;='Resultats - informe'!$E$16)*(C7607&lt;='Resultats - informe'!$G$16),1,0)</f>
        <v>1</v>
      </c>
      <c r="M7607" s="369" cm="1">
        <f t="array" ref="M7607">+_xlfn.IFS((C7607&gt;='Resultats - informe'!$D$26)*(C7607&lt;='Resultats - informe'!$E$26),0,(C7607&gt;='Resultats - informe'!$D$27)*(C7607&lt;='Resultats - informe'!$E$27),0,(C7607&gt;='Resultats - informe'!$D$28)*(C7607&lt;='Resultats - informe'!$E$28),0,(C7607&gt;='Resultats - informe'!$D$29)*(C7607&lt;='Resultats - informe'!$E$29),0,1,1)</f>
        <v>0</v>
      </c>
      <c r="N7607" s="366">
        <f>+VLOOKUP(D7607,'Resultats - informe'!$Y$18:$AG$42,'Introducció dades consum'!K7607+1,0)</f>
        <v>0</v>
      </c>
      <c r="O7607" s="370" cm="1">
        <f t="array" ref="O7607">+_xlfn.SWITCH(MONTH(C7607),1,1,2,1,3,1,4,2,5,2,6,3,7,3,8,3,9,3,10,2,11,2,12,1,2)</f>
        <v>1</v>
      </c>
      <c r="P7607" s="43"/>
    </row>
    <row r="7608" spans="1:16" ht="18" x14ac:dyDescent="0.35">
      <c r="A7608" s="9"/>
      <c r="C7608" s="393"/>
      <c r="E7608" s="394"/>
      <c r="F7608" s="394"/>
      <c r="G7608" s="394"/>
      <c r="I7608" s="368">
        <f t="shared" si="360"/>
        <v>0</v>
      </c>
      <c r="J7608" s="365">
        <f t="shared" si="361"/>
        <v>0</v>
      </c>
      <c r="K7608" s="369">
        <f t="shared" si="362"/>
        <v>6</v>
      </c>
      <c r="L7608" s="369">
        <f>+IF((C7608&gt;='Resultats - informe'!$E$16)*(C7608&lt;='Resultats - informe'!$G$16),1,0)</f>
        <v>1</v>
      </c>
      <c r="M7608" s="369" cm="1">
        <f t="array" ref="M7608">+_xlfn.IFS((C7608&gt;='Resultats - informe'!$D$26)*(C7608&lt;='Resultats - informe'!$E$26),0,(C7608&gt;='Resultats - informe'!$D$27)*(C7608&lt;='Resultats - informe'!$E$27),0,(C7608&gt;='Resultats - informe'!$D$28)*(C7608&lt;='Resultats - informe'!$E$28),0,(C7608&gt;='Resultats - informe'!$D$29)*(C7608&lt;='Resultats - informe'!$E$29),0,1,1)</f>
        <v>0</v>
      </c>
      <c r="N7608" s="366">
        <f>+VLOOKUP(D7608,'Resultats - informe'!$Y$18:$AG$42,'Introducció dades consum'!K7608+1,0)</f>
        <v>0</v>
      </c>
      <c r="O7608" s="370" cm="1">
        <f t="array" ref="O7608">+_xlfn.SWITCH(MONTH(C7608),1,1,2,1,3,1,4,2,5,2,6,3,7,3,8,3,9,3,10,2,11,2,12,1,2)</f>
        <v>1</v>
      </c>
      <c r="P7608" s="43"/>
    </row>
    <row r="7609" spans="1:16" ht="18" x14ac:dyDescent="0.35">
      <c r="A7609" s="9"/>
      <c r="C7609" s="393"/>
      <c r="E7609" s="394"/>
      <c r="F7609" s="394"/>
      <c r="G7609" s="394"/>
      <c r="I7609" s="368">
        <f t="shared" si="360"/>
        <v>0</v>
      </c>
      <c r="J7609" s="365">
        <f t="shared" si="361"/>
        <v>0</v>
      </c>
      <c r="K7609" s="369">
        <f t="shared" si="362"/>
        <v>6</v>
      </c>
      <c r="L7609" s="369">
        <f>+IF((C7609&gt;='Resultats - informe'!$E$16)*(C7609&lt;='Resultats - informe'!$G$16),1,0)</f>
        <v>1</v>
      </c>
      <c r="M7609" s="369" cm="1">
        <f t="array" ref="M7609">+_xlfn.IFS((C7609&gt;='Resultats - informe'!$D$26)*(C7609&lt;='Resultats - informe'!$E$26),0,(C7609&gt;='Resultats - informe'!$D$27)*(C7609&lt;='Resultats - informe'!$E$27),0,(C7609&gt;='Resultats - informe'!$D$28)*(C7609&lt;='Resultats - informe'!$E$28),0,(C7609&gt;='Resultats - informe'!$D$29)*(C7609&lt;='Resultats - informe'!$E$29),0,1,1)</f>
        <v>0</v>
      </c>
      <c r="N7609" s="366">
        <f>+VLOOKUP(D7609,'Resultats - informe'!$Y$18:$AG$42,'Introducció dades consum'!K7609+1,0)</f>
        <v>0</v>
      </c>
      <c r="O7609" s="370" cm="1">
        <f t="array" ref="O7609">+_xlfn.SWITCH(MONTH(C7609),1,1,2,1,3,1,4,2,5,2,6,3,7,3,8,3,9,3,10,2,11,2,12,1,2)</f>
        <v>1</v>
      </c>
      <c r="P7609" s="43"/>
    </row>
    <row r="7610" spans="1:16" ht="18" x14ac:dyDescent="0.35">
      <c r="A7610" s="9"/>
      <c r="C7610" s="393"/>
      <c r="E7610" s="394"/>
      <c r="F7610" s="394"/>
      <c r="G7610" s="394"/>
      <c r="I7610" s="368">
        <f t="shared" si="360"/>
        <v>0</v>
      </c>
      <c r="J7610" s="365">
        <f t="shared" si="361"/>
        <v>0</v>
      </c>
      <c r="K7610" s="369">
        <f t="shared" si="362"/>
        <v>6</v>
      </c>
      <c r="L7610" s="369">
        <f>+IF((C7610&gt;='Resultats - informe'!$E$16)*(C7610&lt;='Resultats - informe'!$G$16),1,0)</f>
        <v>1</v>
      </c>
      <c r="M7610" s="369" cm="1">
        <f t="array" ref="M7610">+_xlfn.IFS((C7610&gt;='Resultats - informe'!$D$26)*(C7610&lt;='Resultats - informe'!$E$26),0,(C7610&gt;='Resultats - informe'!$D$27)*(C7610&lt;='Resultats - informe'!$E$27),0,(C7610&gt;='Resultats - informe'!$D$28)*(C7610&lt;='Resultats - informe'!$E$28),0,(C7610&gt;='Resultats - informe'!$D$29)*(C7610&lt;='Resultats - informe'!$E$29),0,1,1)</f>
        <v>0</v>
      </c>
      <c r="N7610" s="366">
        <f>+VLOOKUP(D7610,'Resultats - informe'!$Y$18:$AG$42,'Introducció dades consum'!K7610+1,0)</f>
        <v>0</v>
      </c>
      <c r="O7610" s="370" cm="1">
        <f t="array" ref="O7610">+_xlfn.SWITCH(MONTH(C7610),1,1,2,1,3,1,4,2,5,2,6,3,7,3,8,3,9,3,10,2,11,2,12,1,2)</f>
        <v>1</v>
      </c>
      <c r="P7610" s="43"/>
    </row>
    <row r="7611" spans="1:16" ht="18" x14ac:dyDescent="0.35">
      <c r="A7611" s="9"/>
      <c r="C7611" s="393"/>
      <c r="E7611" s="394"/>
      <c r="F7611" s="394"/>
      <c r="G7611" s="394"/>
      <c r="I7611" s="368">
        <f t="shared" si="360"/>
        <v>0</v>
      </c>
      <c r="J7611" s="365">
        <f t="shared" si="361"/>
        <v>0</v>
      </c>
      <c r="K7611" s="369">
        <f t="shared" si="362"/>
        <v>6</v>
      </c>
      <c r="L7611" s="369">
        <f>+IF((C7611&gt;='Resultats - informe'!$E$16)*(C7611&lt;='Resultats - informe'!$G$16),1,0)</f>
        <v>1</v>
      </c>
      <c r="M7611" s="369" cm="1">
        <f t="array" ref="M7611">+_xlfn.IFS((C7611&gt;='Resultats - informe'!$D$26)*(C7611&lt;='Resultats - informe'!$E$26),0,(C7611&gt;='Resultats - informe'!$D$27)*(C7611&lt;='Resultats - informe'!$E$27),0,(C7611&gt;='Resultats - informe'!$D$28)*(C7611&lt;='Resultats - informe'!$E$28),0,(C7611&gt;='Resultats - informe'!$D$29)*(C7611&lt;='Resultats - informe'!$E$29),0,1,1)</f>
        <v>0</v>
      </c>
      <c r="N7611" s="366">
        <f>+VLOOKUP(D7611,'Resultats - informe'!$Y$18:$AG$42,'Introducció dades consum'!K7611+1,0)</f>
        <v>0</v>
      </c>
      <c r="O7611" s="370" cm="1">
        <f t="array" ref="O7611">+_xlfn.SWITCH(MONTH(C7611),1,1,2,1,3,1,4,2,5,2,6,3,7,3,8,3,9,3,10,2,11,2,12,1,2)</f>
        <v>1</v>
      </c>
      <c r="P7611" s="43"/>
    </row>
    <row r="7612" spans="1:16" ht="18" x14ac:dyDescent="0.35">
      <c r="A7612" s="9"/>
      <c r="C7612" s="393"/>
      <c r="E7612" s="394"/>
      <c r="F7612" s="394"/>
      <c r="G7612" s="394"/>
      <c r="I7612" s="368">
        <f t="shared" si="360"/>
        <v>0</v>
      </c>
      <c r="J7612" s="365">
        <f t="shared" si="361"/>
        <v>0</v>
      </c>
      <c r="K7612" s="369">
        <f t="shared" si="362"/>
        <v>6</v>
      </c>
      <c r="L7612" s="369">
        <f>+IF((C7612&gt;='Resultats - informe'!$E$16)*(C7612&lt;='Resultats - informe'!$G$16),1,0)</f>
        <v>1</v>
      </c>
      <c r="M7612" s="369" cm="1">
        <f t="array" ref="M7612">+_xlfn.IFS((C7612&gt;='Resultats - informe'!$D$26)*(C7612&lt;='Resultats - informe'!$E$26),0,(C7612&gt;='Resultats - informe'!$D$27)*(C7612&lt;='Resultats - informe'!$E$27),0,(C7612&gt;='Resultats - informe'!$D$28)*(C7612&lt;='Resultats - informe'!$E$28),0,(C7612&gt;='Resultats - informe'!$D$29)*(C7612&lt;='Resultats - informe'!$E$29),0,1,1)</f>
        <v>0</v>
      </c>
      <c r="N7612" s="366">
        <f>+VLOOKUP(D7612,'Resultats - informe'!$Y$18:$AG$42,'Introducció dades consum'!K7612+1,0)</f>
        <v>0</v>
      </c>
      <c r="O7612" s="370" cm="1">
        <f t="array" ref="O7612">+_xlfn.SWITCH(MONTH(C7612),1,1,2,1,3,1,4,2,5,2,6,3,7,3,8,3,9,3,10,2,11,2,12,1,2)</f>
        <v>1</v>
      </c>
      <c r="P7612" s="43"/>
    </row>
    <row r="7613" spans="1:16" ht="18" x14ac:dyDescent="0.35">
      <c r="A7613" s="9"/>
      <c r="C7613" s="393"/>
      <c r="E7613" s="394"/>
      <c r="F7613" s="394"/>
      <c r="G7613" s="394"/>
      <c r="I7613" s="368">
        <f t="shared" si="360"/>
        <v>0</v>
      </c>
      <c r="J7613" s="365">
        <f t="shared" si="361"/>
        <v>0</v>
      </c>
      <c r="K7613" s="369">
        <f t="shared" si="362"/>
        <v>6</v>
      </c>
      <c r="L7613" s="369">
        <f>+IF((C7613&gt;='Resultats - informe'!$E$16)*(C7613&lt;='Resultats - informe'!$G$16),1,0)</f>
        <v>1</v>
      </c>
      <c r="M7613" s="369" cm="1">
        <f t="array" ref="M7613">+_xlfn.IFS((C7613&gt;='Resultats - informe'!$D$26)*(C7613&lt;='Resultats - informe'!$E$26),0,(C7613&gt;='Resultats - informe'!$D$27)*(C7613&lt;='Resultats - informe'!$E$27),0,(C7613&gt;='Resultats - informe'!$D$28)*(C7613&lt;='Resultats - informe'!$E$28),0,(C7613&gt;='Resultats - informe'!$D$29)*(C7613&lt;='Resultats - informe'!$E$29),0,1,1)</f>
        <v>0</v>
      </c>
      <c r="N7613" s="366">
        <f>+VLOOKUP(D7613,'Resultats - informe'!$Y$18:$AG$42,'Introducció dades consum'!K7613+1,0)</f>
        <v>0</v>
      </c>
      <c r="O7613" s="370" cm="1">
        <f t="array" ref="O7613">+_xlfn.SWITCH(MONTH(C7613),1,1,2,1,3,1,4,2,5,2,6,3,7,3,8,3,9,3,10,2,11,2,12,1,2)</f>
        <v>1</v>
      </c>
      <c r="P7613" s="43"/>
    </row>
    <row r="7614" spans="1:16" ht="18" x14ac:dyDescent="0.35">
      <c r="A7614" s="9"/>
      <c r="C7614" s="393"/>
      <c r="E7614" s="394"/>
      <c r="F7614" s="394"/>
      <c r="G7614" s="394"/>
      <c r="I7614" s="368">
        <f t="shared" si="360"/>
        <v>0</v>
      </c>
      <c r="J7614" s="365">
        <f t="shared" si="361"/>
        <v>0</v>
      </c>
      <c r="K7614" s="369">
        <f t="shared" si="362"/>
        <v>6</v>
      </c>
      <c r="L7614" s="369">
        <f>+IF((C7614&gt;='Resultats - informe'!$E$16)*(C7614&lt;='Resultats - informe'!$G$16),1,0)</f>
        <v>1</v>
      </c>
      <c r="M7614" s="369" cm="1">
        <f t="array" ref="M7614">+_xlfn.IFS((C7614&gt;='Resultats - informe'!$D$26)*(C7614&lt;='Resultats - informe'!$E$26),0,(C7614&gt;='Resultats - informe'!$D$27)*(C7614&lt;='Resultats - informe'!$E$27),0,(C7614&gt;='Resultats - informe'!$D$28)*(C7614&lt;='Resultats - informe'!$E$28),0,(C7614&gt;='Resultats - informe'!$D$29)*(C7614&lt;='Resultats - informe'!$E$29),0,1,1)</f>
        <v>0</v>
      </c>
      <c r="N7614" s="366">
        <f>+VLOOKUP(D7614,'Resultats - informe'!$Y$18:$AG$42,'Introducció dades consum'!K7614+1,0)</f>
        <v>0</v>
      </c>
      <c r="O7614" s="370" cm="1">
        <f t="array" ref="O7614">+_xlfn.SWITCH(MONTH(C7614),1,1,2,1,3,1,4,2,5,2,6,3,7,3,8,3,9,3,10,2,11,2,12,1,2)</f>
        <v>1</v>
      </c>
      <c r="P7614" s="43"/>
    </row>
    <row r="7615" spans="1:16" ht="18" x14ac:dyDescent="0.35">
      <c r="A7615" s="9"/>
      <c r="C7615" s="393"/>
      <c r="E7615" s="394"/>
      <c r="F7615" s="394"/>
      <c r="G7615" s="394"/>
      <c r="I7615" s="368">
        <f t="shared" si="360"/>
        <v>0</v>
      </c>
      <c r="J7615" s="365">
        <f t="shared" si="361"/>
        <v>0</v>
      </c>
      <c r="K7615" s="369">
        <f t="shared" si="362"/>
        <v>6</v>
      </c>
      <c r="L7615" s="369">
        <f>+IF((C7615&gt;='Resultats - informe'!$E$16)*(C7615&lt;='Resultats - informe'!$G$16),1,0)</f>
        <v>1</v>
      </c>
      <c r="M7615" s="369" cm="1">
        <f t="array" ref="M7615">+_xlfn.IFS((C7615&gt;='Resultats - informe'!$D$26)*(C7615&lt;='Resultats - informe'!$E$26),0,(C7615&gt;='Resultats - informe'!$D$27)*(C7615&lt;='Resultats - informe'!$E$27),0,(C7615&gt;='Resultats - informe'!$D$28)*(C7615&lt;='Resultats - informe'!$E$28),0,(C7615&gt;='Resultats - informe'!$D$29)*(C7615&lt;='Resultats - informe'!$E$29),0,1,1)</f>
        <v>0</v>
      </c>
      <c r="N7615" s="366">
        <f>+VLOOKUP(D7615,'Resultats - informe'!$Y$18:$AG$42,'Introducció dades consum'!K7615+1,0)</f>
        <v>0</v>
      </c>
      <c r="O7615" s="370" cm="1">
        <f t="array" ref="O7615">+_xlfn.SWITCH(MONTH(C7615),1,1,2,1,3,1,4,2,5,2,6,3,7,3,8,3,9,3,10,2,11,2,12,1,2)</f>
        <v>1</v>
      </c>
      <c r="P7615" s="43"/>
    </row>
    <row r="7616" spans="1:16" ht="18" x14ac:dyDescent="0.35">
      <c r="A7616" s="9"/>
      <c r="C7616" s="393"/>
      <c r="E7616" s="394"/>
      <c r="F7616" s="394"/>
      <c r="G7616" s="394"/>
      <c r="I7616" s="368">
        <f t="shared" si="360"/>
        <v>0</v>
      </c>
      <c r="J7616" s="365">
        <f t="shared" si="361"/>
        <v>0</v>
      </c>
      <c r="K7616" s="369">
        <f t="shared" si="362"/>
        <v>6</v>
      </c>
      <c r="L7616" s="369">
        <f>+IF((C7616&gt;='Resultats - informe'!$E$16)*(C7616&lt;='Resultats - informe'!$G$16),1,0)</f>
        <v>1</v>
      </c>
      <c r="M7616" s="369" cm="1">
        <f t="array" ref="M7616">+_xlfn.IFS((C7616&gt;='Resultats - informe'!$D$26)*(C7616&lt;='Resultats - informe'!$E$26),0,(C7616&gt;='Resultats - informe'!$D$27)*(C7616&lt;='Resultats - informe'!$E$27),0,(C7616&gt;='Resultats - informe'!$D$28)*(C7616&lt;='Resultats - informe'!$E$28),0,(C7616&gt;='Resultats - informe'!$D$29)*(C7616&lt;='Resultats - informe'!$E$29),0,1,1)</f>
        <v>0</v>
      </c>
      <c r="N7616" s="366">
        <f>+VLOOKUP(D7616,'Resultats - informe'!$Y$18:$AG$42,'Introducció dades consum'!K7616+1,0)</f>
        <v>0</v>
      </c>
      <c r="O7616" s="370" cm="1">
        <f t="array" ref="O7616">+_xlfn.SWITCH(MONTH(C7616),1,1,2,1,3,1,4,2,5,2,6,3,7,3,8,3,9,3,10,2,11,2,12,1,2)</f>
        <v>1</v>
      </c>
      <c r="P7616" s="43"/>
    </row>
    <row r="7617" spans="1:16" ht="18" x14ac:dyDescent="0.35">
      <c r="A7617" s="9"/>
      <c r="C7617" s="393"/>
      <c r="E7617" s="394"/>
      <c r="F7617" s="394"/>
      <c r="G7617" s="394"/>
      <c r="I7617" s="368">
        <f t="shared" si="360"/>
        <v>0</v>
      </c>
      <c r="J7617" s="365">
        <f t="shared" si="361"/>
        <v>0</v>
      </c>
      <c r="K7617" s="369">
        <f t="shared" si="362"/>
        <v>6</v>
      </c>
      <c r="L7617" s="369">
        <f>+IF((C7617&gt;='Resultats - informe'!$E$16)*(C7617&lt;='Resultats - informe'!$G$16),1,0)</f>
        <v>1</v>
      </c>
      <c r="M7617" s="369" cm="1">
        <f t="array" ref="M7617">+_xlfn.IFS((C7617&gt;='Resultats - informe'!$D$26)*(C7617&lt;='Resultats - informe'!$E$26),0,(C7617&gt;='Resultats - informe'!$D$27)*(C7617&lt;='Resultats - informe'!$E$27),0,(C7617&gt;='Resultats - informe'!$D$28)*(C7617&lt;='Resultats - informe'!$E$28),0,(C7617&gt;='Resultats - informe'!$D$29)*(C7617&lt;='Resultats - informe'!$E$29),0,1,1)</f>
        <v>0</v>
      </c>
      <c r="N7617" s="366">
        <f>+VLOOKUP(D7617,'Resultats - informe'!$Y$18:$AG$42,'Introducció dades consum'!K7617+1,0)</f>
        <v>0</v>
      </c>
      <c r="O7617" s="370" cm="1">
        <f t="array" ref="O7617">+_xlfn.SWITCH(MONTH(C7617),1,1,2,1,3,1,4,2,5,2,6,3,7,3,8,3,9,3,10,2,11,2,12,1,2)</f>
        <v>1</v>
      </c>
      <c r="P7617" s="43"/>
    </row>
    <row r="7618" spans="1:16" ht="18" x14ac:dyDescent="0.35">
      <c r="A7618" s="9"/>
      <c r="C7618" s="393"/>
      <c r="E7618" s="394"/>
      <c r="F7618" s="394"/>
      <c r="G7618" s="394"/>
      <c r="I7618" s="368">
        <f t="shared" si="360"/>
        <v>0</v>
      </c>
      <c r="J7618" s="365">
        <f t="shared" si="361"/>
        <v>0</v>
      </c>
      <c r="K7618" s="369">
        <f t="shared" si="362"/>
        <v>6</v>
      </c>
      <c r="L7618" s="369">
        <f>+IF((C7618&gt;='Resultats - informe'!$E$16)*(C7618&lt;='Resultats - informe'!$G$16),1,0)</f>
        <v>1</v>
      </c>
      <c r="M7618" s="369" cm="1">
        <f t="array" ref="M7618">+_xlfn.IFS((C7618&gt;='Resultats - informe'!$D$26)*(C7618&lt;='Resultats - informe'!$E$26),0,(C7618&gt;='Resultats - informe'!$D$27)*(C7618&lt;='Resultats - informe'!$E$27),0,(C7618&gt;='Resultats - informe'!$D$28)*(C7618&lt;='Resultats - informe'!$E$28),0,(C7618&gt;='Resultats - informe'!$D$29)*(C7618&lt;='Resultats - informe'!$E$29),0,1,1)</f>
        <v>0</v>
      </c>
      <c r="N7618" s="366">
        <f>+VLOOKUP(D7618,'Resultats - informe'!$Y$18:$AG$42,'Introducció dades consum'!K7618+1,0)</f>
        <v>0</v>
      </c>
      <c r="O7618" s="370" cm="1">
        <f t="array" ref="O7618">+_xlfn.SWITCH(MONTH(C7618),1,1,2,1,3,1,4,2,5,2,6,3,7,3,8,3,9,3,10,2,11,2,12,1,2)</f>
        <v>1</v>
      </c>
      <c r="P7618" s="43"/>
    </row>
    <row r="7619" spans="1:16" ht="18" x14ac:dyDescent="0.35">
      <c r="A7619" s="9"/>
      <c r="C7619" s="393"/>
      <c r="E7619" s="394"/>
      <c r="F7619" s="394"/>
      <c r="G7619" s="394"/>
      <c r="I7619" s="368">
        <f t="shared" si="360"/>
        <v>0</v>
      </c>
      <c r="J7619" s="365">
        <f t="shared" si="361"/>
        <v>0</v>
      </c>
      <c r="K7619" s="369">
        <f t="shared" si="362"/>
        <v>6</v>
      </c>
      <c r="L7619" s="369">
        <f>+IF((C7619&gt;='Resultats - informe'!$E$16)*(C7619&lt;='Resultats - informe'!$G$16),1,0)</f>
        <v>1</v>
      </c>
      <c r="M7619" s="369" cm="1">
        <f t="array" ref="M7619">+_xlfn.IFS((C7619&gt;='Resultats - informe'!$D$26)*(C7619&lt;='Resultats - informe'!$E$26),0,(C7619&gt;='Resultats - informe'!$D$27)*(C7619&lt;='Resultats - informe'!$E$27),0,(C7619&gt;='Resultats - informe'!$D$28)*(C7619&lt;='Resultats - informe'!$E$28),0,(C7619&gt;='Resultats - informe'!$D$29)*(C7619&lt;='Resultats - informe'!$E$29),0,1,1)</f>
        <v>0</v>
      </c>
      <c r="N7619" s="366">
        <f>+VLOOKUP(D7619,'Resultats - informe'!$Y$18:$AG$42,'Introducció dades consum'!K7619+1,0)</f>
        <v>0</v>
      </c>
      <c r="O7619" s="370" cm="1">
        <f t="array" ref="O7619">+_xlfn.SWITCH(MONTH(C7619),1,1,2,1,3,1,4,2,5,2,6,3,7,3,8,3,9,3,10,2,11,2,12,1,2)</f>
        <v>1</v>
      </c>
      <c r="P7619" s="43"/>
    </row>
    <row r="7620" spans="1:16" ht="18" x14ac:dyDescent="0.35">
      <c r="A7620" s="9"/>
      <c r="C7620" s="393"/>
      <c r="E7620" s="394"/>
      <c r="F7620" s="394"/>
      <c r="G7620" s="394"/>
      <c r="I7620" s="368">
        <f t="shared" si="360"/>
        <v>0</v>
      </c>
      <c r="J7620" s="365">
        <f t="shared" si="361"/>
        <v>0</v>
      </c>
      <c r="K7620" s="369">
        <f t="shared" si="362"/>
        <v>6</v>
      </c>
      <c r="L7620" s="369">
        <f>+IF((C7620&gt;='Resultats - informe'!$E$16)*(C7620&lt;='Resultats - informe'!$G$16),1,0)</f>
        <v>1</v>
      </c>
      <c r="M7620" s="369" cm="1">
        <f t="array" ref="M7620">+_xlfn.IFS((C7620&gt;='Resultats - informe'!$D$26)*(C7620&lt;='Resultats - informe'!$E$26),0,(C7620&gt;='Resultats - informe'!$D$27)*(C7620&lt;='Resultats - informe'!$E$27),0,(C7620&gt;='Resultats - informe'!$D$28)*(C7620&lt;='Resultats - informe'!$E$28),0,(C7620&gt;='Resultats - informe'!$D$29)*(C7620&lt;='Resultats - informe'!$E$29),0,1,1)</f>
        <v>0</v>
      </c>
      <c r="N7620" s="366">
        <f>+VLOOKUP(D7620,'Resultats - informe'!$Y$18:$AG$42,'Introducció dades consum'!K7620+1,0)</f>
        <v>0</v>
      </c>
      <c r="O7620" s="370" cm="1">
        <f t="array" ref="O7620">+_xlfn.SWITCH(MONTH(C7620),1,1,2,1,3,1,4,2,5,2,6,3,7,3,8,3,9,3,10,2,11,2,12,1,2)</f>
        <v>1</v>
      </c>
      <c r="P7620" s="43"/>
    </row>
    <row r="7621" spans="1:16" ht="18" x14ac:dyDescent="0.35">
      <c r="A7621" s="9"/>
      <c r="C7621" s="393"/>
      <c r="E7621" s="394"/>
      <c r="F7621" s="394"/>
      <c r="G7621" s="394"/>
      <c r="I7621" s="368">
        <f t="shared" si="360"/>
        <v>0</v>
      </c>
      <c r="J7621" s="365">
        <f t="shared" si="361"/>
        <v>0</v>
      </c>
      <c r="K7621" s="369">
        <f t="shared" si="362"/>
        <v>6</v>
      </c>
      <c r="L7621" s="369">
        <f>+IF((C7621&gt;='Resultats - informe'!$E$16)*(C7621&lt;='Resultats - informe'!$G$16),1,0)</f>
        <v>1</v>
      </c>
      <c r="M7621" s="369" cm="1">
        <f t="array" ref="M7621">+_xlfn.IFS((C7621&gt;='Resultats - informe'!$D$26)*(C7621&lt;='Resultats - informe'!$E$26),0,(C7621&gt;='Resultats - informe'!$D$27)*(C7621&lt;='Resultats - informe'!$E$27),0,(C7621&gt;='Resultats - informe'!$D$28)*(C7621&lt;='Resultats - informe'!$E$28),0,(C7621&gt;='Resultats - informe'!$D$29)*(C7621&lt;='Resultats - informe'!$E$29),0,1,1)</f>
        <v>0</v>
      </c>
      <c r="N7621" s="366">
        <f>+VLOOKUP(D7621,'Resultats - informe'!$Y$18:$AG$42,'Introducció dades consum'!K7621+1,0)</f>
        <v>0</v>
      </c>
      <c r="O7621" s="370" cm="1">
        <f t="array" ref="O7621">+_xlfn.SWITCH(MONTH(C7621),1,1,2,1,3,1,4,2,5,2,6,3,7,3,8,3,9,3,10,2,11,2,12,1,2)</f>
        <v>1</v>
      </c>
      <c r="P7621" s="43"/>
    </row>
    <row r="7622" spans="1:16" ht="18" x14ac:dyDescent="0.35">
      <c r="A7622" s="9"/>
      <c r="C7622" s="393"/>
      <c r="E7622" s="394"/>
      <c r="F7622" s="394"/>
      <c r="G7622" s="394"/>
      <c r="I7622" s="368">
        <f t="shared" si="360"/>
        <v>0</v>
      </c>
      <c r="J7622" s="365">
        <f t="shared" si="361"/>
        <v>0</v>
      </c>
      <c r="K7622" s="369">
        <f t="shared" si="362"/>
        <v>6</v>
      </c>
      <c r="L7622" s="369">
        <f>+IF((C7622&gt;='Resultats - informe'!$E$16)*(C7622&lt;='Resultats - informe'!$G$16),1,0)</f>
        <v>1</v>
      </c>
      <c r="M7622" s="369" cm="1">
        <f t="array" ref="M7622">+_xlfn.IFS((C7622&gt;='Resultats - informe'!$D$26)*(C7622&lt;='Resultats - informe'!$E$26),0,(C7622&gt;='Resultats - informe'!$D$27)*(C7622&lt;='Resultats - informe'!$E$27),0,(C7622&gt;='Resultats - informe'!$D$28)*(C7622&lt;='Resultats - informe'!$E$28),0,(C7622&gt;='Resultats - informe'!$D$29)*(C7622&lt;='Resultats - informe'!$E$29),0,1,1)</f>
        <v>0</v>
      </c>
      <c r="N7622" s="366">
        <f>+VLOOKUP(D7622,'Resultats - informe'!$Y$18:$AG$42,'Introducció dades consum'!K7622+1,0)</f>
        <v>0</v>
      </c>
      <c r="O7622" s="370" cm="1">
        <f t="array" ref="O7622">+_xlfn.SWITCH(MONTH(C7622),1,1,2,1,3,1,4,2,5,2,6,3,7,3,8,3,9,3,10,2,11,2,12,1,2)</f>
        <v>1</v>
      </c>
      <c r="P7622" s="43"/>
    </row>
    <row r="7623" spans="1:16" ht="18" x14ac:dyDescent="0.35">
      <c r="A7623" s="9"/>
      <c r="C7623" s="393"/>
      <c r="E7623" s="394"/>
      <c r="F7623" s="394"/>
      <c r="G7623" s="394"/>
      <c r="I7623" s="368">
        <f t="shared" si="360"/>
        <v>0</v>
      </c>
      <c r="J7623" s="365">
        <f t="shared" si="361"/>
        <v>0</v>
      </c>
      <c r="K7623" s="369">
        <f t="shared" si="362"/>
        <v>6</v>
      </c>
      <c r="L7623" s="369">
        <f>+IF((C7623&gt;='Resultats - informe'!$E$16)*(C7623&lt;='Resultats - informe'!$G$16),1,0)</f>
        <v>1</v>
      </c>
      <c r="M7623" s="369" cm="1">
        <f t="array" ref="M7623">+_xlfn.IFS((C7623&gt;='Resultats - informe'!$D$26)*(C7623&lt;='Resultats - informe'!$E$26),0,(C7623&gt;='Resultats - informe'!$D$27)*(C7623&lt;='Resultats - informe'!$E$27),0,(C7623&gt;='Resultats - informe'!$D$28)*(C7623&lt;='Resultats - informe'!$E$28),0,(C7623&gt;='Resultats - informe'!$D$29)*(C7623&lt;='Resultats - informe'!$E$29),0,1,1)</f>
        <v>0</v>
      </c>
      <c r="N7623" s="366">
        <f>+VLOOKUP(D7623,'Resultats - informe'!$Y$18:$AG$42,'Introducció dades consum'!K7623+1,0)</f>
        <v>0</v>
      </c>
      <c r="O7623" s="370" cm="1">
        <f t="array" ref="O7623">+_xlfn.SWITCH(MONTH(C7623),1,1,2,1,3,1,4,2,5,2,6,3,7,3,8,3,9,3,10,2,11,2,12,1,2)</f>
        <v>1</v>
      </c>
      <c r="P7623" s="43"/>
    </row>
    <row r="7624" spans="1:16" ht="18" x14ac:dyDescent="0.35">
      <c r="A7624" s="9"/>
      <c r="C7624" s="393"/>
      <c r="E7624" s="394"/>
      <c r="F7624" s="394"/>
      <c r="G7624" s="394"/>
      <c r="I7624" s="368">
        <f t="shared" si="360"/>
        <v>0</v>
      </c>
      <c r="J7624" s="365">
        <f t="shared" si="361"/>
        <v>0</v>
      </c>
      <c r="K7624" s="369">
        <f t="shared" si="362"/>
        <v>6</v>
      </c>
      <c r="L7624" s="369">
        <f>+IF((C7624&gt;='Resultats - informe'!$E$16)*(C7624&lt;='Resultats - informe'!$G$16),1,0)</f>
        <v>1</v>
      </c>
      <c r="M7624" s="369" cm="1">
        <f t="array" ref="M7624">+_xlfn.IFS((C7624&gt;='Resultats - informe'!$D$26)*(C7624&lt;='Resultats - informe'!$E$26),0,(C7624&gt;='Resultats - informe'!$D$27)*(C7624&lt;='Resultats - informe'!$E$27),0,(C7624&gt;='Resultats - informe'!$D$28)*(C7624&lt;='Resultats - informe'!$E$28),0,(C7624&gt;='Resultats - informe'!$D$29)*(C7624&lt;='Resultats - informe'!$E$29),0,1,1)</f>
        <v>0</v>
      </c>
      <c r="N7624" s="366">
        <f>+VLOOKUP(D7624,'Resultats - informe'!$Y$18:$AG$42,'Introducció dades consum'!K7624+1,0)</f>
        <v>0</v>
      </c>
      <c r="O7624" s="370" cm="1">
        <f t="array" ref="O7624">+_xlfn.SWITCH(MONTH(C7624),1,1,2,1,3,1,4,2,5,2,6,3,7,3,8,3,9,3,10,2,11,2,12,1,2)</f>
        <v>1</v>
      </c>
      <c r="P7624" s="43"/>
    </row>
    <row r="7625" spans="1:16" ht="18" x14ac:dyDescent="0.35">
      <c r="A7625" s="9"/>
      <c r="C7625" s="393"/>
      <c r="E7625" s="394"/>
      <c r="F7625" s="394"/>
      <c r="G7625" s="394"/>
      <c r="I7625" s="368">
        <f t="shared" si="360"/>
        <v>0</v>
      </c>
      <c r="J7625" s="365">
        <f t="shared" si="361"/>
        <v>0</v>
      </c>
      <c r="K7625" s="369">
        <f t="shared" si="362"/>
        <v>6</v>
      </c>
      <c r="L7625" s="369">
        <f>+IF((C7625&gt;='Resultats - informe'!$E$16)*(C7625&lt;='Resultats - informe'!$G$16),1,0)</f>
        <v>1</v>
      </c>
      <c r="M7625" s="369" cm="1">
        <f t="array" ref="M7625">+_xlfn.IFS((C7625&gt;='Resultats - informe'!$D$26)*(C7625&lt;='Resultats - informe'!$E$26),0,(C7625&gt;='Resultats - informe'!$D$27)*(C7625&lt;='Resultats - informe'!$E$27),0,(C7625&gt;='Resultats - informe'!$D$28)*(C7625&lt;='Resultats - informe'!$E$28),0,(C7625&gt;='Resultats - informe'!$D$29)*(C7625&lt;='Resultats - informe'!$E$29),0,1,1)</f>
        <v>0</v>
      </c>
      <c r="N7625" s="366">
        <f>+VLOOKUP(D7625,'Resultats - informe'!$Y$18:$AG$42,'Introducció dades consum'!K7625+1,0)</f>
        <v>0</v>
      </c>
      <c r="O7625" s="370" cm="1">
        <f t="array" ref="O7625">+_xlfn.SWITCH(MONTH(C7625),1,1,2,1,3,1,4,2,5,2,6,3,7,3,8,3,9,3,10,2,11,2,12,1,2)</f>
        <v>1</v>
      </c>
      <c r="P7625" s="43"/>
    </row>
    <row r="7626" spans="1:16" ht="18" x14ac:dyDescent="0.35">
      <c r="A7626" s="9"/>
      <c r="C7626" s="393"/>
      <c r="E7626" s="394"/>
      <c r="F7626" s="394"/>
      <c r="G7626" s="394"/>
      <c r="I7626" s="368">
        <f t="shared" si="360"/>
        <v>0</v>
      </c>
      <c r="J7626" s="365">
        <f t="shared" si="361"/>
        <v>0</v>
      </c>
      <c r="K7626" s="369">
        <f t="shared" si="362"/>
        <v>6</v>
      </c>
      <c r="L7626" s="369">
        <f>+IF((C7626&gt;='Resultats - informe'!$E$16)*(C7626&lt;='Resultats - informe'!$G$16),1,0)</f>
        <v>1</v>
      </c>
      <c r="M7626" s="369" cm="1">
        <f t="array" ref="M7626">+_xlfn.IFS((C7626&gt;='Resultats - informe'!$D$26)*(C7626&lt;='Resultats - informe'!$E$26),0,(C7626&gt;='Resultats - informe'!$D$27)*(C7626&lt;='Resultats - informe'!$E$27),0,(C7626&gt;='Resultats - informe'!$D$28)*(C7626&lt;='Resultats - informe'!$E$28),0,(C7626&gt;='Resultats - informe'!$D$29)*(C7626&lt;='Resultats - informe'!$E$29),0,1,1)</f>
        <v>0</v>
      </c>
      <c r="N7626" s="366">
        <f>+VLOOKUP(D7626,'Resultats - informe'!$Y$18:$AG$42,'Introducció dades consum'!K7626+1,0)</f>
        <v>0</v>
      </c>
      <c r="O7626" s="370" cm="1">
        <f t="array" ref="O7626">+_xlfn.SWITCH(MONTH(C7626),1,1,2,1,3,1,4,2,5,2,6,3,7,3,8,3,9,3,10,2,11,2,12,1,2)</f>
        <v>1</v>
      </c>
      <c r="P7626" s="43"/>
    </row>
    <row r="7627" spans="1:16" ht="18" x14ac:dyDescent="0.35">
      <c r="A7627" s="9"/>
      <c r="C7627" s="393"/>
      <c r="E7627" s="394"/>
      <c r="F7627" s="394"/>
      <c r="G7627" s="394"/>
      <c r="I7627" s="368">
        <f t="shared" si="360"/>
        <v>0</v>
      </c>
      <c r="J7627" s="365">
        <f t="shared" si="361"/>
        <v>0</v>
      </c>
      <c r="K7627" s="369">
        <f t="shared" si="362"/>
        <v>6</v>
      </c>
      <c r="L7627" s="369">
        <f>+IF((C7627&gt;='Resultats - informe'!$E$16)*(C7627&lt;='Resultats - informe'!$G$16),1,0)</f>
        <v>1</v>
      </c>
      <c r="M7627" s="369" cm="1">
        <f t="array" ref="M7627">+_xlfn.IFS((C7627&gt;='Resultats - informe'!$D$26)*(C7627&lt;='Resultats - informe'!$E$26),0,(C7627&gt;='Resultats - informe'!$D$27)*(C7627&lt;='Resultats - informe'!$E$27),0,(C7627&gt;='Resultats - informe'!$D$28)*(C7627&lt;='Resultats - informe'!$E$28),0,(C7627&gt;='Resultats - informe'!$D$29)*(C7627&lt;='Resultats - informe'!$E$29),0,1,1)</f>
        <v>0</v>
      </c>
      <c r="N7627" s="366">
        <f>+VLOOKUP(D7627,'Resultats - informe'!$Y$18:$AG$42,'Introducció dades consum'!K7627+1,0)</f>
        <v>0</v>
      </c>
      <c r="O7627" s="370" cm="1">
        <f t="array" ref="O7627">+_xlfn.SWITCH(MONTH(C7627),1,1,2,1,3,1,4,2,5,2,6,3,7,3,8,3,9,3,10,2,11,2,12,1,2)</f>
        <v>1</v>
      </c>
      <c r="P7627" s="43"/>
    </row>
    <row r="7628" spans="1:16" ht="18" x14ac:dyDescent="0.35">
      <c r="A7628" s="9"/>
      <c r="C7628" s="393"/>
      <c r="E7628" s="394"/>
      <c r="F7628" s="394"/>
      <c r="G7628" s="394"/>
      <c r="I7628" s="368">
        <f t="shared" si="360"/>
        <v>0</v>
      </c>
      <c r="J7628" s="365">
        <f t="shared" si="361"/>
        <v>0</v>
      </c>
      <c r="K7628" s="369">
        <f t="shared" si="362"/>
        <v>6</v>
      </c>
      <c r="L7628" s="369">
        <f>+IF((C7628&gt;='Resultats - informe'!$E$16)*(C7628&lt;='Resultats - informe'!$G$16),1,0)</f>
        <v>1</v>
      </c>
      <c r="M7628" s="369" cm="1">
        <f t="array" ref="M7628">+_xlfn.IFS((C7628&gt;='Resultats - informe'!$D$26)*(C7628&lt;='Resultats - informe'!$E$26),0,(C7628&gt;='Resultats - informe'!$D$27)*(C7628&lt;='Resultats - informe'!$E$27),0,(C7628&gt;='Resultats - informe'!$D$28)*(C7628&lt;='Resultats - informe'!$E$28),0,(C7628&gt;='Resultats - informe'!$D$29)*(C7628&lt;='Resultats - informe'!$E$29),0,1,1)</f>
        <v>0</v>
      </c>
      <c r="N7628" s="366">
        <f>+VLOOKUP(D7628,'Resultats - informe'!$Y$18:$AG$42,'Introducció dades consum'!K7628+1,0)</f>
        <v>0</v>
      </c>
      <c r="O7628" s="370" cm="1">
        <f t="array" ref="O7628">+_xlfn.SWITCH(MONTH(C7628),1,1,2,1,3,1,4,2,5,2,6,3,7,3,8,3,9,3,10,2,11,2,12,1,2)</f>
        <v>1</v>
      </c>
      <c r="P7628" s="43"/>
    </row>
    <row r="7629" spans="1:16" ht="18" x14ac:dyDescent="0.35">
      <c r="A7629" s="9"/>
      <c r="C7629" s="393"/>
      <c r="E7629" s="394"/>
      <c r="F7629" s="394"/>
      <c r="G7629" s="394"/>
      <c r="I7629" s="368">
        <f t="shared" si="360"/>
        <v>0</v>
      </c>
      <c r="J7629" s="365">
        <f t="shared" si="361"/>
        <v>0</v>
      </c>
      <c r="K7629" s="369">
        <f t="shared" si="362"/>
        <v>6</v>
      </c>
      <c r="L7629" s="369">
        <f>+IF((C7629&gt;='Resultats - informe'!$E$16)*(C7629&lt;='Resultats - informe'!$G$16),1,0)</f>
        <v>1</v>
      </c>
      <c r="M7629" s="369" cm="1">
        <f t="array" ref="M7629">+_xlfn.IFS((C7629&gt;='Resultats - informe'!$D$26)*(C7629&lt;='Resultats - informe'!$E$26),0,(C7629&gt;='Resultats - informe'!$D$27)*(C7629&lt;='Resultats - informe'!$E$27),0,(C7629&gt;='Resultats - informe'!$D$28)*(C7629&lt;='Resultats - informe'!$E$28),0,(C7629&gt;='Resultats - informe'!$D$29)*(C7629&lt;='Resultats - informe'!$E$29),0,1,1)</f>
        <v>0</v>
      </c>
      <c r="N7629" s="366">
        <f>+VLOOKUP(D7629,'Resultats - informe'!$Y$18:$AG$42,'Introducció dades consum'!K7629+1,0)</f>
        <v>0</v>
      </c>
      <c r="O7629" s="370" cm="1">
        <f t="array" ref="O7629">+_xlfn.SWITCH(MONTH(C7629),1,1,2,1,3,1,4,2,5,2,6,3,7,3,8,3,9,3,10,2,11,2,12,1,2)</f>
        <v>1</v>
      </c>
      <c r="P7629" s="43"/>
    </row>
    <row r="7630" spans="1:16" ht="18" x14ac:dyDescent="0.35">
      <c r="A7630" s="9"/>
      <c r="C7630" s="393"/>
      <c r="E7630" s="394"/>
      <c r="F7630" s="394"/>
      <c r="G7630" s="394"/>
      <c r="I7630" s="368">
        <f t="shared" si="360"/>
        <v>0</v>
      </c>
      <c r="J7630" s="365">
        <f t="shared" si="361"/>
        <v>0</v>
      </c>
      <c r="K7630" s="369">
        <f t="shared" si="362"/>
        <v>6</v>
      </c>
      <c r="L7630" s="369">
        <f>+IF((C7630&gt;='Resultats - informe'!$E$16)*(C7630&lt;='Resultats - informe'!$G$16),1,0)</f>
        <v>1</v>
      </c>
      <c r="M7630" s="369" cm="1">
        <f t="array" ref="M7630">+_xlfn.IFS((C7630&gt;='Resultats - informe'!$D$26)*(C7630&lt;='Resultats - informe'!$E$26),0,(C7630&gt;='Resultats - informe'!$D$27)*(C7630&lt;='Resultats - informe'!$E$27),0,(C7630&gt;='Resultats - informe'!$D$28)*(C7630&lt;='Resultats - informe'!$E$28),0,(C7630&gt;='Resultats - informe'!$D$29)*(C7630&lt;='Resultats - informe'!$E$29),0,1,1)</f>
        <v>0</v>
      </c>
      <c r="N7630" s="366">
        <f>+VLOOKUP(D7630,'Resultats - informe'!$Y$18:$AG$42,'Introducció dades consum'!K7630+1,0)</f>
        <v>0</v>
      </c>
      <c r="O7630" s="370" cm="1">
        <f t="array" ref="O7630">+_xlfn.SWITCH(MONTH(C7630),1,1,2,1,3,1,4,2,5,2,6,3,7,3,8,3,9,3,10,2,11,2,12,1,2)</f>
        <v>1</v>
      </c>
      <c r="P7630" s="43"/>
    </row>
    <row r="7631" spans="1:16" ht="18" x14ac:dyDescent="0.35">
      <c r="A7631" s="9"/>
      <c r="C7631" s="393"/>
      <c r="E7631" s="394"/>
      <c r="F7631" s="394"/>
      <c r="G7631" s="394"/>
      <c r="I7631" s="368">
        <f t="shared" si="360"/>
        <v>0</v>
      </c>
      <c r="J7631" s="365">
        <f t="shared" si="361"/>
        <v>0</v>
      </c>
      <c r="K7631" s="369">
        <f t="shared" si="362"/>
        <v>6</v>
      </c>
      <c r="L7631" s="369">
        <f>+IF((C7631&gt;='Resultats - informe'!$E$16)*(C7631&lt;='Resultats - informe'!$G$16),1,0)</f>
        <v>1</v>
      </c>
      <c r="M7631" s="369" cm="1">
        <f t="array" ref="M7631">+_xlfn.IFS((C7631&gt;='Resultats - informe'!$D$26)*(C7631&lt;='Resultats - informe'!$E$26),0,(C7631&gt;='Resultats - informe'!$D$27)*(C7631&lt;='Resultats - informe'!$E$27),0,(C7631&gt;='Resultats - informe'!$D$28)*(C7631&lt;='Resultats - informe'!$E$28),0,(C7631&gt;='Resultats - informe'!$D$29)*(C7631&lt;='Resultats - informe'!$E$29),0,1,1)</f>
        <v>0</v>
      </c>
      <c r="N7631" s="366">
        <f>+VLOOKUP(D7631,'Resultats - informe'!$Y$18:$AG$42,'Introducció dades consum'!K7631+1,0)</f>
        <v>0</v>
      </c>
      <c r="O7631" s="370" cm="1">
        <f t="array" ref="O7631">+_xlfn.SWITCH(MONTH(C7631),1,1,2,1,3,1,4,2,5,2,6,3,7,3,8,3,9,3,10,2,11,2,12,1,2)</f>
        <v>1</v>
      </c>
      <c r="P7631" s="43"/>
    </row>
    <row r="7632" spans="1:16" ht="18" x14ac:dyDescent="0.35">
      <c r="A7632" s="9"/>
      <c r="C7632" s="393"/>
      <c r="E7632" s="394"/>
      <c r="F7632" s="394"/>
      <c r="G7632" s="394"/>
      <c r="I7632" s="368">
        <f t="shared" si="360"/>
        <v>0</v>
      </c>
      <c r="J7632" s="365">
        <f t="shared" si="361"/>
        <v>0</v>
      </c>
      <c r="K7632" s="369">
        <f t="shared" si="362"/>
        <v>6</v>
      </c>
      <c r="L7632" s="369">
        <f>+IF((C7632&gt;='Resultats - informe'!$E$16)*(C7632&lt;='Resultats - informe'!$G$16),1,0)</f>
        <v>1</v>
      </c>
      <c r="M7632" s="369" cm="1">
        <f t="array" ref="M7632">+_xlfn.IFS((C7632&gt;='Resultats - informe'!$D$26)*(C7632&lt;='Resultats - informe'!$E$26),0,(C7632&gt;='Resultats - informe'!$D$27)*(C7632&lt;='Resultats - informe'!$E$27),0,(C7632&gt;='Resultats - informe'!$D$28)*(C7632&lt;='Resultats - informe'!$E$28),0,(C7632&gt;='Resultats - informe'!$D$29)*(C7632&lt;='Resultats - informe'!$E$29),0,1,1)</f>
        <v>0</v>
      </c>
      <c r="N7632" s="366">
        <f>+VLOOKUP(D7632,'Resultats - informe'!$Y$18:$AG$42,'Introducció dades consum'!K7632+1,0)</f>
        <v>0</v>
      </c>
      <c r="O7632" s="370" cm="1">
        <f t="array" ref="O7632">+_xlfn.SWITCH(MONTH(C7632),1,1,2,1,3,1,4,2,5,2,6,3,7,3,8,3,9,3,10,2,11,2,12,1,2)</f>
        <v>1</v>
      </c>
      <c r="P7632" s="43"/>
    </row>
    <row r="7633" spans="1:16" ht="18" x14ac:dyDescent="0.35">
      <c r="A7633" s="9"/>
      <c r="C7633" s="393"/>
      <c r="E7633" s="394"/>
      <c r="F7633" s="394"/>
      <c r="G7633" s="394"/>
      <c r="I7633" s="368">
        <f t="shared" si="360"/>
        <v>0</v>
      </c>
      <c r="J7633" s="365">
        <f t="shared" si="361"/>
        <v>0</v>
      </c>
      <c r="K7633" s="369">
        <f t="shared" si="362"/>
        <v>6</v>
      </c>
      <c r="L7633" s="369">
        <f>+IF((C7633&gt;='Resultats - informe'!$E$16)*(C7633&lt;='Resultats - informe'!$G$16),1,0)</f>
        <v>1</v>
      </c>
      <c r="M7633" s="369" cm="1">
        <f t="array" ref="M7633">+_xlfn.IFS((C7633&gt;='Resultats - informe'!$D$26)*(C7633&lt;='Resultats - informe'!$E$26),0,(C7633&gt;='Resultats - informe'!$D$27)*(C7633&lt;='Resultats - informe'!$E$27),0,(C7633&gt;='Resultats - informe'!$D$28)*(C7633&lt;='Resultats - informe'!$E$28),0,(C7633&gt;='Resultats - informe'!$D$29)*(C7633&lt;='Resultats - informe'!$E$29),0,1,1)</f>
        <v>0</v>
      </c>
      <c r="N7633" s="366">
        <f>+VLOOKUP(D7633,'Resultats - informe'!$Y$18:$AG$42,'Introducció dades consum'!K7633+1,0)</f>
        <v>0</v>
      </c>
      <c r="O7633" s="370" cm="1">
        <f t="array" ref="O7633">+_xlfn.SWITCH(MONTH(C7633),1,1,2,1,3,1,4,2,5,2,6,3,7,3,8,3,9,3,10,2,11,2,12,1,2)</f>
        <v>1</v>
      </c>
      <c r="P7633" s="43"/>
    </row>
    <row r="7634" spans="1:16" ht="18" x14ac:dyDescent="0.35">
      <c r="A7634" s="9"/>
      <c r="C7634" s="393"/>
      <c r="E7634" s="394"/>
      <c r="F7634" s="394"/>
      <c r="G7634" s="394"/>
      <c r="I7634" s="368">
        <f t="shared" ref="I7634:I7697" si="363">+E7634+G7634</f>
        <v>0</v>
      </c>
      <c r="J7634" s="365">
        <f t="shared" ref="J7634:J7697" si="364">+C7634</f>
        <v>0</v>
      </c>
      <c r="K7634" s="369">
        <f t="shared" ref="K7634:K7697" si="365">+WEEKDAY(C7634,2)</f>
        <v>6</v>
      </c>
      <c r="L7634" s="369">
        <f>+IF((C7634&gt;='Resultats - informe'!$E$16)*(C7634&lt;='Resultats - informe'!$G$16),1,0)</f>
        <v>1</v>
      </c>
      <c r="M7634" s="369" cm="1">
        <f t="array" ref="M7634">+_xlfn.IFS((C7634&gt;='Resultats - informe'!$D$26)*(C7634&lt;='Resultats - informe'!$E$26),0,(C7634&gt;='Resultats - informe'!$D$27)*(C7634&lt;='Resultats - informe'!$E$27),0,(C7634&gt;='Resultats - informe'!$D$28)*(C7634&lt;='Resultats - informe'!$E$28),0,(C7634&gt;='Resultats - informe'!$D$29)*(C7634&lt;='Resultats - informe'!$E$29),0,1,1)</f>
        <v>0</v>
      </c>
      <c r="N7634" s="366">
        <f>+VLOOKUP(D7634,'Resultats - informe'!$Y$18:$AG$42,'Introducció dades consum'!K7634+1,0)</f>
        <v>0</v>
      </c>
      <c r="O7634" s="370" cm="1">
        <f t="array" ref="O7634">+_xlfn.SWITCH(MONTH(C7634),1,1,2,1,3,1,4,2,5,2,6,3,7,3,8,3,9,3,10,2,11,2,12,1,2)</f>
        <v>1</v>
      </c>
      <c r="P7634" s="43"/>
    </row>
    <row r="7635" spans="1:16" ht="18" x14ac:dyDescent="0.35">
      <c r="A7635" s="9"/>
      <c r="C7635" s="393"/>
      <c r="E7635" s="394"/>
      <c r="F7635" s="394"/>
      <c r="G7635" s="394"/>
      <c r="I7635" s="368">
        <f t="shared" si="363"/>
        <v>0</v>
      </c>
      <c r="J7635" s="365">
        <f t="shared" si="364"/>
        <v>0</v>
      </c>
      <c r="K7635" s="369">
        <f t="shared" si="365"/>
        <v>6</v>
      </c>
      <c r="L7635" s="369">
        <f>+IF((C7635&gt;='Resultats - informe'!$E$16)*(C7635&lt;='Resultats - informe'!$G$16),1,0)</f>
        <v>1</v>
      </c>
      <c r="M7635" s="369" cm="1">
        <f t="array" ref="M7635">+_xlfn.IFS((C7635&gt;='Resultats - informe'!$D$26)*(C7635&lt;='Resultats - informe'!$E$26),0,(C7635&gt;='Resultats - informe'!$D$27)*(C7635&lt;='Resultats - informe'!$E$27),0,(C7635&gt;='Resultats - informe'!$D$28)*(C7635&lt;='Resultats - informe'!$E$28),0,(C7635&gt;='Resultats - informe'!$D$29)*(C7635&lt;='Resultats - informe'!$E$29),0,1,1)</f>
        <v>0</v>
      </c>
      <c r="N7635" s="366">
        <f>+VLOOKUP(D7635,'Resultats - informe'!$Y$18:$AG$42,'Introducció dades consum'!K7635+1,0)</f>
        <v>0</v>
      </c>
      <c r="O7635" s="370" cm="1">
        <f t="array" ref="O7635">+_xlfn.SWITCH(MONTH(C7635),1,1,2,1,3,1,4,2,5,2,6,3,7,3,8,3,9,3,10,2,11,2,12,1,2)</f>
        <v>1</v>
      </c>
      <c r="P7635" s="43"/>
    </row>
    <row r="7636" spans="1:16" ht="18" x14ac:dyDescent="0.35">
      <c r="A7636" s="9"/>
      <c r="C7636" s="393"/>
      <c r="E7636" s="394"/>
      <c r="F7636" s="394"/>
      <c r="G7636" s="394"/>
      <c r="I7636" s="368">
        <f t="shared" si="363"/>
        <v>0</v>
      </c>
      <c r="J7636" s="365">
        <f t="shared" si="364"/>
        <v>0</v>
      </c>
      <c r="K7636" s="369">
        <f t="shared" si="365"/>
        <v>6</v>
      </c>
      <c r="L7636" s="369">
        <f>+IF((C7636&gt;='Resultats - informe'!$E$16)*(C7636&lt;='Resultats - informe'!$G$16),1,0)</f>
        <v>1</v>
      </c>
      <c r="M7636" s="369" cm="1">
        <f t="array" ref="M7636">+_xlfn.IFS((C7636&gt;='Resultats - informe'!$D$26)*(C7636&lt;='Resultats - informe'!$E$26),0,(C7636&gt;='Resultats - informe'!$D$27)*(C7636&lt;='Resultats - informe'!$E$27),0,(C7636&gt;='Resultats - informe'!$D$28)*(C7636&lt;='Resultats - informe'!$E$28),0,(C7636&gt;='Resultats - informe'!$D$29)*(C7636&lt;='Resultats - informe'!$E$29),0,1,1)</f>
        <v>0</v>
      </c>
      <c r="N7636" s="366">
        <f>+VLOOKUP(D7636,'Resultats - informe'!$Y$18:$AG$42,'Introducció dades consum'!K7636+1,0)</f>
        <v>0</v>
      </c>
      <c r="O7636" s="370" cm="1">
        <f t="array" ref="O7636">+_xlfn.SWITCH(MONTH(C7636),1,1,2,1,3,1,4,2,5,2,6,3,7,3,8,3,9,3,10,2,11,2,12,1,2)</f>
        <v>1</v>
      </c>
      <c r="P7636" s="43"/>
    </row>
    <row r="7637" spans="1:16" ht="18" x14ac:dyDescent="0.35">
      <c r="A7637" s="9"/>
      <c r="C7637" s="393"/>
      <c r="E7637" s="394"/>
      <c r="F7637" s="394"/>
      <c r="G7637" s="394"/>
      <c r="I7637" s="368">
        <f t="shared" si="363"/>
        <v>0</v>
      </c>
      <c r="J7637" s="365">
        <f t="shared" si="364"/>
        <v>0</v>
      </c>
      <c r="K7637" s="369">
        <f t="shared" si="365"/>
        <v>6</v>
      </c>
      <c r="L7637" s="369">
        <f>+IF((C7637&gt;='Resultats - informe'!$E$16)*(C7637&lt;='Resultats - informe'!$G$16),1,0)</f>
        <v>1</v>
      </c>
      <c r="M7637" s="369" cm="1">
        <f t="array" ref="M7637">+_xlfn.IFS((C7637&gt;='Resultats - informe'!$D$26)*(C7637&lt;='Resultats - informe'!$E$26),0,(C7637&gt;='Resultats - informe'!$D$27)*(C7637&lt;='Resultats - informe'!$E$27),0,(C7637&gt;='Resultats - informe'!$D$28)*(C7637&lt;='Resultats - informe'!$E$28),0,(C7637&gt;='Resultats - informe'!$D$29)*(C7637&lt;='Resultats - informe'!$E$29),0,1,1)</f>
        <v>0</v>
      </c>
      <c r="N7637" s="366">
        <f>+VLOOKUP(D7637,'Resultats - informe'!$Y$18:$AG$42,'Introducció dades consum'!K7637+1,0)</f>
        <v>0</v>
      </c>
      <c r="O7637" s="370" cm="1">
        <f t="array" ref="O7637">+_xlfn.SWITCH(MONTH(C7637),1,1,2,1,3,1,4,2,5,2,6,3,7,3,8,3,9,3,10,2,11,2,12,1,2)</f>
        <v>1</v>
      </c>
      <c r="P7637" s="43"/>
    </row>
    <row r="7638" spans="1:16" ht="18" x14ac:dyDescent="0.35">
      <c r="A7638" s="9"/>
      <c r="C7638" s="393"/>
      <c r="E7638" s="394"/>
      <c r="F7638" s="394"/>
      <c r="G7638" s="394"/>
      <c r="I7638" s="368">
        <f t="shared" si="363"/>
        <v>0</v>
      </c>
      <c r="J7638" s="365">
        <f t="shared" si="364"/>
        <v>0</v>
      </c>
      <c r="K7638" s="369">
        <f t="shared" si="365"/>
        <v>6</v>
      </c>
      <c r="L7638" s="369">
        <f>+IF((C7638&gt;='Resultats - informe'!$E$16)*(C7638&lt;='Resultats - informe'!$G$16),1,0)</f>
        <v>1</v>
      </c>
      <c r="M7638" s="369" cm="1">
        <f t="array" ref="M7638">+_xlfn.IFS((C7638&gt;='Resultats - informe'!$D$26)*(C7638&lt;='Resultats - informe'!$E$26),0,(C7638&gt;='Resultats - informe'!$D$27)*(C7638&lt;='Resultats - informe'!$E$27),0,(C7638&gt;='Resultats - informe'!$D$28)*(C7638&lt;='Resultats - informe'!$E$28),0,(C7638&gt;='Resultats - informe'!$D$29)*(C7638&lt;='Resultats - informe'!$E$29),0,1,1)</f>
        <v>0</v>
      </c>
      <c r="N7638" s="366">
        <f>+VLOOKUP(D7638,'Resultats - informe'!$Y$18:$AG$42,'Introducció dades consum'!K7638+1,0)</f>
        <v>0</v>
      </c>
      <c r="O7638" s="370" cm="1">
        <f t="array" ref="O7638">+_xlfn.SWITCH(MONTH(C7638),1,1,2,1,3,1,4,2,5,2,6,3,7,3,8,3,9,3,10,2,11,2,12,1,2)</f>
        <v>1</v>
      </c>
      <c r="P7638" s="43"/>
    </row>
    <row r="7639" spans="1:16" ht="18" x14ac:dyDescent="0.35">
      <c r="A7639" s="9"/>
      <c r="C7639" s="393"/>
      <c r="E7639" s="394"/>
      <c r="F7639" s="394"/>
      <c r="G7639" s="394"/>
      <c r="I7639" s="368">
        <f t="shared" si="363"/>
        <v>0</v>
      </c>
      <c r="J7639" s="365">
        <f t="shared" si="364"/>
        <v>0</v>
      </c>
      <c r="K7639" s="369">
        <f t="shared" si="365"/>
        <v>6</v>
      </c>
      <c r="L7639" s="369">
        <f>+IF((C7639&gt;='Resultats - informe'!$E$16)*(C7639&lt;='Resultats - informe'!$G$16),1,0)</f>
        <v>1</v>
      </c>
      <c r="M7639" s="369" cm="1">
        <f t="array" ref="M7639">+_xlfn.IFS((C7639&gt;='Resultats - informe'!$D$26)*(C7639&lt;='Resultats - informe'!$E$26),0,(C7639&gt;='Resultats - informe'!$D$27)*(C7639&lt;='Resultats - informe'!$E$27),0,(C7639&gt;='Resultats - informe'!$D$28)*(C7639&lt;='Resultats - informe'!$E$28),0,(C7639&gt;='Resultats - informe'!$D$29)*(C7639&lt;='Resultats - informe'!$E$29),0,1,1)</f>
        <v>0</v>
      </c>
      <c r="N7639" s="366">
        <f>+VLOOKUP(D7639,'Resultats - informe'!$Y$18:$AG$42,'Introducció dades consum'!K7639+1,0)</f>
        <v>0</v>
      </c>
      <c r="O7639" s="370" cm="1">
        <f t="array" ref="O7639">+_xlfn.SWITCH(MONTH(C7639),1,1,2,1,3,1,4,2,5,2,6,3,7,3,8,3,9,3,10,2,11,2,12,1,2)</f>
        <v>1</v>
      </c>
      <c r="P7639" s="43"/>
    </row>
    <row r="7640" spans="1:16" ht="18" x14ac:dyDescent="0.35">
      <c r="A7640" s="9"/>
      <c r="C7640" s="393"/>
      <c r="E7640" s="394"/>
      <c r="F7640" s="394"/>
      <c r="G7640" s="394"/>
      <c r="I7640" s="368">
        <f t="shared" si="363"/>
        <v>0</v>
      </c>
      <c r="J7640" s="365">
        <f t="shared" si="364"/>
        <v>0</v>
      </c>
      <c r="K7640" s="369">
        <f t="shared" si="365"/>
        <v>6</v>
      </c>
      <c r="L7640" s="369">
        <f>+IF((C7640&gt;='Resultats - informe'!$E$16)*(C7640&lt;='Resultats - informe'!$G$16),1,0)</f>
        <v>1</v>
      </c>
      <c r="M7640" s="369" cm="1">
        <f t="array" ref="M7640">+_xlfn.IFS((C7640&gt;='Resultats - informe'!$D$26)*(C7640&lt;='Resultats - informe'!$E$26),0,(C7640&gt;='Resultats - informe'!$D$27)*(C7640&lt;='Resultats - informe'!$E$27),0,(C7640&gt;='Resultats - informe'!$D$28)*(C7640&lt;='Resultats - informe'!$E$28),0,(C7640&gt;='Resultats - informe'!$D$29)*(C7640&lt;='Resultats - informe'!$E$29),0,1,1)</f>
        <v>0</v>
      </c>
      <c r="N7640" s="366">
        <f>+VLOOKUP(D7640,'Resultats - informe'!$Y$18:$AG$42,'Introducció dades consum'!K7640+1,0)</f>
        <v>0</v>
      </c>
      <c r="O7640" s="370" cm="1">
        <f t="array" ref="O7640">+_xlfn.SWITCH(MONTH(C7640),1,1,2,1,3,1,4,2,5,2,6,3,7,3,8,3,9,3,10,2,11,2,12,1,2)</f>
        <v>1</v>
      </c>
      <c r="P7640" s="43"/>
    </row>
    <row r="7641" spans="1:16" ht="18" x14ac:dyDescent="0.35">
      <c r="A7641" s="9"/>
      <c r="C7641" s="393"/>
      <c r="E7641" s="394"/>
      <c r="F7641" s="394"/>
      <c r="G7641" s="394"/>
      <c r="I7641" s="368">
        <f t="shared" si="363"/>
        <v>0</v>
      </c>
      <c r="J7641" s="365">
        <f t="shared" si="364"/>
        <v>0</v>
      </c>
      <c r="K7641" s="369">
        <f t="shared" si="365"/>
        <v>6</v>
      </c>
      <c r="L7641" s="369">
        <f>+IF((C7641&gt;='Resultats - informe'!$E$16)*(C7641&lt;='Resultats - informe'!$G$16),1,0)</f>
        <v>1</v>
      </c>
      <c r="M7641" s="369" cm="1">
        <f t="array" ref="M7641">+_xlfn.IFS((C7641&gt;='Resultats - informe'!$D$26)*(C7641&lt;='Resultats - informe'!$E$26),0,(C7641&gt;='Resultats - informe'!$D$27)*(C7641&lt;='Resultats - informe'!$E$27),0,(C7641&gt;='Resultats - informe'!$D$28)*(C7641&lt;='Resultats - informe'!$E$28),0,(C7641&gt;='Resultats - informe'!$D$29)*(C7641&lt;='Resultats - informe'!$E$29),0,1,1)</f>
        <v>0</v>
      </c>
      <c r="N7641" s="366">
        <f>+VLOOKUP(D7641,'Resultats - informe'!$Y$18:$AG$42,'Introducció dades consum'!K7641+1,0)</f>
        <v>0</v>
      </c>
      <c r="O7641" s="370" cm="1">
        <f t="array" ref="O7641">+_xlfn.SWITCH(MONTH(C7641),1,1,2,1,3,1,4,2,5,2,6,3,7,3,8,3,9,3,10,2,11,2,12,1,2)</f>
        <v>1</v>
      </c>
      <c r="P7641" s="43"/>
    </row>
    <row r="7642" spans="1:16" ht="18" x14ac:dyDescent="0.35">
      <c r="A7642" s="9"/>
      <c r="C7642" s="393"/>
      <c r="E7642" s="394"/>
      <c r="F7642" s="394"/>
      <c r="G7642" s="394"/>
      <c r="I7642" s="368">
        <f t="shared" si="363"/>
        <v>0</v>
      </c>
      <c r="J7642" s="365">
        <f t="shared" si="364"/>
        <v>0</v>
      </c>
      <c r="K7642" s="369">
        <f t="shared" si="365"/>
        <v>6</v>
      </c>
      <c r="L7642" s="369">
        <f>+IF((C7642&gt;='Resultats - informe'!$E$16)*(C7642&lt;='Resultats - informe'!$G$16),1,0)</f>
        <v>1</v>
      </c>
      <c r="M7642" s="369" cm="1">
        <f t="array" ref="M7642">+_xlfn.IFS((C7642&gt;='Resultats - informe'!$D$26)*(C7642&lt;='Resultats - informe'!$E$26),0,(C7642&gt;='Resultats - informe'!$D$27)*(C7642&lt;='Resultats - informe'!$E$27),0,(C7642&gt;='Resultats - informe'!$D$28)*(C7642&lt;='Resultats - informe'!$E$28),0,(C7642&gt;='Resultats - informe'!$D$29)*(C7642&lt;='Resultats - informe'!$E$29),0,1,1)</f>
        <v>0</v>
      </c>
      <c r="N7642" s="366">
        <f>+VLOOKUP(D7642,'Resultats - informe'!$Y$18:$AG$42,'Introducció dades consum'!K7642+1,0)</f>
        <v>0</v>
      </c>
      <c r="O7642" s="370" cm="1">
        <f t="array" ref="O7642">+_xlfn.SWITCH(MONTH(C7642),1,1,2,1,3,1,4,2,5,2,6,3,7,3,8,3,9,3,10,2,11,2,12,1,2)</f>
        <v>1</v>
      </c>
      <c r="P7642" s="43"/>
    </row>
    <row r="7643" spans="1:16" ht="18" x14ac:dyDescent="0.35">
      <c r="A7643" s="9"/>
      <c r="C7643" s="393"/>
      <c r="E7643" s="394"/>
      <c r="F7643" s="394"/>
      <c r="G7643" s="394"/>
      <c r="I7643" s="368">
        <f t="shared" si="363"/>
        <v>0</v>
      </c>
      <c r="J7643" s="365">
        <f t="shared" si="364"/>
        <v>0</v>
      </c>
      <c r="K7643" s="369">
        <f t="shared" si="365"/>
        <v>6</v>
      </c>
      <c r="L7643" s="369">
        <f>+IF((C7643&gt;='Resultats - informe'!$E$16)*(C7643&lt;='Resultats - informe'!$G$16),1,0)</f>
        <v>1</v>
      </c>
      <c r="M7643" s="369" cm="1">
        <f t="array" ref="M7643">+_xlfn.IFS((C7643&gt;='Resultats - informe'!$D$26)*(C7643&lt;='Resultats - informe'!$E$26),0,(C7643&gt;='Resultats - informe'!$D$27)*(C7643&lt;='Resultats - informe'!$E$27),0,(C7643&gt;='Resultats - informe'!$D$28)*(C7643&lt;='Resultats - informe'!$E$28),0,(C7643&gt;='Resultats - informe'!$D$29)*(C7643&lt;='Resultats - informe'!$E$29),0,1,1)</f>
        <v>0</v>
      </c>
      <c r="N7643" s="366">
        <f>+VLOOKUP(D7643,'Resultats - informe'!$Y$18:$AG$42,'Introducció dades consum'!K7643+1,0)</f>
        <v>0</v>
      </c>
      <c r="O7643" s="370" cm="1">
        <f t="array" ref="O7643">+_xlfn.SWITCH(MONTH(C7643),1,1,2,1,3,1,4,2,5,2,6,3,7,3,8,3,9,3,10,2,11,2,12,1,2)</f>
        <v>1</v>
      </c>
      <c r="P7643" s="43"/>
    </row>
    <row r="7644" spans="1:16" ht="18" x14ac:dyDescent="0.35">
      <c r="A7644" s="9"/>
      <c r="C7644" s="393"/>
      <c r="E7644" s="394"/>
      <c r="F7644" s="394"/>
      <c r="G7644" s="394"/>
      <c r="I7644" s="368">
        <f t="shared" si="363"/>
        <v>0</v>
      </c>
      <c r="J7644" s="365">
        <f t="shared" si="364"/>
        <v>0</v>
      </c>
      <c r="K7644" s="369">
        <f t="shared" si="365"/>
        <v>6</v>
      </c>
      <c r="L7644" s="369">
        <f>+IF((C7644&gt;='Resultats - informe'!$E$16)*(C7644&lt;='Resultats - informe'!$G$16),1,0)</f>
        <v>1</v>
      </c>
      <c r="M7644" s="369" cm="1">
        <f t="array" ref="M7644">+_xlfn.IFS((C7644&gt;='Resultats - informe'!$D$26)*(C7644&lt;='Resultats - informe'!$E$26),0,(C7644&gt;='Resultats - informe'!$D$27)*(C7644&lt;='Resultats - informe'!$E$27),0,(C7644&gt;='Resultats - informe'!$D$28)*(C7644&lt;='Resultats - informe'!$E$28),0,(C7644&gt;='Resultats - informe'!$D$29)*(C7644&lt;='Resultats - informe'!$E$29),0,1,1)</f>
        <v>0</v>
      </c>
      <c r="N7644" s="366">
        <f>+VLOOKUP(D7644,'Resultats - informe'!$Y$18:$AG$42,'Introducció dades consum'!K7644+1,0)</f>
        <v>0</v>
      </c>
      <c r="O7644" s="370" cm="1">
        <f t="array" ref="O7644">+_xlfn.SWITCH(MONTH(C7644),1,1,2,1,3,1,4,2,5,2,6,3,7,3,8,3,9,3,10,2,11,2,12,1,2)</f>
        <v>1</v>
      </c>
      <c r="P7644" s="43"/>
    </row>
    <row r="7645" spans="1:16" ht="18" x14ac:dyDescent="0.35">
      <c r="A7645" s="9"/>
      <c r="C7645" s="393"/>
      <c r="E7645" s="394"/>
      <c r="F7645" s="394"/>
      <c r="G7645" s="394"/>
      <c r="I7645" s="368">
        <f t="shared" si="363"/>
        <v>0</v>
      </c>
      <c r="J7645" s="365">
        <f t="shared" si="364"/>
        <v>0</v>
      </c>
      <c r="K7645" s="369">
        <f t="shared" si="365"/>
        <v>6</v>
      </c>
      <c r="L7645" s="369">
        <f>+IF((C7645&gt;='Resultats - informe'!$E$16)*(C7645&lt;='Resultats - informe'!$G$16),1,0)</f>
        <v>1</v>
      </c>
      <c r="M7645" s="369" cm="1">
        <f t="array" ref="M7645">+_xlfn.IFS((C7645&gt;='Resultats - informe'!$D$26)*(C7645&lt;='Resultats - informe'!$E$26),0,(C7645&gt;='Resultats - informe'!$D$27)*(C7645&lt;='Resultats - informe'!$E$27),0,(C7645&gt;='Resultats - informe'!$D$28)*(C7645&lt;='Resultats - informe'!$E$28),0,(C7645&gt;='Resultats - informe'!$D$29)*(C7645&lt;='Resultats - informe'!$E$29),0,1,1)</f>
        <v>0</v>
      </c>
      <c r="N7645" s="366">
        <f>+VLOOKUP(D7645,'Resultats - informe'!$Y$18:$AG$42,'Introducció dades consum'!K7645+1,0)</f>
        <v>0</v>
      </c>
      <c r="O7645" s="370" cm="1">
        <f t="array" ref="O7645">+_xlfn.SWITCH(MONTH(C7645),1,1,2,1,3,1,4,2,5,2,6,3,7,3,8,3,9,3,10,2,11,2,12,1,2)</f>
        <v>1</v>
      </c>
      <c r="P7645" s="43"/>
    </row>
    <row r="7646" spans="1:16" ht="18" x14ac:dyDescent="0.35">
      <c r="A7646" s="9"/>
      <c r="C7646" s="393"/>
      <c r="E7646" s="394"/>
      <c r="F7646" s="394"/>
      <c r="G7646" s="394"/>
      <c r="I7646" s="368">
        <f t="shared" si="363"/>
        <v>0</v>
      </c>
      <c r="J7646" s="365">
        <f t="shared" si="364"/>
        <v>0</v>
      </c>
      <c r="K7646" s="369">
        <f t="shared" si="365"/>
        <v>6</v>
      </c>
      <c r="L7646" s="369">
        <f>+IF((C7646&gt;='Resultats - informe'!$E$16)*(C7646&lt;='Resultats - informe'!$G$16),1,0)</f>
        <v>1</v>
      </c>
      <c r="M7646" s="369" cm="1">
        <f t="array" ref="M7646">+_xlfn.IFS((C7646&gt;='Resultats - informe'!$D$26)*(C7646&lt;='Resultats - informe'!$E$26),0,(C7646&gt;='Resultats - informe'!$D$27)*(C7646&lt;='Resultats - informe'!$E$27),0,(C7646&gt;='Resultats - informe'!$D$28)*(C7646&lt;='Resultats - informe'!$E$28),0,(C7646&gt;='Resultats - informe'!$D$29)*(C7646&lt;='Resultats - informe'!$E$29),0,1,1)</f>
        <v>0</v>
      </c>
      <c r="N7646" s="366">
        <f>+VLOOKUP(D7646,'Resultats - informe'!$Y$18:$AG$42,'Introducció dades consum'!K7646+1,0)</f>
        <v>0</v>
      </c>
      <c r="O7646" s="370" cm="1">
        <f t="array" ref="O7646">+_xlfn.SWITCH(MONTH(C7646),1,1,2,1,3,1,4,2,5,2,6,3,7,3,8,3,9,3,10,2,11,2,12,1,2)</f>
        <v>1</v>
      </c>
      <c r="P7646" s="43"/>
    </row>
    <row r="7647" spans="1:16" ht="18" x14ac:dyDescent="0.35">
      <c r="A7647" s="9"/>
      <c r="C7647" s="393"/>
      <c r="E7647" s="394"/>
      <c r="F7647" s="394"/>
      <c r="G7647" s="394"/>
      <c r="I7647" s="368">
        <f t="shared" si="363"/>
        <v>0</v>
      </c>
      <c r="J7647" s="365">
        <f t="shared" si="364"/>
        <v>0</v>
      </c>
      <c r="K7647" s="369">
        <f t="shared" si="365"/>
        <v>6</v>
      </c>
      <c r="L7647" s="369">
        <f>+IF((C7647&gt;='Resultats - informe'!$E$16)*(C7647&lt;='Resultats - informe'!$G$16),1,0)</f>
        <v>1</v>
      </c>
      <c r="M7647" s="369" cm="1">
        <f t="array" ref="M7647">+_xlfn.IFS((C7647&gt;='Resultats - informe'!$D$26)*(C7647&lt;='Resultats - informe'!$E$26),0,(C7647&gt;='Resultats - informe'!$D$27)*(C7647&lt;='Resultats - informe'!$E$27),0,(C7647&gt;='Resultats - informe'!$D$28)*(C7647&lt;='Resultats - informe'!$E$28),0,(C7647&gt;='Resultats - informe'!$D$29)*(C7647&lt;='Resultats - informe'!$E$29),0,1,1)</f>
        <v>0</v>
      </c>
      <c r="N7647" s="366">
        <f>+VLOOKUP(D7647,'Resultats - informe'!$Y$18:$AG$42,'Introducció dades consum'!K7647+1,0)</f>
        <v>0</v>
      </c>
      <c r="O7647" s="370" cm="1">
        <f t="array" ref="O7647">+_xlfn.SWITCH(MONTH(C7647),1,1,2,1,3,1,4,2,5,2,6,3,7,3,8,3,9,3,10,2,11,2,12,1,2)</f>
        <v>1</v>
      </c>
      <c r="P7647" s="43"/>
    </row>
    <row r="7648" spans="1:16" ht="18" x14ac:dyDescent="0.35">
      <c r="A7648" s="9"/>
      <c r="C7648" s="393"/>
      <c r="E7648" s="394"/>
      <c r="F7648" s="394"/>
      <c r="G7648" s="394"/>
      <c r="I7648" s="368">
        <f t="shared" si="363"/>
        <v>0</v>
      </c>
      <c r="J7648" s="365">
        <f t="shared" si="364"/>
        <v>0</v>
      </c>
      <c r="K7648" s="369">
        <f t="shared" si="365"/>
        <v>6</v>
      </c>
      <c r="L7648" s="369">
        <f>+IF((C7648&gt;='Resultats - informe'!$E$16)*(C7648&lt;='Resultats - informe'!$G$16),1,0)</f>
        <v>1</v>
      </c>
      <c r="M7648" s="369" cm="1">
        <f t="array" ref="M7648">+_xlfn.IFS((C7648&gt;='Resultats - informe'!$D$26)*(C7648&lt;='Resultats - informe'!$E$26),0,(C7648&gt;='Resultats - informe'!$D$27)*(C7648&lt;='Resultats - informe'!$E$27),0,(C7648&gt;='Resultats - informe'!$D$28)*(C7648&lt;='Resultats - informe'!$E$28),0,(C7648&gt;='Resultats - informe'!$D$29)*(C7648&lt;='Resultats - informe'!$E$29),0,1,1)</f>
        <v>0</v>
      </c>
      <c r="N7648" s="366">
        <f>+VLOOKUP(D7648,'Resultats - informe'!$Y$18:$AG$42,'Introducció dades consum'!K7648+1,0)</f>
        <v>0</v>
      </c>
      <c r="O7648" s="370" cm="1">
        <f t="array" ref="O7648">+_xlfn.SWITCH(MONTH(C7648),1,1,2,1,3,1,4,2,5,2,6,3,7,3,8,3,9,3,10,2,11,2,12,1,2)</f>
        <v>1</v>
      </c>
      <c r="P7648" s="43"/>
    </row>
    <row r="7649" spans="1:16" ht="18" x14ac:dyDescent="0.35">
      <c r="A7649" s="9"/>
      <c r="C7649" s="393"/>
      <c r="E7649" s="394"/>
      <c r="F7649" s="394"/>
      <c r="G7649" s="394"/>
      <c r="I7649" s="368">
        <f t="shared" si="363"/>
        <v>0</v>
      </c>
      <c r="J7649" s="365">
        <f t="shared" si="364"/>
        <v>0</v>
      </c>
      <c r="K7649" s="369">
        <f t="shared" si="365"/>
        <v>6</v>
      </c>
      <c r="L7649" s="369">
        <f>+IF((C7649&gt;='Resultats - informe'!$E$16)*(C7649&lt;='Resultats - informe'!$G$16),1,0)</f>
        <v>1</v>
      </c>
      <c r="M7649" s="369" cm="1">
        <f t="array" ref="M7649">+_xlfn.IFS((C7649&gt;='Resultats - informe'!$D$26)*(C7649&lt;='Resultats - informe'!$E$26),0,(C7649&gt;='Resultats - informe'!$D$27)*(C7649&lt;='Resultats - informe'!$E$27),0,(C7649&gt;='Resultats - informe'!$D$28)*(C7649&lt;='Resultats - informe'!$E$28),0,(C7649&gt;='Resultats - informe'!$D$29)*(C7649&lt;='Resultats - informe'!$E$29),0,1,1)</f>
        <v>0</v>
      </c>
      <c r="N7649" s="366">
        <f>+VLOOKUP(D7649,'Resultats - informe'!$Y$18:$AG$42,'Introducció dades consum'!K7649+1,0)</f>
        <v>0</v>
      </c>
      <c r="O7649" s="370" cm="1">
        <f t="array" ref="O7649">+_xlfn.SWITCH(MONTH(C7649),1,1,2,1,3,1,4,2,5,2,6,3,7,3,8,3,9,3,10,2,11,2,12,1,2)</f>
        <v>1</v>
      </c>
      <c r="P7649" s="43"/>
    </row>
    <row r="7650" spans="1:16" ht="18" x14ac:dyDescent="0.35">
      <c r="A7650" s="9"/>
      <c r="C7650" s="393"/>
      <c r="E7650" s="394"/>
      <c r="F7650" s="394"/>
      <c r="G7650" s="394"/>
      <c r="I7650" s="368">
        <f t="shared" si="363"/>
        <v>0</v>
      </c>
      <c r="J7650" s="365">
        <f t="shared" si="364"/>
        <v>0</v>
      </c>
      <c r="K7650" s="369">
        <f t="shared" si="365"/>
        <v>6</v>
      </c>
      <c r="L7650" s="369">
        <f>+IF((C7650&gt;='Resultats - informe'!$E$16)*(C7650&lt;='Resultats - informe'!$G$16),1,0)</f>
        <v>1</v>
      </c>
      <c r="M7650" s="369" cm="1">
        <f t="array" ref="M7650">+_xlfn.IFS((C7650&gt;='Resultats - informe'!$D$26)*(C7650&lt;='Resultats - informe'!$E$26),0,(C7650&gt;='Resultats - informe'!$D$27)*(C7650&lt;='Resultats - informe'!$E$27),0,(C7650&gt;='Resultats - informe'!$D$28)*(C7650&lt;='Resultats - informe'!$E$28),0,(C7650&gt;='Resultats - informe'!$D$29)*(C7650&lt;='Resultats - informe'!$E$29),0,1,1)</f>
        <v>0</v>
      </c>
      <c r="N7650" s="366">
        <f>+VLOOKUP(D7650,'Resultats - informe'!$Y$18:$AG$42,'Introducció dades consum'!K7650+1,0)</f>
        <v>0</v>
      </c>
      <c r="O7650" s="370" cm="1">
        <f t="array" ref="O7650">+_xlfn.SWITCH(MONTH(C7650),1,1,2,1,3,1,4,2,5,2,6,3,7,3,8,3,9,3,10,2,11,2,12,1,2)</f>
        <v>1</v>
      </c>
      <c r="P7650" s="43"/>
    </row>
    <row r="7651" spans="1:16" ht="18" x14ac:dyDescent="0.35">
      <c r="A7651" s="9"/>
      <c r="C7651" s="393"/>
      <c r="E7651" s="394"/>
      <c r="F7651" s="394"/>
      <c r="G7651" s="394"/>
      <c r="I7651" s="368">
        <f t="shared" si="363"/>
        <v>0</v>
      </c>
      <c r="J7651" s="365">
        <f t="shared" si="364"/>
        <v>0</v>
      </c>
      <c r="K7651" s="369">
        <f t="shared" si="365"/>
        <v>6</v>
      </c>
      <c r="L7651" s="369">
        <f>+IF((C7651&gt;='Resultats - informe'!$E$16)*(C7651&lt;='Resultats - informe'!$G$16),1,0)</f>
        <v>1</v>
      </c>
      <c r="M7651" s="369" cm="1">
        <f t="array" ref="M7651">+_xlfn.IFS((C7651&gt;='Resultats - informe'!$D$26)*(C7651&lt;='Resultats - informe'!$E$26),0,(C7651&gt;='Resultats - informe'!$D$27)*(C7651&lt;='Resultats - informe'!$E$27),0,(C7651&gt;='Resultats - informe'!$D$28)*(C7651&lt;='Resultats - informe'!$E$28),0,(C7651&gt;='Resultats - informe'!$D$29)*(C7651&lt;='Resultats - informe'!$E$29),0,1,1)</f>
        <v>0</v>
      </c>
      <c r="N7651" s="366">
        <f>+VLOOKUP(D7651,'Resultats - informe'!$Y$18:$AG$42,'Introducció dades consum'!K7651+1,0)</f>
        <v>0</v>
      </c>
      <c r="O7651" s="370" cm="1">
        <f t="array" ref="O7651">+_xlfn.SWITCH(MONTH(C7651),1,1,2,1,3,1,4,2,5,2,6,3,7,3,8,3,9,3,10,2,11,2,12,1,2)</f>
        <v>1</v>
      </c>
      <c r="P7651" s="43"/>
    </row>
    <row r="7652" spans="1:16" ht="18" x14ac:dyDescent="0.35">
      <c r="A7652" s="9"/>
      <c r="C7652" s="393"/>
      <c r="E7652" s="394"/>
      <c r="F7652" s="394"/>
      <c r="G7652" s="394"/>
      <c r="I7652" s="368">
        <f t="shared" si="363"/>
        <v>0</v>
      </c>
      <c r="J7652" s="365">
        <f t="shared" si="364"/>
        <v>0</v>
      </c>
      <c r="K7652" s="369">
        <f t="shared" si="365"/>
        <v>6</v>
      </c>
      <c r="L7652" s="369">
        <f>+IF((C7652&gt;='Resultats - informe'!$E$16)*(C7652&lt;='Resultats - informe'!$G$16),1,0)</f>
        <v>1</v>
      </c>
      <c r="M7652" s="369" cm="1">
        <f t="array" ref="M7652">+_xlfn.IFS((C7652&gt;='Resultats - informe'!$D$26)*(C7652&lt;='Resultats - informe'!$E$26),0,(C7652&gt;='Resultats - informe'!$D$27)*(C7652&lt;='Resultats - informe'!$E$27),0,(C7652&gt;='Resultats - informe'!$D$28)*(C7652&lt;='Resultats - informe'!$E$28),0,(C7652&gt;='Resultats - informe'!$D$29)*(C7652&lt;='Resultats - informe'!$E$29),0,1,1)</f>
        <v>0</v>
      </c>
      <c r="N7652" s="366">
        <f>+VLOOKUP(D7652,'Resultats - informe'!$Y$18:$AG$42,'Introducció dades consum'!K7652+1,0)</f>
        <v>0</v>
      </c>
      <c r="O7652" s="370" cm="1">
        <f t="array" ref="O7652">+_xlfn.SWITCH(MONTH(C7652),1,1,2,1,3,1,4,2,5,2,6,3,7,3,8,3,9,3,10,2,11,2,12,1,2)</f>
        <v>1</v>
      </c>
      <c r="P7652" s="43"/>
    </row>
    <row r="7653" spans="1:16" ht="18" x14ac:dyDescent="0.35">
      <c r="A7653" s="9"/>
      <c r="C7653" s="393"/>
      <c r="E7653" s="394"/>
      <c r="F7653" s="394"/>
      <c r="G7653" s="394"/>
      <c r="I7653" s="368">
        <f t="shared" si="363"/>
        <v>0</v>
      </c>
      <c r="J7653" s="365">
        <f t="shared" si="364"/>
        <v>0</v>
      </c>
      <c r="K7653" s="369">
        <f t="shared" si="365"/>
        <v>6</v>
      </c>
      <c r="L7653" s="369">
        <f>+IF((C7653&gt;='Resultats - informe'!$E$16)*(C7653&lt;='Resultats - informe'!$G$16),1,0)</f>
        <v>1</v>
      </c>
      <c r="M7653" s="369" cm="1">
        <f t="array" ref="M7653">+_xlfn.IFS((C7653&gt;='Resultats - informe'!$D$26)*(C7653&lt;='Resultats - informe'!$E$26),0,(C7653&gt;='Resultats - informe'!$D$27)*(C7653&lt;='Resultats - informe'!$E$27),0,(C7653&gt;='Resultats - informe'!$D$28)*(C7653&lt;='Resultats - informe'!$E$28),0,(C7653&gt;='Resultats - informe'!$D$29)*(C7653&lt;='Resultats - informe'!$E$29),0,1,1)</f>
        <v>0</v>
      </c>
      <c r="N7653" s="366">
        <f>+VLOOKUP(D7653,'Resultats - informe'!$Y$18:$AG$42,'Introducció dades consum'!K7653+1,0)</f>
        <v>0</v>
      </c>
      <c r="O7653" s="370" cm="1">
        <f t="array" ref="O7653">+_xlfn.SWITCH(MONTH(C7653),1,1,2,1,3,1,4,2,5,2,6,3,7,3,8,3,9,3,10,2,11,2,12,1,2)</f>
        <v>1</v>
      </c>
      <c r="P7653" s="43"/>
    </row>
    <row r="7654" spans="1:16" ht="18" x14ac:dyDescent="0.35">
      <c r="A7654" s="9"/>
      <c r="C7654" s="393"/>
      <c r="E7654" s="394"/>
      <c r="F7654" s="394"/>
      <c r="G7654" s="394"/>
      <c r="I7654" s="368">
        <f t="shared" si="363"/>
        <v>0</v>
      </c>
      <c r="J7654" s="365">
        <f t="shared" si="364"/>
        <v>0</v>
      </c>
      <c r="K7654" s="369">
        <f t="shared" si="365"/>
        <v>6</v>
      </c>
      <c r="L7654" s="369">
        <f>+IF((C7654&gt;='Resultats - informe'!$E$16)*(C7654&lt;='Resultats - informe'!$G$16),1,0)</f>
        <v>1</v>
      </c>
      <c r="M7654" s="369" cm="1">
        <f t="array" ref="M7654">+_xlfn.IFS((C7654&gt;='Resultats - informe'!$D$26)*(C7654&lt;='Resultats - informe'!$E$26),0,(C7654&gt;='Resultats - informe'!$D$27)*(C7654&lt;='Resultats - informe'!$E$27),0,(C7654&gt;='Resultats - informe'!$D$28)*(C7654&lt;='Resultats - informe'!$E$28),0,(C7654&gt;='Resultats - informe'!$D$29)*(C7654&lt;='Resultats - informe'!$E$29),0,1,1)</f>
        <v>0</v>
      </c>
      <c r="N7654" s="366">
        <f>+VLOOKUP(D7654,'Resultats - informe'!$Y$18:$AG$42,'Introducció dades consum'!K7654+1,0)</f>
        <v>0</v>
      </c>
      <c r="O7654" s="370" cm="1">
        <f t="array" ref="O7654">+_xlfn.SWITCH(MONTH(C7654),1,1,2,1,3,1,4,2,5,2,6,3,7,3,8,3,9,3,10,2,11,2,12,1,2)</f>
        <v>1</v>
      </c>
      <c r="P7654" s="43"/>
    </row>
    <row r="7655" spans="1:16" ht="18" x14ac:dyDescent="0.35">
      <c r="A7655" s="9"/>
      <c r="C7655" s="393"/>
      <c r="E7655" s="394"/>
      <c r="F7655" s="394"/>
      <c r="G7655" s="394"/>
      <c r="I7655" s="368">
        <f t="shared" si="363"/>
        <v>0</v>
      </c>
      <c r="J7655" s="365">
        <f t="shared" si="364"/>
        <v>0</v>
      </c>
      <c r="K7655" s="369">
        <f t="shared" si="365"/>
        <v>6</v>
      </c>
      <c r="L7655" s="369">
        <f>+IF((C7655&gt;='Resultats - informe'!$E$16)*(C7655&lt;='Resultats - informe'!$G$16),1,0)</f>
        <v>1</v>
      </c>
      <c r="M7655" s="369" cm="1">
        <f t="array" ref="M7655">+_xlfn.IFS((C7655&gt;='Resultats - informe'!$D$26)*(C7655&lt;='Resultats - informe'!$E$26),0,(C7655&gt;='Resultats - informe'!$D$27)*(C7655&lt;='Resultats - informe'!$E$27),0,(C7655&gt;='Resultats - informe'!$D$28)*(C7655&lt;='Resultats - informe'!$E$28),0,(C7655&gt;='Resultats - informe'!$D$29)*(C7655&lt;='Resultats - informe'!$E$29),0,1,1)</f>
        <v>0</v>
      </c>
      <c r="N7655" s="366">
        <f>+VLOOKUP(D7655,'Resultats - informe'!$Y$18:$AG$42,'Introducció dades consum'!K7655+1,0)</f>
        <v>0</v>
      </c>
      <c r="O7655" s="370" cm="1">
        <f t="array" ref="O7655">+_xlfn.SWITCH(MONTH(C7655),1,1,2,1,3,1,4,2,5,2,6,3,7,3,8,3,9,3,10,2,11,2,12,1,2)</f>
        <v>1</v>
      </c>
      <c r="P7655" s="43"/>
    </row>
    <row r="7656" spans="1:16" ht="18" x14ac:dyDescent="0.35">
      <c r="A7656" s="9"/>
      <c r="C7656" s="393"/>
      <c r="E7656" s="394"/>
      <c r="F7656" s="394"/>
      <c r="G7656" s="394"/>
      <c r="I7656" s="368">
        <f t="shared" si="363"/>
        <v>0</v>
      </c>
      <c r="J7656" s="365">
        <f t="shared" si="364"/>
        <v>0</v>
      </c>
      <c r="K7656" s="369">
        <f t="shared" si="365"/>
        <v>6</v>
      </c>
      <c r="L7656" s="369">
        <f>+IF((C7656&gt;='Resultats - informe'!$E$16)*(C7656&lt;='Resultats - informe'!$G$16),1,0)</f>
        <v>1</v>
      </c>
      <c r="M7656" s="369" cm="1">
        <f t="array" ref="M7656">+_xlfn.IFS((C7656&gt;='Resultats - informe'!$D$26)*(C7656&lt;='Resultats - informe'!$E$26),0,(C7656&gt;='Resultats - informe'!$D$27)*(C7656&lt;='Resultats - informe'!$E$27),0,(C7656&gt;='Resultats - informe'!$D$28)*(C7656&lt;='Resultats - informe'!$E$28),0,(C7656&gt;='Resultats - informe'!$D$29)*(C7656&lt;='Resultats - informe'!$E$29),0,1,1)</f>
        <v>0</v>
      </c>
      <c r="N7656" s="366">
        <f>+VLOOKUP(D7656,'Resultats - informe'!$Y$18:$AG$42,'Introducció dades consum'!K7656+1,0)</f>
        <v>0</v>
      </c>
      <c r="O7656" s="370" cm="1">
        <f t="array" ref="O7656">+_xlfn.SWITCH(MONTH(C7656),1,1,2,1,3,1,4,2,5,2,6,3,7,3,8,3,9,3,10,2,11,2,12,1,2)</f>
        <v>1</v>
      </c>
      <c r="P7656" s="43"/>
    </row>
    <row r="7657" spans="1:16" ht="18" x14ac:dyDescent="0.35">
      <c r="A7657" s="9"/>
      <c r="C7657" s="393"/>
      <c r="E7657" s="394"/>
      <c r="F7657" s="394"/>
      <c r="G7657" s="394"/>
      <c r="I7657" s="368">
        <f t="shared" si="363"/>
        <v>0</v>
      </c>
      <c r="J7657" s="365">
        <f t="shared" si="364"/>
        <v>0</v>
      </c>
      <c r="K7657" s="369">
        <f t="shared" si="365"/>
        <v>6</v>
      </c>
      <c r="L7657" s="369">
        <f>+IF((C7657&gt;='Resultats - informe'!$E$16)*(C7657&lt;='Resultats - informe'!$G$16),1,0)</f>
        <v>1</v>
      </c>
      <c r="M7657" s="369" cm="1">
        <f t="array" ref="M7657">+_xlfn.IFS((C7657&gt;='Resultats - informe'!$D$26)*(C7657&lt;='Resultats - informe'!$E$26),0,(C7657&gt;='Resultats - informe'!$D$27)*(C7657&lt;='Resultats - informe'!$E$27),0,(C7657&gt;='Resultats - informe'!$D$28)*(C7657&lt;='Resultats - informe'!$E$28),0,(C7657&gt;='Resultats - informe'!$D$29)*(C7657&lt;='Resultats - informe'!$E$29),0,1,1)</f>
        <v>0</v>
      </c>
      <c r="N7657" s="366">
        <f>+VLOOKUP(D7657,'Resultats - informe'!$Y$18:$AG$42,'Introducció dades consum'!K7657+1,0)</f>
        <v>0</v>
      </c>
      <c r="O7657" s="370" cm="1">
        <f t="array" ref="O7657">+_xlfn.SWITCH(MONTH(C7657),1,1,2,1,3,1,4,2,5,2,6,3,7,3,8,3,9,3,10,2,11,2,12,1,2)</f>
        <v>1</v>
      </c>
      <c r="P7657" s="43"/>
    </row>
    <row r="7658" spans="1:16" ht="18" x14ac:dyDescent="0.35">
      <c r="A7658" s="9"/>
      <c r="C7658" s="393"/>
      <c r="E7658" s="394"/>
      <c r="F7658" s="394"/>
      <c r="G7658" s="394"/>
      <c r="I7658" s="368">
        <f t="shared" si="363"/>
        <v>0</v>
      </c>
      <c r="J7658" s="365">
        <f t="shared" si="364"/>
        <v>0</v>
      </c>
      <c r="K7658" s="369">
        <f t="shared" si="365"/>
        <v>6</v>
      </c>
      <c r="L7658" s="369">
        <f>+IF((C7658&gt;='Resultats - informe'!$E$16)*(C7658&lt;='Resultats - informe'!$G$16),1,0)</f>
        <v>1</v>
      </c>
      <c r="M7658" s="369" cm="1">
        <f t="array" ref="M7658">+_xlfn.IFS((C7658&gt;='Resultats - informe'!$D$26)*(C7658&lt;='Resultats - informe'!$E$26),0,(C7658&gt;='Resultats - informe'!$D$27)*(C7658&lt;='Resultats - informe'!$E$27),0,(C7658&gt;='Resultats - informe'!$D$28)*(C7658&lt;='Resultats - informe'!$E$28),0,(C7658&gt;='Resultats - informe'!$D$29)*(C7658&lt;='Resultats - informe'!$E$29),0,1,1)</f>
        <v>0</v>
      </c>
      <c r="N7658" s="366">
        <f>+VLOOKUP(D7658,'Resultats - informe'!$Y$18:$AG$42,'Introducció dades consum'!K7658+1,0)</f>
        <v>0</v>
      </c>
      <c r="O7658" s="370" cm="1">
        <f t="array" ref="O7658">+_xlfn.SWITCH(MONTH(C7658),1,1,2,1,3,1,4,2,5,2,6,3,7,3,8,3,9,3,10,2,11,2,12,1,2)</f>
        <v>1</v>
      </c>
      <c r="P7658" s="43"/>
    </row>
    <row r="7659" spans="1:16" ht="18" x14ac:dyDescent="0.35">
      <c r="A7659" s="9"/>
      <c r="C7659" s="393"/>
      <c r="E7659" s="394"/>
      <c r="F7659" s="394"/>
      <c r="G7659" s="394"/>
      <c r="I7659" s="368">
        <f t="shared" si="363"/>
        <v>0</v>
      </c>
      <c r="J7659" s="365">
        <f t="shared" si="364"/>
        <v>0</v>
      </c>
      <c r="K7659" s="369">
        <f t="shared" si="365"/>
        <v>6</v>
      </c>
      <c r="L7659" s="369">
        <f>+IF((C7659&gt;='Resultats - informe'!$E$16)*(C7659&lt;='Resultats - informe'!$G$16),1,0)</f>
        <v>1</v>
      </c>
      <c r="M7659" s="369" cm="1">
        <f t="array" ref="M7659">+_xlfn.IFS((C7659&gt;='Resultats - informe'!$D$26)*(C7659&lt;='Resultats - informe'!$E$26),0,(C7659&gt;='Resultats - informe'!$D$27)*(C7659&lt;='Resultats - informe'!$E$27),0,(C7659&gt;='Resultats - informe'!$D$28)*(C7659&lt;='Resultats - informe'!$E$28),0,(C7659&gt;='Resultats - informe'!$D$29)*(C7659&lt;='Resultats - informe'!$E$29),0,1,1)</f>
        <v>0</v>
      </c>
      <c r="N7659" s="366">
        <f>+VLOOKUP(D7659,'Resultats - informe'!$Y$18:$AG$42,'Introducció dades consum'!K7659+1,0)</f>
        <v>0</v>
      </c>
      <c r="O7659" s="370" cm="1">
        <f t="array" ref="O7659">+_xlfn.SWITCH(MONTH(C7659),1,1,2,1,3,1,4,2,5,2,6,3,7,3,8,3,9,3,10,2,11,2,12,1,2)</f>
        <v>1</v>
      </c>
      <c r="P7659" s="43"/>
    </row>
    <row r="7660" spans="1:16" ht="18" x14ac:dyDescent="0.35">
      <c r="A7660" s="9"/>
      <c r="C7660" s="393"/>
      <c r="E7660" s="394"/>
      <c r="F7660" s="394"/>
      <c r="G7660" s="394"/>
      <c r="I7660" s="368">
        <f t="shared" si="363"/>
        <v>0</v>
      </c>
      <c r="J7660" s="365">
        <f t="shared" si="364"/>
        <v>0</v>
      </c>
      <c r="K7660" s="369">
        <f t="shared" si="365"/>
        <v>6</v>
      </c>
      <c r="L7660" s="369">
        <f>+IF((C7660&gt;='Resultats - informe'!$E$16)*(C7660&lt;='Resultats - informe'!$G$16),1,0)</f>
        <v>1</v>
      </c>
      <c r="M7660" s="369" cm="1">
        <f t="array" ref="M7660">+_xlfn.IFS((C7660&gt;='Resultats - informe'!$D$26)*(C7660&lt;='Resultats - informe'!$E$26),0,(C7660&gt;='Resultats - informe'!$D$27)*(C7660&lt;='Resultats - informe'!$E$27),0,(C7660&gt;='Resultats - informe'!$D$28)*(C7660&lt;='Resultats - informe'!$E$28),0,(C7660&gt;='Resultats - informe'!$D$29)*(C7660&lt;='Resultats - informe'!$E$29),0,1,1)</f>
        <v>0</v>
      </c>
      <c r="N7660" s="366">
        <f>+VLOOKUP(D7660,'Resultats - informe'!$Y$18:$AG$42,'Introducció dades consum'!K7660+1,0)</f>
        <v>0</v>
      </c>
      <c r="O7660" s="370" cm="1">
        <f t="array" ref="O7660">+_xlfn.SWITCH(MONTH(C7660),1,1,2,1,3,1,4,2,5,2,6,3,7,3,8,3,9,3,10,2,11,2,12,1,2)</f>
        <v>1</v>
      </c>
      <c r="P7660" s="43"/>
    </row>
    <row r="7661" spans="1:16" ht="18" x14ac:dyDescent="0.35">
      <c r="A7661" s="9"/>
      <c r="C7661" s="393"/>
      <c r="E7661" s="394"/>
      <c r="F7661" s="394"/>
      <c r="G7661" s="394"/>
      <c r="I7661" s="368">
        <f t="shared" si="363"/>
        <v>0</v>
      </c>
      <c r="J7661" s="365">
        <f t="shared" si="364"/>
        <v>0</v>
      </c>
      <c r="K7661" s="369">
        <f t="shared" si="365"/>
        <v>6</v>
      </c>
      <c r="L7661" s="369">
        <f>+IF((C7661&gt;='Resultats - informe'!$E$16)*(C7661&lt;='Resultats - informe'!$G$16),1,0)</f>
        <v>1</v>
      </c>
      <c r="M7661" s="369" cm="1">
        <f t="array" ref="M7661">+_xlfn.IFS((C7661&gt;='Resultats - informe'!$D$26)*(C7661&lt;='Resultats - informe'!$E$26),0,(C7661&gt;='Resultats - informe'!$D$27)*(C7661&lt;='Resultats - informe'!$E$27),0,(C7661&gt;='Resultats - informe'!$D$28)*(C7661&lt;='Resultats - informe'!$E$28),0,(C7661&gt;='Resultats - informe'!$D$29)*(C7661&lt;='Resultats - informe'!$E$29),0,1,1)</f>
        <v>0</v>
      </c>
      <c r="N7661" s="366">
        <f>+VLOOKUP(D7661,'Resultats - informe'!$Y$18:$AG$42,'Introducció dades consum'!K7661+1,0)</f>
        <v>0</v>
      </c>
      <c r="O7661" s="370" cm="1">
        <f t="array" ref="O7661">+_xlfn.SWITCH(MONTH(C7661),1,1,2,1,3,1,4,2,5,2,6,3,7,3,8,3,9,3,10,2,11,2,12,1,2)</f>
        <v>1</v>
      </c>
      <c r="P7661" s="43"/>
    </row>
    <row r="7662" spans="1:16" ht="18" x14ac:dyDescent="0.35">
      <c r="A7662" s="9"/>
      <c r="C7662" s="393"/>
      <c r="E7662" s="394"/>
      <c r="F7662" s="394"/>
      <c r="G7662" s="394"/>
      <c r="I7662" s="368">
        <f t="shared" si="363"/>
        <v>0</v>
      </c>
      <c r="J7662" s="365">
        <f t="shared" si="364"/>
        <v>0</v>
      </c>
      <c r="K7662" s="369">
        <f t="shared" si="365"/>
        <v>6</v>
      </c>
      <c r="L7662" s="369">
        <f>+IF((C7662&gt;='Resultats - informe'!$E$16)*(C7662&lt;='Resultats - informe'!$G$16),1,0)</f>
        <v>1</v>
      </c>
      <c r="M7662" s="369" cm="1">
        <f t="array" ref="M7662">+_xlfn.IFS((C7662&gt;='Resultats - informe'!$D$26)*(C7662&lt;='Resultats - informe'!$E$26),0,(C7662&gt;='Resultats - informe'!$D$27)*(C7662&lt;='Resultats - informe'!$E$27),0,(C7662&gt;='Resultats - informe'!$D$28)*(C7662&lt;='Resultats - informe'!$E$28),0,(C7662&gt;='Resultats - informe'!$D$29)*(C7662&lt;='Resultats - informe'!$E$29),0,1,1)</f>
        <v>0</v>
      </c>
      <c r="N7662" s="366">
        <f>+VLOOKUP(D7662,'Resultats - informe'!$Y$18:$AG$42,'Introducció dades consum'!K7662+1,0)</f>
        <v>0</v>
      </c>
      <c r="O7662" s="370" cm="1">
        <f t="array" ref="O7662">+_xlfn.SWITCH(MONTH(C7662),1,1,2,1,3,1,4,2,5,2,6,3,7,3,8,3,9,3,10,2,11,2,12,1,2)</f>
        <v>1</v>
      </c>
      <c r="P7662" s="43"/>
    </row>
    <row r="7663" spans="1:16" ht="18" x14ac:dyDescent="0.35">
      <c r="A7663" s="9"/>
      <c r="C7663" s="393"/>
      <c r="E7663" s="394"/>
      <c r="F7663" s="394"/>
      <c r="G7663" s="394"/>
      <c r="I7663" s="368">
        <f t="shared" si="363"/>
        <v>0</v>
      </c>
      <c r="J7663" s="365">
        <f t="shared" si="364"/>
        <v>0</v>
      </c>
      <c r="K7663" s="369">
        <f t="shared" si="365"/>
        <v>6</v>
      </c>
      <c r="L7663" s="369">
        <f>+IF((C7663&gt;='Resultats - informe'!$E$16)*(C7663&lt;='Resultats - informe'!$G$16),1,0)</f>
        <v>1</v>
      </c>
      <c r="M7663" s="369" cm="1">
        <f t="array" ref="M7663">+_xlfn.IFS((C7663&gt;='Resultats - informe'!$D$26)*(C7663&lt;='Resultats - informe'!$E$26),0,(C7663&gt;='Resultats - informe'!$D$27)*(C7663&lt;='Resultats - informe'!$E$27),0,(C7663&gt;='Resultats - informe'!$D$28)*(C7663&lt;='Resultats - informe'!$E$28),0,(C7663&gt;='Resultats - informe'!$D$29)*(C7663&lt;='Resultats - informe'!$E$29),0,1,1)</f>
        <v>0</v>
      </c>
      <c r="N7663" s="366">
        <f>+VLOOKUP(D7663,'Resultats - informe'!$Y$18:$AG$42,'Introducció dades consum'!K7663+1,0)</f>
        <v>0</v>
      </c>
      <c r="O7663" s="370" cm="1">
        <f t="array" ref="O7663">+_xlfn.SWITCH(MONTH(C7663),1,1,2,1,3,1,4,2,5,2,6,3,7,3,8,3,9,3,10,2,11,2,12,1,2)</f>
        <v>1</v>
      </c>
      <c r="P7663" s="43"/>
    </row>
    <row r="7664" spans="1:16" ht="18" x14ac:dyDescent="0.35">
      <c r="A7664" s="9"/>
      <c r="C7664" s="393"/>
      <c r="E7664" s="394"/>
      <c r="F7664" s="394"/>
      <c r="G7664" s="394"/>
      <c r="I7664" s="368">
        <f t="shared" si="363"/>
        <v>0</v>
      </c>
      <c r="J7664" s="365">
        <f t="shared" si="364"/>
        <v>0</v>
      </c>
      <c r="K7664" s="369">
        <f t="shared" si="365"/>
        <v>6</v>
      </c>
      <c r="L7664" s="369">
        <f>+IF((C7664&gt;='Resultats - informe'!$E$16)*(C7664&lt;='Resultats - informe'!$G$16),1,0)</f>
        <v>1</v>
      </c>
      <c r="M7664" s="369" cm="1">
        <f t="array" ref="M7664">+_xlfn.IFS((C7664&gt;='Resultats - informe'!$D$26)*(C7664&lt;='Resultats - informe'!$E$26),0,(C7664&gt;='Resultats - informe'!$D$27)*(C7664&lt;='Resultats - informe'!$E$27),0,(C7664&gt;='Resultats - informe'!$D$28)*(C7664&lt;='Resultats - informe'!$E$28),0,(C7664&gt;='Resultats - informe'!$D$29)*(C7664&lt;='Resultats - informe'!$E$29),0,1,1)</f>
        <v>0</v>
      </c>
      <c r="N7664" s="366">
        <f>+VLOOKUP(D7664,'Resultats - informe'!$Y$18:$AG$42,'Introducció dades consum'!K7664+1,0)</f>
        <v>0</v>
      </c>
      <c r="O7664" s="370" cm="1">
        <f t="array" ref="O7664">+_xlfn.SWITCH(MONTH(C7664),1,1,2,1,3,1,4,2,5,2,6,3,7,3,8,3,9,3,10,2,11,2,12,1,2)</f>
        <v>1</v>
      </c>
      <c r="P7664" s="43"/>
    </row>
    <row r="7665" spans="1:16" ht="18" x14ac:dyDescent="0.35">
      <c r="A7665" s="9"/>
      <c r="C7665" s="393"/>
      <c r="E7665" s="394"/>
      <c r="F7665" s="394"/>
      <c r="G7665" s="394"/>
      <c r="I7665" s="368">
        <f t="shared" si="363"/>
        <v>0</v>
      </c>
      <c r="J7665" s="365">
        <f t="shared" si="364"/>
        <v>0</v>
      </c>
      <c r="K7665" s="369">
        <f t="shared" si="365"/>
        <v>6</v>
      </c>
      <c r="L7665" s="369">
        <f>+IF((C7665&gt;='Resultats - informe'!$E$16)*(C7665&lt;='Resultats - informe'!$G$16),1,0)</f>
        <v>1</v>
      </c>
      <c r="M7665" s="369" cm="1">
        <f t="array" ref="M7665">+_xlfn.IFS((C7665&gt;='Resultats - informe'!$D$26)*(C7665&lt;='Resultats - informe'!$E$26),0,(C7665&gt;='Resultats - informe'!$D$27)*(C7665&lt;='Resultats - informe'!$E$27),0,(C7665&gt;='Resultats - informe'!$D$28)*(C7665&lt;='Resultats - informe'!$E$28),0,(C7665&gt;='Resultats - informe'!$D$29)*(C7665&lt;='Resultats - informe'!$E$29),0,1,1)</f>
        <v>0</v>
      </c>
      <c r="N7665" s="366">
        <f>+VLOOKUP(D7665,'Resultats - informe'!$Y$18:$AG$42,'Introducció dades consum'!K7665+1,0)</f>
        <v>0</v>
      </c>
      <c r="O7665" s="370" cm="1">
        <f t="array" ref="O7665">+_xlfn.SWITCH(MONTH(C7665),1,1,2,1,3,1,4,2,5,2,6,3,7,3,8,3,9,3,10,2,11,2,12,1,2)</f>
        <v>1</v>
      </c>
      <c r="P7665" s="43"/>
    </row>
    <row r="7666" spans="1:16" ht="18" x14ac:dyDescent="0.35">
      <c r="A7666" s="9"/>
      <c r="C7666" s="393"/>
      <c r="E7666" s="394"/>
      <c r="F7666" s="394"/>
      <c r="G7666" s="394"/>
      <c r="I7666" s="368">
        <f t="shared" si="363"/>
        <v>0</v>
      </c>
      <c r="J7666" s="365">
        <f t="shared" si="364"/>
        <v>0</v>
      </c>
      <c r="K7666" s="369">
        <f t="shared" si="365"/>
        <v>6</v>
      </c>
      <c r="L7666" s="369">
        <f>+IF((C7666&gt;='Resultats - informe'!$E$16)*(C7666&lt;='Resultats - informe'!$G$16),1,0)</f>
        <v>1</v>
      </c>
      <c r="M7666" s="369" cm="1">
        <f t="array" ref="M7666">+_xlfn.IFS((C7666&gt;='Resultats - informe'!$D$26)*(C7666&lt;='Resultats - informe'!$E$26),0,(C7666&gt;='Resultats - informe'!$D$27)*(C7666&lt;='Resultats - informe'!$E$27),0,(C7666&gt;='Resultats - informe'!$D$28)*(C7666&lt;='Resultats - informe'!$E$28),0,(C7666&gt;='Resultats - informe'!$D$29)*(C7666&lt;='Resultats - informe'!$E$29),0,1,1)</f>
        <v>0</v>
      </c>
      <c r="N7666" s="366">
        <f>+VLOOKUP(D7666,'Resultats - informe'!$Y$18:$AG$42,'Introducció dades consum'!K7666+1,0)</f>
        <v>0</v>
      </c>
      <c r="O7666" s="370" cm="1">
        <f t="array" ref="O7666">+_xlfn.SWITCH(MONTH(C7666),1,1,2,1,3,1,4,2,5,2,6,3,7,3,8,3,9,3,10,2,11,2,12,1,2)</f>
        <v>1</v>
      </c>
      <c r="P7666" s="43"/>
    </row>
    <row r="7667" spans="1:16" ht="18" x14ac:dyDescent="0.35">
      <c r="A7667" s="9"/>
      <c r="C7667" s="393"/>
      <c r="E7667" s="394"/>
      <c r="F7667" s="394"/>
      <c r="G7667" s="394"/>
      <c r="I7667" s="368">
        <f t="shared" si="363"/>
        <v>0</v>
      </c>
      <c r="J7667" s="365">
        <f t="shared" si="364"/>
        <v>0</v>
      </c>
      <c r="K7667" s="369">
        <f t="shared" si="365"/>
        <v>6</v>
      </c>
      <c r="L7667" s="369">
        <f>+IF((C7667&gt;='Resultats - informe'!$E$16)*(C7667&lt;='Resultats - informe'!$G$16),1,0)</f>
        <v>1</v>
      </c>
      <c r="M7667" s="369" cm="1">
        <f t="array" ref="M7667">+_xlfn.IFS((C7667&gt;='Resultats - informe'!$D$26)*(C7667&lt;='Resultats - informe'!$E$26),0,(C7667&gt;='Resultats - informe'!$D$27)*(C7667&lt;='Resultats - informe'!$E$27),0,(C7667&gt;='Resultats - informe'!$D$28)*(C7667&lt;='Resultats - informe'!$E$28),0,(C7667&gt;='Resultats - informe'!$D$29)*(C7667&lt;='Resultats - informe'!$E$29),0,1,1)</f>
        <v>0</v>
      </c>
      <c r="N7667" s="366">
        <f>+VLOOKUP(D7667,'Resultats - informe'!$Y$18:$AG$42,'Introducció dades consum'!K7667+1,0)</f>
        <v>0</v>
      </c>
      <c r="O7667" s="370" cm="1">
        <f t="array" ref="O7667">+_xlfn.SWITCH(MONTH(C7667),1,1,2,1,3,1,4,2,5,2,6,3,7,3,8,3,9,3,10,2,11,2,12,1,2)</f>
        <v>1</v>
      </c>
      <c r="P7667" s="43"/>
    </row>
    <row r="7668" spans="1:16" ht="18" x14ac:dyDescent="0.35">
      <c r="A7668" s="9"/>
      <c r="C7668" s="393"/>
      <c r="E7668" s="394"/>
      <c r="F7668" s="394"/>
      <c r="G7668" s="394"/>
      <c r="I7668" s="368">
        <f t="shared" si="363"/>
        <v>0</v>
      </c>
      <c r="J7668" s="365">
        <f t="shared" si="364"/>
        <v>0</v>
      </c>
      <c r="K7668" s="369">
        <f t="shared" si="365"/>
        <v>6</v>
      </c>
      <c r="L7668" s="369">
        <f>+IF((C7668&gt;='Resultats - informe'!$E$16)*(C7668&lt;='Resultats - informe'!$G$16),1,0)</f>
        <v>1</v>
      </c>
      <c r="M7668" s="369" cm="1">
        <f t="array" ref="M7668">+_xlfn.IFS((C7668&gt;='Resultats - informe'!$D$26)*(C7668&lt;='Resultats - informe'!$E$26),0,(C7668&gt;='Resultats - informe'!$D$27)*(C7668&lt;='Resultats - informe'!$E$27),0,(C7668&gt;='Resultats - informe'!$D$28)*(C7668&lt;='Resultats - informe'!$E$28),0,(C7668&gt;='Resultats - informe'!$D$29)*(C7668&lt;='Resultats - informe'!$E$29),0,1,1)</f>
        <v>0</v>
      </c>
      <c r="N7668" s="366">
        <f>+VLOOKUP(D7668,'Resultats - informe'!$Y$18:$AG$42,'Introducció dades consum'!K7668+1,0)</f>
        <v>0</v>
      </c>
      <c r="O7668" s="370" cm="1">
        <f t="array" ref="O7668">+_xlfn.SWITCH(MONTH(C7668),1,1,2,1,3,1,4,2,5,2,6,3,7,3,8,3,9,3,10,2,11,2,12,1,2)</f>
        <v>1</v>
      </c>
      <c r="P7668" s="43"/>
    </row>
    <row r="7669" spans="1:16" ht="18" x14ac:dyDescent="0.35">
      <c r="A7669" s="9"/>
      <c r="C7669" s="393"/>
      <c r="E7669" s="394"/>
      <c r="F7669" s="394"/>
      <c r="G7669" s="394"/>
      <c r="I7669" s="368">
        <f t="shared" si="363"/>
        <v>0</v>
      </c>
      <c r="J7669" s="365">
        <f t="shared" si="364"/>
        <v>0</v>
      </c>
      <c r="K7669" s="369">
        <f t="shared" si="365"/>
        <v>6</v>
      </c>
      <c r="L7669" s="369">
        <f>+IF((C7669&gt;='Resultats - informe'!$E$16)*(C7669&lt;='Resultats - informe'!$G$16),1,0)</f>
        <v>1</v>
      </c>
      <c r="M7669" s="369" cm="1">
        <f t="array" ref="M7669">+_xlfn.IFS((C7669&gt;='Resultats - informe'!$D$26)*(C7669&lt;='Resultats - informe'!$E$26),0,(C7669&gt;='Resultats - informe'!$D$27)*(C7669&lt;='Resultats - informe'!$E$27),0,(C7669&gt;='Resultats - informe'!$D$28)*(C7669&lt;='Resultats - informe'!$E$28),0,(C7669&gt;='Resultats - informe'!$D$29)*(C7669&lt;='Resultats - informe'!$E$29),0,1,1)</f>
        <v>0</v>
      </c>
      <c r="N7669" s="366">
        <f>+VLOOKUP(D7669,'Resultats - informe'!$Y$18:$AG$42,'Introducció dades consum'!K7669+1,0)</f>
        <v>0</v>
      </c>
      <c r="O7669" s="370" cm="1">
        <f t="array" ref="O7669">+_xlfn.SWITCH(MONTH(C7669),1,1,2,1,3,1,4,2,5,2,6,3,7,3,8,3,9,3,10,2,11,2,12,1,2)</f>
        <v>1</v>
      </c>
      <c r="P7669" s="43"/>
    </row>
    <row r="7670" spans="1:16" ht="18" x14ac:dyDescent="0.35">
      <c r="A7670" s="9"/>
      <c r="C7670" s="393"/>
      <c r="E7670" s="394"/>
      <c r="F7670" s="394"/>
      <c r="G7670" s="394"/>
      <c r="I7670" s="368">
        <f t="shared" si="363"/>
        <v>0</v>
      </c>
      <c r="J7670" s="365">
        <f t="shared" si="364"/>
        <v>0</v>
      </c>
      <c r="K7670" s="369">
        <f t="shared" si="365"/>
        <v>6</v>
      </c>
      <c r="L7670" s="369">
        <f>+IF((C7670&gt;='Resultats - informe'!$E$16)*(C7670&lt;='Resultats - informe'!$G$16),1,0)</f>
        <v>1</v>
      </c>
      <c r="M7670" s="369" cm="1">
        <f t="array" ref="M7670">+_xlfn.IFS((C7670&gt;='Resultats - informe'!$D$26)*(C7670&lt;='Resultats - informe'!$E$26),0,(C7670&gt;='Resultats - informe'!$D$27)*(C7670&lt;='Resultats - informe'!$E$27),0,(C7670&gt;='Resultats - informe'!$D$28)*(C7670&lt;='Resultats - informe'!$E$28),0,(C7670&gt;='Resultats - informe'!$D$29)*(C7670&lt;='Resultats - informe'!$E$29),0,1,1)</f>
        <v>0</v>
      </c>
      <c r="N7670" s="366">
        <f>+VLOOKUP(D7670,'Resultats - informe'!$Y$18:$AG$42,'Introducció dades consum'!K7670+1,0)</f>
        <v>0</v>
      </c>
      <c r="O7670" s="370" cm="1">
        <f t="array" ref="O7670">+_xlfn.SWITCH(MONTH(C7670),1,1,2,1,3,1,4,2,5,2,6,3,7,3,8,3,9,3,10,2,11,2,12,1,2)</f>
        <v>1</v>
      </c>
      <c r="P7670" s="43"/>
    </row>
    <row r="7671" spans="1:16" ht="18" x14ac:dyDescent="0.35">
      <c r="A7671" s="9"/>
      <c r="C7671" s="393"/>
      <c r="E7671" s="394"/>
      <c r="F7671" s="394"/>
      <c r="G7671" s="394"/>
      <c r="I7671" s="368">
        <f t="shared" si="363"/>
        <v>0</v>
      </c>
      <c r="J7671" s="365">
        <f t="shared" si="364"/>
        <v>0</v>
      </c>
      <c r="K7671" s="369">
        <f t="shared" si="365"/>
        <v>6</v>
      </c>
      <c r="L7671" s="369">
        <f>+IF((C7671&gt;='Resultats - informe'!$E$16)*(C7671&lt;='Resultats - informe'!$G$16),1,0)</f>
        <v>1</v>
      </c>
      <c r="M7671" s="369" cm="1">
        <f t="array" ref="M7671">+_xlfn.IFS((C7671&gt;='Resultats - informe'!$D$26)*(C7671&lt;='Resultats - informe'!$E$26),0,(C7671&gt;='Resultats - informe'!$D$27)*(C7671&lt;='Resultats - informe'!$E$27),0,(C7671&gt;='Resultats - informe'!$D$28)*(C7671&lt;='Resultats - informe'!$E$28),0,(C7671&gt;='Resultats - informe'!$D$29)*(C7671&lt;='Resultats - informe'!$E$29),0,1,1)</f>
        <v>0</v>
      </c>
      <c r="N7671" s="366">
        <f>+VLOOKUP(D7671,'Resultats - informe'!$Y$18:$AG$42,'Introducció dades consum'!K7671+1,0)</f>
        <v>0</v>
      </c>
      <c r="O7671" s="370" cm="1">
        <f t="array" ref="O7671">+_xlfn.SWITCH(MONTH(C7671),1,1,2,1,3,1,4,2,5,2,6,3,7,3,8,3,9,3,10,2,11,2,12,1,2)</f>
        <v>1</v>
      </c>
      <c r="P7671" s="43"/>
    </row>
    <row r="7672" spans="1:16" ht="18" x14ac:dyDescent="0.35">
      <c r="A7672" s="9"/>
      <c r="C7672" s="393"/>
      <c r="E7672" s="394"/>
      <c r="F7672" s="394"/>
      <c r="G7672" s="394"/>
      <c r="I7672" s="368">
        <f t="shared" si="363"/>
        <v>0</v>
      </c>
      <c r="J7672" s="365">
        <f t="shared" si="364"/>
        <v>0</v>
      </c>
      <c r="K7672" s="369">
        <f t="shared" si="365"/>
        <v>6</v>
      </c>
      <c r="L7672" s="369">
        <f>+IF((C7672&gt;='Resultats - informe'!$E$16)*(C7672&lt;='Resultats - informe'!$G$16),1,0)</f>
        <v>1</v>
      </c>
      <c r="M7672" s="369" cm="1">
        <f t="array" ref="M7672">+_xlfn.IFS((C7672&gt;='Resultats - informe'!$D$26)*(C7672&lt;='Resultats - informe'!$E$26),0,(C7672&gt;='Resultats - informe'!$D$27)*(C7672&lt;='Resultats - informe'!$E$27),0,(C7672&gt;='Resultats - informe'!$D$28)*(C7672&lt;='Resultats - informe'!$E$28),0,(C7672&gt;='Resultats - informe'!$D$29)*(C7672&lt;='Resultats - informe'!$E$29),0,1,1)</f>
        <v>0</v>
      </c>
      <c r="N7672" s="366">
        <f>+VLOOKUP(D7672,'Resultats - informe'!$Y$18:$AG$42,'Introducció dades consum'!K7672+1,0)</f>
        <v>0</v>
      </c>
      <c r="O7672" s="370" cm="1">
        <f t="array" ref="O7672">+_xlfn.SWITCH(MONTH(C7672),1,1,2,1,3,1,4,2,5,2,6,3,7,3,8,3,9,3,10,2,11,2,12,1,2)</f>
        <v>1</v>
      </c>
      <c r="P7672" s="43"/>
    </row>
    <row r="7673" spans="1:16" ht="18" x14ac:dyDescent="0.35">
      <c r="A7673" s="9"/>
      <c r="C7673" s="393"/>
      <c r="E7673" s="394"/>
      <c r="F7673" s="394"/>
      <c r="G7673" s="394"/>
      <c r="I7673" s="368">
        <f t="shared" si="363"/>
        <v>0</v>
      </c>
      <c r="J7673" s="365">
        <f t="shared" si="364"/>
        <v>0</v>
      </c>
      <c r="K7673" s="369">
        <f t="shared" si="365"/>
        <v>6</v>
      </c>
      <c r="L7673" s="369">
        <f>+IF((C7673&gt;='Resultats - informe'!$E$16)*(C7673&lt;='Resultats - informe'!$G$16),1,0)</f>
        <v>1</v>
      </c>
      <c r="M7673" s="369" cm="1">
        <f t="array" ref="M7673">+_xlfn.IFS((C7673&gt;='Resultats - informe'!$D$26)*(C7673&lt;='Resultats - informe'!$E$26),0,(C7673&gt;='Resultats - informe'!$D$27)*(C7673&lt;='Resultats - informe'!$E$27),0,(C7673&gt;='Resultats - informe'!$D$28)*(C7673&lt;='Resultats - informe'!$E$28),0,(C7673&gt;='Resultats - informe'!$D$29)*(C7673&lt;='Resultats - informe'!$E$29),0,1,1)</f>
        <v>0</v>
      </c>
      <c r="N7673" s="366">
        <f>+VLOOKUP(D7673,'Resultats - informe'!$Y$18:$AG$42,'Introducció dades consum'!K7673+1,0)</f>
        <v>0</v>
      </c>
      <c r="O7673" s="370" cm="1">
        <f t="array" ref="O7673">+_xlfn.SWITCH(MONTH(C7673),1,1,2,1,3,1,4,2,5,2,6,3,7,3,8,3,9,3,10,2,11,2,12,1,2)</f>
        <v>1</v>
      </c>
      <c r="P7673" s="43"/>
    </row>
    <row r="7674" spans="1:16" ht="18" x14ac:dyDescent="0.35">
      <c r="A7674" s="9"/>
      <c r="C7674" s="393"/>
      <c r="E7674" s="394"/>
      <c r="F7674" s="394"/>
      <c r="G7674" s="394"/>
      <c r="I7674" s="368">
        <f t="shared" si="363"/>
        <v>0</v>
      </c>
      <c r="J7674" s="365">
        <f t="shared" si="364"/>
        <v>0</v>
      </c>
      <c r="K7674" s="369">
        <f t="shared" si="365"/>
        <v>6</v>
      </c>
      <c r="L7674" s="369">
        <f>+IF((C7674&gt;='Resultats - informe'!$E$16)*(C7674&lt;='Resultats - informe'!$G$16),1,0)</f>
        <v>1</v>
      </c>
      <c r="M7674" s="369" cm="1">
        <f t="array" ref="M7674">+_xlfn.IFS((C7674&gt;='Resultats - informe'!$D$26)*(C7674&lt;='Resultats - informe'!$E$26),0,(C7674&gt;='Resultats - informe'!$D$27)*(C7674&lt;='Resultats - informe'!$E$27),0,(C7674&gt;='Resultats - informe'!$D$28)*(C7674&lt;='Resultats - informe'!$E$28),0,(C7674&gt;='Resultats - informe'!$D$29)*(C7674&lt;='Resultats - informe'!$E$29),0,1,1)</f>
        <v>0</v>
      </c>
      <c r="N7674" s="366">
        <f>+VLOOKUP(D7674,'Resultats - informe'!$Y$18:$AG$42,'Introducció dades consum'!K7674+1,0)</f>
        <v>0</v>
      </c>
      <c r="O7674" s="370" cm="1">
        <f t="array" ref="O7674">+_xlfn.SWITCH(MONTH(C7674),1,1,2,1,3,1,4,2,5,2,6,3,7,3,8,3,9,3,10,2,11,2,12,1,2)</f>
        <v>1</v>
      </c>
      <c r="P7674" s="43"/>
    </row>
    <row r="7675" spans="1:16" ht="18" x14ac:dyDescent="0.35">
      <c r="A7675" s="9"/>
      <c r="C7675" s="393"/>
      <c r="E7675" s="394"/>
      <c r="F7675" s="394"/>
      <c r="G7675" s="394"/>
      <c r="I7675" s="368">
        <f t="shared" si="363"/>
        <v>0</v>
      </c>
      <c r="J7675" s="365">
        <f t="shared" si="364"/>
        <v>0</v>
      </c>
      <c r="K7675" s="369">
        <f t="shared" si="365"/>
        <v>6</v>
      </c>
      <c r="L7675" s="369">
        <f>+IF((C7675&gt;='Resultats - informe'!$E$16)*(C7675&lt;='Resultats - informe'!$G$16),1,0)</f>
        <v>1</v>
      </c>
      <c r="M7675" s="369" cm="1">
        <f t="array" ref="M7675">+_xlfn.IFS((C7675&gt;='Resultats - informe'!$D$26)*(C7675&lt;='Resultats - informe'!$E$26),0,(C7675&gt;='Resultats - informe'!$D$27)*(C7675&lt;='Resultats - informe'!$E$27),0,(C7675&gt;='Resultats - informe'!$D$28)*(C7675&lt;='Resultats - informe'!$E$28),0,(C7675&gt;='Resultats - informe'!$D$29)*(C7675&lt;='Resultats - informe'!$E$29),0,1,1)</f>
        <v>0</v>
      </c>
      <c r="N7675" s="366">
        <f>+VLOOKUP(D7675,'Resultats - informe'!$Y$18:$AG$42,'Introducció dades consum'!K7675+1,0)</f>
        <v>0</v>
      </c>
      <c r="O7675" s="370" cm="1">
        <f t="array" ref="O7675">+_xlfn.SWITCH(MONTH(C7675),1,1,2,1,3,1,4,2,5,2,6,3,7,3,8,3,9,3,10,2,11,2,12,1,2)</f>
        <v>1</v>
      </c>
      <c r="P7675" s="43"/>
    </row>
    <row r="7676" spans="1:16" ht="18" x14ac:dyDescent="0.35">
      <c r="A7676" s="9"/>
      <c r="C7676" s="393"/>
      <c r="E7676" s="394"/>
      <c r="F7676" s="394"/>
      <c r="G7676" s="394"/>
      <c r="I7676" s="368">
        <f t="shared" si="363"/>
        <v>0</v>
      </c>
      <c r="J7676" s="365">
        <f t="shared" si="364"/>
        <v>0</v>
      </c>
      <c r="K7676" s="369">
        <f t="shared" si="365"/>
        <v>6</v>
      </c>
      <c r="L7676" s="369">
        <f>+IF((C7676&gt;='Resultats - informe'!$E$16)*(C7676&lt;='Resultats - informe'!$G$16),1,0)</f>
        <v>1</v>
      </c>
      <c r="M7676" s="369" cm="1">
        <f t="array" ref="M7676">+_xlfn.IFS((C7676&gt;='Resultats - informe'!$D$26)*(C7676&lt;='Resultats - informe'!$E$26),0,(C7676&gt;='Resultats - informe'!$D$27)*(C7676&lt;='Resultats - informe'!$E$27),0,(C7676&gt;='Resultats - informe'!$D$28)*(C7676&lt;='Resultats - informe'!$E$28),0,(C7676&gt;='Resultats - informe'!$D$29)*(C7676&lt;='Resultats - informe'!$E$29),0,1,1)</f>
        <v>0</v>
      </c>
      <c r="N7676" s="366">
        <f>+VLOOKUP(D7676,'Resultats - informe'!$Y$18:$AG$42,'Introducció dades consum'!K7676+1,0)</f>
        <v>0</v>
      </c>
      <c r="O7676" s="370" cm="1">
        <f t="array" ref="O7676">+_xlfn.SWITCH(MONTH(C7676),1,1,2,1,3,1,4,2,5,2,6,3,7,3,8,3,9,3,10,2,11,2,12,1,2)</f>
        <v>1</v>
      </c>
      <c r="P7676" s="43"/>
    </row>
    <row r="7677" spans="1:16" ht="18" x14ac:dyDescent="0.35">
      <c r="A7677" s="9"/>
      <c r="C7677" s="393"/>
      <c r="E7677" s="394"/>
      <c r="F7677" s="394"/>
      <c r="G7677" s="394"/>
      <c r="I7677" s="368">
        <f t="shared" si="363"/>
        <v>0</v>
      </c>
      <c r="J7677" s="365">
        <f t="shared" si="364"/>
        <v>0</v>
      </c>
      <c r="K7677" s="369">
        <f t="shared" si="365"/>
        <v>6</v>
      </c>
      <c r="L7677" s="369">
        <f>+IF((C7677&gt;='Resultats - informe'!$E$16)*(C7677&lt;='Resultats - informe'!$G$16),1,0)</f>
        <v>1</v>
      </c>
      <c r="M7677" s="369" cm="1">
        <f t="array" ref="M7677">+_xlfn.IFS((C7677&gt;='Resultats - informe'!$D$26)*(C7677&lt;='Resultats - informe'!$E$26),0,(C7677&gt;='Resultats - informe'!$D$27)*(C7677&lt;='Resultats - informe'!$E$27),0,(C7677&gt;='Resultats - informe'!$D$28)*(C7677&lt;='Resultats - informe'!$E$28),0,(C7677&gt;='Resultats - informe'!$D$29)*(C7677&lt;='Resultats - informe'!$E$29),0,1,1)</f>
        <v>0</v>
      </c>
      <c r="N7677" s="366">
        <f>+VLOOKUP(D7677,'Resultats - informe'!$Y$18:$AG$42,'Introducció dades consum'!K7677+1,0)</f>
        <v>0</v>
      </c>
      <c r="O7677" s="370" cm="1">
        <f t="array" ref="O7677">+_xlfn.SWITCH(MONTH(C7677),1,1,2,1,3,1,4,2,5,2,6,3,7,3,8,3,9,3,10,2,11,2,12,1,2)</f>
        <v>1</v>
      </c>
      <c r="P7677" s="43"/>
    </row>
    <row r="7678" spans="1:16" ht="18" x14ac:dyDescent="0.35">
      <c r="A7678" s="9"/>
      <c r="C7678" s="393"/>
      <c r="E7678" s="394"/>
      <c r="F7678" s="394"/>
      <c r="G7678" s="394"/>
      <c r="I7678" s="368">
        <f t="shared" si="363"/>
        <v>0</v>
      </c>
      <c r="J7678" s="365">
        <f t="shared" si="364"/>
        <v>0</v>
      </c>
      <c r="K7678" s="369">
        <f t="shared" si="365"/>
        <v>6</v>
      </c>
      <c r="L7678" s="369">
        <f>+IF((C7678&gt;='Resultats - informe'!$E$16)*(C7678&lt;='Resultats - informe'!$G$16),1,0)</f>
        <v>1</v>
      </c>
      <c r="M7678" s="369" cm="1">
        <f t="array" ref="M7678">+_xlfn.IFS((C7678&gt;='Resultats - informe'!$D$26)*(C7678&lt;='Resultats - informe'!$E$26),0,(C7678&gt;='Resultats - informe'!$D$27)*(C7678&lt;='Resultats - informe'!$E$27),0,(C7678&gt;='Resultats - informe'!$D$28)*(C7678&lt;='Resultats - informe'!$E$28),0,(C7678&gt;='Resultats - informe'!$D$29)*(C7678&lt;='Resultats - informe'!$E$29),0,1,1)</f>
        <v>0</v>
      </c>
      <c r="N7678" s="366">
        <f>+VLOOKUP(D7678,'Resultats - informe'!$Y$18:$AG$42,'Introducció dades consum'!K7678+1,0)</f>
        <v>0</v>
      </c>
      <c r="O7678" s="370" cm="1">
        <f t="array" ref="O7678">+_xlfn.SWITCH(MONTH(C7678),1,1,2,1,3,1,4,2,5,2,6,3,7,3,8,3,9,3,10,2,11,2,12,1,2)</f>
        <v>1</v>
      </c>
      <c r="P7678" s="43"/>
    </row>
    <row r="7679" spans="1:16" ht="18" x14ac:dyDescent="0.35">
      <c r="A7679" s="9"/>
      <c r="C7679" s="393"/>
      <c r="E7679" s="394"/>
      <c r="F7679" s="394"/>
      <c r="G7679" s="394"/>
      <c r="I7679" s="368">
        <f t="shared" si="363"/>
        <v>0</v>
      </c>
      <c r="J7679" s="365">
        <f t="shared" si="364"/>
        <v>0</v>
      </c>
      <c r="K7679" s="369">
        <f t="shared" si="365"/>
        <v>6</v>
      </c>
      <c r="L7679" s="369">
        <f>+IF((C7679&gt;='Resultats - informe'!$E$16)*(C7679&lt;='Resultats - informe'!$G$16),1,0)</f>
        <v>1</v>
      </c>
      <c r="M7679" s="369" cm="1">
        <f t="array" ref="M7679">+_xlfn.IFS((C7679&gt;='Resultats - informe'!$D$26)*(C7679&lt;='Resultats - informe'!$E$26),0,(C7679&gt;='Resultats - informe'!$D$27)*(C7679&lt;='Resultats - informe'!$E$27),0,(C7679&gt;='Resultats - informe'!$D$28)*(C7679&lt;='Resultats - informe'!$E$28),0,(C7679&gt;='Resultats - informe'!$D$29)*(C7679&lt;='Resultats - informe'!$E$29),0,1,1)</f>
        <v>0</v>
      </c>
      <c r="N7679" s="366">
        <f>+VLOOKUP(D7679,'Resultats - informe'!$Y$18:$AG$42,'Introducció dades consum'!K7679+1,0)</f>
        <v>0</v>
      </c>
      <c r="O7679" s="370" cm="1">
        <f t="array" ref="O7679">+_xlfn.SWITCH(MONTH(C7679),1,1,2,1,3,1,4,2,5,2,6,3,7,3,8,3,9,3,10,2,11,2,12,1,2)</f>
        <v>1</v>
      </c>
      <c r="P7679" s="43"/>
    </row>
    <row r="7680" spans="1:16" ht="18" x14ac:dyDescent="0.35">
      <c r="A7680" s="9"/>
      <c r="C7680" s="393"/>
      <c r="E7680" s="394"/>
      <c r="F7680" s="394"/>
      <c r="G7680" s="394"/>
      <c r="I7680" s="368">
        <f t="shared" si="363"/>
        <v>0</v>
      </c>
      <c r="J7680" s="365">
        <f t="shared" si="364"/>
        <v>0</v>
      </c>
      <c r="K7680" s="369">
        <f t="shared" si="365"/>
        <v>6</v>
      </c>
      <c r="L7680" s="369">
        <f>+IF((C7680&gt;='Resultats - informe'!$E$16)*(C7680&lt;='Resultats - informe'!$G$16),1,0)</f>
        <v>1</v>
      </c>
      <c r="M7680" s="369" cm="1">
        <f t="array" ref="M7680">+_xlfn.IFS((C7680&gt;='Resultats - informe'!$D$26)*(C7680&lt;='Resultats - informe'!$E$26),0,(C7680&gt;='Resultats - informe'!$D$27)*(C7680&lt;='Resultats - informe'!$E$27),0,(C7680&gt;='Resultats - informe'!$D$28)*(C7680&lt;='Resultats - informe'!$E$28),0,(C7680&gt;='Resultats - informe'!$D$29)*(C7680&lt;='Resultats - informe'!$E$29),0,1,1)</f>
        <v>0</v>
      </c>
      <c r="N7680" s="366">
        <f>+VLOOKUP(D7680,'Resultats - informe'!$Y$18:$AG$42,'Introducció dades consum'!K7680+1,0)</f>
        <v>0</v>
      </c>
      <c r="O7680" s="370" cm="1">
        <f t="array" ref="O7680">+_xlfn.SWITCH(MONTH(C7680),1,1,2,1,3,1,4,2,5,2,6,3,7,3,8,3,9,3,10,2,11,2,12,1,2)</f>
        <v>1</v>
      </c>
      <c r="P7680" s="43"/>
    </row>
    <row r="7681" spans="1:16" ht="18" x14ac:dyDescent="0.35">
      <c r="A7681" s="9"/>
      <c r="C7681" s="393"/>
      <c r="E7681" s="394"/>
      <c r="F7681" s="394"/>
      <c r="G7681" s="394"/>
      <c r="I7681" s="368">
        <f t="shared" si="363"/>
        <v>0</v>
      </c>
      <c r="J7681" s="365">
        <f t="shared" si="364"/>
        <v>0</v>
      </c>
      <c r="K7681" s="369">
        <f t="shared" si="365"/>
        <v>6</v>
      </c>
      <c r="L7681" s="369">
        <f>+IF((C7681&gt;='Resultats - informe'!$E$16)*(C7681&lt;='Resultats - informe'!$G$16),1,0)</f>
        <v>1</v>
      </c>
      <c r="M7681" s="369" cm="1">
        <f t="array" ref="M7681">+_xlfn.IFS((C7681&gt;='Resultats - informe'!$D$26)*(C7681&lt;='Resultats - informe'!$E$26),0,(C7681&gt;='Resultats - informe'!$D$27)*(C7681&lt;='Resultats - informe'!$E$27),0,(C7681&gt;='Resultats - informe'!$D$28)*(C7681&lt;='Resultats - informe'!$E$28),0,(C7681&gt;='Resultats - informe'!$D$29)*(C7681&lt;='Resultats - informe'!$E$29),0,1,1)</f>
        <v>0</v>
      </c>
      <c r="N7681" s="366">
        <f>+VLOOKUP(D7681,'Resultats - informe'!$Y$18:$AG$42,'Introducció dades consum'!K7681+1,0)</f>
        <v>0</v>
      </c>
      <c r="O7681" s="370" cm="1">
        <f t="array" ref="O7681">+_xlfn.SWITCH(MONTH(C7681),1,1,2,1,3,1,4,2,5,2,6,3,7,3,8,3,9,3,10,2,11,2,12,1,2)</f>
        <v>1</v>
      </c>
      <c r="P7681" s="43"/>
    </row>
    <row r="7682" spans="1:16" ht="18" x14ac:dyDescent="0.35">
      <c r="A7682" s="9"/>
      <c r="C7682" s="393"/>
      <c r="E7682" s="394"/>
      <c r="F7682" s="394"/>
      <c r="G7682" s="394"/>
      <c r="I7682" s="368">
        <f t="shared" si="363"/>
        <v>0</v>
      </c>
      <c r="J7682" s="365">
        <f t="shared" si="364"/>
        <v>0</v>
      </c>
      <c r="K7682" s="369">
        <f t="shared" si="365"/>
        <v>6</v>
      </c>
      <c r="L7682" s="369">
        <f>+IF((C7682&gt;='Resultats - informe'!$E$16)*(C7682&lt;='Resultats - informe'!$G$16),1,0)</f>
        <v>1</v>
      </c>
      <c r="M7682" s="369" cm="1">
        <f t="array" ref="M7682">+_xlfn.IFS((C7682&gt;='Resultats - informe'!$D$26)*(C7682&lt;='Resultats - informe'!$E$26),0,(C7682&gt;='Resultats - informe'!$D$27)*(C7682&lt;='Resultats - informe'!$E$27),0,(C7682&gt;='Resultats - informe'!$D$28)*(C7682&lt;='Resultats - informe'!$E$28),0,(C7682&gt;='Resultats - informe'!$D$29)*(C7682&lt;='Resultats - informe'!$E$29),0,1,1)</f>
        <v>0</v>
      </c>
      <c r="N7682" s="366">
        <f>+VLOOKUP(D7682,'Resultats - informe'!$Y$18:$AG$42,'Introducció dades consum'!K7682+1,0)</f>
        <v>0</v>
      </c>
      <c r="O7682" s="370" cm="1">
        <f t="array" ref="O7682">+_xlfn.SWITCH(MONTH(C7682),1,1,2,1,3,1,4,2,5,2,6,3,7,3,8,3,9,3,10,2,11,2,12,1,2)</f>
        <v>1</v>
      </c>
      <c r="P7682" s="43"/>
    </row>
    <row r="7683" spans="1:16" ht="18" x14ac:dyDescent="0.35">
      <c r="A7683" s="9"/>
      <c r="C7683" s="393"/>
      <c r="E7683" s="394"/>
      <c r="F7683" s="394"/>
      <c r="G7683" s="394"/>
      <c r="I7683" s="368">
        <f t="shared" si="363"/>
        <v>0</v>
      </c>
      <c r="J7683" s="365">
        <f t="shared" si="364"/>
        <v>0</v>
      </c>
      <c r="K7683" s="369">
        <f t="shared" si="365"/>
        <v>6</v>
      </c>
      <c r="L7683" s="369">
        <f>+IF((C7683&gt;='Resultats - informe'!$E$16)*(C7683&lt;='Resultats - informe'!$G$16),1,0)</f>
        <v>1</v>
      </c>
      <c r="M7683" s="369" cm="1">
        <f t="array" ref="M7683">+_xlfn.IFS((C7683&gt;='Resultats - informe'!$D$26)*(C7683&lt;='Resultats - informe'!$E$26),0,(C7683&gt;='Resultats - informe'!$D$27)*(C7683&lt;='Resultats - informe'!$E$27),0,(C7683&gt;='Resultats - informe'!$D$28)*(C7683&lt;='Resultats - informe'!$E$28),0,(C7683&gt;='Resultats - informe'!$D$29)*(C7683&lt;='Resultats - informe'!$E$29),0,1,1)</f>
        <v>0</v>
      </c>
      <c r="N7683" s="366">
        <f>+VLOOKUP(D7683,'Resultats - informe'!$Y$18:$AG$42,'Introducció dades consum'!K7683+1,0)</f>
        <v>0</v>
      </c>
      <c r="O7683" s="370" cm="1">
        <f t="array" ref="O7683">+_xlfn.SWITCH(MONTH(C7683),1,1,2,1,3,1,4,2,5,2,6,3,7,3,8,3,9,3,10,2,11,2,12,1,2)</f>
        <v>1</v>
      </c>
      <c r="P7683" s="43"/>
    </row>
    <row r="7684" spans="1:16" ht="18" x14ac:dyDescent="0.35">
      <c r="A7684" s="9"/>
      <c r="C7684" s="393"/>
      <c r="E7684" s="394"/>
      <c r="F7684" s="394"/>
      <c r="G7684" s="394"/>
      <c r="I7684" s="368">
        <f t="shared" si="363"/>
        <v>0</v>
      </c>
      <c r="J7684" s="365">
        <f t="shared" si="364"/>
        <v>0</v>
      </c>
      <c r="K7684" s="369">
        <f t="shared" si="365"/>
        <v>6</v>
      </c>
      <c r="L7684" s="369">
        <f>+IF((C7684&gt;='Resultats - informe'!$E$16)*(C7684&lt;='Resultats - informe'!$G$16),1,0)</f>
        <v>1</v>
      </c>
      <c r="M7684" s="369" cm="1">
        <f t="array" ref="M7684">+_xlfn.IFS((C7684&gt;='Resultats - informe'!$D$26)*(C7684&lt;='Resultats - informe'!$E$26),0,(C7684&gt;='Resultats - informe'!$D$27)*(C7684&lt;='Resultats - informe'!$E$27),0,(C7684&gt;='Resultats - informe'!$D$28)*(C7684&lt;='Resultats - informe'!$E$28),0,(C7684&gt;='Resultats - informe'!$D$29)*(C7684&lt;='Resultats - informe'!$E$29),0,1,1)</f>
        <v>0</v>
      </c>
      <c r="N7684" s="366">
        <f>+VLOOKUP(D7684,'Resultats - informe'!$Y$18:$AG$42,'Introducció dades consum'!K7684+1,0)</f>
        <v>0</v>
      </c>
      <c r="O7684" s="370" cm="1">
        <f t="array" ref="O7684">+_xlfn.SWITCH(MONTH(C7684),1,1,2,1,3,1,4,2,5,2,6,3,7,3,8,3,9,3,10,2,11,2,12,1,2)</f>
        <v>1</v>
      </c>
      <c r="P7684" s="43"/>
    </row>
    <row r="7685" spans="1:16" ht="18" x14ac:dyDescent="0.35">
      <c r="A7685" s="9"/>
      <c r="C7685" s="393"/>
      <c r="E7685" s="394"/>
      <c r="F7685" s="394"/>
      <c r="G7685" s="394"/>
      <c r="I7685" s="368">
        <f t="shared" si="363"/>
        <v>0</v>
      </c>
      <c r="J7685" s="365">
        <f t="shared" si="364"/>
        <v>0</v>
      </c>
      <c r="K7685" s="369">
        <f t="shared" si="365"/>
        <v>6</v>
      </c>
      <c r="L7685" s="369">
        <f>+IF((C7685&gt;='Resultats - informe'!$E$16)*(C7685&lt;='Resultats - informe'!$G$16),1,0)</f>
        <v>1</v>
      </c>
      <c r="M7685" s="369" cm="1">
        <f t="array" ref="M7685">+_xlfn.IFS((C7685&gt;='Resultats - informe'!$D$26)*(C7685&lt;='Resultats - informe'!$E$26),0,(C7685&gt;='Resultats - informe'!$D$27)*(C7685&lt;='Resultats - informe'!$E$27),0,(C7685&gt;='Resultats - informe'!$D$28)*(C7685&lt;='Resultats - informe'!$E$28),0,(C7685&gt;='Resultats - informe'!$D$29)*(C7685&lt;='Resultats - informe'!$E$29),0,1,1)</f>
        <v>0</v>
      </c>
      <c r="N7685" s="366">
        <f>+VLOOKUP(D7685,'Resultats - informe'!$Y$18:$AG$42,'Introducció dades consum'!K7685+1,0)</f>
        <v>0</v>
      </c>
      <c r="O7685" s="370" cm="1">
        <f t="array" ref="O7685">+_xlfn.SWITCH(MONTH(C7685),1,1,2,1,3,1,4,2,5,2,6,3,7,3,8,3,9,3,10,2,11,2,12,1,2)</f>
        <v>1</v>
      </c>
      <c r="P7685" s="43"/>
    </row>
    <row r="7686" spans="1:16" ht="18" x14ac:dyDescent="0.35">
      <c r="A7686" s="9"/>
      <c r="C7686" s="393"/>
      <c r="E7686" s="394"/>
      <c r="F7686" s="394"/>
      <c r="G7686" s="394"/>
      <c r="I7686" s="368">
        <f t="shared" si="363"/>
        <v>0</v>
      </c>
      <c r="J7686" s="365">
        <f t="shared" si="364"/>
        <v>0</v>
      </c>
      <c r="K7686" s="369">
        <f t="shared" si="365"/>
        <v>6</v>
      </c>
      <c r="L7686" s="369">
        <f>+IF((C7686&gt;='Resultats - informe'!$E$16)*(C7686&lt;='Resultats - informe'!$G$16),1,0)</f>
        <v>1</v>
      </c>
      <c r="M7686" s="369" cm="1">
        <f t="array" ref="M7686">+_xlfn.IFS((C7686&gt;='Resultats - informe'!$D$26)*(C7686&lt;='Resultats - informe'!$E$26),0,(C7686&gt;='Resultats - informe'!$D$27)*(C7686&lt;='Resultats - informe'!$E$27),0,(C7686&gt;='Resultats - informe'!$D$28)*(C7686&lt;='Resultats - informe'!$E$28),0,(C7686&gt;='Resultats - informe'!$D$29)*(C7686&lt;='Resultats - informe'!$E$29),0,1,1)</f>
        <v>0</v>
      </c>
      <c r="N7686" s="366">
        <f>+VLOOKUP(D7686,'Resultats - informe'!$Y$18:$AG$42,'Introducció dades consum'!K7686+1,0)</f>
        <v>0</v>
      </c>
      <c r="O7686" s="370" cm="1">
        <f t="array" ref="O7686">+_xlfn.SWITCH(MONTH(C7686),1,1,2,1,3,1,4,2,5,2,6,3,7,3,8,3,9,3,10,2,11,2,12,1,2)</f>
        <v>1</v>
      </c>
      <c r="P7686" s="43"/>
    </row>
    <row r="7687" spans="1:16" ht="18" x14ac:dyDescent="0.35">
      <c r="A7687" s="9"/>
      <c r="C7687" s="393"/>
      <c r="E7687" s="394"/>
      <c r="F7687" s="394"/>
      <c r="G7687" s="394"/>
      <c r="I7687" s="368">
        <f t="shared" si="363"/>
        <v>0</v>
      </c>
      <c r="J7687" s="365">
        <f t="shared" si="364"/>
        <v>0</v>
      </c>
      <c r="K7687" s="369">
        <f t="shared" si="365"/>
        <v>6</v>
      </c>
      <c r="L7687" s="369">
        <f>+IF((C7687&gt;='Resultats - informe'!$E$16)*(C7687&lt;='Resultats - informe'!$G$16),1,0)</f>
        <v>1</v>
      </c>
      <c r="M7687" s="369" cm="1">
        <f t="array" ref="M7687">+_xlfn.IFS((C7687&gt;='Resultats - informe'!$D$26)*(C7687&lt;='Resultats - informe'!$E$26),0,(C7687&gt;='Resultats - informe'!$D$27)*(C7687&lt;='Resultats - informe'!$E$27),0,(C7687&gt;='Resultats - informe'!$D$28)*(C7687&lt;='Resultats - informe'!$E$28),0,(C7687&gt;='Resultats - informe'!$D$29)*(C7687&lt;='Resultats - informe'!$E$29),0,1,1)</f>
        <v>0</v>
      </c>
      <c r="N7687" s="366">
        <f>+VLOOKUP(D7687,'Resultats - informe'!$Y$18:$AG$42,'Introducció dades consum'!K7687+1,0)</f>
        <v>0</v>
      </c>
      <c r="O7687" s="370" cm="1">
        <f t="array" ref="O7687">+_xlfn.SWITCH(MONTH(C7687),1,1,2,1,3,1,4,2,5,2,6,3,7,3,8,3,9,3,10,2,11,2,12,1,2)</f>
        <v>1</v>
      </c>
      <c r="P7687" s="43"/>
    </row>
    <row r="7688" spans="1:16" ht="18" x14ac:dyDescent="0.35">
      <c r="A7688" s="9"/>
      <c r="C7688" s="393"/>
      <c r="E7688" s="394"/>
      <c r="F7688" s="394"/>
      <c r="G7688" s="394"/>
      <c r="I7688" s="368">
        <f t="shared" si="363"/>
        <v>0</v>
      </c>
      <c r="J7688" s="365">
        <f t="shared" si="364"/>
        <v>0</v>
      </c>
      <c r="K7688" s="369">
        <f t="shared" si="365"/>
        <v>6</v>
      </c>
      <c r="L7688" s="369">
        <f>+IF((C7688&gt;='Resultats - informe'!$E$16)*(C7688&lt;='Resultats - informe'!$G$16),1,0)</f>
        <v>1</v>
      </c>
      <c r="M7688" s="369" cm="1">
        <f t="array" ref="M7688">+_xlfn.IFS((C7688&gt;='Resultats - informe'!$D$26)*(C7688&lt;='Resultats - informe'!$E$26),0,(C7688&gt;='Resultats - informe'!$D$27)*(C7688&lt;='Resultats - informe'!$E$27),0,(C7688&gt;='Resultats - informe'!$D$28)*(C7688&lt;='Resultats - informe'!$E$28),0,(C7688&gt;='Resultats - informe'!$D$29)*(C7688&lt;='Resultats - informe'!$E$29),0,1,1)</f>
        <v>0</v>
      </c>
      <c r="N7688" s="366">
        <f>+VLOOKUP(D7688,'Resultats - informe'!$Y$18:$AG$42,'Introducció dades consum'!K7688+1,0)</f>
        <v>0</v>
      </c>
      <c r="O7688" s="370" cm="1">
        <f t="array" ref="O7688">+_xlfn.SWITCH(MONTH(C7688),1,1,2,1,3,1,4,2,5,2,6,3,7,3,8,3,9,3,10,2,11,2,12,1,2)</f>
        <v>1</v>
      </c>
      <c r="P7688" s="43"/>
    </row>
    <row r="7689" spans="1:16" ht="18" x14ac:dyDescent="0.35">
      <c r="A7689" s="9"/>
      <c r="C7689" s="393"/>
      <c r="E7689" s="394"/>
      <c r="F7689" s="394"/>
      <c r="G7689" s="394"/>
      <c r="I7689" s="368">
        <f t="shared" si="363"/>
        <v>0</v>
      </c>
      <c r="J7689" s="365">
        <f t="shared" si="364"/>
        <v>0</v>
      </c>
      <c r="K7689" s="369">
        <f t="shared" si="365"/>
        <v>6</v>
      </c>
      <c r="L7689" s="369">
        <f>+IF((C7689&gt;='Resultats - informe'!$E$16)*(C7689&lt;='Resultats - informe'!$G$16),1,0)</f>
        <v>1</v>
      </c>
      <c r="M7689" s="369" cm="1">
        <f t="array" ref="M7689">+_xlfn.IFS((C7689&gt;='Resultats - informe'!$D$26)*(C7689&lt;='Resultats - informe'!$E$26),0,(C7689&gt;='Resultats - informe'!$D$27)*(C7689&lt;='Resultats - informe'!$E$27),0,(C7689&gt;='Resultats - informe'!$D$28)*(C7689&lt;='Resultats - informe'!$E$28),0,(C7689&gt;='Resultats - informe'!$D$29)*(C7689&lt;='Resultats - informe'!$E$29),0,1,1)</f>
        <v>0</v>
      </c>
      <c r="N7689" s="366">
        <f>+VLOOKUP(D7689,'Resultats - informe'!$Y$18:$AG$42,'Introducció dades consum'!K7689+1,0)</f>
        <v>0</v>
      </c>
      <c r="O7689" s="370" cm="1">
        <f t="array" ref="O7689">+_xlfn.SWITCH(MONTH(C7689),1,1,2,1,3,1,4,2,5,2,6,3,7,3,8,3,9,3,10,2,11,2,12,1,2)</f>
        <v>1</v>
      </c>
      <c r="P7689" s="43"/>
    </row>
    <row r="7690" spans="1:16" ht="18" x14ac:dyDescent="0.35">
      <c r="A7690" s="9"/>
      <c r="C7690" s="393"/>
      <c r="E7690" s="394"/>
      <c r="F7690" s="394"/>
      <c r="G7690" s="394"/>
      <c r="I7690" s="368">
        <f t="shared" si="363"/>
        <v>0</v>
      </c>
      <c r="J7690" s="365">
        <f t="shared" si="364"/>
        <v>0</v>
      </c>
      <c r="K7690" s="369">
        <f t="shared" si="365"/>
        <v>6</v>
      </c>
      <c r="L7690" s="369">
        <f>+IF((C7690&gt;='Resultats - informe'!$E$16)*(C7690&lt;='Resultats - informe'!$G$16),1,0)</f>
        <v>1</v>
      </c>
      <c r="M7690" s="369" cm="1">
        <f t="array" ref="M7690">+_xlfn.IFS((C7690&gt;='Resultats - informe'!$D$26)*(C7690&lt;='Resultats - informe'!$E$26),0,(C7690&gt;='Resultats - informe'!$D$27)*(C7690&lt;='Resultats - informe'!$E$27),0,(C7690&gt;='Resultats - informe'!$D$28)*(C7690&lt;='Resultats - informe'!$E$28),0,(C7690&gt;='Resultats - informe'!$D$29)*(C7690&lt;='Resultats - informe'!$E$29),0,1,1)</f>
        <v>0</v>
      </c>
      <c r="N7690" s="366">
        <f>+VLOOKUP(D7690,'Resultats - informe'!$Y$18:$AG$42,'Introducció dades consum'!K7690+1,0)</f>
        <v>0</v>
      </c>
      <c r="O7690" s="370" cm="1">
        <f t="array" ref="O7690">+_xlfn.SWITCH(MONTH(C7690),1,1,2,1,3,1,4,2,5,2,6,3,7,3,8,3,9,3,10,2,11,2,12,1,2)</f>
        <v>1</v>
      </c>
      <c r="P7690" s="43"/>
    </row>
    <row r="7691" spans="1:16" ht="18" x14ac:dyDescent="0.35">
      <c r="A7691" s="9"/>
      <c r="C7691" s="393"/>
      <c r="E7691" s="394"/>
      <c r="F7691" s="394"/>
      <c r="G7691" s="394"/>
      <c r="I7691" s="368">
        <f t="shared" si="363"/>
        <v>0</v>
      </c>
      <c r="J7691" s="365">
        <f t="shared" si="364"/>
        <v>0</v>
      </c>
      <c r="K7691" s="369">
        <f t="shared" si="365"/>
        <v>6</v>
      </c>
      <c r="L7691" s="369">
        <f>+IF((C7691&gt;='Resultats - informe'!$E$16)*(C7691&lt;='Resultats - informe'!$G$16),1,0)</f>
        <v>1</v>
      </c>
      <c r="M7691" s="369" cm="1">
        <f t="array" ref="M7691">+_xlfn.IFS((C7691&gt;='Resultats - informe'!$D$26)*(C7691&lt;='Resultats - informe'!$E$26),0,(C7691&gt;='Resultats - informe'!$D$27)*(C7691&lt;='Resultats - informe'!$E$27),0,(C7691&gt;='Resultats - informe'!$D$28)*(C7691&lt;='Resultats - informe'!$E$28),0,(C7691&gt;='Resultats - informe'!$D$29)*(C7691&lt;='Resultats - informe'!$E$29),0,1,1)</f>
        <v>0</v>
      </c>
      <c r="N7691" s="366">
        <f>+VLOOKUP(D7691,'Resultats - informe'!$Y$18:$AG$42,'Introducció dades consum'!K7691+1,0)</f>
        <v>0</v>
      </c>
      <c r="O7691" s="370" cm="1">
        <f t="array" ref="O7691">+_xlfn.SWITCH(MONTH(C7691),1,1,2,1,3,1,4,2,5,2,6,3,7,3,8,3,9,3,10,2,11,2,12,1,2)</f>
        <v>1</v>
      </c>
      <c r="P7691" s="43"/>
    </row>
    <row r="7692" spans="1:16" ht="18" x14ac:dyDescent="0.35">
      <c r="A7692" s="9"/>
      <c r="C7692" s="393"/>
      <c r="E7692" s="394"/>
      <c r="F7692" s="394"/>
      <c r="G7692" s="394"/>
      <c r="I7692" s="368">
        <f t="shared" si="363"/>
        <v>0</v>
      </c>
      <c r="J7692" s="365">
        <f t="shared" si="364"/>
        <v>0</v>
      </c>
      <c r="K7692" s="369">
        <f t="shared" si="365"/>
        <v>6</v>
      </c>
      <c r="L7692" s="369">
        <f>+IF((C7692&gt;='Resultats - informe'!$E$16)*(C7692&lt;='Resultats - informe'!$G$16),1,0)</f>
        <v>1</v>
      </c>
      <c r="M7692" s="369" cm="1">
        <f t="array" ref="M7692">+_xlfn.IFS((C7692&gt;='Resultats - informe'!$D$26)*(C7692&lt;='Resultats - informe'!$E$26),0,(C7692&gt;='Resultats - informe'!$D$27)*(C7692&lt;='Resultats - informe'!$E$27),0,(C7692&gt;='Resultats - informe'!$D$28)*(C7692&lt;='Resultats - informe'!$E$28),0,(C7692&gt;='Resultats - informe'!$D$29)*(C7692&lt;='Resultats - informe'!$E$29),0,1,1)</f>
        <v>0</v>
      </c>
      <c r="N7692" s="366">
        <f>+VLOOKUP(D7692,'Resultats - informe'!$Y$18:$AG$42,'Introducció dades consum'!K7692+1,0)</f>
        <v>0</v>
      </c>
      <c r="O7692" s="370" cm="1">
        <f t="array" ref="O7692">+_xlfn.SWITCH(MONTH(C7692),1,1,2,1,3,1,4,2,5,2,6,3,7,3,8,3,9,3,10,2,11,2,12,1,2)</f>
        <v>1</v>
      </c>
      <c r="P7692" s="43"/>
    </row>
    <row r="7693" spans="1:16" ht="18" x14ac:dyDescent="0.35">
      <c r="A7693" s="9"/>
      <c r="C7693" s="393"/>
      <c r="E7693" s="394"/>
      <c r="F7693" s="394"/>
      <c r="G7693" s="394"/>
      <c r="I7693" s="368">
        <f t="shared" si="363"/>
        <v>0</v>
      </c>
      <c r="J7693" s="365">
        <f t="shared" si="364"/>
        <v>0</v>
      </c>
      <c r="K7693" s="369">
        <f t="shared" si="365"/>
        <v>6</v>
      </c>
      <c r="L7693" s="369">
        <f>+IF((C7693&gt;='Resultats - informe'!$E$16)*(C7693&lt;='Resultats - informe'!$G$16),1,0)</f>
        <v>1</v>
      </c>
      <c r="M7693" s="369" cm="1">
        <f t="array" ref="M7693">+_xlfn.IFS((C7693&gt;='Resultats - informe'!$D$26)*(C7693&lt;='Resultats - informe'!$E$26),0,(C7693&gt;='Resultats - informe'!$D$27)*(C7693&lt;='Resultats - informe'!$E$27),0,(C7693&gt;='Resultats - informe'!$D$28)*(C7693&lt;='Resultats - informe'!$E$28),0,(C7693&gt;='Resultats - informe'!$D$29)*(C7693&lt;='Resultats - informe'!$E$29),0,1,1)</f>
        <v>0</v>
      </c>
      <c r="N7693" s="366">
        <f>+VLOOKUP(D7693,'Resultats - informe'!$Y$18:$AG$42,'Introducció dades consum'!K7693+1,0)</f>
        <v>0</v>
      </c>
      <c r="O7693" s="370" cm="1">
        <f t="array" ref="O7693">+_xlfn.SWITCH(MONTH(C7693),1,1,2,1,3,1,4,2,5,2,6,3,7,3,8,3,9,3,10,2,11,2,12,1,2)</f>
        <v>1</v>
      </c>
      <c r="P7693" s="43"/>
    </row>
    <row r="7694" spans="1:16" ht="18" x14ac:dyDescent="0.35">
      <c r="A7694" s="9"/>
      <c r="C7694" s="393"/>
      <c r="E7694" s="394"/>
      <c r="F7694" s="394"/>
      <c r="G7694" s="394"/>
      <c r="I7694" s="368">
        <f t="shared" si="363"/>
        <v>0</v>
      </c>
      <c r="J7694" s="365">
        <f t="shared" si="364"/>
        <v>0</v>
      </c>
      <c r="K7694" s="369">
        <f t="shared" si="365"/>
        <v>6</v>
      </c>
      <c r="L7694" s="369">
        <f>+IF((C7694&gt;='Resultats - informe'!$E$16)*(C7694&lt;='Resultats - informe'!$G$16),1,0)</f>
        <v>1</v>
      </c>
      <c r="M7694" s="369" cm="1">
        <f t="array" ref="M7694">+_xlfn.IFS((C7694&gt;='Resultats - informe'!$D$26)*(C7694&lt;='Resultats - informe'!$E$26),0,(C7694&gt;='Resultats - informe'!$D$27)*(C7694&lt;='Resultats - informe'!$E$27),0,(C7694&gt;='Resultats - informe'!$D$28)*(C7694&lt;='Resultats - informe'!$E$28),0,(C7694&gt;='Resultats - informe'!$D$29)*(C7694&lt;='Resultats - informe'!$E$29),0,1,1)</f>
        <v>0</v>
      </c>
      <c r="N7694" s="366">
        <f>+VLOOKUP(D7694,'Resultats - informe'!$Y$18:$AG$42,'Introducció dades consum'!K7694+1,0)</f>
        <v>0</v>
      </c>
      <c r="O7694" s="370" cm="1">
        <f t="array" ref="O7694">+_xlfn.SWITCH(MONTH(C7694),1,1,2,1,3,1,4,2,5,2,6,3,7,3,8,3,9,3,10,2,11,2,12,1,2)</f>
        <v>1</v>
      </c>
      <c r="P7694" s="43"/>
    </row>
    <row r="7695" spans="1:16" ht="18" x14ac:dyDescent="0.35">
      <c r="A7695" s="9"/>
      <c r="C7695" s="393"/>
      <c r="E7695" s="394"/>
      <c r="F7695" s="394"/>
      <c r="G7695" s="394"/>
      <c r="I7695" s="368">
        <f t="shared" si="363"/>
        <v>0</v>
      </c>
      <c r="J7695" s="365">
        <f t="shared" si="364"/>
        <v>0</v>
      </c>
      <c r="K7695" s="369">
        <f t="shared" si="365"/>
        <v>6</v>
      </c>
      <c r="L7695" s="369">
        <f>+IF((C7695&gt;='Resultats - informe'!$E$16)*(C7695&lt;='Resultats - informe'!$G$16),1,0)</f>
        <v>1</v>
      </c>
      <c r="M7695" s="369" cm="1">
        <f t="array" ref="M7695">+_xlfn.IFS((C7695&gt;='Resultats - informe'!$D$26)*(C7695&lt;='Resultats - informe'!$E$26),0,(C7695&gt;='Resultats - informe'!$D$27)*(C7695&lt;='Resultats - informe'!$E$27),0,(C7695&gt;='Resultats - informe'!$D$28)*(C7695&lt;='Resultats - informe'!$E$28),0,(C7695&gt;='Resultats - informe'!$D$29)*(C7695&lt;='Resultats - informe'!$E$29),0,1,1)</f>
        <v>0</v>
      </c>
      <c r="N7695" s="366">
        <f>+VLOOKUP(D7695,'Resultats - informe'!$Y$18:$AG$42,'Introducció dades consum'!K7695+1,0)</f>
        <v>0</v>
      </c>
      <c r="O7695" s="370" cm="1">
        <f t="array" ref="O7695">+_xlfn.SWITCH(MONTH(C7695),1,1,2,1,3,1,4,2,5,2,6,3,7,3,8,3,9,3,10,2,11,2,12,1,2)</f>
        <v>1</v>
      </c>
      <c r="P7695" s="43"/>
    </row>
    <row r="7696" spans="1:16" ht="18" x14ac:dyDescent="0.35">
      <c r="A7696" s="9"/>
      <c r="C7696" s="393"/>
      <c r="E7696" s="394"/>
      <c r="F7696" s="394"/>
      <c r="G7696" s="394"/>
      <c r="I7696" s="368">
        <f t="shared" si="363"/>
        <v>0</v>
      </c>
      <c r="J7696" s="365">
        <f t="shared" si="364"/>
        <v>0</v>
      </c>
      <c r="K7696" s="369">
        <f t="shared" si="365"/>
        <v>6</v>
      </c>
      <c r="L7696" s="369">
        <f>+IF((C7696&gt;='Resultats - informe'!$E$16)*(C7696&lt;='Resultats - informe'!$G$16),1,0)</f>
        <v>1</v>
      </c>
      <c r="M7696" s="369" cm="1">
        <f t="array" ref="M7696">+_xlfn.IFS((C7696&gt;='Resultats - informe'!$D$26)*(C7696&lt;='Resultats - informe'!$E$26),0,(C7696&gt;='Resultats - informe'!$D$27)*(C7696&lt;='Resultats - informe'!$E$27),0,(C7696&gt;='Resultats - informe'!$D$28)*(C7696&lt;='Resultats - informe'!$E$28),0,(C7696&gt;='Resultats - informe'!$D$29)*(C7696&lt;='Resultats - informe'!$E$29),0,1,1)</f>
        <v>0</v>
      </c>
      <c r="N7696" s="366">
        <f>+VLOOKUP(D7696,'Resultats - informe'!$Y$18:$AG$42,'Introducció dades consum'!K7696+1,0)</f>
        <v>0</v>
      </c>
      <c r="O7696" s="370" cm="1">
        <f t="array" ref="O7696">+_xlfn.SWITCH(MONTH(C7696),1,1,2,1,3,1,4,2,5,2,6,3,7,3,8,3,9,3,10,2,11,2,12,1,2)</f>
        <v>1</v>
      </c>
      <c r="P7696" s="43"/>
    </row>
    <row r="7697" spans="1:16" ht="18" x14ac:dyDescent="0.35">
      <c r="A7697" s="9"/>
      <c r="C7697" s="393"/>
      <c r="E7697" s="394"/>
      <c r="F7697" s="394"/>
      <c r="G7697" s="394"/>
      <c r="I7697" s="368">
        <f t="shared" si="363"/>
        <v>0</v>
      </c>
      <c r="J7697" s="365">
        <f t="shared" si="364"/>
        <v>0</v>
      </c>
      <c r="K7697" s="369">
        <f t="shared" si="365"/>
        <v>6</v>
      </c>
      <c r="L7697" s="369">
        <f>+IF((C7697&gt;='Resultats - informe'!$E$16)*(C7697&lt;='Resultats - informe'!$G$16),1,0)</f>
        <v>1</v>
      </c>
      <c r="M7697" s="369" cm="1">
        <f t="array" ref="M7697">+_xlfn.IFS((C7697&gt;='Resultats - informe'!$D$26)*(C7697&lt;='Resultats - informe'!$E$26),0,(C7697&gt;='Resultats - informe'!$D$27)*(C7697&lt;='Resultats - informe'!$E$27),0,(C7697&gt;='Resultats - informe'!$D$28)*(C7697&lt;='Resultats - informe'!$E$28),0,(C7697&gt;='Resultats - informe'!$D$29)*(C7697&lt;='Resultats - informe'!$E$29),0,1,1)</f>
        <v>0</v>
      </c>
      <c r="N7697" s="366">
        <f>+VLOOKUP(D7697,'Resultats - informe'!$Y$18:$AG$42,'Introducció dades consum'!K7697+1,0)</f>
        <v>0</v>
      </c>
      <c r="O7697" s="370" cm="1">
        <f t="array" ref="O7697">+_xlfn.SWITCH(MONTH(C7697),1,1,2,1,3,1,4,2,5,2,6,3,7,3,8,3,9,3,10,2,11,2,12,1,2)</f>
        <v>1</v>
      </c>
      <c r="P7697" s="43"/>
    </row>
    <row r="7698" spans="1:16" ht="18" x14ac:dyDescent="0.35">
      <c r="A7698" s="9"/>
      <c r="C7698" s="393"/>
      <c r="E7698" s="394"/>
      <c r="F7698" s="394"/>
      <c r="G7698" s="394"/>
      <c r="I7698" s="368">
        <f t="shared" ref="I7698:I7761" si="366">+E7698+G7698</f>
        <v>0</v>
      </c>
      <c r="J7698" s="365">
        <f t="shared" ref="J7698:J7761" si="367">+C7698</f>
        <v>0</v>
      </c>
      <c r="K7698" s="369">
        <f t="shared" ref="K7698:K7761" si="368">+WEEKDAY(C7698,2)</f>
        <v>6</v>
      </c>
      <c r="L7698" s="369">
        <f>+IF((C7698&gt;='Resultats - informe'!$E$16)*(C7698&lt;='Resultats - informe'!$G$16),1,0)</f>
        <v>1</v>
      </c>
      <c r="M7698" s="369" cm="1">
        <f t="array" ref="M7698">+_xlfn.IFS((C7698&gt;='Resultats - informe'!$D$26)*(C7698&lt;='Resultats - informe'!$E$26),0,(C7698&gt;='Resultats - informe'!$D$27)*(C7698&lt;='Resultats - informe'!$E$27),0,(C7698&gt;='Resultats - informe'!$D$28)*(C7698&lt;='Resultats - informe'!$E$28),0,(C7698&gt;='Resultats - informe'!$D$29)*(C7698&lt;='Resultats - informe'!$E$29),0,1,1)</f>
        <v>0</v>
      </c>
      <c r="N7698" s="366">
        <f>+VLOOKUP(D7698,'Resultats - informe'!$Y$18:$AG$42,'Introducció dades consum'!K7698+1,0)</f>
        <v>0</v>
      </c>
      <c r="O7698" s="370" cm="1">
        <f t="array" ref="O7698">+_xlfn.SWITCH(MONTH(C7698),1,1,2,1,3,1,4,2,5,2,6,3,7,3,8,3,9,3,10,2,11,2,12,1,2)</f>
        <v>1</v>
      </c>
      <c r="P7698" s="43"/>
    </row>
    <row r="7699" spans="1:16" ht="18" x14ac:dyDescent="0.35">
      <c r="A7699" s="9"/>
      <c r="C7699" s="393"/>
      <c r="E7699" s="394"/>
      <c r="F7699" s="394"/>
      <c r="G7699" s="394"/>
      <c r="I7699" s="368">
        <f t="shared" si="366"/>
        <v>0</v>
      </c>
      <c r="J7699" s="365">
        <f t="shared" si="367"/>
        <v>0</v>
      </c>
      <c r="K7699" s="369">
        <f t="shared" si="368"/>
        <v>6</v>
      </c>
      <c r="L7699" s="369">
        <f>+IF((C7699&gt;='Resultats - informe'!$E$16)*(C7699&lt;='Resultats - informe'!$G$16),1,0)</f>
        <v>1</v>
      </c>
      <c r="M7699" s="369" cm="1">
        <f t="array" ref="M7699">+_xlfn.IFS((C7699&gt;='Resultats - informe'!$D$26)*(C7699&lt;='Resultats - informe'!$E$26),0,(C7699&gt;='Resultats - informe'!$D$27)*(C7699&lt;='Resultats - informe'!$E$27),0,(C7699&gt;='Resultats - informe'!$D$28)*(C7699&lt;='Resultats - informe'!$E$28),0,(C7699&gt;='Resultats - informe'!$D$29)*(C7699&lt;='Resultats - informe'!$E$29),0,1,1)</f>
        <v>0</v>
      </c>
      <c r="N7699" s="366">
        <f>+VLOOKUP(D7699,'Resultats - informe'!$Y$18:$AG$42,'Introducció dades consum'!K7699+1,0)</f>
        <v>0</v>
      </c>
      <c r="O7699" s="370" cm="1">
        <f t="array" ref="O7699">+_xlfn.SWITCH(MONTH(C7699),1,1,2,1,3,1,4,2,5,2,6,3,7,3,8,3,9,3,10,2,11,2,12,1,2)</f>
        <v>1</v>
      </c>
      <c r="P7699" s="43"/>
    </row>
    <row r="7700" spans="1:16" ht="18" x14ac:dyDescent="0.35">
      <c r="A7700" s="9"/>
      <c r="C7700" s="393"/>
      <c r="E7700" s="394"/>
      <c r="F7700" s="394"/>
      <c r="G7700" s="394"/>
      <c r="I7700" s="368">
        <f t="shared" si="366"/>
        <v>0</v>
      </c>
      <c r="J7700" s="365">
        <f t="shared" si="367"/>
        <v>0</v>
      </c>
      <c r="K7700" s="369">
        <f t="shared" si="368"/>
        <v>6</v>
      </c>
      <c r="L7700" s="369">
        <f>+IF((C7700&gt;='Resultats - informe'!$E$16)*(C7700&lt;='Resultats - informe'!$G$16),1,0)</f>
        <v>1</v>
      </c>
      <c r="M7700" s="369" cm="1">
        <f t="array" ref="M7700">+_xlfn.IFS((C7700&gt;='Resultats - informe'!$D$26)*(C7700&lt;='Resultats - informe'!$E$26),0,(C7700&gt;='Resultats - informe'!$D$27)*(C7700&lt;='Resultats - informe'!$E$27),0,(C7700&gt;='Resultats - informe'!$D$28)*(C7700&lt;='Resultats - informe'!$E$28),0,(C7700&gt;='Resultats - informe'!$D$29)*(C7700&lt;='Resultats - informe'!$E$29),0,1,1)</f>
        <v>0</v>
      </c>
      <c r="N7700" s="366">
        <f>+VLOOKUP(D7700,'Resultats - informe'!$Y$18:$AG$42,'Introducció dades consum'!K7700+1,0)</f>
        <v>0</v>
      </c>
      <c r="O7700" s="370" cm="1">
        <f t="array" ref="O7700">+_xlfn.SWITCH(MONTH(C7700),1,1,2,1,3,1,4,2,5,2,6,3,7,3,8,3,9,3,10,2,11,2,12,1,2)</f>
        <v>1</v>
      </c>
      <c r="P7700" s="43"/>
    </row>
    <row r="7701" spans="1:16" ht="18" x14ac:dyDescent="0.35">
      <c r="A7701" s="9"/>
      <c r="C7701" s="393"/>
      <c r="E7701" s="394"/>
      <c r="F7701" s="394"/>
      <c r="G7701" s="394"/>
      <c r="I7701" s="368">
        <f t="shared" si="366"/>
        <v>0</v>
      </c>
      <c r="J7701" s="365">
        <f t="shared" si="367"/>
        <v>0</v>
      </c>
      <c r="K7701" s="369">
        <f t="shared" si="368"/>
        <v>6</v>
      </c>
      <c r="L7701" s="369">
        <f>+IF((C7701&gt;='Resultats - informe'!$E$16)*(C7701&lt;='Resultats - informe'!$G$16),1,0)</f>
        <v>1</v>
      </c>
      <c r="M7701" s="369" cm="1">
        <f t="array" ref="M7701">+_xlfn.IFS((C7701&gt;='Resultats - informe'!$D$26)*(C7701&lt;='Resultats - informe'!$E$26),0,(C7701&gt;='Resultats - informe'!$D$27)*(C7701&lt;='Resultats - informe'!$E$27),0,(C7701&gt;='Resultats - informe'!$D$28)*(C7701&lt;='Resultats - informe'!$E$28),0,(C7701&gt;='Resultats - informe'!$D$29)*(C7701&lt;='Resultats - informe'!$E$29),0,1,1)</f>
        <v>0</v>
      </c>
      <c r="N7701" s="366">
        <f>+VLOOKUP(D7701,'Resultats - informe'!$Y$18:$AG$42,'Introducció dades consum'!K7701+1,0)</f>
        <v>0</v>
      </c>
      <c r="O7701" s="370" cm="1">
        <f t="array" ref="O7701">+_xlfn.SWITCH(MONTH(C7701),1,1,2,1,3,1,4,2,5,2,6,3,7,3,8,3,9,3,10,2,11,2,12,1,2)</f>
        <v>1</v>
      </c>
      <c r="P7701" s="43"/>
    </row>
    <row r="7702" spans="1:16" ht="18" x14ac:dyDescent="0.35">
      <c r="A7702" s="9"/>
      <c r="C7702" s="393"/>
      <c r="E7702" s="394"/>
      <c r="F7702" s="394"/>
      <c r="G7702" s="394"/>
      <c r="I7702" s="368">
        <f t="shared" si="366"/>
        <v>0</v>
      </c>
      <c r="J7702" s="365">
        <f t="shared" si="367"/>
        <v>0</v>
      </c>
      <c r="K7702" s="369">
        <f t="shared" si="368"/>
        <v>6</v>
      </c>
      <c r="L7702" s="369">
        <f>+IF((C7702&gt;='Resultats - informe'!$E$16)*(C7702&lt;='Resultats - informe'!$G$16),1,0)</f>
        <v>1</v>
      </c>
      <c r="M7702" s="369" cm="1">
        <f t="array" ref="M7702">+_xlfn.IFS((C7702&gt;='Resultats - informe'!$D$26)*(C7702&lt;='Resultats - informe'!$E$26),0,(C7702&gt;='Resultats - informe'!$D$27)*(C7702&lt;='Resultats - informe'!$E$27),0,(C7702&gt;='Resultats - informe'!$D$28)*(C7702&lt;='Resultats - informe'!$E$28),0,(C7702&gt;='Resultats - informe'!$D$29)*(C7702&lt;='Resultats - informe'!$E$29),0,1,1)</f>
        <v>0</v>
      </c>
      <c r="N7702" s="366">
        <f>+VLOOKUP(D7702,'Resultats - informe'!$Y$18:$AG$42,'Introducció dades consum'!K7702+1,0)</f>
        <v>0</v>
      </c>
      <c r="O7702" s="370" cm="1">
        <f t="array" ref="O7702">+_xlfn.SWITCH(MONTH(C7702),1,1,2,1,3,1,4,2,5,2,6,3,7,3,8,3,9,3,10,2,11,2,12,1,2)</f>
        <v>1</v>
      </c>
      <c r="P7702" s="43"/>
    </row>
    <row r="7703" spans="1:16" ht="18" x14ac:dyDescent="0.35">
      <c r="A7703" s="9"/>
      <c r="C7703" s="393"/>
      <c r="E7703" s="394"/>
      <c r="F7703" s="394"/>
      <c r="G7703" s="394"/>
      <c r="I7703" s="368">
        <f t="shared" si="366"/>
        <v>0</v>
      </c>
      <c r="J7703" s="365">
        <f t="shared" si="367"/>
        <v>0</v>
      </c>
      <c r="K7703" s="369">
        <f t="shared" si="368"/>
        <v>6</v>
      </c>
      <c r="L7703" s="369">
        <f>+IF((C7703&gt;='Resultats - informe'!$E$16)*(C7703&lt;='Resultats - informe'!$G$16),1,0)</f>
        <v>1</v>
      </c>
      <c r="M7703" s="369" cm="1">
        <f t="array" ref="M7703">+_xlfn.IFS((C7703&gt;='Resultats - informe'!$D$26)*(C7703&lt;='Resultats - informe'!$E$26),0,(C7703&gt;='Resultats - informe'!$D$27)*(C7703&lt;='Resultats - informe'!$E$27),0,(C7703&gt;='Resultats - informe'!$D$28)*(C7703&lt;='Resultats - informe'!$E$28),0,(C7703&gt;='Resultats - informe'!$D$29)*(C7703&lt;='Resultats - informe'!$E$29),0,1,1)</f>
        <v>0</v>
      </c>
      <c r="N7703" s="366">
        <f>+VLOOKUP(D7703,'Resultats - informe'!$Y$18:$AG$42,'Introducció dades consum'!K7703+1,0)</f>
        <v>0</v>
      </c>
      <c r="O7703" s="370" cm="1">
        <f t="array" ref="O7703">+_xlfn.SWITCH(MONTH(C7703),1,1,2,1,3,1,4,2,5,2,6,3,7,3,8,3,9,3,10,2,11,2,12,1,2)</f>
        <v>1</v>
      </c>
      <c r="P7703" s="43"/>
    </row>
    <row r="7704" spans="1:16" ht="18" x14ac:dyDescent="0.35">
      <c r="A7704" s="9"/>
      <c r="C7704" s="393"/>
      <c r="E7704" s="394"/>
      <c r="F7704" s="394"/>
      <c r="G7704" s="394"/>
      <c r="I7704" s="368">
        <f t="shared" si="366"/>
        <v>0</v>
      </c>
      <c r="J7704" s="365">
        <f t="shared" si="367"/>
        <v>0</v>
      </c>
      <c r="K7704" s="369">
        <f t="shared" si="368"/>
        <v>6</v>
      </c>
      <c r="L7704" s="369">
        <f>+IF((C7704&gt;='Resultats - informe'!$E$16)*(C7704&lt;='Resultats - informe'!$G$16),1,0)</f>
        <v>1</v>
      </c>
      <c r="M7704" s="369" cm="1">
        <f t="array" ref="M7704">+_xlfn.IFS((C7704&gt;='Resultats - informe'!$D$26)*(C7704&lt;='Resultats - informe'!$E$26),0,(C7704&gt;='Resultats - informe'!$D$27)*(C7704&lt;='Resultats - informe'!$E$27),0,(C7704&gt;='Resultats - informe'!$D$28)*(C7704&lt;='Resultats - informe'!$E$28),0,(C7704&gt;='Resultats - informe'!$D$29)*(C7704&lt;='Resultats - informe'!$E$29),0,1,1)</f>
        <v>0</v>
      </c>
      <c r="N7704" s="366">
        <f>+VLOOKUP(D7704,'Resultats - informe'!$Y$18:$AG$42,'Introducció dades consum'!K7704+1,0)</f>
        <v>0</v>
      </c>
      <c r="O7704" s="370" cm="1">
        <f t="array" ref="O7704">+_xlfn.SWITCH(MONTH(C7704),1,1,2,1,3,1,4,2,5,2,6,3,7,3,8,3,9,3,10,2,11,2,12,1,2)</f>
        <v>1</v>
      </c>
      <c r="P7704" s="43"/>
    </row>
    <row r="7705" spans="1:16" ht="18" x14ac:dyDescent="0.35">
      <c r="A7705" s="9"/>
      <c r="C7705" s="393"/>
      <c r="E7705" s="394"/>
      <c r="F7705" s="394"/>
      <c r="G7705" s="394"/>
      <c r="I7705" s="368">
        <f t="shared" si="366"/>
        <v>0</v>
      </c>
      <c r="J7705" s="365">
        <f t="shared" si="367"/>
        <v>0</v>
      </c>
      <c r="K7705" s="369">
        <f t="shared" si="368"/>
        <v>6</v>
      </c>
      <c r="L7705" s="369">
        <f>+IF((C7705&gt;='Resultats - informe'!$E$16)*(C7705&lt;='Resultats - informe'!$G$16),1,0)</f>
        <v>1</v>
      </c>
      <c r="M7705" s="369" cm="1">
        <f t="array" ref="M7705">+_xlfn.IFS((C7705&gt;='Resultats - informe'!$D$26)*(C7705&lt;='Resultats - informe'!$E$26),0,(C7705&gt;='Resultats - informe'!$D$27)*(C7705&lt;='Resultats - informe'!$E$27),0,(C7705&gt;='Resultats - informe'!$D$28)*(C7705&lt;='Resultats - informe'!$E$28),0,(C7705&gt;='Resultats - informe'!$D$29)*(C7705&lt;='Resultats - informe'!$E$29),0,1,1)</f>
        <v>0</v>
      </c>
      <c r="N7705" s="366">
        <f>+VLOOKUP(D7705,'Resultats - informe'!$Y$18:$AG$42,'Introducció dades consum'!K7705+1,0)</f>
        <v>0</v>
      </c>
      <c r="O7705" s="370" cm="1">
        <f t="array" ref="O7705">+_xlfn.SWITCH(MONTH(C7705),1,1,2,1,3,1,4,2,5,2,6,3,7,3,8,3,9,3,10,2,11,2,12,1,2)</f>
        <v>1</v>
      </c>
      <c r="P7705" s="43"/>
    </row>
    <row r="7706" spans="1:16" ht="18" x14ac:dyDescent="0.35">
      <c r="A7706" s="9"/>
      <c r="C7706" s="393"/>
      <c r="E7706" s="394"/>
      <c r="F7706" s="394"/>
      <c r="G7706" s="394"/>
      <c r="I7706" s="368">
        <f t="shared" si="366"/>
        <v>0</v>
      </c>
      <c r="J7706" s="365">
        <f t="shared" si="367"/>
        <v>0</v>
      </c>
      <c r="K7706" s="369">
        <f t="shared" si="368"/>
        <v>6</v>
      </c>
      <c r="L7706" s="369">
        <f>+IF((C7706&gt;='Resultats - informe'!$E$16)*(C7706&lt;='Resultats - informe'!$G$16),1,0)</f>
        <v>1</v>
      </c>
      <c r="M7706" s="369" cm="1">
        <f t="array" ref="M7706">+_xlfn.IFS((C7706&gt;='Resultats - informe'!$D$26)*(C7706&lt;='Resultats - informe'!$E$26),0,(C7706&gt;='Resultats - informe'!$D$27)*(C7706&lt;='Resultats - informe'!$E$27),0,(C7706&gt;='Resultats - informe'!$D$28)*(C7706&lt;='Resultats - informe'!$E$28),0,(C7706&gt;='Resultats - informe'!$D$29)*(C7706&lt;='Resultats - informe'!$E$29),0,1,1)</f>
        <v>0</v>
      </c>
      <c r="N7706" s="366">
        <f>+VLOOKUP(D7706,'Resultats - informe'!$Y$18:$AG$42,'Introducció dades consum'!K7706+1,0)</f>
        <v>0</v>
      </c>
      <c r="O7706" s="370" cm="1">
        <f t="array" ref="O7706">+_xlfn.SWITCH(MONTH(C7706),1,1,2,1,3,1,4,2,5,2,6,3,7,3,8,3,9,3,10,2,11,2,12,1,2)</f>
        <v>1</v>
      </c>
      <c r="P7706" s="43"/>
    </row>
    <row r="7707" spans="1:16" ht="18" x14ac:dyDescent="0.35">
      <c r="A7707" s="9"/>
      <c r="C7707" s="393"/>
      <c r="E7707" s="394"/>
      <c r="F7707" s="394"/>
      <c r="G7707" s="394"/>
      <c r="I7707" s="368">
        <f t="shared" si="366"/>
        <v>0</v>
      </c>
      <c r="J7707" s="365">
        <f t="shared" si="367"/>
        <v>0</v>
      </c>
      <c r="K7707" s="369">
        <f t="shared" si="368"/>
        <v>6</v>
      </c>
      <c r="L7707" s="369">
        <f>+IF((C7707&gt;='Resultats - informe'!$E$16)*(C7707&lt;='Resultats - informe'!$G$16),1,0)</f>
        <v>1</v>
      </c>
      <c r="M7707" s="369" cm="1">
        <f t="array" ref="M7707">+_xlfn.IFS((C7707&gt;='Resultats - informe'!$D$26)*(C7707&lt;='Resultats - informe'!$E$26),0,(C7707&gt;='Resultats - informe'!$D$27)*(C7707&lt;='Resultats - informe'!$E$27),0,(C7707&gt;='Resultats - informe'!$D$28)*(C7707&lt;='Resultats - informe'!$E$28),0,(C7707&gt;='Resultats - informe'!$D$29)*(C7707&lt;='Resultats - informe'!$E$29),0,1,1)</f>
        <v>0</v>
      </c>
      <c r="N7707" s="366">
        <f>+VLOOKUP(D7707,'Resultats - informe'!$Y$18:$AG$42,'Introducció dades consum'!K7707+1,0)</f>
        <v>0</v>
      </c>
      <c r="O7707" s="370" cm="1">
        <f t="array" ref="O7707">+_xlfn.SWITCH(MONTH(C7707),1,1,2,1,3,1,4,2,5,2,6,3,7,3,8,3,9,3,10,2,11,2,12,1,2)</f>
        <v>1</v>
      </c>
      <c r="P7707" s="43"/>
    </row>
    <row r="7708" spans="1:16" ht="18" x14ac:dyDescent="0.35">
      <c r="A7708" s="9"/>
      <c r="C7708" s="393"/>
      <c r="E7708" s="394"/>
      <c r="F7708" s="394"/>
      <c r="G7708" s="394"/>
      <c r="I7708" s="368">
        <f t="shared" si="366"/>
        <v>0</v>
      </c>
      <c r="J7708" s="365">
        <f t="shared" si="367"/>
        <v>0</v>
      </c>
      <c r="K7708" s="369">
        <f t="shared" si="368"/>
        <v>6</v>
      </c>
      <c r="L7708" s="369">
        <f>+IF((C7708&gt;='Resultats - informe'!$E$16)*(C7708&lt;='Resultats - informe'!$G$16),1,0)</f>
        <v>1</v>
      </c>
      <c r="M7708" s="369" cm="1">
        <f t="array" ref="M7708">+_xlfn.IFS((C7708&gt;='Resultats - informe'!$D$26)*(C7708&lt;='Resultats - informe'!$E$26),0,(C7708&gt;='Resultats - informe'!$D$27)*(C7708&lt;='Resultats - informe'!$E$27),0,(C7708&gt;='Resultats - informe'!$D$28)*(C7708&lt;='Resultats - informe'!$E$28),0,(C7708&gt;='Resultats - informe'!$D$29)*(C7708&lt;='Resultats - informe'!$E$29),0,1,1)</f>
        <v>0</v>
      </c>
      <c r="N7708" s="366">
        <f>+VLOOKUP(D7708,'Resultats - informe'!$Y$18:$AG$42,'Introducció dades consum'!K7708+1,0)</f>
        <v>0</v>
      </c>
      <c r="O7708" s="370" cm="1">
        <f t="array" ref="O7708">+_xlfn.SWITCH(MONTH(C7708),1,1,2,1,3,1,4,2,5,2,6,3,7,3,8,3,9,3,10,2,11,2,12,1,2)</f>
        <v>1</v>
      </c>
      <c r="P7708" s="43"/>
    </row>
    <row r="7709" spans="1:16" ht="18" x14ac:dyDescent="0.35">
      <c r="A7709" s="9"/>
      <c r="C7709" s="393"/>
      <c r="E7709" s="394"/>
      <c r="F7709" s="394"/>
      <c r="G7709" s="394"/>
      <c r="I7709" s="368">
        <f t="shared" si="366"/>
        <v>0</v>
      </c>
      <c r="J7709" s="365">
        <f t="shared" si="367"/>
        <v>0</v>
      </c>
      <c r="K7709" s="369">
        <f t="shared" si="368"/>
        <v>6</v>
      </c>
      <c r="L7709" s="369">
        <f>+IF((C7709&gt;='Resultats - informe'!$E$16)*(C7709&lt;='Resultats - informe'!$G$16),1,0)</f>
        <v>1</v>
      </c>
      <c r="M7709" s="369" cm="1">
        <f t="array" ref="M7709">+_xlfn.IFS((C7709&gt;='Resultats - informe'!$D$26)*(C7709&lt;='Resultats - informe'!$E$26),0,(C7709&gt;='Resultats - informe'!$D$27)*(C7709&lt;='Resultats - informe'!$E$27),0,(C7709&gt;='Resultats - informe'!$D$28)*(C7709&lt;='Resultats - informe'!$E$28),0,(C7709&gt;='Resultats - informe'!$D$29)*(C7709&lt;='Resultats - informe'!$E$29),0,1,1)</f>
        <v>0</v>
      </c>
      <c r="N7709" s="366">
        <f>+VLOOKUP(D7709,'Resultats - informe'!$Y$18:$AG$42,'Introducció dades consum'!K7709+1,0)</f>
        <v>0</v>
      </c>
      <c r="O7709" s="370" cm="1">
        <f t="array" ref="O7709">+_xlfn.SWITCH(MONTH(C7709),1,1,2,1,3,1,4,2,5,2,6,3,7,3,8,3,9,3,10,2,11,2,12,1,2)</f>
        <v>1</v>
      </c>
      <c r="P7709" s="43"/>
    </row>
    <row r="7710" spans="1:16" ht="18" x14ac:dyDescent="0.35">
      <c r="A7710" s="9"/>
      <c r="C7710" s="393"/>
      <c r="E7710" s="394"/>
      <c r="F7710" s="394"/>
      <c r="G7710" s="394"/>
      <c r="I7710" s="368">
        <f t="shared" si="366"/>
        <v>0</v>
      </c>
      <c r="J7710" s="365">
        <f t="shared" si="367"/>
        <v>0</v>
      </c>
      <c r="K7710" s="369">
        <f t="shared" si="368"/>
        <v>6</v>
      </c>
      <c r="L7710" s="369">
        <f>+IF((C7710&gt;='Resultats - informe'!$E$16)*(C7710&lt;='Resultats - informe'!$G$16),1,0)</f>
        <v>1</v>
      </c>
      <c r="M7710" s="369" cm="1">
        <f t="array" ref="M7710">+_xlfn.IFS((C7710&gt;='Resultats - informe'!$D$26)*(C7710&lt;='Resultats - informe'!$E$26),0,(C7710&gt;='Resultats - informe'!$D$27)*(C7710&lt;='Resultats - informe'!$E$27),0,(C7710&gt;='Resultats - informe'!$D$28)*(C7710&lt;='Resultats - informe'!$E$28),0,(C7710&gt;='Resultats - informe'!$D$29)*(C7710&lt;='Resultats - informe'!$E$29),0,1,1)</f>
        <v>0</v>
      </c>
      <c r="N7710" s="366">
        <f>+VLOOKUP(D7710,'Resultats - informe'!$Y$18:$AG$42,'Introducció dades consum'!K7710+1,0)</f>
        <v>0</v>
      </c>
      <c r="O7710" s="370" cm="1">
        <f t="array" ref="O7710">+_xlfn.SWITCH(MONTH(C7710),1,1,2,1,3,1,4,2,5,2,6,3,7,3,8,3,9,3,10,2,11,2,12,1,2)</f>
        <v>1</v>
      </c>
      <c r="P7710" s="43"/>
    </row>
    <row r="7711" spans="1:16" ht="18" x14ac:dyDescent="0.35">
      <c r="A7711" s="9"/>
      <c r="C7711" s="393"/>
      <c r="E7711" s="394"/>
      <c r="F7711" s="394"/>
      <c r="G7711" s="394"/>
      <c r="I7711" s="368">
        <f t="shared" si="366"/>
        <v>0</v>
      </c>
      <c r="J7711" s="365">
        <f t="shared" si="367"/>
        <v>0</v>
      </c>
      <c r="K7711" s="369">
        <f t="shared" si="368"/>
        <v>6</v>
      </c>
      <c r="L7711" s="369">
        <f>+IF((C7711&gt;='Resultats - informe'!$E$16)*(C7711&lt;='Resultats - informe'!$G$16),1,0)</f>
        <v>1</v>
      </c>
      <c r="M7711" s="369" cm="1">
        <f t="array" ref="M7711">+_xlfn.IFS((C7711&gt;='Resultats - informe'!$D$26)*(C7711&lt;='Resultats - informe'!$E$26),0,(C7711&gt;='Resultats - informe'!$D$27)*(C7711&lt;='Resultats - informe'!$E$27),0,(C7711&gt;='Resultats - informe'!$D$28)*(C7711&lt;='Resultats - informe'!$E$28),0,(C7711&gt;='Resultats - informe'!$D$29)*(C7711&lt;='Resultats - informe'!$E$29),0,1,1)</f>
        <v>0</v>
      </c>
      <c r="N7711" s="366">
        <f>+VLOOKUP(D7711,'Resultats - informe'!$Y$18:$AG$42,'Introducció dades consum'!K7711+1,0)</f>
        <v>0</v>
      </c>
      <c r="O7711" s="370" cm="1">
        <f t="array" ref="O7711">+_xlfn.SWITCH(MONTH(C7711),1,1,2,1,3,1,4,2,5,2,6,3,7,3,8,3,9,3,10,2,11,2,12,1,2)</f>
        <v>1</v>
      </c>
      <c r="P7711" s="43"/>
    </row>
    <row r="7712" spans="1:16" ht="18" x14ac:dyDescent="0.35">
      <c r="A7712" s="9"/>
      <c r="C7712" s="393"/>
      <c r="E7712" s="394"/>
      <c r="F7712" s="394"/>
      <c r="G7712" s="394"/>
      <c r="I7712" s="368">
        <f t="shared" si="366"/>
        <v>0</v>
      </c>
      <c r="J7712" s="365">
        <f t="shared" si="367"/>
        <v>0</v>
      </c>
      <c r="K7712" s="369">
        <f t="shared" si="368"/>
        <v>6</v>
      </c>
      <c r="L7712" s="369">
        <f>+IF((C7712&gt;='Resultats - informe'!$E$16)*(C7712&lt;='Resultats - informe'!$G$16),1,0)</f>
        <v>1</v>
      </c>
      <c r="M7712" s="369" cm="1">
        <f t="array" ref="M7712">+_xlfn.IFS((C7712&gt;='Resultats - informe'!$D$26)*(C7712&lt;='Resultats - informe'!$E$26),0,(C7712&gt;='Resultats - informe'!$D$27)*(C7712&lt;='Resultats - informe'!$E$27),0,(C7712&gt;='Resultats - informe'!$D$28)*(C7712&lt;='Resultats - informe'!$E$28),0,(C7712&gt;='Resultats - informe'!$D$29)*(C7712&lt;='Resultats - informe'!$E$29),0,1,1)</f>
        <v>0</v>
      </c>
      <c r="N7712" s="366">
        <f>+VLOOKUP(D7712,'Resultats - informe'!$Y$18:$AG$42,'Introducció dades consum'!K7712+1,0)</f>
        <v>0</v>
      </c>
      <c r="O7712" s="370" cm="1">
        <f t="array" ref="O7712">+_xlfn.SWITCH(MONTH(C7712),1,1,2,1,3,1,4,2,5,2,6,3,7,3,8,3,9,3,10,2,11,2,12,1,2)</f>
        <v>1</v>
      </c>
      <c r="P7712" s="43"/>
    </row>
    <row r="7713" spans="1:16" ht="18" x14ac:dyDescent="0.35">
      <c r="A7713" s="9"/>
      <c r="C7713" s="393"/>
      <c r="E7713" s="394"/>
      <c r="F7713" s="394"/>
      <c r="G7713" s="394"/>
      <c r="I7713" s="368">
        <f t="shared" si="366"/>
        <v>0</v>
      </c>
      <c r="J7713" s="365">
        <f t="shared" si="367"/>
        <v>0</v>
      </c>
      <c r="K7713" s="369">
        <f t="shared" si="368"/>
        <v>6</v>
      </c>
      <c r="L7713" s="369">
        <f>+IF((C7713&gt;='Resultats - informe'!$E$16)*(C7713&lt;='Resultats - informe'!$G$16),1,0)</f>
        <v>1</v>
      </c>
      <c r="M7713" s="369" cm="1">
        <f t="array" ref="M7713">+_xlfn.IFS((C7713&gt;='Resultats - informe'!$D$26)*(C7713&lt;='Resultats - informe'!$E$26),0,(C7713&gt;='Resultats - informe'!$D$27)*(C7713&lt;='Resultats - informe'!$E$27),0,(C7713&gt;='Resultats - informe'!$D$28)*(C7713&lt;='Resultats - informe'!$E$28),0,(C7713&gt;='Resultats - informe'!$D$29)*(C7713&lt;='Resultats - informe'!$E$29),0,1,1)</f>
        <v>0</v>
      </c>
      <c r="N7713" s="366">
        <f>+VLOOKUP(D7713,'Resultats - informe'!$Y$18:$AG$42,'Introducció dades consum'!K7713+1,0)</f>
        <v>0</v>
      </c>
      <c r="O7713" s="370" cm="1">
        <f t="array" ref="O7713">+_xlfn.SWITCH(MONTH(C7713),1,1,2,1,3,1,4,2,5,2,6,3,7,3,8,3,9,3,10,2,11,2,12,1,2)</f>
        <v>1</v>
      </c>
      <c r="P7713" s="43"/>
    </row>
    <row r="7714" spans="1:16" ht="18" x14ac:dyDescent="0.35">
      <c r="A7714" s="9"/>
      <c r="C7714" s="393"/>
      <c r="E7714" s="394"/>
      <c r="F7714" s="394"/>
      <c r="G7714" s="394"/>
      <c r="I7714" s="368">
        <f t="shared" si="366"/>
        <v>0</v>
      </c>
      <c r="J7714" s="365">
        <f t="shared" si="367"/>
        <v>0</v>
      </c>
      <c r="K7714" s="369">
        <f t="shared" si="368"/>
        <v>6</v>
      </c>
      <c r="L7714" s="369">
        <f>+IF((C7714&gt;='Resultats - informe'!$E$16)*(C7714&lt;='Resultats - informe'!$G$16),1,0)</f>
        <v>1</v>
      </c>
      <c r="M7714" s="369" cm="1">
        <f t="array" ref="M7714">+_xlfn.IFS((C7714&gt;='Resultats - informe'!$D$26)*(C7714&lt;='Resultats - informe'!$E$26),0,(C7714&gt;='Resultats - informe'!$D$27)*(C7714&lt;='Resultats - informe'!$E$27),0,(C7714&gt;='Resultats - informe'!$D$28)*(C7714&lt;='Resultats - informe'!$E$28),0,(C7714&gt;='Resultats - informe'!$D$29)*(C7714&lt;='Resultats - informe'!$E$29),0,1,1)</f>
        <v>0</v>
      </c>
      <c r="N7714" s="366">
        <f>+VLOOKUP(D7714,'Resultats - informe'!$Y$18:$AG$42,'Introducció dades consum'!K7714+1,0)</f>
        <v>0</v>
      </c>
      <c r="O7714" s="370" cm="1">
        <f t="array" ref="O7714">+_xlfn.SWITCH(MONTH(C7714),1,1,2,1,3,1,4,2,5,2,6,3,7,3,8,3,9,3,10,2,11,2,12,1,2)</f>
        <v>1</v>
      </c>
      <c r="P7714" s="43"/>
    </row>
    <row r="7715" spans="1:16" ht="18" x14ac:dyDescent="0.35">
      <c r="A7715" s="9"/>
      <c r="C7715" s="393"/>
      <c r="E7715" s="394"/>
      <c r="F7715" s="394"/>
      <c r="G7715" s="394"/>
      <c r="I7715" s="368">
        <f t="shared" si="366"/>
        <v>0</v>
      </c>
      <c r="J7715" s="365">
        <f t="shared" si="367"/>
        <v>0</v>
      </c>
      <c r="K7715" s="369">
        <f t="shared" si="368"/>
        <v>6</v>
      </c>
      <c r="L7715" s="369">
        <f>+IF((C7715&gt;='Resultats - informe'!$E$16)*(C7715&lt;='Resultats - informe'!$G$16),1,0)</f>
        <v>1</v>
      </c>
      <c r="M7715" s="369" cm="1">
        <f t="array" ref="M7715">+_xlfn.IFS((C7715&gt;='Resultats - informe'!$D$26)*(C7715&lt;='Resultats - informe'!$E$26),0,(C7715&gt;='Resultats - informe'!$D$27)*(C7715&lt;='Resultats - informe'!$E$27),0,(C7715&gt;='Resultats - informe'!$D$28)*(C7715&lt;='Resultats - informe'!$E$28),0,(C7715&gt;='Resultats - informe'!$D$29)*(C7715&lt;='Resultats - informe'!$E$29),0,1,1)</f>
        <v>0</v>
      </c>
      <c r="N7715" s="366">
        <f>+VLOOKUP(D7715,'Resultats - informe'!$Y$18:$AG$42,'Introducció dades consum'!K7715+1,0)</f>
        <v>0</v>
      </c>
      <c r="O7715" s="370" cm="1">
        <f t="array" ref="O7715">+_xlfn.SWITCH(MONTH(C7715),1,1,2,1,3,1,4,2,5,2,6,3,7,3,8,3,9,3,10,2,11,2,12,1,2)</f>
        <v>1</v>
      </c>
      <c r="P7715" s="43"/>
    </row>
    <row r="7716" spans="1:16" ht="18" x14ac:dyDescent="0.35">
      <c r="A7716" s="9"/>
      <c r="C7716" s="393"/>
      <c r="E7716" s="394"/>
      <c r="F7716" s="394"/>
      <c r="G7716" s="394"/>
      <c r="I7716" s="368">
        <f t="shared" si="366"/>
        <v>0</v>
      </c>
      <c r="J7716" s="365">
        <f t="shared" si="367"/>
        <v>0</v>
      </c>
      <c r="K7716" s="369">
        <f t="shared" si="368"/>
        <v>6</v>
      </c>
      <c r="L7716" s="369">
        <f>+IF((C7716&gt;='Resultats - informe'!$E$16)*(C7716&lt;='Resultats - informe'!$G$16),1,0)</f>
        <v>1</v>
      </c>
      <c r="M7716" s="369" cm="1">
        <f t="array" ref="M7716">+_xlfn.IFS((C7716&gt;='Resultats - informe'!$D$26)*(C7716&lt;='Resultats - informe'!$E$26),0,(C7716&gt;='Resultats - informe'!$D$27)*(C7716&lt;='Resultats - informe'!$E$27),0,(C7716&gt;='Resultats - informe'!$D$28)*(C7716&lt;='Resultats - informe'!$E$28),0,(C7716&gt;='Resultats - informe'!$D$29)*(C7716&lt;='Resultats - informe'!$E$29),0,1,1)</f>
        <v>0</v>
      </c>
      <c r="N7716" s="366">
        <f>+VLOOKUP(D7716,'Resultats - informe'!$Y$18:$AG$42,'Introducció dades consum'!K7716+1,0)</f>
        <v>0</v>
      </c>
      <c r="O7716" s="370" cm="1">
        <f t="array" ref="O7716">+_xlfn.SWITCH(MONTH(C7716),1,1,2,1,3,1,4,2,5,2,6,3,7,3,8,3,9,3,10,2,11,2,12,1,2)</f>
        <v>1</v>
      </c>
      <c r="P7716" s="43"/>
    </row>
    <row r="7717" spans="1:16" ht="18" x14ac:dyDescent="0.35">
      <c r="A7717" s="9"/>
      <c r="C7717" s="393"/>
      <c r="E7717" s="394"/>
      <c r="F7717" s="394"/>
      <c r="G7717" s="394"/>
      <c r="I7717" s="368">
        <f t="shared" si="366"/>
        <v>0</v>
      </c>
      <c r="J7717" s="365">
        <f t="shared" si="367"/>
        <v>0</v>
      </c>
      <c r="K7717" s="369">
        <f t="shared" si="368"/>
        <v>6</v>
      </c>
      <c r="L7717" s="369">
        <f>+IF((C7717&gt;='Resultats - informe'!$E$16)*(C7717&lt;='Resultats - informe'!$G$16),1,0)</f>
        <v>1</v>
      </c>
      <c r="M7717" s="369" cm="1">
        <f t="array" ref="M7717">+_xlfn.IFS((C7717&gt;='Resultats - informe'!$D$26)*(C7717&lt;='Resultats - informe'!$E$26),0,(C7717&gt;='Resultats - informe'!$D$27)*(C7717&lt;='Resultats - informe'!$E$27),0,(C7717&gt;='Resultats - informe'!$D$28)*(C7717&lt;='Resultats - informe'!$E$28),0,(C7717&gt;='Resultats - informe'!$D$29)*(C7717&lt;='Resultats - informe'!$E$29),0,1,1)</f>
        <v>0</v>
      </c>
      <c r="N7717" s="366">
        <f>+VLOOKUP(D7717,'Resultats - informe'!$Y$18:$AG$42,'Introducció dades consum'!K7717+1,0)</f>
        <v>0</v>
      </c>
      <c r="O7717" s="370" cm="1">
        <f t="array" ref="O7717">+_xlfn.SWITCH(MONTH(C7717),1,1,2,1,3,1,4,2,5,2,6,3,7,3,8,3,9,3,10,2,11,2,12,1,2)</f>
        <v>1</v>
      </c>
      <c r="P7717" s="43"/>
    </row>
    <row r="7718" spans="1:16" ht="18" x14ac:dyDescent="0.35">
      <c r="A7718" s="9"/>
      <c r="C7718" s="393"/>
      <c r="E7718" s="394"/>
      <c r="F7718" s="394"/>
      <c r="G7718" s="394"/>
      <c r="I7718" s="368">
        <f t="shared" si="366"/>
        <v>0</v>
      </c>
      <c r="J7718" s="365">
        <f t="shared" si="367"/>
        <v>0</v>
      </c>
      <c r="K7718" s="369">
        <f t="shared" si="368"/>
        <v>6</v>
      </c>
      <c r="L7718" s="369">
        <f>+IF((C7718&gt;='Resultats - informe'!$E$16)*(C7718&lt;='Resultats - informe'!$G$16),1,0)</f>
        <v>1</v>
      </c>
      <c r="M7718" s="369" cm="1">
        <f t="array" ref="M7718">+_xlfn.IFS((C7718&gt;='Resultats - informe'!$D$26)*(C7718&lt;='Resultats - informe'!$E$26),0,(C7718&gt;='Resultats - informe'!$D$27)*(C7718&lt;='Resultats - informe'!$E$27),0,(C7718&gt;='Resultats - informe'!$D$28)*(C7718&lt;='Resultats - informe'!$E$28),0,(C7718&gt;='Resultats - informe'!$D$29)*(C7718&lt;='Resultats - informe'!$E$29),0,1,1)</f>
        <v>0</v>
      </c>
      <c r="N7718" s="366">
        <f>+VLOOKUP(D7718,'Resultats - informe'!$Y$18:$AG$42,'Introducció dades consum'!K7718+1,0)</f>
        <v>0</v>
      </c>
      <c r="O7718" s="370" cm="1">
        <f t="array" ref="O7718">+_xlfn.SWITCH(MONTH(C7718),1,1,2,1,3,1,4,2,5,2,6,3,7,3,8,3,9,3,10,2,11,2,12,1,2)</f>
        <v>1</v>
      </c>
      <c r="P7718" s="43"/>
    </row>
    <row r="7719" spans="1:16" ht="18" x14ac:dyDescent="0.35">
      <c r="A7719" s="9"/>
      <c r="C7719" s="393"/>
      <c r="E7719" s="394"/>
      <c r="F7719" s="394"/>
      <c r="G7719" s="394"/>
      <c r="I7719" s="368">
        <f t="shared" si="366"/>
        <v>0</v>
      </c>
      <c r="J7719" s="365">
        <f t="shared" si="367"/>
        <v>0</v>
      </c>
      <c r="K7719" s="369">
        <f t="shared" si="368"/>
        <v>6</v>
      </c>
      <c r="L7719" s="369">
        <f>+IF((C7719&gt;='Resultats - informe'!$E$16)*(C7719&lt;='Resultats - informe'!$G$16),1,0)</f>
        <v>1</v>
      </c>
      <c r="M7719" s="369" cm="1">
        <f t="array" ref="M7719">+_xlfn.IFS((C7719&gt;='Resultats - informe'!$D$26)*(C7719&lt;='Resultats - informe'!$E$26),0,(C7719&gt;='Resultats - informe'!$D$27)*(C7719&lt;='Resultats - informe'!$E$27),0,(C7719&gt;='Resultats - informe'!$D$28)*(C7719&lt;='Resultats - informe'!$E$28),0,(C7719&gt;='Resultats - informe'!$D$29)*(C7719&lt;='Resultats - informe'!$E$29),0,1,1)</f>
        <v>0</v>
      </c>
      <c r="N7719" s="366">
        <f>+VLOOKUP(D7719,'Resultats - informe'!$Y$18:$AG$42,'Introducció dades consum'!K7719+1,0)</f>
        <v>0</v>
      </c>
      <c r="O7719" s="370" cm="1">
        <f t="array" ref="O7719">+_xlfn.SWITCH(MONTH(C7719),1,1,2,1,3,1,4,2,5,2,6,3,7,3,8,3,9,3,10,2,11,2,12,1,2)</f>
        <v>1</v>
      </c>
      <c r="P7719" s="43"/>
    </row>
    <row r="7720" spans="1:16" ht="18" x14ac:dyDescent="0.35">
      <c r="A7720" s="9"/>
      <c r="C7720" s="393"/>
      <c r="E7720" s="394"/>
      <c r="F7720" s="394"/>
      <c r="G7720" s="394"/>
      <c r="I7720" s="368">
        <f t="shared" si="366"/>
        <v>0</v>
      </c>
      <c r="J7720" s="365">
        <f t="shared" si="367"/>
        <v>0</v>
      </c>
      <c r="K7720" s="369">
        <f t="shared" si="368"/>
        <v>6</v>
      </c>
      <c r="L7720" s="369">
        <f>+IF((C7720&gt;='Resultats - informe'!$E$16)*(C7720&lt;='Resultats - informe'!$G$16),1,0)</f>
        <v>1</v>
      </c>
      <c r="M7720" s="369" cm="1">
        <f t="array" ref="M7720">+_xlfn.IFS((C7720&gt;='Resultats - informe'!$D$26)*(C7720&lt;='Resultats - informe'!$E$26),0,(C7720&gt;='Resultats - informe'!$D$27)*(C7720&lt;='Resultats - informe'!$E$27),0,(C7720&gt;='Resultats - informe'!$D$28)*(C7720&lt;='Resultats - informe'!$E$28),0,(C7720&gt;='Resultats - informe'!$D$29)*(C7720&lt;='Resultats - informe'!$E$29),0,1,1)</f>
        <v>0</v>
      </c>
      <c r="N7720" s="366">
        <f>+VLOOKUP(D7720,'Resultats - informe'!$Y$18:$AG$42,'Introducció dades consum'!K7720+1,0)</f>
        <v>0</v>
      </c>
      <c r="O7720" s="370" cm="1">
        <f t="array" ref="O7720">+_xlfn.SWITCH(MONTH(C7720),1,1,2,1,3,1,4,2,5,2,6,3,7,3,8,3,9,3,10,2,11,2,12,1,2)</f>
        <v>1</v>
      </c>
      <c r="P7720" s="43"/>
    </row>
    <row r="7721" spans="1:16" ht="18" x14ac:dyDescent="0.35">
      <c r="A7721" s="9"/>
      <c r="C7721" s="393"/>
      <c r="E7721" s="394"/>
      <c r="F7721" s="394"/>
      <c r="G7721" s="394"/>
      <c r="I7721" s="368">
        <f t="shared" si="366"/>
        <v>0</v>
      </c>
      <c r="J7721" s="365">
        <f t="shared" si="367"/>
        <v>0</v>
      </c>
      <c r="K7721" s="369">
        <f t="shared" si="368"/>
        <v>6</v>
      </c>
      <c r="L7721" s="369">
        <f>+IF((C7721&gt;='Resultats - informe'!$E$16)*(C7721&lt;='Resultats - informe'!$G$16),1,0)</f>
        <v>1</v>
      </c>
      <c r="M7721" s="369" cm="1">
        <f t="array" ref="M7721">+_xlfn.IFS((C7721&gt;='Resultats - informe'!$D$26)*(C7721&lt;='Resultats - informe'!$E$26),0,(C7721&gt;='Resultats - informe'!$D$27)*(C7721&lt;='Resultats - informe'!$E$27),0,(C7721&gt;='Resultats - informe'!$D$28)*(C7721&lt;='Resultats - informe'!$E$28),0,(C7721&gt;='Resultats - informe'!$D$29)*(C7721&lt;='Resultats - informe'!$E$29),0,1,1)</f>
        <v>0</v>
      </c>
      <c r="N7721" s="366">
        <f>+VLOOKUP(D7721,'Resultats - informe'!$Y$18:$AG$42,'Introducció dades consum'!K7721+1,0)</f>
        <v>0</v>
      </c>
      <c r="O7721" s="370" cm="1">
        <f t="array" ref="O7721">+_xlfn.SWITCH(MONTH(C7721),1,1,2,1,3,1,4,2,5,2,6,3,7,3,8,3,9,3,10,2,11,2,12,1,2)</f>
        <v>1</v>
      </c>
      <c r="P7721" s="43"/>
    </row>
    <row r="7722" spans="1:16" ht="18" x14ac:dyDescent="0.35">
      <c r="A7722" s="9"/>
      <c r="C7722" s="393"/>
      <c r="E7722" s="394"/>
      <c r="F7722" s="394"/>
      <c r="G7722" s="394"/>
      <c r="I7722" s="368">
        <f t="shared" si="366"/>
        <v>0</v>
      </c>
      <c r="J7722" s="365">
        <f t="shared" si="367"/>
        <v>0</v>
      </c>
      <c r="K7722" s="369">
        <f t="shared" si="368"/>
        <v>6</v>
      </c>
      <c r="L7722" s="369">
        <f>+IF((C7722&gt;='Resultats - informe'!$E$16)*(C7722&lt;='Resultats - informe'!$G$16),1,0)</f>
        <v>1</v>
      </c>
      <c r="M7722" s="369" cm="1">
        <f t="array" ref="M7722">+_xlfn.IFS((C7722&gt;='Resultats - informe'!$D$26)*(C7722&lt;='Resultats - informe'!$E$26),0,(C7722&gt;='Resultats - informe'!$D$27)*(C7722&lt;='Resultats - informe'!$E$27),0,(C7722&gt;='Resultats - informe'!$D$28)*(C7722&lt;='Resultats - informe'!$E$28),0,(C7722&gt;='Resultats - informe'!$D$29)*(C7722&lt;='Resultats - informe'!$E$29),0,1,1)</f>
        <v>0</v>
      </c>
      <c r="N7722" s="366">
        <f>+VLOOKUP(D7722,'Resultats - informe'!$Y$18:$AG$42,'Introducció dades consum'!K7722+1,0)</f>
        <v>0</v>
      </c>
      <c r="O7722" s="370" cm="1">
        <f t="array" ref="O7722">+_xlfn.SWITCH(MONTH(C7722),1,1,2,1,3,1,4,2,5,2,6,3,7,3,8,3,9,3,10,2,11,2,12,1,2)</f>
        <v>1</v>
      </c>
      <c r="P7722" s="43"/>
    </row>
    <row r="7723" spans="1:16" ht="18" x14ac:dyDescent="0.35">
      <c r="A7723" s="9"/>
      <c r="C7723" s="393"/>
      <c r="E7723" s="394"/>
      <c r="F7723" s="394"/>
      <c r="G7723" s="394"/>
      <c r="I7723" s="368">
        <f t="shared" si="366"/>
        <v>0</v>
      </c>
      <c r="J7723" s="365">
        <f t="shared" si="367"/>
        <v>0</v>
      </c>
      <c r="K7723" s="369">
        <f t="shared" si="368"/>
        <v>6</v>
      </c>
      <c r="L7723" s="369">
        <f>+IF((C7723&gt;='Resultats - informe'!$E$16)*(C7723&lt;='Resultats - informe'!$G$16),1,0)</f>
        <v>1</v>
      </c>
      <c r="M7723" s="369" cm="1">
        <f t="array" ref="M7723">+_xlfn.IFS((C7723&gt;='Resultats - informe'!$D$26)*(C7723&lt;='Resultats - informe'!$E$26),0,(C7723&gt;='Resultats - informe'!$D$27)*(C7723&lt;='Resultats - informe'!$E$27),0,(C7723&gt;='Resultats - informe'!$D$28)*(C7723&lt;='Resultats - informe'!$E$28),0,(C7723&gt;='Resultats - informe'!$D$29)*(C7723&lt;='Resultats - informe'!$E$29),0,1,1)</f>
        <v>0</v>
      </c>
      <c r="N7723" s="366">
        <f>+VLOOKUP(D7723,'Resultats - informe'!$Y$18:$AG$42,'Introducció dades consum'!K7723+1,0)</f>
        <v>0</v>
      </c>
      <c r="O7723" s="370" cm="1">
        <f t="array" ref="O7723">+_xlfn.SWITCH(MONTH(C7723),1,1,2,1,3,1,4,2,5,2,6,3,7,3,8,3,9,3,10,2,11,2,12,1,2)</f>
        <v>1</v>
      </c>
      <c r="P7723" s="43"/>
    </row>
    <row r="7724" spans="1:16" ht="18" x14ac:dyDescent="0.35">
      <c r="A7724" s="9"/>
      <c r="C7724" s="393"/>
      <c r="E7724" s="394"/>
      <c r="F7724" s="394"/>
      <c r="G7724" s="394"/>
      <c r="I7724" s="368">
        <f t="shared" si="366"/>
        <v>0</v>
      </c>
      <c r="J7724" s="365">
        <f t="shared" si="367"/>
        <v>0</v>
      </c>
      <c r="K7724" s="369">
        <f t="shared" si="368"/>
        <v>6</v>
      </c>
      <c r="L7724" s="369">
        <f>+IF((C7724&gt;='Resultats - informe'!$E$16)*(C7724&lt;='Resultats - informe'!$G$16),1,0)</f>
        <v>1</v>
      </c>
      <c r="M7724" s="369" cm="1">
        <f t="array" ref="M7724">+_xlfn.IFS((C7724&gt;='Resultats - informe'!$D$26)*(C7724&lt;='Resultats - informe'!$E$26),0,(C7724&gt;='Resultats - informe'!$D$27)*(C7724&lt;='Resultats - informe'!$E$27),0,(C7724&gt;='Resultats - informe'!$D$28)*(C7724&lt;='Resultats - informe'!$E$28),0,(C7724&gt;='Resultats - informe'!$D$29)*(C7724&lt;='Resultats - informe'!$E$29),0,1,1)</f>
        <v>0</v>
      </c>
      <c r="N7724" s="366">
        <f>+VLOOKUP(D7724,'Resultats - informe'!$Y$18:$AG$42,'Introducció dades consum'!K7724+1,0)</f>
        <v>0</v>
      </c>
      <c r="O7724" s="370" cm="1">
        <f t="array" ref="O7724">+_xlfn.SWITCH(MONTH(C7724),1,1,2,1,3,1,4,2,5,2,6,3,7,3,8,3,9,3,10,2,11,2,12,1,2)</f>
        <v>1</v>
      </c>
      <c r="P7724" s="43"/>
    </row>
    <row r="7725" spans="1:16" ht="18" x14ac:dyDescent="0.35">
      <c r="A7725" s="9"/>
      <c r="C7725" s="393"/>
      <c r="E7725" s="394"/>
      <c r="F7725" s="394"/>
      <c r="G7725" s="394"/>
      <c r="I7725" s="368">
        <f t="shared" si="366"/>
        <v>0</v>
      </c>
      <c r="J7725" s="365">
        <f t="shared" si="367"/>
        <v>0</v>
      </c>
      <c r="K7725" s="369">
        <f t="shared" si="368"/>
        <v>6</v>
      </c>
      <c r="L7725" s="369">
        <f>+IF((C7725&gt;='Resultats - informe'!$E$16)*(C7725&lt;='Resultats - informe'!$G$16),1,0)</f>
        <v>1</v>
      </c>
      <c r="M7725" s="369" cm="1">
        <f t="array" ref="M7725">+_xlfn.IFS((C7725&gt;='Resultats - informe'!$D$26)*(C7725&lt;='Resultats - informe'!$E$26),0,(C7725&gt;='Resultats - informe'!$D$27)*(C7725&lt;='Resultats - informe'!$E$27),0,(C7725&gt;='Resultats - informe'!$D$28)*(C7725&lt;='Resultats - informe'!$E$28),0,(C7725&gt;='Resultats - informe'!$D$29)*(C7725&lt;='Resultats - informe'!$E$29),0,1,1)</f>
        <v>0</v>
      </c>
      <c r="N7725" s="366">
        <f>+VLOOKUP(D7725,'Resultats - informe'!$Y$18:$AG$42,'Introducció dades consum'!K7725+1,0)</f>
        <v>0</v>
      </c>
      <c r="O7725" s="370" cm="1">
        <f t="array" ref="O7725">+_xlfn.SWITCH(MONTH(C7725),1,1,2,1,3,1,4,2,5,2,6,3,7,3,8,3,9,3,10,2,11,2,12,1,2)</f>
        <v>1</v>
      </c>
      <c r="P7725" s="43"/>
    </row>
    <row r="7726" spans="1:16" ht="18" x14ac:dyDescent="0.35">
      <c r="A7726" s="9"/>
      <c r="C7726" s="393"/>
      <c r="E7726" s="394"/>
      <c r="F7726" s="394"/>
      <c r="G7726" s="394"/>
      <c r="I7726" s="368">
        <f t="shared" si="366"/>
        <v>0</v>
      </c>
      <c r="J7726" s="365">
        <f t="shared" si="367"/>
        <v>0</v>
      </c>
      <c r="K7726" s="369">
        <f t="shared" si="368"/>
        <v>6</v>
      </c>
      <c r="L7726" s="369">
        <f>+IF((C7726&gt;='Resultats - informe'!$E$16)*(C7726&lt;='Resultats - informe'!$G$16),1,0)</f>
        <v>1</v>
      </c>
      <c r="M7726" s="369" cm="1">
        <f t="array" ref="M7726">+_xlfn.IFS((C7726&gt;='Resultats - informe'!$D$26)*(C7726&lt;='Resultats - informe'!$E$26),0,(C7726&gt;='Resultats - informe'!$D$27)*(C7726&lt;='Resultats - informe'!$E$27),0,(C7726&gt;='Resultats - informe'!$D$28)*(C7726&lt;='Resultats - informe'!$E$28),0,(C7726&gt;='Resultats - informe'!$D$29)*(C7726&lt;='Resultats - informe'!$E$29),0,1,1)</f>
        <v>0</v>
      </c>
      <c r="N7726" s="366">
        <f>+VLOOKUP(D7726,'Resultats - informe'!$Y$18:$AG$42,'Introducció dades consum'!K7726+1,0)</f>
        <v>0</v>
      </c>
      <c r="O7726" s="370" cm="1">
        <f t="array" ref="O7726">+_xlfn.SWITCH(MONTH(C7726),1,1,2,1,3,1,4,2,5,2,6,3,7,3,8,3,9,3,10,2,11,2,12,1,2)</f>
        <v>1</v>
      </c>
      <c r="P7726" s="43"/>
    </row>
    <row r="7727" spans="1:16" ht="18" x14ac:dyDescent="0.35">
      <c r="A7727" s="9"/>
      <c r="C7727" s="393"/>
      <c r="E7727" s="394"/>
      <c r="F7727" s="394"/>
      <c r="G7727" s="394"/>
      <c r="I7727" s="368">
        <f t="shared" si="366"/>
        <v>0</v>
      </c>
      <c r="J7727" s="365">
        <f t="shared" si="367"/>
        <v>0</v>
      </c>
      <c r="K7727" s="369">
        <f t="shared" si="368"/>
        <v>6</v>
      </c>
      <c r="L7727" s="369">
        <f>+IF((C7727&gt;='Resultats - informe'!$E$16)*(C7727&lt;='Resultats - informe'!$G$16),1,0)</f>
        <v>1</v>
      </c>
      <c r="M7727" s="369" cm="1">
        <f t="array" ref="M7727">+_xlfn.IFS((C7727&gt;='Resultats - informe'!$D$26)*(C7727&lt;='Resultats - informe'!$E$26),0,(C7727&gt;='Resultats - informe'!$D$27)*(C7727&lt;='Resultats - informe'!$E$27),0,(C7727&gt;='Resultats - informe'!$D$28)*(C7727&lt;='Resultats - informe'!$E$28),0,(C7727&gt;='Resultats - informe'!$D$29)*(C7727&lt;='Resultats - informe'!$E$29),0,1,1)</f>
        <v>0</v>
      </c>
      <c r="N7727" s="366">
        <f>+VLOOKUP(D7727,'Resultats - informe'!$Y$18:$AG$42,'Introducció dades consum'!K7727+1,0)</f>
        <v>0</v>
      </c>
      <c r="O7727" s="370" cm="1">
        <f t="array" ref="O7727">+_xlfn.SWITCH(MONTH(C7727),1,1,2,1,3,1,4,2,5,2,6,3,7,3,8,3,9,3,10,2,11,2,12,1,2)</f>
        <v>1</v>
      </c>
      <c r="P7727" s="43"/>
    </row>
    <row r="7728" spans="1:16" ht="18" x14ac:dyDescent="0.35">
      <c r="A7728" s="9"/>
      <c r="C7728" s="393"/>
      <c r="E7728" s="394"/>
      <c r="F7728" s="394"/>
      <c r="G7728" s="394"/>
      <c r="I7728" s="368">
        <f t="shared" si="366"/>
        <v>0</v>
      </c>
      <c r="J7728" s="365">
        <f t="shared" si="367"/>
        <v>0</v>
      </c>
      <c r="K7728" s="369">
        <f t="shared" si="368"/>
        <v>6</v>
      </c>
      <c r="L7728" s="369">
        <f>+IF((C7728&gt;='Resultats - informe'!$E$16)*(C7728&lt;='Resultats - informe'!$G$16),1,0)</f>
        <v>1</v>
      </c>
      <c r="M7728" s="369" cm="1">
        <f t="array" ref="M7728">+_xlfn.IFS((C7728&gt;='Resultats - informe'!$D$26)*(C7728&lt;='Resultats - informe'!$E$26),0,(C7728&gt;='Resultats - informe'!$D$27)*(C7728&lt;='Resultats - informe'!$E$27),0,(C7728&gt;='Resultats - informe'!$D$28)*(C7728&lt;='Resultats - informe'!$E$28),0,(C7728&gt;='Resultats - informe'!$D$29)*(C7728&lt;='Resultats - informe'!$E$29),0,1,1)</f>
        <v>0</v>
      </c>
      <c r="N7728" s="366">
        <f>+VLOOKUP(D7728,'Resultats - informe'!$Y$18:$AG$42,'Introducció dades consum'!K7728+1,0)</f>
        <v>0</v>
      </c>
      <c r="O7728" s="370" cm="1">
        <f t="array" ref="O7728">+_xlfn.SWITCH(MONTH(C7728),1,1,2,1,3,1,4,2,5,2,6,3,7,3,8,3,9,3,10,2,11,2,12,1,2)</f>
        <v>1</v>
      </c>
      <c r="P7728" s="43"/>
    </row>
    <row r="7729" spans="1:16" ht="18" x14ac:dyDescent="0.35">
      <c r="A7729" s="9"/>
      <c r="C7729" s="393"/>
      <c r="E7729" s="394"/>
      <c r="F7729" s="394"/>
      <c r="G7729" s="394"/>
      <c r="I7729" s="368">
        <f t="shared" si="366"/>
        <v>0</v>
      </c>
      <c r="J7729" s="365">
        <f t="shared" si="367"/>
        <v>0</v>
      </c>
      <c r="K7729" s="369">
        <f t="shared" si="368"/>
        <v>6</v>
      </c>
      <c r="L7729" s="369">
        <f>+IF((C7729&gt;='Resultats - informe'!$E$16)*(C7729&lt;='Resultats - informe'!$G$16),1,0)</f>
        <v>1</v>
      </c>
      <c r="M7729" s="369" cm="1">
        <f t="array" ref="M7729">+_xlfn.IFS((C7729&gt;='Resultats - informe'!$D$26)*(C7729&lt;='Resultats - informe'!$E$26),0,(C7729&gt;='Resultats - informe'!$D$27)*(C7729&lt;='Resultats - informe'!$E$27),0,(C7729&gt;='Resultats - informe'!$D$28)*(C7729&lt;='Resultats - informe'!$E$28),0,(C7729&gt;='Resultats - informe'!$D$29)*(C7729&lt;='Resultats - informe'!$E$29),0,1,1)</f>
        <v>0</v>
      </c>
      <c r="N7729" s="366">
        <f>+VLOOKUP(D7729,'Resultats - informe'!$Y$18:$AG$42,'Introducció dades consum'!K7729+1,0)</f>
        <v>0</v>
      </c>
      <c r="O7729" s="370" cm="1">
        <f t="array" ref="O7729">+_xlfn.SWITCH(MONTH(C7729),1,1,2,1,3,1,4,2,5,2,6,3,7,3,8,3,9,3,10,2,11,2,12,1,2)</f>
        <v>1</v>
      </c>
      <c r="P7729" s="43"/>
    </row>
    <row r="7730" spans="1:16" ht="18" x14ac:dyDescent="0.35">
      <c r="A7730" s="9"/>
      <c r="C7730" s="393"/>
      <c r="E7730" s="394"/>
      <c r="F7730" s="394"/>
      <c r="G7730" s="394"/>
      <c r="I7730" s="368">
        <f t="shared" si="366"/>
        <v>0</v>
      </c>
      <c r="J7730" s="365">
        <f t="shared" si="367"/>
        <v>0</v>
      </c>
      <c r="K7730" s="369">
        <f t="shared" si="368"/>
        <v>6</v>
      </c>
      <c r="L7730" s="369">
        <f>+IF((C7730&gt;='Resultats - informe'!$E$16)*(C7730&lt;='Resultats - informe'!$G$16),1,0)</f>
        <v>1</v>
      </c>
      <c r="M7730" s="369" cm="1">
        <f t="array" ref="M7730">+_xlfn.IFS((C7730&gt;='Resultats - informe'!$D$26)*(C7730&lt;='Resultats - informe'!$E$26),0,(C7730&gt;='Resultats - informe'!$D$27)*(C7730&lt;='Resultats - informe'!$E$27),0,(C7730&gt;='Resultats - informe'!$D$28)*(C7730&lt;='Resultats - informe'!$E$28),0,(C7730&gt;='Resultats - informe'!$D$29)*(C7730&lt;='Resultats - informe'!$E$29),0,1,1)</f>
        <v>0</v>
      </c>
      <c r="N7730" s="366">
        <f>+VLOOKUP(D7730,'Resultats - informe'!$Y$18:$AG$42,'Introducció dades consum'!K7730+1,0)</f>
        <v>0</v>
      </c>
      <c r="O7730" s="370" cm="1">
        <f t="array" ref="O7730">+_xlfn.SWITCH(MONTH(C7730),1,1,2,1,3,1,4,2,5,2,6,3,7,3,8,3,9,3,10,2,11,2,12,1,2)</f>
        <v>1</v>
      </c>
      <c r="P7730" s="43"/>
    </row>
    <row r="7731" spans="1:16" ht="18" x14ac:dyDescent="0.35">
      <c r="A7731" s="9"/>
      <c r="C7731" s="393"/>
      <c r="E7731" s="394"/>
      <c r="F7731" s="394"/>
      <c r="G7731" s="394"/>
      <c r="I7731" s="368">
        <f t="shared" si="366"/>
        <v>0</v>
      </c>
      <c r="J7731" s="365">
        <f t="shared" si="367"/>
        <v>0</v>
      </c>
      <c r="K7731" s="369">
        <f t="shared" si="368"/>
        <v>6</v>
      </c>
      <c r="L7731" s="369">
        <f>+IF((C7731&gt;='Resultats - informe'!$E$16)*(C7731&lt;='Resultats - informe'!$G$16),1,0)</f>
        <v>1</v>
      </c>
      <c r="M7731" s="369" cm="1">
        <f t="array" ref="M7731">+_xlfn.IFS((C7731&gt;='Resultats - informe'!$D$26)*(C7731&lt;='Resultats - informe'!$E$26),0,(C7731&gt;='Resultats - informe'!$D$27)*(C7731&lt;='Resultats - informe'!$E$27),0,(C7731&gt;='Resultats - informe'!$D$28)*(C7731&lt;='Resultats - informe'!$E$28),0,(C7731&gt;='Resultats - informe'!$D$29)*(C7731&lt;='Resultats - informe'!$E$29),0,1,1)</f>
        <v>0</v>
      </c>
      <c r="N7731" s="366">
        <f>+VLOOKUP(D7731,'Resultats - informe'!$Y$18:$AG$42,'Introducció dades consum'!K7731+1,0)</f>
        <v>0</v>
      </c>
      <c r="O7731" s="370" cm="1">
        <f t="array" ref="O7731">+_xlfn.SWITCH(MONTH(C7731),1,1,2,1,3,1,4,2,5,2,6,3,7,3,8,3,9,3,10,2,11,2,12,1,2)</f>
        <v>1</v>
      </c>
      <c r="P7731" s="43"/>
    </row>
    <row r="7732" spans="1:16" ht="18" x14ac:dyDescent="0.35">
      <c r="A7732" s="9"/>
      <c r="C7732" s="393"/>
      <c r="E7732" s="394"/>
      <c r="F7732" s="394"/>
      <c r="G7732" s="394"/>
      <c r="I7732" s="368">
        <f t="shared" si="366"/>
        <v>0</v>
      </c>
      <c r="J7732" s="365">
        <f t="shared" si="367"/>
        <v>0</v>
      </c>
      <c r="K7732" s="369">
        <f t="shared" si="368"/>
        <v>6</v>
      </c>
      <c r="L7732" s="369">
        <f>+IF((C7732&gt;='Resultats - informe'!$E$16)*(C7732&lt;='Resultats - informe'!$G$16),1,0)</f>
        <v>1</v>
      </c>
      <c r="M7732" s="369" cm="1">
        <f t="array" ref="M7732">+_xlfn.IFS((C7732&gt;='Resultats - informe'!$D$26)*(C7732&lt;='Resultats - informe'!$E$26),0,(C7732&gt;='Resultats - informe'!$D$27)*(C7732&lt;='Resultats - informe'!$E$27),0,(C7732&gt;='Resultats - informe'!$D$28)*(C7732&lt;='Resultats - informe'!$E$28),0,(C7732&gt;='Resultats - informe'!$D$29)*(C7732&lt;='Resultats - informe'!$E$29),0,1,1)</f>
        <v>0</v>
      </c>
      <c r="N7732" s="366">
        <f>+VLOOKUP(D7732,'Resultats - informe'!$Y$18:$AG$42,'Introducció dades consum'!K7732+1,0)</f>
        <v>0</v>
      </c>
      <c r="O7732" s="370" cm="1">
        <f t="array" ref="O7732">+_xlfn.SWITCH(MONTH(C7732),1,1,2,1,3,1,4,2,5,2,6,3,7,3,8,3,9,3,10,2,11,2,12,1,2)</f>
        <v>1</v>
      </c>
      <c r="P7732" s="43"/>
    </row>
    <row r="7733" spans="1:16" ht="18" x14ac:dyDescent="0.35">
      <c r="A7733" s="9"/>
      <c r="C7733" s="393"/>
      <c r="E7733" s="394"/>
      <c r="F7733" s="394"/>
      <c r="G7733" s="394"/>
      <c r="I7733" s="368">
        <f t="shared" si="366"/>
        <v>0</v>
      </c>
      <c r="J7733" s="365">
        <f t="shared" si="367"/>
        <v>0</v>
      </c>
      <c r="K7733" s="369">
        <f t="shared" si="368"/>
        <v>6</v>
      </c>
      <c r="L7733" s="369">
        <f>+IF((C7733&gt;='Resultats - informe'!$E$16)*(C7733&lt;='Resultats - informe'!$G$16),1,0)</f>
        <v>1</v>
      </c>
      <c r="M7733" s="369" cm="1">
        <f t="array" ref="M7733">+_xlfn.IFS((C7733&gt;='Resultats - informe'!$D$26)*(C7733&lt;='Resultats - informe'!$E$26),0,(C7733&gt;='Resultats - informe'!$D$27)*(C7733&lt;='Resultats - informe'!$E$27),0,(C7733&gt;='Resultats - informe'!$D$28)*(C7733&lt;='Resultats - informe'!$E$28),0,(C7733&gt;='Resultats - informe'!$D$29)*(C7733&lt;='Resultats - informe'!$E$29),0,1,1)</f>
        <v>0</v>
      </c>
      <c r="N7733" s="366">
        <f>+VLOOKUP(D7733,'Resultats - informe'!$Y$18:$AG$42,'Introducció dades consum'!K7733+1,0)</f>
        <v>0</v>
      </c>
      <c r="O7733" s="370" cm="1">
        <f t="array" ref="O7733">+_xlfn.SWITCH(MONTH(C7733),1,1,2,1,3,1,4,2,5,2,6,3,7,3,8,3,9,3,10,2,11,2,12,1,2)</f>
        <v>1</v>
      </c>
      <c r="P7733" s="43"/>
    </row>
    <row r="7734" spans="1:16" ht="18" x14ac:dyDescent="0.35">
      <c r="A7734" s="9"/>
      <c r="C7734" s="393"/>
      <c r="E7734" s="394"/>
      <c r="F7734" s="394"/>
      <c r="G7734" s="394"/>
      <c r="I7734" s="368">
        <f t="shared" si="366"/>
        <v>0</v>
      </c>
      <c r="J7734" s="365">
        <f t="shared" si="367"/>
        <v>0</v>
      </c>
      <c r="K7734" s="369">
        <f t="shared" si="368"/>
        <v>6</v>
      </c>
      <c r="L7734" s="369">
        <f>+IF((C7734&gt;='Resultats - informe'!$E$16)*(C7734&lt;='Resultats - informe'!$G$16),1,0)</f>
        <v>1</v>
      </c>
      <c r="M7734" s="369" cm="1">
        <f t="array" ref="M7734">+_xlfn.IFS((C7734&gt;='Resultats - informe'!$D$26)*(C7734&lt;='Resultats - informe'!$E$26),0,(C7734&gt;='Resultats - informe'!$D$27)*(C7734&lt;='Resultats - informe'!$E$27),0,(C7734&gt;='Resultats - informe'!$D$28)*(C7734&lt;='Resultats - informe'!$E$28),0,(C7734&gt;='Resultats - informe'!$D$29)*(C7734&lt;='Resultats - informe'!$E$29),0,1,1)</f>
        <v>0</v>
      </c>
      <c r="N7734" s="366">
        <f>+VLOOKUP(D7734,'Resultats - informe'!$Y$18:$AG$42,'Introducció dades consum'!K7734+1,0)</f>
        <v>0</v>
      </c>
      <c r="O7734" s="370" cm="1">
        <f t="array" ref="O7734">+_xlfn.SWITCH(MONTH(C7734),1,1,2,1,3,1,4,2,5,2,6,3,7,3,8,3,9,3,10,2,11,2,12,1,2)</f>
        <v>1</v>
      </c>
      <c r="P7734" s="43"/>
    </row>
    <row r="7735" spans="1:16" ht="18" x14ac:dyDescent="0.35">
      <c r="A7735" s="9"/>
      <c r="C7735" s="393"/>
      <c r="E7735" s="394"/>
      <c r="F7735" s="394"/>
      <c r="G7735" s="394"/>
      <c r="I7735" s="368">
        <f t="shared" si="366"/>
        <v>0</v>
      </c>
      <c r="J7735" s="365">
        <f t="shared" si="367"/>
        <v>0</v>
      </c>
      <c r="K7735" s="369">
        <f t="shared" si="368"/>
        <v>6</v>
      </c>
      <c r="L7735" s="369">
        <f>+IF((C7735&gt;='Resultats - informe'!$E$16)*(C7735&lt;='Resultats - informe'!$G$16),1,0)</f>
        <v>1</v>
      </c>
      <c r="M7735" s="369" cm="1">
        <f t="array" ref="M7735">+_xlfn.IFS((C7735&gt;='Resultats - informe'!$D$26)*(C7735&lt;='Resultats - informe'!$E$26),0,(C7735&gt;='Resultats - informe'!$D$27)*(C7735&lt;='Resultats - informe'!$E$27),0,(C7735&gt;='Resultats - informe'!$D$28)*(C7735&lt;='Resultats - informe'!$E$28),0,(C7735&gt;='Resultats - informe'!$D$29)*(C7735&lt;='Resultats - informe'!$E$29),0,1,1)</f>
        <v>0</v>
      </c>
      <c r="N7735" s="366">
        <f>+VLOOKUP(D7735,'Resultats - informe'!$Y$18:$AG$42,'Introducció dades consum'!K7735+1,0)</f>
        <v>0</v>
      </c>
      <c r="O7735" s="370" cm="1">
        <f t="array" ref="O7735">+_xlfn.SWITCH(MONTH(C7735),1,1,2,1,3,1,4,2,5,2,6,3,7,3,8,3,9,3,10,2,11,2,12,1,2)</f>
        <v>1</v>
      </c>
      <c r="P7735" s="43"/>
    </row>
    <row r="7736" spans="1:16" ht="18" x14ac:dyDescent="0.35">
      <c r="A7736" s="9"/>
      <c r="C7736" s="393"/>
      <c r="E7736" s="394"/>
      <c r="F7736" s="394"/>
      <c r="G7736" s="394"/>
      <c r="I7736" s="368">
        <f t="shared" si="366"/>
        <v>0</v>
      </c>
      <c r="J7736" s="365">
        <f t="shared" si="367"/>
        <v>0</v>
      </c>
      <c r="K7736" s="369">
        <f t="shared" si="368"/>
        <v>6</v>
      </c>
      <c r="L7736" s="369">
        <f>+IF((C7736&gt;='Resultats - informe'!$E$16)*(C7736&lt;='Resultats - informe'!$G$16),1,0)</f>
        <v>1</v>
      </c>
      <c r="M7736" s="369" cm="1">
        <f t="array" ref="M7736">+_xlfn.IFS((C7736&gt;='Resultats - informe'!$D$26)*(C7736&lt;='Resultats - informe'!$E$26),0,(C7736&gt;='Resultats - informe'!$D$27)*(C7736&lt;='Resultats - informe'!$E$27),0,(C7736&gt;='Resultats - informe'!$D$28)*(C7736&lt;='Resultats - informe'!$E$28),0,(C7736&gt;='Resultats - informe'!$D$29)*(C7736&lt;='Resultats - informe'!$E$29),0,1,1)</f>
        <v>0</v>
      </c>
      <c r="N7736" s="366">
        <f>+VLOOKUP(D7736,'Resultats - informe'!$Y$18:$AG$42,'Introducció dades consum'!K7736+1,0)</f>
        <v>0</v>
      </c>
      <c r="O7736" s="370" cm="1">
        <f t="array" ref="O7736">+_xlfn.SWITCH(MONTH(C7736),1,1,2,1,3,1,4,2,5,2,6,3,7,3,8,3,9,3,10,2,11,2,12,1,2)</f>
        <v>1</v>
      </c>
      <c r="P7736" s="43"/>
    </row>
    <row r="7737" spans="1:16" ht="18" x14ac:dyDescent="0.35">
      <c r="A7737" s="9"/>
      <c r="C7737" s="393"/>
      <c r="E7737" s="394"/>
      <c r="F7737" s="394"/>
      <c r="G7737" s="394"/>
      <c r="I7737" s="368">
        <f t="shared" si="366"/>
        <v>0</v>
      </c>
      <c r="J7737" s="365">
        <f t="shared" si="367"/>
        <v>0</v>
      </c>
      <c r="K7737" s="369">
        <f t="shared" si="368"/>
        <v>6</v>
      </c>
      <c r="L7737" s="369">
        <f>+IF((C7737&gt;='Resultats - informe'!$E$16)*(C7737&lt;='Resultats - informe'!$G$16),1,0)</f>
        <v>1</v>
      </c>
      <c r="M7737" s="369" cm="1">
        <f t="array" ref="M7737">+_xlfn.IFS((C7737&gt;='Resultats - informe'!$D$26)*(C7737&lt;='Resultats - informe'!$E$26),0,(C7737&gt;='Resultats - informe'!$D$27)*(C7737&lt;='Resultats - informe'!$E$27),0,(C7737&gt;='Resultats - informe'!$D$28)*(C7737&lt;='Resultats - informe'!$E$28),0,(C7737&gt;='Resultats - informe'!$D$29)*(C7737&lt;='Resultats - informe'!$E$29),0,1,1)</f>
        <v>0</v>
      </c>
      <c r="N7737" s="366">
        <f>+VLOOKUP(D7737,'Resultats - informe'!$Y$18:$AG$42,'Introducció dades consum'!K7737+1,0)</f>
        <v>0</v>
      </c>
      <c r="O7737" s="370" cm="1">
        <f t="array" ref="O7737">+_xlfn.SWITCH(MONTH(C7737),1,1,2,1,3,1,4,2,5,2,6,3,7,3,8,3,9,3,10,2,11,2,12,1,2)</f>
        <v>1</v>
      </c>
      <c r="P7737" s="43"/>
    </row>
    <row r="7738" spans="1:16" ht="18" x14ac:dyDescent="0.35">
      <c r="A7738" s="9"/>
      <c r="C7738" s="393"/>
      <c r="E7738" s="394"/>
      <c r="F7738" s="394"/>
      <c r="G7738" s="394"/>
      <c r="I7738" s="368">
        <f t="shared" si="366"/>
        <v>0</v>
      </c>
      <c r="J7738" s="365">
        <f t="shared" si="367"/>
        <v>0</v>
      </c>
      <c r="K7738" s="369">
        <f t="shared" si="368"/>
        <v>6</v>
      </c>
      <c r="L7738" s="369">
        <f>+IF((C7738&gt;='Resultats - informe'!$E$16)*(C7738&lt;='Resultats - informe'!$G$16),1,0)</f>
        <v>1</v>
      </c>
      <c r="M7738" s="369" cm="1">
        <f t="array" ref="M7738">+_xlfn.IFS((C7738&gt;='Resultats - informe'!$D$26)*(C7738&lt;='Resultats - informe'!$E$26),0,(C7738&gt;='Resultats - informe'!$D$27)*(C7738&lt;='Resultats - informe'!$E$27),0,(C7738&gt;='Resultats - informe'!$D$28)*(C7738&lt;='Resultats - informe'!$E$28),0,(C7738&gt;='Resultats - informe'!$D$29)*(C7738&lt;='Resultats - informe'!$E$29),0,1,1)</f>
        <v>0</v>
      </c>
      <c r="N7738" s="366">
        <f>+VLOOKUP(D7738,'Resultats - informe'!$Y$18:$AG$42,'Introducció dades consum'!K7738+1,0)</f>
        <v>0</v>
      </c>
      <c r="O7738" s="370" cm="1">
        <f t="array" ref="O7738">+_xlfn.SWITCH(MONTH(C7738),1,1,2,1,3,1,4,2,5,2,6,3,7,3,8,3,9,3,10,2,11,2,12,1,2)</f>
        <v>1</v>
      </c>
      <c r="P7738" s="43"/>
    </row>
    <row r="7739" spans="1:16" ht="18" x14ac:dyDescent="0.35">
      <c r="A7739" s="9"/>
      <c r="C7739" s="393"/>
      <c r="E7739" s="394"/>
      <c r="F7739" s="394"/>
      <c r="G7739" s="394"/>
      <c r="I7739" s="368">
        <f t="shared" si="366"/>
        <v>0</v>
      </c>
      <c r="J7739" s="365">
        <f t="shared" si="367"/>
        <v>0</v>
      </c>
      <c r="K7739" s="369">
        <f t="shared" si="368"/>
        <v>6</v>
      </c>
      <c r="L7739" s="369">
        <f>+IF((C7739&gt;='Resultats - informe'!$E$16)*(C7739&lt;='Resultats - informe'!$G$16),1,0)</f>
        <v>1</v>
      </c>
      <c r="M7739" s="369" cm="1">
        <f t="array" ref="M7739">+_xlfn.IFS((C7739&gt;='Resultats - informe'!$D$26)*(C7739&lt;='Resultats - informe'!$E$26),0,(C7739&gt;='Resultats - informe'!$D$27)*(C7739&lt;='Resultats - informe'!$E$27),0,(C7739&gt;='Resultats - informe'!$D$28)*(C7739&lt;='Resultats - informe'!$E$28),0,(C7739&gt;='Resultats - informe'!$D$29)*(C7739&lt;='Resultats - informe'!$E$29),0,1,1)</f>
        <v>0</v>
      </c>
      <c r="N7739" s="366">
        <f>+VLOOKUP(D7739,'Resultats - informe'!$Y$18:$AG$42,'Introducció dades consum'!K7739+1,0)</f>
        <v>0</v>
      </c>
      <c r="O7739" s="370" cm="1">
        <f t="array" ref="O7739">+_xlfn.SWITCH(MONTH(C7739),1,1,2,1,3,1,4,2,5,2,6,3,7,3,8,3,9,3,10,2,11,2,12,1,2)</f>
        <v>1</v>
      </c>
      <c r="P7739" s="43"/>
    </row>
    <row r="7740" spans="1:16" ht="18" x14ac:dyDescent="0.35">
      <c r="A7740" s="9"/>
      <c r="C7740" s="393"/>
      <c r="E7740" s="394"/>
      <c r="F7740" s="394"/>
      <c r="G7740" s="394"/>
      <c r="I7740" s="368">
        <f t="shared" si="366"/>
        <v>0</v>
      </c>
      <c r="J7740" s="365">
        <f t="shared" si="367"/>
        <v>0</v>
      </c>
      <c r="K7740" s="369">
        <f t="shared" si="368"/>
        <v>6</v>
      </c>
      <c r="L7740" s="369">
        <f>+IF((C7740&gt;='Resultats - informe'!$E$16)*(C7740&lt;='Resultats - informe'!$G$16),1,0)</f>
        <v>1</v>
      </c>
      <c r="M7740" s="369" cm="1">
        <f t="array" ref="M7740">+_xlfn.IFS((C7740&gt;='Resultats - informe'!$D$26)*(C7740&lt;='Resultats - informe'!$E$26),0,(C7740&gt;='Resultats - informe'!$D$27)*(C7740&lt;='Resultats - informe'!$E$27),0,(C7740&gt;='Resultats - informe'!$D$28)*(C7740&lt;='Resultats - informe'!$E$28),0,(C7740&gt;='Resultats - informe'!$D$29)*(C7740&lt;='Resultats - informe'!$E$29),0,1,1)</f>
        <v>0</v>
      </c>
      <c r="N7740" s="366">
        <f>+VLOOKUP(D7740,'Resultats - informe'!$Y$18:$AG$42,'Introducció dades consum'!K7740+1,0)</f>
        <v>0</v>
      </c>
      <c r="O7740" s="370" cm="1">
        <f t="array" ref="O7740">+_xlfn.SWITCH(MONTH(C7740),1,1,2,1,3,1,4,2,5,2,6,3,7,3,8,3,9,3,10,2,11,2,12,1,2)</f>
        <v>1</v>
      </c>
      <c r="P7740" s="43"/>
    </row>
    <row r="7741" spans="1:16" ht="18" x14ac:dyDescent="0.35">
      <c r="A7741" s="9"/>
      <c r="C7741" s="393"/>
      <c r="E7741" s="394"/>
      <c r="F7741" s="394"/>
      <c r="G7741" s="394"/>
      <c r="I7741" s="368">
        <f t="shared" si="366"/>
        <v>0</v>
      </c>
      <c r="J7741" s="365">
        <f t="shared" si="367"/>
        <v>0</v>
      </c>
      <c r="K7741" s="369">
        <f t="shared" si="368"/>
        <v>6</v>
      </c>
      <c r="L7741" s="369">
        <f>+IF((C7741&gt;='Resultats - informe'!$E$16)*(C7741&lt;='Resultats - informe'!$G$16),1,0)</f>
        <v>1</v>
      </c>
      <c r="M7741" s="369" cm="1">
        <f t="array" ref="M7741">+_xlfn.IFS((C7741&gt;='Resultats - informe'!$D$26)*(C7741&lt;='Resultats - informe'!$E$26),0,(C7741&gt;='Resultats - informe'!$D$27)*(C7741&lt;='Resultats - informe'!$E$27),0,(C7741&gt;='Resultats - informe'!$D$28)*(C7741&lt;='Resultats - informe'!$E$28),0,(C7741&gt;='Resultats - informe'!$D$29)*(C7741&lt;='Resultats - informe'!$E$29),0,1,1)</f>
        <v>0</v>
      </c>
      <c r="N7741" s="366">
        <f>+VLOOKUP(D7741,'Resultats - informe'!$Y$18:$AG$42,'Introducció dades consum'!K7741+1,0)</f>
        <v>0</v>
      </c>
      <c r="O7741" s="370" cm="1">
        <f t="array" ref="O7741">+_xlfn.SWITCH(MONTH(C7741),1,1,2,1,3,1,4,2,5,2,6,3,7,3,8,3,9,3,10,2,11,2,12,1,2)</f>
        <v>1</v>
      </c>
      <c r="P7741" s="43"/>
    </row>
    <row r="7742" spans="1:16" ht="18" x14ac:dyDescent="0.35">
      <c r="A7742" s="9"/>
      <c r="C7742" s="393"/>
      <c r="E7742" s="394"/>
      <c r="F7742" s="394"/>
      <c r="G7742" s="394"/>
      <c r="I7742" s="368">
        <f t="shared" si="366"/>
        <v>0</v>
      </c>
      <c r="J7742" s="365">
        <f t="shared" si="367"/>
        <v>0</v>
      </c>
      <c r="K7742" s="369">
        <f t="shared" si="368"/>
        <v>6</v>
      </c>
      <c r="L7742" s="369">
        <f>+IF((C7742&gt;='Resultats - informe'!$E$16)*(C7742&lt;='Resultats - informe'!$G$16),1,0)</f>
        <v>1</v>
      </c>
      <c r="M7742" s="369" cm="1">
        <f t="array" ref="M7742">+_xlfn.IFS((C7742&gt;='Resultats - informe'!$D$26)*(C7742&lt;='Resultats - informe'!$E$26),0,(C7742&gt;='Resultats - informe'!$D$27)*(C7742&lt;='Resultats - informe'!$E$27),0,(C7742&gt;='Resultats - informe'!$D$28)*(C7742&lt;='Resultats - informe'!$E$28),0,(C7742&gt;='Resultats - informe'!$D$29)*(C7742&lt;='Resultats - informe'!$E$29),0,1,1)</f>
        <v>0</v>
      </c>
      <c r="N7742" s="366">
        <f>+VLOOKUP(D7742,'Resultats - informe'!$Y$18:$AG$42,'Introducció dades consum'!K7742+1,0)</f>
        <v>0</v>
      </c>
      <c r="O7742" s="370" cm="1">
        <f t="array" ref="O7742">+_xlfn.SWITCH(MONTH(C7742),1,1,2,1,3,1,4,2,5,2,6,3,7,3,8,3,9,3,10,2,11,2,12,1,2)</f>
        <v>1</v>
      </c>
      <c r="P7742" s="43"/>
    </row>
    <row r="7743" spans="1:16" ht="18" x14ac:dyDescent="0.35">
      <c r="A7743" s="9"/>
      <c r="C7743" s="393"/>
      <c r="E7743" s="394"/>
      <c r="F7743" s="394"/>
      <c r="G7743" s="394"/>
      <c r="I7743" s="368">
        <f t="shared" si="366"/>
        <v>0</v>
      </c>
      <c r="J7743" s="365">
        <f t="shared" si="367"/>
        <v>0</v>
      </c>
      <c r="K7743" s="369">
        <f t="shared" si="368"/>
        <v>6</v>
      </c>
      <c r="L7743" s="369">
        <f>+IF((C7743&gt;='Resultats - informe'!$E$16)*(C7743&lt;='Resultats - informe'!$G$16),1,0)</f>
        <v>1</v>
      </c>
      <c r="M7743" s="369" cm="1">
        <f t="array" ref="M7743">+_xlfn.IFS((C7743&gt;='Resultats - informe'!$D$26)*(C7743&lt;='Resultats - informe'!$E$26),0,(C7743&gt;='Resultats - informe'!$D$27)*(C7743&lt;='Resultats - informe'!$E$27),0,(C7743&gt;='Resultats - informe'!$D$28)*(C7743&lt;='Resultats - informe'!$E$28),0,(C7743&gt;='Resultats - informe'!$D$29)*(C7743&lt;='Resultats - informe'!$E$29),0,1,1)</f>
        <v>0</v>
      </c>
      <c r="N7743" s="366">
        <f>+VLOOKUP(D7743,'Resultats - informe'!$Y$18:$AG$42,'Introducció dades consum'!K7743+1,0)</f>
        <v>0</v>
      </c>
      <c r="O7743" s="370" cm="1">
        <f t="array" ref="O7743">+_xlfn.SWITCH(MONTH(C7743),1,1,2,1,3,1,4,2,5,2,6,3,7,3,8,3,9,3,10,2,11,2,12,1,2)</f>
        <v>1</v>
      </c>
      <c r="P7743" s="43"/>
    </row>
    <row r="7744" spans="1:16" ht="18" x14ac:dyDescent="0.35">
      <c r="A7744" s="9"/>
      <c r="C7744" s="393"/>
      <c r="E7744" s="394"/>
      <c r="F7744" s="394"/>
      <c r="G7744" s="394"/>
      <c r="I7744" s="368">
        <f t="shared" si="366"/>
        <v>0</v>
      </c>
      <c r="J7744" s="365">
        <f t="shared" si="367"/>
        <v>0</v>
      </c>
      <c r="K7744" s="369">
        <f t="shared" si="368"/>
        <v>6</v>
      </c>
      <c r="L7744" s="369">
        <f>+IF((C7744&gt;='Resultats - informe'!$E$16)*(C7744&lt;='Resultats - informe'!$G$16),1,0)</f>
        <v>1</v>
      </c>
      <c r="M7744" s="369" cm="1">
        <f t="array" ref="M7744">+_xlfn.IFS((C7744&gt;='Resultats - informe'!$D$26)*(C7744&lt;='Resultats - informe'!$E$26),0,(C7744&gt;='Resultats - informe'!$D$27)*(C7744&lt;='Resultats - informe'!$E$27),0,(C7744&gt;='Resultats - informe'!$D$28)*(C7744&lt;='Resultats - informe'!$E$28),0,(C7744&gt;='Resultats - informe'!$D$29)*(C7744&lt;='Resultats - informe'!$E$29),0,1,1)</f>
        <v>0</v>
      </c>
      <c r="N7744" s="366">
        <f>+VLOOKUP(D7744,'Resultats - informe'!$Y$18:$AG$42,'Introducció dades consum'!K7744+1,0)</f>
        <v>0</v>
      </c>
      <c r="O7744" s="370" cm="1">
        <f t="array" ref="O7744">+_xlfn.SWITCH(MONTH(C7744),1,1,2,1,3,1,4,2,5,2,6,3,7,3,8,3,9,3,10,2,11,2,12,1,2)</f>
        <v>1</v>
      </c>
      <c r="P7744" s="43"/>
    </row>
    <row r="7745" spans="1:16" ht="18" x14ac:dyDescent="0.35">
      <c r="A7745" s="9"/>
      <c r="C7745" s="393"/>
      <c r="E7745" s="394"/>
      <c r="F7745" s="394"/>
      <c r="G7745" s="394"/>
      <c r="I7745" s="368">
        <f t="shared" si="366"/>
        <v>0</v>
      </c>
      <c r="J7745" s="365">
        <f t="shared" si="367"/>
        <v>0</v>
      </c>
      <c r="K7745" s="369">
        <f t="shared" si="368"/>
        <v>6</v>
      </c>
      <c r="L7745" s="369">
        <f>+IF((C7745&gt;='Resultats - informe'!$E$16)*(C7745&lt;='Resultats - informe'!$G$16),1,0)</f>
        <v>1</v>
      </c>
      <c r="M7745" s="369" cm="1">
        <f t="array" ref="M7745">+_xlfn.IFS((C7745&gt;='Resultats - informe'!$D$26)*(C7745&lt;='Resultats - informe'!$E$26),0,(C7745&gt;='Resultats - informe'!$D$27)*(C7745&lt;='Resultats - informe'!$E$27),0,(C7745&gt;='Resultats - informe'!$D$28)*(C7745&lt;='Resultats - informe'!$E$28),0,(C7745&gt;='Resultats - informe'!$D$29)*(C7745&lt;='Resultats - informe'!$E$29),0,1,1)</f>
        <v>0</v>
      </c>
      <c r="N7745" s="366">
        <f>+VLOOKUP(D7745,'Resultats - informe'!$Y$18:$AG$42,'Introducció dades consum'!K7745+1,0)</f>
        <v>0</v>
      </c>
      <c r="O7745" s="370" cm="1">
        <f t="array" ref="O7745">+_xlfn.SWITCH(MONTH(C7745),1,1,2,1,3,1,4,2,5,2,6,3,7,3,8,3,9,3,10,2,11,2,12,1,2)</f>
        <v>1</v>
      </c>
      <c r="P7745" s="43"/>
    </row>
    <row r="7746" spans="1:16" ht="18" x14ac:dyDescent="0.35">
      <c r="A7746" s="9"/>
      <c r="C7746" s="393"/>
      <c r="E7746" s="394"/>
      <c r="F7746" s="394"/>
      <c r="G7746" s="394"/>
      <c r="I7746" s="368">
        <f t="shared" si="366"/>
        <v>0</v>
      </c>
      <c r="J7746" s="365">
        <f t="shared" si="367"/>
        <v>0</v>
      </c>
      <c r="K7746" s="369">
        <f t="shared" si="368"/>
        <v>6</v>
      </c>
      <c r="L7746" s="369">
        <f>+IF((C7746&gt;='Resultats - informe'!$E$16)*(C7746&lt;='Resultats - informe'!$G$16),1,0)</f>
        <v>1</v>
      </c>
      <c r="M7746" s="369" cm="1">
        <f t="array" ref="M7746">+_xlfn.IFS((C7746&gt;='Resultats - informe'!$D$26)*(C7746&lt;='Resultats - informe'!$E$26),0,(C7746&gt;='Resultats - informe'!$D$27)*(C7746&lt;='Resultats - informe'!$E$27),0,(C7746&gt;='Resultats - informe'!$D$28)*(C7746&lt;='Resultats - informe'!$E$28),0,(C7746&gt;='Resultats - informe'!$D$29)*(C7746&lt;='Resultats - informe'!$E$29),0,1,1)</f>
        <v>0</v>
      </c>
      <c r="N7746" s="366">
        <f>+VLOOKUP(D7746,'Resultats - informe'!$Y$18:$AG$42,'Introducció dades consum'!K7746+1,0)</f>
        <v>0</v>
      </c>
      <c r="O7746" s="370" cm="1">
        <f t="array" ref="O7746">+_xlfn.SWITCH(MONTH(C7746),1,1,2,1,3,1,4,2,5,2,6,3,7,3,8,3,9,3,10,2,11,2,12,1,2)</f>
        <v>1</v>
      </c>
      <c r="P7746" s="43"/>
    </row>
    <row r="7747" spans="1:16" ht="18" x14ac:dyDescent="0.35">
      <c r="A7747" s="9"/>
      <c r="C7747" s="393"/>
      <c r="E7747" s="394"/>
      <c r="F7747" s="394"/>
      <c r="G7747" s="394"/>
      <c r="I7747" s="368">
        <f t="shared" si="366"/>
        <v>0</v>
      </c>
      <c r="J7747" s="365">
        <f t="shared" si="367"/>
        <v>0</v>
      </c>
      <c r="K7747" s="369">
        <f t="shared" si="368"/>
        <v>6</v>
      </c>
      <c r="L7747" s="369">
        <f>+IF((C7747&gt;='Resultats - informe'!$E$16)*(C7747&lt;='Resultats - informe'!$G$16),1,0)</f>
        <v>1</v>
      </c>
      <c r="M7747" s="369" cm="1">
        <f t="array" ref="M7747">+_xlfn.IFS((C7747&gt;='Resultats - informe'!$D$26)*(C7747&lt;='Resultats - informe'!$E$26),0,(C7747&gt;='Resultats - informe'!$D$27)*(C7747&lt;='Resultats - informe'!$E$27),0,(C7747&gt;='Resultats - informe'!$D$28)*(C7747&lt;='Resultats - informe'!$E$28),0,(C7747&gt;='Resultats - informe'!$D$29)*(C7747&lt;='Resultats - informe'!$E$29),0,1,1)</f>
        <v>0</v>
      </c>
      <c r="N7747" s="366">
        <f>+VLOOKUP(D7747,'Resultats - informe'!$Y$18:$AG$42,'Introducció dades consum'!K7747+1,0)</f>
        <v>0</v>
      </c>
      <c r="O7747" s="370" cm="1">
        <f t="array" ref="O7747">+_xlfn.SWITCH(MONTH(C7747),1,1,2,1,3,1,4,2,5,2,6,3,7,3,8,3,9,3,10,2,11,2,12,1,2)</f>
        <v>1</v>
      </c>
      <c r="P7747" s="43"/>
    </row>
    <row r="7748" spans="1:16" ht="18" x14ac:dyDescent="0.35">
      <c r="A7748" s="9"/>
      <c r="C7748" s="393"/>
      <c r="E7748" s="394"/>
      <c r="F7748" s="394"/>
      <c r="G7748" s="394"/>
      <c r="I7748" s="368">
        <f t="shared" si="366"/>
        <v>0</v>
      </c>
      <c r="J7748" s="365">
        <f t="shared" si="367"/>
        <v>0</v>
      </c>
      <c r="K7748" s="369">
        <f t="shared" si="368"/>
        <v>6</v>
      </c>
      <c r="L7748" s="369">
        <f>+IF((C7748&gt;='Resultats - informe'!$E$16)*(C7748&lt;='Resultats - informe'!$G$16),1,0)</f>
        <v>1</v>
      </c>
      <c r="M7748" s="369" cm="1">
        <f t="array" ref="M7748">+_xlfn.IFS((C7748&gt;='Resultats - informe'!$D$26)*(C7748&lt;='Resultats - informe'!$E$26),0,(C7748&gt;='Resultats - informe'!$D$27)*(C7748&lt;='Resultats - informe'!$E$27),0,(C7748&gt;='Resultats - informe'!$D$28)*(C7748&lt;='Resultats - informe'!$E$28),0,(C7748&gt;='Resultats - informe'!$D$29)*(C7748&lt;='Resultats - informe'!$E$29),0,1,1)</f>
        <v>0</v>
      </c>
      <c r="N7748" s="366">
        <f>+VLOOKUP(D7748,'Resultats - informe'!$Y$18:$AG$42,'Introducció dades consum'!K7748+1,0)</f>
        <v>0</v>
      </c>
      <c r="O7748" s="370" cm="1">
        <f t="array" ref="O7748">+_xlfn.SWITCH(MONTH(C7748),1,1,2,1,3,1,4,2,5,2,6,3,7,3,8,3,9,3,10,2,11,2,12,1,2)</f>
        <v>1</v>
      </c>
      <c r="P7748" s="43"/>
    </row>
    <row r="7749" spans="1:16" ht="18" x14ac:dyDescent="0.35">
      <c r="A7749" s="9"/>
      <c r="C7749" s="393"/>
      <c r="E7749" s="394"/>
      <c r="F7749" s="394"/>
      <c r="G7749" s="394"/>
      <c r="I7749" s="368">
        <f t="shared" si="366"/>
        <v>0</v>
      </c>
      <c r="J7749" s="365">
        <f t="shared" si="367"/>
        <v>0</v>
      </c>
      <c r="K7749" s="369">
        <f t="shared" si="368"/>
        <v>6</v>
      </c>
      <c r="L7749" s="369">
        <f>+IF((C7749&gt;='Resultats - informe'!$E$16)*(C7749&lt;='Resultats - informe'!$G$16),1,0)</f>
        <v>1</v>
      </c>
      <c r="M7749" s="369" cm="1">
        <f t="array" ref="M7749">+_xlfn.IFS((C7749&gt;='Resultats - informe'!$D$26)*(C7749&lt;='Resultats - informe'!$E$26),0,(C7749&gt;='Resultats - informe'!$D$27)*(C7749&lt;='Resultats - informe'!$E$27),0,(C7749&gt;='Resultats - informe'!$D$28)*(C7749&lt;='Resultats - informe'!$E$28),0,(C7749&gt;='Resultats - informe'!$D$29)*(C7749&lt;='Resultats - informe'!$E$29),0,1,1)</f>
        <v>0</v>
      </c>
      <c r="N7749" s="366">
        <f>+VLOOKUP(D7749,'Resultats - informe'!$Y$18:$AG$42,'Introducció dades consum'!K7749+1,0)</f>
        <v>0</v>
      </c>
      <c r="O7749" s="370" cm="1">
        <f t="array" ref="O7749">+_xlfn.SWITCH(MONTH(C7749),1,1,2,1,3,1,4,2,5,2,6,3,7,3,8,3,9,3,10,2,11,2,12,1,2)</f>
        <v>1</v>
      </c>
      <c r="P7749" s="43"/>
    </row>
    <row r="7750" spans="1:16" ht="18" x14ac:dyDescent="0.35">
      <c r="A7750" s="9"/>
      <c r="C7750" s="393"/>
      <c r="E7750" s="394"/>
      <c r="F7750" s="394"/>
      <c r="G7750" s="394"/>
      <c r="I7750" s="368">
        <f t="shared" si="366"/>
        <v>0</v>
      </c>
      <c r="J7750" s="365">
        <f t="shared" si="367"/>
        <v>0</v>
      </c>
      <c r="K7750" s="369">
        <f t="shared" si="368"/>
        <v>6</v>
      </c>
      <c r="L7750" s="369">
        <f>+IF((C7750&gt;='Resultats - informe'!$E$16)*(C7750&lt;='Resultats - informe'!$G$16),1,0)</f>
        <v>1</v>
      </c>
      <c r="M7750" s="369" cm="1">
        <f t="array" ref="M7750">+_xlfn.IFS((C7750&gt;='Resultats - informe'!$D$26)*(C7750&lt;='Resultats - informe'!$E$26),0,(C7750&gt;='Resultats - informe'!$D$27)*(C7750&lt;='Resultats - informe'!$E$27),0,(C7750&gt;='Resultats - informe'!$D$28)*(C7750&lt;='Resultats - informe'!$E$28),0,(C7750&gt;='Resultats - informe'!$D$29)*(C7750&lt;='Resultats - informe'!$E$29),0,1,1)</f>
        <v>0</v>
      </c>
      <c r="N7750" s="366">
        <f>+VLOOKUP(D7750,'Resultats - informe'!$Y$18:$AG$42,'Introducció dades consum'!K7750+1,0)</f>
        <v>0</v>
      </c>
      <c r="O7750" s="370" cm="1">
        <f t="array" ref="O7750">+_xlfn.SWITCH(MONTH(C7750),1,1,2,1,3,1,4,2,5,2,6,3,7,3,8,3,9,3,10,2,11,2,12,1,2)</f>
        <v>1</v>
      </c>
      <c r="P7750" s="43"/>
    </row>
    <row r="7751" spans="1:16" ht="18" x14ac:dyDescent="0.35">
      <c r="A7751" s="9"/>
      <c r="C7751" s="393"/>
      <c r="E7751" s="394"/>
      <c r="F7751" s="394"/>
      <c r="G7751" s="394"/>
      <c r="I7751" s="368">
        <f t="shared" si="366"/>
        <v>0</v>
      </c>
      <c r="J7751" s="365">
        <f t="shared" si="367"/>
        <v>0</v>
      </c>
      <c r="K7751" s="369">
        <f t="shared" si="368"/>
        <v>6</v>
      </c>
      <c r="L7751" s="369">
        <f>+IF((C7751&gt;='Resultats - informe'!$E$16)*(C7751&lt;='Resultats - informe'!$G$16),1,0)</f>
        <v>1</v>
      </c>
      <c r="M7751" s="369" cm="1">
        <f t="array" ref="M7751">+_xlfn.IFS((C7751&gt;='Resultats - informe'!$D$26)*(C7751&lt;='Resultats - informe'!$E$26),0,(C7751&gt;='Resultats - informe'!$D$27)*(C7751&lt;='Resultats - informe'!$E$27),0,(C7751&gt;='Resultats - informe'!$D$28)*(C7751&lt;='Resultats - informe'!$E$28),0,(C7751&gt;='Resultats - informe'!$D$29)*(C7751&lt;='Resultats - informe'!$E$29),0,1,1)</f>
        <v>0</v>
      </c>
      <c r="N7751" s="366">
        <f>+VLOOKUP(D7751,'Resultats - informe'!$Y$18:$AG$42,'Introducció dades consum'!K7751+1,0)</f>
        <v>0</v>
      </c>
      <c r="O7751" s="370" cm="1">
        <f t="array" ref="O7751">+_xlfn.SWITCH(MONTH(C7751),1,1,2,1,3,1,4,2,5,2,6,3,7,3,8,3,9,3,10,2,11,2,12,1,2)</f>
        <v>1</v>
      </c>
      <c r="P7751" s="43"/>
    </row>
    <row r="7752" spans="1:16" ht="18" x14ac:dyDescent="0.35">
      <c r="A7752" s="9"/>
      <c r="C7752" s="393"/>
      <c r="E7752" s="394"/>
      <c r="F7752" s="394"/>
      <c r="G7752" s="394"/>
      <c r="I7752" s="368">
        <f t="shared" si="366"/>
        <v>0</v>
      </c>
      <c r="J7752" s="365">
        <f t="shared" si="367"/>
        <v>0</v>
      </c>
      <c r="K7752" s="369">
        <f t="shared" si="368"/>
        <v>6</v>
      </c>
      <c r="L7752" s="369">
        <f>+IF((C7752&gt;='Resultats - informe'!$E$16)*(C7752&lt;='Resultats - informe'!$G$16),1,0)</f>
        <v>1</v>
      </c>
      <c r="M7752" s="369" cm="1">
        <f t="array" ref="M7752">+_xlfn.IFS((C7752&gt;='Resultats - informe'!$D$26)*(C7752&lt;='Resultats - informe'!$E$26),0,(C7752&gt;='Resultats - informe'!$D$27)*(C7752&lt;='Resultats - informe'!$E$27),0,(C7752&gt;='Resultats - informe'!$D$28)*(C7752&lt;='Resultats - informe'!$E$28),0,(C7752&gt;='Resultats - informe'!$D$29)*(C7752&lt;='Resultats - informe'!$E$29),0,1,1)</f>
        <v>0</v>
      </c>
      <c r="N7752" s="366">
        <f>+VLOOKUP(D7752,'Resultats - informe'!$Y$18:$AG$42,'Introducció dades consum'!K7752+1,0)</f>
        <v>0</v>
      </c>
      <c r="O7752" s="370" cm="1">
        <f t="array" ref="O7752">+_xlfn.SWITCH(MONTH(C7752),1,1,2,1,3,1,4,2,5,2,6,3,7,3,8,3,9,3,10,2,11,2,12,1,2)</f>
        <v>1</v>
      </c>
      <c r="P7752" s="43"/>
    </row>
    <row r="7753" spans="1:16" ht="18" x14ac:dyDescent="0.35">
      <c r="A7753" s="9"/>
      <c r="C7753" s="393"/>
      <c r="E7753" s="394"/>
      <c r="F7753" s="394"/>
      <c r="G7753" s="394"/>
      <c r="I7753" s="368">
        <f t="shared" si="366"/>
        <v>0</v>
      </c>
      <c r="J7753" s="365">
        <f t="shared" si="367"/>
        <v>0</v>
      </c>
      <c r="K7753" s="369">
        <f t="shared" si="368"/>
        <v>6</v>
      </c>
      <c r="L7753" s="369">
        <f>+IF((C7753&gt;='Resultats - informe'!$E$16)*(C7753&lt;='Resultats - informe'!$G$16),1,0)</f>
        <v>1</v>
      </c>
      <c r="M7753" s="369" cm="1">
        <f t="array" ref="M7753">+_xlfn.IFS((C7753&gt;='Resultats - informe'!$D$26)*(C7753&lt;='Resultats - informe'!$E$26),0,(C7753&gt;='Resultats - informe'!$D$27)*(C7753&lt;='Resultats - informe'!$E$27),0,(C7753&gt;='Resultats - informe'!$D$28)*(C7753&lt;='Resultats - informe'!$E$28),0,(C7753&gt;='Resultats - informe'!$D$29)*(C7753&lt;='Resultats - informe'!$E$29),0,1,1)</f>
        <v>0</v>
      </c>
      <c r="N7753" s="366">
        <f>+VLOOKUP(D7753,'Resultats - informe'!$Y$18:$AG$42,'Introducció dades consum'!K7753+1,0)</f>
        <v>0</v>
      </c>
      <c r="O7753" s="370" cm="1">
        <f t="array" ref="O7753">+_xlfn.SWITCH(MONTH(C7753),1,1,2,1,3,1,4,2,5,2,6,3,7,3,8,3,9,3,10,2,11,2,12,1,2)</f>
        <v>1</v>
      </c>
      <c r="P7753" s="43"/>
    </row>
    <row r="7754" spans="1:16" ht="18" x14ac:dyDescent="0.35">
      <c r="A7754" s="9"/>
      <c r="C7754" s="393"/>
      <c r="E7754" s="394"/>
      <c r="F7754" s="394"/>
      <c r="G7754" s="394"/>
      <c r="I7754" s="368">
        <f t="shared" si="366"/>
        <v>0</v>
      </c>
      <c r="J7754" s="365">
        <f t="shared" si="367"/>
        <v>0</v>
      </c>
      <c r="K7754" s="369">
        <f t="shared" si="368"/>
        <v>6</v>
      </c>
      <c r="L7754" s="369">
        <f>+IF((C7754&gt;='Resultats - informe'!$E$16)*(C7754&lt;='Resultats - informe'!$G$16),1,0)</f>
        <v>1</v>
      </c>
      <c r="M7754" s="369" cm="1">
        <f t="array" ref="M7754">+_xlfn.IFS((C7754&gt;='Resultats - informe'!$D$26)*(C7754&lt;='Resultats - informe'!$E$26),0,(C7754&gt;='Resultats - informe'!$D$27)*(C7754&lt;='Resultats - informe'!$E$27),0,(C7754&gt;='Resultats - informe'!$D$28)*(C7754&lt;='Resultats - informe'!$E$28),0,(C7754&gt;='Resultats - informe'!$D$29)*(C7754&lt;='Resultats - informe'!$E$29),0,1,1)</f>
        <v>0</v>
      </c>
      <c r="N7754" s="366">
        <f>+VLOOKUP(D7754,'Resultats - informe'!$Y$18:$AG$42,'Introducció dades consum'!K7754+1,0)</f>
        <v>0</v>
      </c>
      <c r="O7754" s="370" cm="1">
        <f t="array" ref="O7754">+_xlfn.SWITCH(MONTH(C7754),1,1,2,1,3,1,4,2,5,2,6,3,7,3,8,3,9,3,10,2,11,2,12,1,2)</f>
        <v>1</v>
      </c>
      <c r="P7754" s="43"/>
    </row>
    <row r="7755" spans="1:16" ht="18" x14ac:dyDescent="0.35">
      <c r="A7755" s="9"/>
      <c r="C7755" s="393"/>
      <c r="E7755" s="394"/>
      <c r="F7755" s="394"/>
      <c r="G7755" s="394"/>
      <c r="I7755" s="368">
        <f t="shared" si="366"/>
        <v>0</v>
      </c>
      <c r="J7755" s="365">
        <f t="shared" si="367"/>
        <v>0</v>
      </c>
      <c r="K7755" s="369">
        <f t="shared" si="368"/>
        <v>6</v>
      </c>
      <c r="L7755" s="369">
        <f>+IF((C7755&gt;='Resultats - informe'!$E$16)*(C7755&lt;='Resultats - informe'!$G$16),1,0)</f>
        <v>1</v>
      </c>
      <c r="M7755" s="369" cm="1">
        <f t="array" ref="M7755">+_xlfn.IFS((C7755&gt;='Resultats - informe'!$D$26)*(C7755&lt;='Resultats - informe'!$E$26),0,(C7755&gt;='Resultats - informe'!$D$27)*(C7755&lt;='Resultats - informe'!$E$27),0,(C7755&gt;='Resultats - informe'!$D$28)*(C7755&lt;='Resultats - informe'!$E$28),0,(C7755&gt;='Resultats - informe'!$D$29)*(C7755&lt;='Resultats - informe'!$E$29),0,1,1)</f>
        <v>0</v>
      </c>
      <c r="N7755" s="366">
        <f>+VLOOKUP(D7755,'Resultats - informe'!$Y$18:$AG$42,'Introducció dades consum'!K7755+1,0)</f>
        <v>0</v>
      </c>
      <c r="O7755" s="370" cm="1">
        <f t="array" ref="O7755">+_xlfn.SWITCH(MONTH(C7755),1,1,2,1,3,1,4,2,5,2,6,3,7,3,8,3,9,3,10,2,11,2,12,1,2)</f>
        <v>1</v>
      </c>
      <c r="P7755" s="43"/>
    </row>
    <row r="7756" spans="1:16" ht="18" x14ac:dyDescent="0.35">
      <c r="A7756" s="9"/>
      <c r="C7756" s="393"/>
      <c r="E7756" s="394"/>
      <c r="F7756" s="394"/>
      <c r="G7756" s="394"/>
      <c r="I7756" s="368">
        <f t="shared" si="366"/>
        <v>0</v>
      </c>
      <c r="J7756" s="365">
        <f t="shared" si="367"/>
        <v>0</v>
      </c>
      <c r="K7756" s="369">
        <f t="shared" si="368"/>
        <v>6</v>
      </c>
      <c r="L7756" s="369">
        <f>+IF((C7756&gt;='Resultats - informe'!$E$16)*(C7756&lt;='Resultats - informe'!$G$16),1,0)</f>
        <v>1</v>
      </c>
      <c r="M7756" s="369" cm="1">
        <f t="array" ref="M7756">+_xlfn.IFS((C7756&gt;='Resultats - informe'!$D$26)*(C7756&lt;='Resultats - informe'!$E$26),0,(C7756&gt;='Resultats - informe'!$D$27)*(C7756&lt;='Resultats - informe'!$E$27),0,(C7756&gt;='Resultats - informe'!$D$28)*(C7756&lt;='Resultats - informe'!$E$28),0,(C7756&gt;='Resultats - informe'!$D$29)*(C7756&lt;='Resultats - informe'!$E$29),0,1,1)</f>
        <v>0</v>
      </c>
      <c r="N7756" s="366">
        <f>+VLOOKUP(D7756,'Resultats - informe'!$Y$18:$AG$42,'Introducció dades consum'!K7756+1,0)</f>
        <v>0</v>
      </c>
      <c r="O7756" s="370" cm="1">
        <f t="array" ref="O7756">+_xlfn.SWITCH(MONTH(C7756),1,1,2,1,3,1,4,2,5,2,6,3,7,3,8,3,9,3,10,2,11,2,12,1,2)</f>
        <v>1</v>
      </c>
      <c r="P7756" s="43"/>
    </row>
    <row r="7757" spans="1:16" ht="18" x14ac:dyDescent="0.35">
      <c r="A7757" s="9"/>
      <c r="C7757" s="393"/>
      <c r="E7757" s="394"/>
      <c r="F7757" s="394"/>
      <c r="G7757" s="394"/>
      <c r="I7757" s="368">
        <f t="shared" si="366"/>
        <v>0</v>
      </c>
      <c r="J7757" s="365">
        <f t="shared" si="367"/>
        <v>0</v>
      </c>
      <c r="K7757" s="369">
        <f t="shared" si="368"/>
        <v>6</v>
      </c>
      <c r="L7757" s="369">
        <f>+IF((C7757&gt;='Resultats - informe'!$E$16)*(C7757&lt;='Resultats - informe'!$G$16),1,0)</f>
        <v>1</v>
      </c>
      <c r="M7757" s="369" cm="1">
        <f t="array" ref="M7757">+_xlfn.IFS((C7757&gt;='Resultats - informe'!$D$26)*(C7757&lt;='Resultats - informe'!$E$26),0,(C7757&gt;='Resultats - informe'!$D$27)*(C7757&lt;='Resultats - informe'!$E$27),0,(C7757&gt;='Resultats - informe'!$D$28)*(C7757&lt;='Resultats - informe'!$E$28),0,(C7757&gt;='Resultats - informe'!$D$29)*(C7757&lt;='Resultats - informe'!$E$29),0,1,1)</f>
        <v>0</v>
      </c>
      <c r="N7757" s="366">
        <f>+VLOOKUP(D7757,'Resultats - informe'!$Y$18:$AG$42,'Introducció dades consum'!K7757+1,0)</f>
        <v>0</v>
      </c>
      <c r="O7757" s="370" cm="1">
        <f t="array" ref="O7757">+_xlfn.SWITCH(MONTH(C7757),1,1,2,1,3,1,4,2,5,2,6,3,7,3,8,3,9,3,10,2,11,2,12,1,2)</f>
        <v>1</v>
      </c>
      <c r="P7757" s="43"/>
    </row>
    <row r="7758" spans="1:16" ht="18" x14ac:dyDescent="0.35">
      <c r="A7758" s="9"/>
      <c r="C7758" s="393"/>
      <c r="E7758" s="394"/>
      <c r="F7758" s="394"/>
      <c r="G7758" s="394"/>
      <c r="I7758" s="368">
        <f t="shared" si="366"/>
        <v>0</v>
      </c>
      <c r="J7758" s="365">
        <f t="shared" si="367"/>
        <v>0</v>
      </c>
      <c r="K7758" s="369">
        <f t="shared" si="368"/>
        <v>6</v>
      </c>
      <c r="L7758" s="369">
        <f>+IF((C7758&gt;='Resultats - informe'!$E$16)*(C7758&lt;='Resultats - informe'!$G$16),1,0)</f>
        <v>1</v>
      </c>
      <c r="M7758" s="369" cm="1">
        <f t="array" ref="M7758">+_xlfn.IFS((C7758&gt;='Resultats - informe'!$D$26)*(C7758&lt;='Resultats - informe'!$E$26),0,(C7758&gt;='Resultats - informe'!$D$27)*(C7758&lt;='Resultats - informe'!$E$27),0,(C7758&gt;='Resultats - informe'!$D$28)*(C7758&lt;='Resultats - informe'!$E$28),0,(C7758&gt;='Resultats - informe'!$D$29)*(C7758&lt;='Resultats - informe'!$E$29),0,1,1)</f>
        <v>0</v>
      </c>
      <c r="N7758" s="366">
        <f>+VLOOKUP(D7758,'Resultats - informe'!$Y$18:$AG$42,'Introducció dades consum'!K7758+1,0)</f>
        <v>0</v>
      </c>
      <c r="O7758" s="370" cm="1">
        <f t="array" ref="O7758">+_xlfn.SWITCH(MONTH(C7758),1,1,2,1,3,1,4,2,5,2,6,3,7,3,8,3,9,3,10,2,11,2,12,1,2)</f>
        <v>1</v>
      </c>
      <c r="P7758" s="43"/>
    </row>
    <row r="7759" spans="1:16" ht="18" x14ac:dyDescent="0.35">
      <c r="A7759" s="9"/>
      <c r="C7759" s="393"/>
      <c r="E7759" s="394"/>
      <c r="F7759" s="394"/>
      <c r="G7759" s="394"/>
      <c r="I7759" s="368">
        <f t="shared" si="366"/>
        <v>0</v>
      </c>
      <c r="J7759" s="365">
        <f t="shared" si="367"/>
        <v>0</v>
      </c>
      <c r="K7759" s="369">
        <f t="shared" si="368"/>
        <v>6</v>
      </c>
      <c r="L7759" s="369">
        <f>+IF((C7759&gt;='Resultats - informe'!$E$16)*(C7759&lt;='Resultats - informe'!$G$16),1,0)</f>
        <v>1</v>
      </c>
      <c r="M7759" s="369" cm="1">
        <f t="array" ref="M7759">+_xlfn.IFS((C7759&gt;='Resultats - informe'!$D$26)*(C7759&lt;='Resultats - informe'!$E$26),0,(C7759&gt;='Resultats - informe'!$D$27)*(C7759&lt;='Resultats - informe'!$E$27),0,(C7759&gt;='Resultats - informe'!$D$28)*(C7759&lt;='Resultats - informe'!$E$28),0,(C7759&gt;='Resultats - informe'!$D$29)*(C7759&lt;='Resultats - informe'!$E$29),0,1,1)</f>
        <v>0</v>
      </c>
      <c r="N7759" s="366">
        <f>+VLOOKUP(D7759,'Resultats - informe'!$Y$18:$AG$42,'Introducció dades consum'!K7759+1,0)</f>
        <v>0</v>
      </c>
      <c r="O7759" s="370" cm="1">
        <f t="array" ref="O7759">+_xlfn.SWITCH(MONTH(C7759),1,1,2,1,3,1,4,2,5,2,6,3,7,3,8,3,9,3,10,2,11,2,12,1,2)</f>
        <v>1</v>
      </c>
      <c r="P7759" s="43"/>
    </row>
    <row r="7760" spans="1:16" ht="18" x14ac:dyDescent="0.35">
      <c r="A7760" s="9"/>
      <c r="C7760" s="393"/>
      <c r="E7760" s="394"/>
      <c r="F7760" s="394"/>
      <c r="G7760" s="394"/>
      <c r="I7760" s="368">
        <f t="shared" si="366"/>
        <v>0</v>
      </c>
      <c r="J7760" s="365">
        <f t="shared" si="367"/>
        <v>0</v>
      </c>
      <c r="K7760" s="369">
        <f t="shared" si="368"/>
        <v>6</v>
      </c>
      <c r="L7760" s="369">
        <f>+IF((C7760&gt;='Resultats - informe'!$E$16)*(C7760&lt;='Resultats - informe'!$G$16),1,0)</f>
        <v>1</v>
      </c>
      <c r="M7760" s="369" cm="1">
        <f t="array" ref="M7760">+_xlfn.IFS((C7760&gt;='Resultats - informe'!$D$26)*(C7760&lt;='Resultats - informe'!$E$26),0,(C7760&gt;='Resultats - informe'!$D$27)*(C7760&lt;='Resultats - informe'!$E$27),0,(C7760&gt;='Resultats - informe'!$D$28)*(C7760&lt;='Resultats - informe'!$E$28),0,(C7760&gt;='Resultats - informe'!$D$29)*(C7760&lt;='Resultats - informe'!$E$29),0,1,1)</f>
        <v>0</v>
      </c>
      <c r="N7760" s="366">
        <f>+VLOOKUP(D7760,'Resultats - informe'!$Y$18:$AG$42,'Introducció dades consum'!K7760+1,0)</f>
        <v>0</v>
      </c>
      <c r="O7760" s="370" cm="1">
        <f t="array" ref="O7760">+_xlfn.SWITCH(MONTH(C7760),1,1,2,1,3,1,4,2,5,2,6,3,7,3,8,3,9,3,10,2,11,2,12,1,2)</f>
        <v>1</v>
      </c>
      <c r="P7760" s="43"/>
    </row>
    <row r="7761" spans="1:16" ht="18" x14ac:dyDescent="0.35">
      <c r="A7761" s="9"/>
      <c r="C7761" s="393"/>
      <c r="E7761" s="394"/>
      <c r="F7761" s="394"/>
      <c r="G7761" s="394"/>
      <c r="I7761" s="368">
        <f t="shared" si="366"/>
        <v>0</v>
      </c>
      <c r="J7761" s="365">
        <f t="shared" si="367"/>
        <v>0</v>
      </c>
      <c r="K7761" s="369">
        <f t="shared" si="368"/>
        <v>6</v>
      </c>
      <c r="L7761" s="369">
        <f>+IF((C7761&gt;='Resultats - informe'!$E$16)*(C7761&lt;='Resultats - informe'!$G$16),1,0)</f>
        <v>1</v>
      </c>
      <c r="M7761" s="369" cm="1">
        <f t="array" ref="M7761">+_xlfn.IFS((C7761&gt;='Resultats - informe'!$D$26)*(C7761&lt;='Resultats - informe'!$E$26),0,(C7761&gt;='Resultats - informe'!$D$27)*(C7761&lt;='Resultats - informe'!$E$27),0,(C7761&gt;='Resultats - informe'!$D$28)*(C7761&lt;='Resultats - informe'!$E$28),0,(C7761&gt;='Resultats - informe'!$D$29)*(C7761&lt;='Resultats - informe'!$E$29),0,1,1)</f>
        <v>0</v>
      </c>
      <c r="N7761" s="366">
        <f>+VLOOKUP(D7761,'Resultats - informe'!$Y$18:$AG$42,'Introducció dades consum'!K7761+1,0)</f>
        <v>0</v>
      </c>
      <c r="O7761" s="370" cm="1">
        <f t="array" ref="O7761">+_xlfn.SWITCH(MONTH(C7761),1,1,2,1,3,1,4,2,5,2,6,3,7,3,8,3,9,3,10,2,11,2,12,1,2)</f>
        <v>1</v>
      </c>
      <c r="P7761" s="43"/>
    </row>
    <row r="7762" spans="1:16" ht="18" x14ac:dyDescent="0.35">
      <c r="A7762" s="9"/>
      <c r="C7762" s="393"/>
      <c r="E7762" s="394"/>
      <c r="F7762" s="394"/>
      <c r="G7762" s="394"/>
      <c r="I7762" s="368">
        <f t="shared" ref="I7762:I7825" si="369">+E7762+G7762</f>
        <v>0</v>
      </c>
      <c r="J7762" s="365">
        <f t="shared" ref="J7762:J7825" si="370">+C7762</f>
        <v>0</v>
      </c>
      <c r="K7762" s="369">
        <f t="shared" ref="K7762:K7825" si="371">+WEEKDAY(C7762,2)</f>
        <v>6</v>
      </c>
      <c r="L7762" s="369">
        <f>+IF((C7762&gt;='Resultats - informe'!$E$16)*(C7762&lt;='Resultats - informe'!$G$16),1,0)</f>
        <v>1</v>
      </c>
      <c r="M7762" s="369" cm="1">
        <f t="array" ref="M7762">+_xlfn.IFS((C7762&gt;='Resultats - informe'!$D$26)*(C7762&lt;='Resultats - informe'!$E$26),0,(C7762&gt;='Resultats - informe'!$D$27)*(C7762&lt;='Resultats - informe'!$E$27),0,(C7762&gt;='Resultats - informe'!$D$28)*(C7762&lt;='Resultats - informe'!$E$28),0,(C7762&gt;='Resultats - informe'!$D$29)*(C7762&lt;='Resultats - informe'!$E$29),0,1,1)</f>
        <v>0</v>
      </c>
      <c r="N7762" s="366">
        <f>+VLOOKUP(D7762,'Resultats - informe'!$Y$18:$AG$42,'Introducció dades consum'!K7762+1,0)</f>
        <v>0</v>
      </c>
      <c r="O7762" s="370" cm="1">
        <f t="array" ref="O7762">+_xlfn.SWITCH(MONTH(C7762),1,1,2,1,3,1,4,2,5,2,6,3,7,3,8,3,9,3,10,2,11,2,12,1,2)</f>
        <v>1</v>
      </c>
      <c r="P7762" s="43"/>
    </row>
    <row r="7763" spans="1:16" ht="18" x14ac:dyDescent="0.35">
      <c r="A7763" s="9"/>
      <c r="C7763" s="393"/>
      <c r="E7763" s="394"/>
      <c r="F7763" s="394"/>
      <c r="G7763" s="394"/>
      <c r="I7763" s="368">
        <f t="shared" si="369"/>
        <v>0</v>
      </c>
      <c r="J7763" s="365">
        <f t="shared" si="370"/>
        <v>0</v>
      </c>
      <c r="K7763" s="369">
        <f t="shared" si="371"/>
        <v>6</v>
      </c>
      <c r="L7763" s="369">
        <f>+IF((C7763&gt;='Resultats - informe'!$E$16)*(C7763&lt;='Resultats - informe'!$G$16),1,0)</f>
        <v>1</v>
      </c>
      <c r="M7763" s="369" cm="1">
        <f t="array" ref="M7763">+_xlfn.IFS((C7763&gt;='Resultats - informe'!$D$26)*(C7763&lt;='Resultats - informe'!$E$26),0,(C7763&gt;='Resultats - informe'!$D$27)*(C7763&lt;='Resultats - informe'!$E$27),0,(C7763&gt;='Resultats - informe'!$D$28)*(C7763&lt;='Resultats - informe'!$E$28),0,(C7763&gt;='Resultats - informe'!$D$29)*(C7763&lt;='Resultats - informe'!$E$29),0,1,1)</f>
        <v>0</v>
      </c>
      <c r="N7763" s="366">
        <f>+VLOOKUP(D7763,'Resultats - informe'!$Y$18:$AG$42,'Introducció dades consum'!K7763+1,0)</f>
        <v>0</v>
      </c>
      <c r="O7763" s="370" cm="1">
        <f t="array" ref="O7763">+_xlfn.SWITCH(MONTH(C7763),1,1,2,1,3,1,4,2,5,2,6,3,7,3,8,3,9,3,10,2,11,2,12,1,2)</f>
        <v>1</v>
      </c>
      <c r="P7763" s="43"/>
    </row>
    <row r="7764" spans="1:16" ht="18" x14ac:dyDescent="0.35">
      <c r="A7764" s="9"/>
      <c r="C7764" s="393"/>
      <c r="E7764" s="394"/>
      <c r="F7764" s="394"/>
      <c r="G7764" s="394"/>
      <c r="I7764" s="368">
        <f t="shared" si="369"/>
        <v>0</v>
      </c>
      <c r="J7764" s="365">
        <f t="shared" si="370"/>
        <v>0</v>
      </c>
      <c r="K7764" s="369">
        <f t="shared" si="371"/>
        <v>6</v>
      </c>
      <c r="L7764" s="369">
        <f>+IF((C7764&gt;='Resultats - informe'!$E$16)*(C7764&lt;='Resultats - informe'!$G$16),1,0)</f>
        <v>1</v>
      </c>
      <c r="M7764" s="369" cm="1">
        <f t="array" ref="M7764">+_xlfn.IFS((C7764&gt;='Resultats - informe'!$D$26)*(C7764&lt;='Resultats - informe'!$E$26),0,(C7764&gt;='Resultats - informe'!$D$27)*(C7764&lt;='Resultats - informe'!$E$27),0,(C7764&gt;='Resultats - informe'!$D$28)*(C7764&lt;='Resultats - informe'!$E$28),0,(C7764&gt;='Resultats - informe'!$D$29)*(C7764&lt;='Resultats - informe'!$E$29),0,1,1)</f>
        <v>0</v>
      </c>
      <c r="N7764" s="366">
        <f>+VLOOKUP(D7764,'Resultats - informe'!$Y$18:$AG$42,'Introducció dades consum'!K7764+1,0)</f>
        <v>0</v>
      </c>
      <c r="O7764" s="370" cm="1">
        <f t="array" ref="O7764">+_xlfn.SWITCH(MONTH(C7764),1,1,2,1,3,1,4,2,5,2,6,3,7,3,8,3,9,3,10,2,11,2,12,1,2)</f>
        <v>1</v>
      </c>
      <c r="P7764" s="43"/>
    </row>
    <row r="7765" spans="1:16" ht="18" x14ac:dyDescent="0.35">
      <c r="A7765" s="9"/>
      <c r="C7765" s="393"/>
      <c r="E7765" s="394"/>
      <c r="F7765" s="394"/>
      <c r="G7765" s="394"/>
      <c r="I7765" s="368">
        <f t="shared" si="369"/>
        <v>0</v>
      </c>
      <c r="J7765" s="365">
        <f t="shared" si="370"/>
        <v>0</v>
      </c>
      <c r="K7765" s="369">
        <f t="shared" si="371"/>
        <v>6</v>
      </c>
      <c r="L7765" s="369">
        <f>+IF((C7765&gt;='Resultats - informe'!$E$16)*(C7765&lt;='Resultats - informe'!$G$16),1,0)</f>
        <v>1</v>
      </c>
      <c r="M7765" s="369" cm="1">
        <f t="array" ref="M7765">+_xlfn.IFS((C7765&gt;='Resultats - informe'!$D$26)*(C7765&lt;='Resultats - informe'!$E$26),0,(C7765&gt;='Resultats - informe'!$D$27)*(C7765&lt;='Resultats - informe'!$E$27),0,(C7765&gt;='Resultats - informe'!$D$28)*(C7765&lt;='Resultats - informe'!$E$28),0,(C7765&gt;='Resultats - informe'!$D$29)*(C7765&lt;='Resultats - informe'!$E$29),0,1,1)</f>
        <v>0</v>
      </c>
      <c r="N7765" s="366">
        <f>+VLOOKUP(D7765,'Resultats - informe'!$Y$18:$AG$42,'Introducció dades consum'!K7765+1,0)</f>
        <v>0</v>
      </c>
      <c r="O7765" s="370" cm="1">
        <f t="array" ref="O7765">+_xlfn.SWITCH(MONTH(C7765),1,1,2,1,3,1,4,2,5,2,6,3,7,3,8,3,9,3,10,2,11,2,12,1,2)</f>
        <v>1</v>
      </c>
      <c r="P7765" s="43"/>
    </row>
    <row r="7766" spans="1:16" ht="18" x14ac:dyDescent="0.35">
      <c r="A7766" s="9"/>
      <c r="C7766" s="393"/>
      <c r="E7766" s="394"/>
      <c r="F7766" s="394"/>
      <c r="G7766" s="394"/>
      <c r="I7766" s="368">
        <f t="shared" si="369"/>
        <v>0</v>
      </c>
      <c r="J7766" s="365">
        <f t="shared" si="370"/>
        <v>0</v>
      </c>
      <c r="K7766" s="369">
        <f t="shared" si="371"/>
        <v>6</v>
      </c>
      <c r="L7766" s="369">
        <f>+IF((C7766&gt;='Resultats - informe'!$E$16)*(C7766&lt;='Resultats - informe'!$G$16),1,0)</f>
        <v>1</v>
      </c>
      <c r="M7766" s="369" cm="1">
        <f t="array" ref="M7766">+_xlfn.IFS((C7766&gt;='Resultats - informe'!$D$26)*(C7766&lt;='Resultats - informe'!$E$26),0,(C7766&gt;='Resultats - informe'!$D$27)*(C7766&lt;='Resultats - informe'!$E$27),0,(C7766&gt;='Resultats - informe'!$D$28)*(C7766&lt;='Resultats - informe'!$E$28),0,(C7766&gt;='Resultats - informe'!$D$29)*(C7766&lt;='Resultats - informe'!$E$29),0,1,1)</f>
        <v>0</v>
      </c>
      <c r="N7766" s="366">
        <f>+VLOOKUP(D7766,'Resultats - informe'!$Y$18:$AG$42,'Introducció dades consum'!K7766+1,0)</f>
        <v>0</v>
      </c>
      <c r="O7766" s="370" cm="1">
        <f t="array" ref="O7766">+_xlfn.SWITCH(MONTH(C7766),1,1,2,1,3,1,4,2,5,2,6,3,7,3,8,3,9,3,10,2,11,2,12,1,2)</f>
        <v>1</v>
      </c>
      <c r="P7766" s="43"/>
    </row>
    <row r="7767" spans="1:16" ht="18" x14ac:dyDescent="0.35">
      <c r="A7767" s="9"/>
      <c r="C7767" s="393"/>
      <c r="E7767" s="394"/>
      <c r="F7767" s="394"/>
      <c r="G7767" s="394"/>
      <c r="I7767" s="368">
        <f t="shared" si="369"/>
        <v>0</v>
      </c>
      <c r="J7767" s="365">
        <f t="shared" si="370"/>
        <v>0</v>
      </c>
      <c r="K7767" s="369">
        <f t="shared" si="371"/>
        <v>6</v>
      </c>
      <c r="L7767" s="369">
        <f>+IF((C7767&gt;='Resultats - informe'!$E$16)*(C7767&lt;='Resultats - informe'!$G$16),1,0)</f>
        <v>1</v>
      </c>
      <c r="M7767" s="369" cm="1">
        <f t="array" ref="M7767">+_xlfn.IFS((C7767&gt;='Resultats - informe'!$D$26)*(C7767&lt;='Resultats - informe'!$E$26),0,(C7767&gt;='Resultats - informe'!$D$27)*(C7767&lt;='Resultats - informe'!$E$27),0,(C7767&gt;='Resultats - informe'!$D$28)*(C7767&lt;='Resultats - informe'!$E$28),0,(C7767&gt;='Resultats - informe'!$D$29)*(C7767&lt;='Resultats - informe'!$E$29),0,1,1)</f>
        <v>0</v>
      </c>
      <c r="N7767" s="366">
        <f>+VLOOKUP(D7767,'Resultats - informe'!$Y$18:$AG$42,'Introducció dades consum'!K7767+1,0)</f>
        <v>0</v>
      </c>
      <c r="O7767" s="370" cm="1">
        <f t="array" ref="O7767">+_xlfn.SWITCH(MONTH(C7767),1,1,2,1,3,1,4,2,5,2,6,3,7,3,8,3,9,3,10,2,11,2,12,1,2)</f>
        <v>1</v>
      </c>
      <c r="P7767" s="43"/>
    </row>
    <row r="7768" spans="1:16" ht="18" x14ac:dyDescent="0.35">
      <c r="A7768" s="9"/>
      <c r="C7768" s="393"/>
      <c r="E7768" s="394"/>
      <c r="F7768" s="394"/>
      <c r="G7768" s="394"/>
      <c r="I7768" s="368">
        <f t="shared" si="369"/>
        <v>0</v>
      </c>
      <c r="J7768" s="365">
        <f t="shared" si="370"/>
        <v>0</v>
      </c>
      <c r="K7768" s="369">
        <f t="shared" si="371"/>
        <v>6</v>
      </c>
      <c r="L7768" s="369">
        <f>+IF((C7768&gt;='Resultats - informe'!$E$16)*(C7768&lt;='Resultats - informe'!$G$16),1,0)</f>
        <v>1</v>
      </c>
      <c r="M7768" s="369" cm="1">
        <f t="array" ref="M7768">+_xlfn.IFS((C7768&gt;='Resultats - informe'!$D$26)*(C7768&lt;='Resultats - informe'!$E$26),0,(C7768&gt;='Resultats - informe'!$D$27)*(C7768&lt;='Resultats - informe'!$E$27),0,(C7768&gt;='Resultats - informe'!$D$28)*(C7768&lt;='Resultats - informe'!$E$28),0,(C7768&gt;='Resultats - informe'!$D$29)*(C7768&lt;='Resultats - informe'!$E$29),0,1,1)</f>
        <v>0</v>
      </c>
      <c r="N7768" s="366">
        <f>+VLOOKUP(D7768,'Resultats - informe'!$Y$18:$AG$42,'Introducció dades consum'!K7768+1,0)</f>
        <v>0</v>
      </c>
      <c r="O7768" s="370" cm="1">
        <f t="array" ref="O7768">+_xlfn.SWITCH(MONTH(C7768),1,1,2,1,3,1,4,2,5,2,6,3,7,3,8,3,9,3,10,2,11,2,12,1,2)</f>
        <v>1</v>
      </c>
      <c r="P7768" s="43"/>
    </row>
    <row r="7769" spans="1:16" ht="18" x14ac:dyDescent="0.35">
      <c r="A7769" s="9"/>
      <c r="C7769" s="393"/>
      <c r="E7769" s="394"/>
      <c r="F7769" s="394"/>
      <c r="G7769" s="394"/>
      <c r="I7769" s="368">
        <f t="shared" si="369"/>
        <v>0</v>
      </c>
      <c r="J7769" s="365">
        <f t="shared" si="370"/>
        <v>0</v>
      </c>
      <c r="K7769" s="369">
        <f t="shared" si="371"/>
        <v>6</v>
      </c>
      <c r="L7769" s="369">
        <f>+IF((C7769&gt;='Resultats - informe'!$E$16)*(C7769&lt;='Resultats - informe'!$G$16),1,0)</f>
        <v>1</v>
      </c>
      <c r="M7769" s="369" cm="1">
        <f t="array" ref="M7769">+_xlfn.IFS((C7769&gt;='Resultats - informe'!$D$26)*(C7769&lt;='Resultats - informe'!$E$26),0,(C7769&gt;='Resultats - informe'!$D$27)*(C7769&lt;='Resultats - informe'!$E$27),0,(C7769&gt;='Resultats - informe'!$D$28)*(C7769&lt;='Resultats - informe'!$E$28),0,(C7769&gt;='Resultats - informe'!$D$29)*(C7769&lt;='Resultats - informe'!$E$29),0,1,1)</f>
        <v>0</v>
      </c>
      <c r="N7769" s="366">
        <f>+VLOOKUP(D7769,'Resultats - informe'!$Y$18:$AG$42,'Introducció dades consum'!K7769+1,0)</f>
        <v>0</v>
      </c>
      <c r="O7769" s="370" cm="1">
        <f t="array" ref="O7769">+_xlfn.SWITCH(MONTH(C7769),1,1,2,1,3,1,4,2,5,2,6,3,7,3,8,3,9,3,10,2,11,2,12,1,2)</f>
        <v>1</v>
      </c>
      <c r="P7769" s="43"/>
    </row>
    <row r="7770" spans="1:16" ht="18" x14ac:dyDescent="0.35">
      <c r="A7770" s="9"/>
      <c r="C7770" s="393"/>
      <c r="E7770" s="394"/>
      <c r="F7770" s="394"/>
      <c r="G7770" s="394"/>
      <c r="I7770" s="368">
        <f t="shared" si="369"/>
        <v>0</v>
      </c>
      <c r="J7770" s="365">
        <f t="shared" si="370"/>
        <v>0</v>
      </c>
      <c r="K7770" s="369">
        <f t="shared" si="371"/>
        <v>6</v>
      </c>
      <c r="L7770" s="369">
        <f>+IF((C7770&gt;='Resultats - informe'!$E$16)*(C7770&lt;='Resultats - informe'!$G$16),1,0)</f>
        <v>1</v>
      </c>
      <c r="M7770" s="369" cm="1">
        <f t="array" ref="M7770">+_xlfn.IFS((C7770&gt;='Resultats - informe'!$D$26)*(C7770&lt;='Resultats - informe'!$E$26),0,(C7770&gt;='Resultats - informe'!$D$27)*(C7770&lt;='Resultats - informe'!$E$27),0,(C7770&gt;='Resultats - informe'!$D$28)*(C7770&lt;='Resultats - informe'!$E$28),0,(C7770&gt;='Resultats - informe'!$D$29)*(C7770&lt;='Resultats - informe'!$E$29),0,1,1)</f>
        <v>0</v>
      </c>
      <c r="N7770" s="366">
        <f>+VLOOKUP(D7770,'Resultats - informe'!$Y$18:$AG$42,'Introducció dades consum'!K7770+1,0)</f>
        <v>0</v>
      </c>
      <c r="O7770" s="370" cm="1">
        <f t="array" ref="O7770">+_xlfn.SWITCH(MONTH(C7770),1,1,2,1,3,1,4,2,5,2,6,3,7,3,8,3,9,3,10,2,11,2,12,1,2)</f>
        <v>1</v>
      </c>
      <c r="P7770" s="43"/>
    </row>
    <row r="7771" spans="1:16" ht="18" x14ac:dyDescent="0.35">
      <c r="A7771" s="9"/>
      <c r="C7771" s="393"/>
      <c r="E7771" s="394"/>
      <c r="F7771" s="394"/>
      <c r="G7771" s="394"/>
      <c r="I7771" s="368">
        <f t="shared" si="369"/>
        <v>0</v>
      </c>
      <c r="J7771" s="365">
        <f t="shared" si="370"/>
        <v>0</v>
      </c>
      <c r="K7771" s="369">
        <f t="shared" si="371"/>
        <v>6</v>
      </c>
      <c r="L7771" s="369">
        <f>+IF((C7771&gt;='Resultats - informe'!$E$16)*(C7771&lt;='Resultats - informe'!$G$16),1,0)</f>
        <v>1</v>
      </c>
      <c r="M7771" s="369" cm="1">
        <f t="array" ref="M7771">+_xlfn.IFS((C7771&gt;='Resultats - informe'!$D$26)*(C7771&lt;='Resultats - informe'!$E$26),0,(C7771&gt;='Resultats - informe'!$D$27)*(C7771&lt;='Resultats - informe'!$E$27),0,(C7771&gt;='Resultats - informe'!$D$28)*(C7771&lt;='Resultats - informe'!$E$28),0,(C7771&gt;='Resultats - informe'!$D$29)*(C7771&lt;='Resultats - informe'!$E$29),0,1,1)</f>
        <v>0</v>
      </c>
      <c r="N7771" s="366">
        <f>+VLOOKUP(D7771,'Resultats - informe'!$Y$18:$AG$42,'Introducció dades consum'!K7771+1,0)</f>
        <v>0</v>
      </c>
      <c r="O7771" s="370" cm="1">
        <f t="array" ref="O7771">+_xlfn.SWITCH(MONTH(C7771),1,1,2,1,3,1,4,2,5,2,6,3,7,3,8,3,9,3,10,2,11,2,12,1,2)</f>
        <v>1</v>
      </c>
      <c r="P7771" s="43"/>
    </row>
    <row r="7772" spans="1:16" ht="18" x14ac:dyDescent="0.35">
      <c r="A7772" s="9"/>
      <c r="C7772" s="393"/>
      <c r="E7772" s="394"/>
      <c r="F7772" s="394"/>
      <c r="G7772" s="394"/>
      <c r="I7772" s="368">
        <f t="shared" si="369"/>
        <v>0</v>
      </c>
      <c r="J7772" s="365">
        <f t="shared" si="370"/>
        <v>0</v>
      </c>
      <c r="K7772" s="369">
        <f t="shared" si="371"/>
        <v>6</v>
      </c>
      <c r="L7772" s="369">
        <f>+IF((C7772&gt;='Resultats - informe'!$E$16)*(C7772&lt;='Resultats - informe'!$G$16),1,0)</f>
        <v>1</v>
      </c>
      <c r="M7772" s="369" cm="1">
        <f t="array" ref="M7772">+_xlfn.IFS((C7772&gt;='Resultats - informe'!$D$26)*(C7772&lt;='Resultats - informe'!$E$26),0,(C7772&gt;='Resultats - informe'!$D$27)*(C7772&lt;='Resultats - informe'!$E$27),0,(C7772&gt;='Resultats - informe'!$D$28)*(C7772&lt;='Resultats - informe'!$E$28),0,(C7772&gt;='Resultats - informe'!$D$29)*(C7772&lt;='Resultats - informe'!$E$29),0,1,1)</f>
        <v>0</v>
      </c>
      <c r="N7772" s="366">
        <f>+VLOOKUP(D7772,'Resultats - informe'!$Y$18:$AG$42,'Introducció dades consum'!K7772+1,0)</f>
        <v>0</v>
      </c>
      <c r="O7772" s="370" cm="1">
        <f t="array" ref="O7772">+_xlfn.SWITCH(MONTH(C7772),1,1,2,1,3,1,4,2,5,2,6,3,7,3,8,3,9,3,10,2,11,2,12,1,2)</f>
        <v>1</v>
      </c>
      <c r="P7772" s="43"/>
    </row>
    <row r="7773" spans="1:16" ht="18" x14ac:dyDescent="0.35">
      <c r="A7773" s="9"/>
      <c r="C7773" s="393"/>
      <c r="E7773" s="394"/>
      <c r="F7773" s="394"/>
      <c r="G7773" s="394"/>
      <c r="I7773" s="368">
        <f t="shared" si="369"/>
        <v>0</v>
      </c>
      <c r="J7773" s="365">
        <f t="shared" si="370"/>
        <v>0</v>
      </c>
      <c r="K7773" s="369">
        <f t="shared" si="371"/>
        <v>6</v>
      </c>
      <c r="L7773" s="369">
        <f>+IF((C7773&gt;='Resultats - informe'!$E$16)*(C7773&lt;='Resultats - informe'!$G$16),1,0)</f>
        <v>1</v>
      </c>
      <c r="M7773" s="369" cm="1">
        <f t="array" ref="M7773">+_xlfn.IFS((C7773&gt;='Resultats - informe'!$D$26)*(C7773&lt;='Resultats - informe'!$E$26),0,(C7773&gt;='Resultats - informe'!$D$27)*(C7773&lt;='Resultats - informe'!$E$27),0,(C7773&gt;='Resultats - informe'!$D$28)*(C7773&lt;='Resultats - informe'!$E$28),0,(C7773&gt;='Resultats - informe'!$D$29)*(C7773&lt;='Resultats - informe'!$E$29),0,1,1)</f>
        <v>0</v>
      </c>
      <c r="N7773" s="366">
        <f>+VLOOKUP(D7773,'Resultats - informe'!$Y$18:$AG$42,'Introducció dades consum'!K7773+1,0)</f>
        <v>0</v>
      </c>
      <c r="O7773" s="370" cm="1">
        <f t="array" ref="O7773">+_xlfn.SWITCH(MONTH(C7773),1,1,2,1,3,1,4,2,5,2,6,3,7,3,8,3,9,3,10,2,11,2,12,1,2)</f>
        <v>1</v>
      </c>
      <c r="P7773" s="43"/>
    </row>
    <row r="7774" spans="1:16" ht="18" x14ac:dyDescent="0.35">
      <c r="A7774" s="9"/>
      <c r="C7774" s="393"/>
      <c r="E7774" s="394"/>
      <c r="F7774" s="394"/>
      <c r="G7774" s="394"/>
      <c r="I7774" s="368">
        <f t="shared" si="369"/>
        <v>0</v>
      </c>
      <c r="J7774" s="365">
        <f t="shared" si="370"/>
        <v>0</v>
      </c>
      <c r="K7774" s="369">
        <f t="shared" si="371"/>
        <v>6</v>
      </c>
      <c r="L7774" s="369">
        <f>+IF((C7774&gt;='Resultats - informe'!$E$16)*(C7774&lt;='Resultats - informe'!$G$16),1,0)</f>
        <v>1</v>
      </c>
      <c r="M7774" s="369" cm="1">
        <f t="array" ref="M7774">+_xlfn.IFS((C7774&gt;='Resultats - informe'!$D$26)*(C7774&lt;='Resultats - informe'!$E$26),0,(C7774&gt;='Resultats - informe'!$D$27)*(C7774&lt;='Resultats - informe'!$E$27),0,(C7774&gt;='Resultats - informe'!$D$28)*(C7774&lt;='Resultats - informe'!$E$28),0,(C7774&gt;='Resultats - informe'!$D$29)*(C7774&lt;='Resultats - informe'!$E$29),0,1,1)</f>
        <v>0</v>
      </c>
      <c r="N7774" s="366">
        <f>+VLOOKUP(D7774,'Resultats - informe'!$Y$18:$AG$42,'Introducció dades consum'!K7774+1,0)</f>
        <v>0</v>
      </c>
      <c r="O7774" s="370" cm="1">
        <f t="array" ref="O7774">+_xlfn.SWITCH(MONTH(C7774),1,1,2,1,3,1,4,2,5,2,6,3,7,3,8,3,9,3,10,2,11,2,12,1,2)</f>
        <v>1</v>
      </c>
      <c r="P7774" s="43"/>
    </row>
    <row r="7775" spans="1:16" ht="18" x14ac:dyDescent="0.35">
      <c r="A7775" s="9"/>
      <c r="C7775" s="393"/>
      <c r="E7775" s="394"/>
      <c r="F7775" s="394"/>
      <c r="G7775" s="394"/>
      <c r="I7775" s="368">
        <f t="shared" si="369"/>
        <v>0</v>
      </c>
      <c r="J7775" s="365">
        <f t="shared" si="370"/>
        <v>0</v>
      </c>
      <c r="K7775" s="369">
        <f t="shared" si="371"/>
        <v>6</v>
      </c>
      <c r="L7775" s="369">
        <f>+IF((C7775&gt;='Resultats - informe'!$E$16)*(C7775&lt;='Resultats - informe'!$G$16),1,0)</f>
        <v>1</v>
      </c>
      <c r="M7775" s="369" cm="1">
        <f t="array" ref="M7775">+_xlfn.IFS((C7775&gt;='Resultats - informe'!$D$26)*(C7775&lt;='Resultats - informe'!$E$26),0,(C7775&gt;='Resultats - informe'!$D$27)*(C7775&lt;='Resultats - informe'!$E$27),0,(C7775&gt;='Resultats - informe'!$D$28)*(C7775&lt;='Resultats - informe'!$E$28),0,(C7775&gt;='Resultats - informe'!$D$29)*(C7775&lt;='Resultats - informe'!$E$29),0,1,1)</f>
        <v>0</v>
      </c>
      <c r="N7775" s="366">
        <f>+VLOOKUP(D7775,'Resultats - informe'!$Y$18:$AG$42,'Introducció dades consum'!K7775+1,0)</f>
        <v>0</v>
      </c>
      <c r="O7775" s="370" cm="1">
        <f t="array" ref="O7775">+_xlfn.SWITCH(MONTH(C7775),1,1,2,1,3,1,4,2,5,2,6,3,7,3,8,3,9,3,10,2,11,2,12,1,2)</f>
        <v>1</v>
      </c>
      <c r="P7775" s="43"/>
    </row>
    <row r="7776" spans="1:16" ht="18" x14ac:dyDescent="0.35">
      <c r="A7776" s="9"/>
      <c r="C7776" s="393"/>
      <c r="E7776" s="394"/>
      <c r="F7776" s="394"/>
      <c r="G7776" s="394"/>
      <c r="I7776" s="368">
        <f t="shared" si="369"/>
        <v>0</v>
      </c>
      <c r="J7776" s="365">
        <f t="shared" si="370"/>
        <v>0</v>
      </c>
      <c r="K7776" s="369">
        <f t="shared" si="371"/>
        <v>6</v>
      </c>
      <c r="L7776" s="369">
        <f>+IF((C7776&gt;='Resultats - informe'!$E$16)*(C7776&lt;='Resultats - informe'!$G$16),1,0)</f>
        <v>1</v>
      </c>
      <c r="M7776" s="369" cm="1">
        <f t="array" ref="M7776">+_xlfn.IFS((C7776&gt;='Resultats - informe'!$D$26)*(C7776&lt;='Resultats - informe'!$E$26),0,(C7776&gt;='Resultats - informe'!$D$27)*(C7776&lt;='Resultats - informe'!$E$27),0,(C7776&gt;='Resultats - informe'!$D$28)*(C7776&lt;='Resultats - informe'!$E$28),0,(C7776&gt;='Resultats - informe'!$D$29)*(C7776&lt;='Resultats - informe'!$E$29),0,1,1)</f>
        <v>0</v>
      </c>
      <c r="N7776" s="366">
        <f>+VLOOKUP(D7776,'Resultats - informe'!$Y$18:$AG$42,'Introducció dades consum'!K7776+1,0)</f>
        <v>0</v>
      </c>
      <c r="O7776" s="370" cm="1">
        <f t="array" ref="O7776">+_xlfn.SWITCH(MONTH(C7776),1,1,2,1,3,1,4,2,5,2,6,3,7,3,8,3,9,3,10,2,11,2,12,1,2)</f>
        <v>1</v>
      </c>
      <c r="P7776" s="43"/>
    </row>
    <row r="7777" spans="1:16" ht="18" x14ac:dyDescent="0.35">
      <c r="A7777" s="9"/>
      <c r="C7777" s="393"/>
      <c r="E7777" s="394"/>
      <c r="F7777" s="394"/>
      <c r="G7777" s="394"/>
      <c r="I7777" s="368">
        <f t="shared" si="369"/>
        <v>0</v>
      </c>
      <c r="J7777" s="365">
        <f t="shared" si="370"/>
        <v>0</v>
      </c>
      <c r="K7777" s="369">
        <f t="shared" si="371"/>
        <v>6</v>
      </c>
      <c r="L7777" s="369">
        <f>+IF((C7777&gt;='Resultats - informe'!$E$16)*(C7777&lt;='Resultats - informe'!$G$16),1,0)</f>
        <v>1</v>
      </c>
      <c r="M7777" s="369" cm="1">
        <f t="array" ref="M7777">+_xlfn.IFS((C7777&gt;='Resultats - informe'!$D$26)*(C7777&lt;='Resultats - informe'!$E$26),0,(C7777&gt;='Resultats - informe'!$D$27)*(C7777&lt;='Resultats - informe'!$E$27),0,(C7777&gt;='Resultats - informe'!$D$28)*(C7777&lt;='Resultats - informe'!$E$28),0,(C7777&gt;='Resultats - informe'!$D$29)*(C7777&lt;='Resultats - informe'!$E$29),0,1,1)</f>
        <v>0</v>
      </c>
      <c r="N7777" s="366">
        <f>+VLOOKUP(D7777,'Resultats - informe'!$Y$18:$AG$42,'Introducció dades consum'!K7777+1,0)</f>
        <v>0</v>
      </c>
      <c r="O7777" s="370" cm="1">
        <f t="array" ref="O7777">+_xlfn.SWITCH(MONTH(C7777),1,1,2,1,3,1,4,2,5,2,6,3,7,3,8,3,9,3,10,2,11,2,12,1,2)</f>
        <v>1</v>
      </c>
      <c r="P7777" s="43"/>
    </row>
    <row r="7778" spans="1:16" ht="18" x14ac:dyDescent="0.35">
      <c r="A7778" s="9"/>
      <c r="C7778" s="393"/>
      <c r="E7778" s="394"/>
      <c r="F7778" s="394"/>
      <c r="G7778" s="394"/>
      <c r="I7778" s="368">
        <f t="shared" si="369"/>
        <v>0</v>
      </c>
      <c r="J7778" s="365">
        <f t="shared" si="370"/>
        <v>0</v>
      </c>
      <c r="K7778" s="369">
        <f t="shared" si="371"/>
        <v>6</v>
      </c>
      <c r="L7778" s="369">
        <f>+IF((C7778&gt;='Resultats - informe'!$E$16)*(C7778&lt;='Resultats - informe'!$G$16),1,0)</f>
        <v>1</v>
      </c>
      <c r="M7778" s="369" cm="1">
        <f t="array" ref="M7778">+_xlfn.IFS((C7778&gt;='Resultats - informe'!$D$26)*(C7778&lt;='Resultats - informe'!$E$26),0,(C7778&gt;='Resultats - informe'!$D$27)*(C7778&lt;='Resultats - informe'!$E$27),0,(C7778&gt;='Resultats - informe'!$D$28)*(C7778&lt;='Resultats - informe'!$E$28),0,(C7778&gt;='Resultats - informe'!$D$29)*(C7778&lt;='Resultats - informe'!$E$29),0,1,1)</f>
        <v>0</v>
      </c>
      <c r="N7778" s="366">
        <f>+VLOOKUP(D7778,'Resultats - informe'!$Y$18:$AG$42,'Introducció dades consum'!K7778+1,0)</f>
        <v>0</v>
      </c>
      <c r="O7778" s="370" cm="1">
        <f t="array" ref="O7778">+_xlfn.SWITCH(MONTH(C7778),1,1,2,1,3,1,4,2,5,2,6,3,7,3,8,3,9,3,10,2,11,2,12,1,2)</f>
        <v>1</v>
      </c>
      <c r="P7778" s="43"/>
    </row>
    <row r="7779" spans="1:16" ht="18" x14ac:dyDescent="0.35">
      <c r="A7779" s="9"/>
      <c r="C7779" s="393"/>
      <c r="E7779" s="394"/>
      <c r="F7779" s="394"/>
      <c r="G7779" s="394"/>
      <c r="I7779" s="368">
        <f t="shared" si="369"/>
        <v>0</v>
      </c>
      <c r="J7779" s="365">
        <f t="shared" si="370"/>
        <v>0</v>
      </c>
      <c r="K7779" s="369">
        <f t="shared" si="371"/>
        <v>6</v>
      </c>
      <c r="L7779" s="369">
        <f>+IF((C7779&gt;='Resultats - informe'!$E$16)*(C7779&lt;='Resultats - informe'!$G$16),1,0)</f>
        <v>1</v>
      </c>
      <c r="M7779" s="369" cm="1">
        <f t="array" ref="M7779">+_xlfn.IFS((C7779&gt;='Resultats - informe'!$D$26)*(C7779&lt;='Resultats - informe'!$E$26),0,(C7779&gt;='Resultats - informe'!$D$27)*(C7779&lt;='Resultats - informe'!$E$27),0,(C7779&gt;='Resultats - informe'!$D$28)*(C7779&lt;='Resultats - informe'!$E$28),0,(C7779&gt;='Resultats - informe'!$D$29)*(C7779&lt;='Resultats - informe'!$E$29),0,1,1)</f>
        <v>0</v>
      </c>
      <c r="N7779" s="366">
        <f>+VLOOKUP(D7779,'Resultats - informe'!$Y$18:$AG$42,'Introducció dades consum'!K7779+1,0)</f>
        <v>0</v>
      </c>
      <c r="O7779" s="370" cm="1">
        <f t="array" ref="O7779">+_xlfn.SWITCH(MONTH(C7779),1,1,2,1,3,1,4,2,5,2,6,3,7,3,8,3,9,3,10,2,11,2,12,1,2)</f>
        <v>1</v>
      </c>
      <c r="P7779" s="43"/>
    </row>
    <row r="7780" spans="1:16" ht="18" x14ac:dyDescent="0.35">
      <c r="A7780" s="9"/>
      <c r="C7780" s="393"/>
      <c r="E7780" s="394"/>
      <c r="F7780" s="394"/>
      <c r="G7780" s="394"/>
      <c r="I7780" s="368">
        <f t="shared" si="369"/>
        <v>0</v>
      </c>
      <c r="J7780" s="365">
        <f t="shared" si="370"/>
        <v>0</v>
      </c>
      <c r="K7780" s="369">
        <f t="shared" si="371"/>
        <v>6</v>
      </c>
      <c r="L7780" s="369">
        <f>+IF((C7780&gt;='Resultats - informe'!$E$16)*(C7780&lt;='Resultats - informe'!$G$16),1,0)</f>
        <v>1</v>
      </c>
      <c r="M7780" s="369" cm="1">
        <f t="array" ref="M7780">+_xlfn.IFS((C7780&gt;='Resultats - informe'!$D$26)*(C7780&lt;='Resultats - informe'!$E$26),0,(C7780&gt;='Resultats - informe'!$D$27)*(C7780&lt;='Resultats - informe'!$E$27),0,(C7780&gt;='Resultats - informe'!$D$28)*(C7780&lt;='Resultats - informe'!$E$28),0,(C7780&gt;='Resultats - informe'!$D$29)*(C7780&lt;='Resultats - informe'!$E$29),0,1,1)</f>
        <v>0</v>
      </c>
      <c r="N7780" s="366">
        <f>+VLOOKUP(D7780,'Resultats - informe'!$Y$18:$AG$42,'Introducció dades consum'!K7780+1,0)</f>
        <v>0</v>
      </c>
      <c r="O7780" s="370" cm="1">
        <f t="array" ref="O7780">+_xlfn.SWITCH(MONTH(C7780),1,1,2,1,3,1,4,2,5,2,6,3,7,3,8,3,9,3,10,2,11,2,12,1,2)</f>
        <v>1</v>
      </c>
      <c r="P7780" s="43"/>
    </row>
    <row r="7781" spans="1:16" ht="18" x14ac:dyDescent="0.35">
      <c r="A7781" s="9"/>
      <c r="C7781" s="393"/>
      <c r="E7781" s="394"/>
      <c r="F7781" s="394"/>
      <c r="G7781" s="394"/>
      <c r="I7781" s="368">
        <f t="shared" si="369"/>
        <v>0</v>
      </c>
      <c r="J7781" s="365">
        <f t="shared" si="370"/>
        <v>0</v>
      </c>
      <c r="K7781" s="369">
        <f t="shared" si="371"/>
        <v>6</v>
      </c>
      <c r="L7781" s="369">
        <f>+IF((C7781&gt;='Resultats - informe'!$E$16)*(C7781&lt;='Resultats - informe'!$G$16),1,0)</f>
        <v>1</v>
      </c>
      <c r="M7781" s="369" cm="1">
        <f t="array" ref="M7781">+_xlfn.IFS((C7781&gt;='Resultats - informe'!$D$26)*(C7781&lt;='Resultats - informe'!$E$26),0,(C7781&gt;='Resultats - informe'!$D$27)*(C7781&lt;='Resultats - informe'!$E$27),0,(C7781&gt;='Resultats - informe'!$D$28)*(C7781&lt;='Resultats - informe'!$E$28),0,(C7781&gt;='Resultats - informe'!$D$29)*(C7781&lt;='Resultats - informe'!$E$29),0,1,1)</f>
        <v>0</v>
      </c>
      <c r="N7781" s="366">
        <f>+VLOOKUP(D7781,'Resultats - informe'!$Y$18:$AG$42,'Introducció dades consum'!K7781+1,0)</f>
        <v>0</v>
      </c>
      <c r="O7781" s="370" cm="1">
        <f t="array" ref="O7781">+_xlfn.SWITCH(MONTH(C7781),1,1,2,1,3,1,4,2,5,2,6,3,7,3,8,3,9,3,10,2,11,2,12,1,2)</f>
        <v>1</v>
      </c>
      <c r="P7781" s="43"/>
    </row>
    <row r="7782" spans="1:16" ht="18" x14ac:dyDescent="0.35">
      <c r="A7782" s="9"/>
      <c r="C7782" s="393"/>
      <c r="E7782" s="394"/>
      <c r="F7782" s="394"/>
      <c r="G7782" s="394"/>
      <c r="I7782" s="368">
        <f t="shared" si="369"/>
        <v>0</v>
      </c>
      <c r="J7782" s="365">
        <f t="shared" si="370"/>
        <v>0</v>
      </c>
      <c r="K7782" s="369">
        <f t="shared" si="371"/>
        <v>6</v>
      </c>
      <c r="L7782" s="369">
        <f>+IF((C7782&gt;='Resultats - informe'!$E$16)*(C7782&lt;='Resultats - informe'!$G$16),1,0)</f>
        <v>1</v>
      </c>
      <c r="M7782" s="369" cm="1">
        <f t="array" ref="M7782">+_xlfn.IFS((C7782&gt;='Resultats - informe'!$D$26)*(C7782&lt;='Resultats - informe'!$E$26),0,(C7782&gt;='Resultats - informe'!$D$27)*(C7782&lt;='Resultats - informe'!$E$27),0,(C7782&gt;='Resultats - informe'!$D$28)*(C7782&lt;='Resultats - informe'!$E$28),0,(C7782&gt;='Resultats - informe'!$D$29)*(C7782&lt;='Resultats - informe'!$E$29),0,1,1)</f>
        <v>0</v>
      </c>
      <c r="N7782" s="366">
        <f>+VLOOKUP(D7782,'Resultats - informe'!$Y$18:$AG$42,'Introducció dades consum'!K7782+1,0)</f>
        <v>0</v>
      </c>
      <c r="O7782" s="370" cm="1">
        <f t="array" ref="O7782">+_xlfn.SWITCH(MONTH(C7782),1,1,2,1,3,1,4,2,5,2,6,3,7,3,8,3,9,3,10,2,11,2,12,1,2)</f>
        <v>1</v>
      </c>
      <c r="P7782" s="43"/>
    </row>
    <row r="7783" spans="1:16" ht="18" x14ac:dyDescent="0.35">
      <c r="A7783" s="9"/>
      <c r="C7783" s="393"/>
      <c r="E7783" s="394"/>
      <c r="F7783" s="394"/>
      <c r="G7783" s="394"/>
      <c r="I7783" s="368">
        <f t="shared" si="369"/>
        <v>0</v>
      </c>
      <c r="J7783" s="365">
        <f t="shared" si="370"/>
        <v>0</v>
      </c>
      <c r="K7783" s="369">
        <f t="shared" si="371"/>
        <v>6</v>
      </c>
      <c r="L7783" s="369">
        <f>+IF((C7783&gt;='Resultats - informe'!$E$16)*(C7783&lt;='Resultats - informe'!$G$16),1,0)</f>
        <v>1</v>
      </c>
      <c r="M7783" s="369" cm="1">
        <f t="array" ref="M7783">+_xlfn.IFS((C7783&gt;='Resultats - informe'!$D$26)*(C7783&lt;='Resultats - informe'!$E$26),0,(C7783&gt;='Resultats - informe'!$D$27)*(C7783&lt;='Resultats - informe'!$E$27),0,(C7783&gt;='Resultats - informe'!$D$28)*(C7783&lt;='Resultats - informe'!$E$28),0,(C7783&gt;='Resultats - informe'!$D$29)*(C7783&lt;='Resultats - informe'!$E$29),0,1,1)</f>
        <v>0</v>
      </c>
      <c r="N7783" s="366">
        <f>+VLOOKUP(D7783,'Resultats - informe'!$Y$18:$AG$42,'Introducció dades consum'!K7783+1,0)</f>
        <v>0</v>
      </c>
      <c r="O7783" s="370" cm="1">
        <f t="array" ref="O7783">+_xlfn.SWITCH(MONTH(C7783),1,1,2,1,3,1,4,2,5,2,6,3,7,3,8,3,9,3,10,2,11,2,12,1,2)</f>
        <v>1</v>
      </c>
      <c r="P7783" s="43"/>
    </row>
    <row r="7784" spans="1:16" ht="18" x14ac:dyDescent="0.35">
      <c r="A7784" s="9"/>
      <c r="C7784" s="393"/>
      <c r="E7784" s="394"/>
      <c r="F7784" s="394"/>
      <c r="G7784" s="394"/>
      <c r="I7784" s="368">
        <f t="shared" si="369"/>
        <v>0</v>
      </c>
      <c r="J7784" s="365">
        <f t="shared" si="370"/>
        <v>0</v>
      </c>
      <c r="K7784" s="369">
        <f t="shared" si="371"/>
        <v>6</v>
      </c>
      <c r="L7784" s="369">
        <f>+IF((C7784&gt;='Resultats - informe'!$E$16)*(C7784&lt;='Resultats - informe'!$G$16),1,0)</f>
        <v>1</v>
      </c>
      <c r="M7784" s="369" cm="1">
        <f t="array" ref="M7784">+_xlfn.IFS((C7784&gt;='Resultats - informe'!$D$26)*(C7784&lt;='Resultats - informe'!$E$26),0,(C7784&gt;='Resultats - informe'!$D$27)*(C7784&lt;='Resultats - informe'!$E$27),0,(C7784&gt;='Resultats - informe'!$D$28)*(C7784&lt;='Resultats - informe'!$E$28),0,(C7784&gt;='Resultats - informe'!$D$29)*(C7784&lt;='Resultats - informe'!$E$29),0,1,1)</f>
        <v>0</v>
      </c>
      <c r="N7784" s="366">
        <f>+VLOOKUP(D7784,'Resultats - informe'!$Y$18:$AG$42,'Introducció dades consum'!K7784+1,0)</f>
        <v>0</v>
      </c>
      <c r="O7784" s="370" cm="1">
        <f t="array" ref="O7784">+_xlfn.SWITCH(MONTH(C7784),1,1,2,1,3,1,4,2,5,2,6,3,7,3,8,3,9,3,10,2,11,2,12,1,2)</f>
        <v>1</v>
      </c>
      <c r="P7784" s="43"/>
    </row>
    <row r="7785" spans="1:16" ht="18" x14ac:dyDescent="0.35">
      <c r="A7785" s="9"/>
      <c r="C7785" s="393"/>
      <c r="E7785" s="394"/>
      <c r="F7785" s="394"/>
      <c r="G7785" s="394"/>
      <c r="I7785" s="368">
        <f t="shared" si="369"/>
        <v>0</v>
      </c>
      <c r="J7785" s="365">
        <f t="shared" si="370"/>
        <v>0</v>
      </c>
      <c r="K7785" s="369">
        <f t="shared" si="371"/>
        <v>6</v>
      </c>
      <c r="L7785" s="369">
        <f>+IF((C7785&gt;='Resultats - informe'!$E$16)*(C7785&lt;='Resultats - informe'!$G$16),1,0)</f>
        <v>1</v>
      </c>
      <c r="M7785" s="369" cm="1">
        <f t="array" ref="M7785">+_xlfn.IFS((C7785&gt;='Resultats - informe'!$D$26)*(C7785&lt;='Resultats - informe'!$E$26),0,(C7785&gt;='Resultats - informe'!$D$27)*(C7785&lt;='Resultats - informe'!$E$27),0,(C7785&gt;='Resultats - informe'!$D$28)*(C7785&lt;='Resultats - informe'!$E$28),0,(C7785&gt;='Resultats - informe'!$D$29)*(C7785&lt;='Resultats - informe'!$E$29),0,1,1)</f>
        <v>0</v>
      </c>
      <c r="N7785" s="366">
        <f>+VLOOKUP(D7785,'Resultats - informe'!$Y$18:$AG$42,'Introducció dades consum'!K7785+1,0)</f>
        <v>0</v>
      </c>
      <c r="O7785" s="370" cm="1">
        <f t="array" ref="O7785">+_xlfn.SWITCH(MONTH(C7785),1,1,2,1,3,1,4,2,5,2,6,3,7,3,8,3,9,3,10,2,11,2,12,1,2)</f>
        <v>1</v>
      </c>
      <c r="P7785" s="43"/>
    </row>
    <row r="7786" spans="1:16" ht="18" x14ac:dyDescent="0.35">
      <c r="A7786" s="9"/>
      <c r="C7786" s="393"/>
      <c r="E7786" s="394"/>
      <c r="F7786" s="394"/>
      <c r="G7786" s="394"/>
      <c r="I7786" s="368">
        <f t="shared" si="369"/>
        <v>0</v>
      </c>
      <c r="J7786" s="365">
        <f t="shared" si="370"/>
        <v>0</v>
      </c>
      <c r="K7786" s="369">
        <f t="shared" si="371"/>
        <v>6</v>
      </c>
      <c r="L7786" s="369">
        <f>+IF((C7786&gt;='Resultats - informe'!$E$16)*(C7786&lt;='Resultats - informe'!$G$16),1,0)</f>
        <v>1</v>
      </c>
      <c r="M7786" s="369" cm="1">
        <f t="array" ref="M7786">+_xlfn.IFS((C7786&gt;='Resultats - informe'!$D$26)*(C7786&lt;='Resultats - informe'!$E$26),0,(C7786&gt;='Resultats - informe'!$D$27)*(C7786&lt;='Resultats - informe'!$E$27),0,(C7786&gt;='Resultats - informe'!$D$28)*(C7786&lt;='Resultats - informe'!$E$28),0,(C7786&gt;='Resultats - informe'!$D$29)*(C7786&lt;='Resultats - informe'!$E$29),0,1,1)</f>
        <v>0</v>
      </c>
      <c r="N7786" s="366">
        <f>+VLOOKUP(D7786,'Resultats - informe'!$Y$18:$AG$42,'Introducció dades consum'!K7786+1,0)</f>
        <v>0</v>
      </c>
      <c r="O7786" s="370" cm="1">
        <f t="array" ref="O7786">+_xlfn.SWITCH(MONTH(C7786),1,1,2,1,3,1,4,2,5,2,6,3,7,3,8,3,9,3,10,2,11,2,12,1,2)</f>
        <v>1</v>
      </c>
      <c r="P7786" s="43"/>
    </row>
    <row r="7787" spans="1:16" ht="18" x14ac:dyDescent="0.35">
      <c r="A7787" s="9"/>
      <c r="C7787" s="393"/>
      <c r="E7787" s="394"/>
      <c r="F7787" s="394"/>
      <c r="G7787" s="394"/>
      <c r="I7787" s="368">
        <f t="shared" si="369"/>
        <v>0</v>
      </c>
      <c r="J7787" s="365">
        <f t="shared" si="370"/>
        <v>0</v>
      </c>
      <c r="K7787" s="369">
        <f t="shared" si="371"/>
        <v>6</v>
      </c>
      <c r="L7787" s="369">
        <f>+IF((C7787&gt;='Resultats - informe'!$E$16)*(C7787&lt;='Resultats - informe'!$G$16),1,0)</f>
        <v>1</v>
      </c>
      <c r="M7787" s="369" cm="1">
        <f t="array" ref="M7787">+_xlfn.IFS((C7787&gt;='Resultats - informe'!$D$26)*(C7787&lt;='Resultats - informe'!$E$26),0,(C7787&gt;='Resultats - informe'!$D$27)*(C7787&lt;='Resultats - informe'!$E$27),0,(C7787&gt;='Resultats - informe'!$D$28)*(C7787&lt;='Resultats - informe'!$E$28),0,(C7787&gt;='Resultats - informe'!$D$29)*(C7787&lt;='Resultats - informe'!$E$29),0,1,1)</f>
        <v>0</v>
      </c>
      <c r="N7787" s="366">
        <f>+VLOOKUP(D7787,'Resultats - informe'!$Y$18:$AG$42,'Introducció dades consum'!K7787+1,0)</f>
        <v>0</v>
      </c>
      <c r="O7787" s="370" cm="1">
        <f t="array" ref="O7787">+_xlfn.SWITCH(MONTH(C7787),1,1,2,1,3,1,4,2,5,2,6,3,7,3,8,3,9,3,10,2,11,2,12,1,2)</f>
        <v>1</v>
      </c>
      <c r="P7787" s="43"/>
    </row>
    <row r="7788" spans="1:16" ht="18" x14ac:dyDescent="0.35">
      <c r="A7788" s="9"/>
      <c r="C7788" s="393"/>
      <c r="E7788" s="394"/>
      <c r="F7788" s="394"/>
      <c r="G7788" s="394"/>
      <c r="I7788" s="368">
        <f t="shared" si="369"/>
        <v>0</v>
      </c>
      <c r="J7788" s="365">
        <f t="shared" si="370"/>
        <v>0</v>
      </c>
      <c r="K7788" s="369">
        <f t="shared" si="371"/>
        <v>6</v>
      </c>
      <c r="L7788" s="369">
        <f>+IF((C7788&gt;='Resultats - informe'!$E$16)*(C7788&lt;='Resultats - informe'!$G$16),1,0)</f>
        <v>1</v>
      </c>
      <c r="M7788" s="369" cm="1">
        <f t="array" ref="M7788">+_xlfn.IFS((C7788&gt;='Resultats - informe'!$D$26)*(C7788&lt;='Resultats - informe'!$E$26),0,(C7788&gt;='Resultats - informe'!$D$27)*(C7788&lt;='Resultats - informe'!$E$27),0,(C7788&gt;='Resultats - informe'!$D$28)*(C7788&lt;='Resultats - informe'!$E$28),0,(C7788&gt;='Resultats - informe'!$D$29)*(C7788&lt;='Resultats - informe'!$E$29),0,1,1)</f>
        <v>0</v>
      </c>
      <c r="N7788" s="366">
        <f>+VLOOKUP(D7788,'Resultats - informe'!$Y$18:$AG$42,'Introducció dades consum'!K7788+1,0)</f>
        <v>0</v>
      </c>
      <c r="O7788" s="370" cm="1">
        <f t="array" ref="O7788">+_xlfn.SWITCH(MONTH(C7788),1,1,2,1,3,1,4,2,5,2,6,3,7,3,8,3,9,3,10,2,11,2,12,1,2)</f>
        <v>1</v>
      </c>
      <c r="P7788" s="43"/>
    </row>
    <row r="7789" spans="1:16" ht="18" x14ac:dyDescent="0.35">
      <c r="A7789" s="9"/>
      <c r="C7789" s="393"/>
      <c r="E7789" s="394"/>
      <c r="F7789" s="394"/>
      <c r="G7789" s="394"/>
      <c r="I7789" s="368">
        <f t="shared" si="369"/>
        <v>0</v>
      </c>
      <c r="J7789" s="365">
        <f t="shared" si="370"/>
        <v>0</v>
      </c>
      <c r="K7789" s="369">
        <f t="shared" si="371"/>
        <v>6</v>
      </c>
      <c r="L7789" s="369">
        <f>+IF((C7789&gt;='Resultats - informe'!$E$16)*(C7789&lt;='Resultats - informe'!$G$16),1,0)</f>
        <v>1</v>
      </c>
      <c r="M7789" s="369" cm="1">
        <f t="array" ref="M7789">+_xlfn.IFS((C7789&gt;='Resultats - informe'!$D$26)*(C7789&lt;='Resultats - informe'!$E$26),0,(C7789&gt;='Resultats - informe'!$D$27)*(C7789&lt;='Resultats - informe'!$E$27),0,(C7789&gt;='Resultats - informe'!$D$28)*(C7789&lt;='Resultats - informe'!$E$28),0,(C7789&gt;='Resultats - informe'!$D$29)*(C7789&lt;='Resultats - informe'!$E$29),0,1,1)</f>
        <v>0</v>
      </c>
      <c r="N7789" s="366">
        <f>+VLOOKUP(D7789,'Resultats - informe'!$Y$18:$AG$42,'Introducció dades consum'!K7789+1,0)</f>
        <v>0</v>
      </c>
      <c r="O7789" s="370" cm="1">
        <f t="array" ref="O7789">+_xlfn.SWITCH(MONTH(C7789),1,1,2,1,3,1,4,2,5,2,6,3,7,3,8,3,9,3,10,2,11,2,12,1,2)</f>
        <v>1</v>
      </c>
      <c r="P7789" s="43"/>
    </row>
    <row r="7790" spans="1:16" ht="18" x14ac:dyDescent="0.35">
      <c r="A7790" s="9"/>
      <c r="C7790" s="393"/>
      <c r="E7790" s="394"/>
      <c r="F7790" s="394"/>
      <c r="G7790" s="394"/>
      <c r="I7790" s="368">
        <f t="shared" si="369"/>
        <v>0</v>
      </c>
      <c r="J7790" s="365">
        <f t="shared" si="370"/>
        <v>0</v>
      </c>
      <c r="K7790" s="369">
        <f t="shared" si="371"/>
        <v>6</v>
      </c>
      <c r="L7790" s="369">
        <f>+IF((C7790&gt;='Resultats - informe'!$E$16)*(C7790&lt;='Resultats - informe'!$G$16),1,0)</f>
        <v>1</v>
      </c>
      <c r="M7790" s="369" cm="1">
        <f t="array" ref="M7790">+_xlfn.IFS((C7790&gt;='Resultats - informe'!$D$26)*(C7790&lt;='Resultats - informe'!$E$26),0,(C7790&gt;='Resultats - informe'!$D$27)*(C7790&lt;='Resultats - informe'!$E$27),0,(C7790&gt;='Resultats - informe'!$D$28)*(C7790&lt;='Resultats - informe'!$E$28),0,(C7790&gt;='Resultats - informe'!$D$29)*(C7790&lt;='Resultats - informe'!$E$29),0,1,1)</f>
        <v>0</v>
      </c>
      <c r="N7790" s="366">
        <f>+VLOOKUP(D7790,'Resultats - informe'!$Y$18:$AG$42,'Introducció dades consum'!K7790+1,0)</f>
        <v>0</v>
      </c>
      <c r="O7790" s="370" cm="1">
        <f t="array" ref="O7790">+_xlfn.SWITCH(MONTH(C7790),1,1,2,1,3,1,4,2,5,2,6,3,7,3,8,3,9,3,10,2,11,2,12,1,2)</f>
        <v>1</v>
      </c>
      <c r="P7790" s="43"/>
    </row>
    <row r="7791" spans="1:16" ht="18" x14ac:dyDescent="0.35">
      <c r="A7791" s="9"/>
      <c r="C7791" s="393"/>
      <c r="E7791" s="394"/>
      <c r="F7791" s="394"/>
      <c r="G7791" s="394"/>
      <c r="I7791" s="368">
        <f t="shared" si="369"/>
        <v>0</v>
      </c>
      <c r="J7791" s="365">
        <f t="shared" si="370"/>
        <v>0</v>
      </c>
      <c r="K7791" s="369">
        <f t="shared" si="371"/>
        <v>6</v>
      </c>
      <c r="L7791" s="369">
        <f>+IF((C7791&gt;='Resultats - informe'!$E$16)*(C7791&lt;='Resultats - informe'!$G$16),1,0)</f>
        <v>1</v>
      </c>
      <c r="M7791" s="369" cm="1">
        <f t="array" ref="M7791">+_xlfn.IFS((C7791&gt;='Resultats - informe'!$D$26)*(C7791&lt;='Resultats - informe'!$E$26),0,(C7791&gt;='Resultats - informe'!$D$27)*(C7791&lt;='Resultats - informe'!$E$27),0,(C7791&gt;='Resultats - informe'!$D$28)*(C7791&lt;='Resultats - informe'!$E$28),0,(C7791&gt;='Resultats - informe'!$D$29)*(C7791&lt;='Resultats - informe'!$E$29),0,1,1)</f>
        <v>0</v>
      </c>
      <c r="N7791" s="366">
        <f>+VLOOKUP(D7791,'Resultats - informe'!$Y$18:$AG$42,'Introducció dades consum'!K7791+1,0)</f>
        <v>0</v>
      </c>
      <c r="O7791" s="370" cm="1">
        <f t="array" ref="O7791">+_xlfn.SWITCH(MONTH(C7791),1,1,2,1,3,1,4,2,5,2,6,3,7,3,8,3,9,3,10,2,11,2,12,1,2)</f>
        <v>1</v>
      </c>
      <c r="P7791" s="43"/>
    </row>
    <row r="7792" spans="1:16" ht="18" x14ac:dyDescent="0.35">
      <c r="A7792" s="9"/>
      <c r="C7792" s="393"/>
      <c r="E7792" s="394"/>
      <c r="F7792" s="394"/>
      <c r="G7792" s="394"/>
      <c r="I7792" s="368">
        <f t="shared" si="369"/>
        <v>0</v>
      </c>
      <c r="J7792" s="365">
        <f t="shared" si="370"/>
        <v>0</v>
      </c>
      <c r="K7792" s="369">
        <f t="shared" si="371"/>
        <v>6</v>
      </c>
      <c r="L7792" s="369">
        <f>+IF((C7792&gt;='Resultats - informe'!$E$16)*(C7792&lt;='Resultats - informe'!$G$16),1,0)</f>
        <v>1</v>
      </c>
      <c r="M7792" s="369" cm="1">
        <f t="array" ref="M7792">+_xlfn.IFS((C7792&gt;='Resultats - informe'!$D$26)*(C7792&lt;='Resultats - informe'!$E$26),0,(C7792&gt;='Resultats - informe'!$D$27)*(C7792&lt;='Resultats - informe'!$E$27),0,(C7792&gt;='Resultats - informe'!$D$28)*(C7792&lt;='Resultats - informe'!$E$28),0,(C7792&gt;='Resultats - informe'!$D$29)*(C7792&lt;='Resultats - informe'!$E$29),0,1,1)</f>
        <v>0</v>
      </c>
      <c r="N7792" s="366">
        <f>+VLOOKUP(D7792,'Resultats - informe'!$Y$18:$AG$42,'Introducció dades consum'!K7792+1,0)</f>
        <v>0</v>
      </c>
      <c r="O7792" s="370" cm="1">
        <f t="array" ref="O7792">+_xlfn.SWITCH(MONTH(C7792),1,1,2,1,3,1,4,2,5,2,6,3,7,3,8,3,9,3,10,2,11,2,12,1,2)</f>
        <v>1</v>
      </c>
      <c r="P7792" s="43"/>
    </row>
    <row r="7793" spans="1:16" ht="18" x14ac:dyDescent="0.35">
      <c r="A7793" s="9"/>
      <c r="C7793" s="393"/>
      <c r="E7793" s="394"/>
      <c r="F7793" s="394"/>
      <c r="G7793" s="394"/>
      <c r="I7793" s="368">
        <f t="shared" si="369"/>
        <v>0</v>
      </c>
      <c r="J7793" s="365">
        <f t="shared" si="370"/>
        <v>0</v>
      </c>
      <c r="K7793" s="369">
        <f t="shared" si="371"/>
        <v>6</v>
      </c>
      <c r="L7793" s="369">
        <f>+IF((C7793&gt;='Resultats - informe'!$E$16)*(C7793&lt;='Resultats - informe'!$G$16),1,0)</f>
        <v>1</v>
      </c>
      <c r="M7793" s="369" cm="1">
        <f t="array" ref="M7793">+_xlfn.IFS((C7793&gt;='Resultats - informe'!$D$26)*(C7793&lt;='Resultats - informe'!$E$26),0,(C7793&gt;='Resultats - informe'!$D$27)*(C7793&lt;='Resultats - informe'!$E$27),0,(C7793&gt;='Resultats - informe'!$D$28)*(C7793&lt;='Resultats - informe'!$E$28),0,(C7793&gt;='Resultats - informe'!$D$29)*(C7793&lt;='Resultats - informe'!$E$29),0,1,1)</f>
        <v>0</v>
      </c>
      <c r="N7793" s="366">
        <f>+VLOOKUP(D7793,'Resultats - informe'!$Y$18:$AG$42,'Introducció dades consum'!K7793+1,0)</f>
        <v>0</v>
      </c>
      <c r="O7793" s="370" cm="1">
        <f t="array" ref="O7793">+_xlfn.SWITCH(MONTH(C7793),1,1,2,1,3,1,4,2,5,2,6,3,7,3,8,3,9,3,10,2,11,2,12,1,2)</f>
        <v>1</v>
      </c>
      <c r="P7793" s="43"/>
    </row>
    <row r="7794" spans="1:16" ht="18" x14ac:dyDescent="0.35">
      <c r="A7794" s="9"/>
      <c r="C7794" s="393"/>
      <c r="E7794" s="394"/>
      <c r="F7794" s="394"/>
      <c r="G7794" s="394"/>
      <c r="I7794" s="368">
        <f t="shared" si="369"/>
        <v>0</v>
      </c>
      <c r="J7794" s="365">
        <f t="shared" si="370"/>
        <v>0</v>
      </c>
      <c r="K7794" s="369">
        <f t="shared" si="371"/>
        <v>6</v>
      </c>
      <c r="L7794" s="369">
        <f>+IF((C7794&gt;='Resultats - informe'!$E$16)*(C7794&lt;='Resultats - informe'!$G$16),1,0)</f>
        <v>1</v>
      </c>
      <c r="M7794" s="369" cm="1">
        <f t="array" ref="M7794">+_xlfn.IFS((C7794&gt;='Resultats - informe'!$D$26)*(C7794&lt;='Resultats - informe'!$E$26),0,(C7794&gt;='Resultats - informe'!$D$27)*(C7794&lt;='Resultats - informe'!$E$27),0,(C7794&gt;='Resultats - informe'!$D$28)*(C7794&lt;='Resultats - informe'!$E$28),0,(C7794&gt;='Resultats - informe'!$D$29)*(C7794&lt;='Resultats - informe'!$E$29),0,1,1)</f>
        <v>0</v>
      </c>
      <c r="N7794" s="366">
        <f>+VLOOKUP(D7794,'Resultats - informe'!$Y$18:$AG$42,'Introducció dades consum'!K7794+1,0)</f>
        <v>0</v>
      </c>
      <c r="O7794" s="370" cm="1">
        <f t="array" ref="O7794">+_xlfn.SWITCH(MONTH(C7794),1,1,2,1,3,1,4,2,5,2,6,3,7,3,8,3,9,3,10,2,11,2,12,1,2)</f>
        <v>1</v>
      </c>
      <c r="P7794" s="43"/>
    </row>
    <row r="7795" spans="1:16" ht="18" x14ac:dyDescent="0.35">
      <c r="A7795" s="9"/>
      <c r="C7795" s="393"/>
      <c r="E7795" s="394"/>
      <c r="F7795" s="394"/>
      <c r="G7795" s="394"/>
      <c r="I7795" s="368">
        <f t="shared" si="369"/>
        <v>0</v>
      </c>
      <c r="J7795" s="365">
        <f t="shared" si="370"/>
        <v>0</v>
      </c>
      <c r="K7795" s="369">
        <f t="shared" si="371"/>
        <v>6</v>
      </c>
      <c r="L7795" s="369">
        <f>+IF((C7795&gt;='Resultats - informe'!$E$16)*(C7795&lt;='Resultats - informe'!$G$16),1,0)</f>
        <v>1</v>
      </c>
      <c r="M7795" s="369" cm="1">
        <f t="array" ref="M7795">+_xlfn.IFS((C7795&gt;='Resultats - informe'!$D$26)*(C7795&lt;='Resultats - informe'!$E$26),0,(C7795&gt;='Resultats - informe'!$D$27)*(C7795&lt;='Resultats - informe'!$E$27),0,(C7795&gt;='Resultats - informe'!$D$28)*(C7795&lt;='Resultats - informe'!$E$28),0,(C7795&gt;='Resultats - informe'!$D$29)*(C7795&lt;='Resultats - informe'!$E$29),0,1,1)</f>
        <v>0</v>
      </c>
      <c r="N7795" s="366">
        <f>+VLOOKUP(D7795,'Resultats - informe'!$Y$18:$AG$42,'Introducció dades consum'!K7795+1,0)</f>
        <v>0</v>
      </c>
      <c r="O7795" s="370" cm="1">
        <f t="array" ref="O7795">+_xlfn.SWITCH(MONTH(C7795),1,1,2,1,3,1,4,2,5,2,6,3,7,3,8,3,9,3,10,2,11,2,12,1,2)</f>
        <v>1</v>
      </c>
      <c r="P7795" s="43"/>
    </row>
    <row r="7796" spans="1:16" ht="18" x14ac:dyDescent="0.35">
      <c r="A7796" s="9"/>
      <c r="C7796" s="393"/>
      <c r="E7796" s="394"/>
      <c r="F7796" s="394"/>
      <c r="G7796" s="394"/>
      <c r="I7796" s="368">
        <f t="shared" si="369"/>
        <v>0</v>
      </c>
      <c r="J7796" s="365">
        <f t="shared" si="370"/>
        <v>0</v>
      </c>
      <c r="K7796" s="369">
        <f t="shared" si="371"/>
        <v>6</v>
      </c>
      <c r="L7796" s="369">
        <f>+IF((C7796&gt;='Resultats - informe'!$E$16)*(C7796&lt;='Resultats - informe'!$G$16),1,0)</f>
        <v>1</v>
      </c>
      <c r="M7796" s="369" cm="1">
        <f t="array" ref="M7796">+_xlfn.IFS((C7796&gt;='Resultats - informe'!$D$26)*(C7796&lt;='Resultats - informe'!$E$26),0,(C7796&gt;='Resultats - informe'!$D$27)*(C7796&lt;='Resultats - informe'!$E$27),0,(C7796&gt;='Resultats - informe'!$D$28)*(C7796&lt;='Resultats - informe'!$E$28),0,(C7796&gt;='Resultats - informe'!$D$29)*(C7796&lt;='Resultats - informe'!$E$29),0,1,1)</f>
        <v>0</v>
      </c>
      <c r="N7796" s="366">
        <f>+VLOOKUP(D7796,'Resultats - informe'!$Y$18:$AG$42,'Introducció dades consum'!K7796+1,0)</f>
        <v>0</v>
      </c>
      <c r="O7796" s="370" cm="1">
        <f t="array" ref="O7796">+_xlfn.SWITCH(MONTH(C7796),1,1,2,1,3,1,4,2,5,2,6,3,7,3,8,3,9,3,10,2,11,2,12,1,2)</f>
        <v>1</v>
      </c>
      <c r="P7796" s="43"/>
    </row>
    <row r="7797" spans="1:16" ht="18" x14ac:dyDescent="0.35">
      <c r="A7797" s="9"/>
      <c r="C7797" s="393"/>
      <c r="E7797" s="394"/>
      <c r="F7797" s="394"/>
      <c r="G7797" s="394"/>
      <c r="I7797" s="368">
        <f t="shared" si="369"/>
        <v>0</v>
      </c>
      <c r="J7797" s="365">
        <f t="shared" si="370"/>
        <v>0</v>
      </c>
      <c r="K7797" s="369">
        <f t="shared" si="371"/>
        <v>6</v>
      </c>
      <c r="L7797" s="369">
        <f>+IF((C7797&gt;='Resultats - informe'!$E$16)*(C7797&lt;='Resultats - informe'!$G$16),1,0)</f>
        <v>1</v>
      </c>
      <c r="M7797" s="369" cm="1">
        <f t="array" ref="M7797">+_xlfn.IFS((C7797&gt;='Resultats - informe'!$D$26)*(C7797&lt;='Resultats - informe'!$E$26),0,(C7797&gt;='Resultats - informe'!$D$27)*(C7797&lt;='Resultats - informe'!$E$27),0,(C7797&gt;='Resultats - informe'!$D$28)*(C7797&lt;='Resultats - informe'!$E$28),0,(C7797&gt;='Resultats - informe'!$D$29)*(C7797&lt;='Resultats - informe'!$E$29),0,1,1)</f>
        <v>0</v>
      </c>
      <c r="N7797" s="366">
        <f>+VLOOKUP(D7797,'Resultats - informe'!$Y$18:$AG$42,'Introducció dades consum'!K7797+1,0)</f>
        <v>0</v>
      </c>
      <c r="O7797" s="370" cm="1">
        <f t="array" ref="O7797">+_xlfn.SWITCH(MONTH(C7797),1,1,2,1,3,1,4,2,5,2,6,3,7,3,8,3,9,3,10,2,11,2,12,1,2)</f>
        <v>1</v>
      </c>
      <c r="P7797" s="43"/>
    </row>
    <row r="7798" spans="1:16" ht="18" x14ac:dyDescent="0.35">
      <c r="A7798" s="9"/>
      <c r="C7798" s="393"/>
      <c r="E7798" s="394"/>
      <c r="F7798" s="394"/>
      <c r="G7798" s="394"/>
      <c r="I7798" s="368">
        <f t="shared" si="369"/>
        <v>0</v>
      </c>
      <c r="J7798" s="365">
        <f t="shared" si="370"/>
        <v>0</v>
      </c>
      <c r="K7798" s="369">
        <f t="shared" si="371"/>
        <v>6</v>
      </c>
      <c r="L7798" s="369">
        <f>+IF((C7798&gt;='Resultats - informe'!$E$16)*(C7798&lt;='Resultats - informe'!$G$16),1,0)</f>
        <v>1</v>
      </c>
      <c r="M7798" s="369" cm="1">
        <f t="array" ref="M7798">+_xlfn.IFS((C7798&gt;='Resultats - informe'!$D$26)*(C7798&lt;='Resultats - informe'!$E$26),0,(C7798&gt;='Resultats - informe'!$D$27)*(C7798&lt;='Resultats - informe'!$E$27),0,(C7798&gt;='Resultats - informe'!$D$28)*(C7798&lt;='Resultats - informe'!$E$28),0,(C7798&gt;='Resultats - informe'!$D$29)*(C7798&lt;='Resultats - informe'!$E$29),0,1,1)</f>
        <v>0</v>
      </c>
      <c r="N7798" s="366">
        <f>+VLOOKUP(D7798,'Resultats - informe'!$Y$18:$AG$42,'Introducció dades consum'!K7798+1,0)</f>
        <v>0</v>
      </c>
      <c r="O7798" s="370" cm="1">
        <f t="array" ref="O7798">+_xlfn.SWITCH(MONTH(C7798),1,1,2,1,3,1,4,2,5,2,6,3,7,3,8,3,9,3,10,2,11,2,12,1,2)</f>
        <v>1</v>
      </c>
      <c r="P7798" s="43"/>
    </row>
    <row r="7799" spans="1:16" ht="18" x14ac:dyDescent="0.35">
      <c r="A7799" s="9"/>
      <c r="C7799" s="393"/>
      <c r="E7799" s="394"/>
      <c r="F7799" s="394"/>
      <c r="G7799" s="394"/>
      <c r="I7799" s="368">
        <f t="shared" si="369"/>
        <v>0</v>
      </c>
      <c r="J7799" s="365">
        <f t="shared" si="370"/>
        <v>0</v>
      </c>
      <c r="K7799" s="369">
        <f t="shared" si="371"/>
        <v>6</v>
      </c>
      <c r="L7799" s="369">
        <f>+IF((C7799&gt;='Resultats - informe'!$E$16)*(C7799&lt;='Resultats - informe'!$G$16),1,0)</f>
        <v>1</v>
      </c>
      <c r="M7799" s="369" cm="1">
        <f t="array" ref="M7799">+_xlfn.IFS((C7799&gt;='Resultats - informe'!$D$26)*(C7799&lt;='Resultats - informe'!$E$26),0,(C7799&gt;='Resultats - informe'!$D$27)*(C7799&lt;='Resultats - informe'!$E$27),0,(C7799&gt;='Resultats - informe'!$D$28)*(C7799&lt;='Resultats - informe'!$E$28),0,(C7799&gt;='Resultats - informe'!$D$29)*(C7799&lt;='Resultats - informe'!$E$29),0,1,1)</f>
        <v>0</v>
      </c>
      <c r="N7799" s="366">
        <f>+VLOOKUP(D7799,'Resultats - informe'!$Y$18:$AG$42,'Introducció dades consum'!K7799+1,0)</f>
        <v>0</v>
      </c>
      <c r="O7799" s="370" cm="1">
        <f t="array" ref="O7799">+_xlfn.SWITCH(MONTH(C7799),1,1,2,1,3,1,4,2,5,2,6,3,7,3,8,3,9,3,10,2,11,2,12,1,2)</f>
        <v>1</v>
      </c>
      <c r="P7799" s="43"/>
    </row>
    <row r="7800" spans="1:16" ht="18" x14ac:dyDescent="0.35">
      <c r="A7800" s="9"/>
      <c r="C7800" s="393"/>
      <c r="E7800" s="394"/>
      <c r="F7800" s="394"/>
      <c r="G7800" s="394"/>
      <c r="I7800" s="368">
        <f t="shared" si="369"/>
        <v>0</v>
      </c>
      <c r="J7800" s="365">
        <f t="shared" si="370"/>
        <v>0</v>
      </c>
      <c r="K7800" s="369">
        <f t="shared" si="371"/>
        <v>6</v>
      </c>
      <c r="L7800" s="369">
        <f>+IF((C7800&gt;='Resultats - informe'!$E$16)*(C7800&lt;='Resultats - informe'!$G$16),1,0)</f>
        <v>1</v>
      </c>
      <c r="M7800" s="369" cm="1">
        <f t="array" ref="M7800">+_xlfn.IFS((C7800&gt;='Resultats - informe'!$D$26)*(C7800&lt;='Resultats - informe'!$E$26),0,(C7800&gt;='Resultats - informe'!$D$27)*(C7800&lt;='Resultats - informe'!$E$27),0,(C7800&gt;='Resultats - informe'!$D$28)*(C7800&lt;='Resultats - informe'!$E$28),0,(C7800&gt;='Resultats - informe'!$D$29)*(C7800&lt;='Resultats - informe'!$E$29),0,1,1)</f>
        <v>0</v>
      </c>
      <c r="N7800" s="366">
        <f>+VLOOKUP(D7800,'Resultats - informe'!$Y$18:$AG$42,'Introducció dades consum'!K7800+1,0)</f>
        <v>0</v>
      </c>
      <c r="O7800" s="370" cm="1">
        <f t="array" ref="O7800">+_xlfn.SWITCH(MONTH(C7800),1,1,2,1,3,1,4,2,5,2,6,3,7,3,8,3,9,3,10,2,11,2,12,1,2)</f>
        <v>1</v>
      </c>
      <c r="P7800" s="43"/>
    </row>
    <row r="7801" spans="1:16" ht="18" x14ac:dyDescent="0.35">
      <c r="A7801" s="9"/>
      <c r="C7801" s="393"/>
      <c r="E7801" s="394"/>
      <c r="F7801" s="394"/>
      <c r="G7801" s="394"/>
      <c r="I7801" s="368">
        <f t="shared" si="369"/>
        <v>0</v>
      </c>
      <c r="J7801" s="365">
        <f t="shared" si="370"/>
        <v>0</v>
      </c>
      <c r="K7801" s="369">
        <f t="shared" si="371"/>
        <v>6</v>
      </c>
      <c r="L7801" s="369">
        <f>+IF((C7801&gt;='Resultats - informe'!$E$16)*(C7801&lt;='Resultats - informe'!$G$16),1,0)</f>
        <v>1</v>
      </c>
      <c r="M7801" s="369" cm="1">
        <f t="array" ref="M7801">+_xlfn.IFS((C7801&gt;='Resultats - informe'!$D$26)*(C7801&lt;='Resultats - informe'!$E$26),0,(C7801&gt;='Resultats - informe'!$D$27)*(C7801&lt;='Resultats - informe'!$E$27),0,(C7801&gt;='Resultats - informe'!$D$28)*(C7801&lt;='Resultats - informe'!$E$28),0,(C7801&gt;='Resultats - informe'!$D$29)*(C7801&lt;='Resultats - informe'!$E$29),0,1,1)</f>
        <v>0</v>
      </c>
      <c r="N7801" s="366">
        <f>+VLOOKUP(D7801,'Resultats - informe'!$Y$18:$AG$42,'Introducció dades consum'!K7801+1,0)</f>
        <v>0</v>
      </c>
      <c r="O7801" s="370" cm="1">
        <f t="array" ref="O7801">+_xlfn.SWITCH(MONTH(C7801),1,1,2,1,3,1,4,2,5,2,6,3,7,3,8,3,9,3,10,2,11,2,12,1,2)</f>
        <v>1</v>
      </c>
      <c r="P7801" s="43"/>
    </row>
    <row r="7802" spans="1:16" ht="18" x14ac:dyDescent="0.35">
      <c r="A7802" s="9"/>
      <c r="C7802" s="393"/>
      <c r="E7802" s="394"/>
      <c r="F7802" s="394"/>
      <c r="G7802" s="394"/>
      <c r="I7802" s="368">
        <f t="shared" si="369"/>
        <v>0</v>
      </c>
      <c r="J7802" s="365">
        <f t="shared" si="370"/>
        <v>0</v>
      </c>
      <c r="K7802" s="369">
        <f t="shared" si="371"/>
        <v>6</v>
      </c>
      <c r="L7802" s="369">
        <f>+IF((C7802&gt;='Resultats - informe'!$E$16)*(C7802&lt;='Resultats - informe'!$G$16),1,0)</f>
        <v>1</v>
      </c>
      <c r="M7802" s="369" cm="1">
        <f t="array" ref="M7802">+_xlfn.IFS((C7802&gt;='Resultats - informe'!$D$26)*(C7802&lt;='Resultats - informe'!$E$26),0,(C7802&gt;='Resultats - informe'!$D$27)*(C7802&lt;='Resultats - informe'!$E$27),0,(C7802&gt;='Resultats - informe'!$D$28)*(C7802&lt;='Resultats - informe'!$E$28),0,(C7802&gt;='Resultats - informe'!$D$29)*(C7802&lt;='Resultats - informe'!$E$29),0,1,1)</f>
        <v>0</v>
      </c>
      <c r="N7802" s="366">
        <f>+VLOOKUP(D7802,'Resultats - informe'!$Y$18:$AG$42,'Introducció dades consum'!K7802+1,0)</f>
        <v>0</v>
      </c>
      <c r="O7802" s="370" cm="1">
        <f t="array" ref="O7802">+_xlfn.SWITCH(MONTH(C7802),1,1,2,1,3,1,4,2,5,2,6,3,7,3,8,3,9,3,10,2,11,2,12,1,2)</f>
        <v>1</v>
      </c>
      <c r="P7802" s="43"/>
    </row>
    <row r="7803" spans="1:16" ht="18" x14ac:dyDescent="0.35">
      <c r="A7803" s="9"/>
      <c r="C7803" s="393"/>
      <c r="E7803" s="394"/>
      <c r="F7803" s="394"/>
      <c r="G7803" s="394"/>
      <c r="I7803" s="368">
        <f t="shared" si="369"/>
        <v>0</v>
      </c>
      <c r="J7803" s="365">
        <f t="shared" si="370"/>
        <v>0</v>
      </c>
      <c r="K7803" s="369">
        <f t="shared" si="371"/>
        <v>6</v>
      </c>
      <c r="L7803" s="369">
        <f>+IF((C7803&gt;='Resultats - informe'!$E$16)*(C7803&lt;='Resultats - informe'!$G$16),1,0)</f>
        <v>1</v>
      </c>
      <c r="M7803" s="369" cm="1">
        <f t="array" ref="M7803">+_xlfn.IFS((C7803&gt;='Resultats - informe'!$D$26)*(C7803&lt;='Resultats - informe'!$E$26),0,(C7803&gt;='Resultats - informe'!$D$27)*(C7803&lt;='Resultats - informe'!$E$27),0,(C7803&gt;='Resultats - informe'!$D$28)*(C7803&lt;='Resultats - informe'!$E$28),0,(C7803&gt;='Resultats - informe'!$D$29)*(C7803&lt;='Resultats - informe'!$E$29),0,1,1)</f>
        <v>0</v>
      </c>
      <c r="N7803" s="366">
        <f>+VLOOKUP(D7803,'Resultats - informe'!$Y$18:$AG$42,'Introducció dades consum'!K7803+1,0)</f>
        <v>0</v>
      </c>
      <c r="O7803" s="370" cm="1">
        <f t="array" ref="O7803">+_xlfn.SWITCH(MONTH(C7803),1,1,2,1,3,1,4,2,5,2,6,3,7,3,8,3,9,3,10,2,11,2,12,1,2)</f>
        <v>1</v>
      </c>
      <c r="P7803" s="43"/>
    </row>
    <row r="7804" spans="1:16" ht="18" x14ac:dyDescent="0.35">
      <c r="A7804" s="9"/>
      <c r="C7804" s="393"/>
      <c r="E7804" s="394"/>
      <c r="F7804" s="394"/>
      <c r="G7804" s="394"/>
      <c r="I7804" s="368">
        <f t="shared" si="369"/>
        <v>0</v>
      </c>
      <c r="J7804" s="365">
        <f t="shared" si="370"/>
        <v>0</v>
      </c>
      <c r="K7804" s="369">
        <f t="shared" si="371"/>
        <v>6</v>
      </c>
      <c r="L7804" s="369">
        <f>+IF((C7804&gt;='Resultats - informe'!$E$16)*(C7804&lt;='Resultats - informe'!$G$16),1,0)</f>
        <v>1</v>
      </c>
      <c r="M7804" s="369" cm="1">
        <f t="array" ref="M7804">+_xlfn.IFS((C7804&gt;='Resultats - informe'!$D$26)*(C7804&lt;='Resultats - informe'!$E$26),0,(C7804&gt;='Resultats - informe'!$D$27)*(C7804&lt;='Resultats - informe'!$E$27),0,(C7804&gt;='Resultats - informe'!$D$28)*(C7804&lt;='Resultats - informe'!$E$28),0,(C7804&gt;='Resultats - informe'!$D$29)*(C7804&lt;='Resultats - informe'!$E$29),0,1,1)</f>
        <v>0</v>
      </c>
      <c r="N7804" s="366">
        <f>+VLOOKUP(D7804,'Resultats - informe'!$Y$18:$AG$42,'Introducció dades consum'!K7804+1,0)</f>
        <v>0</v>
      </c>
      <c r="O7804" s="370" cm="1">
        <f t="array" ref="O7804">+_xlfn.SWITCH(MONTH(C7804),1,1,2,1,3,1,4,2,5,2,6,3,7,3,8,3,9,3,10,2,11,2,12,1,2)</f>
        <v>1</v>
      </c>
      <c r="P7804" s="43"/>
    </row>
    <row r="7805" spans="1:16" ht="18" x14ac:dyDescent="0.35">
      <c r="A7805" s="9"/>
      <c r="C7805" s="393"/>
      <c r="E7805" s="394"/>
      <c r="F7805" s="394"/>
      <c r="G7805" s="394"/>
      <c r="I7805" s="368">
        <f t="shared" si="369"/>
        <v>0</v>
      </c>
      <c r="J7805" s="365">
        <f t="shared" si="370"/>
        <v>0</v>
      </c>
      <c r="K7805" s="369">
        <f t="shared" si="371"/>
        <v>6</v>
      </c>
      <c r="L7805" s="369">
        <f>+IF((C7805&gt;='Resultats - informe'!$E$16)*(C7805&lt;='Resultats - informe'!$G$16),1,0)</f>
        <v>1</v>
      </c>
      <c r="M7805" s="369" cm="1">
        <f t="array" ref="M7805">+_xlfn.IFS((C7805&gt;='Resultats - informe'!$D$26)*(C7805&lt;='Resultats - informe'!$E$26),0,(C7805&gt;='Resultats - informe'!$D$27)*(C7805&lt;='Resultats - informe'!$E$27),0,(C7805&gt;='Resultats - informe'!$D$28)*(C7805&lt;='Resultats - informe'!$E$28),0,(C7805&gt;='Resultats - informe'!$D$29)*(C7805&lt;='Resultats - informe'!$E$29),0,1,1)</f>
        <v>0</v>
      </c>
      <c r="N7805" s="366">
        <f>+VLOOKUP(D7805,'Resultats - informe'!$Y$18:$AG$42,'Introducció dades consum'!K7805+1,0)</f>
        <v>0</v>
      </c>
      <c r="O7805" s="370" cm="1">
        <f t="array" ref="O7805">+_xlfn.SWITCH(MONTH(C7805),1,1,2,1,3,1,4,2,5,2,6,3,7,3,8,3,9,3,10,2,11,2,12,1,2)</f>
        <v>1</v>
      </c>
      <c r="P7805" s="43"/>
    </row>
    <row r="7806" spans="1:16" ht="18" x14ac:dyDescent="0.35">
      <c r="A7806" s="9"/>
      <c r="C7806" s="393"/>
      <c r="E7806" s="394"/>
      <c r="F7806" s="394"/>
      <c r="G7806" s="394"/>
      <c r="I7806" s="368">
        <f t="shared" si="369"/>
        <v>0</v>
      </c>
      <c r="J7806" s="365">
        <f t="shared" si="370"/>
        <v>0</v>
      </c>
      <c r="K7806" s="369">
        <f t="shared" si="371"/>
        <v>6</v>
      </c>
      <c r="L7806" s="369">
        <f>+IF((C7806&gt;='Resultats - informe'!$E$16)*(C7806&lt;='Resultats - informe'!$G$16),1,0)</f>
        <v>1</v>
      </c>
      <c r="M7806" s="369" cm="1">
        <f t="array" ref="M7806">+_xlfn.IFS((C7806&gt;='Resultats - informe'!$D$26)*(C7806&lt;='Resultats - informe'!$E$26),0,(C7806&gt;='Resultats - informe'!$D$27)*(C7806&lt;='Resultats - informe'!$E$27),0,(C7806&gt;='Resultats - informe'!$D$28)*(C7806&lt;='Resultats - informe'!$E$28),0,(C7806&gt;='Resultats - informe'!$D$29)*(C7806&lt;='Resultats - informe'!$E$29),0,1,1)</f>
        <v>0</v>
      </c>
      <c r="N7806" s="366">
        <f>+VLOOKUP(D7806,'Resultats - informe'!$Y$18:$AG$42,'Introducció dades consum'!K7806+1,0)</f>
        <v>0</v>
      </c>
      <c r="O7806" s="370" cm="1">
        <f t="array" ref="O7806">+_xlfn.SWITCH(MONTH(C7806),1,1,2,1,3,1,4,2,5,2,6,3,7,3,8,3,9,3,10,2,11,2,12,1,2)</f>
        <v>1</v>
      </c>
      <c r="P7806" s="43"/>
    </row>
    <row r="7807" spans="1:16" ht="18" x14ac:dyDescent="0.35">
      <c r="A7807" s="9"/>
      <c r="C7807" s="393"/>
      <c r="E7807" s="394"/>
      <c r="F7807" s="394"/>
      <c r="G7807" s="394"/>
      <c r="I7807" s="368">
        <f t="shared" si="369"/>
        <v>0</v>
      </c>
      <c r="J7807" s="365">
        <f t="shared" si="370"/>
        <v>0</v>
      </c>
      <c r="K7807" s="369">
        <f t="shared" si="371"/>
        <v>6</v>
      </c>
      <c r="L7807" s="369">
        <f>+IF((C7807&gt;='Resultats - informe'!$E$16)*(C7807&lt;='Resultats - informe'!$G$16),1,0)</f>
        <v>1</v>
      </c>
      <c r="M7807" s="369" cm="1">
        <f t="array" ref="M7807">+_xlfn.IFS((C7807&gt;='Resultats - informe'!$D$26)*(C7807&lt;='Resultats - informe'!$E$26),0,(C7807&gt;='Resultats - informe'!$D$27)*(C7807&lt;='Resultats - informe'!$E$27),0,(C7807&gt;='Resultats - informe'!$D$28)*(C7807&lt;='Resultats - informe'!$E$28),0,(C7807&gt;='Resultats - informe'!$D$29)*(C7807&lt;='Resultats - informe'!$E$29),0,1,1)</f>
        <v>0</v>
      </c>
      <c r="N7807" s="366">
        <f>+VLOOKUP(D7807,'Resultats - informe'!$Y$18:$AG$42,'Introducció dades consum'!K7807+1,0)</f>
        <v>0</v>
      </c>
      <c r="O7807" s="370" cm="1">
        <f t="array" ref="O7807">+_xlfn.SWITCH(MONTH(C7807),1,1,2,1,3,1,4,2,5,2,6,3,7,3,8,3,9,3,10,2,11,2,12,1,2)</f>
        <v>1</v>
      </c>
      <c r="P7807" s="43"/>
    </row>
    <row r="7808" spans="1:16" ht="18" x14ac:dyDescent="0.35">
      <c r="A7808" s="9"/>
      <c r="C7808" s="393"/>
      <c r="E7808" s="394"/>
      <c r="F7808" s="394"/>
      <c r="G7808" s="394"/>
      <c r="I7808" s="368">
        <f t="shared" si="369"/>
        <v>0</v>
      </c>
      <c r="J7808" s="365">
        <f t="shared" si="370"/>
        <v>0</v>
      </c>
      <c r="K7808" s="369">
        <f t="shared" si="371"/>
        <v>6</v>
      </c>
      <c r="L7808" s="369">
        <f>+IF((C7808&gt;='Resultats - informe'!$E$16)*(C7808&lt;='Resultats - informe'!$G$16),1,0)</f>
        <v>1</v>
      </c>
      <c r="M7808" s="369" cm="1">
        <f t="array" ref="M7808">+_xlfn.IFS((C7808&gt;='Resultats - informe'!$D$26)*(C7808&lt;='Resultats - informe'!$E$26),0,(C7808&gt;='Resultats - informe'!$D$27)*(C7808&lt;='Resultats - informe'!$E$27),0,(C7808&gt;='Resultats - informe'!$D$28)*(C7808&lt;='Resultats - informe'!$E$28),0,(C7808&gt;='Resultats - informe'!$D$29)*(C7808&lt;='Resultats - informe'!$E$29),0,1,1)</f>
        <v>0</v>
      </c>
      <c r="N7808" s="366">
        <f>+VLOOKUP(D7808,'Resultats - informe'!$Y$18:$AG$42,'Introducció dades consum'!K7808+1,0)</f>
        <v>0</v>
      </c>
      <c r="O7808" s="370" cm="1">
        <f t="array" ref="O7808">+_xlfn.SWITCH(MONTH(C7808),1,1,2,1,3,1,4,2,5,2,6,3,7,3,8,3,9,3,10,2,11,2,12,1,2)</f>
        <v>1</v>
      </c>
      <c r="P7808" s="43"/>
    </row>
    <row r="7809" spans="1:16" ht="18" x14ac:dyDescent="0.35">
      <c r="A7809" s="9"/>
      <c r="C7809" s="393"/>
      <c r="E7809" s="394"/>
      <c r="F7809" s="394"/>
      <c r="G7809" s="394"/>
      <c r="I7809" s="368">
        <f t="shared" si="369"/>
        <v>0</v>
      </c>
      <c r="J7809" s="365">
        <f t="shared" si="370"/>
        <v>0</v>
      </c>
      <c r="K7809" s="369">
        <f t="shared" si="371"/>
        <v>6</v>
      </c>
      <c r="L7809" s="369">
        <f>+IF((C7809&gt;='Resultats - informe'!$E$16)*(C7809&lt;='Resultats - informe'!$G$16),1,0)</f>
        <v>1</v>
      </c>
      <c r="M7809" s="369" cm="1">
        <f t="array" ref="M7809">+_xlfn.IFS((C7809&gt;='Resultats - informe'!$D$26)*(C7809&lt;='Resultats - informe'!$E$26),0,(C7809&gt;='Resultats - informe'!$D$27)*(C7809&lt;='Resultats - informe'!$E$27),0,(C7809&gt;='Resultats - informe'!$D$28)*(C7809&lt;='Resultats - informe'!$E$28),0,(C7809&gt;='Resultats - informe'!$D$29)*(C7809&lt;='Resultats - informe'!$E$29),0,1,1)</f>
        <v>0</v>
      </c>
      <c r="N7809" s="366">
        <f>+VLOOKUP(D7809,'Resultats - informe'!$Y$18:$AG$42,'Introducció dades consum'!K7809+1,0)</f>
        <v>0</v>
      </c>
      <c r="O7809" s="370" cm="1">
        <f t="array" ref="O7809">+_xlfn.SWITCH(MONTH(C7809),1,1,2,1,3,1,4,2,5,2,6,3,7,3,8,3,9,3,10,2,11,2,12,1,2)</f>
        <v>1</v>
      </c>
      <c r="P7809" s="43"/>
    </row>
    <row r="7810" spans="1:16" ht="18" x14ac:dyDescent="0.35">
      <c r="A7810" s="9"/>
      <c r="C7810" s="393"/>
      <c r="E7810" s="394"/>
      <c r="F7810" s="394"/>
      <c r="G7810" s="394"/>
      <c r="I7810" s="368">
        <f t="shared" si="369"/>
        <v>0</v>
      </c>
      <c r="J7810" s="365">
        <f t="shared" si="370"/>
        <v>0</v>
      </c>
      <c r="K7810" s="369">
        <f t="shared" si="371"/>
        <v>6</v>
      </c>
      <c r="L7810" s="369">
        <f>+IF((C7810&gt;='Resultats - informe'!$E$16)*(C7810&lt;='Resultats - informe'!$G$16),1,0)</f>
        <v>1</v>
      </c>
      <c r="M7810" s="369" cm="1">
        <f t="array" ref="M7810">+_xlfn.IFS((C7810&gt;='Resultats - informe'!$D$26)*(C7810&lt;='Resultats - informe'!$E$26),0,(C7810&gt;='Resultats - informe'!$D$27)*(C7810&lt;='Resultats - informe'!$E$27),0,(C7810&gt;='Resultats - informe'!$D$28)*(C7810&lt;='Resultats - informe'!$E$28),0,(C7810&gt;='Resultats - informe'!$D$29)*(C7810&lt;='Resultats - informe'!$E$29),0,1,1)</f>
        <v>0</v>
      </c>
      <c r="N7810" s="366">
        <f>+VLOOKUP(D7810,'Resultats - informe'!$Y$18:$AG$42,'Introducció dades consum'!K7810+1,0)</f>
        <v>0</v>
      </c>
      <c r="O7810" s="370" cm="1">
        <f t="array" ref="O7810">+_xlfn.SWITCH(MONTH(C7810),1,1,2,1,3,1,4,2,5,2,6,3,7,3,8,3,9,3,10,2,11,2,12,1,2)</f>
        <v>1</v>
      </c>
      <c r="P7810" s="43"/>
    </row>
    <row r="7811" spans="1:16" ht="18" x14ac:dyDescent="0.35">
      <c r="A7811" s="9"/>
      <c r="C7811" s="393"/>
      <c r="E7811" s="394"/>
      <c r="F7811" s="394"/>
      <c r="G7811" s="394"/>
      <c r="I7811" s="368">
        <f t="shared" si="369"/>
        <v>0</v>
      </c>
      <c r="J7811" s="365">
        <f t="shared" si="370"/>
        <v>0</v>
      </c>
      <c r="K7811" s="369">
        <f t="shared" si="371"/>
        <v>6</v>
      </c>
      <c r="L7811" s="369">
        <f>+IF((C7811&gt;='Resultats - informe'!$E$16)*(C7811&lt;='Resultats - informe'!$G$16),1,0)</f>
        <v>1</v>
      </c>
      <c r="M7811" s="369" cm="1">
        <f t="array" ref="M7811">+_xlfn.IFS((C7811&gt;='Resultats - informe'!$D$26)*(C7811&lt;='Resultats - informe'!$E$26),0,(C7811&gt;='Resultats - informe'!$D$27)*(C7811&lt;='Resultats - informe'!$E$27),0,(C7811&gt;='Resultats - informe'!$D$28)*(C7811&lt;='Resultats - informe'!$E$28),0,(C7811&gt;='Resultats - informe'!$D$29)*(C7811&lt;='Resultats - informe'!$E$29),0,1,1)</f>
        <v>0</v>
      </c>
      <c r="N7811" s="366">
        <f>+VLOOKUP(D7811,'Resultats - informe'!$Y$18:$AG$42,'Introducció dades consum'!K7811+1,0)</f>
        <v>0</v>
      </c>
      <c r="O7811" s="370" cm="1">
        <f t="array" ref="O7811">+_xlfn.SWITCH(MONTH(C7811),1,1,2,1,3,1,4,2,5,2,6,3,7,3,8,3,9,3,10,2,11,2,12,1,2)</f>
        <v>1</v>
      </c>
      <c r="P7811" s="43"/>
    </row>
    <row r="7812" spans="1:16" ht="18" x14ac:dyDescent="0.35">
      <c r="A7812" s="9"/>
      <c r="C7812" s="393"/>
      <c r="E7812" s="394"/>
      <c r="F7812" s="394"/>
      <c r="G7812" s="394"/>
      <c r="I7812" s="368">
        <f t="shared" si="369"/>
        <v>0</v>
      </c>
      <c r="J7812" s="365">
        <f t="shared" si="370"/>
        <v>0</v>
      </c>
      <c r="K7812" s="369">
        <f t="shared" si="371"/>
        <v>6</v>
      </c>
      <c r="L7812" s="369">
        <f>+IF((C7812&gt;='Resultats - informe'!$E$16)*(C7812&lt;='Resultats - informe'!$G$16),1,0)</f>
        <v>1</v>
      </c>
      <c r="M7812" s="369" cm="1">
        <f t="array" ref="M7812">+_xlfn.IFS((C7812&gt;='Resultats - informe'!$D$26)*(C7812&lt;='Resultats - informe'!$E$26),0,(C7812&gt;='Resultats - informe'!$D$27)*(C7812&lt;='Resultats - informe'!$E$27),0,(C7812&gt;='Resultats - informe'!$D$28)*(C7812&lt;='Resultats - informe'!$E$28),0,(C7812&gt;='Resultats - informe'!$D$29)*(C7812&lt;='Resultats - informe'!$E$29),0,1,1)</f>
        <v>0</v>
      </c>
      <c r="N7812" s="366">
        <f>+VLOOKUP(D7812,'Resultats - informe'!$Y$18:$AG$42,'Introducció dades consum'!K7812+1,0)</f>
        <v>0</v>
      </c>
      <c r="O7812" s="370" cm="1">
        <f t="array" ref="O7812">+_xlfn.SWITCH(MONTH(C7812),1,1,2,1,3,1,4,2,5,2,6,3,7,3,8,3,9,3,10,2,11,2,12,1,2)</f>
        <v>1</v>
      </c>
      <c r="P7812" s="43"/>
    </row>
    <row r="7813" spans="1:16" ht="18" x14ac:dyDescent="0.35">
      <c r="A7813" s="9"/>
      <c r="C7813" s="393"/>
      <c r="E7813" s="394"/>
      <c r="F7813" s="394"/>
      <c r="G7813" s="394"/>
      <c r="I7813" s="368">
        <f t="shared" si="369"/>
        <v>0</v>
      </c>
      <c r="J7813" s="365">
        <f t="shared" si="370"/>
        <v>0</v>
      </c>
      <c r="K7813" s="369">
        <f t="shared" si="371"/>
        <v>6</v>
      </c>
      <c r="L7813" s="369">
        <f>+IF((C7813&gt;='Resultats - informe'!$E$16)*(C7813&lt;='Resultats - informe'!$G$16),1,0)</f>
        <v>1</v>
      </c>
      <c r="M7813" s="369" cm="1">
        <f t="array" ref="M7813">+_xlfn.IFS((C7813&gt;='Resultats - informe'!$D$26)*(C7813&lt;='Resultats - informe'!$E$26),0,(C7813&gt;='Resultats - informe'!$D$27)*(C7813&lt;='Resultats - informe'!$E$27),0,(C7813&gt;='Resultats - informe'!$D$28)*(C7813&lt;='Resultats - informe'!$E$28),0,(C7813&gt;='Resultats - informe'!$D$29)*(C7813&lt;='Resultats - informe'!$E$29),0,1,1)</f>
        <v>0</v>
      </c>
      <c r="N7813" s="366">
        <f>+VLOOKUP(D7813,'Resultats - informe'!$Y$18:$AG$42,'Introducció dades consum'!K7813+1,0)</f>
        <v>0</v>
      </c>
      <c r="O7813" s="370" cm="1">
        <f t="array" ref="O7813">+_xlfn.SWITCH(MONTH(C7813),1,1,2,1,3,1,4,2,5,2,6,3,7,3,8,3,9,3,10,2,11,2,12,1,2)</f>
        <v>1</v>
      </c>
      <c r="P7813" s="43"/>
    </row>
    <row r="7814" spans="1:16" ht="18" x14ac:dyDescent="0.35">
      <c r="A7814" s="9"/>
      <c r="C7814" s="393"/>
      <c r="E7814" s="394"/>
      <c r="F7814" s="394"/>
      <c r="G7814" s="394"/>
      <c r="I7814" s="368">
        <f t="shared" si="369"/>
        <v>0</v>
      </c>
      <c r="J7814" s="365">
        <f t="shared" si="370"/>
        <v>0</v>
      </c>
      <c r="K7814" s="369">
        <f t="shared" si="371"/>
        <v>6</v>
      </c>
      <c r="L7814" s="369">
        <f>+IF((C7814&gt;='Resultats - informe'!$E$16)*(C7814&lt;='Resultats - informe'!$G$16),1,0)</f>
        <v>1</v>
      </c>
      <c r="M7814" s="369" cm="1">
        <f t="array" ref="M7814">+_xlfn.IFS((C7814&gt;='Resultats - informe'!$D$26)*(C7814&lt;='Resultats - informe'!$E$26),0,(C7814&gt;='Resultats - informe'!$D$27)*(C7814&lt;='Resultats - informe'!$E$27),0,(C7814&gt;='Resultats - informe'!$D$28)*(C7814&lt;='Resultats - informe'!$E$28),0,(C7814&gt;='Resultats - informe'!$D$29)*(C7814&lt;='Resultats - informe'!$E$29),0,1,1)</f>
        <v>0</v>
      </c>
      <c r="N7814" s="366">
        <f>+VLOOKUP(D7814,'Resultats - informe'!$Y$18:$AG$42,'Introducció dades consum'!K7814+1,0)</f>
        <v>0</v>
      </c>
      <c r="O7814" s="370" cm="1">
        <f t="array" ref="O7814">+_xlfn.SWITCH(MONTH(C7814),1,1,2,1,3,1,4,2,5,2,6,3,7,3,8,3,9,3,10,2,11,2,12,1,2)</f>
        <v>1</v>
      </c>
      <c r="P7814" s="43"/>
    </row>
    <row r="7815" spans="1:16" ht="18" x14ac:dyDescent="0.35">
      <c r="A7815" s="9"/>
      <c r="C7815" s="393"/>
      <c r="E7815" s="394"/>
      <c r="F7815" s="394"/>
      <c r="G7815" s="394"/>
      <c r="I7815" s="368">
        <f t="shared" si="369"/>
        <v>0</v>
      </c>
      <c r="J7815" s="365">
        <f t="shared" si="370"/>
        <v>0</v>
      </c>
      <c r="K7815" s="369">
        <f t="shared" si="371"/>
        <v>6</v>
      </c>
      <c r="L7815" s="369">
        <f>+IF((C7815&gt;='Resultats - informe'!$E$16)*(C7815&lt;='Resultats - informe'!$G$16),1,0)</f>
        <v>1</v>
      </c>
      <c r="M7815" s="369" cm="1">
        <f t="array" ref="M7815">+_xlfn.IFS((C7815&gt;='Resultats - informe'!$D$26)*(C7815&lt;='Resultats - informe'!$E$26),0,(C7815&gt;='Resultats - informe'!$D$27)*(C7815&lt;='Resultats - informe'!$E$27),0,(C7815&gt;='Resultats - informe'!$D$28)*(C7815&lt;='Resultats - informe'!$E$28),0,(C7815&gt;='Resultats - informe'!$D$29)*(C7815&lt;='Resultats - informe'!$E$29),0,1,1)</f>
        <v>0</v>
      </c>
      <c r="N7815" s="366">
        <f>+VLOOKUP(D7815,'Resultats - informe'!$Y$18:$AG$42,'Introducció dades consum'!K7815+1,0)</f>
        <v>0</v>
      </c>
      <c r="O7815" s="370" cm="1">
        <f t="array" ref="O7815">+_xlfn.SWITCH(MONTH(C7815),1,1,2,1,3,1,4,2,5,2,6,3,7,3,8,3,9,3,10,2,11,2,12,1,2)</f>
        <v>1</v>
      </c>
      <c r="P7815" s="43"/>
    </row>
    <row r="7816" spans="1:16" ht="18" x14ac:dyDescent="0.35">
      <c r="A7816" s="9"/>
      <c r="C7816" s="393"/>
      <c r="E7816" s="394"/>
      <c r="F7816" s="394"/>
      <c r="G7816" s="394"/>
      <c r="I7816" s="368">
        <f t="shared" si="369"/>
        <v>0</v>
      </c>
      <c r="J7816" s="365">
        <f t="shared" si="370"/>
        <v>0</v>
      </c>
      <c r="K7816" s="369">
        <f t="shared" si="371"/>
        <v>6</v>
      </c>
      <c r="L7816" s="369">
        <f>+IF((C7816&gt;='Resultats - informe'!$E$16)*(C7816&lt;='Resultats - informe'!$G$16),1,0)</f>
        <v>1</v>
      </c>
      <c r="M7816" s="369" cm="1">
        <f t="array" ref="M7816">+_xlfn.IFS((C7816&gt;='Resultats - informe'!$D$26)*(C7816&lt;='Resultats - informe'!$E$26),0,(C7816&gt;='Resultats - informe'!$D$27)*(C7816&lt;='Resultats - informe'!$E$27),0,(C7816&gt;='Resultats - informe'!$D$28)*(C7816&lt;='Resultats - informe'!$E$28),0,(C7816&gt;='Resultats - informe'!$D$29)*(C7816&lt;='Resultats - informe'!$E$29),0,1,1)</f>
        <v>0</v>
      </c>
      <c r="N7816" s="366">
        <f>+VLOOKUP(D7816,'Resultats - informe'!$Y$18:$AG$42,'Introducció dades consum'!K7816+1,0)</f>
        <v>0</v>
      </c>
      <c r="O7816" s="370" cm="1">
        <f t="array" ref="O7816">+_xlfn.SWITCH(MONTH(C7816),1,1,2,1,3,1,4,2,5,2,6,3,7,3,8,3,9,3,10,2,11,2,12,1,2)</f>
        <v>1</v>
      </c>
      <c r="P7816" s="43"/>
    </row>
    <row r="7817" spans="1:16" ht="18" x14ac:dyDescent="0.35">
      <c r="A7817" s="9"/>
      <c r="C7817" s="393"/>
      <c r="E7817" s="394"/>
      <c r="F7817" s="394"/>
      <c r="G7817" s="394"/>
      <c r="I7817" s="368">
        <f t="shared" si="369"/>
        <v>0</v>
      </c>
      <c r="J7817" s="365">
        <f t="shared" si="370"/>
        <v>0</v>
      </c>
      <c r="K7817" s="369">
        <f t="shared" si="371"/>
        <v>6</v>
      </c>
      <c r="L7817" s="369">
        <f>+IF((C7817&gt;='Resultats - informe'!$E$16)*(C7817&lt;='Resultats - informe'!$G$16),1,0)</f>
        <v>1</v>
      </c>
      <c r="M7817" s="369" cm="1">
        <f t="array" ref="M7817">+_xlfn.IFS((C7817&gt;='Resultats - informe'!$D$26)*(C7817&lt;='Resultats - informe'!$E$26),0,(C7817&gt;='Resultats - informe'!$D$27)*(C7817&lt;='Resultats - informe'!$E$27),0,(C7817&gt;='Resultats - informe'!$D$28)*(C7817&lt;='Resultats - informe'!$E$28),0,(C7817&gt;='Resultats - informe'!$D$29)*(C7817&lt;='Resultats - informe'!$E$29),0,1,1)</f>
        <v>0</v>
      </c>
      <c r="N7817" s="366">
        <f>+VLOOKUP(D7817,'Resultats - informe'!$Y$18:$AG$42,'Introducció dades consum'!K7817+1,0)</f>
        <v>0</v>
      </c>
      <c r="O7817" s="370" cm="1">
        <f t="array" ref="O7817">+_xlfn.SWITCH(MONTH(C7817),1,1,2,1,3,1,4,2,5,2,6,3,7,3,8,3,9,3,10,2,11,2,12,1,2)</f>
        <v>1</v>
      </c>
      <c r="P7817" s="43"/>
    </row>
    <row r="7818" spans="1:16" ht="18" x14ac:dyDescent="0.35">
      <c r="A7818" s="9"/>
      <c r="C7818" s="393"/>
      <c r="E7818" s="394"/>
      <c r="F7818" s="394"/>
      <c r="G7818" s="394"/>
      <c r="I7818" s="368">
        <f t="shared" si="369"/>
        <v>0</v>
      </c>
      <c r="J7818" s="365">
        <f t="shared" si="370"/>
        <v>0</v>
      </c>
      <c r="K7818" s="369">
        <f t="shared" si="371"/>
        <v>6</v>
      </c>
      <c r="L7818" s="369">
        <f>+IF((C7818&gt;='Resultats - informe'!$E$16)*(C7818&lt;='Resultats - informe'!$G$16),1,0)</f>
        <v>1</v>
      </c>
      <c r="M7818" s="369" cm="1">
        <f t="array" ref="M7818">+_xlfn.IFS((C7818&gt;='Resultats - informe'!$D$26)*(C7818&lt;='Resultats - informe'!$E$26),0,(C7818&gt;='Resultats - informe'!$D$27)*(C7818&lt;='Resultats - informe'!$E$27),0,(C7818&gt;='Resultats - informe'!$D$28)*(C7818&lt;='Resultats - informe'!$E$28),0,(C7818&gt;='Resultats - informe'!$D$29)*(C7818&lt;='Resultats - informe'!$E$29),0,1,1)</f>
        <v>0</v>
      </c>
      <c r="N7818" s="366">
        <f>+VLOOKUP(D7818,'Resultats - informe'!$Y$18:$AG$42,'Introducció dades consum'!K7818+1,0)</f>
        <v>0</v>
      </c>
      <c r="O7818" s="370" cm="1">
        <f t="array" ref="O7818">+_xlfn.SWITCH(MONTH(C7818),1,1,2,1,3,1,4,2,5,2,6,3,7,3,8,3,9,3,10,2,11,2,12,1,2)</f>
        <v>1</v>
      </c>
      <c r="P7818" s="43"/>
    </row>
    <row r="7819" spans="1:16" ht="18" x14ac:dyDescent="0.35">
      <c r="A7819" s="9"/>
      <c r="C7819" s="393"/>
      <c r="E7819" s="394"/>
      <c r="F7819" s="394"/>
      <c r="G7819" s="394"/>
      <c r="I7819" s="368">
        <f t="shared" si="369"/>
        <v>0</v>
      </c>
      <c r="J7819" s="365">
        <f t="shared" si="370"/>
        <v>0</v>
      </c>
      <c r="K7819" s="369">
        <f t="shared" si="371"/>
        <v>6</v>
      </c>
      <c r="L7819" s="369">
        <f>+IF((C7819&gt;='Resultats - informe'!$E$16)*(C7819&lt;='Resultats - informe'!$G$16),1,0)</f>
        <v>1</v>
      </c>
      <c r="M7819" s="369" cm="1">
        <f t="array" ref="M7819">+_xlfn.IFS((C7819&gt;='Resultats - informe'!$D$26)*(C7819&lt;='Resultats - informe'!$E$26),0,(C7819&gt;='Resultats - informe'!$D$27)*(C7819&lt;='Resultats - informe'!$E$27),0,(C7819&gt;='Resultats - informe'!$D$28)*(C7819&lt;='Resultats - informe'!$E$28),0,(C7819&gt;='Resultats - informe'!$D$29)*(C7819&lt;='Resultats - informe'!$E$29),0,1,1)</f>
        <v>0</v>
      </c>
      <c r="N7819" s="366">
        <f>+VLOOKUP(D7819,'Resultats - informe'!$Y$18:$AG$42,'Introducció dades consum'!K7819+1,0)</f>
        <v>0</v>
      </c>
      <c r="O7819" s="370" cm="1">
        <f t="array" ref="O7819">+_xlfn.SWITCH(MONTH(C7819),1,1,2,1,3,1,4,2,5,2,6,3,7,3,8,3,9,3,10,2,11,2,12,1,2)</f>
        <v>1</v>
      </c>
      <c r="P7819" s="43"/>
    </row>
    <row r="7820" spans="1:16" ht="18" x14ac:dyDescent="0.35">
      <c r="A7820" s="9"/>
      <c r="C7820" s="393"/>
      <c r="E7820" s="394"/>
      <c r="F7820" s="394"/>
      <c r="G7820" s="394"/>
      <c r="I7820" s="368">
        <f t="shared" si="369"/>
        <v>0</v>
      </c>
      <c r="J7820" s="365">
        <f t="shared" si="370"/>
        <v>0</v>
      </c>
      <c r="K7820" s="369">
        <f t="shared" si="371"/>
        <v>6</v>
      </c>
      <c r="L7820" s="369">
        <f>+IF((C7820&gt;='Resultats - informe'!$E$16)*(C7820&lt;='Resultats - informe'!$G$16),1,0)</f>
        <v>1</v>
      </c>
      <c r="M7820" s="369" cm="1">
        <f t="array" ref="M7820">+_xlfn.IFS((C7820&gt;='Resultats - informe'!$D$26)*(C7820&lt;='Resultats - informe'!$E$26),0,(C7820&gt;='Resultats - informe'!$D$27)*(C7820&lt;='Resultats - informe'!$E$27),0,(C7820&gt;='Resultats - informe'!$D$28)*(C7820&lt;='Resultats - informe'!$E$28),0,(C7820&gt;='Resultats - informe'!$D$29)*(C7820&lt;='Resultats - informe'!$E$29),0,1,1)</f>
        <v>0</v>
      </c>
      <c r="N7820" s="366">
        <f>+VLOOKUP(D7820,'Resultats - informe'!$Y$18:$AG$42,'Introducció dades consum'!K7820+1,0)</f>
        <v>0</v>
      </c>
      <c r="O7820" s="370" cm="1">
        <f t="array" ref="O7820">+_xlfn.SWITCH(MONTH(C7820),1,1,2,1,3,1,4,2,5,2,6,3,7,3,8,3,9,3,10,2,11,2,12,1,2)</f>
        <v>1</v>
      </c>
      <c r="P7820" s="43"/>
    </row>
    <row r="7821" spans="1:16" ht="18" x14ac:dyDescent="0.35">
      <c r="A7821" s="9"/>
      <c r="C7821" s="393"/>
      <c r="E7821" s="394"/>
      <c r="F7821" s="394"/>
      <c r="G7821" s="394"/>
      <c r="I7821" s="368">
        <f t="shared" si="369"/>
        <v>0</v>
      </c>
      <c r="J7821" s="365">
        <f t="shared" si="370"/>
        <v>0</v>
      </c>
      <c r="K7821" s="369">
        <f t="shared" si="371"/>
        <v>6</v>
      </c>
      <c r="L7821" s="369">
        <f>+IF((C7821&gt;='Resultats - informe'!$E$16)*(C7821&lt;='Resultats - informe'!$G$16),1,0)</f>
        <v>1</v>
      </c>
      <c r="M7821" s="369" cm="1">
        <f t="array" ref="M7821">+_xlfn.IFS((C7821&gt;='Resultats - informe'!$D$26)*(C7821&lt;='Resultats - informe'!$E$26),0,(C7821&gt;='Resultats - informe'!$D$27)*(C7821&lt;='Resultats - informe'!$E$27),0,(C7821&gt;='Resultats - informe'!$D$28)*(C7821&lt;='Resultats - informe'!$E$28),0,(C7821&gt;='Resultats - informe'!$D$29)*(C7821&lt;='Resultats - informe'!$E$29),0,1,1)</f>
        <v>0</v>
      </c>
      <c r="N7821" s="366">
        <f>+VLOOKUP(D7821,'Resultats - informe'!$Y$18:$AG$42,'Introducció dades consum'!K7821+1,0)</f>
        <v>0</v>
      </c>
      <c r="O7821" s="370" cm="1">
        <f t="array" ref="O7821">+_xlfn.SWITCH(MONTH(C7821),1,1,2,1,3,1,4,2,5,2,6,3,7,3,8,3,9,3,10,2,11,2,12,1,2)</f>
        <v>1</v>
      </c>
      <c r="P7821" s="43"/>
    </row>
    <row r="7822" spans="1:16" ht="18" x14ac:dyDescent="0.35">
      <c r="A7822" s="9"/>
      <c r="C7822" s="393"/>
      <c r="E7822" s="394"/>
      <c r="F7822" s="394"/>
      <c r="G7822" s="394"/>
      <c r="I7822" s="368">
        <f t="shared" si="369"/>
        <v>0</v>
      </c>
      <c r="J7822" s="365">
        <f t="shared" si="370"/>
        <v>0</v>
      </c>
      <c r="K7822" s="369">
        <f t="shared" si="371"/>
        <v>6</v>
      </c>
      <c r="L7822" s="369">
        <f>+IF((C7822&gt;='Resultats - informe'!$E$16)*(C7822&lt;='Resultats - informe'!$G$16),1,0)</f>
        <v>1</v>
      </c>
      <c r="M7822" s="369" cm="1">
        <f t="array" ref="M7822">+_xlfn.IFS((C7822&gt;='Resultats - informe'!$D$26)*(C7822&lt;='Resultats - informe'!$E$26),0,(C7822&gt;='Resultats - informe'!$D$27)*(C7822&lt;='Resultats - informe'!$E$27),0,(C7822&gt;='Resultats - informe'!$D$28)*(C7822&lt;='Resultats - informe'!$E$28),0,(C7822&gt;='Resultats - informe'!$D$29)*(C7822&lt;='Resultats - informe'!$E$29),0,1,1)</f>
        <v>0</v>
      </c>
      <c r="N7822" s="366">
        <f>+VLOOKUP(D7822,'Resultats - informe'!$Y$18:$AG$42,'Introducció dades consum'!K7822+1,0)</f>
        <v>0</v>
      </c>
      <c r="O7822" s="370" cm="1">
        <f t="array" ref="O7822">+_xlfn.SWITCH(MONTH(C7822),1,1,2,1,3,1,4,2,5,2,6,3,7,3,8,3,9,3,10,2,11,2,12,1,2)</f>
        <v>1</v>
      </c>
      <c r="P7822" s="43"/>
    </row>
    <row r="7823" spans="1:16" ht="18" x14ac:dyDescent="0.35">
      <c r="A7823" s="9"/>
      <c r="C7823" s="393"/>
      <c r="E7823" s="394"/>
      <c r="F7823" s="394"/>
      <c r="G7823" s="394"/>
      <c r="I7823" s="368">
        <f t="shared" si="369"/>
        <v>0</v>
      </c>
      <c r="J7823" s="365">
        <f t="shared" si="370"/>
        <v>0</v>
      </c>
      <c r="K7823" s="369">
        <f t="shared" si="371"/>
        <v>6</v>
      </c>
      <c r="L7823" s="369">
        <f>+IF((C7823&gt;='Resultats - informe'!$E$16)*(C7823&lt;='Resultats - informe'!$G$16),1,0)</f>
        <v>1</v>
      </c>
      <c r="M7823" s="369" cm="1">
        <f t="array" ref="M7823">+_xlfn.IFS((C7823&gt;='Resultats - informe'!$D$26)*(C7823&lt;='Resultats - informe'!$E$26),0,(C7823&gt;='Resultats - informe'!$D$27)*(C7823&lt;='Resultats - informe'!$E$27),0,(C7823&gt;='Resultats - informe'!$D$28)*(C7823&lt;='Resultats - informe'!$E$28),0,(C7823&gt;='Resultats - informe'!$D$29)*(C7823&lt;='Resultats - informe'!$E$29),0,1,1)</f>
        <v>0</v>
      </c>
      <c r="N7823" s="366">
        <f>+VLOOKUP(D7823,'Resultats - informe'!$Y$18:$AG$42,'Introducció dades consum'!K7823+1,0)</f>
        <v>0</v>
      </c>
      <c r="O7823" s="370" cm="1">
        <f t="array" ref="O7823">+_xlfn.SWITCH(MONTH(C7823),1,1,2,1,3,1,4,2,5,2,6,3,7,3,8,3,9,3,10,2,11,2,12,1,2)</f>
        <v>1</v>
      </c>
      <c r="P7823" s="43"/>
    </row>
    <row r="7824" spans="1:16" ht="18" x14ac:dyDescent="0.35">
      <c r="A7824" s="9"/>
      <c r="C7824" s="393"/>
      <c r="E7824" s="394"/>
      <c r="F7824" s="394"/>
      <c r="G7824" s="394"/>
      <c r="I7824" s="368">
        <f t="shared" si="369"/>
        <v>0</v>
      </c>
      <c r="J7824" s="365">
        <f t="shared" si="370"/>
        <v>0</v>
      </c>
      <c r="K7824" s="369">
        <f t="shared" si="371"/>
        <v>6</v>
      </c>
      <c r="L7824" s="369">
        <f>+IF((C7824&gt;='Resultats - informe'!$E$16)*(C7824&lt;='Resultats - informe'!$G$16),1,0)</f>
        <v>1</v>
      </c>
      <c r="M7824" s="369" cm="1">
        <f t="array" ref="M7824">+_xlfn.IFS((C7824&gt;='Resultats - informe'!$D$26)*(C7824&lt;='Resultats - informe'!$E$26),0,(C7824&gt;='Resultats - informe'!$D$27)*(C7824&lt;='Resultats - informe'!$E$27),0,(C7824&gt;='Resultats - informe'!$D$28)*(C7824&lt;='Resultats - informe'!$E$28),0,(C7824&gt;='Resultats - informe'!$D$29)*(C7824&lt;='Resultats - informe'!$E$29),0,1,1)</f>
        <v>0</v>
      </c>
      <c r="N7824" s="366">
        <f>+VLOOKUP(D7824,'Resultats - informe'!$Y$18:$AG$42,'Introducció dades consum'!K7824+1,0)</f>
        <v>0</v>
      </c>
      <c r="O7824" s="370" cm="1">
        <f t="array" ref="O7824">+_xlfn.SWITCH(MONTH(C7824),1,1,2,1,3,1,4,2,5,2,6,3,7,3,8,3,9,3,10,2,11,2,12,1,2)</f>
        <v>1</v>
      </c>
      <c r="P7824" s="43"/>
    </row>
    <row r="7825" spans="1:16" ht="18" x14ac:dyDescent="0.35">
      <c r="A7825" s="9"/>
      <c r="C7825" s="393"/>
      <c r="E7825" s="394"/>
      <c r="F7825" s="394"/>
      <c r="G7825" s="394"/>
      <c r="I7825" s="368">
        <f t="shared" si="369"/>
        <v>0</v>
      </c>
      <c r="J7825" s="365">
        <f t="shared" si="370"/>
        <v>0</v>
      </c>
      <c r="K7825" s="369">
        <f t="shared" si="371"/>
        <v>6</v>
      </c>
      <c r="L7825" s="369">
        <f>+IF((C7825&gt;='Resultats - informe'!$E$16)*(C7825&lt;='Resultats - informe'!$G$16),1,0)</f>
        <v>1</v>
      </c>
      <c r="M7825" s="369" cm="1">
        <f t="array" ref="M7825">+_xlfn.IFS((C7825&gt;='Resultats - informe'!$D$26)*(C7825&lt;='Resultats - informe'!$E$26),0,(C7825&gt;='Resultats - informe'!$D$27)*(C7825&lt;='Resultats - informe'!$E$27),0,(C7825&gt;='Resultats - informe'!$D$28)*(C7825&lt;='Resultats - informe'!$E$28),0,(C7825&gt;='Resultats - informe'!$D$29)*(C7825&lt;='Resultats - informe'!$E$29),0,1,1)</f>
        <v>0</v>
      </c>
      <c r="N7825" s="366">
        <f>+VLOOKUP(D7825,'Resultats - informe'!$Y$18:$AG$42,'Introducció dades consum'!K7825+1,0)</f>
        <v>0</v>
      </c>
      <c r="O7825" s="370" cm="1">
        <f t="array" ref="O7825">+_xlfn.SWITCH(MONTH(C7825),1,1,2,1,3,1,4,2,5,2,6,3,7,3,8,3,9,3,10,2,11,2,12,1,2)</f>
        <v>1</v>
      </c>
      <c r="P7825" s="43"/>
    </row>
    <row r="7826" spans="1:16" ht="18" x14ac:dyDescent="0.35">
      <c r="A7826" s="9"/>
      <c r="C7826" s="393"/>
      <c r="E7826" s="394"/>
      <c r="F7826" s="394"/>
      <c r="G7826" s="394"/>
      <c r="I7826" s="368">
        <f t="shared" ref="I7826:I7889" si="372">+E7826+G7826</f>
        <v>0</v>
      </c>
      <c r="J7826" s="365">
        <f t="shared" ref="J7826:J7889" si="373">+C7826</f>
        <v>0</v>
      </c>
      <c r="K7826" s="369">
        <f t="shared" ref="K7826:K7889" si="374">+WEEKDAY(C7826,2)</f>
        <v>6</v>
      </c>
      <c r="L7826" s="369">
        <f>+IF((C7826&gt;='Resultats - informe'!$E$16)*(C7826&lt;='Resultats - informe'!$G$16),1,0)</f>
        <v>1</v>
      </c>
      <c r="M7826" s="369" cm="1">
        <f t="array" ref="M7826">+_xlfn.IFS((C7826&gt;='Resultats - informe'!$D$26)*(C7826&lt;='Resultats - informe'!$E$26),0,(C7826&gt;='Resultats - informe'!$D$27)*(C7826&lt;='Resultats - informe'!$E$27),0,(C7826&gt;='Resultats - informe'!$D$28)*(C7826&lt;='Resultats - informe'!$E$28),0,(C7826&gt;='Resultats - informe'!$D$29)*(C7826&lt;='Resultats - informe'!$E$29),0,1,1)</f>
        <v>0</v>
      </c>
      <c r="N7826" s="366">
        <f>+VLOOKUP(D7826,'Resultats - informe'!$Y$18:$AG$42,'Introducció dades consum'!K7826+1,0)</f>
        <v>0</v>
      </c>
      <c r="O7826" s="370" cm="1">
        <f t="array" ref="O7826">+_xlfn.SWITCH(MONTH(C7826),1,1,2,1,3,1,4,2,5,2,6,3,7,3,8,3,9,3,10,2,11,2,12,1,2)</f>
        <v>1</v>
      </c>
      <c r="P7826" s="43"/>
    </row>
    <row r="7827" spans="1:16" ht="18" x14ac:dyDescent="0.35">
      <c r="A7827" s="9"/>
      <c r="C7827" s="393"/>
      <c r="E7827" s="394"/>
      <c r="F7827" s="394"/>
      <c r="G7827" s="394"/>
      <c r="I7827" s="368">
        <f t="shared" si="372"/>
        <v>0</v>
      </c>
      <c r="J7827" s="365">
        <f t="shared" si="373"/>
        <v>0</v>
      </c>
      <c r="K7827" s="369">
        <f t="shared" si="374"/>
        <v>6</v>
      </c>
      <c r="L7827" s="369">
        <f>+IF((C7827&gt;='Resultats - informe'!$E$16)*(C7827&lt;='Resultats - informe'!$G$16),1,0)</f>
        <v>1</v>
      </c>
      <c r="M7827" s="369" cm="1">
        <f t="array" ref="M7827">+_xlfn.IFS((C7827&gt;='Resultats - informe'!$D$26)*(C7827&lt;='Resultats - informe'!$E$26),0,(C7827&gt;='Resultats - informe'!$D$27)*(C7827&lt;='Resultats - informe'!$E$27),0,(C7827&gt;='Resultats - informe'!$D$28)*(C7827&lt;='Resultats - informe'!$E$28),0,(C7827&gt;='Resultats - informe'!$D$29)*(C7827&lt;='Resultats - informe'!$E$29),0,1,1)</f>
        <v>0</v>
      </c>
      <c r="N7827" s="366">
        <f>+VLOOKUP(D7827,'Resultats - informe'!$Y$18:$AG$42,'Introducció dades consum'!K7827+1,0)</f>
        <v>0</v>
      </c>
      <c r="O7827" s="370" cm="1">
        <f t="array" ref="O7827">+_xlfn.SWITCH(MONTH(C7827),1,1,2,1,3,1,4,2,5,2,6,3,7,3,8,3,9,3,10,2,11,2,12,1,2)</f>
        <v>1</v>
      </c>
      <c r="P7827" s="43"/>
    </row>
    <row r="7828" spans="1:16" ht="18" x14ac:dyDescent="0.35">
      <c r="A7828" s="9"/>
      <c r="C7828" s="393"/>
      <c r="E7828" s="394"/>
      <c r="F7828" s="394"/>
      <c r="G7828" s="394"/>
      <c r="I7828" s="368">
        <f t="shared" si="372"/>
        <v>0</v>
      </c>
      <c r="J7828" s="365">
        <f t="shared" si="373"/>
        <v>0</v>
      </c>
      <c r="K7828" s="369">
        <f t="shared" si="374"/>
        <v>6</v>
      </c>
      <c r="L7828" s="369">
        <f>+IF((C7828&gt;='Resultats - informe'!$E$16)*(C7828&lt;='Resultats - informe'!$G$16),1,0)</f>
        <v>1</v>
      </c>
      <c r="M7828" s="369" cm="1">
        <f t="array" ref="M7828">+_xlfn.IFS((C7828&gt;='Resultats - informe'!$D$26)*(C7828&lt;='Resultats - informe'!$E$26),0,(C7828&gt;='Resultats - informe'!$D$27)*(C7828&lt;='Resultats - informe'!$E$27),0,(C7828&gt;='Resultats - informe'!$D$28)*(C7828&lt;='Resultats - informe'!$E$28),0,(C7828&gt;='Resultats - informe'!$D$29)*(C7828&lt;='Resultats - informe'!$E$29),0,1,1)</f>
        <v>0</v>
      </c>
      <c r="N7828" s="366">
        <f>+VLOOKUP(D7828,'Resultats - informe'!$Y$18:$AG$42,'Introducció dades consum'!K7828+1,0)</f>
        <v>0</v>
      </c>
      <c r="O7828" s="370" cm="1">
        <f t="array" ref="O7828">+_xlfn.SWITCH(MONTH(C7828),1,1,2,1,3,1,4,2,5,2,6,3,7,3,8,3,9,3,10,2,11,2,12,1,2)</f>
        <v>1</v>
      </c>
      <c r="P7828" s="43"/>
    </row>
    <row r="7829" spans="1:16" ht="18" x14ac:dyDescent="0.35">
      <c r="A7829" s="9"/>
      <c r="C7829" s="393"/>
      <c r="E7829" s="394"/>
      <c r="F7829" s="394"/>
      <c r="G7829" s="394"/>
      <c r="I7829" s="368">
        <f t="shared" si="372"/>
        <v>0</v>
      </c>
      <c r="J7829" s="365">
        <f t="shared" si="373"/>
        <v>0</v>
      </c>
      <c r="K7829" s="369">
        <f t="shared" si="374"/>
        <v>6</v>
      </c>
      <c r="L7829" s="369">
        <f>+IF((C7829&gt;='Resultats - informe'!$E$16)*(C7829&lt;='Resultats - informe'!$G$16),1,0)</f>
        <v>1</v>
      </c>
      <c r="M7829" s="369" cm="1">
        <f t="array" ref="M7829">+_xlfn.IFS((C7829&gt;='Resultats - informe'!$D$26)*(C7829&lt;='Resultats - informe'!$E$26),0,(C7829&gt;='Resultats - informe'!$D$27)*(C7829&lt;='Resultats - informe'!$E$27),0,(C7829&gt;='Resultats - informe'!$D$28)*(C7829&lt;='Resultats - informe'!$E$28),0,(C7829&gt;='Resultats - informe'!$D$29)*(C7829&lt;='Resultats - informe'!$E$29),0,1,1)</f>
        <v>0</v>
      </c>
      <c r="N7829" s="366">
        <f>+VLOOKUP(D7829,'Resultats - informe'!$Y$18:$AG$42,'Introducció dades consum'!K7829+1,0)</f>
        <v>0</v>
      </c>
      <c r="O7829" s="370" cm="1">
        <f t="array" ref="O7829">+_xlfn.SWITCH(MONTH(C7829),1,1,2,1,3,1,4,2,5,2,6,3,7,3,8,3,9,3,10,2,11,2,12,1,2)</f>
        <v>1</v>
      </c>
      <c r="P7829" s="43"/>
    </row>
    <row r="7830" spans="1:16" ht="18" x14ac:dyDescent="0.35">
      <c r="A7830" s="9"/>
      <c r="C7830" s="393"/>
      <c r="E7830" s="394"/>
      <c r="F7830" s="394"/>
      <c r="G7830" s="394"/>
      <c r="I7830" s="368">
        <f t="shared" si="372"/>
        <v>0</v>
      </c>
      <c r="J7830" s="365">
        <f t="shared" si="373"/>
        <v>0</v>
      </c>
      <c r="K7830" s="369">
        <f t="shared" si="374"/>
        <v>6</v>
      </c>
      <c r="L7830" s="369">
        <f>+IF((C7830&gt;='Resultats - informe'!$E$16)*(C7830&lt;='Resultats - informe'!$G$16),1,0)</f>
        <v>1</v>
      </c>
      <c r="M7830" s="369" cm="1">
        <f t="array" ref="M7830">+_xlfn.IFS((C7830&gt;='Resultats - informe'!$D$26)*(C7830&lt;='Resultats - informe'!$E$26),0,(C7830&gt;='Resultats - informe'!$D$27)*(C7830&lt;='Resultats - informe'!$E$27),0,(C7830&gt;='Resultats - informe'!$D$28)*(C7830&lt;='Resultats - informe'!$E$28),0,(C7830&gt;='Resultats - informe'!$D$29)*(C7830&lt;='Resultats - informe'!$E$29),0,1,1)</f>
        <v>0</v>
      </c>
      <c r="N7830" s="366">
        <f>+VLOOKUP(D7830,'Resultats - informe'!$Y$18:$AG$42,'Introducció dades consum'!K7830+1,0)</f>
        <v>0</v>
      </c>
      <c r="O7830" s="370" cm="1">
        <f t="array" ref="O7830">+_xlfn.SWITCH(MONTH(C7830),1,1,2,1,3,1,4,2,5,2,6,3,7,3,8,3,9,3,10,2,11,2,12,1,2)</f>
        <v>1</v>
      </c>
      <c r="P7830" s="43"/>
    </row>
    <row r="7831" spans="1:16" ht="18" x14ac:dyDescent="0.35">
      <c r="A7831" s="9"/>
      <c r="C7831" s="393"/>
      <c r="E7831" s="394"/>
      <c r="F7831" s="394"/>
      <c r="G7831" s="394"/>
      <c r="I7831" s="368">
        <f t="shared" si="372"/>
        <v>0</v>
      </c>
      <c r="J7831" s="365">
        <f t="shared" si="373"/>
        <v>0</v>
      </c>
      <c r="K7831" s="369">
        <f t="shared" si="374"/>
        <v>6</v>
      </c>
      <c r="L7831" s="369">
        <f>+IF((C7831&gt;='Resultats - informe'!$E$16)*(C7831&lt;='Resultats - informe'!$G$16),1,0)</f>
        <v>1</v>
      </c>
      <c r="M7831" s="369" cm="1">
        <f t="array" ref="M7831">+_xlfn.IFS((C7831&gt;='Resultats - informe'!$D$26)*(C7831&lt;='Resultats - informe'!$E$26),0,(C7831&gt;='Resultats - informe'!$D$27)*(C7831&lt;='Resultats - informe'!$E$27),0,(C7831&gt;='Resultats - informe'!$D$28)*(C7831&lt;='Resultats - informe'!$E$28),0,(C7831&gt;='Resultats - informe'!$D$29)*(C7831&lt;='Resultats - informe'!$E$29),0,1,1)</f>
        <v>0</v>
      </c>
      <c r="N7831" s="366">
        <f>+VLOOKUP(D7831,'Resultats - informe'!$Y$18:$AG$42,'Introducció dades consum'!K7831+1,0)</f>
        <v>0</v>
      </c>
      <c r="O7831" s="370" cm="1">
        <f t="array" ref="O7831">+_xlfn.SWITCH(MONTH(C7831),1,1,2,1,3,1,4,2,5,2,6,3,7,3,8,3,9,3,10,2,11,2,12,1,2)</f>
        <v>1</v>
      </c>
      <c r="P7831" s="43"/>
    </row>
    <row r="7832" spans="1:16" ht="18" x14ac:dyDescent="0.35">
      <c r="A7832" s="9"/>
      <c r="C7832" s="393"/>
      <c r="E7832" s="394"/>
      <c r="F7832" s="394"/>
      <c r="G7832" s="394"/>
      <c r="I7832" s="368">
        <f t="shared" si="372"/>
        <v>0</v>
      </c>
      <c r="J7832" s="365">
        <f t="shared" si="373"/>
        <v>0</v>
      </c>
      <c r="K7832" s="369">
        <f t="shared" si="374"/>
        <v>6</v>
      </c>
      <c r="L7832" s="369">
        <f>+IF((C7832&gt;='Resultats - informe'!$E$16)*(C7832&lt;='Resultats - informe'!$G$16),1,0)</f>
        <v>1</v>
      </c>
      <c r="M7832" s="369" cm="1">
        <f t="array" ref="M7832">+_xlfn.IFS((C7832&gt;='Resultats - informe'!$D$26)*(C7832&lt;='Resultats - informe'!$E$26),0,(C7832&gt;='Resultats - informe'!$D$27)*(C7832&lt;='Resultats - informe'!$E$27),0,(C7832&gt;='Resultats - informe'!$D$28)*(C7832&lt;='Resultats - informe'!$E$28),0,(C7832&gt;='Resultats - informe'!$D$29)*(C7832&lt;='Resultats - informe'!$E$29),0,1,1)</f>
        <v>0</v>
      </c>
      <c r="N7832" s="366">
        <f>+VLOOKUP(D7832,'Resultats - informe'!$Y$18:$AG$42,'Introducció dades consum'!K7832+1,0)</f>
        <v>0</v>
      </c>
      <c r="O7832" s="370" cm="1">
        <f t="array" ref="O7832">+_xlfn.SWITCH(MONTH(C7832),1,1,2,1,3,1,4,2,5,2,6,3,7,3,8,3,9,3,10,2,11,2,12,1,2)</f>
        <v>1</v>
      </c>
      <c r="P7832" s="43"/>
    </row>
    <row r="7833" spans="1:16" ht="18" x14ac:dyDescent="0.35">
      <c r="A7833" s="9"/>
      <c r="C7833" s="393"/>
      <c r="E7833" s="394"/>
      <c r="F7833" s="394"/>
      <c r="G7833" s="394"/>
      <c r="I7833" s="368">
        <f t="shared" si="372"/>
        <v>0</v>
      </c>
      <c r="J7833" s="365">
        <f t="shared" si="373"/>
        <v>0</v>
      </c>
      <c r="K7833" s="369">
        <f t="shared" si="374"/>
        <v>6</v>
      </c>
      <c r="L7833" s="369">
        <f>+IF((C7833&gt;='Resultats - informe'!$E$16)*(C7833&lt;='Resultats - informe'!$G$16),1,0)</f>
        <v>1</v>
      </c>
      <c r="M7833" s="369" cm="1">
        <f t="array" ref="M7833">+_xlfn.IFS((C7833&gt;='Resultats - informe'!$D$26)*(C7833&lt;='Resultats - informe'!$E$26),0,(C7833&gt;='Resultats - informe'!$D$27)*(C7833&lt;='Resultats - informe'!$E$27),0,(C7833&gt;='Resultats - informe'!$D$28)*(C7833&lt;='Resultats - informe'!$E$28),0,(C7833&gt;='Resultats - informe'!$D$29)*(C7833&lt;='Resultats - informe'!$E$29),0,1,1)</f>
        <v>0</v>
      </c>
      <c r="N7833" s="366">
        <f>+VLOOKUP(D7833,'Resultats - informe'!$Y$18:$AG$42,'Introducció dades consum'!K7833+1,0)</f>
        <v>0</v>
      </c>
      <c r="O7833" s="370" cm="1">
        <f t="array" ref="O7833">+_xlfn.SWITCH(MONTH(C7833),1,1,2,1,3,1,4,2,5,2,6,3,7,3,8,3,9,3,10,2,11,2,12,1,2)</f>
        <v>1</v>
      </c>
      <c r="P7833" s="43"/>
    </row>
    <row r="7834" spans="1:16" ht="18" x14ac:dyDescent="0.35">
      <c r="A7834" s="9"/>
      <c r="C7834" s="393"/>
      <c r="E7834" s="394"/>
      <c r="F7834" s="394"/>
      <c r="G7834" s="394"/>
      <c r="I7834" s="368">
        <f t="shared" si="372"/>
        <v>0</v>
      </c>
      <c r="J7834" s="365">
        <f t="shared" si="373"/>
        <v>0</v>
      </c>
      <c r="K7834" s="369">
        <f t="shared" si="374"/>
        <v>6</v>
      </c>
      <c r="L7834" s="369">
        <f>+IF((C7834&gt;='Resultats - informe'!$E$16)*(C7834&lt;='Resultats - informe'!$G$16),1,0)</f>
        <v>1</v>
      </c>
      <c r="M7834" s="369" cm="1">
        <f t="array" ref="M7834">+_xlfn.IFS((C7834&gt;='Resultats - informe'!$D$26)*(C7834&lt;='Resultats - informe'!$E$26),0,(C7834&gt;='Resultats - informe'!$D$27)*(C7834&lt;='Resultats - informe'!$E$27),0,(C7834&gt;='Resultats - informe'!$D$28)*(C7834&lt;='Resultats - informe'!$E$28),0,(C7834&gt;='Resultats - informe'!$D$29)*(C7834&lt;='Resultats - informe'!$E$29),0,1,1)</f>
        <v>0</v>
      </c>
      <c r="N7834" s="366">
        <f>+VLOOKUP(D7834,'Resultats - informe'!$Y$18:$AG$42,'Introducció dades consum'!K7834+1,0)</f>
        <v>0</v>
      </c>
      <c r="O7834" s="370" cm="1">
        <f t="array" ref="O7834">+_xlfn.SWITCH(MONTH(C7834),1,1,2,1,3,1,4,2,5,2,6,3,7,3,8,3,9,3,10,2,11,2,12,1,2)</f>
        <v>1</v>
      </c>
      <c r="P7834" s="43"/>
    </row>
    <row r="7835" spans="1:16" ht="18" x14ac:dyDescent="0.35">
      <c r="A7835" s="9"/>
      <c r="C7835" s="393"/>
      <c r="E7835" s="394"/>
      <c r="F7835" s="394"/>
      <c r="G7835" s="394"/>
      <c r="I7835" s="368">
        <f t="shared" si="372"/>
        <v>0</v>
      </c>
      <c r="J7835" s="365">
        <f t="shared" si="373"/>
        <v>0</v>
      </c>
      <c r="K7835" s="369">
        <f t="shared" si="374"/>
        <v>6</v>
      </c>
      <c r="L7835" s="369">
        <f>+IF((C7835&gt;='Resultats - informe'!$E$16)*(C7835&lt;='Resultats - informe'!$G$16),1,0)</f>
        <v>1</v>
      </c>
      <c r="M7835" s="369" cm="1">
        <f t="array" ref="M7835">+_xlfn.IFS((C7835&gt;='Resultats - informe'!$D$26)*(C7835&lt;='Resultats - informe'!$E$26),0,(C7835&gt;='Resultats - informe'!$D$27)*(C7835&lt;='Resultats - informe'!$E$27),0,(C7835&gt;='Resultats - informe'!$D$28)*(C7835&lt;='Resultats - informe'!$E$28),0,(C7835&gt;='Resultats - informe'!$D$29)*(C7835&lt;='Resultats - informe'!$E$29),0,1,1)</f>
        <v>0</v>
      </c>
      <c r="N7835" s="366">
        <f>+VLOOKUP(D7835,'Resultats - informe'!$Y$18:$AG$42,'Introducció dades consum'!K7835+1,0)</f>
        <v>0</v>
      </c>
      <c r="O7835" s="370" cm="1">
        <f t="array" ref="O7835">+_xlfn.SWITCH(MONTH(C7835),1,1,2,1,3,1,4,2,5,2,6,3,7,3,8,3,9,3,10,2,11,2,12,1,2)</f>
        <v>1</v>
      </c>
      <c r="P7835" s="43"/>
    </row>
    <row r="7836" spans="1:16" ht="18" x14ac:dyDescent="0.35">
      <c r="A7836" s="9"/>
      <c r="C7836" s="393"/>
      <c r="E7836" s="394"/>
      <c r="F7836" s="394"/>
      <c r="G7836" s="394"/>
      <c r="I7836" s="368">
        <f t="shared" si="372"/>
        <v>0</v>
      </c>
      <c r="J7836" s="365">
        <f t="shared" si="373"/>
        <v>0</v>
      </c>
      <c r="K7836" s="369">
        <f t="shared" si="374"/>
        <v>6</v>
      </c>
      <c r="L7836" s="369">
        <f>+IF((C7836&gt;='Resultats - informe'!$E$16)*(C7836&lt;='Resultats - informe'!$G$16),1,0)</f>
        <v>1</v>
      </c>
      <c r="M7836" s="369" cm="1">
        <f t="array" ref="M7836">+_xlfn.IFS((C7836&gt;='Resultats - informe'!$D$26)*(C7836&lt;='Resultats - informe'!$E$26),0,(C7836&gt;='Resultats - informe'!$D$27)*(C7836&lt;='Resultats - informe'!$E$27),0,(C7836&gt;='Resultats - informe'!$D$28)*(C7836&lt;='Resultats - informe'!$E$28),0,(C7836&gt;='Resultats - informe'!$D$29)*(C7836&lt;='Resultats - informe'!$E$29),0,1,1)</f>
        <v>0</v>
      </c>
      <c r="N7836" s="366">
        <f>+VLOOKUP(D7836,'Resultats - informe'!$Y$18:$AG$42,'Introducció dades consum'!K7836+1,0)</f>
        <v>0</v>
      </c>
      <c r="O7836" s="370" cm="1">
        <f t="array" ref="O7836">+_xlfn.SWITCH(MONTH(C7836),1,1,2,1,3,1,4,2,5,2,6,3,7,3,8,3,9,3,10,2,11,2,12,1,2)</f>
        <v>1</v>
      </c>
      <c r="P7836" s="43"/>
    </row>
    <row r="7837" spans="1:16" ht="18" x14ac:dyDescent="0.35">
      <c r="A7837" s="9"/>
      <c r="C7837" s="393"/>
      <c r="E7837" s="394"/>
      <c r="F7837" s="394"/>
      <c r="G7837" s="394"/>
      <c r="I7837" s="368">
        <f t="shared" si="372"/>
        <v>0</v>
      </c>
      <c r="J7837" s="365">
        <f t="shared" si="373"/>
        <v>0</v>
      </c>
      <c r="K7837" s="369">
        <f t="shared" si="374"/>
        <v>6</v>
      </c>
      <c r="L7837" s="369">
        <f>+IF((C7837&gt;='Resultats - informe'!$E$16)*(C7837&lt;='Resultats - informe'!$G$16),1,0)</f>
        <v>1</v>
      </c>
      <c r="M7837" s="369" cm="1">
        <f t="array" ref="M7837">+_xlfn.IFS((C7837&gt;='Resultats - informe'!$D$26)*(C7837&lt;='Resultats - informe'!$E$26),0,(C7837&gt;='Resultats - informe'!$D$27)*(C7837&lt;='Resultats - informe'!$E$27),0,(C7837&gt;='Resultats - informe'!$D$28)*(C7837&lt;='Resultats - informe'!$E$28),0,(C7837&gt;='Resultats - informe'!$D$29)*(C7837&lt;='Resultats - informe'!$E$29),0,1,1)</f>
        <v>0</v>
      </c>
      <c r="N7837" s="366">
        <f>+VLOOKUP(D7837,'Resultats - informe'!$Y$18:$AG$42,'Introducció dades consum'!K7837+1,0)</f>
        <v>0</v>
      </c>
      <c r="O7837" s="370" cm="1">
        <f t="array" ref="O7837">+_xlfn.SWITCH(MONTH(C7837),1,1,2,1,3,1,4,2,5,2,6,3,7,3,8,3,9,3,10,2,11,2,12,1,2)</f>
        <v>1</v>
      </c>
      <c r="P7837" s="43"/>
    </row>
    <row r="7838" spans="1:16" ht="18" x14ac:dyDescent="0.35">
      <c r="A7838" s="9"/>
      <c r="C7838" s="393"/>
      <c r="E7838" s="394"/>
      <c r="F7838" s="394"/>
      <c r="G7838" s="394"/>
      <c r="I7838" s="368">
        <f t="shared" si="372"/>
        <v>0</v>
      </c>
      <c r="J7838" s="365">
        <f t="shared" si="373"/>
        <v>0</v>
      </c>
      <c r="K7838" s="369">
        <f t="shared" si="374"/>
        <v>6</v>
      </c>
      <c r="L7838" s="369">
        <f>+IF((C7838&gt;='Resultats - informe'!$E$16)*(C7838&lt;='Resultats - informe'!$G$16),1,0)</f>
        <v>1</v>
      </c>
      <c r="M7838" s="369" cm="1">
        <f t="array" ref="M7838">+_xlfn.IFS((C7838&gt;='Resultats - informe'!$D$26)*(C7838&lt;='Resultats - informe'!$E$26),0,(C7838&gt;='Resultats - informe'!$D$27)*(C7838&lt;='Resultats - informe'!$E$27),0,(C7838&gt;='Resultats - informe'!$D$28)*(C7838&lt;='Resultats - informe'!$E$28),0,(C7838&gt;='Resultats - informe'!$D$29)*(C7838&lt;='Resultats - informe'!$E$29),0,1,1)</f>
        <v>0</v>
      </c>
      <c r="N7838" s="366">
        <f>+VLOOKUP(D7838,'Resultats - informe'!$Y$18:$AG$42,'Introducció dades consum'!K7838+1,0)</f>
        <v>0</v>
      </c>
      <c r="O7838" s="370" cm="1">
        <f t="array" ref="O7838">+_xlfn.SWITCH(MONTH(C7838),1,1,2,1,3,1,4,2,5,2,6,3,7,3,8,3,9,3,10,2,11,2,12,1,2)</f>
        <v>1</v>
      </c>
      <c r="P7838" s="43"/>
    </row>
    <row r="7839" spans="1:16" ht="18" x14ac:dyDescent="0.35">
      <c r="A7839" s="9"/>
      <c r="C7839" s="393"/>
      <c r="E7839" s="394"/>
      <c r="F7839" s="394"/>
      <c r="G7839" s="394"/>
      <c r="I7839" s="368">
        <f t="shared" si="372"/>
        <v>0</v>
      </c>
      <c r="J7839" s="365">
        <f t="shared" si="373"/>
        <v>0</v>
      </c>
      <c r="K7839" s="369">
        <f t="shared" si="374"/>
        <v>6</v>
      </c>
      <c r="L7839" s="369">
        <f>+IF((C7839&gt;='Resultats - informe'!$E$16)*(C7839&lt;='Resultats - informe'!$G$16),1,0)</f>
        <v>1</v>
      </c>
      <c r="M7839" s="369" cm="1">
        <f t="array" ref="M7839">+_xlfn.IFS((C7839&gt;='Resultats - informe'!$D$26)*(C7839&lt;='Resultats - informe'!$E$26),0,(C7839&gt;='Resultats - informe'!$D$27)*(C7839&lt;='Resultats - informe'!$E$27),0,(C7839&gt;='Resultats - informe'!$D$28)*(C7839&lt;='Resultats - informe'!$E$28),0,(C7839&gt;='Resultats - informe'!$D$29)*(C7839&lt;='Resultats - informe'!$E$29),0,1,1)</f>
        <v>0</v>
      </c>
      <c r="N7839" s="366">
        <f>+VLOOKUP(D7839,'Resultats - informe'!$Y$18:$AG$42,'Introducció dades consum'!K7839+1,0)</f>
        <v>0</v>
      </c>
      <c r="O7839" s="370" cm="1">
        <f t="array" ref="O7839">+_xlfn.SWITCH(MONTH(C7839),1,1,2,1,3,1,4,2,5,2,6,3,7,3,8,3,9,3,10,2,11,2,12,1,2)</f>
        <v>1</v>
      </c>
      <c r="P7839" s="43"/>
    </row>
    <row r="7840" spans="1:16" ht="18" x14ac:dyDescent="0.35">
      <c r="A7840" s="9"/>
      <c r="C7840" s="393"/>
      <c r="E7840" s="394"/>
      <c r="F7840" s="394"/>
      <c r="G7840" s="394"/>
      <c r="I7840" s="368">
        <f t="shared" si="372"/>
        <v>0</v>
      </c>
      <c r="J7840" s="365">
        <f t="shared" si="373"/>
        <v>0</v>
      </c>
      <c r="K7840" s="369">
        <f t="shared" si="374"/>
        <v>6</v>
      </c>
      <c r="L7840" s="369">
        <f>+IF((C7840&gt;='Resultats - informe'!$E$16)*(C7840&lt;='Resultats - informe'!$G$16),1,0)</f>
        <v>1</v>
      </c>
      <c r="M7840" s="369" cm="1">
        <f t="array" ref="M7840">+_xlfn.IFS((C7840&gt;='Resultats - informe'!$D$26)*(C7840&lt;='Resultats - informe'!$E$26),0,(C7840&gt;='Resultats - informe'!$D$27)*(C7840&lt;='Resultats - informe'!$E$27),0,(C7840&gt;='Resultats - informe'!$D$28)*(C7840&lt;='Resultats - informe'!$E$28),0,(C7840&gt;='Resultats - informe'!$D$29)*(C7840&lt;='Resultats - informe'!$E$29),0,1,1)</f>
        <v>0</v>
      </c>
      <c r="N7840" s="366">
        <f>+VLOOKUP(D7840,'Resultats - informe'!$Y$18:$AG$42,'Introducció dades consum'!K7840+1,0)</f>
        <v>0</v>
      </c>
      <c r="O7840" s="370" cm="1">
        <f t="array" ref="O7840">+_xlfn.SWITCH(MONTH(C7840),1,1,2,1,3,1,4,2,5,2,6,3,7,3,8,3,9,3,10,2,11,2,12,1,2)</f>
        <v>1</v>
      </c>
      <c r="P7840" s="43"/>
    </row>
    <row r="7841" spans="1:16" ht="18" x14ac:dyDescent="0.35">
      <c r="A7841" s="9"/>
      <c r="C7841" s="393"/>
      <c r="E7841" s="394"/>
      <c r="F7841" s="394"/>
      <c r="G7841" s="394"/>
      <c r="I7841" s="368">
        <f t="shared" si="372"/>
        <v>0</v>
      </c>
      <c r="J7841" s="365">
        <f t="shared" si="373"/>
        <v>0</v>
      </c>
      <c r="K7841" s="369">
        <f t="shared" si="374"/>
        <v>6</v>
      </c>
      <c r="L7841" s="369">
        <f>+IF((C7841&gt;='Resultats - informe'!$E$16)*(C7841&lt;='Resultats - informe'!$G$16),1,0)</f>
        <v>1</v>
      </c>
      <c r="M7841" s="369" cm="1">
        <f t="array" ref="M7841">+_xlfn.IFS((C7841&gt;='Resultats - informe'!$D$26)*(C7841&lt;='Resultats - informe'!$E$26),0,(C7841&gt;='Resultats - informe'!$D$27)*(C7841&lt;='Resultats - informe'!$E$27),0,(C7841&gt;='Resultats - informe'!$D$28)*(C7841&lt;='Resultats - informe'!$E$28),0,(C7841&gt;='Resultats - informe'!$D$29)*(C7841&lt;='Resultats - informe'!$E$29),0,1,1)</f>
        <v>0</v>
      </c>
      <c r="N7841" s="366">
        <f>+VLOOKUP(D7841,'Resultats - informe'!$Y$18:$AG$42,'Introducció dades consum'!K7841+1,0)</f>
        <v>0</v>
      </c>
      <c r="O7841" s="370" cm="1">
        <f t="array" ref="O7841">+_xlfn.SWITCH(MONTH(C7841),1,1,2,1,3,1,4,2,5,2,6,3,7,3,8,3,9,3,10,2,11,2,12,1,2)</f>
        <v>1</v>
      </c>
      <c r="P7841" s="43"/>
    </row>
    <row r="7842" spans="1:16" ht="18" x14ac:dyDescent="0.35">
      <c r="A7842" s="9"/>
      <c r="C7842" s="393"/>
      <c r="E7842" s="394"/>
      <c r="F7842" s="394"/>
      <c r="G7842" s="394"/>
      <c r="I7842" s="368">
        <f t="shared" si="372"/>
        <v>0</v>
      </c>
      <c r="J7842" s="365">
        <f t="shared" si="373"/>
        <v>0</v>
      </c>
      <c r="K7842" s="369">
        <f t="shared" si="374"/>
        <v>6</v>
      </c>
      <c r="L7842" s="369">
        <f>+IF((C7842&gt;='Resultats - informe'!$E$16)*(C7842&lt;='Resultats - informe'!$G$16),1,0)</f>
        <v>1</v>
      </c>
      <c r="M7842" s="369" cm="1">
        <f t="array" ref="M7842">+_xlfn.IFS((C7842&gt;='Resultats - informe'!$D$26)*(C7842&lt;='Resultats - informe'!$E$26),0,(C7842&gt;='Resultats - informe'!$D$27)*(C7842&lt;='Resultats - informe'!$E$27),0,(C7842&gt;='Resultats - informe'!$D$28)*(C7842&lt;='Resultats - informe'!$E$28),0,(C7842&gt;='Resultats - informe'!$D$29)*(C7842&lt;='Resultats - informe'!$E$29),0,1,1)</f>
        <v>0</v>
      </c>
      <c r="N7842" s="366">
        <f>+VLOOKUP(D7842,'Resultats - informe'!$Y$18:$AG$42,'Introducció dades consum'!K7842+1,0)</f>
        <v>0</v>
      </c>
      <c r="O7842" s="370" cm="1">
        <f t="array" ref="O7842">+_xlfn.SWITCH(MONTH(C7842),1,1,2,1,3,1,4,2,5,2,6,3,7,3,8,3,9,3,10,2,11,2,12,1,2)</f>
        <v>1</v>
      </c>
      <c r="P7842" s="43"/>
    </row>
    <row r="7843" spans="1:16" ht="18" x14ac:dyDescent="0.35">
      <c r="A7843" s="9"/>
      <c r="C7843" s="393"/>
      <c r="E7843" s="394"/>
      <c r="F7843" s="394"/>
      <c r="G7843" s="394"/>
      <c r="I7843" s="368">
        <f t="shared" si="372"/>
        <v>0</v>
      </c>
      <c r="J7843" s="365">
        <f t="shared" si="373"/>
        <v>0</v>
      </c>
      <c r="K7843" s="369">
        <f t="shared" si="374"/>
        <v>6</v>
      </c>
      <c r="L7843" s="369">
        <f>+IF((C7843&gt;='Resultats - informe'!$E$16)*(C7843&lt;='Resultats - informe'!$G$16),1,0)</f>
        <v>1</v>
      </c>
      <c r="M7843" s="369" cm="1">
        <f t="array" ref="M7843">+_xlfn.IFS((C7843&gt;='Resultats - informe'!$D$26)*(C7843&lt;='Resultats - informe'!$E$26),0,(C7843&gt;='Resultats - informe'!$D$27)*(C7843&lt;='Resultats - informe'!$E$27),0,(C7843&gt;='Resultats - informe'!$D$28)*(C7843&lt;='Resultats - informe'!$E$28),0,(C7843&gt;='Resultats - informe'!$D$29)*(C7843&lt;='Resultats - informe'!$E$29),0,1,1)</f>
        <v>0</v>
      </c>
      <c r="N7843" s="366">
        <f>+VLOOKUP(D7843,'Resultats - informe'!$Y$18:$AG$42,'Introducció dades consum'!K7843+1,0)</f>
        <v>0</v>
      </c>
      <c r="O7843" s="370" cm="1">
        <f t="array" ref="O7843">+_xlfn.SWITCH(MONTH(C7843),1,1,2,1,3,1,4,2,5,2,6,3,7,3,8,3,9,3,10,2,11,2,12,1,2)</f>
        <v>1</v>
      </c>
      <c r="P7843" s="43"/>
    </row>
    <row r="7844" spans="1:16" ht="18" x14ac:dyDescent="0.35">
      <c r="A7844" s="9"/>
      <c r="C7844" s="393"/>
      <c r="E7844" s="394"/>
      <c r="F7844" s="394"/>
      <c r="G7844" s="394"/>
      <c r="I7844" s="368">
        <f t="shared" si="372"/>
        <v>0</v>
      </c>
      <c r="J7844" s="365">
        <f t="shared" si="373"/>
        <v>0</v>
      </c>
      <c r="K7844" s="369">
        <f t="shared" si="374"/>
        <v>6</v>
      </c>
      <c r="L7844" s="369">
        <f>+IF((C7844&gt;='Resultats - informe'!$E$16)*(C7844&lt;='Resultats - informe'!$G$16),1,0)</f>
        <v>1</v>
      </c>
      <c r="M7844" s="369" cm="1">
        <f t="array" ref="M7844">+_xlfn.IFS((C7844&gt;='Resultats - informe'!$D$26)*(C7844&lt;='Resultats - informe'!$E$26),0,(C7844&gt;='Resultats - informe'!$D$27)*(C7844&lt;='Resultats - informe'!$E$27),0,(C7844&gt;='Resultats - informe'!$D$28)*(C7844&lt;='Resultats - informe'!$E$28),0,(C7844&gt;='Resultats - informe'!$D$29)*(C7844&lt;='Resultats - informe'!$E$29),0,1,1)</f>
        <v>0</v>
      </c>
      <c r="N7844" s="366">
        <f>+VLOOKUP(D7844,'Resultats - informe'!$Y$18:$AG$42,'Introducció dades consum'!K7844+1,0)</f>
        <v>0</v>
      </c>
      <c r="O7844" s="370" cm="1">
        <f t="array" ref="O7844">+_xlfn.SWITCH(MONTH(C7844),1,1,2,1,3,1,4,2,5,2,6,3,7,3,8,3,9,3,10,2,11,2,12,1,2)</f>
        <v>1</v>
      </c>
      <c r="P7844" s="43"/>
    </row>
    <row r="7845" spans="1:16" ht="18" x14ac:dyDescent="0.35">
      <c r="A7845" s="9"/>
      <c r="C7845" s="393"/>
      <c r="E7845" s="394"/>
      <c r="F7845" s="394"/>
      <c r="G7845" s="394"/>
      <c r="I7845" s="368">
        <f t="shared" si="372"/>
        <v>0</v>
      </c>
      <c r="J7845" s="365">
        <f t="shared" si="373"/>
        <v>0</v>
      </c>
      <c r="K7845" s="369">
        <f t="shared" si="374"/>
        <v>6</v>
      </c>
      <c r="L7845" s="369">
        <f>+IF((C7845&gt;='Resultats - informe'!$E$16)*(C7845&lt;='Resultats - informe'!$G$16),1,0)</f>
        <v>1</v>
      </c>
      <c r="M7845" s="369" cm="1">
        <f t="array" ref="M7845">+_xlfn.IFS((C7845&gt;='Resultats - informe'!$D$26)*(C7845&lt;='Resultats - informe'!$E$26),0,(C7845&gt;='Resultats - informe'!$D$27)*(C7845&lt;='Resultats - informe'!$E$27),0,(C7845&gt;='Resultats - informe'!$D$28)*(C7845&lt;='Resultats - informe'!$E$28),0,(C7845&gt;='Resultats - informe'!$D$29)*(C7845&lt;='Resultats - informe'!$E$29),0,1,1)</f>
        <v>0</v>
      </c>
      <c r="N7845" s="366">
        <f>+VLOOKUP(D7845,'Resultats - informe'!$Y$18:$AG$42,'Introducció dades consum'!K7845+1,0)</f>
        <v>0</v>
      </c>
      <c r="O7845" s="370" cm="1">
        <f t="array" ref="O7845">+_xlfn.SWITCH(MONTH(C7845),1,1,2,1,3,1,4,2,5,2,6,3,7,3,8,3,9,3,10,2,11,2,12,1,2)</f>
        <v>1</v>
      </c>
      <c r="P7845" s="43"/>
    </row>
    <row r="7846" spans="1:16" ht="18" x14ac:dyDescent="0.35">
      <c r="A7846" s="9"/>
      <c r="C7846" s="393"/>
      <c r="E7846" s="394"/>
      <c r="F7846" s="394"/>
      <c r="G7846" s="394"/>
      <c r="I7846" s="368">
        <f t="shared" si="372"/>
        <v>0</v>
      </c>
      <c r="J7846" s="365">
        <f t="shared" si="373"/>
        <v>0</v>
      </c>
      <c r="K7846" s="369">
        <f t="shared" si="374"/>
        <v>6</v>
      </c>
      <c r="L7846" s="369">
        <f>+IF((C7846&gt;='Resultats - informe'!$E$16)*(C7846&lt;='Resultats - informe'!$G$16),1,0)</f>
        <v>1</v>
      </c>
      <c r="M7846" s="369" cm="1">
        <f t="array" ref="M7846">+_xlfn.IFS((C7846&gt;='Resultats - informe'!$D$26)*(C7846&lt;='Resultats - informe'!$E$26),0,(C7846&gt;='Resultats - informe'!$D$27)*(C7846&lt;='Resultats - informe'!$E$27),0,(C7846&gt;='Resultats - informe'!$D$28)*(C7846&lt;='Resultats - informe'!$E$28),0,(C7846&gt;='Resultats - informe'!$D$29)*(C7846&lt;='Resultats - informe'!$E$29),0,1,1)</f>
        <v>0</v>
      </c>
      <c r="N7846" s="366">
        <f>+VLOOKUP(D7846,'Resultats - informe'!$Y$18:$AG$42,'Introducció dades consum'!K7846+1,0)</f>
        <v>0</v>
      </c>
      <c r="O7846" s="370" cm="1">
        <f t="array" ref="O7846">+_xlfn.SWITCH(MONTH(C7846),1,1,2,1,3,1,4,2,5,2,6,3,7,3,8,3,9,3,10,2,11,2,12,1,2)</f>
        <v>1</v>
      </c>
      <c r="P7846" s="43"/>
    </row>
    <row r="7847" spans="1:16" ht="18" x14ac:dyDescent="0.35">
      <c r="A7847" s="9"/>
      <c r="C7847" s="393"/>
      <c r="E7847" s="394"/>
      <c r="F7847" s="394"/>
      <c r="G7847" s="394"/>
      <c r="I7847" s="368">
        <f t="shared" si="372"/>
        <v>0</v>
      </c>
      <c r="J7847" s="365">
        <f t="shared" si="373"/>
        <v>0</v>
      </c>
      <c r="K7847" s="369">
        <f t="shared" si="374"/>
        <v>6</v>
      </c>
      <c r="L7847" s="369">
        <f>+IF((C7847&gt;='Resultats - informe'!$E$16)*(C7847&lt;='Resultats - informe'!$G$16),1,0)</f>
        <v>1</v>
      </c>
      <c r="M7847" s="369" cm="1">
        <f t="array" ref="M7847">+_xlfn.IFS((C7847&gt;='Resultats - informe'!$D$26)*(C7847&lt;='Resultats - informe'!$E$26),0,(C7847&gt;='Resultats - informe'!$D$27)*(C7847&lt;='Resultats - informe'!$E$27),0,(C7847&gt;='Resultats - informe'!$D$28)*(C7847&lt;='Resultats - informe'!$E$28),0,(C7847&gt;='Resultats - informe'!$D$29)*(C7847&lt;='Resultats - informe'!$E$29),0,1,1)</f>
        <v>0</v>
      </c>
      <c r="N7847" s="366">
        <f>+VLOOKUP(D7847,'Resultats - informe'!$Y$18:$AG$42,'Introducció dades consum'!K7847+1,0)</f>
        <v>0</v>
      </c>
      <c r="O7847" s="370" cm="1">
        <f t="array" ref="O7847">+_xlfn.SWITCH(MONTH(C7847),1,1,2,1,3,1,4,2,5,2,6,3,7,3,8,3,9,3,10,2,11,2,12,1,2)</f>
        <v>1</v>
      </c>
      <c r="P7847" s="43"/>
    </row>
    <row r="7848" spans="1:16" ht="18" x14ac:dyDescent="0.35">
      <c r="A7848" s="9"/>
      <c r="C7848" s="393"/>
      <c r="E7848" s="394"/>
      <c r="F7848" s="394"/>
      <c r="G7848" s="394"/>
      <c r="I7848" s="368">
        <f t="shared" si="372"/>
        <v>0</v>
      </c>
      <c r="J7848" s="365">
        <f t="shared" si="373"/>
        <v>0</v>
      </c>
      <c r="K7848" s="369">
        <f t="shared" si="374"/>
        <v>6</v>
      </c>
      <c r="L7848" s="369">
        <f>+IF((C7848&gt;='Resultats - informe'!$E$16)*(C7848&lt;='Resultats - informe'!$G$16),1,0)</f>
        <v>1</v>
      </c>
      <c r="M7848" s="369" cm="1">
        <f t="array" ref="M7848">+_xlfn.IFS((C7848&gt;='Resultats - informe'!$D$26)*(C7848&lt;='Resultats - informe'!$E$26),0,(C7848&gt;='Resultats - informe'!$D$27)*(C7848&lt;='Resultats - informe'!$E$27),0,(C7848&gt;='Resultats - informe'!$D$28)*(C7848&lt;='Resultats - informe'!$E$28),0,(C7848&gt;='Resultats - informe'!$D$29)*(C7848&lt;='Resultats - informe'!$E$29),0,1,1)</f>
        <v>0</v>
      </c>
      <c r="N7848" s="366">
        <f>+VLOOKUP(D7848,'Resultats - informe'!$Y$18:$AG$42,'Introducció dades consum'!K7848+1,0)</f>
        <v>0</v>
      </c>
      <c r="O7848" s="370" cm="1">
        <f t="array" ref="O7848">+_xlfn.SWITCH(MONTH(C7848),1,1,2,1,3,1,4,2,5,2,6,3,7,3,8,3,9,3,10,2,11,2,12,1,2)</f>
        <v>1</v>
      </c>
      <c r="P7848" s="43"/>
    </row>
    <row r="7849" spans="1:16" ht="18" x14ac:dyDescent="0.35">
      <c r="A7849" s="9"/>
      <c r="C7849" s="393"/>
      <c r="E7849" s="394"/>
      <c r="F7849" s="394"/>
      <c r="G7849" s="394"/>
      <c r="I7849" s="368">
        <f t="shared" si="372"/>
        <v>0</v>
      </c>
      <c r="J7849" s="365">
        <f t="shared" si="373"/>
        <v>0</v>
      </c>
      <c r="K7849" s="369">
        <f t="shared" si="374"/>
        <v>6</v>
      </c>
      <c r="L7849" s="369">
        <f>+IF((C7849&gt;='Resultats - informe'!$E$16)*(C7849&lt;='Resultats - informe'!$G$16),1,0)</f>
        <v>1</v>
      </c>
      <c r="M7849" s="369" cm="1">
        <f t="array" ref="M7849">+_xlfn.IFS((C7849&gt;='Resultats - informe'!$D$26)*(C7849&lt;='Resultats - informe'!$E$26),0,(C7849&gt;='Resultats - informe'!$D$27)*(C7849&lt;='Resultats - informe'!$E$27),0,(C7849&gt;='Resultats - informe'!$D$28)*(C7849&lt;='Resultats - informe'!$E$28),0,(C7849&gt;='Resultats - informe'!$D$29)*(C7849&lt;='Resultats - informe'!$E$29),0,1,1)</f>
        <v>0</v>
      </c>
      <c r="N7849" s="366">
        <f>+VLOOKUP(D7849,'Resultats - informe'!$Y$18:$AG$42,'Introducció dades consum'!K7849+1,0)</f>
        <v>0</v>
      </c>
      <c r="O7849" s="370" cm="1">
        <f t="array" ref="O7849">+_xlfn.SWITCH(MONTH(C7849),1,1,2,1,3,1,4,2,5,2,6,3,7,3,8,3,9,3,10,2,11,2,12,1,2)</f>
        <v>1</v>
      </c>
      <c r="P7849" s="43"/>
    </row>
    <row r="7850" spans="1:16" ht="18" x14ac:dyDescent="0.35">
      <c r="A7850" s="9"/>
      <c r="C7850" s="393"/>
      <c r="E7850" s="394"/>
      <c r="F7850" s="394"/>
      <c r="G7850" s="394"/>
      <c r="I7850" s="368">
        <f t="shared" si="372"/>
        <v>0</v>
      </c>
      <c r="J7850" s="365">
        <f t="shared" si="373"/>
        <v>0</v>
      </c>
      <c r="K7850" s="369">
        <f t="shared" si="374"/>
        <v>6</v>
      </c>
      <c r="L7850" s="369">
        <f>+IF((C7850&gt;='Resultats - informe'!$E$16)*(C7850&lt;='Resultats - informe'!$G$16),1,0)</f>
        <v>1</v>
      </c>
      <c r="M7850" s="369" cm="1">
        <f t="array" ref="M7850">+_xlfn.IFS((C7850&gt;='Resultats - informe'!$D$26)*(C7850&lt;='Resultats - informe'!$E$26),0,(C7850&gt;='Resultats - informe'!$D$27)*(C7850&lt;='Resultats - informe'!$E$27),0,(C7850&gt;='Resultats - informe'!$D$28)*(C7850&lt;='Resultats - informe'!$E$28),0,(C7850&gt;='Resultats - informe'!$D$29)*(C7850&lt;='Resultats - informe'!$E$29),0,1,1)</f>
        <v>0</v>
      </c>
      <c r="N7850" s="366">
        <f>+VLOOKUP(D7850,'Resultats - informe'!$Y$18:$AG$42,'Introducció dades consum'!K7850+1,0)</f>
        <v>0</v>
      </c>
      <c r="O7850" s="370" cm="1">
        <f t="array" ref="O7850">+_xlfn.SWITCH(MONTH(C7850),1,1,2,1,3,1,4,2,5,2,6,3,7,3,8,3,9,3,10,2,11,2,12,1,2)</f>
        <v>1</v>
      </c>
      <c r="P7850" s="43"/>
    </row>
    <row r="7851" spans="1:16" ht="18" x14ac:dyDescent="0.35">
      <c r="A7851" s="9"/>
      <c r="C7851" s="393"/>
      <c r="E7851" s="394"/>
      <c r="F7851" s="394"/>
      <c r="G7851" s="394"/>
      <c r="I7851" s="368">
        <f t="shared" si="372"/>
        <v>0</v>
      </c>
      <c r="J7851" s="365">
        <f t="shared" si="373"/>
        <v>0</v>
      </c>
      <c r="K7851" s="369">
        <f t="shared" si="374"/>
        <v>6</v>
      </c>
      <c r="L7851" s="369">
        <f>+IF((C7851&gt;='Resultats - informe'!$E$16)*(C7851&lt;='Resultats - informe'!$G$16),1,0)</f>
        <v>1</v>
      </c>
      <c r="M7851" s="369" cm="1">
        <f t="array" ref="M7851">+_xlfn.IFS((C7851&gt;='Resultats - informe'!$D$26)*(C7851&lt;='Resultats - informe'!$E$26),0,(C7851&gt;='Resultats - informe'!$D$27)*(C7851&lt;='Resultats - informe'!$E$27),0,(C7851&gt;='Resultats - informe'!$D$28)*(C7851&lt;='Resultats - informe'!$E$28),0,(C7851&gt;='Resultats - informe'!$D$29)*(C7851&lt;='Resultats - informe'!$E$29),0,1,1)</f>
        <v>0</v>
      </c>
      <c r="N7851" s="366">
        <f>+VLOOKUP(D7851,'Resultats - informe'!$Y$18:$AG$42,'Introducció dades consum'!K7851+1,0)</f>
        <v>0</v>
      </c>
      <c r="O7851" s="370" cm="1">
        <f t="array" ref="O7851">+_xlfn.SWITCH(MONTH(C7851),1,1,2,1,3,1,4,2,5,2,6,3,7,3,8,3,9,3,10,2,11,2,12,1,2)</f>
        <v>1</v>
      </c>
      <c r="P7851" s="43"/>
    </row>
    <row r="7852" spans="1:16" ht="18" x14ac:dyDescent="0.35">
      <c r="A7852" s="9"/>
      <c r="C7852" s="393"/>
      <c r="E7852" s="394"/>
      <c r="F7852" s="394"/>
      <c r="G7852" s="394"/>
      <c r="I7852" s="368">
        <f t="shared" si="372"/>
        <v>0</v>
      </c>
      <c r="J7852" s="365">
        <f t="shared" si="373"/>
        <v>0</v>
      </c>
      <c r="K7852" s="369">
        <f t="shared" si="374"/>
        <v>6</v>
      </c>
      <c r="L7852" s="369">
        <f>+IF((C7852&gt;='Resultats - informe'!$E$16)*(C7852&lt;='Resultats - informe'!$G$16),1,0)</f>
        <v>1</v>
      </c>
      <c r="M7852" s="369" cm="1">
        <f t="array" ref="M7852">+_xlfn.IFS((C7852&gt;='Resultats - informe'!$D$26)*(C7852&lt;='Resultats - informe'!$E$26),0,(C7852&gt;='Resultats - informe'!$D$27)*(C7852&lt;='Resultats - informe'!$E$27),0,(C7852&gt;='Resultats - informe'!$D$28)*(C7852&lt;='Resultats - informe'!$E$28),0,(C7852&gt;='Resultats - informe'!$D$29)*(C7852&lt;='Resultats - informe'!$E$29),0,1,1)</f>
        <v>0</v>
      </c>
      <c r="N7852" s="366">
        <f>+VLOOKUP(D7852,'Resultats - informe'!$Y$18:$AG$42,'Introducció dades consum'!K7852+1,0)</f>
        <v>0</v>
      </c>
      <c r="O7852" s="370" cm="1">
        <f t="array" ref="O7852">+_xlfn.SWITCH(MONTH(C7852),1,1,2,1,3,1,4,2,5,2,6,3,7,3,8,3,9,3,10,2,11,2,12,1,2)</f>
        <v>1</v>
      </c>
      <c r="P7852" s="43"/>
    </row>
    <row r="7853" spans="1:16" ht="18" x14ac:dyDescent="0.35">
      <c r="A7853" s="9"/>
      <c r="C7853" s="393"/>
      <c r="E7853" s="394"/>
      <c r="F7853" s="394"/>
      <c r="G7853" s="394"/>
      <c r="I7853" s="368">
        <f t="shared" si="372"/>
        <v>0</v>
      </c>
      <c r="J7853" s="365">
        <f t="shared" si="373"/>
        <v>0</v>
      </c>
      <c r="K7853" s="369">
        <f t="shared" si="374"/>
        <v>6</v>
      </c>
      <c r="L7853" s="369">
        <f>+IF((C7853&gt;='Resultats - informe'!$E$16)*(C7853&lt;='Resultats - informe'!$G$16),1,0)</f>
        <v>1</v>
      </c>
      <c r="M7853" s="369" cm="1">
        <f t="array" ref="M7853">+_xlfn.IFS((C7853&gt;='Resultats - informe'!$D$26)*(C7853&lt;='Resultats - informe'!$E$26),0,(C7853&gt;='Resultats - informe'!$D$27)*(C7853&lt;='Resultats - informe'!$E$27),0,(C7853&gt;='Resultats - informe'!$D$28)*(C7853&lt;='Resultats - informe'!$E$28),0,(C7853&gt;='Resultats - informe'!$D$29)*(C7853&lt;='Resultats - informe'!$E$29),0,1,1)</f>
        <v>0</v>
      </c>
      <c r="N7853" s="366">
        <f>+VLOOKUP(D7853,'Resultats - informe'!$Y$18:$AG$42,'Introducció dades consum'!K7853+1,0)</f>
        <v>0</v>
      </c>
      <c r="O7853" s="370" cm="1">
        <f t="array" ref="O7853">+_xlfn.SWITCH(MONTH(C7853),1,1,2,1,3,1,4,2,5,2,6,3,7,3,8,3,9,3,10,2,11,2,12,1,2)</f>
        <v>1</v>
      </c>
      <c r="P7853" s="43"/>
    </row>
    <row r="7854" spans="1:16" ht="18" x14ac:dyDescent="0.35">
      <c r="A7854" s="9"/>
      <c r="C7854" s="393"/>
      <c r="E7854" s="394"/>
      <c r="F7854" s="394"/>
      <c r="G7854" s="394"/>
      <c r="I7854" s="368">
        <f t="shared" si="372"/>
        <v>0</v>
      </c>
      <c r="J7854" s="365">
        <f t="shared" si="373"/>
        <v>0</v>
      </c>
      <c r="K7854" s="369">
        <f t="shared" si="374"/>
        <v>6</v>
      </c>
      <c r="L7854" s="369">
        <f>+IF((C7854&gt;='Resultats - informe'!$E$16)*(C7854&lt;='Resultats - informe'!$G$16),1,0)</f>
        <v>1</v>
      </c>
      <c r="M7854" s="369" cm="1">
        <f t="array" ref="M7854">+_xlfn.IFS((C7854&gt;='Resultats - informe'!$D$26)*(C7854&lt;='Resultats - informe'!$E$26),0,(C7854&gt;='Resultats - informe'!$D$27)*(C7854&lt;='Resultats - informe'!$E$27),0,(C7854&gt;='Resultats - informe'!$D$28)*(C7854&lt;='Resultats - informe'!$E$28),0,(C7854&gt;='Resultats - informe'!$D$29)*(C7854&lt;='Resultats - informe'!$E$29),0,1,1)</f>
        <v>0</v>
      </c>
      <c r="N7854" s="366">
        <f>+VLOOKUP(D7854,'Resultats - informe'!$Y$18:$AG$42,'Introducció dades consum'!K7854+1,0)</f>
        <v>0</v>
      </c>
      <c r="O7854" s="370" cm="1">
        <f t="array" ref="O7854">+_xlfn.SWITCH(MONTH(C7854),1,1,2,1,3,1,4,2,5,2,6,3,7,3,8,3,9,3,10,2,11,2,12,1,2)</f>
        <v>1</v>
      </c>
      <c r="P7854" s="43"/>
    </row>
    <row r="7855" spans="1:16" ht="18" x14ac:dyDescent="0.35">
      <c r="A7855" s="9"/>
      <c r="C7855" s="393"/>
      <c r="E7855" s="394"/>
      <c r="F7855" s="394"/>
      <c r="G7855" s="394"/>
      <c r="I7855" s="368">
        <f t="shared" si="372"/>
        <v>0</v>
      </c>
      <c r="J7855" s="365">
        <f t="shared" si="373"/>
        <v>0</v>
      </c>
      <c r="K7855" s="369">
        <f t="shared" si="374"/>
        <v>6</v>
      </c>
      <c r="L7855" s="369">
        <f>+IF((C7855&gt;='Resultats - informe'!$E$16)*(C7855&lt;='Resultats - informe'!$G$16),1,0)</f>
        <v>1</v>
      </c>
      <c r="M7855" s="369" cm="1">
        <f t="array" ref="M7855">+_xlfn.IFS((C7855&gt;='Resultats - informe'!$D$26)*(C7855&lt;='Resultats - informe'!$E$26),0,(C7855&gt;='Resultats - informe'!$D$27)*(C7855&lt;='Resultats - informe'!$E$27),0,(C7855&gt;='Resultats - informe'!$D$28)*(C7855&lt;='Resultats - informe'!$E$28),0,(C7855&gt;='Resultats - informe'!$D$29)*(C7855&lt;='Resultats - informe'!$E$29),0,1,1)</f>
        <v>0</v>
      </c>
      <c r="N7855" s="366">
        <f>+VLOOKUP(D7855,'Resultats - informe'!$Y$18:$AG$42,'Introducció dades consum'!K7855+1,0)</f>
        <v>0</v>
      </c>
      <c r="O7855" s="370" cm="1">
        <f t="array" ref="O7855">+_xlfn.SWITCH(MONTH(C7855),1,1,2,1,3,1,4,2,5,2,6,3,7,3,8,3,9,3,10,2,11,2,12,1,2)</f>
        <v>1</v>
      </c>
      <c r="P7855" s="43"/>
    </row>
    <row r="7856" spans="1:16" ht="18" x14ac:dyDescent="0.35">
      <c r="A7856" s="9"/>
      <c r="C7856" s="393"/>
      <c r="E7856" s="394"/>
      <c r="F7856" s="394"/>
      <c r="G7856" s="394"/>
      <c r="I7856" s="368">
        <f t="shared" si="372"/>
        <v>0</v>
      </c>
      <c r="J7856" s="365">
        <f t="shared" si="373"/>
        <v>0</v>
      </c>
      <c r="K7856" s="369">
        <f t="shared" si="374"/>
        <v>6</v>
      </c>
      <c r="L7856" s="369">
        <f>+IF((C7856&gt;='Resultats - informe'!$E$16)*(C7856&lt;='Resultats - informe'!$G$16),1,0)</f>
        <v>1</v>
      </c>
      <c r="M7856" s="369" cm="1">
        <f t="array" ref="M7856">+_xlfn.IFS((C7856&gt;='Resultats - informe'!$D$26)*(C7856&lt;='Resultats - informe'!$E$26),0,(C7856&gt;='Resultats - informe'!$D$27)*(C7856&lt;='Resultats - informe'!$E$27),0,(C7856&gt;='Resultats - informe'!$D$28)*(C7856&lt;='Resultats - informe'!$E$28),0,(C7856&gt;='Resultats - informe'!$D$29)*(C7856&lt;='Resultats - informe'!$E$29),0,1,1)</f>
        <v>0</v>
      </c>
      <c r="N7856" s="366">
        <f>+VLOOKUP(D7856,'Resultats - informe'!$Y$18:$AG$42,'Introducció dades consum'!K7856+1,0)</f>
        <v>0</v>
      </c>
      <c r="O7856" s="370" cm="1">
        <f t="array" ref="O7856">+_xlfn.SWITCH(MONTH(C7856),1,1,2,1,3,1,4,2,5,2,6,3,7,3,8,3,9,3,10,2,11,2,12,1,2)</f>
        <v>1</v>
      </c>
      <c r="P7856" s="43"/>
    </row>
    <row r="7857" spans="1:16" ht="18" x14ac:dyDescent="0.35">
      <c r="A7857" s="9"/>
      <c r="C7857" s="393"/>
      <c r="E7857" s="394"/>
      <c r="F7857" s="394"/>
      <c r="G7857" s="394"/>
      <c r="I7857" s="368">
        <f t="shared" si="372"/>
        <v>0</v>
      </c>
      <c r="J7857" s="365">
        <f t="shared" si="373"/>
        <v>0</v>
      </c>
      <c r="K7857" s="369">
        <f t="shared" si="374"/>
        <v>6</v>
      </c>
      <c r="L7857" s="369">
        <f>+IF((C7857&gt;='Resultats - informe'!$E$16)*(C7857&lt;='Resultats - informe'!$G$16),1,0)</f>
        <v>1</v>
      </c>
      <c r="M7857" s="369" cm="1">
        <f t="array" ref="M7857">+_xlfn.IFS((C7857&gt;='Resultats - informe'!$D$26)*(C7857&lt;='Resultats - informe'!$E$26),0,(C7857&gt;='Resultats - informe'!$D$27)*(C7857&lt;='Resultats - informe'!$E$27),0,(C7857&gt;='Resultats - informe'!$D$28)*(C7857&lt;='Resultats - informe'!$E$28),0,(C7857&gt;='Resultats - informe'!$D$29)*(C7857&lt;='Resultats - informe'!$E$29),0,1,1)</f>
        <v>0</v>
      </c>
      <c r="N7857" s="366">
        <f>+VLOOKUP(D7857,'Resultats - informe'!$Y$18:$AG$42,'Introducció dades consum'!K7857+1,0)</f>
        <v>0</v>
      </c>
      <c r="O7857" s="370" cm="1">
        <f t="array" ref="O7857">+_xlfn.SWITCH(MONTH(C7857),1,1,2,1,3,1,4,2,5,2,6,3,7,3,8,3,9,3,10,2,11,2,12,1,2)</f>
        <v>1</v>
      </c>
      <c r="P7857" s="43"/>
    </row>
    <row r="7858" spans="1:16" ht="18" x14ac:dyDescent="0.35">
      <c r="A7858" s="9"/>
      <c r="C7858" s="393"/>
      <c r="E7858" s="394"/>
      <c r="F7858" s="394"/>
      <c r="G7858" s="394"/>
      <c r="I7858" s="368">
        <f t="shared" si="372"/>
        <v>0</v>
      </c>
      <c r="J7858" s="365">
        <f t="shared" si="373"/>
        <v>0</v>
      </c>
      <c r="K7858" s="369">
        <f t="shared" si="374"/>
        <v>6</v>
      </c>
      <c r="L7858" s="369">
        <f>+IF((C7858&gt;='Resultats - informe'!$E$16)*(C7858&lt;='Resultats - informe'!$G$16),1,0)</f>
        <v>1</v>
      </c>
      <c r="M7858" s="369" cm="1">
        <f t="array" ref="M7858">+_xlfn.IFS((C7858&gt;='Resultats - informe'!$D$26)*(C7858&lt;='Resultats - informe'!$E$26),0,(C7858&gt;='Resultats - informe'!$D$27)*(C7858&lt;='Resultats - informe'!$E$27),0,(C7858&gt;='Resultats - informe'!$D$28)*(C7858&lt;='Resultats - informe'!$E$28),0,(C7858&gt;='Resultats - informe'!$D$29)*(C7858&lt;='Resultats - informe'!$E$29),0,1,1)</f>
        <v>0</v>
      </c>
      <c r="N7858" s="366">
        <f>+VLOOKUP(D7858,'Resultats - informe'!$Y$18:$AG$42,'Introducció dades consum'!K7858+1,0)</f>
        <v>0</v>
      </c>
      <c r="O7858" s="370" cm="1">
        <f t="array" ref="O7858">+_xlfn.SWITCH(MONTH(C7858),1,1,2,1,3,1,4,2,5,2,6,3,7,3,8,3,9,3,10,2,11,2,12,1,2)</f>
        <v>1</v>
      </c>
      <c r="P7858" s="43"/>
    </row>
    <row r="7859" spans="1:16" ht="18" x14ac:dyDescent="0.35">
      <c r="A7859" s="9"/>
      <c r="C7859" s="393"/>
      <c r="E7859" s="394"/>
      <c r="F7859" s="394"/>
      <c r="G7859" s="394"/>
      <c r="I7859" s="368">
        <f t="shared" si="372"/>
        <v>0</v>
      </c>
      <c r="J7859" s="365">
        <f t="shared" si="373"/>
        <v>0</v>
      </c>
      <c r="K7859" s="369">
        <f t="shared" si="374"/>
        <v>6</v>
      </c>
      <c r="L7859" s="369">
        <f>+IF((C7859&gt;='Resultats - informe'!$E$16)*(C7859&lt;='Resultats - informe'!$G$16),1,0)</f>
        <v>1</v>
      </c>
      <c r="M7859" s="369" cm="1">
        <f t="array" ref="M7859">+_xlfn.IFS((C7859&gt;='Resultats - informe'!$D$26)*(C7859&lt;='Resultats - informe'!$E$26),0,(C7859&gt;='Resultats - informe'!$D$27)*(C7859&lt;='Resultats - informe'!$E$27),0,(C7859&gt;='Resultats - informe'!$D$28)*(C7859&lt;='Resultats - informe'!$E$28),0,(C7859&gt;='Resultats - informe'!$D$29)*(C7859&lt;='Resultats - informe'!$E$29),0,1,1)</f>
        <v>0</v>
      </c>
      <c r="N7859" s="366">
        <f>+VLOOKUP(D7859,'Resultats - informe'!$Y$18:$AG$42,'Introducció dades consum'!K7859+1,0)</f>
        <v>0</v>
      </c>
      <c r="O7859" s="370" cm="1">
        <f t="array" ref="O7859">+_xlfn.SWITCH(MONTH(C7859),1,1,2,1,3,1,4,2,5,2,6,3,7,3,8,3,9,3,10,2,11,2,12,1,2)</f>
        <v>1</v>
      </c>
      <c r="P7859" s="43"/>
    </row>
    <row r="7860" spans="1:16" ht="18" x14ac:dyDescent="0.35">
      <c r="A7860" s="9"/>
      <c r="C7860" s="393"/>
      <c r="E7860" s="394"/>
      <c r="F7860" s="394"/>
      <c r="G7860" s="394"/>
      <c r="I7860" s="368">
        <f t="shared" si="372"/>
        <v>0</v>
      </c>
      <c r="J7860" s="365">
        <f t="shared" si="373"/>
        <v>0</v>
      </c>
      <c r="K7860" s="369">
        <f t="shared" si="374"/>
        <v>6</v>
      </c>
      <c r="L7860" s="369">
        <f>+IF((C7860&gt;='Resultats - informe'!$E$16)*(C7860&lt;='Resultats - informe'!$G$16),1,0)</f>
        <v>1</v>
      </c>
      <c r="M7860" s="369" cm="1">
        <f t="array" ref="M7860">+_xlfn.IFS((C7860&gt;='Resultats - informe'!$D$26)*(C7860&lt;='Resultats - informe'!$E$26),0,(C7860&gt;='Resultats - informe'!$D$27)*(C7860&lt;='Resultats - informe'!$E$27),0,(C7860&gt;='Resultats - informe'!$D$28)*(C7860&lt;='Resultats - informe'!$E$28),0,(C7860&gt;='Resultats - informe'!$D$29)*(C7860&lt;='Resultats - informe'!$E$29),0,1,1)</f>
        <v>0</v>
      </c>
      <c r="N7860" s="366">
        <f>+VLOOKUP(D7860,'Resultats - informe'!$Y$18:$AG$42,'Introducció dades consum'!K7860+1,0)</f>
        <v>0</v>
      </c>
      <c r="O7860" s="370" cm="1">
        <f t="array" ref="O7860">+_xlfn.SWITCH(MONTH(C7860),1,1,2,1,3,1,4,2,5,2,6,3,7,3,8,3,9,3,10,2,11,2,12,1,2)</f>
        <v>1</v>
      </c>
      <c r="P7860" s="43"/>
    </row>
    <row r="7861" spans="1:16" ht="18" x14ac:dyDescent="0.35">
      <c r="A7861" s="9"/>
      <c r="C7861" s="393"/>
      <c r="E7861" s="394"/>
      <c r="F7861" s="394"/>
      <c r="G7861" s="394"/>
      <c r="I7861" s="368">
        <f t="shared" si="372"/>
        <v>0</v>
      </c>
      <c r="J7861" s="365">
        <f t="shared" si="373"/>
        <v>0</v>
      </c>
      <c r="K7861" s="369">
        <f t="shared" si="374"/>
        <v>6</v>
      </c>
      <c r="L7861" s="369">
        <f>+IF((C7861&gt;='Resultats - informe'!$E$16)*(C7861&lt;='Resultats - informe'!$G$16),1,0)</f>
        <v>1</v>
      </c>
      <c r="M7861" s="369" cm="1">
        <f t="array" ref="M7861">+_xlfn.IFS((C7861&gt;='Resultats - informe'!$D$26)*(C7861&lt;='Resultats - informe'!$E$26),0,(C7861&gt;='Resultats - informe'!$D$27)*(C7861&lt;='Resultats - informe'!$E$27),0,(C7861&gt;='Resultats - informe'!$D$28)*(C7861&lt;='Resultats - informe'!$E$28),0,(C7861&gt;='Resultats - informe'!$D$29)*(C7861&lt;='Resultats - informe'!$E$29),0,1,1)</f>
        <v>0</v>
      </c>
      <c r="N7861" s="366">
        <f>+VLOOKUP(D7861,'Resultats - informe'!$Y$18:$AG$42,'Introducció dades consum'!K7861+1,0)</f>
        <v>0</v>
      </c>
      <c r="O7861" s="370" cm="1">
        <f t="array" ref="O7861">+_xlfn.SWITCH(MONTH(C7861),1,1,2,1,3,1,4,2,5,2,6,3,7,3,8,3,9,3,10,2,11,2,12,1,2)</f>
        <v>1</v>
      </c>
      <c r="P7861" s="43"/>
    </row>
    <row r="7862" spans="1:16" ht="18" x14ac:dyDescent="0.35">
      <c r="A7862" s="9"/>
      <c r="C7862" s="393"/>
      <c r="E7862" s="394"/>
      <c r="F7862" s="394"/>
      <c r="G7862" s="394"/>
      <c r="I7862" s="368">
        <f t="shared" si="372"/>
        <v>0</v>
      </c>
      <c r="J7862" s="365">
        <f t="shared" si="373"/>
        <v>0</v>
      </c>
      <c r="K7862" s="369">
        <f t="shared" si="374"/>
        <v>6</v>
      </c>
      <c r="L7862" s="369">
        <f>+IF((C7862&gt;='Resultats - informe'!$E$16)*(C7862&lt;='Resultats - informe'!$G$16),1,0)</f>
        <v>1</v>
      </c>
      <c r="M7862" s="369" cm="1">
        <f t="array" ref="M7862">+_xlfn.IFS((C7862&gt;='Resultats - informe'!$D$26)*(C7862&lt;='Resultats - informe'!$E$26),0,(C7862&gt;='Resultats - informe'!$D$27)*(C7862&lt;='Resultats - informe'!$E$27),0,(C7862&gt;='Resultats - informe'!$D$28)*(C7862&lt;='Resultats - informe'!$E$28),0,(C7862&gt;='Resultats - informe'!$D$29)*(C7862&lt;='Resultats - informe'!$E$29),0,1,1)</f>
        <v>0</v>
      </c>
      <c r="N7862" s="366">
        <f>+VLOOKUP(D7862,'Resultats - informe'!$Y$18:$AG$42,'Introducció dades consum'!K7862+1,0)</f>
        <v>0</v>
      </c>
      <c r="O7862" s="370" cm="1">
        <f t="array" ref="O7862">+_xlfn.SWITCH(MONTH(C7862),1,1,2,1,3,1,4,2,5,2,6,3,7,3,8,3,9,3,10,2,11,2,12,1,2)</f>
        <v>1</v>
      </c>
      <c r="P7862" s="43"/>
    </row>
    <row r="7863" spans="1:16" ht="18" x14ac:dyDescent="0.35">
      <c r="A7863" s="9"/>
      <c r="C7863" s="393"/>
      <c r="E7863" s="394"/>
      <c r="F7863" s="394"/>
      <c r="G7863" s="394"/>
      <c r="I7863" s="368">
        <f t="shared" si="372"/>
        <v>0</v>
      </c>
      <c r="J7863" s="365">
        <f t="shared" si="373"/>
        <v>0</v>
      </c>
      <c r="K7863" s="369">
        <f t="shared" si="374"/>
        <v>6</v>
      </c>
      <c r="L7863" s="369">
        <f>+IF((C7863&gt;='Resultats - informe'!$E$16)*(C7863&lt;='Resultats - informe'!$G$16),1,0)</f>
        <v>1</v>
      </c>
      <c r="M7863" s="369" cm="1">
        <f t="array" ref="M7863">+_xlfn.IFS((C7863&gt;='Resultats - informe'!$D$26)*(C7863&lt;='Resultats - informe'!$E$26),0,(C7863&gt;='Resultats - informe'!$D$27)*(C7863&lt;='Resultats - informe'!$E$27),0,(C7863&gt;='Resultats - informe'!$D$28)*(C7863&lt;='Resultats - informe'!$E$28),0,(C7863&gt;='Resultats - informe'!$D$29)*(C7863&lt;='Resultats - informe'!$E$29),0,1,1)</f>
        <v>0</v>
      </c>
      <c r="N7863" s="366">
        <f>+VLOOKUP(D7863,'Resultats - informe'!$Y$18:$AG$42,'Introducció dades consum'!K7863+1,0)</f>
        <v>0</v>
      </c>
      <c r="O7863" s="370" cm="1">
        <f t="array" ref="O7863">+_xlfn.SWITCH(MONTH(C7863),1,1,2,1,3,1,4,2,5,2,6,3,7,3,8,3,9,3,10,2,11,2,12,1,2)</f>
        <v>1</v>
      </c>
      <c r="P7863" s="43"/>
    </row>
    <row r="7864" spans="1:16" ht="18" x14ac:dyDescent="0.35">
      <c r="A7864" s="9"/>
      <c r="C7864" s="393"/>
      <c r="E7864" s="394"/>
      <c r="F7864" s="394"/>
      <c r="G7864" s="394"/>
      <c r="I7864" s="368">
        <f t="shared" si="372"/>
        <v>0</v>
      </c>
      <c r="J7864" s="365">
        <f t="shared" si="373"/>
        <v>0</v>
      </c>
      <c r="K7864" s="369">
        <f t="shared" si="374"/>
        <v>6</v>
      </c>
      <c r="L7864" s="369">
        <f>+IF((C7864&gt;='Resultats - informe'!$E$16)*(C7864&lt;='Resultats - informe'!$G$16),1,0)</f>
        <v>1</v>
      </c>
      <c r="M7864" s="369" cm="1">
        <f t="array" ref="M7864">+_xlfn.IFS((C7864&gt;='Resultats - informe'!$D$26)*(C7864&lt;='Resultats - informe'!$E$26),0,(C7864&gt;='Resultats - informe'!$D$27)*(C7864&lt;='Resultats - informe'!$E$27),0,(C7864&gt;='Resultats - informe'!$D$28)*(C7864&lt;='Resultats - informe'!$E$28),0,(C7864&gt;='Resultats - informe'!$D$29)*(C7864&lt;='Resultats - informe'!$E$29),0,1,1)</f>
        <v>0</v>
      </c>
      <c r="N7864" s="366">
        <f>+VLOOKUP(D7864,'Resultats - informe'!$Y$18:$AG$42,'Introducció dades consum'!K7864+1,0)</f>
        <v>0</v>
      </c>
      <c r="O7864" s="370" cm="1">
        <f t="array" ref="O7864">+_xlfn.SWITCH(MONTH(C7864),1,1,2,1,3,1,4,2,5,2,6,3,7,3,8,3,9,3,10,2,11,2,12,1,2)</f>
        <v>1</v>
      </c>
      <c r="P7864" s="43"/>
    </row>
    <row r="7865" spans="1:16" ht="18" x14ac:dyDescent="0.35">
      <c r="A7865" s="9"/>
      <c r="C7865" s="393"/>
      <c r="E7865" s="394"/>
      <c r="F7865" s="394"/>
      <c r="G7865" s="394"/>
      <c r="I7865" s="368">
        <f t="shared" si="372"/>
        <v>0</v>
      </c>
      <c r="J7865" s="365">
        <f t="shared" si="373"/>
        <v>0</v>
      </c>
      <c r="K7865" s="369">
        <f t="shared" si="374"/>
        <v>6</v>
      </c>
      <c r="L7865" s="369">
        <f>+IF((C7865&gt;='Resultats - informe'!$E$16)*(C7865&lt;='Resultats - informe'!$G$16),1,0)</f>
        <v>1</v>
      </c>
      <c r="M7865" s="369" cm="1">
        <f t="array" ref="M7865">+_xlfn.IFS((C7865&gt;='Resultats - informe'!$D$26)*(C7865&lt;='Resultats - informe'!$E$26),0,(C7865&gt;='Resultats - informe'!$D$27)*(C7865&lt;='Resultats - informe'!$E$27),0,(C7865&gt;='Resultats - informe'!$D$28)*(C7865&lt;='Resultats - informe'!$E$28),0,(C7865&gt;='Resultats - informe'!$D$29)*(C7865&lt;='Resultats - informe'!$E$29),0,1,1)</f>
        <v>0</v>
      </c>
      <c r="N7865" s="366">
        <f>+VLOOKUP(D7865,'Resultats - informe'!$Y$18:$AG$42,'Introducció dades consum'!K7865+1,0)</f>
        <v>0</v>
      </c>
      <c r="O7865" s="370" cm="1">
        <f t="array" ref="O7865">+_xlfn.SWITCH(MONTH(C7865),1,1,2,1,3,1,4,2,5,2,6,3,7,3,8,3,9,3,10,2,11,2,12,1,2)</f>
        <v>1</v>
      </c>
      <c r="P7865" s="43"/>
    </row>
    <row r="7866" spans="1:16" ht="18" x14ac:dyDescent="0.35">
      <c r="A7866" s="9"/>
      <c r="C7866" s="393"/>
      <c r="E7866" s="394"/>
      <c r="F7866" s="394"/>
      <c r="G7866" s="394"/>
      <c r="I7866" s="368">
        <f t="shared" si="372"/>
        <v>0</v>
      </c>
      <c r="J7866" s="365">
        <f t="shared" si="373"/>
        <v>0</v>
      </c>
      <c r="K7866" s="369">
        <f t="shared" si="374"/>
        <v>6</v>
      </c>
      <c r="L7866" s="369">
        <f>+IF((C7866&gt;='Resultats - informe'!$E$16)*(C7866&lt;='Resultats - informe'!$G$16),1,0)</f>
        <v>1</v>
      </c>
      <c r="M7866" s="369" cm="1">
        <f t="array" ref="M7866">+_xlfn.IFS((C7866&gt;='Resultats - informe'!$D$26)*(C7866&lt;='Resultats - informe'!$E$26),0,(C7866&gt;='Resultats - informe'!$D$27)*(C7866&lt;='Resultats - informe'!$E$27),0,(C7866&gt;='Resultats - informe'!$D$28)*(C7866&lt;='Resultats - informe'!$E$28),0,(C7866&gt;='Resultats - informe'!$D$29)*(C7866&lt;='Resultats - informe'!$E$29),0,1,1)</f>
        <v>0</v>
      </c>
      <c r="N7866" s="366">
        <f>+VLOOKUP(D7866,'Resultats - informe'!$Y$18:$AG$42,'Introducció dades consum'!K7866+1,0)</f>
        <v>0</v>
      </c>
      <c r="O7866" s="370" cm="1">
        <f t="array" ref="O7866">+_xlfn.SWITCH(MONTH(C7866),1,1,2,1,3,1,4,2,5,2,6,3,7,3,8,3,9,3,10,2,11,2,12,1,2)</f>
        <v>1</v>
      </c>
      <c r="P7866" s="43"/>
    </row>
    <row r="7867" spans="1:16" ht="18" x14ac:dyDescent="0.35">
      <c r="A7867" s="9"/>
      <c r="C7867" s="393"/>
      <c r="E7867" s="394"/>
      <c r="F7867" s="394"/>
      <c r="G7867" s="394"/>
      <c r="I7867" s="368">
        <f t="shared" si="372"/>
        <v>0</v>
      </c>
      <c r="J7867" s="365">
        <f t="shared" si="373"/>
        <v>0</v>
      </c>
      <c r="K7867" s="369">
        <f t="shared" si="374"/>
        <v>6</v>
      </c>
      <c r="L7867" s="369">
        <f>+IF((C7867&gt;='Resultats - informe'!$E$16)*(C7867&lt;='Resultats - informe'!$G$16),1,0)</f>
        <v>1</v>
      </c>
      <c r="M7867" s="369" cm="1">
        <f t="array" ref="M7867">+_xlfn.IFS((C7867&gt;='Resultats - informe'!$D$26)*(C7867&lt;='Resultats - informe'!$E$26),0,(C7867&gt;='Resultats - informe'!$D$27)*(C7867&lt;='Resultats - informe'!$E$27),0,(C7867&gt;='Resultats - informe'!$D$28)*(C7867&lt;='Resultats - informe'!$E$28),0,(C7867&gt;='Resultats - informe'!$D$29)*(C7867&lt;='Resultats - informe'!$E$29),0,1,1)</f>
        <v>0</v>
      </c>
      <c r="N7867" s="366">
        <f>+VLOOKUP(D7867,'Resultats - informe'!$Y$18:$AG$42,'Introducció dades consum'!K7867+1,0)</f>
        <v>0</v>
      </c>
      <c r="O7867" s="370" cm="1">
        <f t="array" ref="O7867">+_xlfn.SWITCH(MONTH(C7867),1,1,2,1,3,1,4,2,5,2,6,3,7,3,8,3,9,3,10,2,11,2,12,1,2)</f>
        <v>1</v>
      </c>
      <c r="P7867" s="43"/>
    </row>
    <row r="7868" spans="1:16" ht="18" x14ac:dyDescent="0.35">
      <c r="A7868" s="9"/>
      <c r="C7868" s="393"/>
      <c r="E7868" s="394"/>
      <c r="F7868" s="394"/>
      <c r="G7868" s="394"/>
      <c r="I7868" s="368">
        <f t="shared" si="372"/>
        <v>0</v>
      </c>
      <c r="J7868" s="365">
        <f t="shared" si="373"/>
        <v>0</v>
      </c>
      <c r="K7868" s="369">
        <f t="shared" si="374"/>
        <v>6</v>
      </c>
      <c r="L7868" s="369">
        <f>+IF((C7868&gt;='Resultats - informe'!$E$16)*(C7868&lt;='Resultats - informe'!$G$16),1,0)</f>
        <v>1</v>
      </c>
      <c r="M7868" s="369" cm="1">
        <f t="array" ref="M7868">+_xlfn.IFS((C7868&gt;='Resultats - informe'!$D$26)*(C7868&lt;='Resultats - informe'!$E$26),0,(C7868&gt;='Resultats - informe'!$D$27)*(C7868&lt;='Resultats - informe'!$E$27),0,(C7868&gt;='Resultats - informe'!$D$28)*(C7868&lt;='Resultats - informe'!$E$28),0,(C7868&gt;='Resultats - informe'!$D$29)*(C7868&lt;='Resultats - informe'!$E$29),0,1,1)</f>
        <v>0</v>
      </c>
      <c r="N7868" s="366">
        <f>+VLOOKUP(D7868,'Resultats - informe'!$Y$18:$AG$42,'Introducció dades consum'!K7868+1,0)</f>
        <v>0</v>
      </c>
      <c r="O7868" s="370" cm="1">
        <f t="array" ref="O7868">+_xlfn.SWITCH(MONTH(C7868),1,1,2,1,3,1,4,2,5,2,6,3,7,3,8,3,9,3,10,2,11,2,12,1,2)</f>
        <v>1</v>
      </c>
      <c r="P7868" s="43"/>
    </row>
    <row r="7869" spans="1:16" ht="18" x14ac:dyDescent="0.35">
      <c r="A7869" s="9"/>
      <c r="C7869" s="393"/>
      <c r="E7869" s="394"/>
      <c r="F7869" s="394"/>
      <c r="G7869" s="394"/>
      <c r="I7869" s="368">
        <f t="shared" si="372"/>
        <v>0</v>
      </c>
      <c r="J7869" s="365">
        <f t="shared" si="373"/>
        <v>0</v>
      </c>
      <c r="K7869" s="369">
        <f t="shared" si="374"/>
        <v>6</v>
      </c>
      <c r="L7869" s="369">
        <f>+IF((C7869&gt;='Resultats - informe'!$E$16)*(C7869&lt;='Resultats - informe'!$G$16),1,0)</f>
        <v>1</v>
      </c>
      <c r="M7869" s="369" cm="1">
        <f t="array" ref="M7869">+_xlfn.IFS((C7869&gt;='Resultats - informe'!$D$26)*(C7869&lt;='Resultats - informe'!$E$26),0,(C7869&gt;='Resultats - informe'!$D$27)*(C7869&lt;='Resultats - informe'!$E$27),0,(C7869&gt;='Resultats - informe'!$D$28)*(C7869&lt;='Resultats - informe'!$E$28),0,(C7869&gt;='Resultats - informe'!$D$29)*(C7869&lt;='Resultats - informe'!$E$29),0,1,1)</f>
        <v>0</v>
      </c>
      <c r="N7869" s="366">
        <f>+VLOOKUP(D7869,'Resultats - informe'!$Y$18:$AG$42,'Introducció dades consum'!K7869+1,0)</f>
        <v>0</v>
      </c>
      <c r="O7869" s="370" cm="1">
        <f t="array" ref="O7869">+_xlfn.SWITCH(MONTH(C7869),1,1,2,1,3,1,4,2,5,2,6,3,7,3,8,3,9,3,10,2,11,2,12,1,2)</f>
        <v>1</v>
      </c>
      <c r="P7869" s="43"/>
    </row>
    <row r="7870" spans="1:16" ht="18" x14ac:dyDescent="0.35">
      <c r="A7870" s="9"/>
      <c r="C7870" s="393"/>
      <c r="E7870" s="394"/>
      <c r="F7870" s="394"/>
      <c r="G7870" s="394"/>
      <c r="I7870" s="368">
        <f t="shared" si="372"/>
        <v>0</v>
      </c>
      <c r="J7870" s="365">
        <f t="shared" si="373"/>
        <v>0</v>
      </c>
      <c r="K7870" s="369">
        <f t="shared" si="374"/>
        <v>6</v>
      </c>
      <c r="L7870" s="369">
        <f>+IF((C7870&gt;='Resultats - informe'!$E$16)*(C7870&lt;='Resultats - informe'!$G$16),1,0)</f>
        <v>1</v>
      </c>
      <c r="M7870" s="369" cm="1">
        <f t="array" ref="M7870">+_xlfn.IFS((C7870&gt;='Resultats - informe'!$D$26)*(C7870&lt;='Resultats - informe'!$E$26),0,(C7870&gt;='Resultats - informe'!$D$27)*(C7870&lt;='Resultats - informe'!$E$27),0,(C7870&gt;='Resultats - informe'!$D$28)*(C7870&lt;='Resultats - informe'!$E$28),0,(C7870&gt;='Resultats - informe'!$D$29)*(C7870&lt;='Resultats - informe'!$E$29),0,1,1)</f>
        <v>0</v>
      </c>
      <c r="N7870" s="366">
        <f>+VLOOKUP(D7870,'Resultats - informe'!$Y$18:$AG$42,'Introducció dades consum'!K7870+1,0)</f>
        <v>0</v>
      </c>
      <c r="O7870" s="370" cm="1">
        <f t="array" ref="O7870">+_xlfn.SWITCH(MONTH(C7870),1,1,2,1,3,1,4,2,5,2,6,3,7,3,8,3,9,3,10,2,11,2,12,1,2)</f>
        <v>1</v>
      </c>
      <c r="P7870" s="43"/>
    </row>
    <row r="7871" spans="1:16" ht="18" x14ac:dyDescent="0.35">
      <c r="A7871" s="9"/>
      <c r="C7871" s="393"/>
      <c r="E7871" s="394"/>
      <c r="F7871" s="394"/>
      <c r="G7871" s="394"/>
      <c r="I7871" s="368">
        <f t="shared" si="372"/>
        <v>0</v>
      </c>
      <c r="J7871" s="365">
        <f t="shared" si="373"/>
        <v>0</v>
      </c>
      <c r="K7871" s="369">
        <f t="shared" si="374"/>
        <v>6</v>
      </c>
      <c r="L7871" s="369">
        <f>+IF((C7871&gt;='Resultats - informe'!$E$16)*(C7871&lt;='Resultats - informe'!$G$16),1,0)</f>
        <v>1</v>
      </c>
      <c r="M7871" s="369" cm="1">
        <f t="array" ref="M7871">+_xlfn.IFS((C7871&gt;='Resultats - informe'!$D$26)*(C7871&lt;='Resultats - informe'!$E$26),0,(C7871&gt;='Resultats - informe'!$D$27)*(C7871&lt;='Resultats - informe'!$E$27),0,(C7871&gt;='Resultats - informe'!$D$28)*(C7871&lt;='Resultats - informe'!$E$28),0,(C7871&gt;='Resultats - informe'!$D$29)*(C7871&lt;='Resultats - informe'!$E$29),0,1,1)</f>
        <v>0</v>
      </c>
      <c r="N7871" s="366">
        <f>+VLOOKUP(D7871,'Resultats - informe'!$Y$18:$AG$42,'Introducció dades consum'!K7871+1,0)</f>
        <v>0</v>
      </c>
      <c r="O7871" s="370" cm="1">
        <f t="array" ref="O7871">+_xlfn.SWITCH(MONTH(C7871),1,1,2,1,3,1,4,2,5,2,6,3,7,3,8,3,9,3,10,2,11,2,12,1,2)</f>
        <v>1</v>
      </c>
      <c r="P7871" s="43"/>
    </row>
    <row r="7872" spans="1:16" ht="18" x14ac:dyDescent="0.35">
      <c r="A7872" s="9"/>
      <c r="C7872" s="393"/>
      <c r="E7872" s="394"/>
      <c r="F7872" s="394"/>
      <c r="G7872" s="394"/>
      <c r="I7872" s="368">
        <f t="shared" si="372"/>
        <v>0</v>
      </c>
      <c r="J7872" s="365">
        <f t="shared" si="373"/>
        <v>0</v>
      </c>
      <c r="K7872" s="369">
        <f t="shared" si="374"/>
        <v>6</v>
      </c>
      <c r="L7872" s="369">
        <f>+IF((C7872&gt;='Resultats - informe'!$E$16)*(C7872&lt;='Resultats - informe'!$G$16),1,0)</f>
        <v>1</v>
      </c>
      <c r="M7872" s="369" cm="1">
        <f t="array" ref="M7872">+_xlfn.IFS((C7872&gt;='Resultats - informe'!$D$26)*(C7872&lt;='Resultats - informe'!$E$26),0,(C7872&gt;='Resultats - informe'!$D$27)*(C7872&lt;='Resultats - informe'!$E$27),0,(C7872&gt;='Resultats - informe'!$D$28)*(C7872&lt;='Resultats - informe'!$E$28),0,(C7872&gt;='Resultats - informe'!$D$29)*(C7872&lt;='Resultats - informe'!$E$29),0,1,1)</f>
        <v>0</v>
      </c>
      <c r="N7872" s="366">
        <f>+VLOOKUP(D7872,'Resultats - informe'!$Y$18:$AG$42,'Introducció dades consum'!K7872+1,0)</f>
        <v>0</v>
      </c>
      <c r="O7872" s="370" cm="1">
        <f t="array" ref="O7872">+_xlfn.SWITCH(MONTH(C7872),1,1,2,1,3,1,4,2,5,2,6,3,7,3,8,3,9,3,10,2,11,2,12,1,2)</f>
        <v>1</v>
      </c>
      <c r="P7872" s="43"/>
    </row>
    <row r="7873" spans="1:16" ht="18" x14ac:dyDescent="0.35">
      <c r="A7873" s="9"/>
      <c r="C7873" s="393"/>
      <c r="E7873" s="394"/>
      <c r="F7873" s="394"/>
      <c r="G7873" s="394"/>
      <c r="I7873" s="368">
        <f t="shared" si="372"/>
        <v>0</v>
      </c>
      <c r="J7873" s="365">
        <f t="shared" si="373"/>
        <v>0</v>
      </c>
      <c r="K7873" s="369">
        <f t="shared" si="374"/>
        <v>6</v>
      </c>
      <c r="L7873" s="369">
        <f>+IF((C7873&gt;='Resultats - informe'!$E$16)*(C7873&lt;='Resultats - informe'!$G$16),1,0)</f>
        <v>1</v>
      </c>
      <c r="M7873" s="369" cm="1">
        <f t="array" ref="M7873">+_xlfn.IFS((C7873&gt;='Resultats - informe'!$D$26)*(C7873&lt;='Resultats - informe'!$E$26),0,(C7873&gt;='Resultats - informe'!$D$27)*(C7873&lt;='Resultats - informe'!$E$27),0,(C7873&gt;='Resultats - informe'!$D$28)*(C7873&lt;='Resultats - informe'!$E$28),0,(C7873&gt;='Resultats - informe'!$D$29)*(C7873&lt;='Resultats - informe'!$E$29),0,1,1)</f>
        <v>0</v>
      </c>
      <c r="N7873" s="366">
        <f>+VLOOKUP(D7873,'Resultats - informe'!$Y$18:$AG$42,'Introducció dades consum'!K7873+1,0)</f>
        <v>0</v>
      </c>
      <c r="O7873" s="370" cm="1">
        <f t="array" ref="O7873">+_xlfn.SWITCH(MONTH(C7873),1,1,2,1,3,1,4,2,5,2,6,3,7,3,8,3,9,3,10,2,11,2,12,1,2)</f>
        <v>1</v>
      </c>
      <c r="P7873" s="43"/>
    </row>
    <row r="7874" spans="1:16" ht="18" x14ac:dyDescent="0.35">
      <c r="A7874" s="9"/>
      <c r="C7874" s="393"/>
      <c r="E7874" s="394"/>
      <c r="F7874" s="394"/>
      <c r="G7874" s="394"/>
      <c r="I7874" s="368">
        <f t="shared" si="372"/>
        <v>0</v>
      </c>
      <c r="J7874" s="365">
        <f t="shared" si="373"/>
        <v>0</v>
      </c>
      <c r="K7874" s="369">
        <f t="shared" si="374"/>
        <v>6</v>
      </c>
      <c r="L7874" s="369">
        <f>+IF((C7874&gt;='Resultats - informe'!$E$16)*(C7874&lt;='Resultats - informe'!$G$16),1,0)</f>
        <v>1</v>
      </c>
      <c r="M7874" s="369" cm="1">
        <f t="array" ref="M7874">+_xlfn.IFS((C7874&gt;='Resultats - informe'!$D$26)*(C7874&lt;='Resultats - informe'!$E$26),0,(C7874&gt;='Resultats - informe'!$D$27)*(C7874&lt;='Resultats - informe'!$E$27),0,(C7874&gt;='Resultats - informe'!$D$28)*(C7874&lt;='Resultats - informe'!$E$28),0,(C7874&gt;='Resultats - informe'!$D$29)*(C7874&lt;='Resultats - informe'!$E$29),0,1,1)</f>
        <v>0</v>
      </c>
      <c r="N7874" s="366">
        <f>+VLOOKUP(D7874,'Resultats - informe'!$Y$18:$AG$42,'Introducció dades consum'!K7874+1,0)</f>
        <v>0</v>
      </c>
      <c r="O7874" s="370" cm="1">
        <f t="array" ref="O7874">+_xlfn.SWITCH(MONTH(C7874),1,1,2,1,3,1,4,2,5,2,6,3,7,3,8,3,9,3,10,2,11,2,12,1,2)</f>
        <v>1</v>
      </c>
      <c r="P7874" s="43"/>
    </row>
    <row r="7875" spans="1:16" ht="18" x14ac:dyDescent="0.35">
      <c r="A7875" s="9"/>
      <c r="C7875" s="393"/>
      <c r="E7875" s="394"/>
      <c r="F7875" s="394"/>
      <c r="G7875" s="394"/>
      <c r="I7875" s="368">
        <f t="shared" si="372"/>
        <v>0</v>
      </c>
      <c r="J7875" s="365">
        <f t="shared" si="373"/>
        <v>0</v>
      </c>
      <c r="K7875" s="369">
        <f t="shared" si="374"/>
        <v>6</v>
      </c>
      <c r="L7875" s="369">
        <f>+IF((C7875&gt;='Resultats - informe'!$E$16)*(C7875&lt;='Resultats - informe'!$G$16),1,0)</f>
        <v>1</v>
      </c>
      <c r="M7875" s="369" cm="1">
        <f t="array" ref="M7875">+_xlfn.IFS((C7875&gt;='Resultats - informe'!$D$26)*(C7875&lt;='Resultats - informe'!$E$26),0,(C7875&gt;='Resultats - informe'!$D$27)*(C7875&lt;='Resultats - informe'!$E$27),0,(C7875&gt;='Resultats - informe'!$D$28)*(C7875&lt;='Resultats - informe'!$E$28),0,(C7875&gt;='Resultats - informe'!$D$29)*(C7875&lt;='Resultats - informe'!$E$29),0,1,1)</f>
        <v>0</v>
      </c>
      <c r="N7875" s="366">
        <f>+VLOOKUP(D7875,'Resultats - informe'!$Y$18:$AG$42,'Introducció dades consum'!K7875+1,0)</f>
        <v>0</v>
      </c>
      <c r="O7875" s="370" cm="1">
        <f t="array" ref="O7875">+_xlfn.SWITCH(MONTH(C7875),1,1,2,1,3,1,4,2,5,2,6,3,7,3,8,3,9,3,10,2,11,2,12,1,2)</f>
        <v>1</v>
      </c>
      <c r="P7875" s="43"/>
    </row>
    <row r="7876" spans="1:16" ht="18" x14ac:dyDescent="0.35">
      <c r="A7876" s="9"/>
      <c r="C7876" s="393"/>
      <c r="E7876" s="394"/>
      <c r="F7876" s="394"/>
      <c r="G7876" s="394"/>
      <c r="I7876" s="368">
        <f t="shared" si="372"/>
        <v>0</v>
      </c>
      <c r="J7876" s="365">
        <f t="shared" si="373"/>
        <v>0</v>
      </c>
      <c r="K7876" s="369">
        <f t="shared" si="374"/>
        <v>6</v>
      </c>
      <c r="L7876" s="369">
        <f>+IF((C7876&gt;='Resultats - informe'!$E$16)*(C7876&lt;='Resultats - informe'!$G$16),1,0)</f>
        <v>1</v>
      </c>
      <c r="M7876" s="369" cm="1">
        <f t="array" ref="M7876">+_xlfn.IFS((C7876&gt;='Resultats - informe'!$D$26)*(C7876&lt;='Resultats - informe'!$E$26),0,(C7876&gt;='Resultats - informe'!$D$27)*(C7876&lt;='Resultats - informe'!$E$27),0,(C7876&gt;='Resultats - informe'!$D$28)*(C7876&lt;='Resultats - informe'!$E$28),0,(C7876&gt;='Resultats - informe'!$D$29)*(C7876&lt;='Resultats - informe'!$E$29),0,1,1)</f>
        <v>0</v>
      </c>
      <c r="N7876" s="366">
        <f>+VLOOKUP(D7876,'Resultats - informe'!$Y$18:$AG$42,'Introducció dades consum'!K7876+1,0)</f>
        <v>0</v>
      </c>
      <c r="O7876" s="370" cm="1">
        <f t="array" ref="O7876">+_xlfn.SWITCH(MONTH(C7876),1,1,2,1,3,1,4,2,5,2,6,3,7,3,8,3,9,3,10,2,11,2,12,1,2)</f>
        <v>1</v>
      </c>
      <c r="P7876" s="43"/>
    </row>
    <row r="7877" spans="1:16" ht="18" x14ac:dyDescent="0.35">
      <c r="A7877" s="9"/>
      <c r="C7877" s="393"/>
      <c r="E7877" s="394"/>
      <c r="F7877" s="394"/>
      <c r="G7877" s="394"/>
      <c r="I7877" s="368">
        <f t="shared" si="372"/>
        <v>0</v>
      </c>
      <c r="J7877" s="365">
        <f t="shared" si="373"/>
        <v>0</v>
      </c>
      <c r="K7877" s="369">
        <f t="shared" si="374"/>
        <v>6</v>
      </c>
      <c r="L7877" s="369">
        <f>+IF((C7877&gt;='Resultats - informe'!$E$16)*(C7877&lt;='Resultats - informe'!$G$16),1,0)</f>
        <v>1</v>
      </c>
      <c r="M7877" s="369" cm="1">
        <f t="array" ref="M7877">+_xlfn.IFS((C7877&gt;='Resultats - informe'!$D$26)*(C7877&lt;='Resultats - informe'!$E$26),0,(C7877&gt;='Resultats - informe'!$D$27)*(C7877&lt;='Resultats - informe'!$E$27),0,(C7877&gt;='Resultats - informe'!$D$28)*(C7877&lt;='Resultats - informe'!$E$28),0,(C7877&gt;='Resultats - informe'!$D$29)*(C7877&lt;='Resultats - informe'!$E$29),0,1,1)</f>
        <v>0</v>
      </c>
      <c r="N7877" s="366">
        <f>+VLOOKUP(D7877,'Resultats - informe'!$Y$18:$AG$42,'Introducció dades consum'!K7877+1,0)</f>
        <v>0</v>
      </c>
      <c r="O7877" s="370" cm="1">
        <f t="array" ref="O7877">+_xlfn.SWITCH(MONTH(C7877),1,1,2,1,3,1,4,2,5,2,6,3,7,3,8,3,9,3,10,2,11,2,12,1,2)</f>
        <v>1</v>
      </c>
      <c r="P7877" s="43"/>
    </row>
    <row r="7878" spans="1:16" ht="18" x14ac:dyDescent="0.35">
      <c r="A7878" s="9"/>
      <c r="C7878" s="393"/>
      <c r="E7878" s="394"/>
      <c r="F7878" s="394"/>
      <c r="G7878" s="394"/>
      <c r="I7878" s="368">
        <f t="shared" si="372"/>
        <v>0</v>
      </c>
      <c r="J7878" s="365">
        <f t="shared" si="373"/>
        <v>0</v>
      </c>
      <c r="K7878" s="369">
        <f t="shared" si="374"/>
        <v>6</v>
      </c>
      <c r="L7878" s="369">
        <f>+IF((C7878&gt;='Resultats - informe'!$E$16)*(C7878&lt;='Resultats - informe'!$G$16),1,0)</f>
        <v>1</v>
      </c>
      <c r="M7878" s="369" cm="1">
        <f t="array" ref="M7878">+_xlfn.IFS((C7878&gt;='Resultats - informe'!$D$26)*(C7878&lt;='Resultats - informe'!$E$26),0,(C7878&gt;='Resultats - informe'!$D$27)*(C7878&lt;='Resultats - informe'!$E$27),0,(C7878&gt;='Resultats - informe'!$D$28)*(C7878&lt;='Resultats - informe'!$E$28),0,(C7878&gt;='Resultats - informe'!$D$29)*(C7878&lt;='Resultats - informe'!$E$29),0,1,1)</f>
        <v>0</v>
      </c>
      <c r="N7878" s="366">
        <f>+VLOOKUP(D7878,'Resultats - informe'!$Y$18:$AG$42,'Introducció dades consum'!K7878+1,0)</f>
        <v>0</v>
      </c>
      <c r="O7878" s="370" cm="1">
        <f t="array" ref="O7878">+_xlfn.SWITCH(MONTH(C7878),1,1,2,1,3,1,4,2,5,2,6,3,7,3,8,3,9,3,10,2,11,2,12,1,2)</f>
        <v>1</v>
      </c>
      <c r="P7878" s="43"/>
    </row>
    <row r="7879" spans="1:16" ht="18" x14ac:dyDescent="0.35">
      <c r="A7879" s="9"/>
      <c r="C7879" s="393"/>
      <c r="E7879" s="394"/>
      <c r="F7879" s="394"/>
      <c r="G7879" s="394"/>
      <c r="I7879" s="368">
        <f t="shared" si="372"/>
        <v>0</v>
      </c>
      <c r="J7879" s="365">
        <f t="shared" si="373"/>
        <v>0</v>
      </c>
      <c r="K7879" s="369">
        <f t="shared" si="374"/>
        <v>6</v>
      </c>
      <c r="L7879" s="369">
        <f>+IF((C7879&gt;='Resultats - informe'!$E$16)*(C7879&lt;='Resultats - informe'!$G$16),1,0)</f>
        <v>1</v>
      </c>
      <c r="M7879" s="369" cm="1">
        <f t="array" ref="M7879">+_xlfn.IFS((C7879&gt;='Resultats - informe'!$D$26)*(C7879&lt;='Resultats - informe'!$E$26),0,(C7879&gt;='Resultats - informe'!$D$27)*(C7879&lt;='Resultats - informe'!$E$27),0,(C7879&gt;='Resultats - informe'!$D$28)*(C7879&lt;='Resultats - informe'!$E$28),0,(C7879&gt;='Resultats - informe'!$D$29)*(C7879&lt;='Resultats - informe'!$E$29),0,1,1)</f>
        <v>0</v>
      </c>
      <c r="N7879" s="366">
        <f>+VLOOKUP(D7879,'Resultats - informe'!$Y$18:$AG$42,'Introducció dades consum'!K7879+1,0)</f>
        <v>0</v>
      </c>
      <c r="O7879" s="370" cm="1">
        <f t="array" ref="O7879">+_xlfn.SWITCH(MONTH(C7879),1,1,2,1,3,1,4,2,5,2,6,3,7,3,8,3,9,3,10,2,11,2,12,1,2)</f>
        <v>1</v>
      </c>
      <c r="P7879" s="43"/>
    </row>
    <row r="7880" spans="1:16" ht="18" x14ac:dyDescent="0.35">
      <c r="A7880" s="9"/>
      <c r="C7880" s="393"/>
      <c r="E7880" s="394"/>
      <c r="F7880" s="394"/>
      <c r="G7880" s="394"/>
      <c r="I7880" s="368">
        <f t="shared" si="372"/>
        <v>0</v>
      </c>
      <c r="J7880" s="365">
        <f t="shared" si="373"/>
        <v>0</v>
      </c>
      <c r="K7880" s="369">
        <f t="shared" si="374"/>
        <v>6</v>
      </c>
      <c r="L7880" s="369">
        <f>+IF((C7880&gt;='Resultats - informe'!$E$16)*(C7880&lt;='Resultats - informe'!$G$16),1,0)</f>
        <v>1</v>
      </c>
      <c r="M7880" s="369" cm="1">
        <f t="array" ref="M7880">+_xlfn.IFS((C7880&gt;='Resultats - informe'!$D$26)*(C7880&lt;='Resultats - informe'!$E$26),0,(C7880&gt;='Resultats - informe'!$D$27)*(C7880&lt;='Resultats - informe'!$E$27),0,(C7880&gt;='Resultats - informe'!$D$28)*(C7880&lt;='Resultats - informe'!$E$28),0,(C7880&gt;='Resultats - informe'!$D$29)*(C7880&lt;='Resultats - informe'!$E$29),0,1,1)</f>
        <v>0</v>
      </c>
      <c r="N7880" s="366">
        <f>+VLOOKUP(D7880,'Resultats - informe'!$Y$18:$AG$42,'Introducció dades consum'!K7880+1,0)</f>
        <v>0</v>
      </c>
      <c r="O7880" s="370" cm="1">
        <f t="array" ref="O7880">+_xlfn.SWITCH(MONTH(C7880),1,1,2,1,3,1,4,2,5,2,6,3,7,3,8,3,9,3,10,2,11,2,12,1,2)</f>
        <v>1</v>
      </c>
      <c r="P7880" s="43"/>
    </row>
    <row r="7881" spans="1:16" ht="18" x14ac:dyDescent="0.35">
      <c r="A7881" s="9"/>
      <c r="C7881" s="393"/>
      <c r="E7881" s="394"/>
      <c r="F7881" s="394"/>
      <c r="G7881" s="394"/>
      <c r="I7881" s="368">
        <f t="shared" si="372"/>
        <v>0</v>
      </c>
      <c r="J7881" s="365">
        <f t="shared" si="373"/>
        <v>0</v>
      </c>
      <c r="K7881" s="369">
        <f t="shared" si="374"/>
        <v>6</v>
      </c>
      <c r="L7881" s="369">
        <f>+IF((C7881&gt;='Resultats - informe'!$E$16)*(C7881&lt;='Resultats - informe'!$G$16),1,0)</f>
        <v>1</v>
      </c>
      <c r="M7881" s="369" cm="1">
        <f t="array" ref="M7881">+_xlfn.IFS((C7881&gt;='Resultats - informe'!$D$26)*(C7881&lt;='Resultats - informe'!$E$26),0,(C7881&gt;='Resultats - informe'!$D$27)*(C7881&lt;='Resultats - informe'!$E$27),0,(C7881&gt;='Resultats - informe'!$D$28)*(C7881&lt;='Resultats - informe'!$E$28),0,(C7881&gt;='Resultats - informe'!$D$29)*(C7881&lt;='Resultats - informe'!$E$29),0,1,1)</f>
        <v>0</v>
      </c>
      <c r="N7881" s="366">
        <f>+VLOOKUP(D7881,'Resultats - informe'!$Y$18:$AG$42,'Introducció dades consum'!K7881+1,0)</f>
        <v>0</v>
      </c>
      <c r="O7881" s="370" cm="1">
        <f t="array" ref="O7881">+_xlfn.SWITCH(MONTH(C7881),1,1,2,1,3,1,4,2,5,2,6,3,7,3,8,3,9,3,10,2,11,2,12,1,2)</f>
        <v>1</v>
      </c>
      <c r="P7881" s="43"/>
    </row>
    <row r="7882" spans="1:16" ht="18" x14ac:dyDescent="0.35">
      <c r="A7882" s="9"/>
      <c r="C7882" s="393"/>
      <c r="E7882" s="394"/>
      <c r="F7882" s="394"/>
      <c r="G7882" s="394"/>
      <c r="I7882" s="368">
        <f t="shared" si="372"/>
        <v>0</v>
      </c>
      <c r="J7882" s="365">
        <f t="shared" si="373"/>
        <v>0</v>
      </c>
      <c r="K7882" s="369">
        <f t="shared" si="374"/>
        <v>6</v>
      </c>
      <c r="L7882" s="369">
        <f>+IF((C7882&gt;='Resultats - informe'!$E$16)*(C7882&lt;='Resultats - informe'!$G$16),1,0)</f>
        <v>1</v>
      </c>
      <c r="M7882" s="369" cm="1">
        <f t="array" ref="M7882">+_xlfn.IFS((C7882&gt;='Resultats - informe'!$D$26)*(C7882&lt;='Resultats - informe'!$E$26),0,(C7882&gt;='Resultats - informe'!$D$27)*(C7882&lt;='Resultats - informe'!$E$27),0,(C7882&gt;='Resultats - informe'!$D$28)*(C7882&lt;='Resultats - informe'!$E$28),0,(C7882&gt;='Resultats - informe'!$D$29)*(C7882&lt;='Resultats - informe'!$E$29),0,1,1)</f>
        <v>0</v>
      </c>
      <c r="N7882" s="366">
        <f>+VLOOKUP(D7882,'Resultats - informe'!$Y$18:$AG$42,'Introducció dades consum'!K7882+1,0)</f>
        <v>0</v>
      </c>
      <c r="O7882" s="370" cm="1">
        <f t="array" ref="O7882">+_xlfn.SWITCH(MONTH(C7882),1,1,2,1,3,1,4,2,5,2,6,3,7,3,8,3,9,3,10,2,11,2,12,1,2)</f>
        <v>1</v>
      </c>
      <c r="P7882" s="43"/>
    </row>
    <row r="7883" spans="1:16" ht="18" x14ac:dyDescent="0.35">
      <c r="A7883" s="9"/>
      <c r="C7883" s="393"/>
      <c r="E7883" s="394"/>
      <c r="F7883" s="394"/>
      <c r="G7883" s="394"/>
      <c r="I7883" s="368">
        <f t="shared" si="372"/>
        <v>0</v>
      </c>
      <c r="J7883" s="365">
        <f t="shared" si="373"/>
        <v>0</v>
      </c>
      <c r="K7883" s="369">
        <f t="shared" si="374"/>
        <v>6</v>
      </c>
      <c r="L7883" s="369">
        <f>+IF((C7883&gt;='Resultats - informe'!$E$16)*(C7883&lt;='Resultats - informe'!$G$16),1,0)</f>
        <v>1</v>
      </c>
      <c r="M7883" s="369" cm="1">
        <f t="array" ref="M7883">+_xlfn.IFS((C7883&gt;='Resultats - informe'!$D$26)*(C7883&lt;='Resultats - informe'!$E$26),0,(C7883&gt;='Resultats - informe'!$D$27)*(C7883&lt;='Resultats - informe'!$E$27),0,(C7883&gt;='Resultats - informe'!$D$28)*(C7883&lt;='Resultats - informe'!$E$28),0,(C7883&gt;='Resultats - informe'!$D$29)*(C7883&lt;='Resultats - informe'!$E$29),0,1,1)</f>
        <v>0</v>
      </c>
      <c r="N7883" s="366">
        <f>+VLOOKUP(D7883,'Resultats - informe'!$Y$18:$AG$42,'Introducció dades consum'!K7883+1,0)</f>
        <v>0</v>
      </c>
      <c r="O7883" s="370" cm="1">
        <f t="array" ref="O7883">+_xlfn.SWITCH(MONTH(C7883),1,1,2,1,3,1,4,2,5,2,6,3,7,3,8,3,9,3,10,2,11,2,12,1,2)</f>
        <v>1</v>
      </c>
      <c r="P7883" s="43"/>
    </row>
    <row r="7884" spans="1:16" ht="18" x14ac:dyDescent="0.35">
      <c r="A7884" s="9"/>
      <c r="C7884" s="393"/>
      <c r="E7884" s="394"/>
      <c r="F7884" s="394"/>
      <c r="G7884" s="394"/>
      <c r="I7884" s="368">
        <f t="shared" si="372"/>
        <v>0</v>
      </c>
      <c r="J7884" s="365">
        <f t="shared" si="373"/>
        <v>0</v>
      </c>
      <c r="K7884" s="369">
        <f t="shared" si="374"/>
        <v>6</v>
      </c>
      <c r="L7884" s="369">
        <f>+IF((C7884&gt;='Resultats - informe'!$E$16)*(C7884&lt;='Resultats - informe'!$G$16),1,0)</f>
        <v>1</v>
      </c>
      <c r="M7884" s="369" cm="1">
        <f t="array" ref="M7884">+_xlfn.IFS((C7884&gt;='Resultats - informe'!$D$26)*(C7884&lt;='Resultats - informe'!$E$26),0,(C7884&gt;='Resultats - informe'!$D$27)*(C7884&lt;='Resultats - informe'!$E$27),0,(C7884&gt;='Resultats - informe'!$D$28)*(C7884&lt;='Resultats - informe'!$E$28),0,(C7884&gt;='Resultats - informe'!$D$29)*(C7884&lt;='Resultats - informe'!$E$29),0,1,1)</f>
        <v>0</v>
      </c>
      <c r="N7884" s="366">
        <f>+VLOOKUP(D7884,'Resultats - informe'!$Y$18:$AG$42,'Introducció dades consum'!K7884+1,0)</f>
        <v>0</v>
      </c>
      <c r="O7884" s="370" cm="1">
        <f t="array" ref="O7884">+_xlfn.SWITCH(MONTH(C7884),1,1,2,1,3,1,4,2,5,2,6,3,7,3,8,3,9,3,10,2,11,2,12,1,2)</f>
        <v>1</v>
      </c>
      <c r="P7884" s="43"/>
    </row>
    <row r="7885" spans="1:16" ht="18" x14ac:dyDescent="0.35">
      <c r="A7885" s="9"/>
      <c r="C7885" s="393"/>
      <c r="E7885" s="394"/>
      <c r="F7885" s="394"/>
      <c r="G7885" s="394"/>
      <c r="I7885" s="368">
        <f t="shared" si="372"/>
        <v>0</v>
      </c>
      <c r="J7885" s="365">
        <f t="shared" si="373"/>
        <v>0</v>
      </c>
      <c r="K7885" s="369">
        <f t="shared" si="374"/>
        <v>6</v>
      </c>
      <c r="L7885" s="369">
        <f>+IF((C7885&gt;='Resultats - informe'!$E$16)*(C7885&lt;='Resultats - informe'!$G$16),1,0)</f>
        <v>1</v>
      </c>
      <c r="M7885" s="369" cm="1">
        <f t="array" ref="M7885">+_xlfn.IFS((C7885&gt;='Resultats - informe'!$D$26)*(C7885&lt;='Resultats - informe'!$E$26),0,(C7885&gt;='Resultats - informe'!$D$27)*(C7885&lt;='Resultats - informe'!$E$27),0,(C7885&gt;='Resultats - informe'!$D$28)*(C7885&lt;='Resultats - informe'!$E$28),0,(C7885&gt;='Resultats - informe'!$D$29)*(C7885&lt;='Resultats - informe'!$E$29),0,1,1)</f>
        <v>0</v>
      </c>
      <c r="N7885" s="366">
        <f>+VLOOKUP(D7885,'Resultats - informe'!$Y$18:$AG$42,'Introducció dades consum'!K7885+1,0)</f>
        <v>0</v>
      </c>
      <c r="O7885" s="370" cm="1">
        <f t="array" ref="O7885">+_xlfn.SWITCH(MONTH(C7885),1,1,2,1,3,1,4,2,5,2,6,3,7,3,8,3,9,3,10,2,11,2,12,1,2)</f>
        <v>1</v>
      </c>
      <c r="P7885" s="43"/>
    </row>
    <row r="7886" spans="1:16" ht="18" x14ac:dyDescent="0.35">
      <c r="A7886" s="9"/>
      <c r="C7886" s="393"/>
      <c r="E7886" s="394"/>
      <c r="F7886" s="394"/>
      <c r="G7886" s="394"/>
      <c r="I7886" s="368">
        <f t="shared" si="372"/>
        <v>0</v>
      </c>
      <c r="J7886" s="365">
        <f t="shared" si="373"/>
        <v>0</v>
      </c>
      <c r="K7886" s="369">
        <f t="shared" si="374"/>
        <v>6</v>
      </c>
      <c r="L7886" s="369">
        <f>+IF((C7886&gt;='Resultats - informe'!$E$16)*(C7886&lt;='Resultats - informe'!$G$16),1,0)</f>
        <v>1</v>
      </c>
      <c r="M7886" s="369" cm="1">
        <f t="array" ref="M7886">+_xlfn.IFS((C7886&gt;='Resultats - informe'!$D$26)*(C7886&lt;='Resultats - informe'!$E$26),0,(C7886&gt;='Resultats - informe'!$D$27)*(C7886&lt;='Resultats - informe'!$E$27),0,(C7886&gt;='Resultats - informe'!$D$28)*(C7886&lt;='Resultats - informe'!$E$28),0,(C7886&gt;='Resultats - informe'!$D$29)*(C7886&lt;='Resultats - informe'!$E$29),0,1,1)</f>
        <v>0</v>
      </c>
      <c r="N7886" s="366">
        <f>+VLOOKUP(D7886,'Resultats - informe'!$Y$18:$AG$42,'Introducció dades consum'!K7886+1,0)</f>
        <v>0</v>
      </c>
      <c r="O7886" s="370" cm="1">
        <f t="array" ref="O7886">+_xlfn.SWITCH(MONTH(C7886),1,1,2,1,3,1,4,2,5,2,6,3,7,3,8,3,9,3,10,2,11,2,12,1,2)</f>
        <v>1</v>
      </c>
      <c r="P7886" s="43"/>
    </row>
    <row r="7887" spans="1:16" ht="18" x14ac:dyDescent="0.35">
      <c r="A7887" s="9"/>
      <c r="C7887" s="393"/>
      <c r="E7887" s="394"/>
      <c r="F7887" s="394"/>
      <c r="G7887" s="394"/>
      <c r="I7887" s="368">
        <f t="shared" si="372"/>
        <v>0</v>
      </c>
      <c r="J7887" s="365">
        <f t="shared" si="373"/>
        <v>0</v>
      </c>
      <c r="K7887" s="369">
        <f t="shared" si="374"/>
        <v>6</v>
      </c>
      <c r="L7887" s="369">
        <f>+IF((C7887&gt;='Resultats - informe'!$E$16)*(C7887&lt;='Resultats - informe'!$G$16),1,0)</f>
        <v>1</v>
      </c>
      <c r="M7887" s="369" cm="1">
        <f t="array" ref="M7887">+_xlfn.IFS((C7887&gt;='Resultats - informe'!$D$26)*(C7887&lt;='Resultats - informe'!$E$26),0,(C7887&gt;='Resultats - informe'!$D$27)*(C7887&lt;='Resultats - informe'!$E$27),0,(C7887&gt;='Resultats - informe'!$D$28)*(C7887&lt;='Resultats - informe'!$E$28),0,(C7887&gt;='Resultats - informe'!$D$29)*(C7887&lt;='Resultats - informe'!$E$29),0,1,1)</f>
        <v>0</v>
      </c>
      <c r="N7887" s="366">
        <f>+VLOOKUP(D7887,'Resultats - informe'!$Y$18:$AG$42,'Introducció dades consum'!K7887+1,0)</f>
        <v>0</v>
      </c>
      <c r="O7887" s="370" cm="1">
        <f t="array" ref="O7887">+_xlfn.SWITCH(MONTH(C7887),1,1,2,1,3,1,4,2,5,2,6,3,7,3,8,3,9,3,10,2,11,2,12,1,2)</f>
        <v>1</v>
      </c>
      <c r="P7887" s="43"/>
    </row>
    <row r="7888" spans="1:16" ht="18" x14ac:dyDescent="0.35">
      <c r="A7888" s="9"/>
      <c r="C7888" s="393"/>
      <c r="E7888" s="394"/>
      <c r="F7888" s="394"/>
      <c r="G7888" s="394"/>
      <c r="I7888" s="368">
        <f t="shared" si="372"/>
        <v>0</v>
      </c>
      <c r="J7888" s="365">
        <f t="shared" si="373"/>
        <v>0</v>
      </c>
      <c r="K7888" s="369">
        <f t="shared" si="374"/>
        <v>6</v>
      </c>
      <c r="L7888" s="369">
        <f>+IF((C7888&gt;='Resultats - informe'!$E$16)*(C7888&lt;='Resultats - informe'!$G$16),1,0)</f>
        <v>1</v>
      </c>
      <c r="M7888" s="369" cm="1">
        <f t="array" ref="M7888">+_xlfn.IFS((C7888&gt;='Resultats - informe'!$D$26)*(C7888&lt;='Resultats - informe'!$E$26),0,(C7888&gt;='Resultats - informe'!$D$27)*(C7888&lt;='Resultats - informe'!$E$27),0,(C7888&gt;='Resultats - informe'!$D$28)*(C7888&lt;='Resultats - informe'!$E$28),0,(C7888&gt;='Resultats - informe'!$D$29)*(C7888&lt;='Resultats - informe'!$E$29),0,1,1)</f>
        <v>0</v>
      </c>
      <c r="N7888" s="366">
        <f>+VLOOKUP(D7888,'Resultats - informe'!$Y$18:$AG$42,'Introducció dades consum'!K7888+1,0)</f>
        <v>0</v>
      </c>
      <c r="O7888" s="370" cm="1">
        <f t="array" ref="O7888">+_xlfn.SWITCH(MONTH(C7888),1,1,2,1,3,1,4,2,5,2,6,3,7,3,8,3,9,3,10,2,11,2,12,1,2)</f>
        <v>1</v>
      </c>
      <c r="P7888" s="43"/>
    </row>
    <row r="7889" spans="1:16" ht="18" x14ac:dyDescent="0.35">
      <c r="A7889" s="9"/>
      <c r="C7889" s="393"/>
      <c r="E7889" s="394"/>
      <c r="F7889" s="394"/>
      <c r="G7889" s="394"/>
      <c r="I7889" s="368">
        <f t="shared" si="372"/>
        <v>0</v>
      </c>
      <c r="J7889" s="365">
        <f t="shared" si="373"/>
        <v>0</v>
      </c>
      <c r="K7889" s="369">
        <f t="shared" si="374"/>
        <v>6</v>
      </c>
      <c r="L7889" s="369">
        <f>+IF((C7889&gt;='Resultats - informe'!$E$16)*(C7889&lt;='Resultats - informe'!$G$16),1,0)</f>
        <v>1</v>
      </c>
      <c r="M7889" s="369" cm="1">
        <f t="array" ref="M7889">+_xlfn.IFS((C7889&gt;='Resultats - informe'!$D$26)*(C7889&lt;='Resultats - informe'!$E$26),0,(C7889&gt;='Resultats - informe'!$D$27)*(C7889&lt;='Resultats - informe'!$E$27),0,(C7889&gt;='Resultats - informe'!$D$28)*(C7889&lt;='Resultats - informe'!$E$28),0,(C7889&gt;='Resultats - informe'!$D$29)*(C7889&lt;='Resultats - informe'!$E$29),0,1,1)</f>
        <v>0</v>
      </c>
      <c r="N7889" s="366">
        <f>+VLOOKUP(D7889,'Resultats - informe'!$Y$18:$AG$42,'Introducció dades consum'!K7889+1,0)</f>
        <v>0</v>
      </c>
      <c r="O7889" s="370" cm="1">
        <f t="array" ref="O7889">+_xlfn.SWITCH(MONTH(C7889),1,1,2,1,3,1,4,2,5,2,6,3,7,3,8,3,9,3,10,2,11,2,12,1,2)</f>
        <v>1</v>
      </c>
      <c r="P7889" s="43"/>
    </row>
    <row r="7890" spans="1:16" ht="18" x14ac:dyDescent="0.35">
      <c r="A7890" s="9"/>
      <c r="C7890" s="393"/>
      <c r="E7890" s="394"/>
      <c r="F7890" s="394"/>
      <c r="G7890" s="394"/>
      <c r="I7890" s="368">
        <f t="shared" ref="I7890:I7953" si="375">+E7890+G7890</f>
        <v>0</v>
      </c>
      <c r="J7890" s="365">
        <f t="shared" ref="J7890:J7953" si="376">+C7890</f>
        <v>0</v>
      </c>
      <c r="K7890" s="369">
        <f t="shared" ref="K7890:K7953" si="377">+WEEKDAY(C7890,2)</f>
        <v>6</v>
      </c>
      <c r="L7890" s="369">
        <f>+IF((C7890&gt;='Resultats - informe'!$E$16)*(C7890&lt;='Resultats - informe'!$G$16),1,0)</f>
        <v>1</v>
      </c>
      <c r="M7890" s="369" cm="1">
        <f t="array" ref="M7890">+_xlfn.IFS((C7890&gt;='Resultats - informe'!$D$26)*(C7890&lt;='Resultats - informe'!$E$26),0,(C7890&gt;='Resultats - informe'!$D$27)*(C7890&lt;='Resultats - informe'!$E$27),0,(C7890&gt;='Resultats - informe'!$D$28)*(C7890&lt;='Resultats - informe'!$E$28),0,(C7890&gt;='Resultats - informe'!$D$29)*(C7890&lt;='Resultats - informe'!$E$29),0,1,1)</f>
        <v>0</v>
      </c>
      <c r="N7890" s="366">
        <f>+VLOOKUP(D7890,'Resultats - informe'!$Y$18:$AG$42,'Introducció dades consum'!K7890+1,0)</f>
        <v>0</v>
      </c>
      <c r="O7890" s="370" cm="1">
        <f t="array" ref="O7890">+_xlfn.SWITCH(MONTH(C7890),1,1,2,1,3,1,4,2,5,2,6,3,7,3,8,3,9,3,10,2,11,2,12,1,2)</f>
        <v>1</v>
      </c>
      <c r="P7890" s="43"/>
    </row>
    <row r="7891" spans="1:16" ht="18" x14ac:dyDescent="0.35">
      <c r="A7891" s="9"/>
      <c r="C7891" s="393"/>
      <c r="E7891" s="394"/>
      <c r="F7891" s="394"/>
      <c r="G7891" s="394"/>
      <c r="I7891" s="368">
        <f t="shared" si="375"/>
        <v>0</v>
      </c>
      <c r="J7891" s="365">
        <f t="shared" si="376"/>
        <v>0</v>
      </c>
      <c r="K7891" s="369">
        <f t="shared" si="377"/>
        <v>6</v>
      </c>
      <c r="L7891" s="369">
        <f>+IF((C7891&gt;='Resultats - informe'!$E$16)*(C7891&lt;='Resultats - informe'!$G$16),1,0)</f>
        <v>1</v>
      </c>
      <c r="M7891" s="369" cm="1">
        <f t="array" ref="M7891">+_xlfn.IFS((C7891&gt;='Resultats - informe'!$D$26)*(C7891&lt;='Resultats - informe'!$E$26),0,(C7891&gt;='Resultats - informe'!$D$27)*(C7891&lt;='Resultats - informe'!$E$27),0,(C7891&gt;='Resultats - informe'!$D$28)*(C7891&lt;='Resultats - informe'!$E$28),0,(C7891&gt;='Resultats - informe'!$D$29)*(C7891&lt;='Resultats - informe'!$E$29),0,1,1)</f>
        <v>0</v>
      </c>
      <c r="N7891" s="366">
        <f>+VLOOKUP(D7891,'Resultats - informe'!$Y$18:$AG$42,'Introducció dades consum'!K7891+1,0)</f>
        <v>0</v>
      </c>
      <c r="O7891" s="370" cm="1">
        <f t="array" ref="O7891">+_xlfn.SWITCH(MONTH(C7891),1,1,2,1,3,1,4,2,5,2,6,3,7,3,8,3,9,3,10,2,11,2,12,1,2)</f>
        <v>1</v>
      </c>
      <c r="P7891" s="43"/>
    </row>
    <row r="7892" spans="1:16" ht="18" x14ac:dyDescent="0.35">
      <c r="A7892" s="9"/>
      <c r="C7892" s="393"/>
      <c r="E7892" s="394"/>
      <c r="F7892" s="394"/>
      <c r="G7892" s="394"/>
      <c r="I7892" s="368">
        <f t="shared" si="375"/>
        <v>0</v>
      </c>
      <c r="J7892" s="365">
        <f t="shared" si="376"/>
        <v>0</v>
      </c>
      <c r="K7892" s="369">
        <f t="shared" si="377"/>
        <v>6</v>
      </c>
      <c r="L7892" s="369">
        <f>+IF((C7892&gt;='Resultats - informe'!$E$16)*(C7892&lt;='Resultats - informe'!$G$16),1,0)</f>
        <v>1</v>
      </c>
      <c r="M7892" s="369" cm="1">
        <f t="array" ref="M7892">+_xlfn.IFS((C7892&gt;='Resultats - informe'!$D$26)*(C7892&lt;='Resultats - informe'!$E$26),0,(C7892&gt;='Resultats - informe'!$D$27)*(C7892&lt;='Resultats - informe'!$E$27),0,(C7892&gt;='Resultats - informe'!$D$28)*(C7892&lt;='Resultats - informe'!$E$28),0,(C7892&gt;='Resultats - informe'!$D$29)*(C7892&lt;='Resultats - informe'!$E$29),0,1,1)</f>
        <v>0</v>
      </c>
      <c r="N7892" s="366">
        <f>+VLOOKUP(D7892,'Resultats - informe'!$Y$18:$AG$42,'Introducció dades consum'!K7892+1,0)</f>
        <v>0</v>
      </c>
      <c r="O7892" s="370" cm="1">
        <f t="array" ref="O7892">+_xlfn.SWITCH(MONTH(C7892),1,1,2,1,3,1,4,2,5,2,6,3,7,3,8,3,9,3,10,2,11,2,12,1,2)</f>
        <v>1</v>
      </c>
      <c r="P7892" s="43"/>
    </row>
    <row r="7893" spans="1:16" ht="18" x14ac:dyDescent="0.35">
      <c r="A7893" s="9"/>
      <c r="C7893" s="393"/>
      <c r="E7893" s="394"/>
      <c r="F7893" s="394"/>
      <c r="G7893" s="394"/>
      <c r="I7893" s="368">
        <f t="shared" si="375"/>
        <v>0</v>
      </c>
      <c r="J7893" s="365">
        <f t="shared" si="376"/>
        <v>0</v>
      </c>
      <c r="K7893" s="369">
        <f t="shared" si="377"/>
        <v>6</v>
      </c>
      <c r="L7893" s="369">
        <f>+IF((C7893&gt;='Resultats - informe'!$E$16)*(C7893&lt;='Resultats - informe'!$G$16),1,0)</f>
        <v>1</v>
      </c>
      <c r="M7893" s="369" cm="1">
        <f t="array" ref="M7893">+_xlfn.IFS((C7893&gt;='Resultats - informe'!$D$26)*(C7893&lt;='Resultats - informe'!$E$26),0,(C7893&gt;='Resultats - informe'!$D$27)*(C7893&lt;='Resultats - informe'!$E$27),0,(C7893&gt;='Resultats - informe'!$D$28)*(C7893&lt;='Resultats - informe'!$E$28),0,(C7893&gt;='Resultats - informe'!$D$29)*(C7893&lt;='Resultats - informe'!$E$29),0,1,1)</f>
        <v>0</v>
      </c>
      <c r="N7893" s="366">
        <f>+VLOOKUP(D7893,'Resultats - informe'!$Y$18:$AG$42,'Introducció dades consum'!K7893+1,0)</f>
        <v>0</v>
      </c>
      <c r="O7893" s="370" cm="1">
        <f t="array" ref="O7893">+_xlfn.SWITCH(MONTH(C7893),1,1,2,1,3,1,4,2,5,2,6,3,7,3,8,3,9,3,10,2,11,2,12,1,2)</f>
        <v>1</v>
      </c>
      <c r="P7893" s="43"/>
    </row>
    <row r="7894" spans="1:16" ht="18" x14ac:dyDescent="0.35">
      <c r="A7894" s="9"/>
      <c r="C7894" s="393"/>
      <c r="E7894" s="394"/>
      <c r="F7894" s="394"/>
      <c r="G7894" s="394"/>
      <c r="I7894" s="368">
        <f t="shared" si="375"/>
        <v>0</v>
      </c>
      <c r="J7894" s="365">
        <f t="shared" si="376"/>
        <v>0</v>
      </c>
      <c r="K7894" s="369">
        <f t="shared" si="377"/>
        <v>6</v>
      </c>
      <c r="L7894" s="369">
        <f>+IF((C7894&gt;='Resultats - informe'!$E$16)*(C7894&lt;='Resultats - informe'!$G$16),1,0)</f>
        <v>1</v>
      </c>
      <c r="M7894" s="369" cm="1">
        <f t="array" ref="M7894">+_xlfn.IFS((C7894&gt;='Resultats - informe'!$D$26)*(C7894&lt;='Resultats - informe'!$E$26),0,(C7894&gt;='Resultats - informe'!$D$27)*(C7894&lt;='Resultats - informe'!$E$27),0,(C7894&gt;='Resultats - informe'!$D$28)*(C7894&lt;='Resultats - informe'!$E$28),0,(C7894&gt;='Resultats - informe'!$D$29)*(C7894&lt;='Resultats - informe'!$E$29),0,1,1)</f>
        <v>0</v>
      </c>
      <c r="N7894" s="366">
        <f>+VLOOKUP(D7894,'Resultats - informe'!$Y$18:$AG$42,'Introducció dades consum'!K7894+1,0)</f>
        <v>0</v>
      </c>
      <c r="O7894" s="370" cm="1">
        <f t="array" ref="O7894">+_xlfn.SWITCH(MONTH(C7894),1,1,2,1,3,1,4,2,5,2,6,3,7,3,8,3,9,3,10,2,11,2,12,1,2)</f>
        <v>1</v>
      </c>
      <c r="P7894" s="43"/>
    </row>
    <row r="7895" spans="1:16" ht="18" x14ac:dyDescent="0.35">
      <c r="A7895" s="9"/>
      <c r="C7895" s="393"/>
      <c r="E7895" s="394"/>
      <c r="F7895" s="394"/>
      <c r="G7895" s="394"/>
      <c r="I7895" s="368">
        <f t="shared" si="375"/>
        <v>0</v>
      </c>
      <c r="J7895" s="365">
        <f t="shared" si="376"/>
        <v>0</v>
      </c>
      <c r="K7895" s="369">
        <f t="shared" si="377"/>
        <v>6</v>
      </c>
      <c r="L7895" s="369">
        <f>+IF((C7895&gt;='Resultats - informe'!$E$16)*(C7895&lt;='Resultats - informe'!$G$16),1,0)</f>
        <v>1</v>
      </c>
      <c r="M7895" s="369" cm="1">
        <f t="array" ref="M7895">+_xlfn.IFS((C7895&gt;='Resultats - informe'!$D$26)*(C7895&lt;='Resultats - informe'!$E$26),0,(C7895&gt;='Resultats - informe'!$D$27)*(C7895&lt;='Resultats - informe'!$E$27),0,(C7895&gt;='Resultats - informe'!$D$28)*(C7895&lt;='Resultats - informe'!$E$28),0,(C7895&gt;='Resultats - informe'!$D$29)*(C7895&lt;='Resultats - informe'!$E$29),0,1,1)</f>
        <v>0</v>
      </c>
      <c r="N7895" s="366">
        <f>+VLOOKUP(D7895,'Resultats - informe'!$Y$18:$AG$42,'Introducció dades consum'!K7895+1,0)</f>
        <v>0</v>
      </c>
      <c r="O7895" s="370" cm="1">
        <f t="array" ref="O7895">+_xlfn.SWITCH(MONTH(C7895),1,1,2,1,3,1,4,2,5,2,6,3,7,3,8,3,9,3,10,2,11,2,12,1,2)</f>
        <v>1</v>
      </c>
      <c r="P7895" s="43"/>
    </row>
    <row r="7896" spans="1:16" ht="18" x14ac:dyDescent="0.35">
      <c r="A7896" s="9"/>
      <c r="C7896" s="393"/>
      <c r="E7896" s="394"/>
      <c r="F7896" s="394"/>
      <c r="G7896" s="394"/>
      <c r="I7896" s="368">
        <f t="shared" si="375"/>
        <v>0</v>
      </c>
      <c r="J7896" s="365">
        <f t="shared" si="376"/>
        <v>0</v>
      </c>
      <c r="K7896" s="369">
        <f t="shared" si="377"/>
        <v>6</v>
      </c>
      <c r="L7896" s="369">
        <f>+IF((C7896&gt;='Resultats - informe'!$E$16)*(C7896&lt;='Resultats - informe'!$G$16),1,0)</f>
        <v>1</v>
      </c>
      <c r="M7896" s="369" cm="1">
        <f t="array" ref="M7896">+_xlfn.IFS((C7896&gt;='Resultats - informe'!$D$26)*(C7896&lt;='Resultats - informe'!$E$26),0,(C7896&gt;='Resultats - informe'!$D$27)*(C7896&lt;='Resultats - informe'!$E$27),0,(C7896&gt;='Resultats - informe'!$D$28)*(C7896&lt;='Resultats - informe'!$E$28),0,(C7896&gt;='Resultats - informe'!$D$29)*(C7896&lt;='Resultats - informe'!$E$29),0,1,1)</f>
        <v>0</v>
      </c>
      <c r="N7896" s="366">
        <f>+VLOOKUP(D7896,'Resultats - informe'!$Y$18:$AG$42,'Introducció dades consum'!K7896+1,0)</f>
        <v>0</v>
      </c>
      <c r="O7896" s="370" cm="1">
        <f t="array" ref="O7896">+_xlfn.SWITCH(MONTH(C7896),1,1,2,1,3,1,4,2,5,2,6,3,7,3,8,3,9,3,10,2,11,2,12,1,2)</f>
        <v>1</v>
      </c>
      <c r="P7896" s="43"/>
    </row>
    <row r="7897" spans="1:16" ht="18" x14ac:dyDescent="0.35">
      <c r="A7897" s="9"/>
      <c r="C7897" s="393"/>
      <c r="E7897" s="394"/>
      <c r="F7897" s="394"/>
      <c r="G7897" s="394"/>
      <c r="I7897" s="368">
        <f t="shared" si="375"/>
        <v>0</v>
      </c>
      <c r="J7897" s="365">
        <f t="shared" si="376"/>
        <v>0</v>
      </c>
      <c r="K7897" s="369">
        <f t="shared" si="377"/>
        <v>6</v>
      </c>
      <c r="L7897" s="369">
        <f>+IF((C7897&gt;='Resultats - informe'!$E$16)*(C7897&lt;='Resultats - informe'!$G$16),1,0)</f>
        <v>1</v>
      </c>
      <c r="M7897" s="369" cm="1">
        <f t="array" ref="M7897">+_xlfn.IFS((C7897&gt;='Resultats - informe'!$D$26)*(C7897&lt;='Resultats - informe'!$E$26),0,(C7897&gt;='Resultats - informe'!$D$27)*(C7897&lt;='Resultats - informe'!$E$27),0,(C7897&gt;='Resultats - informe'!$D$28)*(C7897&lt;='Resultats - informe'!$E$28),0,(C7897&gt;='Resultats - informe'!$D$29)*(C7897&lt;='Resultats - informe'!$E$29),0,1,1)</f>
        <v>0</v>
      </c>
      <c r="N7897" s="366">
        <f>+VLOOKUP(D7897,'Resultats - informe'!$Y$18:$AG$42,'Introducció dades consum'!K7897+1,0)</f>
        <v>0</v>
      </c>
      <c r="O7897" s="370" cm="1">
        <f t="array" ref="O7897">+_xlfn.SWITCH(MONTH(C7897),1,1,2,1,3,1,4,2,5,2,6,3,7,3,8,3,9,3,10,2,11,2,12,1,2)</f>
        <v>1</v>
      </c>
      <c r="P7897" s="43"/>
    </row>
    <row r="7898" spans="1:16" ht="18" x14ac:dyDescent="0.35">
      <c r="A7898" s="9"/>
      <c r="C7898" s="393"/>
      <c r="E7898" s="394"/>
      <c r="F7898" s="394"/>
      <c r="G7898" s="394"/>
      <c r="I7898" s="368">
        <f t="shared" si="375"/>
        <v>0</v>
      </c>
      <c r="J7898" s="365">
        <f t="shared" si="376"/>
        <v>0</v>
      </c>
      <c r="K7898" s="369">
        <f t="shared" si="377"/>
        <v>6</v>
      </c>
      <c r="L7898" s="369">
        <f>+IF((C7898&gt;='Resultats - informe'!$E$16)*(C7898&lt;='Resultats - informe'!$G$16),1,0)</f>
        <v>1</v>
      </c>
      <c r="M7898" s="369" cm="1">
        <f t="array" ref="M7898">+_xlfn.IFS((C7898&gt;='Resultats - informe'!$D$26)*(C7898&lt;='Resultats - informe'!$E$26),0,(C7898&gt;='Resultats - informe'!$D$27)*(C7898&lt;='Resultats - informe'!$E$27),0,(C7898&gt;='Resultats - informe'!$D$28)*(C7898&lt;='Resultats - informe'!$E$28),0,(C7898&gt;='Resultats - informe'!$D$29)*(C7898&lt;='Resultats - informe'!$E$29),0,1,1)</f>
        <v>0</v>
      </c>
      <c r="N7898" s="366">
        <f>+VLOOKUP(D7898,'Resultats - informe'!$Y$18:$AG$42,'Introducció dades consum'!K7898+1,0)</f>
        <v>0</v>
      </c>
      <c r="O7898" s="370" cm="1">
        <f t="array" ref="O7898">+_xlfn.SWITCH(MONTH(C7898),1,1,2,1,3,1,4,2,5,2,6,3,7,3,8,3,9,3,10,2,11,2,12,1,2)</f>
        <v>1</v>
      </c>
      <c r="P7898" s="43"/>
    </row>
    <row r="7899" spans="1:16" ht="18" x14ac:dyDescent="0.35">
      <c r="A7899" s="9"/>
      <c r="C7899" s="393"/>
      <c r="E7899" s="394"/>
      <c r="F7899" s="394"/>
      <c r="G7899" s="394"/>
      <c r="I7899" s="368">
        <f t="shared" si="375"/>
        <v>0</v>
      </c>
      <c r="J7899" s="365">
        <f t="shared" si="376"/>
        <v>0</v>
      </c>
      <c r="K7899" s="369">
        <f t="shared" si="377"/>
        <v>6</v>
      </c>
      <c r="L7899" s="369">
        <f>+IF((C7899&gt;='Resultats - informe'!$E$16)*(C7899&lt;='Resultats - informe'!$G$16),1,0)</f>
        <v>1</v>
      </c>
      <c r="M7899" s="369" cm="1">
        <f t="array" ref="M7899">+_xlfn.IFS((C7899&gt;='Resultats - informe'!$D$26)*(C7899&lt;='Resultats - informe'!$E$26),0,(C7899&gt;='Resultats - informe'!$D$27)*(C7899&lt;='Resultats - informe'!$E$27),0,(C7899&gt;='Resultats - informe'!$D$28)*(C7899&lt;='Resultats - informe'!$E$28),0,(C7899&gt;='Resultats - informe'!$D$29)*(C7899&lt;='Resultats - informe'!$E$29),0,1,1)</f>
        <v>0</v>
      </c>
      <c r="N7899" s="366">
        <f>+VLOOKUP(D7899,'Resultats - informe'!$Y$18:$AG$42,'Introducció dades consum'!K7899+1,0)</f>
        <v>0</v>
      </c>
      <c r="O7899" s="370" cm="1">
        <f t="array" ref="O7899">+_xlfn.SWITCH(MONTH(C7899),1,1,2,1,3,1,4,2,5,2,6,3,7,3,8,3,9,3,10,2,11,2,12,1,2)</f>
        <v>1</v>
      </c>
      <c r="P7899" s="43"/>
    </row>
    <row r="7900" spans="1:16" ht="18" x14ac:dyDescent="0.35">
      <c r="A7900" s="9"/>
      <c r="C7900" s="393"/>
      <c r="E7900" s="394"/>
      <c r="F7900" s="394"/>
      <c r="G7900" s="394"/>
      <c r="I7900" s="368">
        <f t="shared" si="375"/>
        <v>0</v>
      </c>
      <c r="J7900" s="365">
        <f t="shared" si="376"/>
        <v>0</v>
      </c>
      <c r="K7900" s="369">
        <f t="shared" si="377"/>
        <v>6</v>
      </c>
      <c r="L7900" s="369">
        <f>+IF((C7900&gt;='Resultats - informe'!$E$16)*(C7900&lt;='Resultats - informe'!$G$16),1,0)</f>
        <v>1</v>
      </c>
      <c r="M7900" s="369" cm="1">
        <f t="array" ref="M7900">+_xlfn.IFS((C7900&gt;='Resultats - informe'!$D$26)*(C7900&lt;='Resultats - informe'!$E$26),0,(C7900&gt;='Resultats - informe'!$D$27)*(C7900&lt;='Resultats - informe'!$E$27),0,(C7900&gt;='Resultats - informe'!$D$28)*(C7900&lt;='Resultats - informe'!$E$28),0,(C7900&gt;='Resultats - informe'!$D$29)*(C7900&lt;='Resultats - informe'!$E$29),0,1,1)</f>
        <v>0</v>
      </c>
      <c r="N7900" s="366">
        <f>+VLOOKUP(D7900,'Resultats - informe'!$Y$18:$AG$42,'Introducció dades consum'!K7900+1,0)</f>
        <v>0</v>
      </c>
      <c r="O7900" s="370" cm="1">
        <f t="array" ref="O7900">+_xlfn.SWITCH(MONTH(C7900),1,1,2,1,3,1,4,2,5,2,6,3,7,3,8,3,9,3,10,2,11,2,12,1,2)</f>
        <v>1</v>
      </c>
      <c r="P7900" s="43"/>
    </row>
    <row r="7901" spans="1:16" ht="18" x14ac:dyDescent="0.35">
      <c r="A7901" s="9"/>
      <c r="C7901" s="393"/>
      <c r="E7901" s="394"/>
      <c r="F7901" s="394"/>
      <c r="G7901" s="394"/>
      <c r="I7901" s="368">
        <f t="shared" si="375"/>
        <v>0</v>
      </c>
      <c r="J7901" s="365">
        <f t="shared" si="376"/>
        <v>0</v>
      </c>
      <c r="K7901" s="369">
        <f t="shared" si="377"/>
        <v>6</v>
      </c>
      <c r="L7901" s="369">
        <f>+IF((C7901&gt;='Resultats - informe'!$E$16)*(C7901&lt;='Resultats - informe'!$G$16),1,0)</f>
        <v>1</v>
      </c>
      <c r="M7901" s="369" cm="1">
        <f t="array" ref="M7901">+_xlfn.IFS((C7901&gt;='Resultats - informe'!$D$26)*(C7901&lt;='Resultats - informe'!$E$26),0,(C7901&gt;='Resultats - informe'!$D$27)*(C7901&lt;='Resultats - informe'!$E$27),0,(C7901&gt;='Resultats - informe'!$D$28)*(C7901&lt;='Resultats - informe'!$E$28),0,(C7901&gt;='Resultats - informe'!$D$29)*(C7901&lt;='Resultats - informe'!$E$29),0,1,1)</f>
        <v>0</v>
      </c>
      <c r="N7901" s="366">
        <f>+VLOOKUP(D7901,'Resultats - informe'!$Y$18:$AG$42,'Introducció dades consum'!K7901+1,0)</f>
        <v>0</v>
      </c>
      <c r="O7901" s="370" cm="1">
        <f t="array" ref="O7901">+_xlfn.SWITCH(MONTH(C7901),1,1,2,1,3,1,4,2,5,2,6,3,7,3,8,3,9,3,10,2,11,2,12,1,2)</f>
        <v>1</v>
      </c>
      <c r="P7901" s="43"/>
    </row>
    <row r="7902" spans="1:16" ht="18" x14ac:dyDescent="0.35">
      <c r="A7902" s="9"/>
      <c r="C7902" s="393"/>
      <c r="E7902" s="394"/>
      <c r="F7902" s="394"/>
      <c r="G7902" s="394"/>
      <c r="I7902" s="368">
        <f t="shared" si="375"/>
        <v>0</v>
      </c>
      <c r="J7902" s="365">
        <f t="shared" si="376"/>
        <v>0</v>
      </c>
      <c r="K7902" s="369">
        <f t="shared" si="377"/>
        <v>6</v>
      </c>
      <c r="L7902" s="369">
        <f>+IF((C7902&gt;='Resultats - informe'!$E$16)*(C7902&lt;='Resultats - informe'!$G$16),1,0)</f>
        <v>1</v>
      </c>
      <c r="M7902" s="369" cm="1">
        <f t="array" ref="M7902">+_xlfn.IFS((C7902&gt;='Resultats - informe'!$D$26)*(C7902&lt;='Resultats - informe'!$E$26),0,(C7902&gt;='Resultats - informe'!$D$27)*(C7902&lt;='Resultats - informe'!$E$27),0,(C7902&gt;='Resultats - informe'!$D$28)*(C7902&lt;='Resultats - informe'!$E$28),0,(C7902&gt;='Resultats - informe'!$D$29)*(C7902&lt;='Resultats - informe'!$E$29),0,1,1)</f>
        <v>0</v>
      </c>
      <c r="N7902" s="366">
        <f>+VLOOKUP(D7902,'Resultats - informe'!$Y$18:$AG$42,'Introducció dades consum'!K7902+1,0)</f>
        <v>0</v>
      </c>
      <c r="O7902" s="370" cm="1">
        <f t="array" ref="O7902">+_xlfn.SWITCH(MONTH(C7902),1,1,2,1,3,1,4,2,5,2,6,3,7,3,8,3,9,3,10,2,11,2,12,1,2)</f>
        <v>1</v>
      </c>
      <c r="P7902" s="43"/>
    </row>
    <row r="7903" spans="1:16" ht="18" x14ac:dyDescent="0.35">
      <c r="A7903" s="9"/>
      <c r="C7903" s="393"/>
      <c r="E7903" s="394"/>
      <c r="F7903" s="394"/>
      <c r="G7903" s="394"/>
      <c r="I7903" s="368">
        <f t="shared" si="375"/>
        <v>0</v>
      </c>
      <c r="J7903" s="365">
        <f t="shared" si="376"/>
        <v>0</v>
      </c>
      <c r="K7903" s="369">
        <f t="shared" si="377"/>
        <v>6</v>
      </c>
      <c r="L7903" s="369">
        <f>+IF((C7903&gt;='Resultats - informe'!$E$16)*(C7903&lt;='Resultats - informe'!$G$16),1,0)</f>
        <v>1</v>
      </c>
      <c r="M7903" s="369" cm="1">
        <f t="array" ref="M7903">+_xlfn.IFS((C7903&gt;='Resultats - informe'!$D$26)*(C7903&lt;='Resultats - informe'!$E$26),0,(C7903&gt;='Resultats - informe'!$D$27)*(C7903&lt;='Resultats - informe'!$E$27),0,(C7903&gt;='Resultats - informe'!$D$28)*(C7903&lt;='Resultats - informe'!$E$28),0,(C7903&gt;='Resultats - informe'!$D$29)*(C7903&lt;='Resultats - informe'!$E$29),0,1,1)</f>
        <v>0</v>
      </c>
      <c r="N7903" s="366">
        <f>+VLOOKUP(D7903,'Resultats - informe'!$Y$18:$AG$42,'Introducció dades consum'!K7903+1,0)</f>
        <v>0</v>
      </c>
      <c r="O7903" s="370" cm="1">
        <f t="array" ref="O7903">+_xlfn.SWITCH(MONTH(C7903),1,1,2,1,3,1,4,2,5,2,6,3,7,3,8,3,9,3,10,2,11,2,12,1,2)</f>
        <v>1</v>
      </c>
      <c r="P7903" s="43"/>
    </row>
    <row r="7904" spans="1:16" ht="18" x14ac:dyDescent="0.35">
      <c r="A7904" s="9"/>
      <c r="C7904" s="393"/>
      <c r="E7904" s="394"/>
      <c r="F7904" s="394"/>
      <c r="G7904" s="394"/>
      <c r="I7904" s="368">
        <f t="shared" si="375"/>
        <v>0</v>
      </c>
      <c r="J7904" s="365">
        <f t="shared" si="376"/>
        <v>0</v>
      </c>
      <c r="K7904" s="369">
        <f t="shared" si="377"/>
        <v>6</v>
      </c>
      <c r="L7904" s="369">
        <f>+IF((C7904&gt;='Resultats - informe'!$E$16)*(C7904&lt;='Resultats - informe'!$G$16),1,0)</f>
        <v>1</v>
      </c>
      <c r="M7904" s="369" cm="1">
        <f t="array" ref="M7904">+_xlfn.IFS((C7904&gt;='Resultats - informe'!$D$26)*(C7904&lt;='Resultats - informe'!$E$26),0,(C7904&gt;='Resultats - informe'!$D$27)*(C7904&lt;='Resultats - informe'!$E$27),0,(C7904&gt;='Resultats - informe'!$D$28)*(C7904&lt;='Resultats - informe'!$E$28),0,(C7904&gt;='Resultats - informe'!$D$29)*(C7904&lt;='Resultats - informe'!$E$29),0,1,1)</f>
        <v>0</v>
      </c>
      <c r="N7904" s="366">
        <f>+VLOOKUP(D7904,'Resultats - informe'!$Y$18:$AG$42,'Introducció dades consum'!K7904+1,0)</f>
        <v>0</v>
      </c>
      <c r="O7904" s="370" cm="1">
        <f t="array" ref="O7904">+_xlfn.SWITCH(MONTH(C7904),1,1,2,1,3,1,4,2,5,2,6,3,7,3,8,3,9,3,10,2,11,2,12,1,2)</f>
        <v>1</v>
      </c>
      <c r="P7904" s="43"/>
    </row>
    <row r="7905" spans="1:16" ht="18" x14ac:dyDescent="0.35">
      <c r="A7905" s="9"/>
      <c r="C7905" s="393"/>
      <c r="E7905" s="394"/>
      <c r="F7905" s="394"/>
      <c r="G7905" s="394"/>
      <c r="I7905" s="368">
        <f t="shared" si="375"/>
        <v>0</v>
      </c>
      <c r="J7905" s="365">
        <f t="shared" si="376"/>
        <v>0</v>
      </c>
      <c r="K7905" s="369">
        <f t="shared" si="377"/>
        <v>6</v>
      </c>
      <c r="L7905" s="369">
        <f>+IF((C7905&gt;='Resultats - informe'!$E$16)*(C7905&lt;='Resultats - informe'!$G$16),1,0)</f>
        <v>1</v>
      </c>
      <c r="M7905" s="369" cm="1">
        <f t="array" ref="M7905">+_xlfn.IFS((C7905&gt;='Resultats - informe'!$D$26)*(C7905&lt;='Resultats - informe'!$E$26),0,(C7905&gt;='Resultats - informe'!$D$27)*(C7905&lt;='Resultats - informe'!$E$27),0,(C7905&gt;='Resultats - informe'!$D$28)*(C7905&lt;='Resultats - informe'!$E$28),0,(C7905&gt;='Resultats - informe'!$D$29)*(C7905&lt;='Resultats - informe'!$E$29),0,1,1)</f>
        <v>0</v>
      </c>
      <c r="N7905" s="366">
        <f>+VLOOKUP(D7905,'Resultats - informe'!$Y$18:$AG$42,'Introducció dades consum'!K7905+1,0)</f>
        <v>0</v>
      </c>
      <c r="O7905" s="370" cm="1">
        <f t="array" ref="O7905">+_xlfn.SWITCH(MONTH(C7905),1,1,2,1,3,1,4,2,5,2,6,3,7,3,8,3,9,3,10,2,11,2,12,1,2)</f>
        <v>1</v>
      </c>
      <c r="P7905" s="43"/>
    </row>
    <row r="7906" spans="1:16" ht="18" x14ac:dyDescent="0.35">
      <c r="A7906" s="9"/>
      <c r="C7906" s="393"/>
      <c r="E7906" s="394"/>
      <c r="F7906" s="394"/>
      <c r="G7906" s="394"/>
      <c r="I7906" s="368">
        <f t="shared" si="375"/>
        <v>0</v>
      </c>
      <c r="J7906" s="365">
        <f t="shared" si="376"/>
        <v>0</v>
      </c>
      <c r="K7906" s="369">
        <f t="shared" si="377"/>
        <v>6</v>
      </c>
      <c r="L7906" s="369">
        <f>+IF((C7906&gt;='Resultats - informe'!$E$16)*(C7906&lt;='Resultats - informe'!$G$16),1,0)</f>
        <v>1</v>
      </c>
      <c r="M7906" s="369" cm="1">
        <f t="array" ref="M7906">+_xlfn.IFS((C7906&gt;='Resultats - informe'!$D$26)*(C7906&lt;='Resultats - informe'!$E$26),0,(C7906&gt;='Resultats - informe'!$D$27)*(C7906&lt;='Resultats - informe'!$E$27),0,(C7906&gt;='Resultats - informe'!$D$28)*(C7906&lt;='Resultats - informe'!$E$28),0,(C7906&gt;='Resultats - informe'!$D$29)*(C7906&lt;='Resultats - informe'!$E$29),0,1,1)</f>
        <v>0</v>
      </c>
      <c r="N7906" s="366">
        <f>+VLOOKUP(D7906,'Resultats - informe'!$Y$18:$AG$42,'Introducció dades consum'!K7906+1,0)</f>
        <v>0</v>
      </c>
      <c r="O7906" s="370" cm="1">
        <f t="array" ref="O7906">+_xlfn.SWITCH(MONTH(C7906),1,1,2,1,3,1,4,2,5,2,6,3,7,3,8,3,9,3,10,2,11,2,12,1,2)</f>
        <v>1</v>
      </c>
      <c r="P7906" s="43"/>
    </row>
    <row r="7907" spans="1:16" ht="18" x14ac:dyDescent="0.35">
      <c r="A7907" s="9"/>
      <c r="C7907" s="393"/>
      <c r="E7907" s="394"/>
      <c r="F7907" s="394"/>
      <c r="G7907" s="394"/>
      <c r="I7907" s="368">
        <f t="shared" si="375"/>
        <v>0</v>
      </c>
      <c r="J7907" s="365">
        <f t="shared" si="376"/>
        <v>0</v>
      </c>
      <c r="K7907" s="369">
        <f t="shared" si="377"/>
        <v>6</v>
      </c>
      <c r="L7907" s="369">
        <f>+IF((C7907&gt;='Resultats - informe'!$E$16)*(C7907&lt;='Resultats - informe'!$G$16),1,0)</f>
        <v>1</v>
      </c>
      <c r="M7907" s="369" cm="1">
        <f t="array" ref="M7907">+_xlfn.IFS((C7907&gt;='Resultats - informe'!$D$26)*(C7907&lt;='Resultats - informe'!$E$26),0,(C7907&gt;='Resultats - informe'!$D$27)*(C7907&lt;='Resultats - informe'!$E$27),0,(C7907&gt;='Resultats - informe'!$D$28)*(C7907&lt;='Resultats - informe'!$E$28),0,(C7907&gt;='Resultats - informe'!$D$29)*(C7907&lt;='Resultats - informe'!$E$29),0,1,1)</f>
        <v>0</v>
      </c>
      <c r="N7907" s="366">
        <f>+VLOOKUP(D7907,'Resultats - informe'!$Y$18:$AG$42,'Introducció dades consum'!K7907+1,0)</f>
        <v>0</v>
      </c>
      <c r="O7907" s="370" cm="1">
        <f t="array" ref="O7907">+_xlfn.SWITCH(MONTH(C7907),1,1,2,1,3,1,4,2,5,2,6,3,7,3,8,3,9,3,10,2,11,2,12,1,2)</f>
        <v>1</v>
      </c>
      <c r="P7907" s="43"/>
    </row>
    <row r="7908" spans="1:16" ht="18" x14ac:dyDescent="0.35">
      <c r="A7908" s="9"/>
      <c r="C7908" s="393"/>
      <c r="E7908" s="394"/>
      <c r="F7908" s="394"/>
      <c r="G7908" s="394"/>
      <c r="I7908" s="368">
        <f t="shared" si="375"/>
        <v>0</v>
      </c>
      <c r="J7908" s="365">
        <f t="shared" si="376"/>
        <v>0</v>
      </c>
      <c r="K7908" s="369">
        <f t="shared" si="377"/>
        <v>6</v>
      </c>
      <c r="L7908" s="369">
        <f>+IF((C7908&gt;='Resultats - informe'!$E$16)*(C7908&lt;='Resultats - informe'!$G$16),1,0)</f>
        <v>1</v>
      </c>
      <c r="M7908" s="369" cm="1">
        <f t="array" ref="M7908">+_xlfn.IFS((C7908&gt;='Resultats - informe'!$D$26)*(C7908&lt;='Resultats - informe'!$E$26),0,(C7908&gt;='Resultats - informe'!$D$27)*(C7908&lt;='Resultats - informe'!$E$27),0,(C7908&gt;='Resultats - informe'!$D$28)*(C7908&lt;='Resultats - informe'!$E$28),0,(C7908&gt;='Resultats - informe'!$D$29)*(C7908&lt;='Resultats - informe'!$E$29),0,1,1)</f>
        <v>0</v>
      </c>
      <c r="N7908" s="366">
        <f>+VLOOKUP(D7908,'Resultats - informe'!$Y$18:$AG$42,'Introducció dades consum'!K7908+1,0)</f>
        <v>0</v>
      </c>
      <c r="O7908" s="370" cm="1">
        <f t="array" ref="O7908">+_xlfn.SWITCH(MONTH(C7908),1,1,2,1,3,1,4,2,5,2,6,3,7,3,8,3,9,3,10,2,11,2,12,1,2)</f>
        <v>1</v>
      </c>
      <c r="P7908" s="43"/>
    </row>
    <row r="7909" spans="1:16" ht="18" x14ac:dyDescent="0.35">
      <c r="A7909" s="9"/>
      <c r="C7909" s="393"/>
      <c r="E7909" s="394"/>
      <c r="F7909" s="394"/>
      <c r="G7909" s="394"/>
      <c r="I7909" s="368">
        <f t="shared" si="375"/>
        <v>0</v>
      </c>
      <c r="J7909" s="365">
        <f t="shared" si="376"/>
        <v>0</v>
      </c>
      <c r="K7909" s="369">
        <f t="shared" si="377"/>
        <v>6</v>
      </c>
      <c r="L7909" s="369">
        <f>+IF((C7909&gt;='Resultats - informe'!$E$16)*(C7909&lt;='Resultats - informe'!$G$16),1,0)</f>
        <v>1</v>
      </c>
      <c r="M7909" s="369" cm="1">
        <f t="array" ref="M7909">+_xlfn.IFS((C7909&gt;='Resultats - informe'!$D$26)*(C7909&lt;='Resultats - informe'!$E$26),0,(C7909&gt;='Resultats - informe'!$D$27)*(C7909&lt;='Resultats - informe'!$E$27),0,(C7909&gt;='Resultats - informe'!$D$28)*(C7909&lt;='Resultats - informe'!$E$28),0,(C7909&gt;='Resultats - informe'!$D$29)*(C7909&lt;='Resultats - informe'!$E$29),0,1,1)</f>
        <v>0</v>
      </c>
      <c r="N7909" s="366">
        <f>+VLOOKUP(D7909,'Resultats - informe'!$Y$18:$AG$42,'Introducció dades consum'!K7909+1,0)</f>
        <v>0</v>
      </c>
      <c r="O7909" s="370" cm="1">
        <f t="array" ref="O7909">+_xlfn.SWITCH(MONTH(C7909),1,1,2,1,3,1,4,2,5,2,6,3,7,3,8,3,9,3,10,2,11,2,12,1,2)</f>
        <v>1</v>
      </c>
      <c r="P7909" s="43"/>
    </row>
    <row r="7910" spans="1:16" ht="18" x14ac:dyDescent="0.35">
      <c r="A7910" s="9"/>
      <c r="C7910" s="393"/>
      <c r="E7910" s="394"/>
      <c r="F7910" s="394"/>
      <c r="G7910" s="394"/>
      <c r="I7910" s="368">
        <f t="shared" si="375"/>
        <v>0</v>
      </c>
      <c r="J7910" s="365">
        <f t="shared" si="376"/>
        <v>0</v>
      </c>
      <c r="K7910" s="369">
        <f t="shared" si="377"/>
        <v>6</v>
      </c>
      <c r="L7910" s="369">
        <f>+IF((C7910&gt;='Resultats - informe'!$E$16)*(C7910&lt;='Resultats - informe'!$G$16),1,0)</f>
        <v>1</v>
      </c>
      <c r="M7910" s="369" cm="1">
        <f t="array" ref="M7910">+_xlfn.IFS((C7910&gt;='Resultats - informe'!$D$26)*(C7910&lt;='Resultats - informe'!$E$26),0,(C7910&gt;='Resultats - informe'!$D$27)*(C7910&lt;='Resultats - informe'!$E$27),0,(C7910&gt;='Resultats - informe'!$D$28)*(C7910&lt;='Resultats - informe'!$E$28),0,(C7910&gt;='Resultats - informe'!$D$29)*(C7910&lt;='Resultats - informe'!$E$29),0,1,1)</f>
        <v>0</v>
      </c>
      <c r="N7910" s="366">
        <f>+VLOOKUP(D7910,'Resultats - informe'!$Y$18:$AG$42,'Introducció dades consum'!K7910+1,0)</f>
        <v>0</v>
      </c>
      <c r="O7910" s="370" cm="1">
        <f t="array" ref="O7910">+_xlfn.SWITCH(MONTH(C7910),1,1,2,1,3,1,4,2,5,2,6,3,7,3,8,3,9,3,10,2,11,2,12,1,2)</f>
        <v>1</v>
      </c>
      <c r="P7910" s="43"/>
    </row>
    <row r="7911" spans="1:16" ht="18" x14ac:dyDescent="0.35">
      <c r="A7911" s="9"/>
      <c r="C7911" s="393"/>
      <c r="E7911" s="394"/>
      <c r="F7911" s="394"/>
      <c r="G7911" s="394"/>
      <c r="I7911" s="368">
        <f t="shared" si="375"/>
        <v>0</v>
      </c>
      <c r="J7911" s="365">
        <f t="shared" si="376"/>
        <v>0</v>
      </c>
      <c r="K7911" s="369">
        <f t="shared" si="377"/>
        <v>6</v>
      </c>
      <c r="L7911" s="369">
        <f>+IF((C7911&gt;='Resultats - informe'!$E$16)*(C7911&lt;='Resultats - informe'!$G$16),1,0)</f>
        <v>1</v>
      </c>
      <c r="M7911" s="369" cm="1">
        <f t="array" ref="M7911">+_xlfn.IFS((C7911&gt;='Resultats - informe'!$D$26)*(C7911&lt;='Resultats - informe'!$E$26),0,(C7911&gt;='Resultats - informe'!$D$27)*(C7911&lt;='Resultats - informe'!$E$27),0,(C7911&gt;='Resultats - informe'!$D$28)*(C7911&lt;='Resultats - informe'!$E$28),0,(C7911&gt;='Resultats - informe'!$D$29)*(C7911&lt;='Resultats - informe'!$E$29),0,1,1)</f>
        <v>0</v>
      </c>
      <c r="N7911" s="366">
        <f>+VLOOKUP(D7911,'Resultats - informe'!$Y$18:$AG$42,'Introducció dades consum'!K7911+1,0)</f>
        <v>0</v>
      </c>
      <c r="O7911" s="370" cm="1">
        <f t="array" ref="O7911">+_xlfn.SWITCH(MONTH(C7911),1,1,2,1,3,1,4,2,5,2,6,3,7,3,8,3,9,3,10,2,11,2,12,1,2)</f>
        <v>1</v>
      </c>
      <c r="P7911" s="43"/>
    </row>
    <row r="7912" spans="1:16" ht="18" x14ac:dyDescent="0.35">
      <c r="A7912" s="9"/>
      <c r="C7912" s="393"/>
      <c r="E7912" s="394"/>
      <c r="F7912" s="394"/>
      <c r="G7912" s="394"/>
      <c r="I7912" s="368">
        <f t="shared" si="375"/>
        <v>0</v>
      </c>
      <c r="J7912" s="365">
        <f t="shared" si="376"/>
        <v>0</v>
      </c>
      <c r="K7912" s="369">
        <f t="shared" si="377"/>
        <v>6</v>
      </c>
      <c r="L7912" s="369">
        <f>+IF((C7912&gt;='Resultats - informe'!$E$16)*(C7912&lt;='Resultats - informe'!$G$16),1,0)</f>
        <v>1</v>
      </c>
      <c r="M7912" s="369" cm="1">
        <f t="array" ref="M7912">+_xlfn.IFS((C7912&gt;='Resultats - informe'!$D$26)*(C7912&lt;='Resultats - informe'!$E$26),0,(C7912&gt;='Resultats - informe'!$D$27)*(C7912&lt;='Resultats - informe'!$E$27),0,(C7912&gt;='Resultats - informe'!$D$28)*(C7912&lt;='Resultats - informe'!$E$28),0,(C7912&gt;='Resultats - informe'!$D$29)*(C7912&lt;='Resultats - informe'!$E$29),0,1,1)</f>
        <v>0</v>
      </c>
      <c r="N7912" s="366">
        <f>+VLOOKUP(D7912,'Resultats - informe'!$Y$18:$AG$42,'Introducció dades consum'!K7912+1,0)</f>
        <v>0</v>
      </c>
      <c r="O7912" s="370" cm="1">
        <f t="array" ref="O7912">+_xlfn.SWITCH(MONTH(C7912),1,1,2,1,3,1,4,2,5,2,6,3,7,3,8,3,9,3,10,2,11,2,12,1,2)</f>
        <v>1</v>
      </c>
      <c r="P7912" s="43"/>
    </row>
    <row r="7913" spans="1:16" ht="18" x14ac:dyDescent="0.35">
      <c r="A7913" s="9"/>
      <c r="C7913" s="393"/>
      <c r="E7913" s="394"/>
      <c r="F7913" s="394"/>
      <c r="G7913" s="394"/>
      <c r="I7913" s="368">
        <f t="shared" si="375"/>
        <v>0</v>
      </c>
      <c r="J7913" s="365">
        <f t="shared" si="376"/>
        <v>0</v>
      </c>
      <c r="K7913" s="369">
        <f t="shared" si="377"/>
        <v>6</v>
      </c>
      <c r="L7913" s="369">
        <f>+IF((C7913&gt;='Resultats - informe'!$E$16)*(C7913&lt;='Resultats - informe'!$G$16),1,0)</f>
        <v>1</v>
      </c>
      <c r="M7913" s="369" cm="1">
        <f t="array" ref="M7913">+_xlfn.IFS((C7913&gt;='Resultats - informe'!$D$26)*(C7913&lt;='Resultats - informe'!$E$26),0,(C7913&gt;='Resultats - informe'!$D$27)*(C7913&lt;='Resultats - informe'!$E$27),0,(C7913&gt;='Resultats - informe'!$D$28)*(C7913&lt;='Resultats - informe'!$E$28),0,(C7913&gt;='Resultats - informe'!$D$29)*(C7913&lt;='Resultats - informe'!$E$29),0,1,1)</f>
        <v>0</v>
      </c>
      <c r="N7913" s="366">
        <f>+VLOOKUP(D7913,'Resultats - informe'!$Y$18:$AG$42,'Introducció dades consum'!K7913+1,0)</f>
        <v>0</v>
      </c>
      <c r="O7913" s="370" cm="1">
        <f t="array" ref="O7913">+_xlfn.SWITCH(MONTH(C7913),1,1,2,1,3,1,4,2,5,2,6,3,7,3,8,3,9,3,10,2,11,2,12,1,2)</f>
        <v>1</v>
      </c>
      <c r="P7913" s="43"/>
    </row>
    <row r="7914" spans="1:16" ht="18" x14ac:dyDescent="0.35">
      <c r="A7914" s="9"/>
      <c r="C7914" s="393"/>
      <c r="E7914" s="394"/>
      <c r="F7914" s="394"/>
      <c r="G7914" s="394"/>
      <c r="I7914" s="368">
        <f t="shared" si="375"/>
        <v>0</v>
      </c>
      <c r="J7914" s="365">
        <f t="shared" si="376"/>
        <v>0</v>
      </c>
      <c r="K7914" s="369">
        <f t="shared" si="377"/>
        <v>6</v>
      </c>
      <c r="L7914" s="369">
        <f>+IF((C7914&gt;='Resultats - informe'!$E$16)*(C7914&lt;='Resultats - informe'!$G$16),1,0)</f>
        <v>1</v>
      </c>
      <c r="M7914" s="369" cm="1">
        <f t="array" ref="M7914">+_xlfn.IFS((C7914&gt;='Resultats - informe'!$D$26)*(C7914&lt;='Resultats - informe'!$E$26),0,(C7914&gt;='Resultats - informe'!$D$27)*(C7914&lt;='Resultats - informe'!$E$27),0,(C7914&gt;='Resultats - informe'!$D$28)*(C7914&lt;='Resultats - informe'!$E$28),0,(C7914&gt;='Resultats - informe'!$D$29)*(C7914&lt;='Resultats - informe'!$E$29),0,1,1)</f>
        <v>0</v>
      </c>
      <c r="N7914" s="366">
        <f>+VLOOKUP(D7914,'Resultats - informe'!$Y$18:$AG$42,'Introducció dades consum'!K7914+1,0)</f>
        <v>0</v>
      </c>
      <c r="O7914" s="370" cm="1">
        <f t="array" ref="O7914">+_xlfn.SWITCH(MONTH(C7914),1,1,2,1,3,1,4,2,5,2,6,3,7,3,8,3,9,3,10,2,11,2,12,1,2)</f>
        <v>1</v>
      </c>
      <c r="P7914" s="43"/>
    </row>
    <row r="7915" spans="1:16" ht="18" x14ac:dyDescent="0.35">
      <c r="A7915" s="9"/>
      <c r="C7915" s="393"/>
      <c r="E7915" s="394"/>
      <c r="F7915" s="394"/>
      <c r="G7915" s="394"/>
      <c r="I7915" s="368">
        <f t="shared" si="375"/>
        <v>0</v>
      </c>
      <c r="J7915" s="365">
        <f t="shared" si="376"/>
        <v>0</v>
      </c>
      <c r="K7915" s="369">
        <f t="shared" si="377"/>
        <v>6</v>
      </c>
      <c r="L7915" s="369">
        <f>+IF((C7915&gt;='Resultats - informe'!$E$16)*(C7915&lt;='Resultats - informe'!$G$16),1,0)</f>
        <v>1</v>
      </c>
      <c r="M7915" s="369" cm="1">
        <f t="array" ref="M7915">+_xlfn.IFS((C7915&gt;='Resultats - informe'!$D$26)*(C7915&lt;='Resultats - informe'!$E$26),0,(C7915&gt;='Resultats - informe'!$D$27)*(C7915&lt;='Resultats - informe'!$E$27),0,(C7915&gt;='Resultats - informe'!$D$28)*(C7915&lt;='Resultats - informe'!$E$28),0,(C7915&gt;='Resultats - informe'!$D$29)*(C7915&lt;='Resultats - informe'!$E$29),0,1,1)</f>
        <v>0</v>
      </c>
      <c r="N7915" s="366">
        <f>+VLOOKUP(D7915,'Resultats - informe'!$Y$18:$AG$42,'Introducció dades consum'!K7915+1,0)</f>
        <v>0</v>
      </c>
      <c r="O7915" s="370" cm="1">
        <f t="array" ref="O7915">+_xlfn.SWITCH(MONTH(C7915),1,1,2,1,3,1,4,2,5,2,6,3,7,3,8,3,9,3,10,2,11,2,12,1,2)</f>
        <v>1</v>
      </c>
      <c r="P7915" s="43"/>
    </row>
    <row r="7916" spans="1:16" ht="18" x14ac:dyDescent="0.35">
      <c r="A7916" s="9"/>
      <c r="C7916" s="393"/>
      <c r="E7916" s="394"/>
      <c r="F7916" s="394"/>
      <c r="G7916" s="394"/>
      <c r="I7916" s="368">
        <f t="shared" si="375"/>
        <v>0</v>
      </c>
      <c r="J7916" s="365">
        <f t="shared" si="376"/>
        <v>0</v>
      </c>
      <c r="K7916" s="369">
        <f t="shared" si="377"/>
        <v>6</v>
      </c>
      <c r="L7916" s="369">
        <f>+IF((C7916&gt;='Resultats - informe'!$E$16)*(C7916&lt;='Resultats - informe'!$G$16),1,0)</f>
        <v>1</v>
      </c>
      <c r="M7916" s="369" cm="1">
        <f t="array" ref="M7916">+_xlfn.IFS((C7916&gt;='Resultats - informe'!$D$26)*(C7916&lt;='Resultats - informe'!$E$26),0,(C7916&gt;='Resultats - informe'!$D$27)*(C7916&lt;='Resultats - informe'!$E$27),0,(C7916&gt;='Resultats - informe'!$D$28)*(C7916&lt;='Resultats - informe'!$E$28),0,(C7916&gt;='Resultats - informe'!$D$29)*(C7916&lt;='Resultats - informe'!$E$29),0,1,1)</f>
        <v>0</v>
      </c>
      <c r="N7916" s="366">
        <f>+VLOOKUP(D7916,'Resultats - informe'!$Y$18:$AG$42,'Introducció dades consum'!K7916+1,0)</f>
        <v>0</v>
      </c>
      <c r="O7916" s="370" cm="1">
        <f t="array" ref="O7916">+_xlfn.SWITCH(MONTH(C7916),1,1,2,1,3,1,4,2,5,2,6,3,7,3,8,3,9,3,10,2,11,2,12,1,2)</f>
        <v>1</v>
      </c>
      <c r="P7916" s="43"/>
    </row>
    <row r="7917" spans="1:16" ht="18" x14ac:dyDescent="0.35">
      <c r="A7917" s="9"/>
      <c r="C7917" s="393"/>
      <c r="E7917" s="394"/>
      <c r="F7917" s="394"/>
      <c r="G7917" s="394"/>
      <c r="I7917" s="368">
        <f t="shared" si="375"/>
        <v>0</v>
      </c>
      <c r="J7917" s="365">
        <f t="shared" si="376"/>
        <v>0</v>
      </c>
      <c r="K7917" s="369">
        <f t="shared" si="377"/>
        <v>6</v>
      </c>
      <c r="L7917" s="369">
        <f>+IF((C7917&gt;='Resultats - informe'!$E$16)*(C7917&lt;='Resultats - informe'!$G$16),1,0)</f>
        <v>1</v>
      </c>
      <c r="M7917" s="369" cm="1">
        <f t="array" ref="M7917">+_xlfn.IFS((C7917&gt;='Resultats - informe'!$D$26)*(C7917&lt;='Resultats - informe'!$E$26),0,(C7917&gt;='Resultats - informe'!$D$27)*(C7917&lt;='Resultats - informe'!$E$27),0,(C7917&gt;='Resultats - informe'!$D$28)*(C7917&lt;='Resultats - informe'!$E$28),0,(C7917&gt;='Resultats - informe'!$D$29)*(C7917&lt;='Resultats - informe'!$E$29),0,1,1)</f>
        <v>0</v>
      </c>
      <c r="N7917" s="366">
        <f>+VLOOKUP(D7917,'Resultats - informe'!$Y$18:$AG$42,'Introducció dades consum'!K7917+1,0)</f>
        <v>0</v>
      </c>
      <c r="O7917" s="370" cm="1">
        <f t="array" ref="O7917">+_xlfn.SWITCH(MONTH(C7917),1,1,2,1,3,1,4,2,5,2,6,3,7,3,8,3,9,3,10,2,11,2,12,1,2)</f>
        <v>1</v>
      </c>
      <c r="P7917" s="43"/>
    </row>
    <row r="7918" spans="1:16" ht="18" x14ac:dyDescent="0.35">
      <c r="A7918" s="9"/>
      <c r="C7918" s="393"/>
      <c r="E7918" s="394"/>
      <c r="F7918" s="394"/>
      <c r="G7918" s="394"/>
      <c r="I7918" s="368">
        <f t="shared" si="375"/>
        <v>0</v>
      </c>
      <c r="J7918" s="365">
        <f t="shared" si="376"/>
        <v>0</v>
      </c>
      <c r="K7918" s="369">
        <f t="shared" si="377"/>
        <v>6</v>
      </c>
      <c r="L7918" s="369">
        <f>+IF((C7918&gt;='Resultats - informe'!$E$16)*(C7918&lt;='Resultats - informe'!$G$16),1,0)</f>
        <v>1</v>
      </c>
      <c r="M7918" s="369" cm="1">
        <f t="array" ref="M7918">+_xlfn.IFS((C7918&gt;='Resultats - informe'!$D$26)*(C7918&lt;='Resultats - informe'!$E$26),0,(C7918&gt;='Resultats - informe'!$D$27)*(C7918&lt;='Resultats - informe'!$E$27),0,(C7918&gt;='Resultats - informe'!$D$28)*(C7918&lt;='Resultats - informe'!$E$28),0,(C7918&gt;='Resultats - informe'!$D$29)*(C7918&lt;='Resultats - informe'!$E$29),0,1,1)</f>
        <v>0</v>
      </c>
      <c r="N7918" s="366">
        <f>+VLOOKUP(D7918,'Resultats - informe'!$Y$18:$AG$42,'Introducció dades consum'!K7918+1,0)</f>
        <v>0</v>
      </c>
      <c r="O7918" s="370" cm="1">
        <f t="array" ref="O7918">+_xlfn.SWITCH(MONTH(C7918),1,1,2,1,3,1,4,2,5,2,6,3,7,3,8,3,9,3,10,2,11,2,12,1,2)</f>
        <v>1</v>
      </c>
      <c r="P7918" s="43"/>
    </row>
    <row r="7919" spans="1:16" ht="18" x14ac:dyDescent="0.35">
      <c r="A7919" s="9"/>
      <c r="C7919" s="393"/>
      <c r="E7919" s="394"/>
      <c r="F7919" s="394"/>
      <c r="G7919" s="394"/>
      <c r="I7919" s="368">
        <f t="shared" si="375"/>
        <v>0</v>
      </c>
      <c r="J7919" s="365">
        <f t="shared" si="376"/>
        <v>0</v>
      </c>
      <c r="K7919" s="369">
        <f t="shared" si="377"/>
        <v>6</v>
      </c>
      <c r="L7919" s="369">
        <f>+IF((C7919&gt;='Resultats - informe'!$E$16)*(C7919&lt;='Resultats - informe'!$G$16),1,0)</f>
        <v>1</v>
      </c>
      <c r="M7919" s="369" cm="1">
        <f t="array" ref="M7919">+_xlfn.IFS((C7919&gt;='Resultats - informe'!$D$26)*(C7919&lt;='Resultats - informe'!$E$26),0,(C7919&gt;='Resultats - informe'!$D$27)*(C7919&lt;='Resultats - informe'!$E$27),0,(C7919&gt;='Resultats - informe'!$D$28)*(C7919&lt;='Resultats - informe'!$E$28),0,(C7919&gt;='Resultats - informe'!$D$29)*(C7919&lt;='Resultats - informe'!$E$29),0,1,1)</f>
        <v>0</v>
      </c>
      <c r="N7919" s="366">
        <f>+VLOOKUP(D7919,'Resultats - informe'!$Y$18:$AG$42,'Introducció dades consum'!K7919+1,0)</f>
        <v>0</v>
      </c>
      <c r="O7919" s="370" cm="1">
        <f t="array" ref="O7919">+_xlfn.SWITCH(MONTH(C7919),1,1,2,1,3,1,4,2,5,2,6,3,7,3,8,3,9,3,10,2,11,2,12,1,2)</f>
        <v>1</v>
      </c>
      <c r="P7919" s="43"/>
    </row>
    <row r="7920" spans="1:16" ht="18" x14ac:dyDescent="0.35">
      <c r="A7920" s="9"/>
      <c r="C7920" s="393"/>
      <c r="E7920" s="394"/>
      <c r="F7920" s="394"/>
      <c r="G7920" s="394"/>
      <c r="I7920" s="368">
        <f t="shared" si="375"/>
        <v>0</v>
      </c>
      <c r="J7920" s="365">
        <f t="shared" si="376"/>
        <v>0</v>
      </c>
      <c r="K7920" s="369">
        <f t="shared" si="377"/>
        <v>6</v>
      </c>
      <c r="L7920" s="369">
        <f>+IF((C7920&gt;='Resultats - informe'!$E$16)*(C7920&lt;='Resultats - informe'!$G$16),1,0)</f>
        <v>1</v>
      </c>
      <c r="M7920" s="369" cm="1">
        <f t="array" ref="M7920">+_xlfn.IFS((C7920&gt;='Resultats - informe'!$D$26)*(C7920&lt;='Resultats - informe'!$E$26),0,(C7920&gt;='Resultats - informe'!$D$27)*(C7920&lt;='Resultats - informe'!$E$27),0,(C7920&gt;='Resultats - informe'!$D$28)*(C7920&lt;='Resultats - informe'!$E$28),0,(C7920&gt;='Resultats - informe'!$D$29)*(C7920&lt;='Resultats - informe'!$E$29),0,1,1)</f>
        <v>0</v>
      </c>
      <c r="N7920" s="366">
        <f>+VLOOKUP(D7920,'Resultats - informe'!$Y$18:$AG$42,'Introducció dades consum'!K7920+1,0)</f>
        <v>0</v>
      </c>
      <c r="O7920" s="370" cm="1">
        <f t="array" ref="O7920">+_xlfn.SWITCH(MONTH(C7920),1,1,2,1,3,1,4,2,5,2,6,3,7,3,8,3,9,3,10,2,11,2,12,1,2)</f>
        <v>1</v>
      </c>
      <c r="P7920" s="43"/>
    </row>
    <row r="7921" spans="1:16" ht="18" x14ac:dyDescent="0.35">
      <c r="A7921" s="9"/>
      <c r="C7921" s="393"/>
      <c r="E7921" s="394"/>
      <c r="F7921" s="394"/>
      <c r="G7921" s="394"/>
      <c r="I7921" s="368">
        <f t="shared" si="375"/>
        <v>0</v>
      </c>
      <c r="J7921" s="365">
        <f t="shared" si="376"/>
        <v>0</v>
      </c>
      <c r="K7921" s="369">
        <f t="shared" si="377"/>
        <v>6</v>
      </c>
      <c r="L7921" s="369">
        <f>+IF((C7921&gt;='Resultats - informe'!$E$16)*(C7921&lt;='Resultats - informe'!$G$16),1,0)</f>
        <v>1</v>
      </c>
      <c r="M7921" s="369" cm="1">
        <f t="array" ref="M7921">+_xlfn.IFS((C7921&gt;='Resultats - informe'!$D$26)*(C7921&lt;='Resultats - informe'!$E$26),0,(C7921&gt;='Resultats - informe'!$D$27)*(C7921&lt;='Resultats - informe'!$E$27),0,(C7921&gt;='Resultats - informe'!$D$28)*(C7921&lt;='Resultats - informe'!$E$28),0,(C7921&gt;='Resultats - informe'!$D$29)*(C7921&lt;='Resultats - informe'!$E$29),0,1,1)</f>
        <v>0</v>
      </c>
      <c r="N7921" s="366">
        <f>+VLOOKUP(D7921,'Resultats - informe'!$Y$18:$AG$42,'Introducció dades consum'!K7921+1,0)</f>
        <v>0</v>
      </c>
      <c r="O7921" s="370" cm="1">
        <f t="array" ref="O7921">+_xlfn.SWITCH(MONTH(C7921),1,1,2,1,3,1,4,2,5,2,6,3,7,3,8,3,9,3,10,2,11,2,12,1,2)</f>
        <v>1</v>
      </c>
      <c r="P7921" s="43"/>
    </row>
    <row r="7922" spans="1:16" ht="18" x14ac:dyDescent="0.35">
      <c r="A7922" s="9"/>
      <c r="C7922" s="393"/>
      <c r="E7922" s="394"/>
      <c r="F7922" s="394"/>
      <c r="G7922" s="394"/>
      <c r="I7922" s="368">
        <f t="shared" si="375"/>
        <v>0</v>
      </c>
      <c r="J7922" s="365">
        <f t="shared" si="376"/>
        <v>0</v>
      </c>
      <c r="K7922" s="369">
        <f t="shared" si="377"/>
        <v>6</v>
      </c>
      <c r="L7922" s="369">
        <f>+IF((C7922&gt;='Resultats - informe'!$E$16)*(C7922&lt;='Resultats - informe'!$G$16),1,0)</f>
        <v>1</v>
      </c>
      <c r="M7922" s="369" cm="1">
        <f t="array" ref="M7922">+_xlfn.IFS((C7922&gt;='Resultats - informe'!$D$26)*(C7922&lt;='Resultats - informe'!$E$26),0,(C7922&gt;='Resultats - informe'!$D$27)*(C7922&lt;='Resultats - informe'!$E$27),0,(C7922&gt;='Resultats - informe'!$D$28)*(C7922&lt;='Resultats - informe'!$E$28),0,(C7922&gt;='Resultats - informe'!$D$29)*(C7922&lt;='Resultats - informe'!$E$29),0,1,1)</f>
        <v>0</v>
      </c>
      <c r="N7922" s="366">
        <f>+VLOOKUP(D7922,'Resultats - informe'!$Y$18:$AG$42,'Introducció dades consum'!K7922+1,0)</f>
        <v>0</v>
      </c>
      <c r="O7922" s="370" cm="1">
        <f t="array" ref="O7922">+_xlfn.SWITCH(MONTH(C7922),1,1,2,1,3,1,4,2,5,2,6,3,7,3,8,3,9,3,10,2,11,2,12,1,2)</f>
        <v>1</v>
      </c>
      <c r="P7922" s="43"/>
    </row>
    <row r="7923" spans="1:16" ht="18" x14ac:dyDescent="0.35">
      <c r="A7923" s="9"/>
      <c r="C7923" s="393"/>
      <c r="E7923" s="394"/>
      <c r="F7923" s="394"/>
      <c r="G7923" s="394"/>
      <c r="I7923" s="368">
        <f t="shared" si="375"/>
        <v>0</v>
      </c>
      <c r="J7923" s="365">
        <f t="shared" si="376"/>
        <v>0</v>
      </c>
      <c r="K7923" s="369">
        <f t="shared" si="377"/>
        <v>6</v>
      </c>
      <c r="L7923" s="369">
        <f>+IF((C7923&gt;='Resultats - informe'!$E$16)*(C7923&lt;='Resultats - informe'!$G$16),1,0)</f>
        <v>1</v>
      </c>
      <c r="M7923" s="369" cm="1">
        <f t="array" ref="M7923">+_xlfn.IFS((C7923&gt;='Resultats - informe'!$D$26)*(C7923&lt;='Resultats - informe'!$E$26),0,(C7923&gt;='Resultats - informe'!$D$27)*(C7923&lt;='Resultats - informe'!$E$27),0,(C7923&gt;='Resultats - informe'!$D$28)*(C7923&lt;='Resultats - informe'!$E$28),0,(C7923&gt;='Resultats - informe'!$D$29)*(C7923&lt;='Resultats - informe'!$E$29),0,1,1)</f>
        <v>0</v>
      </c>
      <c r="N7923" s="366">
        <f>+VLOOKUP(D7923,'Resultats - informe'!$Y$18:$AG$42,'Introducció dades consum'!K7923+1,0)</f>
        <v>0</v>
      </c>
      <c r="O7923" s="370" cm="1">
        <f t="array" ref="O7923">+_xlfn.SWITCH(MONTH(C7923),1,1,2,1,3,1,4,2,5,2,6,3,7,3,8,3,9,3,10,2,11,2,12,1,2)</f>
        <v>1</v>
      </c>
      <c r="P7923" s="43"/>
    </row>
    <row r="7924" spans="1:16" ht="18" x14ac:dyDescent="0.35">
      <c r="A7924" s="9"/>
      <c r="C7924" s="393"/>
      <c r="E7924" s="394"/>
      <c r="F7924" s="394"/>
      <c r="G7924" s="394"/>
      <c r="I7924" s="368">
        <f t="shared" si="375"/>
        <v>0</v>
      </c>
      <c r="J7924" s="365">
        <f t="shared" si="376"/>
        <v>0</v>
      </c>
      <c r="K7924" s="369">
        <f t="shared" si="377"/>
        <v>6</v>
      </c>
      <c r="L7924" s="369">
        <f>+IF((C7924&gt;='Resultats - informe'!$E$16)*(C7924&lt;='Resultats - informe'!$G$16),1,0)</f>
        <v>1</v>
      </c>
      <c r="M7924" s="369" cm="1">
        <f t="array" ref="M7924">+_xlfn.IFS((C7924&gt;='Resultats - informe'!$D$26)*(C7924&lt;='Resultats - informe'!$E$26),0,(C7924&gt;='Resultats - informe'!$D$27)*(C7924&lt;='Resultats - informe'!$E$27),0,(C7924&gt;='Resultats - informe'!$D$28)*(C7924&lt;='Resultats - informe'!$E$28),0,(C7924&gt;='Resultats - informe'!$D$29)*(C7924&lt;='Resultats - informe'!$E$29),0,1,1)</f>
        <v>0</v>
      </c>
      <c r="N7924" s="366">
        <f>+VLOOKUP(D7924,'Resultats - informe'!$Y$18:$AG$42,'Introducció dades consum'!K7924+1,0)</f>
        <v>0</v>
      </c>
      <c r="O7924" s="370" cm="1">
        <f t="array" ref="O7924">+_xlfn.SWITCH(MONTH(C7924),1,1,2,1,3,1,4,2,5,2,6,3,7,3,8,3,9,3,10,2,11,2,12,1,2)</f>
        <v>1</v>
      </c>
      <c r="P7924" s="43"/>
    </row>
    <row r="7925" spans="1:16" ht="18" x14ac:dyDescent="0.35">
      <c r="A7925" s="9"/>
      <c r="C7925" s="393"/>
      <c r="E7925" s="394"/>
      <c r="F7925" s="394"/>
      <c r="G7925" s="394"/>
      <c r="I7925" s="368">
        <f t="shared" si="375"/>
        <v>0</v>
      </c>
      <c r="J7925" s="365">
        <f t="shared" si="376"/>
        <v>0</v>
      </c>
      <c r="K7925" s="369">
        <f t="shared" si="377"/>
        <v>6</v>
      </c>
      <c r="L7925" s="369">
        <f>+IF((C7925&gt;='Resultats - informe'!$E$16)*(C7925&lt;='Resultats - informe'!$G$16),1,0)</f>
        <v>1</v>
      </c>
      <c r="M7925" s="369" cm="1">
        <f t="array" ref="M7925">+_xlfn.IFS((C7925&gt;='Resultats - informe'!$D$26)*(C7925&lt;='Resultats - informe'!$E$26),0,(C7925&gt;='Resultats - informe'!$D$27)*(C7925&lt;='Resultats - informe'!$E$27),0,(C7925&gt;='Resultats - informe'!$D$28)*(C7925&lt;='Resultats - informe'!$E$28),0,(C7925&gt;='Resultats - informe'!$D$29)*(C7925&lt;='Resultats - informe'!$E$29),0,1,1)</f>
        <v>0</v>
      </c>
      <c r="N7925" s="366">
        <f>+VLOOKUP(D7925,'Resultats - informe'!$Y$18:$AG$42,'Introducció dades consum'!K7925+1,0)</f>
        <v>0</v>
      </c>
      <c r="O7925" s="370" cm="1">
        <f t="array" ref="O7925">+_xlfn.SWITCH(MONTH(C7925),1,1,2,1,3,1,4,2,5,2,6,3,7,3,8,3,9,3,10,2,11,2,12,1,2)</f>
        <v>1</v>
      </c>
      <c r="P7925" s="43"/>
    </row>
    <row r="7926" spans="1:16" ht="18" x14ac:dyDescent="0.35">
      <c r="A7926" s="9"/>
      <c r="C7926" s="393"/>
      <c r="E7926" s="394"/>
      <c r="F7926" s="394"/>
      <c r="G7926" s="394"/>
      <c r="I7926" s="368">
        <f t="shared" si="375"/>
        <v>0</v>
      </c>
      <c r="J7926" s="365">
        <f t="shared" si="376"/>
        <v>0</v>
      </c>
      <c r="K7926" s="369">
        <f t="shared" si="377"/>
        <v>6</v>
      </c>
      <c r="L7926" s="369">
        <f>+IF((C7926&gt;='Resultats - informe'!$E$16)*(C7926&lt;='Resultats - informe'!$G$16),1,0)</f>
        <v>1</v>
      </c>
      <c r="M7926" s="369" cm="1">
        <f t="array" ref="M7926">+_xlfn.IFS((C7926&gt;='Resultats - informe'!$D$26)*(C7926&lt;='Resultats - informe'!$E$26),0,(C7926&gt;='Resultats - informe'!$D$27)*(C7926&lt;='Resultats - informe'!$E$27),0,(C7926&gt;='Resultats - informe'!$D$28)*(C7926&lt;='Resultats - informe'!$E$28),0,(C7926&gt;='Resultats - informe'!$D$29)*(C7926&lt;='Resultats - informe'!$E$29),0,1,1)</f>
        <v>0</v>
      </c>
      <c r="N7926" s="366">
        <f>+VLOOKUP(D7926,'Resultats - informe'!$Y$18:$AG$42,'Introducció dades consum'!K7926+1,0)</f>
        <v>0</v>
      </c>
      <c r="O7926" s="370" cm="1">
        <f t="array" ref="O7926">+_xlfn.SWITCH(MONTH(C7926),1,1,2,1,3,1,4,2,5,2,6,3,7,3,8,3,9,3,10,2,11,2,12,1,2)</f>
        <v>1</v>
      </c>
      <c r="P7926" s="43"/>
    </row>
    <row r="7927" spans="1:16" ht="18" x14ac:dyDescent="0.35">
      <c r="A7927" s="9"/>
      <c r="C7927" s="393"/>
      <c r="E7927" s="394"/>
      <c r="F7927" s="394"/>
      <c r="G7927" s="394"/>
      <c r="I7927" s="368">
        <f t="shared" si="375"/>
        <v>0</v>
      </c>
      <c r="J7927" s="365">
        <f t="shared" si="376"/>
        <v>0</v>
      </c>
      <c r="K7927" s="369">
        <f t="shared" si="377"/>
        <v>6</v>
      </c>
      <c r="L7927" s="369">
        <f>+IF((C7927&gt;='Resultats - informe'!$E$16)*(C7927&lt;='Resultats - informe'!$G$16),1,0)</f>
        <v>1</v>
      </c>
      <c r="M7927" s="369" cm="1">
        <f t="array" ref="M7927">+_xlfn.IFS((C7927&gt;='Resultats - informe'!$D$26)*(C7927&lt;='Resultats - informe'!$E$26),0,(C7927&gt;='Resultats - informe'!$D$27)*(C7927&lt;='Resultats - informe'!$E$27),0,(C7927&gt;='Resultats - informe'!$D$28)*(C7927&lt;='Resultats - informe'!$E$28),0,(C7927&gt;='Resultats - informe'!$D$29)*(C7927&lt;='Resultats - informe'!$E$29),0,1,1)</f>
        <v>0</v>
      </c>
      <c r="N7927" s="366">
        <f>+VLOOKUP(D7927,'Resultats - informe'!$Y$18:$AG$42,'Introducció dades consum'!K7927+1,0)</f>
        <v>0</v>
      </c>
      <c r="O7927" s="370" cm="1">
        <f t="array" ref="O7927">+_xlfn.SWITCH(MONTH(C7927),1,1,2,1,3,1,4,2,5,2,6,3,7,3,8,3,9,3,10,2,11,2,12,1,2)</f>
        <v>1</v>
      </c>
      <c r="P7927" s="43"/>
    </row>
    <row r="7928" spans="1:16" ht="18" x14ac:dyDescent="0.35">
      <c r="A7928" s="9"/>
      <c r="C7928" s="393"/>
      <c r="E7928" s="394"/>
      <c r="F7928" s="394"/>
      <c r="G7928" s="394"/>
      <c r="I7928" s="368">
        <f t="shared" si="375"/>
        <v>0</v>
      </c>
      <c r="J7928" s="365">
        <f t="shared" si="376"/>
        <v>0</v>
      </c>
      <c r="K7928" s="369">
        <f t="shared" si="377"/>
        <v>6</v>
      </c>
      <c r="L7928" s="369">
        <f>+IF((C7928&gt;='Resultats - informe'!$E$16)*(C7928&lt;='Resultats - informe'!$G$16),1,0)</f>
        <v>1</v>
      </c>
      <c r="M7928" s="369" cm="1">
        <f t="array" ref="M7928">+_xlfn.IFS((C7928&gt;='Resultats - informe'!$D$26)*(C7928&lt;='Resultats - informe'!$E$26),0,(C7928&gt;='Resultats - informe'!$D$27)*(C7928&lt;='Resultats - informe'!$E$27),0,(C7928&gt;='Resultats - informe'!$D$28)*(C7928&lt;='Resultats - informe'!$E$28),0,(C7928&gt;='Resultats - informe'!$D$29)*(C7928&lt;='Resultats - informe'!$E$29),0,1,1)</f>
        <v>0</v>
      </c>
      <c r="N7928" s="366">
        <f>+VLOOKUP(D7928,'Resultats - informe'!$Y$18:$AG$42,'Introducció dades consum'!K7928+1,0)</f>
        <v>0</v>
      </c>
      <c r="O7928" s="370" cm="1">
        <f t="array" ref="O7928">+_xlfn.SWITCH(MONTH(C7928),1,1,2,1,3,1,4,2,5,2,6,3,7,3,8,3,9,3,10,2,11,2,12,1,2)</f>
        <v>1</v>
      </c>
      <c r="P7928" s="43"/>
    </row>
    <row r="7929" spans="1:16" ht="18" x14ac:dyDescent="0.35">
      <c r="A7929" s="9"/>
      <c r="C7929" s="393"/>
      <c r="E7929" s="394"/>
      <c r="F7929" s="394"/>
      <c r="G7929" s="394"/>
      <c r="I7929" s="368">
        <f t="shared" si="375"/>
        <v>0</v>
      </c>
      <c r="J7929" s="365">
        <f t="shared" si="376"/>
        <v>0</v>
      </c>
      <c r="K7929" s="369">
        <f t="shared" si="377"/>
        <v>6</v>
      </c>
      <c r="L7929" s="369">
        <f>+IF((C7929&gt;='Resultats - informe'!$E$16)*(C7929&lt;='Resultats - informe'!$G$16),1,0)</f>
        <v>1</v>
      </c>
      <c r="M7929" s="369" cm="1">
        <f t="array" ref="M7929">+_xlfn.IFS((C7929&gt;='Resultats - informe'!$D$26)*(C7929&lt;='Resultats - informe'!$E$26),0,(C7929&gt;='Resultats - informe'!$D$27)*(C7929&lt;='Resultats - informe'!$E$27),0,(C7929&gt;='Resultats - informe'!$D$28)*(C7929&lt;='Resultats - informe'!$E$28),0,(C7929&gt;='Resultats - informe'!$D$29)*(C7929&lt;='Resultats - informe'!$E$29),0,1,1)</f>
        <v>0</v>
      </c>
      <c r="N7929" s="366">
        <f>+VLOOKUP(D7929,'Resultats - informe'!$Y$18:$AG$42,'Introducció dades consum'!K7929+1,0)</f>
        <v>0</v>
      </c>
      <c r="O7929" s="370" cm="1">
        <f t="array" ref="O7929">+_xlfn.SWITCH(MONTH(C7929),1,1,2,1,3,1,4,2,5,2,6,3,7,3,8,3,9,3,10,2,11,2,12,1,2)</f>
        <v>1</v>
      </c>
      <c r="P7929" s="43"/>
    </row>
    <row r="7930" spans="1:16" ht="18" x14ac:dyDescent="0.35">
      <c r="A7930" s="9"/>
      <c r="C7930" s="393"/>
      <c r="E7930" s="394"/>
      <c r="F7930" s="394"/>
      <c r="G7930" s="394"/>
      <c r="I7930" s="368">
        <f t="shared" si="375"/>
        <v>0</v>
      </c>
      <c r="J7930" s="365">
        <f t="shared" si="376"/>
        <v>0</v>
      </c>
      <c r="K7930" s="369">
        <f t="shared" si="377"/>
        <v>6</v>
      </c>
      <c r="L7930" s="369">
        <f>+IF((C7930&gt;='Resultats - informe'!$E$16)*(C7930&lt;='Resultats - informe'!$G$16),1,0)</f>
        <v>1</v>
      </c>
      <c r="M7930" s="369" cm="1">
        <f t="array" ref="M7930">+_xlfn.IFS((C7930&gt;='Resultats - informe'!$D$26)*(C7930&lt;='Resultats - informe'!$E$26),0,(C7930&gt;='Resultats - informe'!$D$27)*(C7930&lt;='Resultats - informe'!$E$27),0,(C7930&gt;='Resultats - informe'!$D$28)*(C7930&lt;='Resultats - informe'!$E$28),0,(C7930&gt;='Resultats - informe'!$D$29)*(C7930&lt;='Resultats - informe'!$E$29),0,1,1)</f>
        <v>0</v>
      </c>
      <c r="N7930" s="366">
        <f>+VLOOKUP(D7930,'Resultats - informe'!$Y$18:$AG$42,'Introducció dades consum'!K7930+1,0)</f>
        <v>0</v>
      </c>
      <c r="O7930" s="370" cm="1">
        <f t="array" ref="O7930">+_xlfn.SWITCH(MONTH(C7930),1,1,2,1,3,1,4,2,5,2,6,3,7,3,8,3,9,3,10,2,11,2,12,1,2)</f>
        <v>1</v>
      </c>
      <c r="P7930" s="43"/>
    </row>
    <row r="7931" spans="1:16" ht="18" x14ac:dyDescent="0.35">
      <c r="A7931" s="9"/>
      <c r="C7931" s="393"/>
      <c r="E7931" s="394"/>
      <c r="F7931" s="394"/>
      <c r="G7931" s="394"/>
      <c r="I7931" s="368">
        <f t="shared" si="375"/>
        <v>0</v>
      </c>
      <c r="J7931" s="365">
        <f t="shared" si="376"/>
        <v>0</v>
      </c>
      <c r="K7931" s="369">
        <f t="shared" si="377"/>
        <v>6</v>
      </c>
      <c r="L7931" s="369">
        <f>+IF((C7931&gt;='Resultats - informe'!$E$16)*(C7931&lt;='Resultats - informe'!$G$16),1,0)</f>
        <v>1</v>
      </c>
      <c r="M7931" s="369" cm="1">
        <f t="array" ref="M7931">+_xlfn.IFS((C7931&gt;='Resultats - informe'!$D$26)*(C7931&lt;='Resultats - informe'!$E$26),0,(C7931&gt;='Resultats - informe'!$D$27)*(C7931&lt;='Resultats - informe'!$E$27),0,(C7931&gt;='Resultats - informe'!$D$28)*(C7931&lt;='Resultats - informe'!$E$28),0,(C7931&gt;='Resultats - informe'!$D$29)*(C7931&lt;='Resultats - informe'!$E$29),0,1,1)</f>
        <v>0</v>
      </c>
      <c r="N7931" s="366">
        <f>+VLOOKUP(D7931,'Resultats - informe'!$Y$18:$AG$42,'Introducció dades consum'!K7931+1,0)</f>
        <v>0</v>
      </c>
      <c r="O7931" s="370" cm="1">
        <f t="array" ref="O7931">+_xlfn.SWITCH(MONTH(C7931),1,1,2,1,3,1,4,2,5,2,6,3,7,3,8,3,9,3,10,2,11,2,12,1,2)</f>
        <v>1</v>
      </c>
      <c r="P7931" s="43"/>
    </row>
    <row r="7932" spans="1:16" ht="18" x14ac:dyDescent="0.35">
      <c r="A7932" s="9"/>
      <c r="C7932" s="393"/>
      <c r="E7932" s="394"/>
      <c r="F7932" s="394"/>
      <c r="G7932" s="394"/>
      <c r="I7932" s="368">
        <f t="shared" si="375"/>
        <v>0</v>
      </c>
      <c r="J7932" s="365">
        <f t="shared" si="376"/>
        <v>0</v>
      </c>
      <c r="K7932" s="369">
        <f t="shared" si="377"/>
        <v>6</v>
      </c>
      <c r="L7932" s="369">
        <f>+IF((C7932&gt;='Resultats - informe'!$E$16)*(C7932&lt;='Resultats - informe'!$G$16),1,0)</f>
        <v>1</v>
      </c>
      <c r="M7932" s="369" cm="1">
        <f t="array" ref="M7932">+_xlfn.IFS((C7932&gt;='Resultats - informe'!$D$26)*(C7932&lt;='Resultats - informe'!$E$26),0,(C7932&gt;='Resultats - informe'!$D$27)*(C7932&lt;='Resultats - informe'!$E$27),0,(C7932&gt;='Resultats - informe'!$D$28)*(C7932&lt;='Resultats - informe'!$E$28),0,(C7932&gt;='Resultats - informe'!$D$29)*(C7932&lt;='Resultats - informe'!$E$29),0,1,1)</f>
        <v>0</v>
      </c>
      <c r="N7932" s="366">
        <f>+VLOOKUP(D7932,'Resultats - informe'!$Y$18:$AG$42,'Introducció dades consum'!K7932+1,0)</f>
        <v>0</v>
      </c>
      <c r="O7932" s="370" cm="1">
        <f t="array" ref="O7932">+_xlfn.SWITCH(MONTH(C7932),1,1,2,1,3,1,4,2,5,2,6,3,7,3,8,3,9,3,10,2,11,2,12,1,2)</f>
        <v>1</v>
      </c>
      <c r="P7932" s="43"/>
    </row>
    <row r="7933" spans="1:16" ht="18" x14ac:dyDescent="0.35">
      <c r="A7933" s="9"/>
      <c r="C7933" s="393"/>
      <c r="E7933" s="394"/>
      <c r="F7933" s="394"/>
      <c r="G7933" s="394"/>
      <c r="I7933" s="368">
        <f t="shared" si="375"/>
        <v>0</v>
      </c>
      <c r="J7933" s="365">
        <f t="shared" si="376"/>
        <v>0</v>
      </c>
      <c r="K7933" s="369">
        <f t="shared" si="377"/>
        <v>6</v>
      </c>
      <c r="L7933" s="369">
        <f>+IF((C7933&gt;='Resultats - informe'!$E$16)*(C7933&lt;='Resultats - informe'!$G$16),1,0)</f>
        <v>1</v>
      </c>
      <c r="M7933" s="369" cm="1">
        <f t="array" ref="M7933">+_xlfn.IFS((C7933&gt;='Resultats - informe'!$D$26)*(C7933&lt;='Resultats - informe'!$E$26),0,(C7933&gt;='Resultats - informe'!$D$27)*(C7933&lt;='Resultats - informe'!$E$27),0,(C7933&gt;='Resultats - informe'!$D$28)*(C7933&lt;='Resultats - informe'!$E$28),0,(C7933&gt;='Resultats - informe'!$D$29)*(C7933&lt;='Resultats - informe'!$E$29),0,1,1)</f>
        <v>0</v>
      </c>
      <c r="N7933" s="366">
        <f>+VLOOKUP(D7933,'Resultats - informe'!$Y$18:$AG$42,'Introducció dades consum'!K7933+1,0)</f>
        <v>0</v>
      </c>
      <c r="O7933" s="370" cm="1">
        <f t="array" ref="O7933">+_xlfn.SWITCH(MONTH(C7933),1,1,2,1,3,1,4,2,5,2,6,3,7,3,8,3,9,3,10,2,11,2,12,1,2)</f>
        <v>1</v>
      </c>
      <c r="P7933" s="43"/>
    </row>
    <row r="7934" spans="1:16" ht="18" x14ac:dyDescent="0.35">
      <c r="A7934" s="9"/>
      <c r="C7934" s="393"/>
      <c r="E7934" s="394"/>
      <c r="F7934" s="394"/>
      <c r="G7934" s="394"/>
      <c r="I7934" s="368">
        <f t="shared" si="375"/>
        <v>0</v>
      </c>
      <c r="J7934" s="365">
        <f t="shared" si="376"/>
        <v>0</v>
      </c>
      <c r="K7934" s="369">
        <f t="shared" si="377"/>
        <v>6</v>
      </c>
      <c r="L7934" s="369">
        <f>+IF((C7934&gt;='Resultats - informe'!$E$16)*(C7934&lt;='Resultats - informe'!$G$16),1,0)</f>
        <v>1</v>
      </c>
      <c r="M7934" s="369" cm="1">
        <f t="array" ref="M7934">+_xlfn.IFS((C7934&gt;='Resultats - informe'!$D$26)*(C7934&lt;='Resultats - informe'!$E$26),0,(C7934&gt;='Resultats - informe'!$D$27)*(C7934&lt;='Resultats - informe'!$E$27),0,(C7934&gt;='Resultats - informe'!$D$28)*(C7934&lt;='Resultats - informe'!$E$28),0,(C7934&gt;='Resultats - informe'!$D$29)*(C7934&lt;='Resultats - informe'!$E$29),0,1,1)</f>
        <v>0</v>
      </c>
      <c r="N7934" s="366">
        <f>+VLOOKUP(D7934,'Resultats - informe'!$Y$18:$AG$42,'Introducció dades consum'!K7934+1,0)</f>
        <v>0</v>
      </c>
      <c r="O7934" s="370" cm="1">
        <f t="array" ref="O7934">+_xlfn.SWITCH(MONTH(C7934),1,1,2,1,3,1,4,2,5,2,6,3,7,3,8,3,9,3,10,2,11,2,12,1,2)</f>
        <v>1</v>
      </c>
      <c r="P7934" s="43"/>
    </row>
    <row r="7935" spans="1:16" ht="18" x14ac:dyDescent="0.35">
      <c r="A7935" s="9"/>
      <c r="C7935" s="393"/>
      <c r="E7935" s="394"/>
      <c r="F7935" s="394"/>
      <c r="G7935" s="394"/>
      <c r="I7935" s="368">
        <f t="shared" si="375"/>
        <v>0</v>
      </c>
      <c r="J7935" s="365">
        <f t="shared" si="376"/>
        <v>0</v>
      </c>
      <c r="K7935" s="369">
        <f t="shared" si="377"/>
        <v>6</v>
      </c>
      <c r="L7935" s="369">
        <f>+IF((C7935&gt;='Resultats - informe'!$E$16)*(C7935&lt;='Resultats - informe'!$G$16),1,0)</f>
        <v>1</v>
      </c>
      <c r="M7935" s="369" cm="1">
        <f t="array" ref="M7935">+_xlfn.IFS((C7935&gt;='Resultats - informe'!$D$26)*(C7935&lt;='Resultats - informe'!$E$26),0,(C7935&gt;='Resultats - informe'!$D$27)*(C7935&lt;='Resultats - informe'!$E$27),0,(C7935&gt;='Resultats - informe'!$D$28)*(C7935&lt;='Resultats - informe'!$E$28),0,(C7935&gt;='Resultats - informe'!$D$29)*(C7935&lt;='Resultats - informe'!$E$29),0,1,1)</f>
        <v>0</v>
      </c>
      <c r="N7935" s="366">
        <f>+VLOOKUP(D7935,'Resultats - informe'!$Y$18:$AG$42,'Introducció dades consum'!K7935+1,0)</f>
        <v>0</v>
      </c>
      <c r="O7935" s="370" cm="1">
        <f t="array" ref="O7935">+_xlfn.SWITCH(MONTH(C7935),1,1,2,1,3,1,4,2,5,2,6,3,7,3,8,3,9,3,10,2,11,2,12,1,2)</f>
        <v>1</v>
      </c>
      <c r="P7935" s="43"/>
    </row>
    <row r="7936" spans="1:16" ht="18" x14ac:dyDescent="0.35">
      <c r="A7936" s="9"/>
      <c r="C7936" s="393"/>
      <c r="E7936" s="394"/>
      <c r="F7936" s="394"/>
      <c r="G7936" s="394"/>
      <c r="I7936" s="368">
        <f t="shared" si="375"/>
        <v>0</v>
      </c>
      <c r="J7936" s="365">
        <f t="shared" si="376"/>
        <v>0</v>
      </c>
      <c r="K7936" s="369">
        <f t="shared" si="377"/>
        <v>6</v>
      </c>
      <c r="L7936" s="369">
        <f>+IF((C7936&gt;='Resultats - informe'!$E$16)*(C7936&lt;='Resultats - informe'!$G$16),1,0)</f>
        <v>1</v>
      </c>
      <c r="M7936" s="369" cm="1">
        <f t="array" ref="M7936">+_xlfn.IFS((C7936&gt;='Resultats - informe'!$D$26)*(C7936&lt;='Resultats - informe'!$E$26),0,(C7936&gt;='Resultats - informe'!$D$27)*(C7936&lt;='Resultats - informe'!$E$27),0,(C7936&gt;='Resultats - informe'!$D$28)*(C7936&lt;='Resultats - informe'!$E$28),0,(C7936&gt;='Resultats - informe'!$D$29)*(C7936&lt;='Resultats - informe'!$E$29),0,1,1)</f>
        <v>0</v>
      </c>
      <c r="N7936" s="366">
        <f>+VLOOKUP(D7936,'Resultats - informe'!$Y$18:$AG$42,'Introducció dades consum'!K7936+1,0)</f>
        <v>0</v>
      </c>
      <c r="O7936" s="370" cm="1">
        <f t="array" ref="O7936">+_xlfn.SWITCH(MONTH(C7936),1,1,2,1,3,1,4,2,5,2,6,3,7,3,8,3,9,3,10,2,11,2,12,1,2)</f>
        <v>1</v>
      </c>
      <c r="P7936" s="43"/>
    </row>
    <row r="7937" spans="1:16" ht="18" x14ac:dyDescent="0.35">
      <c r="A7937" s="9"/>
      <c r="C7937" s="393"/>
      <c r="E7937" s="394"/>
      <c r="F7937" s="394"/>
      <c r="G7937" s="394"/>
      <c r="I7937" s="368">
        <f t="shared" si="375"/>
        <v>0</v>
      </c>
      <c r="J7937" s="365">
        <f t="shared" si="376"/>
        <v>0</v>
      </c>
      <c r="K7937" s="369">
        <f t="shared" si="377"/>
        <v>6</v>
      </c>
      <c r="L7937" s="369">
        <f>+IF((C7937&gt;='Resultats - informe'!$E$16)*(C7937&lt;='Resultats - informe'!$G$16),1,0)</f>
        <v>1</v>
      </c>
      <c r="M7937" s="369" cm="1">
        <f t="array" ref="M7937">+_xlfn.IFS((C7937&gt;='Resultats - informe'!$D$26)*(C7937&lt;='Resultats - informe'!$E$26),0,(C7937&gt;='Resultats - informe'!$D$27)*(C7937&lt;='Resultats - informe'!$E$27),0,(C7937&gt;='Resultats - informe'!$D$28)*(C7937&lt;='Resultats - informe'!$E$28),0,(C7937&gt;='Resultats - informe'!$D$29)*(C7937&lt;='Resultats - informe'!$E$29),0,1,1)</f>
        <v>0</v>
      </c>
      <c r="N7937" s="366">
        <f>+VLOOKUP(D7937,'Resultats - informe'!$Y$18:$AG$42,'Introducció dades consum'!K7937+1,0)</f>
        <v>0</v>
      </c>
      <c r="O7937" s="370" cm="1">
        <f t="array" ref="O7937">+_xlfn.SWITCH(MONTH(C7937),1,1,2,1,3,1,4,2,5,2,6,3,7,3,8,3,9,3,10,2,11,2,12,1,2)</f>
        <v>1</v>
      </c>
      <c r="P7937" s="43"/>
    </row>
    <row r="7938" spans="1:16" ht="18" x14ac:dyDescent="0.35">
      <c r="A7938" s="9"/>
      <c r="C7938" s="393"/>
      <c r="E7938" s="394"/>
      <c r="F7938" s="394"/>
      <c r="G7938" s="394"/>
      <c r="I7938" s="368">
        <f t="shared" si="375"/>
        <v>0</v>
      </c>
      <c r="J7938" s="365">
        <f t="shared" si="376"/>
        <v>0</v>
      </c>
      <c r="K7938" s="369">
        <f t="shared" si="377"/>
        <v>6</v>
      </c>
      <c r="L7938" s="369">
        <f>+IF((C7938&gt;='Resultats - informe'!$E$16)*(C7938&lt;='Resultats - informe'!$G$16),1,0)</f>
        <v>1</v>
      </c>
      <c r="M7938" s="369" cm="1">
        <f t="array" ref="M7938">+_xlfn.IFS((C7938&gt;='Resultats - informe'!$D$26)*(C7938&lt;='Resultats - informe'!$E$26),0,(C7938&gt;='Resultats - informe'!$D$27)*(C7938&lt;='Resultats - informe'!$E$27),0,(C7938&gt;='Resultats - informe'!$D$28)*(C7938&lt;='Resultats - informe'!$E$28),0,(C7938&gt;='Resultats - informe'!$D$29)*(C7938&lt;='Resultats - informe'!$E$29),0,1,1)</f>
        <v>0</v>
      </c>
      <c r="N7938" s="366">
        <f>+VLOOKUP(D7938,'Resultats - informe'!$Y$18:$AG$42,'Introducció dades consum'!K7938+1,0)</f>
        <v>0</v>
      </c>
      <c r="O7938" s="370" cm="1">
        <f t="array" ref="O7938">+_xlfn.SWITCH(MONTH(C7938),1,1,2,1,3,1,4,2,5,2,6,3,7,3,8,3,9,3,10,2,11,2,12,1,2)</f>
        <v>1</v>
      </c>
      <c r="P7938" s="43"/>
    </row>
    <row r="7939" spans="1:16" ht="18" x14ac:dyDescent="0.35">
      <c r="A7939" s="9"/>
      <c r="C7939" s="393"/>
      <c r="E7939" s="394"/>
      <c r="F7939" s="394"/>
      <c r="G7939" s="394"/>
      <c r="I7939" s="368">
        <f t="shared" si="375"/>
        <v>0</v>
      </c>
      <c r="J7939" s="365">
        <f t="shared" si="376"/>
        <v>0</v>
      </c>
      <c r="K7939" s="369">
        <f t="shared" si="377"/>
        <v>6</v>
      </c>
      <c r="L7939" s="369">
        <f>+IF((C7939&gt;='Resultats - informe'!$E$16)*(C7939&lt;='Resultats - informe'!$G$16),1,0)</f>
        <v>1</v>
      </c>
      <c r="M7939" s="369" cm="1">
        <f t="array" ref="M7939">+_xlfn.IFS((C7939&gt;='Resultats - informe'!$D$26)*(C7939&lt;='Resultats - informe'!$E$26),0,(C7939&gt;='Resultats - informe'!$D$27)*(C7939&lt;='Resultats - informe'!$E$27),0,(C7939&gt;='Resultats - informe'!$D$28)*(C7939&lt;='Resultats - informe'!$E$28),0,(C7939&gt;='Resultats - informe'!$D$29)*(C7939&lt;='Resultats - informe'!$E$29),0,1,1)</f>
        <v>0</v>
      </c>
      <c r="N7939" s="366">
        <f>+VLOOKUP(D7939,'Resultats - informe'!$Y$18:$AG$42,'Introducció dades consum'!K7939+1,0)</f>
        <v>0</v>
      </c>
      <c r="O7939" s="370" cm="1">
        <f t="array" ref="O7939">+_xlfn.SWITCH(MONTH(C7939),1,1,2,1,3,1,4,2,5,2,6,3,7,3,8,3,9,3,10,2,11,2,12,1,2)</f>
        <v>1</v>
      </c>
      <c r="P7939" s="43"/>
    </row>
    <row r="7940" spans="1:16" ht="18" x14ac:dyDescent="0.35">
      <c r="A7940" s="9"/>
      <c r="C7940" s="393"/>
      <c r="E7940" s="394"/>
      <c r="F7940" s="394"/>
      <c r="G7940" s="394"/>
      <c r="I7940" s="368">
        <f t="shared" si="375"/>
        <v>0</v>
      </c>
      <c r="J7940" s="365">
        <f t="shared" si="376"/>
        <v>0</v>
      </c>
      <c r="K7940" s="369">
        <f t="shared" si="377"/>
        <v>6</v>
      </c>
      <c r="L7940" s="369">
        <f>+IF((C7940&gt;='Resultats - informe'!$E$16)*(C7940&lt;='Resultats - informe'!$G$16),1,0)</f>
        <v>1</v>
      </c>
      <c r="M7940" s="369" cm="1">
        <f t="array" ref="M7940">+_xlfn.IFS((C7940&gt;='Resultats - informe'!$D$26)*(C7940&lt;='Resultats - informe'!$E$26),0,(C7940&gt;='Resultats - informe'!$D$27)*(C7940&lt;='Resultats - informe'!$E$27),0,(C7940&gt;='Resultats - informe'!$D$28)*(C7940&lt;='Resultats - informe'!$E$28),0,(C7940&gt;='Resultats - informe'!$D$29)*(C7940&lt;='Resultats - informe'!$E$29),0,1,1)</f>
        <v>0</v>
      </c>
      <c r="N7940" s="366">
        <f>+VLOOKUP(D7940,'Resultats - informe'!$Y$18:$AG$42,'Introducció dades consum'!K7940+1,0)</f>
        <v>0</v>
      </c>
      <c r="O7940" s="370" cm="1">
        <f t="array" ref="O7940">+_xlfn.SWITCH(MONTH(C7940),1,1,2,1,3,1,4,2,5,2,6,3,7,3,8,3,9,3,10,2,11,2,12,1,2)</f>
        <v>1</v>
      </c>
      <c r="P7940" s="43"/>
    </row>
    <row r="7941" spans="1:16" ht="18" x14ac:dyDescent="0.35">
      <c r="A7941" s="9"/>
      <c r="C7941" s="393"/>
      <c r="E7941" s="394"/>
      <c r="F7941" s="394"/>
      <c r="G7941" s="394"/>
      <c r="I7941" s="368">
        <f t="shared" si="375"/>
        <v>0</v>
      </c>
      <c r="J7941" s="365">
        <f t="shared" si="376"/>
        <v>0</v>
      </c>
      <c r="K7941" s="369">
        <f t="shared" si="377"/>
        <v>6</v>
      </c>
      <c r="L7941" s="369">
        <f>+IF((C7941&gt;='Resultats - informe'!$E$16)*(C7941&lt;='Resultats - informe'!$G$16),1,0)</f>
        <v>1</v>
      </c>
      <c r="M7941" s="369" cm="1">
        <f t="array" ref="M7941">+_xlfn.IFS((C7941&gt;='Resultats - informe'!$D$26)*(C7941&lt;='Resultats - informe'!$E$26),0,(C7941&gt;='Resultats - informe'!$D$27)*(C7941&lt;='Resultats - informe'!$E$27),0,(C7941&gt;='Resultats - informe'!$D$28)*(C7941&lt;='Resultats - informe'!$E$28),0,(C7941&gt;='Resultats - informe'!$D$29)*(C7941&lt;='Resultats - informe'!$E$29),0,1,1)</f>
        <v>0</v>
      </c>
      <c r="N7941" s="366">
        <f>+VLOOKUP(D7941,'Resultats - informe'!$Y$18:$AG$42,'Introducció dades consum'!K7941+1,0)</f>
        <v>0</v>
      </c>
      <c r="O7941" s="370" cm="1">
        <f t="array" ref="O7941">+_xlfn.SWITCH(MONTH(C7941),1,1,2,1,3,1,4,2,5,2,6,3,7,3,8,3,9,3,10,2,11,2,12,1,2)</f>
        <v>1</v>
      </c>
      <c r="P7941" s="43"/>
    </row>
    <row r="7942" spans="1:16" ht="18" x14ac:dyDescent="0.35">
      <c r="A7942" s="9"/>
      <c r="C7942" s="393"/>
      <c r="E7942" s="394"/>
      <c r="F7942" s="394"/>
      <c r="G7942" s="394"/>
      <c r="I7942" s="368">
        <f t="shared" si="375"/>
        <v>0</v>
      </c>
      <c r="J7942" s="365">
        <f t="shared" si="376"/>
        <v>0</v>
      </c>
      <c r="K7942" s="369">
        <f t="shared" si="377"/>
        <v>6</v>
      </c>
      <c r="L7942" s="369">
        <f>+IF((C7942&gt;='Resultats - informe'!$E$16)*(C7942&lt;='Resultats - informe'!$G$16),1,0)</f>
        <v>1</v>
      </c>
      <c r="M7942" s="369" cm="1">
        <f t="array" ref="M7942">+_xlfn.IFS((C7942&gt;='Resultats - informe'!$D$26)*(C7942&lt;='Resultats - informe'!$E$26),0,(C7942&gt;='Resultats - informe'!$D$27)*(C7942&lt;='Resultats - informe'!$E$27),0,(C7942&gt;='Resultats - informe'!$D$28)*(C7942&lt;='Resultats - informe'!$E$28),0,(C7942&gt;='Resultats - informe'!$D$29)*(C7942&lt;='Resultats - informe'!$E$29),0,1,1)</f>
        <v>0</v>
      </c>
      <c r="N7942" s="366">
        <f>+VLOOKUP(D7942,'Resultats - informe'!$Y$18:$AG$42,'Introducció dades consum'!K7942+1,0)</f>
        <v>0</v>
      </c>
      <c r="O7942" s="370" cm="1">
        <f t="array" ref="O7942">+_xlfn.SWITCH(MONTH(C7942),1,1,2,1,3,1,4,2,5,2,6,3,7,3,8,3,9,3,10,2,11,2,12,1,2)</f>
        <v>1</v>
      </c>
      <c r="P7942" s="43"/>
    </row>
    <row r="7943" spans="1:16" ht="18" x14ac:dyDescent="0.35">
      <c r="A7943" s="9"/>
      <c r="C7943" s="393"/>
      <c r="E7943" s="394"/>
      <c r="F7943" s="394"/>
      <c r="G7943" s="394"/>
      <c r="I7943" s="368">
        <f t="shared" si="375"/>
        <v>0</v>
      </c>
      <c r="J7943" s="365">
        <f t="shared" si="376"/>
        <v>0</v>
      </c>
      <c r="K7943" s="369">
        <f t="shared" si="377"/>
        <v>6</v>
      </c>
      <c r="L7943" s="369">
        <f>+IF((C7943&gt;='Resultats - informe'!$E$16)*(C7943&lt;='Resultats - informe'!$G$16),1,0)</f>
        <v>1</v>
      </c>
      <c r="M7943" s="369" cm="1">
        <f t="array" ref="M7943">+_xlfn.IFS((C7943&gt;='Resultats - informe'!$D$26)*(C7943&lt;='Resultats - informe'!$E$26),0,(C7943&gt;='Resultats - informe'!$D$27)*(C7943&lt;='Resultats - informe'!$E$27),0,(C7943&gt;='Resultats - informe'!$D$28)*(C7943&lt;='Resultats - informe'!$E$28),0,(C7943&gt;='Resultats - informe'!$D$29)*(C7943&lt;='Resultats - informe'!$E$29),0,1,1)</f>
        <v>0</v>
      </c>
      <c r="N7943" s="366">
        <f>+VLOOKUP(D7943,'Resultats - informe'!$Y$18:$AG$42,'Introducció dades consum'!K7943+1,0)</f>
        <v>0</v>
      </c>
      <c r="O7943" s="370" cm="1">
        <f t="array" ref="O7943">+_xlfn.SWITCH(MONTH(C7943),1,1,2,1,3,1,4,2,5,2,6,3,7,3,8,3,9,3,10,2,11,2,12,1,2)</f>
        <v>1</v>
      </c>
      <c r="P7943" s="43"/>
    </row>
    <row r="7944" spans="1:16" ht="18" x14ac:dyDescent="0.35">
      <c r="A7944" s="9"/>
      <c r="C7944" s="393"/>
      <c r="E7944" s="394"/>
      <c r="F7944" s="394"/>
      <c r="G7944" s="394"/>
      <c r="I7944" s="368">
        <f t="shared" si="375"/>
        <v>0</v>
      </c>
      <c r="J7944" s="365">
        <f t="shared" si="376"/>
        <v>0</v>
      </c>
      <c r="K7944" s="369">
        <f t="shared" si="377"/>
        <v>6</v>
      </c>
      <c r="L7944" s="369">
        <f>+IF((C7944&gt;='Resultats - informe'!$E$16)*(C7944&lt;='Resultats - informe'!$G$16),1,0)</f>
        <v>1</v>
      </c>
      <c r="M7944" s="369" cm="1">
        <f t="array" ref="M7944">+_xlfn.IFS((C7944&gt;='Resultats - informe'!$D$26)*(C7944&lt;='Resultats - informe'!$E$26),0,(C7944&gt;='Resultats - informe'!$D$27)*(C7944&lt;='Resultats - informe'!$E$27),0,(C7944&gt;='Resultats - informe'!$D$28)*(C7944&lt;='Resultats - informe'!$E$28),0,(C7944&gt;='Resultats - informe'!$D$29)*(C7944&lt;='Resultats - informe'!$E$29),0,1,1)</f>
        <v>0</v>
      </c>
      <c r="N7944" s="366">
        <f>+VLOOKUP(D7944,'Resultats - informe'!$Y$18:$AG$42,'Introducció dades consum'!K7944+1,0)</f>
        <v>0</v>
      </c>
      <c r="O7944" s="370" cm="1">
        <f t="array" ref="O7944">+_xlfn.SWITCH(MONTH(C7944),1,1,2,1,3,1,4,2,5,2,6,3,7,3,8,3,9,3,10,2,11,2,12,1,2)</f>
        <v>1</v>
      </c>
      <c r="P7944" s="43"/>
    </row>
    <row r="7945" spans="1:16" ht="18" x14ac:dyDescent="0.35">
      <c r="A7945" s="9"/>
      <c r="C7945" s="393"/>
      <c r="E7945" s="394"/>
      <c r="F7945" s="394"/>
      <c r="G7945" s="394"/>
      <c r="I7945" s="368">
        <f t="shared" si="375"/>
        <v>0</v>
      </c>
      <c r="J7945" s="365">
        <f t="shared" si="376"/>
        <v>0</v>
      </c>
      <c r="K7945" s="369">
        <f t="shared" si="377"/>
        <v>6</v>
      </c>
      <c r="L7945" s="369">
        <f>+IF((C7945&gt;='Resultats - informe'!$E$16)*(C7945&lt;='Resultats - informe'!$G$16),1,0)</f>
        <v>1</v>
      </c>
      <c r="M7945" s="369" cm="1">
        <f t="array" ref="M7945">+_xlfn.IFS((C7945&gt;='Resultats - informe'!$D$26)*(C7945&lt;='Resultats - informe'!$E$26),0,(C7945&gt;='Resultats - informe'!$D$27)*(C7945&lt;='Resultats - informe'!$E$27),0,(C7945&gt;='Resultats - informe'!$D$28)*(C7945&lt;='Resultats - informe'!$E$28),0,(C7945&gt;='Resultats - informe'!$D$29)*(C7945&lt;='Resultats - informe'!$E$29),0,1,1)</f>
        <v>0</v>
      </c>
      <c r="N7945" s="366">
        <f>+VLOOKUP(D7945,'Resultats - informe'!$Y$18:$AG$42,'Introducció dades consum'!K7945+1,0)</f>
        <v>0</v>
      </c>
      <c r="O7945" s="370" cm="1">
        <f t="array" ref="O7945">+_xlfn.SWITCH(MONTH(C7945),1,1,2,1,3,1,4,2,5,2,6,3,7,3,8,3,9,3,10,2,11,2,12,1,2)</f>
        <v>1</v>
      </c>
      <c r="P7945" s="43"/>
    </row>
    <row r="7946" spans="1:16" ht="18" x14ac:dyDescent="0.35">
      <c r="A7946" s="9"/>
      <c r="C7946" s="393"/>
      <c r="E7946" s="394"/>
      <c r="F7946" s="394"/>
      <c r="G7946" s="394"/>
      <c r="I7946" s="368">
        <f t="shared" si="375"/>
        <v>0</v>
      </c>
      <c r="J7946" s="365">
        <f t="shared" si="376"/>
        <v>0</v>
      </c>
      <c r="K7946" s="369">
        <f t="shared" si="377"/>
        <v>6</v>
      </c>
      <c r="L7946" s="369">
        <f>+IF((C7946&gt;='Resultats - informe'!$E$16)*(C7946&lt;='Resultats - informe'!$G$16),1,0)</f>
        <v>1</v>
      </c>
      <c r="M7946" s="369" cm="1">
        <f t="array" ref="M7946">+_xlfn.IFS((C7946&gt;='Resultats - informe'!$D$26)*(C7946&lt;='Resultats - informe'!$E$26),0,(C7946&gt;='Resultats - informe'!$D$27)*(C7946&lt;='Resultats - informe'!$E$27),0,(C7946&gt;='Resultats - informe'!$D$28)*(C7946&lt;='Resultats - informe'!$E$28),0,(C7946&gt;='Resultats - informe'!$D$29)*(C7946&lt;='Resultats - informe'!$E$29),0,1,1)</f>
        <v>0</v>
      </c>
      <c r="N7946" s="366">
        <f>+VLOOKUP(D7946,'Resultats - informe'!$Y$18:$AG$42,'Introducció dades consum'!K7946+1,0)</f>
        <v>0</v>
      </c>
      <c r="O7946" s="370" cm="1">
        <f t="array" ref="O7946">+_xlfn.SWITCH(MONTH(C7946),1,1,2,1,3,1,4,2,5,2,6,3,7,3,8,3,9,3,10,2,11,2,12,1,2)</f>
        <v>1</v>
      </c>
      <c r="P7946" s="43"/>
    </row>
    <row r="7947" spans="1:16" ht="18" x14ac:dyDescent="0.35">
      <c r="A7947" s="9"/>
      <c r="C7947" s="393"/>
      <c r="E7947" s="394"/>
      <c r="F7947" s="394"/>
      <c r="G7947" s="394"/>
      <c r="I7947" s="368">
        <f t="shared" si="375"/>
        <v>0</v>
      </c>
      <c r="J7947" s="365">
        <f t="shared" si="376"/>
        <v>0</v>
      </c>
      <c r="K7947" s="369">
        <f t="shared" si="377"/>
        <v>6</v>
      </c>
      <c r="L7947" s="369">
        <f>+IF((C7947&gt;='Resultats - informe'!$E$16)*(C7947&lt;='Resultats - informe'!$G$16),1,0)</f>
        <v>1</v>
      </c>
      <c r="M7947" s="369" cm="1">
        <f t="array" ref="M7947">+_xlfn.IFS((C7947&gt;='Resultats - informe'!$D$26)*(C7947&lt;='Resultats - informe'!$E$26),0,(C7947&gt;='Resultats - informe'!$D$27)*(C7947&lt;='Resultats - informe'!$E$27),0,(C7947&gt;='Resultats - informe'!$D$28)*(C7947&lt;='Resultats - informe'!$E$28),0,(C7947&gt;='Resultats - informe'!$D$29)*(C7947&lt;='Resultats - informe'!$E$29),0,1,1)</f>
        <v>0</v>
      </c>
      <c r="N7947" s="366">
        <f>+VLOOKUP(D7947,'Resultats - informe'!$Y$18:$AG$42,'Introducció dades consum'!K7947+1,0)</f>
        <v>0</v>
      </c>
      <c r="O7947" s="370" cm="1">
        <f t="array" ref="O7947">+_xlfn.SWITCH(MONTH(C7947),1,1,2,1,3,1,4,2,5,2,6,3,7,3,8,3,9,3,10,2,11,2,12,1,2)</f>
        <v>1</v>
      </c>
      <c r="P7947" s="43"/>
    </row>
    <row r="7948" spans="1:16" ht="18" x14ac:dyDescent="0.35">
      <c r="A7948" s="9"/>
      <c r="C7948" s="393"/>
      <c r="E7948" s="394"/>
      <c r="F7948" s="394"/>
      <c r="G7948" s="394"/>
      <c r="I7948" s="368">
        <f t="shared" si="375"/>
        <v>0</v>
      </c>
      <c r="J7948" s="365">
        <f t="shared" si="376"/>
        <v>0</v>
      </c>
      <c r="K7948" s="369">
        <f t="shared" si="377"/>
        <v>6</v>
      </c>
      <c r="L7948" s="369">
        <f>+IF((C7948&gt;='Resultats - informe'!$E$16)*(C7948&lt;='Resultats - informe'!$G$16),1,0)</f>
        <v>1</v>
      </c>
      <c r="M7948" s="369" cm="1">
        <f t="array" ref="M7948">+_xlfn.IFS((C7948&gt;='Resultats - informe'!$D$26)*(C7948&lt;='Resultats - informe'!$E$26),0,(C7948&gt;='Resultats - informe'!$D$27)*(C7948&lt;='Resultats - informe'!$E$27),0,(C7948&gt;='Resultats - informe'!$D$28)*(C7948&lt;='Resultats - informe'!$E$28),0,(C7948&gt;='Resultats - informe'!$D$29)*(C7948&lt;='Resultats - informe'!$E$29),0,1,1)</f>
        <v>0</v>
      </c>
      <c r="N7948" s="366">
        <f>+VLOOKUP(D7948,'Resultats - informe'!$Y$18:$AG$42,'Introducció dades consum'!K7948+1,0)</f>
        <v>0</v>
      </c>
      <c r="O7948" s="370" cm="1">
        <f t="array" ref="O7948">+_xlfn.SWITCH(MONTH(C7948),1,1,2,1,3,1,4,2,5,2,6,3,7,3,8,3,9,3,10,2,11,2,12,1,2)</f>
        <v>1</v>
      </c>
      <c r="P7948" s="43"/>
    </row>
    <row r="7949" spans="1:16" ht="18" x14ac:dyDescent="0.35">
      <c r="A7949" s="9"/>
      <c r="C7949" s="393"/>
      <c r="E7949" s="394"/>
      <c r="F7949" s="394"/>
      <c r="G7949" s="394"/>
      <c r="I7949" s="368">
        <f t="shared" si="375"/>
        <v>0</v>
      </c>
      <c r="J7949" s="365">
        <f t="shared" si="376"/>
        <v>0</v>
      </c>
      <c r="K7949" s="369">
        <f t="shared" si="377"/>
        <v>6</v>
      </c>
      <c r="L7949" s="369">
        <f>+IF((C7949&gt;='Resultats - informe'!$E$16)*(C7949&lt;='Resultats - informe'!$G$16),1,0)</f>
        <v>1</v>
      </c>
      <c r="M7949" s="369" cm="1">
        <f t="array" ref="M7949">+_xlfn.IFS((C7949&gt;='Resultats - informe'!$D$26)*(C7949&lt;='Resultats - informe'!$E$26),0,(C7949&gt;='Resultats - informe'!$D$27)*(C7949&lt;='Resultats - informe'!$E$27),0,(C7949&gt;='Resultats - informe'!$D$28)*(C7949&lt;='Resultats - informe'!$E$28),0,(C7949&gt;='Resultats - informe'!$D$29)*(C7949&lt;='Resultats - informe'!$E$29),0,1,1)</f>
        <v>0</v>
      </c>
      <c r="N7949" s="366">
        <f>+VLOOKUP(D7949,'Resultats - informe'!$Y$18:$AG$42,'Introducció dades consum'!K7949+1,0)</f>
        <v>0</v>
      </c>
      <c r="O7949" s="370" cm="1">
        <f t="array" ref="O7949">+_xlfn.SWITCH(MONTH(C7949),1,1,2,1,3,1,4,2,5,2,6,3,7,3,8,3,9,3,10,2,11,2,12,1,2)</f>
        <v>1</v>
      </c>
      <c r="P7949" s="43"/>
    </row>
    <row r="7950" spans="1:16" ht="18" x14ac:dyDescent="0.35">
      <c r="A7950" s="9"/>
      <c r="C7950" s="393"/>
      <c r="E7950" s="394"/>
      <c r="F7950" s="394"/>
      <c r="G7950" s="394"/>
      <c r="I7950" s="368">
        <f t="shared" si="375"/>
        <v>0</v>
      </c>
      <c r="J7950" s="365">
        <f t="shared" si="376"/>
        <v>0</v>
      </c>
      <c r="K7950" s="369">
        <f t="shared" si="377"/>
        <v>6</v>
      </c>
      <c r="L7950" s="369">
        <f>+IF((C7950&gt;='Resultats - informe'!$E$16)*(C7950&lt;='Resultats - informe'!$G$16),1,0)</f>
        <v>1</v>
      </c>
      <c r="M7950" s="369" cm="1">
        <f t="array" ref="M7950">+_xlfn.IFS((C7950&gt;='Resultats - informe'!$D$26)*(C7950&lt;='Resultats - informe'!$E$26),0,(C7950&gt;='Resultats - informe'!$D$27)*(C7950&lt;='Resultats - informe'!$E$27),0,(C7950&gt;='Resultats - informe'!$D$28)*(C7950&lt;='Resultats - informe'!$E$28),0,(C7950&gt;='Resultats - informe'!$D$29)*(C7950&lt;='Resultats - informe'!$E$29),0,1,1)</f>
        <v>0</v>
      </c>
      <c r="N7950" s="366">
        <f>+VLOOKUP(D7950,'Resultats - informe'!$Y$18:$AG$42,'Introducció dades consum'!K7950+1,0)</f>
        <v>0</v>
      </c>
      <c r="O7950" s="370" cm="1">
        <f t="array" ref="O7950">+_xlfn.SWITCH(MONTH(C7950),1,1,2,1,3,1,4,2,5,2,6,3,7,3,8,3,9,3,10,2,11,2,12,1,2)</f>
        <v>1</v>
      </c>
      <c r="P7950" s="43"/>
    </row>
    <row r="7951" spans="1:16" ht="18" x14ac:dyDescent="0.35">
      <c r="A7951" s="9"/>
      <c r="C7951" s="393"/>
      <c r="E7951" s="394"/>
      <c r="F7951" s="394"/>
      <c r="G7951" s="394"/>
      <c r="I7951" s="368">
        <f t="shared" si="375"/>
        <v>0</v>
      </c>
      <c r="J7951" s="365">
        <f t="shared" si="376"/>
        <v>0</v>
      </c>
      <c r="K7951" s="369">
        <f t="shared" si="377"/>
        <v>6</v>
      </c>
      <c r="L7951" s="369">
        <f>+IF((C7951&gt;='Resultats - informe'!$E$16)*(C7951&lt;='Resultats - informe'!$G$16),1,0)</f>
        <v>1</v>
      </c>
      <c r="M7951" s="369" cm="1">
        <f t="array" ref="M7951">+_xlfn.IFS((C7951&gt;='Resultats - informe'!$D$26)*(C7951&lt;='Resultats - informe'!$E$26),0,(C7951&gt;='Resultats - informe'!$D$27)*(C7951&lt;='Resultats - informe'!$E$27),0,(C7951&gt;='Resultats - informe'!$D$28)*(C7951&lt;='Resultats - informe'!$E$28),0,(C7951&gt;='Resultats - informe'!$D$29)*(C7951&lt;='Resultats - informe'!$E$29),0,1,1)</f>
        <v>0</v>
      </c>
      <c r="N7951" s="366">
        <f>+VLOOKUP(D7951,'Resultats - informe'!$Y$18:$AG$42,'Introducció dades consum'!K7951+1,0)</f>
        <v>0</v>
      </c>
      <c r="O7951" s="370" cm="1">
        <f t="array" ref="O7951">+_xlfn.SWITCH(MONTH(C7951),1,1,2,1,3,1,4,2,5,2,6,3,7,3,8,3,9,3,10,2,11,2,12,1,2)</f>
        <v>1</v>
      </c>
      <c r="P7951" s="43"/>
    </row>
    <row r="7952" spans="1:16" ht="18" x14ac:dyDescent="0.35">
      <c r="A7952" s="9"/>
      <c r="C7952" s="393"/>
      <c r="E7952" s="394"/>
      <c r="F7952" s="394"/>
      <c r="G7952" s="394"/>
      <c r="I7952" s="368">
        <f t="shared" si="375"/>
        <v>0</v>
      </c>
      <c r="J7952" s="365">
        <f t="shared" si="376"/>
        <v>0</v>
      </c>
      <c r="K7952" s="369">
        <f t="shared" si="377"/>
        <v>6</v>
      </c>
      <c r="L7952" s="369">
        <f>+IF((C7952&gt;='Resultats - informe'!$E$16)*(C7952&lt;='Resultats - informe'!$G$16),1,0)</f>
        <v>1</v>
      </c>
      <c r="M7952" s="369" cm="1">
        <f t="array" ref="M7952">+_xlfn.IFS((C7952&gt;='Resultats - informe'!$D$26)*(C7952&lt;='Resultats - informe'!$E$26),0,(C7952&gt;='Resultats - informe'!$D$27)*(C7952&lt;='Resultats - informe'!$E$27),0,(C7952&gt;='Resultats - informe'!$D$28)*(C7952&lt;='Resultats - informe'!$E$28),0,(C7952&gt;='Resultats - informe'!$D$29)*(C7952&lt;='Resultats - informe'!$E$29),0,1,1)</f>
        <v>0</v>
      </c>
      <c r="N7952" s="366">
        <f>+VLOOKUP(D7952,'Resultats - informe'!$Y$18:$AG$42,'Introducció dades consum'!K7952+1,0)</f>
        <v>0</v>
      </c>
      <c r="O7952" s="370" cm="1">
        <f t="array" ref="O7952">+_xlfn.SWITCH(MONTH(C7952),1,1,2,1,3,1,4,2,5,2,6,3,7,3,8,3,9,3,10,2,11,2,12,1,2)</f>
        <v>1</v>
      </c>
      <c r="P7952" s="43"/>
    </row>
    <row r="7953" spans="1:16" ht="18" x14ac:dyDescent="0.35">
      <c r="A7953" s="9"/>
      <c r="C7953" s="393"/>
      <c r="E7953" s="394"/>
      <c r="F7953" s="394"/>
      <c r="G7953" s="394"/>
      <c r="I7953" s="368">
        <f t="shared" si="375"/>
        <v>0</v>
      </c>
      <c r="J7953" s="365">
        <f t="shared" si="376"/>
        <v>0</v>
      </c>
      <c r="K7953" s="369">
        <f t="shared" si="377"/>
        <v>6</v>
      </c>
      <c r="L7953" s="369">
        <f>+IF((C7953&gt;='Resultats - informe'!$E$16)*(C7953&lt;='Resultats - informe'!$G$16),1,0)</f>
        <v>1</v>
      </c>
      <c r="M7953" s="369" cm="1">
        <f t="array" ref="M7953">+_xlfn.IFS((C7953&gt;='Resultats - informe'!$D$26)*(C7953&lt;='Resultats - informe'!$E$26),0,(C7953&gt;='Resultats - informe'!$D$27)*(C7953&lt;='Resultats - informe'!$E$27),0,(C7953&gt;='Resultats - informe'!$D$28)*(C7953&lt;='Resultats - informe'!$E$28),0,(C7953&gt;='Resultats - informe'!$D$29)*(C7953&lt;='Resultats - informe'!$E$29),0,1,1)</f>
        <v>0</v>
      </c>
      <c r="N7953" s="366">
        <f>+VLOOKUP(D7953,'Resultats - informe'!$Y$18:$AG$42,'Introducció dades consum'!K7953+1,0)</f>
        <v>0</v>
      </c>
      <c r="O7953" s="370" cm="1">
        <f t="array" ref="O7953">+_xlfn.SWITCH(MONTH(C7953),1,1,2,1,3,1,4,2,5,2,6,3,7,3,8,3,9,3,10,2,11,2,12,1,2)</f>
        <v>1</v>
      </c>
      <c r="P7953" s="43"/>
    </row>
    <row r="7954" spans="1:16" ht="18" x14ac:dyDescent="0.35">
      <c r="A7954" s="9"/>
      <c r="C7954" s="393"/>
      <c r="E7954" s="394"/>
      <c r="F7954" s="394"/>
      <c r="G7954" s="394"/>
      <c r="I7954" s="368">
        <f t="shared" ref="I7954:I8017" si="378">+E7954+G7954</f>
        <v>0</v>
      </c>
      <c r="J7954" s="365">
        <f t="shared" ref="J7954:J8017" si="379">+C7954</f>
        <v>0</v>
      </c>
      <c r="K7954" s="369">
        <f t="shared" ref="K7954:K8017" si="380">+WEEKDAY(C7954,2)</f>
        <v>6</v>
      </c>
      <c r="L7954" s="369">
        <f>+IF((C7954&gt;='Resultats - informe'!$E$16)*(C7954&lt;='Resultats - informe'!$G$16),1,0)</f>
        <v>1</v>
      </c>
      <c r="M7954" s="369" cm="1">
        <f t="array" ref="M7954">+_xlfn.IFS((C7954&gt;='Resultats - informe'!$D$26)*(C7954&lt;='Resultats - informe'!$E$26),0,(C7954&gt;='Resultats - informe'!$D$27)*(C7954&lt;='Resultats - informe'!$E$27),0,(C7954&gt;='Resultats - informe'!$D$28)*(C7954&lt;='Resultats - informe'!$E$28),0,(C7954&gt;='Resultats - informe'!$D$29)*(C7954&lt;='Resultats - informe'!$E$29),0,1,1)</f>
        <v>0</v>
      </c>
      <c r="N7954" s="366">
        <f>+VLOOKUP(D7954,'Resultats - informe'!$Y$18:$AG$42,'Introducció dades consum'!K7954+1,0)</f>
        <v>0</v>
      </c>
      <c r="O7954" s="370" cm="1">
        <f t="array" ref="O7954">+_xlfn.SWITCH(MONTH(C7954),1,1,2,1,3,1,4,2,5,2,6,3,7,3,8,3,9,3,10,2,11,2,12,1,2)</f>
        <v>1</v>
      </c>
      <c r="P7954" s="43"/>
    </row>
    <row r="7955" spans="1:16" ht="18" x14ac:dyDescent="0.35">
      <c r="A7955" s="9"/>
      <c r="C7955" s="393"/>
      <c r="E7955" s="394"/>
      <c r="F7955" s="394"/>
      <c r="G7955" s="394"/>
      <c r="I7955" s="368">
        <f t="shared" si="378"/>
        <v>0</v>
      </c>
      <c r="J7955" s="365">
        <f t="shared" si="379"/>
        <v>0</v>
      </c>
      <c r="K7955" s="369">
        <f t="shared" si="380"/>
        <v>6</v>
      </c>
      <c r="L7955" s="369">
        <f>+IF((C7955&gt;='Resultats - informe'!$E$16)*(C7955&lt;='Resultats - informe'!$G$16),1,0)</f>
        <v>1</v>
      </c>
      <c r="M7955" s="369" cm="1">
        <f t="array" ref="M7955">+_xlfn.IFS((C7955&gt;='Resultats - informe'!$D$26)*(C7955&lt;='Resultats - informe'!$E$26),0,(C7955&gt;='Resultats - informe'!$D$27)*(C7955&lt;='Resultats - informe'!$E$27),0,(C7955&gt;='Resultats - informe'!$D$28)*(C7955&lt;='Resultats - informe'!$E$28),0,(C7955&gt;='Resultats - informe'!$D$29)*(C7955&lt;='Resultats - informe'!$E$29),0,1,1)</f>
        <v>0</v>
      </c>
      <c r="N7955" s="366">
        <f>+VLOOKUP(D7955,'Resultats - informe'!$Y$18:$AG$42,'Introducció dades consum'!K7955+1,0)</f>
        <v>0</v>
      </c>
      <c r="O7955" s="370" cm="1">
        <f t="array" ref="O7955">+_xlfn.SWITCH(MONTH(C7955),1,1,2,1,3,1,4,2,5,2,6,3,7,3,8,3,9,3,10,2,11,2,12,1,2)</f>
        <v>1</v>
      </c>
      <c r="P7955" s="43"/>
    </row>
    <row r="7956" spans="1:16" ht="18" x14ac:dyDescent="0.35">
      <c r="A7956" s="9"/>
      <c r="C7956" s="393"/>
      <c r="E7956" s="394"/>
      <c r="F7956" s="394"/>
      <c r="G7956" s="394"/>
      <c r="I7956" s="368">
        <f t="shared" si="378"/>
        <v>0</v>
      </c>
      <c r="J7956" s="365">
        <f t="shared" si="379"/>
        <v>0</v>
      </c>
      <c r="K7956" s="369">
        <f t="shared" si="380"/>
        <v>6</v>
      </c>
      <c r="L7956" s="369">
        <f>+IF((C7956&gt;='Resultats - informe'!$E$16)*(C7956&lt;='Resultats - informe'!$G$16),1,0)</f>
        <v>1</v>
      </c>
      <c r="M7956" s="369" cm="1">
        <f t="array" ref="M7956">+_xlfn.IFS((C7956&gt;='Resultats - informe'!$D$26)*(C7956&lt;='Resultats - informe'!$E$26),0,(C7956&gt;='Resultats - informe'!$D$27)*(C7956&lt;='Resultats - informe'!$E$27),0,(C7956&gt;='Resultats - informe'!$D$28)*(C7956&lt;='Resultats - informe'!$E$28),0,(C7956&gt;='Resultats - informe'!$D$29)*(C7956&lt;='Resultats - informe'!$E$29),0,1,1)</f>
        <v>0</v>
      </c>
      <c r="N7956" s="366">
        <f>+VLOOKUP(D7956,'Resultats - informe'!$Y$18:$AG$42,'Introducció dades consum'!K7956+1,0)</f>
        <v>0</v>
      </c>
      <c r="O7956" s="370" cm="1">
        <f t="array" ref="O7956">+_xlfn.SWITCH(MONTH(C7956),1,1,2,1,3,1,4,2,5,2,6,3,7,3,8,3,9,3,10,2,11,2,12,1,2)</f>
        <v>1</v>
      </c>
      <c r="P7956" s="43"/>
    </row>
    <row r="7957" spans="1:16" ht="18" x14ac:dyDescent="0.35">
      <c r="A7957" s="9"/>
      <c r="C7957" s="393"/>
      <c r="E7957" s="394"/>
      <c r="F7957" s="394"/>
      <c r="G7957" s="394"/>
      <c r="I7957" s="368">
        <f t="shared" si="378"/>
        <v>0</v>
      </c>
      <c r="J7957" s="365">
        <f t="shared" si="379"/>
        <v>0</v>
      </c>
      <c r="K7957" s="369">
        <f t="shared" si="380"/>
        <v>6</v>
      </c>
      <c r="L7957" s="369">
        <f>+IF((C7957&gt;='Resultats - informe'!$E$16)*(C7957&lt;='Resultats - informe'!$G$16),1,0)</f>
        <v>1</v>
      </c>
      <c r="M7957" s="369" cm="1">
        <f t="array" ref="M7957">+_xlfn.IFS((C7957&gt;='Resultats - informe'!$D$26)*(C7957&lt;='Resultats - informe'!$E$26),0,(C7957&gt;='Resultats - informe'!$D$27)*(C7957&lt;='Resultats - informe'!$E$27),0,(C7957&gt;='Resultats - informe'!$D$28)*(C7957&lt;='Resultats - informe'!$E$28),0,(C7957&gt;='Resultats - informe'!$D$29)*(C7957&lt;='Resultats - informe'!$E$29),0,1,1)</f>
        <v>0</v>
      </c>
      <c r="N7957" s="366">
        <f>+VLOOKUP(D7957,'Resultats - informe'!$Y$18:$AG$42,'Introducció dades consum'!K7957+1,0)</f>
        <v>0</v>
      </c>
      <c r="O7957" s="370" cm="1">
        <f t="array" ref="O7957">+_xlfn.SWITCH(MONTH(C7957),1,1,2,1,3,1,4,2,5,2,6,3,7,3,8,3,9,3,10,2,11,2,12,1,2)</f>
        <v>1</v>
      </c>
      <c r="P7957" s="43"/>
    </row>
    <row r="7958" spans="1:16" ht="18" x14ac:dyDescent="0.35">
      <c r="A7958" s="9"/>
      <c r="C7958" s="393"/>
      <c r="E7958" s="394"/>
      <c r="F7958" s="394"/>
      <c r="G7958" s="394"/>
      <c r="I7958" s="368">
        <f t="shared" si="378"/>
        <v>0</v>
      </c>
      <c r="J7958" s="365">
        <f t="shared" si="379"/>
        <v>0</v>
      </c>
      <c r="K7958" s="369">
        <f t="shared" si="380"/>
        <v>6</v>
      </c>
      <c r="L7958" s="369">
        <f>+IF((C7958&gt;='Resultats - informe'!$E$16)*(C7958&lt;='Resultats - informe'!$G$16),1,0)</f>
        <v>1</v>
      </c>
      <c r="M7958" s="369" cm="1">
        <f t="array" ref="M7958">+_xlfn.IFS((C7958&gt;='Resultats - informe'!$D$26)*(C7958&lt;='Resultats - informe'!$E$26),0,(C7958&gt;='Resultats - informe'!$D$27)*(C7958&lt;='Resultats - informe'!$E$27),0,(C7958&gt;='Resultats - informe'!$D$28)*(C7958&lt;='Resultats - informe'!$E$28),0,(C7958&gt;='Resultats - informe'!$D$29)*(C7958&lt;='Resultats - informe'!$E$29),0,1,1)</f>
        <v>0</v>
      </c>
      <c r="N7958" s="366">
        <f>+VLOOKUP(D7958,'Resultats - informe'!$Y$18:$AG$42,'Introducció dades consum'!K7958+1,0)</f>
        <v>0</v>
      </c>
      <c r="O7958" s="370" cm="1">
        <f t="array" ref="O7958">+_xlfn.SWITCH(MONTH(C7958),1,1,2,1,3,1,4,2,5,2,6,3,7,3,8,3,9,3,10,2,11,2,12,1,2)</f>
        <v>1</v>
      </c>
      <c r="P7958" s="43"/>
    </row>
    <row r="7959" spans="1:16" ht="18" x14ac:dyDescent="0.35">
      <c r="A7959" s="9"/>
      <c r="C7959" s="393"/>
      <c r="E7959" s="394"/>
      <c r="F7959" s="394"/>
      <c r="G7959" s="394"/>
      <c r="I7959" s="368">
        <f t="shared" si="378"/>
        <v>0</v>
      </c>
      <c r="J7959" s="365">
        <f t="shared" si="379"/>
        <v>0</v>
      </c>
      <c r="K7959" s="369">
        <f t="shared" si="380"/>
        <v>6</v>
      </c>
      <c r="L7959" s="369">
        <f>+IF((C7959&gt;='Resultats - informe'!$E$16)*(C7959&lt;='Resultats - informe'!$G$16),1,0)</f>
        <v>1</v>
      </c>
      <c r="M7959" s="369" cm="1">
        <f t="array" ref="M7959">+_xlfn.IFS((C7959&gt;='Resultats - informe'!$D$26)*(C7959&lt;='Resultats - informe'!$E$26),0,(C7959&gt;='Resultats - informe'!$D$27)*(C7959&lt;='Resultats - informe'!$E$27),0,(C7959&gt;='Resultats - informe'!$D$28)*(C7959&lt;='Resultats - informe'!$E$28),0,(C7959&gt;='Resultats - informe'!$D$29)*(C7959&lt;='Resultats - informe'!$E$29),0,1,1)</f>
        <v>0</v>
      </c>
      <c r="N7959" s="366">
        <f>+VLOOKUP(D7959,'Resultats - informe'!$Y$18:$AG$42,'Introducció dades consum'!K7959+1,0)</f>
        <v>0</v>
      </c>
      <c r="O7959" s="370" cm="1">
        <f t="array" ref="O7959">+_xlfn.SWITCH(MONTH(C7959),1,1,2,1,3,1,4,2,5,2,6,3,7,3,8,3,9,3,10,2,11,2,12,1,2)</f>
        <v>1</v>
      </c>
      <c r="P7959" s="43"/>
    </row>
    <row r="7960" spans="1:16" ht="18" x14ac:dyDescent="0.35">
      <c r="A7960" s="9"/>
      <c r="C7960" s="393"/>
      <c r="E7960" s="394"/>
      <c r="F7960" s="394"/>
      <c r="G7960" s="394"/>
      <c r="I7960" s="368">
        <f t="shared" si="378"/>
        <v>0</v>
      </c>
      <c r="J7960" s="365">
        <f t="shared" si="379"/>
        <v>0</v>
      </c>
      <c r="K7960" s="369">
        <f t="shared" si="380"/>
        <v>6</v>
      </c>
      <c r="L7960" s="369">
        <f>+IF((C7960&gt;='Resultats - informe'!$E$16)*(C7960&lt;='Resultats - informe'!$G$16),1,0)</f>
        <v>1</v>
      </c>
      <c r="M7960" s="369" cm="1">
        <f t="array" ref="M7960">+_xlfn.IFS((C7960&gt;='Resultats - informe'!$D$26)*(C7960&lt;='Resultats - informe'!$E$26),0,(C7960&gt;='Resultats - informe'!$D$27)*(C7960&lt;='Resultats - informe'!$E$27),0,(C7960&gt;='Resultats - informe'!$D$28)*(C7960&lt;='Resultats - informe'!$E$28),0,(C7960&gt;='Resultats - informe'!$D$29)*(C7960&lt;='Resultats - informe'!$E$29),0,1,1)</f>
        <v>0</v>
      </c>
      <c r="N7960" s="366">
        <f>+VLOOKUP(D7960,'Resultats - informe'!$Y$18:$AG$42,'Introducció dades consum'!K7960+1,0)</f>
        <v>0</v>
      </c>
      <c r="O7960" s="370" cm="1">
        <f t="array" ref="O7960">+_xlfn.SWITCH(MONTH(C7960),1,1,2,1,3,1,4,2,5,2,6,3,7,3,8,3,9,3,10,2,11,2,12,1,2)</f>
        <v>1</v>
      </c>
      <c r="P7960" s="43"/>
    </row>
    <row r="7961" spans="1:16" ht="18" x14ac:dyDescent="0.35">
      <c r="A7961" s="9"/>
      <c r="C7961" s="393"/>
      <c r="E7961" s="394"/>
      <c r="F7961" s="394"/>
      <c r="G7961" s="394"/>
      <c r="I7961" s="368">
        <f t="shared" si="378"/>
        <v>0</v>
      </c>
      <c r="J7961" s="365">
        <f t="shared" si="379"/>
        <v>0</v>
      </c>
      <c r="K7961" s="369">
        <f t="shared" si="380"/>
        <v>6</v>
      </c>
      <c r="L7961" s="369">
        <f>+IF((C7961&gt;='Resultats - informe'!$E$16)*(C7961&lt;='Resultats - informe'!$G$16),1,0)</f>
        <v>1</v>
      </c>
      <c r="M7961" s="369" cm="1">
        <f t="array" ref="M7961">+_xlfn.IFS((C7961&gt;='Resultats - informe'!$D$26)*(C7961&lt;='Resultats - informe'!$E$26),0,(C7961&gt;='Resultats - informe'!$D$27)*(C7961&lt;='Resultats - informe'!$E$27),0,(C7961&gt;='Resultats - informe'!$D$28)*(C7961&lt;='Resultats - informe'!$E$28),0,(C7961&gt;='Resultats - informe'!$D$29)*(C7961&lt;='Resultats - informe'!$E$29),0,1,1)</f>
        <v>0</v>
      </c>
      <c r="N7961" s="366">
        <f>+VLOOKUP(D7961,'Resultats - informe'!$Y$18:$AG$42,'Introducció dades consum'!K7961+1,0)</f>
        <v>0</v>
      </c>
      <c r="O7961" s="370" cm="1">
        <f t="array" ref="O7961">+_xlfn.SWITCH(MONTH(C7961),1,1,2,1,3,1,4,2,5,2,6,3,7,3,8,3,9,3,10,2,11,2,12,1,2)</f>
        <v>1</v>
      </c>
      <c r="P7961" s="43"/>
    </row>
    <row r="7962" spans="1:16" ht="18" x14ac:dyDescent="0.35">
      <c r="A7962" s="9"/>
      <c r="C7962" s="393"/>
      <c r="E7962" s="394"/>
      <c r="F7962" s="394"/>
      <c r="G7962" s="394"/>
      <c r="I7962" s="368">
        <f t="shared" si="378"/>
        <v>0</v>
      </c>
      <c r="J7962" s="365">
        <f t="shared" si="379"/>
        <v>0</v>
      </c>
      <c r="K7962" s="369">
        <f t="shared" si="380"/>
        <v>6</v>
      </c>
      <c r="L7962" s="369">
        <f>+IF((C7962&gt;='Resultats - informe'!$E$16)*(C7962&lt;='Resultats - informe'!$G$16),1,0)</f>
        <v>1</v>
      </c>
      <c r="M7962" s="369" cm="1">
        <f t="array" ref="M7962">+_xlfn.IFS((C7962&gt;='Resultats - informe'!$D$26)*(C7962&lt;='Resultats - informe'!$E$26),0,(C7962&gt;='Resultats - informe'!$D$27)*(C7962&lt;='Resultats - informe'!$E$27),0,(C7962&gt;='Resultats - informe'!$D$28)*(C7962&lt;='Resultats - informe'!$E$28),0,(C7962&gt;='Resultats - informe'!$D$29)*(C7962&lt;='Resultats - informe'!$E$29),0,1,1)</f>
        <v>0</v>
      </c>
      <c r="N7962" s="366">
        <f>+VLOOKUP(D7962,'Resultats - informe'!$Y$18:$AG$42,'Introducció dades consum'!K7962+1,0)</f>
        <v>0</v>
      </c>
      <c r="O7962" s="370" cm="1">
        <f t="array" ref="O7962">+_xlfn.SWITCH(MONTH(C7962),1,1,2,1,3,1,4,2,5,2,6,3,7,3,8,3,9,3,10,2,11,2,12,1,2)</f>
        <v>1</v>
      </c>
      <c r="P7962" s="43"/>
    </row>
    <row r="7963" spans="1:16" ht="18" x14ac:dyDescent="0.35">
      <c r="A7963" s="9"/>
      <c r="C7963" s="393"/>
      <c r="E7963" s="394"/>
      <c r="F7963" s="394"/>
      <c r="G7963" s="394"/>
      <c r="I7963" s="368">
        <f t="shared" si="378"/>
        <v>0</v>
      </c>
      <c r="J7963" s="365">
        <f t="shared" si="379"/>
        <v>0</v>
      </c>
      <c r="K7963" s="369">
        <f t="shared" si="380"/>
        <v>6</v>
      </c>
      <c r="L7963" s="369">
        <f>+IF((C7963&gt;='Resultats - informe'!$E$16)*(C7963&lt;='Resultats - informe'!$G$16),1,0)</f>
        <v>1</v>
      </c>
      <c r="M7963" s="369" cm="1">
        <f t="array" ref="M7963">+_xlfn.IFS((C7963&gt;='Resultats - informe'!$D$26)*(C7963&lt;='Resultats - informe'!$E$26),0,(C7963&gt;='Resultats - informe'!$D$27)*(C7963&lt;='Resultats - informe'!$E$27),0,(C7963&gt;='Resultats - informe'!$D$28)*(C7963&lt;='Resultats - informe'!$E$28),0,(C7963&gt;='Resultats - informe'!$D$29)*(C7963&lt;='Resultats - informe'!$E$29),0,1,1)</f>
        <v>0</v>
      </c>
      <c r="N7963" s="366">
        <f>+VLOOKUP(D7963,'Resultats - informe'!$Y$18:$AG$42,'Introducció dades consum'!K7963+1,0)</f>
        <v>0</v>
      </c>
      <c r="O7963" s="370" cm="1">
        <f t="array" ref="O7963">+_xlfn.SWITCH(MONTH(C7963),1,1,2,1,3,1,4,2,5,2,6,3,7,3,8,3,9,3,10,2,11,2,12,1,2)</f>
        <v>1</v>
      </c>
      <c r="P7963" s="43"/>
    </row>
    <row r="7964" spans="1:16" ht="18" x14ac:dyDescent="0.35">
      <c r="A7964" s="9"/>
      <c r="C7964" s="393"/>
      <c r="E7964" s="394"/>
      <c r="F7964" s="394"/>
      <c r="G7964" s="394"/>
      <c r="I7964" s="368">
        <f t="shared" si="378"/>
        <v>0</v>
      </c>
      <c r="J7964" s="365">
        <f t="shared" si="379"/>
        <v>0</v>
      </c>
      <c r="K7964" s="369">
        <f t="shared" si="380"/>
        <v>6</v>
      </c>
      <c r="L7964" s="369">
        <f>+IF((C7964&gt;='Resultats - informe'!$E$16)*(C7964&lt;='Resultats - informe'!$G$16),1,0)</f>
        <v>1</v>
      </c>
      <c r="M7964" s="369" cm="1">
        <f t="array" ref="M7964">+_xlfn.IFS((C7964&gt;='Resultats - informe'!$D$26)*(C7964&lt;='Resultats - informe'!$E$26),0,(C7964&gt;='Resultats - informe'!$D$27)*(C7964&lt;='Resultats - informe'!$E$27),0,(C7964&gt;='Resultats - informe'!$D$28)*(C7964&lt;='Resultats - informe'!$E$28),0,(C7964&gt;='Resultats - informe'!$D$29)*(C7964&lt;='Resultats - informe'!$E$29),0,1,1)</f>
        <v>0</v>
      </c>
      <c r="N7964" s="366">
        <f>+VLOOKUP(D7964,'Resultats - informe'!$Y$18:$AG$42,'Introducció dades consum'!K7964+1,0)</f>
        <v>0</v>
      </c>
      <c r="O7964" s="370" cm="1">
        <f t="array" ref="O7964">+_xlfn.SWITCH(MONTH(C7964),1,1,2,1,3,1,4,2,5,2,6,3,7,3,8,3,9,3,10,2,11,2,12,1,2)</f>
        <v>1</v>
      </c>
      <c r="P7964" s="43"/>
    </row>
    <row r="7965" spans="1:16" ht="18" x14ac:dyDescent="0.35">
      <c r="A7965" s="9"/>
      <c r="C7965" s="393"/>
      <c r="E7965" s="394"/>
      <c r="F7965" s="394"/>
      <c r="G7965" s="394"/>
      <c r="I7965" s="368">
        <f t="shared" si="378"/>
        <v>0</v>
      </c>
      <c r="J7965" s="365">
        <f t="shared" si="379"/>
        <v>0</v>
      </c>
      <c r="K7965" s="369">
        <f t="shared" si="380"/>
        <v>6</v>
      </c>
      <c r="L7965" s="369">
        <f>+IF((C7965&gt;='Resultats - informe'!$E$16)*(C7965&lt;='Resultats - informe'!$G$16),1,0)</f>
        <v>1</v>
      </c>
      <c r="M7965" s="369" cm="1">
        <f t="array" ref="M7965">+_xlfn.IFS((C7965&gt;='Resultats - informe'!$D$26)*(C7965&lt;='Resultats - informe'!$E$26),0,(C7965&gt;='Resultats - informe'!$D$27)*(C7965&lt;='Resultats - informe'!$E$27),0,(C7965&gt;='Resultats - informe'!$D$28)*(C7965&lt;='Resultats - informe'!$E$28),0,(C7965&gt;='Resultats - informe'!$D$29)*(C7965&lt;='Resultats - informe'!$E$29),0,1,1)</f>
        <v>0</v>
      </c>
      <c r="N7965" s="366">
        <f>+VLOOKUP(D7965,'Resultats - informe'!$Y$18:$AG$42,'Introducció dades consum'!K7965+1,0)</f>
        <v>0</v>
      </c>
      <c r="O7965" s="370" cm="1">
        <f t="array" ref="O7965">+_xlfn.SWITCH(MONTH(C7965),1,1,2,1,3,1,4,2,5,2,6,3,7,3,8,3,9,3,10,2,11,2,12,1,2)</f>
        <v>1</v>
      </c>
      <c r="P7965" s="43"/>
    </row>
    <row r="7966" spans="1:16" ht="18" x14ac:dyDescent="0.35">
      <c r="A7966" s="9"/>
      <c r="C7966" s="393"/>
      <c r="E7966" s="394"/>
      <c r="F7966" s="394"/>
      <c r="G7966" s="394"/>
      <c r="I7966" s="368">
        <f t="shared" si="378"/>
        <v>0</v>
      </c>
      <c r="J7966" s="365">
        <f t="shared" si="379"/>
        <v>0</v>
      </c>
      <c r="K7966" s="369">
        <f t="shared" si="380"/>
        <v>6</v>
      </c>
      <c r="L7966" s="369">
        <f>+IF((C7966&gt;='Resultats - informe'!$E$16)*(C7966&lt;='Resultats - informe'!$G$16),1,0)</f>
        <v>1</v>
      </c>
      <c r="M7966" s="369" cm="1">
        <f t="array" ref="M7966">+_xlfn.IFS((C7966&gt;='Resultats - informe'!$D$26)*(C7966&lt;='Resultats - informe'!$E$26),0,(C7966&gt;='Resultats - informe'!$D$27)*(C7966&lt;='Resultats - informe'!$E$27),0,(C7966&gt;='Resultats - informe'!$D$28)*(C7966&lt;='Resultats - informe'!$E$28),0,(C7966&gt;='Resultats - informe'!$D$29)*(C7966&lt;='Resultats - informe'!$E$29),0,1,1)</f>
        <v>0</v>
      </c>
      <c r="N7966" s="366">
        <f>+VLOOKUP(D7966,'Resultats - informe'!$Y$18:$AG$42,'Introducció dades consum'!K7966+1,0)</f>
        <v>0</v>
      </c>
      <c r="O7966" s="370" cm="1">
        <f t="array" ref="O7966">+_xlfn.SWITCH(MONTH(C7966),1,1,2,1,3,1,4,2,5,2,6,3,7,3,8,3,9,3,10,2,11,2,12,1,2)</f>
        <v>1</v>
      </c>
      <c r="P7966" s="43"/>
    </row>
    <row r="7967" spans="1:16" ht="18" x14ac:dyDescent="0.35">
      <c r="A7967" s="9"/>
      <c r="C7967" s="393"/>
      <c r="E7967" s="394"/>
      <c r="F7967" s="394"/>
      <c r="G7967" s="394"/>
      <c r="I7967" s="368">
        <f t="shared" si="378"/>
        <v>0</v>
      </c>
      <c r="J7967" s="365">
        <f t="shared" si="379"/>
        <v>0</v>
      </c>
      <c r="K7967" s="369">
        <f t="shared" si="380"/>
        <v>6</v>
      </c>
      <c r="L7967" s="369">
        <f>+IF((C7967&gt;='Resultats - informe'!$E$16)*(C7967&lt;='Resultats - informe'!$G$16),1,0)</f>
        <v>1</v>
      </c>
      <c r="M7967" s="369" cm="1">
        <f t="array" ref="M7967">+_xlfn.IFS((C7967&gt;='Resultats - informe'!$D$26)*(C7967&lt;='Resultats - informe'!$E$26),0,(C7967&gt;='Resultats - informe'!$D$27)*(C7967&lt;='Resultats - informe'!$E$27),0,(C7967&gt;='Resultats - informe'!$D$28)*(C7967&lt;='Resultats - informe'!$E$28),0,(C7967&gt;='Resultats - informe'!$D$29)*(C7967&lt;='Resultats - informe'!$E$29),0,1,1)</f>
        <v>0</v>
      </c>
      <c r="N7967" s="366">
        <f>+VLOOKUP(D7967,'Resultats - informe'!$Y$18:$AG$42,'Introducció dades consum'!K7967+1,0)</f>
        <v>0</v>
      </c>
      <c r="O7967" s="370" cm="1">
        <f t="array" ref="O7967">+_xlfn.SWITCH(MONTH(C7967),1,1,2,1,3,1,4,2,5,2,6,3,7,3,8,3,9,3,10,2,11,2,12,1,2)</f>
        <v>1</v>
      </c>
      <c r="P7967" s="43"/>
    </row>
    <row r="7968" spans="1:16" ht="18" x14ac:dyDescent="0.35">
      <c r="A7968" s="9"/>
      <c r="C7968" s="393"/>
      <c r="E7968" s="394"/>
      <c r="F7968" s="394"/>
      <c r="G7968" s="394"/>
      <c r="I7968" s="368">
        <f t="shared" si="378"/>
        <v>0</v>
      </c>
      <c r="J7968" s="365">
        <f t="shared" si="379"/>
        <v>0</v>
      </c>
      <c r="K7968" s="369">
        <f t="shared" si="380"/>
        <v>6</v>
      </c>
      <c r="L7968" s="369">
        <f>+IF((C7968&gt;='Resultats - informe'!$E$16)*(C7968&lt;='Resultats - informe'!$G$16),1,0)</f>
        <v>1</v>
      </c>
      <c r="M7968" s="369" cm="1">
        <f t="array" ref="M7968">+_xlfn.IFS((C7968&gt;='Resultats - informe'!$D$26)*(C7968&lt;='Resultats - informe'!$E$26),0,(C7968&gt;='Resultats - informe'!$D$27)*(C7968&lt;='Resultats - informe'!$E$27),0,(C7968&gt;='Resultats - informe'!$D$28)*(C7968&lt;='Resultats - informe'!$E$28),0,(C7968&gt;='Resultats - informe'!$D$29)*(C7968&lt;='Resultats - informe'!$E$29),0,1,1)</f>
        <v>0</v>
      </c>
      <c r="N7968" s="366">
        <f>+VLOOKUP(D7968,'Resultats - informe'!$Y$18:$AG$42,'Introducció dades consum'!K7968+1,0)</f>
        <v>0</v>
      </c>
      <c r="O7968" s="370" cm="1">
        <f t="array" ref="O7968">+_xlfn.SWITCH(MONTH(C7968),1,1,2,1,3,1,4,2,5,2,6,3,7,3,8,3,9,3,10,2,11,2,12,1,2)</f>
        <v>1</v>
      </c>
      <c r="P7968" s="43"/>
    </row>
    <row r="7969" spans="1:16" ht="18" x14ac:dyDescent="0.35">
      <c r="A7969" s="9"/>
      <c r="C7969" s="393"/>
      <c r="E7969" s="394"/>
      <c r="F7969" s="394"/>
      <c r="G7969" s="394"/>
      <c r="I7969" s="368">
        <f t="shared" si="378"/>
        <v>0</v>
      </c>
      <c r="J7969" s="365">
        <f t="shared" si="379"/>
        <v>0</v>
      </c>
      <c r="K7969" s="369">
        <f t="shared" si="380"/>
        <v>6</v>
      </c>
      <c r="L7969" s="369">
        <f>+IF((C7969&gt;='Resultats - informe'!$E$16)*(C7969&lt;='Resultats - informe'!$G$16),1,0)</f>
        <v>1</v>
      </c>
      <c r="M7969" s="369" cm="1">
        <f t="array" ref="M7969">+_xlfn.IFS((C7969&gt;='Resultats - informe'!$D$26)*(C7969&lt;='Resultats - informe'!$E$26),0,(C7969&gt;='Resultats - informe'!$D$27)*(C7969&lt;='Resultats - informe'!$E$27),0,(C7969&gt;='Resultats - informe'!$D$28)*(C7969&lt;='Resultats - informe'!$E$28),0,(C7969&gt;='Resultats - informe'!$D$29)*(C7969&lt;='Resultats - informe'!$E$29),0,1,1)</f>
        <v>0</v>
      </c>
      <c r="N7969" s="366">
        <f>+VLOOKUP(D7969,'Resultats - informe'!$Y$18:$AG$42,'Introducció dades consum'!K7969+1,0)</f>
        <v>0</v>
      </c>
      <c r="O7969" s="370" cm="1">
        <f t="array" ref="O7969">+_xlfn.SWITCH(MONTH(C7969),1,1,2,1,3,1,4,2,5,2,6,3,7,3,8,3,9,3,10,2,11,2,12,1,2)</f>
        <v>1</v>
      </c>
      <c r="P7969" s="43"/>
    </row>
    <row r="7970" spans="1:16" ht="18" x14ac:dyDescent="0.35">
      <c r="A7970" s="9"/>
      <c r="C7970" s="393"/>
      <c r="E7970" s="394"/>
      <c r="F7970" s="394"/>
      <c r="G7970" s="394"/>
      <c r="I7970" s="368">
        <f t="shared" si="378"/>
        <v>0</v>
      </c>
      <c r="J7970" s="365">
        <f t="shared" si="379"/>
        <v>0</v>
      </c>
      <c r="K7970" s="369">
        <f t="shared" si="380"/>
        <v>6</v>
      </c>
      <c r="L7970" s="369">
        <f>+IF((C7970&gt;='Resultats - informe'!$E$16)*(C7970&lt;='Resultats - informe'!$G$16),1,0)</f>
        <v>1</v>
      </c>
      <c r="M7970" s="369" cm="1">
        <f t="array" ref="M7970">+_xlfn.IFS((C7970&gt;='Resultats - informe'!$D$26)*(C7970&lt;='Resultats - informe'!$E$26),0,(C7970&gt;='Resultats - informe'!$D$27)*(C7970&lt;='Resultats - informe'!$E$27),0,(C7970&gt;='Resultats - informe'!$D$28)*(C7970&lt;='Resultats - informe'!$E$28),0,(C7970&gt;='Resultats - informe'!$D$29)*(C7970&lt;='Resultats - informe'!$E$29),0,1,1)</f>
        <v>0</v>
      </c>
      <c r="N7970" s="366">
        <f>+VLOOKUP(D7970,'Resultats - informe'!$Y$18:$AG$42,'Introducció dades consum'!K7970+1,0)</f>
        <v>0</v>
      </c>
      <c r="O7970" s="370" cm="1">
        <f t="array" ref="O7970">+_xlfn.SWITCH(MONTH(C7970),1,1,2,1,3,1,4,2,5,2,6,3,7,3,8,3,9,3,10,2,11,2,12,1,2)</f>
        <v>1</v>
      </c>
      <c r="P7970" s="43"/>
    </row>
    <row r="7971" spans="1:16" ht="18" x14ac:dyDescent="0.35">
      <c r="A7971" s="9"/>
      <c r="C7971" s="393"/>
      <c r="E7971" s="394"/>
      <c r="F7971" s="394"/>
      <c r="G7971" s="394"/>
      <c r="I7971" s="368">
        <f t="shared" si="378"/>
        <v>0</v>
      </c>
      <c r="J7971" s="365">
        <f t="shared" si="379"/>
        <v>0</v>
      </c>
      <c r="K7971" s="369">
        <f t="shared" si="380"/>
        <v>6</v>
      </c>
      <c r="L7971" s="369">
        <f>+IF((C7971&gt;='Resultats - informe'!$E$16)*(C7971&lt;='Resultats - informe'!$G$16),1,0)</f>
        <v>1</v>
      </c>
      <c r="M7971" s="369" cm="1">
        <f t="array" ref="M7971">+_xlfn.IFS((C7971&gt;='Resultats - informe'!$D$26)*(C7971&lt;='Resultats - informe'!$E$26),0,(C7971&gt;='Resultats - informe'!$D$27)*(C7971&lt;='Resultats - informe'!$E$27),0,(C7971&gt;='Resultats - informe'!$D$28)*(C7971&lt;='Resultats - informe'!$E$28),0,(C7971&gt;='Resultats - informe'!$D$29)*(C7971&lt;='Resultats - informe'!$E$29),0,1,1)</f>
        <v>0</v>
      </c>
      <c r="N7971" s="366">
        <f>+VLOOKUP(D7971,'Resultats - informe'!$Y$18:$AG$42,'Introducció dades consum'!K7971+1,0)</f>
        <v>0</v>
      </c>
      <c r="O7971" s="370" cm="1">
        <f t="array" ref="O7971">+_xlfn.SWITCH(MONTH(C7971),1,1,2,1,3,1,4,2,5,2,6,3,7,3,8,3,9,3,10,2,11,2,12,1,2)</f>
        <v>1</v>
      </c>
      <c r="P7971" s="43"/>
    </row>
    <row r="7972" spans="1:16" ht="18" x14ac:dyDescent="0.35">
      <c r="A7972" s="9"/>
      <c r="C7972" s="393"/>
      <c r="E7972" s="394"/>
      <c r="F7972" s="394"/>
      <c r="G7972" s="394"/>
      <c r="I7972" s="368">
        <f t="shared" si="378"/>
        <v>0</v>
      </c>
      <c r="J7972" s="365">
        <f t="shared" si="379"/>
        <v>0</v>
      </c>
      <c r="K7972" s="369">
        <f t="shared" si="380"/>
        <v>6</v>
      </c>
      <c r="L7972" s="369">
        <f>+IF((C7972&gt;='Resultats - informe'!$E$16)*(C7972&lt;='Resultats - informe'!$G$16),1,0)</f>
        <v>1</v>
      </c>
      <c r="M7972" s="369" cm="1">
        <f t="array" ref="M7972">+_xlfn.IFS((C7972&gt;='Resultats - informe'!$D$26)*(C7972&lt;='Resultats - informe'!$E$26),0,(C7972&gt;='Resultats - informe'!$D$27)*(C7972&lt;='Resultats - informe'!$E$27),0,(C7972&gt;='Resultats - informe'!$D$28)*(C7972&lt;='Resultats - informe'!$E$28),0,(C7972&gt;='Resultats - informe'!$D$29)*(C7972&lt;='Resultats - informe'!$E$29),0,1,1)</f>
        <v>0</v>
      </c>
      <c r="N7972" s="366">
        <f>+VLOOKUP(D7972,'Resultats - informe'!$Y$18:$AG$42,'Introducció dades consum'!K7972+1,0)</f>
        <v>0</v>
      </c>
      <c r="O7972" s="370" cm="1">
        <f t="array" ref="O7972">+_xlfn.SWITCH(MONTH(C7972),1,1,2,1,3,1,4,2,5,2,6,3,7,3,8,3,9,3,10,2,11,2,12,1,2)</f>
        <v>1</v>
      </c>
      <c r="P7972" s="43"/>
    </row>
    <row r="7973" spans="1:16" ht="18" x14ac:dyDescent="0.35">
      <c r="A7973" s="9"/>
      <c r="C7973" s="393"/>
      <c r="E7973" s="394"/>
      <c r="F7973" s="394"/>
      <c r="G7973" s="394"/>
      <c r="I7973" s="368">
        <f t="shared" si="378"/>
        <v>0</v>
      </c>
      <c r="J7973" s="365">
        <f t="shared" si="379"/>
        <v>0</v>
      </c>
      <c r="K7973" s="369">
        <f t="shared" si="380"/>
        <v>6</v>
      </c>
      <c r="L7973" s="369">
        <f>+IF((C7973&gt;='Resultats - informe'!$E$16)*(C7973&lt;='Resultats - informe'!$G$16),1,0)</f>
        <v>1</v>
      </c>
      <c r="M7973" s="369" cm="1">
        <f t="array" ref="M7973">+_xlfn.IFS((C7973&gt;='Resultats - informe'!$D$26)*(C7973&lt;='Resultats - informe'!$E$26),0,(C7973&gt;='Resultats - informe'!$D$27)*(C7973&lt;='Resultats - informe'!$E$27),0,(C7973&gt;='Resultats - informe'!$D$28)*(C7973&lt;='Resultats - informe'!$E$28),0,(C7973&gt;='Resultats - informe'!$D$29)*(C7973&lt;='Resultats - informe'!$E$29),0,1,1)</f>
        <v>0</v>
      </c>
      <c r="N7973" s="366">
        <f>+VLOOKUP(D7973,'Resultats - informe'!$Y$18:$AG$42,'Introducció dades consum'!K7973+1,0)</f>
        <v>0</v>
      </c>
      <c r="O7973" s="370" cm="1">
        <f t="array" ref="O7973">+_xlfn.SWITCH(MONTH(C7973),1,1,2,1,3,1,4,2,5,2,6,3,7,3,8,3,9,3,10,2,11,2,12,1,2)</f>
        <v>1</v>
      </c>
      <c r="P7973" s="43"/>
    </row>
    <row r="7974" spans="1:16" ht="18" x14ac:dyDescent="0.35">
      <c r="A7974" s="9"/>
      <c r="C7974" s="393"/>
      <c r="E7974" s="394"/>
      <c r="F7974" s="394"/>
      <c r="G7974" s="394"/>
      <c r="I7974" s="368">
        <f t="shared" si="378"/>
        <v>0</v>
      </c>
      <c r="J7974" s="365">
        <f t="shared" si="379"/>
        <v>0</v>
      </c>
      <c r="K7974" s="369">
        <f t="shared" si="380"/>
        <v>6</v>
      </c>
      <c r="L7974" s="369">
        <f>+IF((C7974&gt;='Resultats - informe'!$E$16)*(C7974&lt;='Resultats - informe'!$G$16),1,0)</f>
        <v>1</v>
      </c>
      <c r="M7974" s="369" cm="1">
        <f t="array" ref="M7974">+_xlfn.IFS((C7974&gt;='Resultats - informe'!$D$26)*(C7974&lt;='Resultats - informe'!$E$26),0,(C7974&gt;='Resultats - informe'!$D$27)*(C7974&lt;='Resultats - informe'!$E$27),0,(C7974&gt;='Resultats - informe'!$D$28)*(C7974&lt;='Resultats - informe'!$E$28),0,(C7974&gt;='Resultats - informe'!$D$29)*(C7974&lt;='Resultats - informe'!$E$29),0,1,1)</f>
        <v>0</v>
      </c>
      <c r="N7974" s="366">
        <f>+VLOOKUP(D7974,'Resultats - informe'!$Y$18:$AG$42,'Introducció dades consum'!K7974+1,0)</f>
        <v>0</v>
      </c>
      <c r="O7974" s="370" cm="1">
        <f t="array" ref="O7974">+_xlfn.SWITCH(MONTH(C7974),1,1,2,1,3,1,4,2,5,2,6,3,7,3,8,3,9,3,10,2,11,2,12,1,2)</f>
        <v>1</v>
      </c>
      <c r="P7974" s="43"/>
    </row>
    <row r="7975" spans="1:16" ht="18" x14ac:dyDescent="0.35">
      <c r="A7975" s="9"/>
      <c r="C7975" s="393"/>
      <c r="E7975" s="394"/>
      <c r="F7975" s="394"/>
      <c r="G7975" s="394"/>
      <c r="I7975" s="368">
        <f t="shared" si="378"/>
        <v>0</v>
      </c>
      <c r="J7975" s="365">
        <f t="shared" si="379"/>
        <v>0</v>
      </c>
      <c r="K7975" s="369">
        <f t="shared" si="380"/>
        <v>6</v>
      </c>
      <c r="L7975" s="369">
        <f>+IF((C7975&gt;='Resultats - informe'!$E$16)*(C7975&lt;='Resultats - informe'!$G$16),1,0)</f>
        <v>1</v>
      </c>
      <c r="M7975" s="369" cm="1">
        <f t="array" ref="M7975">+_xlfn.IFS((C7975&gt;='Resultats - informe'!$D$26)*(C7975&lt;='Resultats - informe'!$E$26),0,(C7975&gt;='Resultats - informe'!$D$27)*(C7975&lt;='Resultats - informe'!$E$27),0,(C7975&gt;='Resultats - informe'!$D$28)*(C7975&lt;='Resultats - informe'!$E$28),0,(C7975&gt;='Resultats - informe'!$D$29)*(C7975&lt;='Resultats - informe'!$E$29),0,1,1)</f>
        <v>0</v>
      </c>
      <c r="N7975" s="366">
        <f>+VLOOKUP(D7975,'Resultats - informe'!$Y$18:$AG$42,'Introducció dades consum'!K7975+1,0)</f>
        <v>0</v>
      </c>
      <c r="O7975" s="370" cm="1">
        <f t="array" ref="O7975">+_xlfn.SWITCH(MONTH(C7975),1,1,2,1,3,1,4,2,5,2,6,3,7,3,8,3,9,3,10,2,11,2,12,1,2)</f>
        <v>1</v>
      </c>
      <c r="P7975" s="43"/>
    </row>
    <row r="7976" spans="1:16" ht="18" x14ac:dyDescent="0.35">
      <c r="A7976" s="9"/>
      <c r="C7976" s="393"/>
      <c r="E7976" s="394"/>
      <c r="F7976" s="394"/>
      <c r="G7976" s="394"/>
      <c r="I7976" s="368">
        <f t="shared" si="378"/>
        <v>0</v>
      </c>
      <c r="J7976" s="365">
        <f t="shared" si="379"/>
        <v>0</v>
      </c>
      <c r="K7976" s="369">
        <f t="shared" si="380"/>
        <v>6</v>
      </c>
      <c r="L7976" s="369">
        <f>+IF((C7976&gt;='Resultats - informe'!$E$16)*(C7976&lt;='Resultats - informe'!$G$16),1,0)</f>
        <v>1</v>
      </c>
      <c r="M7976" s="369" cm="1">
        <f t="array" ref="M7976">+_xlfn.IFS((C7976&gt;='Resultats - informe'!$D$26)*(C7976&lt;='Resultats - informe'!$E$26),0,(C7976&gt;='Resultats - informe'!$D$27)*(C7976&lt;='Resultats - informe'!$E$27),0,(C7976&gt;='Resultats - informe'!$D$28)*(C7976&lt;='Resultats - informe'!$E$28),0,(C7976&gt;='Resultats - informe'!$D$29)*(C7976&lt;='Resultats - informe'!$E$29),0,1,1)</f>
        <v>0</v>
      </c>
      <c r="N7976" s="366">
        <f>+VLOOKUP(D7976,'Resultats - informe'!$Y$18:$AG$42,'Introducció dades consum'!K7976+1,0)</f>
        <v>0</v>
      </c>
      <c r="O7976" s="370" cm="1">
        <f t="array" ref="O7976">+_xlfn.SWITCH(MONTH(C7976),1,1,2,1,3,1,4,2,5,2,6,3,7,3,8,3,9,3,10,2,11,2,12,1,2)</f>
        <v>1</v>
      </c>
      <c r="P7976" s="43"/>
    </row>
    <row r="7977" spans="1:16" ht="18" x14ac:dyDescent="0.35">
      <c r="A7977" s="9"/>
      <c r="C7977" s="393"/>
      <c r="E7977" s="394"/>
      <c r="F7977" s="394"/>
      <c r="G7977" s="394"/>
      <c r="I7977" s="368">
        <f t="shared" si="378"/>
        <v>0</v>
      </c>
      <c r="J7977" s="365">
        <f t="shared" si="379"/>
        <v>0</v>
      </c>
      <c r="K7977" s="369">
        <f t="shared" si="380"/>
        <v>6</v>
      </c>
      <c r="L7977" s="369">
        <f>+IF((C7977&gt;='Resultats - informe'!$E$16)*(C7977&lt;='Resultats - informe'!$G$16),1,0)</f>
        <v>1</v>
      </c>
      <c r="M7977" s="369" cm="1">
        <f t="array" ref="M7977">+_xlfn.IFS((C7977&gt;='Resultats - informe'!$D$26)*(C7977&lt;='Resultats - informe'!$E$26),0,(C7977&gt;='Resultats - informe'!$D$27)*(C7977&lt;='Resultats - informe'!$E$27),0,(C7977&gt;='Resultats - informe'!$D$28)*(C7977&lt;='Resultats - informe'!$E$28),0,(C7977&gt;='Resultats - informe'!$D$29)*(C7977&lt;='Resultats - informe'!$E$29),0,1,1)</f>
        <v>0</v>
      </c>
      <c r="N7977" s="366">
        <f>+VLOOKUP(D7977,'Resultats - informe'!$Y$18:$AG$42,'Introducció dades consum'!K7977+1,0)</f>
        <v>0</v>
      </c>
      <c r="O7977" s="370" cm="1">
        <f t="array" ref="O7977">+_xlfn.SWITCH(MONTH(C7977),1,1,2,1,3,1,4,2,5,2,6,3,7,3,8,3,9,3,10,2,11,2,12,1,2)</f>
        <v>1</v>
      </c>
      <c r="P7977" s="43"/>
    </row>
    <row r="7978" spans="1:16" ht="18" x14ac:dyDescent="0.35">
      <c r="A7978" s="9"/>
      <c r="C7978" s="393"/>
      <c r="E7978" s="394"/>
      <c r="F7978" s="394"/>
      <c r="G7978" s="394"/>
      <c r="I7978" s="368">
        <f t="shared" si="378"/>
        <v>0</v>
      </c>
      <c r="J7978" s="365">
        <f t="shared" si="379"/>
        <v>0</v>
      </c>
      <c r="K7978" s="369">
        <f t="shared" si="380"/>
        <v>6</v>
      </c>
      <c r="L7978" s="369">
        <f>+IF((C7978&gt;='Resultats - informe'!$E$16)*(C7978&lt;='Resultats - informe'!$G$16),1,0)</f>
        <v>1</v>
      </c>
      <c r="M7978" s="369" cm="1">
        <f t="array" ref="M7978">+_xlfn.IFS((C7978&gt;='Resultats - informe'!$D$26)*(C7978&lt;='Resultats - informe'!$E$26),0,(C7978&gt;='Resultats - informe'!$D$27)*(C7978&lt;='Resultats - informe'!$E$27),0,(C7978&gt;='Resultats - informe'!$D$28)*(C7978&lt;='Resultats - informe'!$E$28),0,(C7978&gt;='Resultats - informe'!$D$29)*(C7978&lt;='Resultats - informe'!$E$29),0,1,1)</f>
        <v>0</v>
      </c>
      <c r="N7978" s="366">
        <f>+VLOOKUP(D7978,'Resultats - informe'!$Y$18:$AG$42,'Introducció dades consum'!K7978+1,0)</f>
        <v>0</v>
      </c>
      <c r="O7978" s="370" cm="1">
        <f t="array" ref="O7978">+_xlfn.SWITCH(MONTH(C7978),1,1,2,1,3,1,4,2,5,2,6,3,7,3,8,3,9,3,10,2,11,2,12,1,2)</f>
        <v>1</v>
      </c>
      <c r="P7978" s="43"/>
    </row>
    <row r="7979" spans="1:16" ht="18" x14ac:dyDescent="0.35">
      <c r="A7979" s="9"/>
      <c r="C7979" s="393"/>
      <c r="E7979" s="394"/>
      <c r="F7979" s="394"/>
      <c r="G7979" s="394"/>
      <c r="I7979" s="368">
        <f t="shared" si="378"/>
        <v>0</v>
      </c>
      <c r="J7979" s="365">
        <f t="shared" si="379"/>
        <v>0</v>
      </c>
      <c r="K7979" s="369">
        <f t="shared" si="380"/>
        <v>6</v>
      </c>
      <c r="L7979" s="369">
        <f>+IF((C7979&gt;='Resultats - informe'!$E$16)*(C7979&lt;='Resultats - informe'!$G$16),1,0)</f>
        <v>1</v>
      </c>
      <c r="M7979" s="369" cm="1">
        <f t="array" ref="M7979">+_xlfn.IFS((C7979&gt;='Resultats - informe'!$D$26)*(C7979&lt;='Resultats - informe'!$E$26),0,(C7979&gt;='Resultats - informe'!$D$27)*(C7979&lt;='Resultats - informe'!$E$27),0,(C7979&gt;='Resultats - informe'!$D$28)*(C7979&lt;='Resultats - informe'!$E$28),0,(C7979&gt;='Resultats - informe'!$D$29)*(C7979&lt;='Resultats - informe'!$E$29),0,1,1)</f>
        <v>0</v>
      </c>
      <c r="N7979" s="366">
        <f>+VLOOKUP(D7979,'Resultats - informe'!$Y$18:$AG$42,'Introducció dades consum'!K7979+1,0)</f>
        <v>0</v>
      </c>
      <c r="O7979" s="370" cm="1">
        <f t="array" ref="O7979">+_xlfn.SWITCH(MONTH(C7979),1,1,2,1,3,1,4,2,5,2,6,3,7,3,8,3,9,3,10,2,11,2,12,1,2)</f>
        <v>1</v>
      </c>
      <c r="P7979" s="43"/>
    </row>
    <row r="7980" spans="1:16" ht="18" x14ac:dyDescent="0.35">
      <c r="A7980" s="9"/>
      <c r="C7980" s="393"/>
      <c r="E7980" s="394"/>
      <c r="F7980" s="394"/>
      <c r="G7980" s="394"/>
      <c r="I7980" s="368">
        <f t="shared" si="378"/>
        <v>0</v>
      </c>
      <c r="J7980" s="365">
        <f t="shared" si="379"/>
        <v>0</v>
      </c>
      <c r="K7980" s="369">
        <f t="shared" si="380"/>
        <v>6</v>
      </c>
      <c r="L7980" s="369">
        <f>+IF((C7980&gt;='Resultats - informe'!$E$16)*(C7980&lt;='Resultats - informe'!$G$16),1,0)</f>
        <v>1</v>
      </c>
      <c r="M7980" s="369" cm="1">
        <f t="array" ref="M7980">+_xlfn.IFS((C7980&gt;='Resultats - informe'!$D$26)*(C7980&lt;='Resultats - informe'!$E$26),0,(C7980&gt;='Resultats - informe'!$D$27)*(C7980&lt;='Resultats - informe'!$E$27),0,(C7980&gt;='Resultats - informe'!$D$28)*(C7980&lt;='Resultats - informe'!$E$28),0,(C7980&gt;='Resultats - informe'!$D$29)*(C7980&lt;='Resultats - informe'!$E$29),0,1,1)</f>
        <v>0</v>
      </c>
      <c r="N7980" s="366">
        <f>+VLOOKUP(D7980,'Resultats - informe'!$Y$18:$AG$42,'Introducció dades consum'!K7980+1,0)</f>
        <v>0</v>
      </c>
      <c r="O7980" s="370" cm="1">
        <f t="array" ref="O7980">+_xlfn.SWITCH(MONTH(C7980),1,1,2,1,3,1,4,2,5,2,6,3,7,3,8,3,9,3,10,2,11,2,12,1,2)</f>
        <v>1</v>
      </c>
      <c r="P7980" s="43"/>
    </row>
    <row r="7981" spans="1:16" ht="18" x14ac:dyDescent="0.35">
      <c r="A7981" s="9"/>
      <c r="C7981" s="393"/>
      <c r="E7981" s="394"/>
      <c r="F7981" s="394"/>
      <c r="G7981" s="394"/>
      <c r="I7981" s="368">
        <f t="shared" si="378"/>
        <v>0</v>
      </c>
      <c r="J7981" s="365">
        <f t="shared" si="379"/>
        <v>0</v>
      </c>
      <c r="K7981" s="369">
        <f t="shared" si="380"/>
        <v>6</v>
      </c>
      <c r="L7981" s="369">
        <f>+IF((C7981&gt;='Resultats - informe'!$E$16)*(C7981&lt;='Resultats - informe'!$G$16),1,0)</f>
        <v>1</v>
      </c>
      <c r="M7981" s="369" cm="1">
        <f t="array" ref="M7981">+_xlfn.IFS((C7981&gt;='Resultats - informe'!$D$26)*(C7981&lt;='Resultats - informe'!$E$26),0,(C7981&gt;='Resultats - informe'!$D$27)*(C7981&lt;='Resultats - informe'!$E$27),0,(C7981&gt;='Resultats - informe'!$D$28)*(C7981&lt;='Resultats - informe'!$E$28),0,(C7981&gt;='Resultats - informe'!$D$29)*(C7981&lt;='Resultats - informe'!$E$29),0,1,1)</f>
        <v>0</v>
      </c>
      <c r="N7981" s="366">
        <f>+VLOOKUP(D7981,'Resultats - informe'!$Y$18:$AG$42,'Introducció dades consum'!K7981+1,0)</f>
        <v>0</v>
      </c>
      <c r="O7981" s="370" cm="1">
        <f t="array" ref="O7981">+_xlfn.SWITCH(MONTH(C7981),1,1,2,1,3,1,4,2,5,2,6,3,7,3,8,3,9,3,10,2,11,2,12,1,2)</f>
        <v>1</v>
      </c>
      <c r="P7981" s="43"/>
    </row>
    <row r="7982" spans="1:16" ht="18" x14ac:dyDescent="0.35">
      <c r="A7982" s="9"/>
      <c r="C7982" s="393"/>
      <c r="E7982" s="394"/>
      <c r="F7982" s="394"/>
      <c r="G7982" s="394"/>
      <c r="I7982" s="368">
        <f t="shared" si="378"/>
        <v>0</v>
      </c>
      <c r="J7982" s="365">
        <f t="shared" si="379"/>
        <v>0</v>
      </c>
      <c r="K7982" s="369">
        <f t="shared" si="380"/>
        <v>6</v>
      </c>
      <c r="L7982" s="369">
        <f>+IF((C7982&gt;='Resultats - informe'!$E$16)*(C7982&lt;='Resultats - informe'!$G$16),1,0)</f>
        <v>1</v>
      </c>
      <c r="M7982" s="369" cm="1">
        <f t="array" ref="M7982">+_xlfn.IFS((C7982&gt;='Resultats - informe'!$D$26)*(C7982&lt;='Resultats - informe'!$E$26),0,(C7982&gt;='Resultats - informe'!$D$27)*(C7982&lt;='Resultats - informe'!$E$27),0,(C7982&gt;='Resultats - informe'!$D$28)*(C7982&lt;='Resultats - informe'!$E$28),0,(C7982&gt;='Resultats - informe'!$D$29)*(C7982&lt;='Resultats - informe'!$E$29),0,1,1)</f>
        <v>0</v>
      </c>
      <c r="N7982" s="366">
        <f>+VLOOKUP(D7982,'Resultats - informe'!$Y$18:$AG$42,'Introducció dades consum'!K7982+1,0)</f>
        <v>0</v>
      </c>
      <c r="O7982" s="370" cm="1">
        <f t="array" ref="O7982">+_xlfn.SWITCH(MONTH(C7982),1,1,2,1,3,1,4,2,5,2,6,3,7,3,8,3,9,3,10,2,11,2,12,1,2)</f>
        <v>1</v>
      </c>
      <c r="P7982" s="43"/>
    </row>
    <row r="7983" spans="1:16" ht="18" x14ac:dyDescent="0.35">
      <c r="A7983" s="9"/>
      <c r="C7983" s="393"/>
      <c r="E7983" s="394"/>
      <c r="F7983" s="394"/>
      <c r="G7983" s="394"/>
      <c r="I7983" s="368">
        <f t="shared" si="378"/>
        <v>0</v>
      </c>
      <c r="J7983" s="365">
        <f t="shared" si="379"/>
        <v>0</v>
      </c>
      <c r="K7983" s="369">
        <f t="shared" si="380"/>
        <v>6</v>
      </c>
      <c r="L7983" s="369">
        <f>+IF((C7983&gt;='Resultats - informe'!$E$16)*(C7983&lt;='Resultats - informe'!$G$16),1,0)</f>
        <v>1</v>
      </c>
      <c r="M7983" s="369" cm="1">
        <f t="array" ref="M7983">+_xlfn.IFS((C7983&gt;='Resultats - informe'!$D$26)*(C7983&lt;='Resultats - informe'!$E$26),0,(C7983&gt;='Resultats - informe'!$D$27)*(C7983&lt;='Resultats - informe'!$E$27),0,(C7983&gt;='Resultats - informe'!$D$28)*(C7983&lt;='Resultats - informe'!$E$28),0,(C7983&gt;='Resultats - informe'!$D$29)*(C7983&lt;='Resultats - informe'!$E$29),0,1,1)</f>
        <v>0</v>
      </c>
      <c r="N7983" s="366">
        <f>+VLOOKUP(D7983,'Resultats - informe'!$Y$18:$AG$42,'Introducció dades consum'!K7983+1,0)</f>
        <v>0</v>
      </c>
      <c r="O7983" s="370" cm="1">
        <f t="array" ref="O7983">+_xlfn.SWITCH(MONTH(C7983),1,1,2,1,3,1,4,2,5,2,6,3,7,3,8,3,9,3,10,2,11,2,12,1,2)</f>
        <v>1</v>
      </c>
      <c r="P7983" s="43"/>
    </row>
    <row r="7984" spans="1:16" ht="18" x14ac:dyDescent="0.35">
      <c r="A7984" s="9"/>
      <c r="C7984" s="393"/>
      <c r="E7984" s="394"/>
      <c r="F7984" s="394"/>
      <c r="G7984" s="394"/>
      <c r="I7984" s="368">
        <f t="shared" si="378"/>
        <v>0</v>
      </c>
      <c r="J7984" s="365">
        <f t="shared" si="379"/>
        <v>0</v>
      </c>
      <c r="K7984" s="369">
        <f t="shared" si="380"/>
        <v>6</v>
      </c>
      <c r="L7984" s="369">
        <f>+IF((C7984&gt;='Resultats - informe'!$E$16)*(C7984&lt;='Resultats - informe'!$G$16),1,0)</f>
        <v>1</v>
      </c>
      <c r="M7984" s="369" cm="1">
        <f t="array" ref="M7984">+_xlfn.IFS((C7984&gt;='Resultats - informe'!$D$26)*(C7984&lt;='Resultats - informe'!$E$26),0,(C7984&gt;='Resultats - informe'!$D$27)*(C7984&lt;='Resultats - informe'!$E$27),0,(C7984&gt;='Resultats - informe'!$D$28)*(C7984&lt;='Resultats - informe'!$E$28),0,(C7984&gt;='Resultats - informe'!$D$29)*(C7984&lt;='Resultats - informe'!$E$29),0,1,1)</f>
        <v>0</v>
      </c>
      <c r="N7984" s="366">
        <f>+VLOOKUP(D7984,'Resultats - informe'!$Y$18:$AG$42,'Introducció dades consum'!K7984+1,0)</f>
        <v>0</v>
      </c>
      <c r="O7984" s="370" cm="1">
        <f t="array" ref="O7984">+_xlfn.SWITCH(MONTH(C7984),1,1,2,1,3,1,4,2,5,2,6,3,7,3,8,3,9,3,10,2,11,2,12,1,2)</f>
        <v>1</v>
      </c>
      <c r="P7984" s="43"/>
    </row>
    <row r="7985" spans="1:16" ht="18" x14ac:dyDescent="0.35">
      <c r="A7985" s="9"/>
      <c r="C7985" s="393"/>
      <c r="E7985" s="394"/>
      <c r="F7985" s="394"/>
      <c r="G7985" s="394"/>
      <c r="I7985" s="368">
        <f t="shared" si="378"/>
        <v>0</v>
      </c>
      <c r="J7985" s="365">
        <f t="shared" si="379"/>
        <v>0</v>
      </c>
      <c r="K7985" s="369">
        <f t="shared" si="380"/>
        <v>6</v>
      </c>
      <c r="L7985" s="369">
        <f>+IF((C7985&gt;='Resultats - informe'!$E$16)*(C7985&lt;='Resultats - informe'!$G$16),1,0)</f>
        <v>1</v>
      </c>
      <c r="M7985" s="369" cm="1">
        <f t="array" ref="M7985">+_xlfn.IFS((C7985&gt;='Resultats - informe'!$D$26)*(C7985&lt;='Resultats - informe'!$E$26),0,(C7985&gt;='Resultats - informe'!$D$27)*(C7985&lt;='Resultats - informe'!$E$27),0,(C7985&gt;='Resultats - informe'!$D$28)*(C7985&lt;='Resultats - informe'!$E$28),0,(C7985&gt;='Resultats - informe'!$D$29)*(C7985&lt;='Resultats - informe'!$E$29),0,1,1)</f>
        <v>0</v>
      </c>
      <c r="N7985" s="366">
        <f>+VLOOKUP(D7985,'Resultats - informe'!$Y$18:$AG$42,'Introducció dades consum'!K7985+1,0)</f>
        <v>0</v>
      </c>
      <c r="O7985" s="370" cm="1">
        <f t="array" ref="O7985">+_xlfn.SWITCH(MONTH(C7985),1,1,2,1,3,1,4,2,5,2,6,3,7,3,8,3,9,3,10,2,11,2,12,1,2)</f>
        <v>1</v>
      </c>
      <c r="P7985" s="43"/>
    </row>
    <row r="7986" spans="1:16" ht="18" x14ac:dyDescent="0.35">
      <c r="A7986" s="9"/>
      <c r="C7986" s="393"/>
      <c r="E7986" s="394"/>
      <c r="F7986" s="394"/>
      <c r="G7986" s="394"/>
      <c r="I7986" s="368">
        <f t="shared" si="378"/>
        <v>0</v>
      </c>
      <c r="J7986" s="365">
        <f t="shared" si="379"/>
        <v>0</v>
      </c>
      <c r="K7986" s="369">
        <f t="shared" si="380"/>
        <v>6</v>
      </c>
      <c r="L7986" s="369">
        <f>+IF((C7986&gt;='Resultats - informe'!$E$16)*(C7986&lt;='Resultats - informe'!$G$16),1,0)</f>
        <v>1</v>
      </c>
      <c r="M7986" s="369" cm="1">
        <f t="array" ref="M7986">+_xlfn.IFS((C7986&gt;='Resultats - informe'!$D$26)*(C7986&lt;='Resultats - informe'!$E$26),0,(C7986&gt;='Resultats - informe'!$D$27)*(C7986&lt;='Resultats - informe'!$E$27),0,(C7986&gt;='Resultats - informe'!$D$28)*(C7986&lt;='Resultats - informe'!$E$28),0,(C7986&gt;='Resultats - informe'!$D$29)*(C7986&lt;='Resultats - informe'!$E$29),0,1,1)</f>
        <v>0</v>
      </c>
      <c r="N7986" s="366">
        <f>+VLOOKUP(D7986,'Resultats - informe'!$Y$18:$AG$42,'Introducció dades consum'!K7986+1,0)</f>
        <v>0</v>
      </c>
      <c r="O7986" s="370" cm="1">
        <f t="array" ref="O7986">+_xlfn.SWITCH(MONTH(C7986),1,1,2,1,3,1,4,2,5,2,6,3,7,3,8,3,9,3,10,2,11,2,12,1,2)</f>
        <v>1</v>
      </c>
      <c r="P7986" s="43"/>
    </row>
    <row r="7987" spans="1:16" ht="18" x14ac:dyDescent="0.35">
      <c r="A7987" s="9"/>
      <c r="C7987" s="393"/>
      <c r="E7987" s="394"/>
      <c r="F7987" s="394"/>
      <c r="G7987" s="394"/>
      <c r="I7987" s="368">
        <f t="shared" si="378"/>
        <v>0</v>
      </c>
      <c r="J7987" s="365">
        <f t="shared" si="379"/>
        <v>0</v>
      </c>
      <c r="K7987" s="369">
        <f t="shared" si="380"/>
        <v>6</v>
      </c>
      <c r="L7987" s="369">
        <f>+IF((C7987&gt;='Resultats - informe'!$E$16)*(C7987&lt;='Resultats - informe'!$G$16),1,0)</f>
        <v>1</v>
      </c>
      <c r="M7987" s="369" cm="1">
        <f t="array" ref="M7987">+_xlfn.IFS((C7987&gt;='Resultats - informe'!$D$26)*(C7987&lt;='Resultats - informe'!$E$26),0,(C7987&gt;='Resultats - informe'!$D$27)*(C7987&lt;='Resultats - informe'!$E$27),0,(C7987&gt;='Resultats - informe'!$D$28)*(C7987&lt;='Resultats - informe'!$E$28),0,(C7987&gt;='Resultats - informe'!$D$29)*(C7987&lt;='Resultats - informe'!$E$29),0,1,1)</f>
        <v>0</v>
      </c>
      <c r="N7987" s="366">
        <f>+VLOOKUP(D7987,'Resultats - informe'!$Y$18:$AG$42,'Introducció dades consum'!K7987+1,0)</f>
        <v>0</v>
      </c>
      <c r="O7987" s="370" cm="1">
        <f t="array" ref="O7987">+_xlfn.SWITCH(MONTH(C7987),1,1,2,1,3,1,4,2,5,2,6,3,7,3,8,3,9,3,10,2,11,2,12,1,2)</f>
        <v>1</v>
      </c>
      <c r="P7987" s="43"/>
    </row>
    <row r="7988" spans="1:16" ht="18" x14ac:dyDescent="0.35">
      <c r="A7988" s="9"/>
      <c r="C7988" s="393"/>
      <c r="E7988" s="394"/>
      <c r="F7988" s="394"/>
      <c r="G7988" s="394"/>
      <c r="I7988" s="368">
        <f t="shared" si="378"/>
        <v>0</v>
      </c>
      <c r="J7988" s="365">
        <f t="shared" si="379"/>
        <v>0</v>
      </c>
      <c r="K7988" s="369">
        <f t="shared" si="380"/>
        <v>6</v>
      </c>
      <c r="L7988" s="369">
        <f>+IF((C7988&gt;='Resultats - informe'!$E$16)*(C7988&lt;='Resultats - informe'!$G$16),1,0)</f>
        <v>1</v>
      </c>
      <c r="M7988" s="369" cm="1">
        <f t="array" ref="M7988">+_xlfn.IFS((C7988&gt;='Resultats - informe'!$D$26)*(C7988&lt;='Resultats - informe'!$E$26),0,(C7988&gt;='Resultats - informe'!$D$27)*(C7988&lt;='Resultats - informe'!$E$27),0,(C7988&gt;='Resultats - informe'!$D$28)*(C7988&lt;='Resultats - informe'!$E$28),0,(C7988&gt;='Resultats - informe'!$D$29)*(C7988&lt;='Resultats - informe'!$E$29),0,1,1)</f>
        <v>0</v>
      </c>
      <c r="N7988" s="366">
        <f>+VLOOKUP(D7988,'Resultats - informe'!$Y$18:$AG$42,'Introducció dades consum'!K7988+1,0)</f>
        <v>0</v>
      </c>
      <c r="O7988" s="370" cm="1">
        <f t="array" ref="O7988">+_xlfn.SWITCH(MONTH(C7988),1,1,2,1,3,1,4,2,5,2,6,3,7,3,8,3,9,3,10,2,11,2,12,1,2)</f>
        <v>1</v>
      </c>
      <c r="P7988" s="43"/>
    </row>
    <row r="7989" spans="1:16" ht="18" x14ac:dyDescent="0.35">
      <c r="A7989" s="9"/>
      <c r="C7989" s="393"/>
      <c r="E7989" s="394"/>
      <c r="F7989" s="394"/>
      <c r="G7989" s="394"/>
      <c r="I7989" s="368">
        <f t="shared" si="378"/>
        <v>0</v>
      </c>
      <c r="J7989" s="365">
        <f t="shared" si="379"/>
        <v>0</v>
      </c>
      <c r="K7989" s="369">
        <f t="shared" si="380"/>
        <v>6</v>
      </c>
      <c r="L7989" s="369">
        <f>+IF((C7989&gt;='Resultats - informe'!$E$16)*(C7989&lt;='Resultats - informe'!$G$16),1,0)</f>
        <v>1</v>
      </c>
      <c r="M7989" s="369" cm="1">
        <f t="array" ref="M7989">+_xlfn.IFS((C7989&gt;='Resultats - informe'!$D$26)*(C7989&lt;='Resultats - informe'!$E$26),0,(C7989&gt;='Resultats - informe'!$D$27)*(C7989&lt;='Resultats - informe'!$E$27),0,(C7989&gt;='Resultats - informe'!$D$28)*(C7989&lt;='Resultats - informe'!$E$28),0,(C7989&gt;='Resultats - informe'!$D$29)*(C7989&lt;='Resultats - informe'!$E$29),0,1,1)</f>
        <v>0</v>
      </c>
      <c r="N7989" s="366">
        <f>+VLOOKUP(D7989,'Resultats - informe'!$Y$18:$AG$42,'Introducció dades consum'!K7989+1,0)</f>
        <v>0</v>
      </c>
      <c r="O7989" s="370" cm="1">
        <f t="array" ref="O7989">+_xlfn.SWITCH(MONTH(C7989),1,1,2,1,3,1,4,2,5,2,6,3,7,3,8,3,9,3,10,2,11,2,12,1,2)</f>
        <v>1</v>
      </c>
      <c r="P7989" s="43"/>
    </row>
    <row r="7990" spans="1:16" ht="18" x14ac:dyDescent="0.35">
      <c r="A7990" s="9"/>
      <c r="C7990" s="393"/>
      <c r="E7990" s="394"/>
      <c r="F7990" s="394"/>
      <c r="G7990" s="394"/>
      <c r="I7990" s="368">
        <f t="shared" si="378"/>
        <v>0</v>
      </c>
      <c r="J7990" s="365">
        <f t="shared" si="379"/>
        <v>0</v>
      </c>
      <c r="K7990" s="369">
        <f t="shared" si="380"/>
        <v>6</v>
      </c>
      <c r="L7990" s="369">
        <f>+IF((C7990&gt;='Resultats - informe'!$E$16)*(C7990&lt;='Resultats - informe'!$G$16),1,0)</f>
        <v>1</v>
      </c>
      <c r="M7990" s="369" cm="1">
        <f t="array" ref="M7990">+_xlfn.IFS((C7990&gt;='Resultats - informe'!$D$26)*(C7990&lt;='Resultats - informe'!$E$26),0,(C7990&gt;='Resultats - informe'!$D$27)*(C7990&lt;='Resultats - informe'!$E$27),0,(C7990&gt;='Resultats - informe'!$D$28)*(C7990&lt;='Resultats - informe'!$E$28),0,(C7990&gt;='Resultats - informe'!$D$29)*(C7990&lt;='Resultats - informe'!$E$29),0,1,1)</f>
        <v>0</v>
      </c>
      <c r="N7990" s="366">
        <f>+VLOOKUP(D7990,'Resultats - informe'!$Y$18:$AG$42,'Introducció dades consum'!K7990+1,0)</f>
        <v>0</v>
      </c>
      <c r="O7990" s="370" cm="1">
        <f t="array" ref="O7990">+_xlfn.SWITCH(MONTH(C7990),1,1,2,1,3,1,4,2,5,2,6,3,7,3,8,3,9,3,10,2,11,2,12,1,2)</f>
        <v>1</v>
      </c>
      <c r="P7990" s="43"/>
    </row>
    <row r="7991" spans="1:16" ht="18" x14ac:dyDescent="0.35">
      <c r="A7991" s="9"/>
      <c r="C7991" s="393"/>
      <c r="E7991" s="394"/>
      <c r="F7991" s="394"/>
      <c r="G7991" s="394"/>
      <c r="I7991" s="368">
        <f t="shared" si="378"/>
        <v>0</v>
      </c>
      <c r="J7991" s="365">
        <f t="shared" si="379"/>
        <v>0</v>
      </c>
      <c r="K7991" s="369">
        <f t="shared" si="380"/>
        <v>6</v>
      </c>
      <c r="L7991" s="369">
        <f>+IF((C7991&gt;='Resultats - informe'!$E$16)*(C7991&lt;='Resultats - informe'!$G$16),1,0)</f>
        <v>1</v>
      </c>
      <c r="M7991" s="369" cm="1">
        <f t="array" ref="M7991">+_xlfn.IFS((C7991&gt;='Resultats - informe'!$D$26)*(C7991&lt;='Resultats - informe'!$E$26),0,(C7991&gt;='Resultats - informe'!$D$27)*(C7991&lt;='Resultats - informe'!$E$27),0,(C7991&gt;='Resultats - informe'!$D$28)*(C7991&lt;='Resultats - informe'!$E$28),0,(C7991&gt;='Resultats - informe'!$D$29)*(C7991&lt;='Resultats - informe'!$E$29),0,1,1)</f>
        <v>0</v>
      </c>
      <c r="N7991" s="366">
        <f>+VLOOKUP(D7991,'Resultats - informe'!$Y$18:$AG$42,'Introducció dades consum'!K7991+1,0)</f>
        <v>0</v>
      </c>
      <c r="O7991" s="370" cm="1">
        <f t="array" ref="O7991">+_xlfn.SWITCH(MONTH(C7991),1,1,2,1,3,1,4,2,5,2,6,3,7,3,8,3,9,3,10,2,11,2,12,1,2)</f>
        <v>1</v>
      </c>
      <c r="P7991" s="43"/>
    </row>
    <row r="7992" spans="1:16" ht="18" x14ac:dyDescent="0.35">
      <c r="A7992" s="9"/>
      <c r="C7992" s="393"/>
      <c r="E7992" s="394"/>
      <c r="F7992" s="394"/>
      <c r="G7992" s="394"/>
      <c r="I7992" s="368">
        <f t="shared" si="378"/>
        <v>0</v>
      </c>
      <c r="J7992" s="365">
        <f t="shared" si="379"/>
        <v>0</v>
      </c>
      <c r="K7992" s="369">
        <f t="shared" si="380"/>
        <v>6</v>
      </c>
      <c r="L7992" s="369">
        <f>+IF((C7992&gt;='Resultats - informe'!$E$16)*(C7992&lt;='Resultats - informe'!$G$16),1,0)</f>
        <v>1</v>
      </c>
      <c r="M7992" s="369" cm="1">
        <f t="array" ref="M7992">+_xlfn.IFS((C7992&gt;='Resultats - informe'!$D$26)*(C7992&lt;='Resultats - informe'!$E$26),0,(C7992&gt;='Resultats - informe'!$D$27)*(C7992&lt;='Resultats - informe'!$E$27),0,(C7992&gt;='Resultats - informe'!$D$28)*(C7992&lt;='Resultats - informe'!$E$28),0,(C7992&gt;='Resultats - informe'!$D$29)*(C7992&lt;='Resultats - informe'!$E$29),0,1,1)</f>
        <v>0</v>
      </c>
      <c r="N7992" s="366">
        <f>+VLOOKUP(D7992,'Resultats - informe'!$Y$18:$AG$42,'Introducció dades consum'!K7992+1,0)</f>
        <v>0</v>
      </c>
      <c r="O7992" s="370" cm="1">
        <f t="array" ref="O7992">+_xlfn.SWITCH(MONTH(C7992),1,1,2,1,3,1,4,2,5,2,6,3,7,3,8,3,9,3,10,2,11,2,12,1,2)</f>
        <v>1</v>
      </c>
      <c r="P7992" s="43"/>
    </row>
    <row r="7993" spans="1:16" ht="18" x14ac:dyDescent="0.35">
      <c r="A7993" s="9"/>
      <c r="C7993" s="393"/>
      <c r="E7993" s="394"/>
      <c r="F7993" s="394"/>
      <c r="G7993" s="394"/>
      <c r="I7993" s="368">
        <f t="shared" si="378"/>
        <v>0</v>
      </c>
      <c r="J7993" s="365">
        <f t="shared" si="379"/>
        <v>0</v>
      </c>
      <c r="K7993" s="369">
        <f t="shared" si="380"/>
        <v>6</v>
      </c>
      <c r="L7993" s="369">
        <f>+IF((C7993&gt;='Resultats - informe'!$E$16)*(C7993&lt;='Resultats - informe'!$G$16),1,0)</f>
        <v>1</v>
      </c>
      <c r="M7993" s="369" cm="1">
        <f t="array" ref="M7993">+_xlfn.IFS((C7993&gt;='Resultats - informe'!$D$26)*(C7993&lt;='Resultats - informe'!$E$26),0,(C7993&gt;='Resultats - informe'!$D$27)*(C7993&lt;='Resultats - informe'!$E$27),0,(C7993&gt;='Resultats - informe'!$D$28)*(C7993&lt;='Resultats - informe'!$E$28),0,(C7993&gt;='Resultats - informe'!$D$29)*(C7993&lt;='Resultats - informe'!$E$29),0,1,1)</f>
        <v>0</v>
      </c>
      <c r="N7993" s="366">
        <f>+VLOOKUP(D7993,'Resultats - informe'!$Y$18:$AG$42,'Introducció dades consum'!K7993+1,0)</f>
        <v>0</v>
      </c>
      <c r="O7993" s="370" cm="1">
        <f t="array" ref="O7993">+_xlfn.SWITCH(MONTH(C7993),1,1,2,1,3,1,4,2,5,2,6,3,7,3,8,3,9,3,10,2,11,2,12,1,2)</f>
        <v>1</v>
      </c>
      <c r="P7993" s="43"/>
    </row>
    <row r="7994" spans="1:16" ht="18" x14ac:dyDescent="0.35">
      <c r="A7994" s="9"/>
      <c r="C7994" s="393"/>
      <c r="E7994" s="394"/>
      <c r="F7994" s="394"/>
      <c r="G7994" s="394"/>
      <c r="I7994" s="368">
        <f t="shared" si="378"/>
        <v>0</v>
      </c>
      <c r="J7994" s="365">
        <f t="shared" si="379"/>
        <v>0</v>
      </c>
      <c r="K7994" s="369">
        <f t="shared" si="380"/>
        <v>6</v>
      </c>
      <c r="L7994" s="369">
        <f>+IF((C7994&gt;='Resultats - informe'!$E$16)*(C7994&lt;='Resultats - informe'!$G$16),1,0)</f>
        <v>1</v>
      </c>
      <c r="M7994" s="369" cm="1">
        <f t="array" ref="M7994">+_xlfn.IFS((C7994&gt;='Resultats - informe'!$D$26)*(C7994&lt;='Resultats - informe'!$E$26),0,(C7994&gt;='Resultats - informe'!$D$27)*(C7994&lt;='Resultats - informe'!$E$27),0,(C7994&gt;='Resultats - informe'!$D$28)*(C7994&lt;='Resultats - informe'!$E$28),0,(C7994&gt;='Resultats - informe'!$D$29)*(C7994&lt;='Resultats - informe'!$E$29),0,1,1)</f>
        <v>0</v>
      </c>
      <c r="N7994" s="366">
        <f>+VLOOKUP(D7994,'Resultats - informe'!$Y$18:$AG$42,'Introducció dades consum'!K7994+1,0)</f>
        <v>0</v>
      </c>
      <c r="O7994" s="370" cm="1">
        <f t="array" ref="O7994">+_xlfn.SWITCH(MONTH(C7994),1,1,2,1,3,1,4,2,5,2,6,3,7,3,8,3,9,3,10,2,11,2,12,1,2)</f>
        <v>1</v>
      </c>
      <c r="P7994" s="43"/>
    </row>
    <row r="7995" spans="1:16" ht="18" x14ac:dyDescent="0.35">
      <c r="A7995" s="9"/>
      <c r="C7995" s="393"/>
      <c r="E7995" s="394"/>
      <c r="F7995" s="394"/>
      <c r="G7995" s="394"/>
      <c r="I7995" s="368">
        <f t="shared" si="378"/>
        <v>0</v>
      </c>
      <c r="J7995" s="365">
        <f t="shared" si="379"/>
        <v>0</v>
      </c>
      <c r="K7995" s="369">
        <f t="shared" si="380"/>
        <v>6</v>
      </c>
      <c r="L7995" s="369">
        <f>+IF((C7995&gt;='Resultats - informe'!$E$16)*(C7995&lt;='Resultats - informe'!$G$16),1,0)</f>
        <v>1</v>
      </c>
      <c r="M7995" s="369" cm="1">
        <f t="array" ref="M7995">+_xlfn.IFS((C7995&gt;='Resultats - informe'!$D$26)*(C7995&lt;='Resultats - informe'!$E$26),0,(C7995&gt;='Resultats - informe'!$D$27)*(C7995&lt;='Resultats - informe'!$E$27),0,(C7995&gt;='Resultats - informe'!$D$28)*(C7995&lt;='Resultats - informe'!$E$28),0,(C7995&gt;='Resultats - informe'!$D$29)*(C7995&lt;='Resultats - informe'!$E$29),0,1,1)</f>
        <v>0</v>
      </c>
      <c r="N7995" s="366">
        <f>+VLOOKUP(D7995,'Resultats - informe'!$Y$18:$AG$42,'Introducció dades consum'!K7995+1,0)</f>
        <v>0</v>
      </c>
      <c r="O7995" s="370" cm="1">
        <f t="array" ref="O7995">+_xlfn.SWITCH(MONTH(C7995),1,1,2,1,3,1,4,2,5,2,6,3,7,3,8,3,9,3,10,2,11,2,12,1,2)</f>
        <v>1</v>
      </c>
      <c r="P7995" s="43"/>
    </row>
    <row r="7996" spans="1:16" ht="18" x14ac:dyDescent="0.35">
      <c r="A7996" s="9"/>
      <c r="C7996" s="393"/>
      <c r="E7996" s="394"/>
      <c r="F7996" s="394"/>
      <c r="G7996" s="394"/>
      <c r="I7996" s="368">
        <f t="shared" si="378"/>
        <v>0</v>
      </c>
      <c r="J7996" s="365">
        <f t="shared" si="379"/>
        <v>0</v>
      </c>
      <c r="K7996" s="369">
        <f t="shared" si="380"/>
        <v>6</v>
      </c>
      <c r="L7996" s="369">
        <f>+IF((C7996&gt;='Resultats - informe'!$E$16)*(C7996&lt;='Resultats - informe'!$G$16),1,0)</f>
        <v>1</v>
      </c>
      <c r="M7996" s="369" cm="1">
        <f t="array" ref="M7996">+_xlfn.IFS((C7996&gt;='Resultats - informe'!$D$26)*(C7996&lt;='Resultats - informe'!$E$26),0,(C7996&gt;='Resultats - informe'!$D$27)*(C7996&lt;='Resultats - informe'!$E$27),0,(C7996&gt;='Resultats - informe'!$D$28)*(C7996&lt;='Resultats - informe'!$E$28),0,(C7996&gt;='Resultats - informe'!$D$29)*(C7996&lt;='Resultats - informe'!$E$29),0,1,1)</f>
        <v>0</v>
      </c>
      <c r="N7996" s="366">
        <f>+VLOOKUP(D7996,'Resultats - informe'!$Y$18:$AG$42,'Introducció dades consum'!K7996+1,0)</f>
        <v>0</v>
      </c>
      <c r="O7996" s="370" cm="1">
        <f t="array" ref="O7996">+_xlfn.SWITCH(MONTH(C7996),1,1,2,1,3,1,4,2,5,2,6,3,7,3,8,3,9,3,10,2,11,2,12,1,2)</f>
        <v>1</v>
      </c>
      <c r="P7996" s="43"/>
    </row>
    <row r="7997" spans="1:16" ht="18" x14ac:dyDescent="0.35">
      <c r="A7997" s="9"/>
      <c r="C7997" s="393"/>
      <c r="E7997" s="394"/>
      <c r="F7997" s="394"/>
      <c r="G7997" s="394"/>
      <c r="I7997" s="368">
        <f t="shared" si="378"/>
        <v>0</v>
      </c>
      <c r="J7997" s="365">
        <f t="shared" si="379"/>
        <v>0</v>
      </c>
      <c r="K7997" s="369">
        <f t="shared" si="380"/>
        <v>6</v>
      </c>
      <c r="L7997" s="369">
        <f>+IF((C7997&gt;='Resultats - informe'!$E$16)*(C7997&lt;='Resultats - informe'!$G$16),1,0)</f>
        <v>1</v>
      </c>
      <c r="M7997" s="369" cm="1">
        <f t="array" ref="M7997">+_xlfn.IFS((C7997&gt;='Resultats - informe'!$D$26)*(C7997&lt;='Resultats - informe'!$E$26),0,(C7997&gt;='Resultats - informe'!$D$27)*(C7997&lt;='Resultats - informe'!$E$27),0,(C7997&gt;='Resultats - informe'!$D$28)*(C7997&lt;='Resultats - informe'!$E$28),0,(C7997&gt;='Resultats - informe'!$D$29)*(C7997&lt;='Resultats - informe'!$E$29),0,1,1)</f>
        <v>0</v>
      </c>
      <c r="N7997" s="366">
        <f>+VLOOKUP(D7997,'Resultats - informe'!$Y$18:$AG$42,'Introducció dades consum'!K7997+1,0)</f>
        <v>0</v>
      </c>
      <c r="O7997" s="370" cm="1">
        <f t="array" ref="O7997">+_xlfn.SWITCH(MONTH(C7997),1,1,2,1,3,1,4,2,5,2,6,3,7,3,8,3,9,3,10,2,11,2,12,1,2)</f>
        <v>1</v>
      </c>
      <c r="P7997" s="43"/>
    </row>
    <row r="7998" spans="1:16" ht="18" x14ac:dyDescent="0.35">
      <c r="A7998" s="9"/>
      <c r="C7998" s="393"/>
      <c r="E7998" s="394"/>
      <c r="F7998" s="394"/>
      <c r="G7998" s="394"/>
      <c r="I7998" s="368">
        <f t="shared" si="378"/>
        <v>0</v>
      </c>
      <c r="J7998" s="365">
        <f t="shared" si="379"/>
        <v>0</v>
      </c>
      <c r="K7998" s="369">
        <f t="shared" si="380"/>
        <v>6</v>
      </c>
      <c r="L7998" s="369">
        <f>+IF((C7998&gt;='Resultats - informe'!$E$16)*(C7998&lt;='Resultats - informe'!$G$16),1,0)</f>
        <v>1</v>
      </c>
      <c r="M7998" s="369" cm="1">
        <f t="array" ref="M7998">+_xlfn.IFS((C7998&gt;='Resultats - informe'!$D$26)*(C7998&lt;='Resultats - informe'!$E$26),0,(C7998&gt;='Resultats - informe'!$D$27)*(C7998&lt;='Resultats - informe'!$E$27),0,(C7998&gt;='Resultats - informe'!$D$28)*(C7998&lt;='Resultats - informe'!$E$28),0,(C7998&gt;='Resultats - informe'!$D$29)*(C7998&lt;='Resultats - informe'!$E$29),0,1,1)</f>
        <v>0</v>
      </c>
      <c r="N7998" s="366">
        <f>+VLOOKUP(D7998,'Resultats - informe'!$Y$18:$AG$42,'Introducció dades consum'!K7998+1,0)</f>
        <v>0</v>
      </c>
      <c r="O7998" s="370" cm="1">
        <f t="array" ref="O7998">+_xlfn.SWITCH(MONTH(C7998),1,1,2,1,3,1,4,2,5,2,6,3,7,3,8,3,9,3,10,2,11,2,12,1,2)</f>
        <v>1</v>
      </c>
      <c r="P7998" s="43"/>
    </row>
    <row r="7999" spans="1:16" ht="18" x14ac:dyDescent="0.35">
      <c r="A7999" s="9"/>
      <c r="C7999" s="393"/>
      <c r="E7999" s="394"/>
      <c r="F7999" s="394"/>
      <c r="G7999" s="394"/>
      <c r="I7999" s="368">
        <f t="shared" si="378"/>
        <v>0</v>
      </c>
      <c r="J7999" s="365">
        <f t="shared" si="379"/>
        <v>0</v>
      </c>
      <c r="K7999" s="369">
        <f t="shared" si="380"/>
        <v>6</v>
      </c>
      <c r="L7999" s="369">
        <f>+IF((C7999&gt;='Resultats - informe'!$E$16)*(C7999&lt;='Resultats - informe'!$G$16),1,0)</f>
        <v>1</v>
      </c>
      <c r="M7999" s="369" cm="1">
        <f t="array" ref="M7999">+_xlfn.IFS((C7999&gt;='Resultats - informe'!$D$26)*(C7999&lt;='Resultats - informe'!$E$26),0,(C7999&gt;='Resultats - informe'!$D$27)*(C7999&lt;='Resultats - informe'!$E$27),0,(C7999&gt;='Resultats - informe'!$D$28)*(C7999&lt;='Resultats - informe'!$E$28),0,(C7999&gt;='Resultats - informe'!$D$29)*(C7999&lt;='Resultats - informe'!$E$29),0,1,1)</f>
        <v>0</v>
      </c>
      <c r="N7999" s="366">
        <f>+VLOOKUP(D7999,'Resultats - informe'!$Y$18:$AG$42,'Introducció dades consum'!K7999+1,0)</f>
        <v>0</v>
      </c>
      <c r="O7999" s="370" cm="1">
        <f t="array" ref="O7999">+_xlfn.SWITCH(MONTH(C7999),1,1,2,1,3,1,4,2,5,2,6,3,7,3,8,3,9,3,10,2,11,2,12,1,2)</f>
        <v>1</v>
      </c>
      <c r="P7999" s="43"/>
    </row>
    <row r="8000" spans="1:16" ht="18" x14ac:dyDescent="0.35">
      <c r="A8000" s="9"/>
      <c r="C8000" s="393"/>
      <c r="E8000" s="394"/>
      <c r="F8000" s="394"/>
      <c r="G8000" s="394"/>
      <c r="I8000" s="368">
        <f t="shared" si="378"/>
        <v>0</v>
      </c>
      <c r="J8000" s="365">
        <f t="shared" si="379"/>
        <v>0</v>
      </c>
      <c r="K8000" s="369">
        <f t="shared" si="380"/>
        <v>6</v>
      </c>
      <c r="L8000" s="369">
        <f>+IF((C8000&gt;='Resultats - informe'!$E$16)*(C8000&lt;='Resultats - informe'!$G$16),1,0)</f>
        <v>1</v>
      </c>
      <c r="M8000" s="369" cm="1">
        <f t="array" ref="M8000">+_xlfn.IFS((C8000&gt;='Resultats - informe'!$D$26)*(C8000&lt;='Resultats - informe'!$E$26),0,(C8000&gt;='Resultats - informe'!$D$27)*(C8000&lt;='Resultats - informe'!$E$27),0,(C8000&gt;='Resultats - informe'!$D$28)*(C8000&lt;='Resultats - informe'!$E$28),0,(C8000&gt;='Resultats - informe'!$D$29)*(C8000&lt;='Resultats - informe'!$E$29),0,1,1)</f>
        <v>0</v>
      </c>
      <c r="N8000" s="366">
        <f>+VLOOKUP(D8000,'Resultats - informe'!$Y$18:$AG$42,'Introducció dades consum'!K8000+1,0)</f>
        <v>0</v>
      </c>
      <c r="O8000" s="370" cm="1">
        <f t="array" ref="O8000">+_xlfn.SWITCH(MONTH(C8000),1,1,2,1,3,1,4,2,5,2,6,3,7,3,8,3,9,3,10,2,11,2,12,1,2)</f>
        <v>1</v>
      </c>
      <c r="P8000" s="43"/>
    </row>
    <row r="8001" spans="1:16" ht="18" x14ac:dyDescent="0.35">
      <c r="A8001" s="9"/>
      <c r="C8001" s="393"/>
      <c r="E8001" s="394"/>
      <c r="F8001" s="394"/>
      <c r="G8001" s="394"/>
      <c r="I8001" s="368">
        <f t="shared" si="378"/>
        <v>0</v>
      </c>
      <c r="J8001" s="365">
        <f t="shared" si="379"/>
        <v>0</v>
      </c>
      <c r="K8001" s="369">
        <f t="shared" si="380"/>
        <v>6</v>
      </c>
      <c r="L8001" s="369">
        <f>+IF((C8001&gt;='Resultats - informe'!$E$16)*(C8001&lt;='Resultats - informe'!$G$16),1,0)</f>
        <v>1</v>
      </c>
      <c r="M8001" s="369" cm="1">
        <f t="array" ref="M8001">+_xlfn.IFS((C8001&gt;='Resultats - informe'!$D$26)*(C8001&lt;='Resultats - informe'!$E$26),0,(C8001&gt;='Resultats - informe'!$D$27)*(C8001&lt;='Resultats - informe'!$E$27),0,(C8001&gt;='Resultats - informe'!$D$28)*(C8001&lt;='Resultats - informe'!$E$28),0,(C8001&gt;='Resultats - informe'!$D$29)*(C8001&lt;='Resultats - informe'!$E$29),0,1,1)</f>
        <v>0</v>
      </c>
      <c r="N8001" s="366">
        <f>+VLOOKUP(D8001,'Resultats - informe'!$Y$18:$AG$42,'Introducció dades consum'!K8001+1,0)</f>
        <v>0</v>
      </c>
      <c r="O8001" s="370" cm="1">
        <f t="array" ref="O8001">+_xlfn.SWITCH(MONTH(C8001),1,1,2,1,3,1,4,2,5,2,6,3,7,3,8,3,9,3,10,2,11,2,12,1,2)</f>
        <v>1</v>
      </c>
      <c r="P8001" s="43"/>
    </row>
    <row r="8002" spans="1:16" ht="18" x14ac:dyDescent="0.35">
      <c r="A8002" s="9"/>
      <c r="C8002" s="393"/>
      <c r="E8002" s="394"/>
      <c r="F8002" s="394"/>
      <c r="G8002" s="394"/>
      <c r="I8002" s="368">
        <f t="shared" si="378"/>
        <v>0</v>
      </c>
      <c r="J8002" s="365">
        <f t="shared" si="379"/>
        <v>0</v>
      </c>
      <c r="K8002" s="369">
        <f t="shared" si="380"/>
        <v>6</v>
      </c>
      <c r="L8002" s="369">
        <f>+IF((C8002&gt;='Resultats - informe'!$E$16)*(C8002&lt;='Resultats - informe'!$G$16),1,0)</f>
        <v>1</v>
      </c>
      <c r="M8002" s="369" cm="1">
        <f t="array" ref="M8002">+_xlfn.IFS((C8002&gt;='Resultats - informe'!$D$26)*(C8002&lt;='Resultats - informe'!$E$26),0,(C8002&gt;='Resultats - informe'!$D$27)*(C8002&lt;='Resultats - informe'!$E$27),0,(C8002&gt;='Resultats - informe'!$D$28)*(C8002&lt;='Resultats - informe'!$E$28),0,(C8002&gt;='Resultats - informe'!$D$29)*(C8002&lt;='Resultats - informe'!$E$29),0,1,1)</f>
        <v>0</v>
      </c>
      <c r="N8002" s="366">
        <f>+VLOOKUP(D8002,'Resultats - informe'!$Y$18:$AG$42,'Introducció dades consum'!K8002+1,0)</f>
        <v>0</v>
      </c>
      <c r="O8002" s="370" cm="1">
        <f t="array" ref="O8002">+_xlfn.SWITCH(MONTH(C8002),1,1,2,1,3,1,4,2,5,2,6,3,7,3,8,3,9,3,10,2,11,2,12,1,2)</f>
        <v>1</v>
      </c>
      <c r="P8002" s="43"/>
    </row>
    <row r="8003" spans="1:16" ht="18" x14ac:dyDescent="0.35">
      <c r="A8003" s="9"/>
      <c r="C8003" s="393"/>
      <c r="E8003" s="394"/>
      <c r="F8003" s="394"/>
      <c r="G8003" s="394"/>
      <c r="I8003" s="368">
        <f t="shared" si="378"/>
        <v>0</v>
      </c>
      <c r="J8003" s="365">
        <f t="shared" si="379"/>
        <v>0</v>
      </c>
      <c r="K8003" s="369">
        <f t="shared" si="380"/>
        <v>6</v>
      </c>
      <c r="L8003" s="369">
        <f>+IF((C8003&gt;='Resultats - informe'!$E$16)*(C8003&lt;='Resultats - informe'!$G$16),1,0)</f>
        <v>1</v>
      </c>
      <c r="M8003" s="369" cm="1">
        <f t="array" ref="M8003">+_xlfn.IFS((C8003&gt;='Resultats - informe'!$D$26)*(C8003&lt;='Resultats - informe'!$E$26),0,(C8003&gt;='Resultats - informe'!$D$27)*(C8003&lt;='Resultats - informe'!$E$27),0,(C8003&gt;='Resultats - informe'!$D$28)*(C8003&lt;='Resultats - informe'!$E$28),0,(C8003&gt;='Resultats - informe'!$D$29)*(C8003&lt;='Resultats - informe'!$E$29),0,1,1)</f>
        <v>0</v>
      </c>
      <c r="N8003" s="366">
        <f>+VLOOKUP(D8003,'Resultats - informe'!$Y$18:$AG$42,'Introducció dades consum'!K8003+1,0)</f>
        <v>0</v>
      </c>
      <c r="O8003" s="370" cm="1">
        <f t="array" ref="O8003">+_xlfn.SWITCH(MONTH(C8003),1,1,2,1,3,1,4,2,5,2,6,3,7,3,8,3,9,3,10,2,11,2,12,1,2)</f>
        <v>1</v>
      </c>
      <c r="P8003" s="43"/>
    </row>
    <row r="8004" spans="1:16" ht="18" x14ac:dyDescent="0.35">
      <c r="A8004" s="9"/>
      <c r="C8004" s="393"/>
      <c r="E8004" s="394"/>
      <c r="F8004" s="394"/>
      <c r="G8004" s="394"/>
      <c r="I8004" s="368">
        <f t="shared" si="378"/>
        <v>0</v>
      </c>
      <c r="J8004" s="365">
        <f t="shared" si="379"/>
        <v>0</v>
      </c>
      <c r="K8004" s="369">
        <f t="shared" si="380"/>
        <v>6</v>
      </c>
      <c r="L8004" s="369">
        <f>+IF((C8004&gt;='Resultats - informe'!$E$16)*(C8004&lt;='Resultats - informe'!$G$16),1,0)</f>
        <v>1</v>
      </c>
      <c r="M8004" s="369" cm="1">
        <f t="array" ref="M8004">+_xlfn.IFS((C8004&gt;='Resultats - informe'!$D$26)*(C8004&lt;='Resultats - informe'!$E$26),0,(C8004&gt;='Resultats - informe'!$D$27)*(C8004&lt;='Resultats - informe'!$E$27),0,(C8004&gt;='Resultats - informe'!$D$28)*(C8004&lt;='Resultats - informe'!$E$28),0,(C8004&gt;='Resultats - informe'!$D$29)*(C8004&lt;='Resultats - informe'!$E$29),0,1,1)</f>
        <v>0</v>
      </c>
      <c r="N8004" s="366">
        <f>+VLOOKUP(D8004,'Resultats - informe'!$Y$18:$AG$42,'Introducció dades consum'!K8004+1,0)</f>
        <v>0</v>
      </c>
      <c r="O8004" s="370" cm="1">
        <f t="array" ref="O8004">+_xlfn.SWITCH(MONTH(C8004),1,1,2,1,3,1,4,2,5,2,6,3,7,3,8,3,9,3,10,2,11,2,12,1,2)</f>
        <v>1</v>
      </c>
      <c r="P8004" s="43"/>
    </row>
    <row r="8005" spans="1:16" ht="18" x14ac:dyDescent="0.35">
      <c r="A8005" s="9"/>
      <c r="C8005" s="393"/>
      <c r="E8005" s="394"/>
      <c r="F8005" s="394"/>
      <c r="G8005" s="394"/>
      <c r="I8005" s="368">
        <f t="shared" si="378"/>
        <v>0</v>
      </c>
      <c r="J8005" s="365">
        <f t="shared" si="379"/>
        <v>0</v>
      </c>
      <c r="K8005" s="369">
        <f t="shared" si="380"/>
        <v>6</v>
      </c>
      <c r="L8005" s="369">
        <f>+IF((C8005&gt;='Resultats - informe'!$E$16)*(C8005&lt;='Resultats - informe'!$G$16),1,0)</f>
        <v>1</v>
      </c>
      <c r="M8005" s="369" cm="1">
        <f t="array" ref="M8005">+_xlfn.IFS((C8005&gt;='Resultats - informe'!$D$26)*(C8005&lt;='Resultats - informe'!$E$26),0,(C8005&gt;='Resultats - informe'!$D$27)*(C8005&lt;='Resultats - informe'!$E$27),0,(C8005&gt;='Resultats - informe'!$D$28)*(C8005&lt;='Resultats - informe'!$E$28),0,(C8005&gt;='Resultats - informe'!$D$29)*(C8005&lt;='Resultats - informe'!$E$29),0,1,1)</f>
        <v>0</v>
      </c>
      <c r="N8005" s="366">
        <f>+VLOOKUP(D8005,'Resultats - informe'!$Y$18:$AG$42,'Introducció dades consum'!K8005+1,0)</f>
        <v>0</v>
      </c>
      <c r="O8005" s="370" cm="1">
        <f t="array" ref="O8005">+_xlfn.SWITCH(MONTH(C8005),1,1,2,1,3,1,4,2,5,2,6,3,7,3,8,3,9,3,10,2,11,2,12,1,2)</f>
        <v>1</v>
      </c>
      <c r="P8005" s="43"/>
    </row>
    <row r="8006" spans="1:16" ht="18" x14ac:dyDescent="0.35">
      <c r="A8006" s="9"/>
      <c r="C8006" s="393"/>
      <c r="E8006" s="394"/>
      <c r="F8006" s="394"/>
      <c r="G8006" s="394"/>
      <c r="I8006" s="368">
        <f t="shared" si="378"/>
        <v>0</v>
      </c>
      <c r="J8006" s="365">
        <f t="shared" si="379"/>
        <v>0</v>
      </c>
      <c r="K8006" s="369">
        <f t="shared" si="380"/>
        <v>6</v>
      </c>
      <c r="L8006" s="369">
        <f>+IF((C8006&gt;='Resultats - informe'!$E$16)*(C8006&lt;='Resultats - informe'!$G$16),1,0)</f>
        <v>1</v>
      </c>
      <c r="M8006" s="369" cm="1">
        <f t="array" ref="M8006">+_xlfn.IFS((C8006&gt;='Resultats - informe'!$D$26)*(C8006&lt;='Resultats - informe'!$E$26),0,(C8006&gt;='Resultats - informe'!$D$27)*(C8006&lt;='Resultats - informe'!$E$27),0,(C8006&gt;='Resultats - informe'!$D$28)*(C8006&lt;='Resultats - informe'!$E$28),0,(C8006&gt;='Resultats - informe'!$D$29)*(C8006&lt;='Resultats - informe'!$E$29),0,1,1)</f>
        <v>0</v>
      </c>
      <c r="N8006" s="366">
        <f>+VLOOKUP(D8006,'Resultats - informe'!$Y$18:$AG$42,'Introducció dades consum'!K8006+1,0)</f>
        <v>0</v>
      </c>
      <c r="O8006" s="370" cm="1">
        <f t="array" ref="O8006">+_xlfn.SWITCH(MONTH(C8006),1,1,2,1,3,1,4,2,5,2,6,3,7,3,8,3,9,3,10,2,11,2,12,1,2)</f>
        <v>1</v>
      </c>
      <c r="P8006" s="43"/>
    </row>
    <row r="8007" spans="1:16" ht="18" x14ac:dyDescent="0.35">
      <c r="A8007" s="9"/>
      <c r="C8007" s="393"/>
      <c r="E8007" s="394"/>
      <c r="F8007" s="394"/>
      <c r="G8007" s="394"/>
      <c r="I8007" s="368">
        <f t="shared" si="378"/>
        <v>0</v>
      </c>
      <c r="J8007" s="365">
        <f t="shared" si="379"/>
        <v>0</v>
      </c>
      <c r="K8007" s="369">
        <f t="shared" si="380"/>
        <v>6</v>
      </c>
      <c r="L8007" s="369">
        <f>+IF((C8007&gt;='Resultats - informe'!$E$16)*(C8007&lt;='Resultats - informe'!$G$16),1,0)</f>
        <v>1</v>
      </c>
      <c r="M8007" s="369" cm="1">
        <f t="array" ref="M8007">+_xlfn.IFS((C8007&gt;='Resultats - informe'!$D$26)*(C8007&lt;='Resultats - informe'!$E$26),0,(C8007&gt;='Resultats - informe'!$D$27)*(C8007&lt;='Resultats - informe'!$E$27),0,(C8007&gt;='Resultats - informe'!$D$28)*(C8007&lt;='Resultats - informe'!$E$28),0,(C8007&gt;='Resultats - informe'!$D$29)*(C8007&lt;='Resultats - informe'!$E$29),0,1,1)</f>
        <v>0</v>
      </c>
      <c r="N8007" s="366">
        <f>+VLOOKUP(D8007,'Resultats - informe'!$Y$18:$AG$42,'Introducció dades consum'!K8007+1,0)</f>
        <v>0</v>
      </c>
      <c r="O8007" s="370" cm="1">
        <f t="array" ref="O8007">+_xlfn.SWITCH(MONTH(C8007),1,1,2,1,3,1,4,2,5,2,6,3,7,3,8,3,9,3,10,2,11,2,12,1,2)</f>
        <v>1</v>
      </c>
      <c r="P8007" s="43"/>
    </row>
    <row r="8008" spans="1:16" ht="18" x14ac:dyDescent="0.35">
      <c r="A8008" s="9"/>
      <c r="C8008" s="393"/>
      <c r="E8008" s="394"/>
      <c r="F8008" s="394"/>
      <c r="G8008" s="394"/>
      <c r="I8008" s="368">
        <f t="shared" si="378"/>
        <v>0</v>
      </c>
      <c r="J8008" s="365">
        <f t="shared" si="379"/>
        <v>0</v>
      </c>
      <c r="K8008" s="369">
        <f t="shared" si="380"/>
        <v>6</v>
      </c>
      <c r="L8008" s="369">
        <f>+IF((C8008&gt;='Resultats - informe'!$E$16)*(C8008&lt;='Resultats - informe'!$G$16),1,0)</f>
        <v>1</v>
      </c>
      <c r="M8008" s="369" cm="1">
        <f t="array" ref="M8008">+_xlfn.IFS((C8008&gt;='Resultats - informe'!$D$26)*(C8008&lt;='Resultats - informe'!$E$26),0,(C8008&gt;='Resultats - informe'!$D$27)*(C8008&lt;='Resultats - informe'!$E$27),0,(C8008&gt;='Resultats - informe'!$D$28)*(C8008&lt;='Resultats - informe'!$E$28),0,(C8008&gt;='Resultats - informe'!$D$29)*(C8008&lt;='Resultats - informe'!$E$29),0,1,1)</f>
        <v>0</v>
      </c>
      <c r="N8008" s="366">
        <f>+VLOOKUP(D8008,'Resultats - informe'!$Y$18:$AG$42,'Introducció dades consum'!K8008+1,0)</f>
        <v>0</v>
      </c>
      <c r="O8008" s="370" cm="1">
        <f t="array" ref="O8008">+_xlfn.SWITCH(MONTH(C8008),1,1,2,1,3,1,4,2,5,2,6,3,7,3,8,3,9,3,10,2,11,2,12,1,2)</f>
        <v>1</v>
      </c>
      <c r="P8008" s="43"/>
    </row>
    <row r="8009" spans="1:16" ht="18" x14ac:dyDescent="0.35">
      <c r="A8009" s="9"/>
      <c r="C8009" s="393"/>
      <c r="E8009" s="394"/>
      <c r="F8009" s="394"/>
      <c r="G8009" s="394"/>
      <c r="I8009" s="368">
        <f t="shared" si="378"/>
        <v>0</v>
      </c>
      <c r="J8009" s="365">
        <f t="shared" si="379"/>
        <v>0</v>
      </c>
      <c r="K8009" s="369">
        <f t="shared" si="380"/>
        <v>6</v>
      </c>
      <c r="L8009" s="369">
        <f>+IF((C8009&gt;='Resultats - informe'!$E$16)*(C8009&lt;='Resultats - informe'!$G$16),1,0)</f>
        <v>1</v>
      </c>
      <c r="M8009" s="369" cm="1">
        <f t="array" ref="M8009">+_xlfn.IFS((C8009&gt;='Resultats - informe'!$D$26)*(C8009&lt;='Resultats - informe'!$E$26),0,(C8009&gt;='Resultats - informe'!$D$27)*(C8009&lt;='Resultats - informe'!$E$27),0,(C8009&gt;='Resultats - informe'!$D$28)*(C8009&lt;='Resultats - informe'!$E$28),0,(C8009&gt;='Resultats - informe'!$D$29)*(C8009&lt;='Resultats - informe'!$E$29),0,1,1)</f>
        <v>0</v>
      </c>
      <c r="N8009" s="366">
        <f>+VLOOKUP(D8009,'Resultats - informe'!$Y$18:$AG$42,'Introducció dades consum'!K8009+1,0)</f>
        <v>0</v>
      </c>
      <c r="O8009" s="370" cm="1">
        <f t="array" ref="O8009">+_xlfn.SWITCH(MONTH(C8009),1,1,2,1,3,1,4,2,5,2,6,3,7,3,8,3,9,3,10,2,11,2,12,1,2)</f>
        <v>1</v>
      </c>
      <c r="P8009" s="43"/>
    </row>
    <row r="8010" spans="1:16" ht="18" x14ac:dyDescent="0.35">
      <c r="A8010" s="9"/>
      <c r="C8010" s="393"/>
      <c r="E8010" s="394"/>
      <c r="F8010" s="394"/>
      <c r="G8010" s="394"/>
      <c r="I8010" s="368">
        <f t="shared" si="378"/>
        <v>0</v>
      </c>
      <c r="J8010" s="365">
        <f t="shared" si="379"/>
        <v>0</v>
      </c>
      <c r="K8010" s="369">
        <f t="shared" si="380"/>
        <v>6</v>
      </c>
      <c r="L8010" s="369">
        <f>+IF((C8010&gt;='Resultats - informe'!$E$16)*(C8010&lt;='Resultats - informe'!$G$16),1,0)</f>
        <v>1</v>
      </c>
      <c r="M8010" s="369" cm="1">
        <f t="array" ref="M8010">+_xlfn.IFS((C8010&gt;='Resultats - informe'!$D$26)*(C8010&lt;='Resultats - informe'!$E$26),0,(C8010&gt;='Resultats - informe'!$D$27)*(C8010&lt;='Resultats - informe'!$E$27),0,(C8010&gt;='Resultats - informe'!$D$28)*(C8010&lt;='Resultats - informe'!$E$28),0,(C8010&gt;='Resultats - informe'!$D$29)*(C8010&lt;='Resultats - informe'!$E$29),0,1,1)</f>
        <v>0</v>
      </c>
      <c r="N8010" s="366">
        <f>+VLOOKUP(D8010,'Resultats - informe'!$Y$18:$AG$42,'Introducció dades consum'!K8010+1,0)</f>
        <v>0</v>
      </c>
      <c r="O8010" s="370" cm="1">
        <f t="array" ref="O8010">+_xlfn.SWITCH(MONTH(C8010),1,1,2,1,3,1,4,2,5,2,6,3,7,3,8,3,9,3,10,2,11,2,12,1,2)</f>
        <v>1</v>
      </c>
      <c r="P8010" s="43"/>
    </row>
    <row r="8011" spans="1:16" ht="18" x14ac:dyDescent="0.35">
      <c r="A8011" s="9"/>
      <c r="C8011" s="393"/>
      <c r="E8011" s="394"/>
      <c r="F8011" s="394"/>
      <c r="G8011" s="394"/>
      <c r="I8011" s="368">
        <f t="shared" si="378"/>
        <v>0</v>
      </c>
      <c r="J8011" s="365">
        <f t="shared" si="379"/>
        <v>0</v>
      </c>
      <c r="K8011" s="369">
        <f t="shared" si="380"/>
        <v>6</v>
      </c>
      <c r="L8011" s="369">
        <f>+IF((C8011&gt;='Resultats - informe'!$E$16)*(C8011&lt;='Resultats - informe'!$G$16),1,0)</f>
        <v>1</v>
      </c>
      <c r="M8011" s="369" cm="1">
        <f t="array" ref="M8011">+_xlfn.IFS((C8011&gt;='Resultats - informe'!$D$26)*(C8011&lt;='Resultats - informe'!$E$26),0,(C8011&gt;='Resultats - informe'!$D$27)*(C8011&lt;='Resultats - informe'!$E$27),0,(C8011&gt;='Resultats - informe'!$D$28)*(C8011&lt;='Resultats - informe'!$E$28),0,(C8011&gt;='Resultats - informe'!$D$29)*(C8011&lt;='Resultats - informe'!$E$29),0,1,1)</f>
        <v>0</v>
      </c>
      <c r="N8011" s="366">
        <f>+VLOOKUP(D8011,'Resultats - informe'!$Y$18:$AG$42,'Introducció dades consum'!K8011+1,0)</f>
        <v>0</v>
      </c>
      <c r="O8011" s="370" cm="1">
        <f t="array" ref="O8011">+_xlfn.SWITCH(MONTH(C8011),1,1,2,1,3,1,4,2,5,2,6,3,7,3,8,3,9,3,10,2,11,2,12,1,2)</f>
        <v>1</v>
      </c>
      <c r="P8011" s="43"/>
    </row>
    <row r="8012" spans="1:16" ht="18" x14ac:dyDescent="0.35">
      <c r="A8012" s="9"/>
      <c r="C8012" s="393"/>
      <c r="E8012" s="394"/>
      <c r="F8012" s="394"/>
      <c r="G8012" s="394"/>
      <c r="I8012" s="368">
        <f t="shared" si="378"/>
        <v>0</v>
      </c>
      <c r="J8012" s="365">
        <f t="shared" si="379"/>
        <v>0</v>
      </c>
      <c r="K8012" s="369">
        <f t="shared" si="380"/>
        <v>6</v>
      </c>
      <c r="L8012" s="369">
        <f>+IF((C8012&gt;='Resultats - informe'!$E$16)*(C8012&lt;='Resultats - informe'!$G$16),1,0)</f>
        <v>1</v>
      </c>
      <c r="M8012" s="369" cm="1">
        <f t="array" ref="M8012">+_xlfn.IFS((C8012&gt;='Resultats - informe'!$D$26)*(C8012&lt;='Resultats - informe'!$E$26),0,(C8012&gt;='Resultats - informe'!$D$27)*(C8012&lt;='Resultats - informe'!$E$27),0,(C8012&gt;='Resultats - informe'!$D$28)*(C8012&lt;='Resultats - informe'!$E$28),0,(C8012&gt;='Resultats - informe'!$D$29)*(C8012&lt;='Resultats - informe'!$E$29),0,1,1)</f>
        <v>0</v>
      </c>
      <c r="N8012" s="366">
        <f>+VLOOKUP(D8012,'Resultats - informe'!$Y$18:$AG$42,'Introducció dades consum'!K8012+1,0)</f>
        <v>0</v>
      </c>
      <c r="O8012" s="370" cm="1">
        <f t="array" ref="O8012">+_xlfn.SWITCH(MONTH(C8012),1,1,2,1,3,1,4,2,5,2,6,3,7,3,8,3,9,3,10,2,11,2,12,1,2)</f>
        <v>1</v>
      </c>
      <c r="P8012" s="43"/>
    </row>
    <row r="8013" spans="1:16" ht="18" x14ac:dyDescent="0.35">
      <c r="A8013" s="9"/>
      <c r="C8013" s="393"/>
      <c r="E8013" s="394"/>
      <c r="F8013" s="394"/>
      <c r="G8013" s="394"/>
      <c r="I8013" s="368">
        <f t="shared" si="378"/>
        <v>0</v>
      </c>
      <c r="J8013" s="365">
        <f t="shared" si="379"/>
        <v>0</v>
      </c>
      <c r="K8013" s="369">
        <f t="shared" si="380"/>
        <v>6</v>
      </c>
      <c r="L8013" s="369">
        <f>+IF((C8013&gt;='Resultats - informe'!$E$16)*(C8013&lt;='Resultats - informe'!$G$16),1,0)</f>
        <v>1</v>
      </c>
      <c r="M8013" s="369" cm="1">
        <f t="array" ref="M8013">+_xlfn.IFS((C8013&gt;='Resultats - informe'!$D$26)*(C8013&lt;='Resultats - informe'!$E$26),0,(C8013&gt;='Resultats - informe'!$D$27)*(C8013&lt;='Resultats - informe'!$E$27),0,(C8013&gt;='Resultats - informe'!$D$28)*(C8013&lt;='Resultats - informe'!$E$28),0,(C8013&gt;='Resultats - informe'!$D$29)*(C8013&lt;='Resultats - informe'!$E$29),0,1,1)</f>
        <v>0</v>
      </c>
      <c r="N8013" s="366">
        <f>+VLOOKUP(D8013,'Resultats - informe'!$Y$18:$AG$42,'Introducció dades consum'!K8013+1,0)</f>
        <v>0</v>
      </c>
      <c r="O8013" s="370" cm="1">
        <f t="array" ref="O8013">+_xlfn.SWITCH(MONTH(C8013),1,1,2,1,3,1,4,2,5,2,6,3,7,3,8,3,9,3,10,2,11,2,12,1,2)</f>
        <v>1</v>
      </c>
      <c r="P8013" s="43"/>
    </row>
    <row r="8014" spans="1:16" ht="18" x14ac:dyDescent="0.35">
      <c r="A8014" s="9"/>
      <c r="C8014" s="393"/>
      <c r="E8014" s="394"/>
      <c r="F8014" s="394"/>
      <c r="G8014" s="394"/>
      <c r="I8014" s="368">
        <f t="shared" si="378"/>
        <v>0</v>
      </c>
      <c r="J8014" s="365">
        <f t="shared" si="379"/>
        <v>0</v>
      </c>
      <c r="K8014" s="369">
        <f t="shared" si="380"/>
        <v>6</v>
      </c>
      <c r="L8014" s="369">
        <f>+IF((C8014&gt;='Resultats - informe'!$E$16)*(C8014&lt;='Resultats - informe'!$G$16),1,0)</f>
        <v>1</v>
      </c>
      <c r="M8014" s="369" cm="1">
        <f t="array" ref="M8014">+_xlfn.IFS((C8014&gt;='Resultats - informe'!$D$26)*(C8014&lt;='Resultats - informe'!$E$26),0,(C8014&gt;='Resultats - informe'!$D$27)*(C8014&lt;='Resultats - informe'!$E$27),0,(C8014&gt;='Resultats - informe'!$D$28)*(C8014&lt;='Resultats - informe'!$E$28),0,(C8014&gt;='Resultats - informe'!$D$29)*(C8014&lt;='Resultats - informe'!$E$29),0,1,1)</f>
        <v>0</v>
      </c>
      <c r="N8014" s="366">
        <f>+VLOOKUP(D8014,'Resultats - informe'!$Y$18:$AG$42,'Introducció dades consum'!K8014+1,0)</f>
        <v>0</v>
      </c>
      <c r="O8014" s="370" cm="1">
        <f t="array" ref="O8014">+_xlfn.SWITCH(MONTH(C8014),1,1,2,1,3,1,4,2,5,2,6,3,7,3,8,3,9,3,10,2,11,2,12,1,2)</f>
        <v>1</v>
      </c>
      <c r="P8014" s="43"/>
    </row>
    <row r="8015" spans="1:16" ht="18" x14ac:dyDescent="0.35">
      <c r="A8015" s="9"/>
      <c r="C8015" s="393"/>
      <c r="E8015" s="394"/>
      <c r="F8015" s="394"/>
      <c r="G8015" s="394"/>
      <c r="I8015" s="368">
        <f t="shared" si="378"/>
        <v>0</v>
      </c>
      <c r="J8015" s="365">
        <f t="shared" si="379"/>
        <v>0</v>
      </c>
      <c r="K8015" s="369">
        <f t="shared" si="380"/>
        <v>6</v>
      </c>
      <c r="L8015" s="369">
        <f>+IF((C8015&gt;='Resultats - informe'!$E$16)*(C8015&lt;='Resultats - informe'!$G$16),1,0)</f>
        <v>1</v>
      </c>
      <c r="M8015" s="369" cm="1">
        <f t="array" ref="M8015">+_xlfn.IFS((C8015&gt;='Resultats - informe'!$D$26)*(C8015&lt;='Resultats - informe'!$E$26),0,(C8015&gt;='Resultats - informe'!$D$27)*(C8015&lt;='Resultats - informe'!$E$27),0,(C8015&gt;='Resultats - informe'!$D$28)*(C8015&lt;='Resultats - informe'!$E$28),0,(C8015&gt;='Resultats - informe'!$D$29)*(C8015&lt;='Resultats - informe'!$E$29),0,1,1)</f>
        <v>0</v>
      </c>
      <c r="N8015" s="366">
        <f>+VLOOKUP(D8015,'Resultats - informe'!$Y$18:$AG$42,'Introducció dades consum'!K8015+1,0)</f>
        <v>0</v>
      </c>
      <c r="O8015" s="370" cm="1">
        <f t="array" ref="O8015">+_xlfn.SWITCH(MONTH(C8015),1,1,2,1,3,1,4,2,5,2,6,3,7,3,8,3,9,3,10,2,11,2,12,1,2)</f>
        <v>1</v>
      </c>
      <c r="P8015" s="43"/>
    </row>
    <row r="8016" spans="1:16" ht="18" x14ac:dyDescent="0.35">
      <c r="A8016" s="9"/>
      <c r="C8016" s="393"/>
      <c r="E8016" s="394"/>
      <c r="F8016" s="394"/>
      <c r="G8016" s="394"/>
      <c r="I8016" s="368">
        <f t="shared" si="378"/>
        <v>0</v>
      </c>
      <c r="J8016" s="365">
        <f t="shared" si="379"/>
        <v>0</v>
      </c>
      <c r="K8016" s="369">
        <f t="shared" si="380"/>
        <v>6</v>
      </c>
      <c r="L8016" s="369">
        <f>+IF((C8016&gt;='Resultats - informe'!$E$16)*(C8016&lt;='Resultats - informe'!$G$16),1,0)</f>
        <v>1</v>
      </c>
      <c r="M8016" s="369" cm="1">
        <f t="array" ref="M8016">+_xlfn.IFS((C8016&gt;='Resultats - informe'!$D$26)*(C8016&lt;='Resultats - informe'!$E$26),0,(C8016&gt;='Resultats - informe'!$D$27)*(C8016&lt;='Resultats - informe'!$E$27),0,(C8016&gt;='Resultats - informe'!$D$28)*(C8016&lt;='Resultats - informe'!$E$28),0,(C8016&gt;='Resultats - informe'!$D$29)*(C8016&lt;='Resultats - informe'!$E$29),0,1,1)</f>
        <v>0</v>
      </c>
      <c r="N8016" s="366">
        <f>+VLOOKUP(D8016,'Resultats - informe'!$Y$18:$AG$42,'Introducció dades consum'!K8016+1,0)</f>
        <v>0</v>
      </c>
      <c r="O8016" s="370" cm="1">
        <f t="array" ref="O8016">+_xlfn.SWITCH(MONTH(C8016),1,1,2,1,3,1,4,2,5,2,6,3,7,3,8,3,9,3,10,2,11,2,12,1,2)</f>
        <v>1</v>
      </c>
      <c r="P8016" s="43"/>
    </row>
    <row r="8017" spans="1:16" ht="18" x14ac:dyDescent="0.35">
      <c r="A8017" s="9"/>
      <c r="C8017" s="393"/>
      <c r="E8017" s="394"/>
      <c r="F8017" s="394"/>
      <c r="G8017" s="394"/>
      <c r="I8017" s="368">
        <f t="shared" si="378"/>
        <v>0</v>
      </c>
      <c r="J8017" s="365">
        <f t="shared" si="379"/>
        <v>0</v>
      </c>
      <c r="K8017" s="369">
        <f t="shared" si="380"/>
        <v>6</v>
      </c>
      <c r="L8017" s="369">
        <f>+IF((C8017&gt;='Resultats - informe'!$E$16)*(C8017&lt;='Resultats - informe'!$G$16),1,0)</f>
        <v>1</v>
      </c>
      <c r="M8017" s="369" cm="1">
        <f t="array" ref="M8017">+_xlfn.IFS((C8017&gt;='Resultats - informe'!$D$26)*(C8017&lt;='Resultats - informe'!$E$26),0,(C8017&gt;='Resultats - informe'!$D$27)*(C8017&lt;='Resultats - informe'!$E$27),0,(C8017&gt;='Resultats - informe'!$D$28)*(C8017&lt;='Resultats - informe'!$E$28),0,(C8017&gt;='Resultats - informe'!$D$29)*(C8017&lt;='Resultats - informe'!$E$29),0,1,1)</f>
        <v>0</v>
      </c>
      <c r="N8017" s="366">
        <f>+VLOOKUP(D8017,'Resultats - informe'!$Y$18:$AG$42,'Introducció dades consum'!K8017+1,0)</f>
        <v>0</v>
      </c>
      <c r="O8017" s="370" cm="1">
        <f t="array" ref="O8017">+_xlfn.SWITCH(MONTH(C8017),1,1,2,1,3,1,4,2,5,2,6,3,7,3,8,3,9,3,10,2,11,2,12,1,2)</f>
        <v>1</v>
      </c>
      <c r="P8017" s="43"/>
    </row>
    <row r="8018" spans="1:16" ht="18" x14ac:dyDescent="0.35">
      <c r="A8018" s="9"/>
      <c r="C8018" s="393"/>
      <c r="E8018" s="394"/>
      <c r="F8018" s="394"/>
      <c r="G8018" s="394"/>
      <c r="I8018" s="368">
        <f t="shared" ref="I8018:I8081" si="381">+E8018+G8018</f>
        <v>0</v>
      </c>
      <c r="J8018" s="365">
        <f t="shared" ref="J8018:J8081" si="382">+C8018</f>
        <v>0</v>
      </c>
      <c r="K8018" s="369">
        <f t="shared" ref="K8018:K8081" si="383">+WEEKDAY(C8018,2)</f>
        <v>6</v>
      </c>
      <c r="L8018" s="369">
        <f>+IF((C8018&gt;='Resultats - informe'!$E$16)*(C8018&lt;='Resultats - informe'!$G$16),1,0)</f>
        <v>1</v>
      </c>
      <c r="M8018" s="369" cm="1">
        <f t="array" ref="M8018">+_xlfn.IFS((C8018&gt;='Resultats - informe'!$D$26)*(C8018&lt;='Resultats - informe'!$E$26),0,(C8018&gt;='Resultats - informe'!$D$27)*(C8018&lt;='Resultats - informe'!$E$27),0,(C8018&gt;='Resultats - informe'!$D$28)*(C8018&lt;='Resultats - informe'!$E$28),0,(C8018&gt;='Resultats - informe'!$D$29)*(C8018&lt;='Resultats - informe'!$E$29),0,1,1)</f>
        <v>0</v>
      </c>
      <c r="N8018" s="366">
        <f>+VLOOKUP(D8018,'Resultats - informe'!$Y$18:$AG$42,'Introducció dades consum'!K8018+1,0)</f>
        <v>0</v>
      </c>
      <c r="O8018" s="370" cm="1">
        <f t="array" ref="O8018">+_xlfn.SWITCH(MONTH(C8018),1,1,2,1,3,1,4,2,5,2,6,3,7,3,8,3,9,3,10,2,11,2,12,1,2)</f>
        <v>1</v>
      </c>
      <c r="P8018" s="43"/>
    </row>
    <row r="8019" spans="1:16" ht="18" x14ac:dyDescent="0.35">
      <c r="A8019" s="9"/>
      <c r="C8019" s="393"/>
      <c r="E8019" s="394"/>
      <c r="F8019" s="394"/>
      <c r="G8019" s="394"/>
      <c r="I8019" s="368">
        <f t="shared" si="381"/>
        <v>0</v>
      </c>
      <c r="J8019" s="365">
        <f t="shared" si="382"/>
        <v>0</v>
      </c>
      <c r="K8019" s="369">
        <f t="shared" si="383"/>
        <v>6</v>
      </c>
      <c r="L8019" s="369">
        <f>+IF((C8019&gt;='Resultats - informe'!$E$16)*(C8019&lt;='Resultats - informe'!$G$16),1,0)</f>
        <v>1</v>
      </c>
      <c r="M8019" s="369" cm="1">
        <f t="array" ref="M8019">+_xlfn.IFS((C8019&gt;='Resultats - informe'!$D$26)*(C8019&lt;='Resultats - informe'!$E$26),0,(C8019&gt;='Resultats - informe'!$D$27)*(C8019&lt;='Resultats - informe'!$E$27),0,(C8019&gt;='Resultats - informe'!$D$28)*(C8019&lt;='Resultats - informe'!$E$28),0,(C8019&gt;='Resultats - informe'!$D$29)*(C8019&lt;='Resultats - informe'!$E$29),0,1,1)</f>
        <v>0</v>
      </c>
      <c r="N8019" s="366">
        <f>+VLOOKUP(D8019,'Resultats - informe'!$Y$18:$AG$42,'Introducció dades consum'!K8019+1,0)</f>
        <v>0</v>
      </c>
      <c r="O8019" s="370" cm="1">
        <f t="array" ref="O8019">+_xlfn.SWITCH(MONTH(C8019),1,1,2,1,3,1,4,2,5,2,6,3,7,3,8,3,9,3,10,2,11,2,12,1,2)</f>
        <v>1</v>
      </c>
      <c r="P8019" s="43"/>
    </row>
    <row r="8020" spans="1:16" ht="18" x14ac:dyDescent="0.35">
      <c r="A8020" s="9"/>
      <c r="C8020" s="393"/>
      <c r="E8020" s="394"/>
      <c r="F8020" s="394"/>
      <c r="G8020" s="394"/>
      <c r="I8020" s="368">
        <f t="shared" si="381"/>
        <v>0</v>
      </c>
      <c r="J8020" s="365">
        <f t="shared" si="382"/>
        <v>0</v>
      </c>
      <c r="K8020" s="369">
        <f t="shared" si="383"/>
        <v>6</v>
      </c>
      <c r="L8020" s="369">
        <f>+IF((C8020&gt;='Resultats - informe'!$E$16)*(C8020&lt;='Resultats - informe'!$G$16),1,0)</f>
        <v>1</v>
      </c>
      <c r="M8020" s="369" cm="1">
        <f t="array" ref="M8020">+_xlfn.IFS((C8020&gt;='Resultats - informe'!$D$26)*(C8020&lt;='Resultats - informe'!$E$26),0,(C8020&gt;='Resultats - informe'!$D$27)*(C8020&lt;='Resultats - informe'!$E$27),0,(C8020&gt;='Resultats - informe'!$D$28)*(C8020&lt;='Resultats - informe'!$E$28),0,(C8020&gt;='Resultats - informe'!$D$29)*(C8020&lt;='Resultats - informe'!$E$29),0,1,1)</f>
        <v>0</v>
      </c>
      <c r="N8020" s="366">
        <f>+VLOOKUP(D8020,'Resultats - informe'!$Y$18:$AG$42,'Introducció dades consum'!K8020+1,0)</f>
        <v>0</v>
      </c>
      <c r="O8020" s="370" cm="1">
        <f t="array" ref="O8020">+_xlfn.SWITCH(MONTH(C8020),1,1,2,1,3,1,4,2,5,2,6,3,7,3,8,3,9,3,10,2,11,2,12,1,2)</f>
        <v>1</v>
      </c>
      <c r="P8020" s="43"/>
    </row>
    <row r="8021" spans="1:16" ht="18" x14ac:dyDescent="0.35">
      <c r="A8021" s="9"/>
      <c r="C8021" s="393"/>
      <c r="E8021" s="394"/>
      <c r="F8021" s="394"/>
      <c r="G8021" s="394"/>
      <c r="I8021" s="368">
        <f t="shared" si="381"/>
        <v>0</v>
      </c>
      <c r="J8021" s="365">
        <f t="shared" si="382"/>
        <v>0</v>
      </c>
      <c r="K8021" s="369">
        <f t="shared" si="383"/>
        <v>6</v>
      </c>
      <c r="L8021" s="369">
        <f>+IF((C8021&gt;='Resultats - informe'!$E$16)*(C8021&lt;='Resultats - informe'!$G$16),1,0)</f>
        <v>1</v>
      </c>
      <c r="M8021" s="369" cm="1">
        <f t="array" ref="M8021">+_xlfn.IFS((C8021&gt;='Resultats - informe'!$D$26)*(C8021&lt;='Resultats - informe'!$E$26),0,(C8021&gt;='Resultats - informe'!$D$27)*(C8021&lt;='Resultats - informe'!$E$27),0,(C8021&gt;='Resultats - informe'!$D$28)*(C8021&lt;='Resultats - informe'!$E$28),0,(C8021&gt;='Resultats - informe'!$D$29)*(C8021&lt;='Resultats - informe'!$E$29),0,1,1)</f>
        <v>0</v>
      </c>
      <c r="N8021" s="366">
        <f>+VLOOKUP(D8021,'Resultats - informe'!$Y$18:$AG$42,'Introducció dades consum'!K8021+1,0)</f>
        <v>0</v>
      </c>
      <c r="O8021" s="370" cm="1">
        <f t="array" ref="O8021">+_xlfn.SWITCH(MONTH(C8021),1,1,2,1,3,1,4,2,5,2,6,3,7,3,8,3,9,3,10,2,11,2,12,1,2)</f>
        <v>1</v>
      </c>
      <c r="P8021" s="43"/>
    </row>
    <row r="8022" spans="1:16" ht="18" x14ac:dyDescent="0.35">
      <c r="A8022" s="9"/>
      <c r="C8022" s="393"/>
      <c r="E8022" s="394"/>
      <c r="F8022" s="394"/>
      <c r="G8022" s="394"/>
      <c r="I8022" s="368">
        <f t="shared" si="381"/>
        <v>0</v>
      </c>
      <c r="J8022" s="365">
        <f t="shared" si="382"/>
        <v>0</v>
      </c>
      <c r="K8022" s="369">
        <f t="shared" si="383"/>
        <v>6</v>
      </c>
      <c r="L8022" s="369">
        <f>+IF((C8022&gt;='Resultats - informe'!$E$16)*(C8022&lt;='Resultats - informe'!$G$16),1,0)</f>
        <v>1</v>
      </c>
      <c r="M8022" s="369" cm="1">
        <f t="array" ref="M8022">+_xlfn.IFS((C8022&gt;='Resultats - informe'!$D$26)*(C8022&lt;='Resultats - informe'!$E$26),0,(C8022&gt;='Resultats - informe'!$D$27)*(C8022&lt;='Resultats - informe'!$E$27),0,(C8022&gt;='Resultats - informe'!$D$28)*(C8022&lt;='Resultats - informe'!$E$28),0,(C8022&gt;='Resultats - informe'!$D$29)*(C8022&lt;='Resultats - informe'!$E$29),0,1,1)</f>
        <v>0</v>
      </c>
      <c r="N8022" s="366">
        <f>+VLOOKUP(D8022,'Resultats - informe'!$Y$18:$AG$42,'Introducció dades consum'!K8022+1,0)</f>
        <v>0</v>
      </c>
      <c r="O8022" s="370" cm="1">
        <f t="array" ref="O8022">+_xlfn.SWITCH(MONTH(C8022),1,1,2,1,3,1,4,2,5,2,6,3,7,3,8,3,9,3,10,2,11,2,12,1,2)</f>
        <v>1</v>
      </c>
      <c r="P8022" s="43"/>
    </row>
    <row r="8023" spans="1:16" ht="18" x14ac:dyDescent="0.35">
      <c r="A8023" s="9"/>
      <c r="C8023" s="393"/>
      <c r="E8023" s="394"/>
      <c r="F8023" s="394"/>
      <c r="G8023" s="394"/>
      <c r="I8023" s="368">
        <f t="shared" si="381"/>
        <v>0</v>
      </c>
      <c r="J8023" s="365">
        <f t="shared" si="382"/>
        <v>0</v>
      </c>
      <c r="K8023" s="369">
        <f t="shared" si="383"/>
        <v>6</v>
      </c>
      <c r="L8023" s="369">
        <f>+IF((C8023&gt;='Resultats - informe'!$E$16)*(C8023&lt;='Resultats - informe'!$G$16),1,0)</f>
        <v>1</v>
      </c>
      <c r="M8023" s="369" cm="1">
        <f t="array" ref="M8023">+_xlfn.IFS((C8023&gt;='Resultats - informe'!$D$26)*(C8023&lt;='Resultats - informe'!$E$26),0,(C8023&gt;='Resultats - informe'!$D$27)*(C8023&lt;='Resultats - informe'!$E$27),0,(C8023&gt;='Resultats - informe'!$D$28)*(C8023&lt;='Resultats - informe'!$E$28),0,(C8023&gt;='Resultats - informe'!$D$29)*(C8023&lt;='Resultats - informe'!$E$29),0,1,1)</f>
        <v>0</v>
      </c>
      <c r="N8023" s="366">
        <f>+VLOOKUP(D8023,'Resultats - informe'!$Y$18:$AG$42,'Introducció dades consum'!K8023+1,0)</f>
        <v>0</v>
      </c>
      <c r="O8023" s="370" cm="1">
        <f t="array" ref="O8023">+_xlfn.SWITCH(MONTH(C8023),1,1,2,1,3,1,4,2,5,2,6,3,7,3,8,3,9,3,10,2,11,2,12,1,2)</f>
        <v>1</v>
      </c>
      <c r="P8023" s="43"/>
    </row>
    <row r="8024" spans="1:16" ht="18" x14ac:dyDescent="0.35">
      <c r="A8024" s="9"/>
      <c r="C8024" s="393"/>
      <c r="E8024" s="394"/>
      <c r="F8024" s="394"/>
      <c r="G8024" s="394"/>
      <c r="I8024" s="368">
        <f t="shared" si="381"/>
        <v>0</v>
      </c>
      <c r="J8024" s="365">
        <f t="shared" si="382"/>
        <v>0</v>
      </c>
      <c r="K8024" s="369">
        <f t="shared" si="383"/>
        <v>6</v>
      </c>
      <c r="L8024" s="369">
        <f>+IF((C8024&gt;='Resultats - informe'!$E$16)*(C8024&lt;='Resultats - informe'!$G$16),1,0)</f>
        <v>1</v>
      </c>
      <c r="M8024" s="369" cm="1">
        <f t="array" ref="M8024">+_xlfn.IFS((C8024&gt;='Resultats - informe'!$D$26)*(C8024&lt;='Resultats - informe'!$E$26),0,(C8024&gt;='Resultats - informe'!$D$27)*(C8024&lt;='Resultats - informe'!$E$27),0,(C8024&gt;='Resultats - informe'!$D$28)*(C8024&lt;='Resultats - informe'!$E$28),0,(C8024&gt;='Resultats - informe'!$D$29)*(C8024&lt;='Resultats - informe'!$E$29),0,1,1)</f>
        <v>0</v>
      </c>
      <c r="N8024" s="366">
        <f>+VLOOKUP(D8024,'Resultats - informe'!$Y$18:$AG$42,'Introducció dades consum'!K8024+1,0)</f>
        <v>0</v>
      </c>
      <c r="O8024" s="370" cm="1">
        <f t="array" ref="O8024">+_xlfn.SWITCH(MONTH(C8024),1,1,2,1,3,1,4,2,5,2,6,3,7,3,8,3,9,3,10,2,11,2,12,1,2)</f>
        <v>1</v>
      </c>
      <c r="P8024" s="43"/>
    </row>
    <row r="8025" spans="1:16" ht="18" x14ac:dyDescent="0.35">
      <c r="A8025" s="9"/>
      <c r="C8025" s="393"/>
      <c r="E8025" s="394"/>
      <c r="F8025" s="394"/>
      <c r="G8025" s="394"/>
      <c r="I8025" s="368">
        <f t="shared" si="381"/>
        <v>0</v>
      </c>
      <c r="J8025" s="365">
        <f t="shared" si="382"/>
        <v>0</v>
      </c>
      <c r="K8025" s="369">
        <f t="shared" si="383"/>
        <v>6</v>
      </c>
      <c r="L8025" s="369">
        <f>+IF((C8025&gt;='Resultats - informe'!$E$16)*(C8025&lt;='Resultats - informe'!$G$16),1,0)</f>
        <v>1</v>
      </c>
      <c r="M8025" s="369" cm="1">
        <f t="array" ref="M8025">+_xlfn.IFS((C8025&gt;='Resultats - informe'!$D$26)*(C8025&lt;='Resultats - informe'!$E$26),0,(C8025&gt;='Resultats - informe'!$D$27)*(C8025&lt;='Resultats - informe'!$E$27),0,(C8025&gt;='Resultats - informe'!$D$28)*(C8025&lt;='Resultats - informe'!$E$28),0,(C8025&gt;='Resultats - informe'!$D$29)*(C8025&lt;='Resultats - informe'!$E$29),0,1,1)</f>
        <v>0</v>
      </c>
      <c r="N8025" s="366">
        <f>+VLOOKUP(D8025,'Resultats - informe'!$Y$18:$AG$42,'Introducció dades consum'!K8025+1,0)</f>
        <v>0</v>
      </c>
      <c r="O8025" s="370" cm="1">
        <f t="array" ref="O8025">+_xlfn.SWITCH(MONTH(C8025),1,1,2,1,3,1,4,2,5,2,6,3,7,3,8,3,9,3,10,2,11,2,12,1,2)</f>
        <v>1</v>
      </c>
      <c r="P8025" s="43"/>
    </row>
    <row r="8026" spans="1:16" ht="18" x14ac:dyDescent="0.35">
      <c r="A8026" s="9"/>
      <c r="C8026" s="393"/>
      <c r="E8026" s="394"/>
      <c r="F8026" s="394"/>
      <c r="G8026" s="394"/>
      <c r="I8026" s="368">
        <f t="shared" si="381"/>
        <v>0</v>
      </c>
      <c r="J8026" s="365">
        <f t="shared" si="382"/>
        <v>0</v>
      </c>
      <c r="K8026" s="369">
        <f t="shared" si="383"/>
        <v>6</v>
      </c>
      <c r="L8026" s="369">
        <f>+IF((C8026&gt;='Resultats - informe'!$E$16)*(C8026&lt;='Resultats - informe'!$G$16),1,0)</f>
        <v>1</v>
      </c>
      <c r="M8026" s="369" cm="1">
        <f t="array" ref="M8026">+_xlfn.IFS((C8026&gt;='Resultats - informe'!$D$26)*(C8026&lt;='Resultats - informe'!$E$26),0,(C8026&gt;='Resultats - informe'!$D$27)*(C8026&lt;='Resultats - informe'!$E$27),0,(C8026&gt;='Resultats - informe'!$D$28)*(C8026&lt;='Resultats - informe'!$E$28),0,(C8026&gt;='Resultats - informe'!$D$29)*(C8026&lt;='Resultats - informe'!$E$29),0,1,1)</f>
        <v>0</v>
      </c>
      <c r="N8026" s="366">
        <f>+VLOOKUP(D8026,'Resultats - informe'!$Y$18:$AG$42,'Introducció dades consum'!K8026+1,0)</f>
        <v>0</v>
      </c>
      <c r="O8026" s="370" cm="1">
        <f t="array" ref="O8026">+_xlfn.SWITCH(MONTH(C8026),1,1,2,1,3,1,4,2,5,2,6,3,7,3,8,3,9,3,10,2,11,2,12,1,2)</f>
        <v>1</v>
      </c>
      <c r="P8026" s="43"/>
    </row>
    <row r="8027" spans="1:16" ht="18" x14ac:dyDescent="0.35">
      <c r="A8027" s="9"/>
      <c r="C8027" s="393"/>
      <c r="E8027" s="394"/>
      <c r="F8027" s="394"/>
      <c r="G8027" s="394"/>
      <c r="I8027" s="368">
        <f t="shared" si="381"/>
        <v>0</v>
      </c>
      <c r="J8027" s="365">
        <f t="shared" si="382"/>
        <v>0</v>
      </c>
      <c r="K8027" s="369">
        <f t="shared" si="383"/>
        <v>6</v>
      </c>
      <c r="L8027" s="369">
        <f>+IF((C8027&gt;='Resultats - informe'!$E$16)*(C8027&lt;='Resultats - informe'!$G$16),1,0)</f>
        <v>1</v>
      </c>
      <c r="M8027" s="369" cm="1">
        <f t="array" ref="M8027">+_xlfn.IFS((C8027&gt;='Resultats - informe'!$D$26)*(C8027&lt;='Resultats - informe'!$E$26),0,(C8027&gt;='Resultats - informe'!$D$27)*(C8027&lt;='Resultats - informe'!$E$27),0,(C8027&gt;='Resultats - informe'!$D$28)*(C8027&lt;='Resultats - informe'!$E$28),0,(C8027&gt;='Resultats - informe'!$D$29)*(C8027&lt;='Resultats - informe'!$E$29),0,1,1)</f>
        <v>0</v>
      </c>
      <c r="N8027" s="366">
        <f>+VLOOKUP(D8027,'Resultats - informe'!$Y$18:$AG$42,'Introducció dades consum'!K8027+1,0)</f>
        <v>0</v>
      </c>
      <c r="O8027" s="370" cm="1">
        <f t="array" ref="O8027">+_xlfn.SWITCH(MONTH(C8027),1,1,2,1,3,1,4,2,5,2,6,3,7,3,8,3,9,3,10,2,11,2,12,1,2)</f>
        <v>1</v>
      </c>
      <c r="P8027" s="43"/>
    </row>
    <row r="8028" spans="1:16" ht="18" x14ac:dyDescent="0.35">
      <c r="A8028" s="9"/>
      <c r="C8028" s="393"/>
      <c r="E8028" s="394"/>
      <c r="F8028" s="394"/>
      <c r="G8028" s="394"/>
      <c r="I8028" s="368">
        <f t="shared" si="381"/>
        <v>0</v>
      </c>
      <c r="J8028" s="365">
        <f t="shared" si="382"/>
        <v>0</v>
      </c>
      <c r="K8028" s="369">
        <f t="shared" si="383"/>
        <v>6</v>
      </c>
      <c r="L8028" s="369">
        <f>+IF((C8028&gt;='Resultats - informe'!$E$16)*(C8028&lt;='Resultats - informe'!$G$16),1,0)</f>
        <v>1</v>
      </c>
      <c r="M8028" s="369" cm="1">
        <f t="array" ref="M8028">+_xlfn.IFS((C8028&gt;='Resultats - informe'!$D$26)*(C8028&lt;='Resultats - informe'!$E$26),0,(C8028&gt;='Resultats - informe'!$D$27)*(C8028&lt;='Resultats - informe'!$E$27),0,(C8028&gt;='Resultats - informe'!$D$28)*(C8028&lt;='Resultats - informe'!$E$28),0,(C8028&gt;='Resultats - informe'!$D$29)*(C8028&lt;='Resultats - informe'!$E$29),0,1,1)</f>
        <v>0</v>
      </c>
      <c r="N8028" s="366">
        <f>+VLOOKUP(D8028,'Resultats - informe'!$Y$18:$AG$42,'Introducció dades consum'!K8028+1,0)</f>
        <v>0</v>
      </c>
      <c r="O8028" s="370" cm="1">
        <f t="array" ref="O8028">+_xlfn.SWITCH(MONTH(C8028),1,1,2,1,3,1,4,2,5,2,6,3,7,3,8,3,9,3,10,2,11,2,12,1,2)</f>
        <v>1</v>
      </c>
      <c r="P8028" s="43"/>
    </row>
    <row r="8029" spans="1:16" ht="18" x14ac:dyDescent="0.35">
      <c r="A8029" s="9"/>
      <c r="C8029" s="393"/>
      <c r="E8029" s="394"/>
      <c r="F8029" s="394"/>
      <c r="G8029" s="394"/>
      <c r="I8029" s="368">
        <f t="shared" si="381"/>
        <v>0</v>
      </c>
      <c r="J8029" s="365">
        <f t="shared" si="382"/>
        <v>0</v>
      </c>
      <c r="K8029" s="369">
        <f t="shared" si="383"/>
        <v>6</v>
      </c>
      <c r="L8029" s="369">
        <f>+IF((C8029&gt;='Resultats - informe'!$E$16)*(C8029&lt;='Resultats - informe'!$G$16),1,0)</f>
        <v>1</v>
      </c>
      <c r="M8029" s="369" cm="1">
        <f t="array" ref="M8029">+_xlfn.IFS((C8029&gt;='Resultats - informe'!$D$26)*(C8029&lt;='Resultats - informe'!$E$26),0,(C8029&gt;='Resultats - informe'!$D$27)*(C8029&lt;='Resultats - informe'!$E$27),0,(C8029&gt;='Resultats - informe'!$D$28)*(C8029&lt;='Resultats - informe'!$E$28),0,(C8029&gt;='Resultats - informe'!$D$29)*(C8029&lt;='Resultats - informe'!$E$29),0,1,1)</f>
        <v>0</v>
      </c>
      <c r="N8029" s="366">
        <f>+VLOOKUP(D8029,'Resultats - informe'!$Y$18:$AG$42,'Introducció dades consum'!K8029+1,0)</f>
        <v>0</v>
      </c>
      <c r="O8029" s="370" cm="1">
        <f t="array" ref="O8029">+_xlfn.SWITCH(MONTH(C8029),1,1,2,1,3,1,4,2,5,2,6,3,7,3,8,3,9,3,10,2,11,2,12,1,2)</f>
        <v>1</v>
      </c>
      <c r="P8029" s="43"/>
    </row>
    <row r="8030" spans="1:16" ht="18" x14ac:dyDescent="0.35">
      <c r="A8030" s="9"/>
      <c r="C8030" s="393"/>
      <c r="E8030" s="394"/>
      <c r="F8030" s="394"/>
      <c r="G8030" s="394"/>
      <c r="I8030" s="368">
        <f t="shared" si="381"/>
        <v>0</v>
      </c>
      <c r="J8030" s="365">
        <f t="shared" si="382"/>
        <v>0</v>
      </c>
      <c r="K8030" s="369">
        <f t="shared" si="383"/>
        <v>6</v>
      </c>
      <c r="L8030" s="369">
        <f>+IF((C8030&gt;='Resultats - informe'!$E$16)*(C8030&lt;='Resultats - informe'!$G$16),1,0)</f>
        <v>1</v>
      </c>
      <c r="M8030" s="369" cm="1">
        <f t="array" ref="M8030">+_xlfn.IFS((C8030&gt;='Resultats - informe'!$D$26)*(C8030&lt;='Resultats - informe'!$E$26),0,(C8030&gt;='Resultats - informe'!$D$27)*(C8030&lt;='Resultats - informe'!$E$27),0,(C8030&gt;='Resultats - informe'!$D$28)*(C8030&lt;='Resultats - informe'!$E$28),0,(C8030&gt;='Resultats - informe'!$D$29)*(C8030&lt;='Resultats - informe'!$E$29),0,1,1)</f>
        <v>0</v>
      </c>
      <c r="N8030" s="366">
        <f>+VLOOKUP(D8030,'Resultats - informe'!$Y$18:$AG$42,'Introducció dades consum'!K8030+1,0)</f>
        <v>0</v>
      </c>
      <c r="O8030" s="370" cm="1">
        <f t="array" ref="O8030">+_xlfn.SWITCH(MONTH(C8030),1,1,2,1,3,1,4,2,5,2,6,3,7,3,8,3,9,3,10,2,11,2,12,1,2)</f>
        <v>1</v>
      </c>
      <c r="P8030" s="43"/>
    </row>
    <row r="8031" spans="1:16" ht="18" x14ac:dyDescent="0.35">
      <c r="A8031" s="9"/>
      <c r="C8031" s="393"/>
      <c r="E8031" s="394"/>
      <c r="F8031" s="394"/>
      <c r="G8031" s="394"/>
      <c r="I8031" s="368">
        <f t="shared" si="381"/>
        <v>0</v>
      </c>
      <c r="J8031" s="365">
        <f t="shared" si="382"/>
        <v>0</v>
      </c>
      <c r="K8031" s="369">
        <f t="shared" si="383"/>
        <v>6</v>
      </c>
      <c r="L8031" s="369">
        <f>+IF((C8031&gt;='Resultats - informe'!$E$16)*(C8031&lt;='Resultats - informe'!$G$16),1,0)</f>
        <v>1</v>
      </c>
      <c r="M8031" s="369" cm="1">
        <f t="array" ref="M8031">+_xlfn.IFS((C8031&gt;='Resultats - informe'!$D$26)*(C8031&lt;='Resultats - informe'!$E$26),0,(C8031&gt;='Resultats - informe'!$D$27)*(C8031&lt;='Resultats - informe'!$E$27),0,(C8031&gt;='Resultats - informe'!$D$28)*(C8031&lt;='Resultats - informe'!$E$28),0,(C8031&gt;='Resultats - informe'!$D$29)*(C8031&lt;='Resultats - informe'!$E$29),0,1,1)</f>
        <v>0</v>
      </c>
      <c r="N8031" s="366">
        <f>+VLOOKUP(D8031,'Resultats - informe'!$Y$18:$AG$42,'Introducció dades consum'!K8031+1,0)</f>
        <v>0</v>
      </c>
      <c r="O8031" s="370" cm="1">
        <f t="array" ref="O8031">+_xlfn.SWITCH(MONTH(C8031),1,1,2,1,3,1,4,2,5,2,6,3,7,3,8,3,9,3,10,2,11,2,12,1,2)</f>
        <v>1</v>
      </c>
      <c r="P8031" s="43"/>
    </row>
    <row r="8032" spans="1:16" ht="18" x14ac:dyDescent="0.35">
      <c r="A8032" s="9"/>
      <c r="C8032" s="393"/>
      <c r="E8032" s="394"/>
      <c r="F8032" s="394"/>
      <c r="G8032" s="394"/>
      <c r="I8032" s="368">
        <f t="shared" si="381"/>
        <v>0</v>
      </c>
      <c r="J8032" s="365">
        <f t="shared" si="382"/>
        <v>0</v>
      </c>
      <c r="K8032" s="369">
        <f t="shared" si="383"/>
        <v>6</v>
      </c>
      <c r="L8032" s="369">
        <f>+IF((C8032&gt;='Resultats - informe'!$E$16)*(C8032&lt;='Resultats - informe'!$G$16),1,0)</f>
        <v>1</v>
      </c>
      <c r="M8032" s="369" cm="1">
        <f t="array" ref="M8032">+_xlfn.IFS((C8032&gt;='Resultats - informe'!$D$26)*(C8032&lt;='Resultats - informe'!$E$26),0,(C8032&gt;='Resultats - informe'!$D$27)*(C8032&lt;='Resultats - informe'!$E$27),0,(C8032&gt;='Resultats - informe'!$D$28)*(C8032&lt;='Resultats - informe'!$E$28),0,(C8032&gt;='Resultats - informe'!$D$29)*(C8032&lt;='Resultats - informe'!$E$29),0,1,1)</f>
        <v>0</v>
      </c>
      <c r="N8032" s="366">
        <f>+VLOOKUP(D8032,'Resultats - informe'!$Y$18:$AG$42,'Introducció dades consum'!K8032+1,0)</f>
        <v>0</v>
      </c>
      <c r="O8032" s="370" cm="1">
        <f t="array" ref="O8032">+_xlfn.SWITCH(MONTH(C8032),1,1,2,1,3,1,4,2,5,2,6,3,7,3,8,3,9,3,10,2,11,2,12,1,2)</f>
        <v>1</v>
      </c>
      <c r="P8032" s="43"/>
    </row>
    <row r="8033" spans="1:16" ht="18" x14ac:dyDescent="0.35">
      <c r="A8033" s="9"/>
      <c r="C8033" s="393"/>
      <c r="E8033" s="394"/>
      <c r="F8033" s="394"/>
      <c r="G8033" s="394"/>
      <c r="I8033" s="368">
        <f t="shared" si="381"/>
        <v>0</v>
      </c>
      <c r="J8033" s="365">
        <f t="shared" si="382"/>
        <v>0</v>
      </c>
      <c r="K8033" s="369">
        <f t="shared" si="383"/>
        <v>6</v>
      </c>
      <c r="L8033" s="369">
        <f>+IF((C8033&gt;='Resultats - informe'!$E$16)*(C8033&lt;='Resultats - informe'!$G$16),1,0)</f>
        <v>1</v>
      </c>
      <c r="M8033" s="369" cm="1">
        <f t="array" ref="M8033">+_xlfn.IFS((C8033&gt;='Resultats - informe'!$D$26)*(C8033&lt;='Resultats - informe'!$E$26),0,(C8033&gt;='Resultats - informe'!$D$27)*(C8033&lt;='Resultats - informe'!$E$27),0,(C8033&gt;='Resultats - informe'!$D$28)*(C8033&lt;='Resultats - informe'!$E$28),0,(C8033&gt;='Resultats - informe'!$D$29)*(C8033&lt;='Resultats - informe'!$E$29),0,1,1)</f>
        <v>0</v>
      </c>
      <c r="N8033" s="366">
        <f>+VLOOKUP(D8033,'Resultats - informe'!$Y$18:$AG$42,'Introducció dades consum'!K8033+1,0)</f>
        <v>0</v>
      </c>
      <c r="O8033" s="370" cm="1">
        <f t="array" ref="O8033">+_xlfn.SWITCH(MONTH(C8033),1,1,2,1,3,1,4,2,5,2,6,3,7,3,8,3,9,3,10,2,11,2,12,1,2)</f>
        <v>1</v>
      </c>
      <c r="P8033" s="43"/>
    </row>
    <row r="8034" spans="1:16" ht="18" x14ac:dyDescent="0.35">
      <c r="A8034" s="9"/>
      <c r="C8034" s="393"/>
      <c r="E8034" s="394"/>
      <c r="F8034" s="394"/>
      <c r="G8034" s="394"/>
      <c r="I8034" s="368">
        <f t="shared" si="381"/>
        <v>0</v>
      </c>
      <c r="J8034" s="365">
        <f t="shared" si="382"/>
        <v>0</v>
      </c>
      <c r="K8034" s="369">
        <f t="shared" si="383"/>
        <v>6</v>
      </c>
      <c r="L8034" s="369">
        <f>+IF((C8034&gt;='Resultats - informe'!$E$16)*(C8034&lt;='Resultats - informe'!$G$16),1,0)</f>
        <v>1</v>
      </c>
      <c r="M8034" s="369" cm="1">
        <f t="array" ref="M8034">+_xlfn.IFS((C8034&gt;='Resultats - informe'!$D$26)*(C8034&lt;='Resultats - informe'!$E$26),0,(C8034&gt;='Resultats - informe'!$D$27)*(C8034&lt;='Resultats - informe'!$E$27),0,(C8034&gt;='Resultats - informe'!$D$28)*(C8034&lt;='Resultats - informe'!$E$28),0,(C8034&gt;='Resultats - informe'!$D$29)*(C8034&lt;='Resultats - informe'!$E$29),0,1,1)</f>
        <v>0</v>
      </c>
      <c r="N8034" s="366">
        <f>+VLOOKUP(D8034,'Resultats - informe'!$Y$18:$AG$42,'Introducció dades consum'!K8034+1,0)</f>
        <v>0</v>
      </c>
      <c r="O8034" s="370" cm="1">
        <f t="array" ref="O8034">+_xlfn.SWITCH(MONTH(C8034),1,1,2,1,3,1,4,2,5,2,6,3,7,3,8,3,9,3,10,2,11,2,12,1,2)</f>
        <v>1</v>
      </c>
      <c r="P8034" s="43"/>
    </row>
    <row r="8035" spans="1:16" ht="18" x14ac:dyDescent="0.35">
      <c r="A8035" s="9"/>
      <c r="C8035" s="393"/>
      <c r="E8035" s="394"/>
      <c r="F8035" s="394"/>
      <c r="G8035" s="394"/>
      <c r="I8035" s="368">
        <f t="shared" si="381"/>
        <v>0</v>
      </c>
      <c r="J8035" s="365">
        <f t="shared" si="382"/>
        <v>0</v>
      </c>
      <c r="K8035" s="369">
        <f t="shared" si="383"/>
        <v>6</v>
      </c>
      <c r="L8035" s="369">
        <f>+IF((C8035&gt;='Resultats - informe'!$E$16)*(C8035&lt;='Resultats - informe'!$G$16),1,0)</f>
        <v>1</v>
      </c>
      <c r="M8035" s="369" cm="1">
        <f t="array" ref="M8035">+_xlfn.IFS((C8035&gt;='Resultats - informe'!$D$26)*(C8035&lt;='Resultats - informe'!$E$26),0,(C8035&gt;='Resultats - informe'!$D$27)*(C8035&lt;='Resultats - informe'!$E$27),0,(C8035&gt;='Resultats - informe'!$D$28)*(C8035&lt;='Resultats - informe'!$E$28),0,(C8035&gt;='Resultats - informe'!$D$29)*(C8035&lt;='Resultats - informe'!$E$29),0,1,1)</f>
        <v>0</v>
      </c>
      <c r="N8035" s="366">
        <f>+VLOOKUP(D8035,'Resultats - informe'!$Y$18:$AG$42,'Introducció dades consum'!K8035+1,0)</f>
        <v>0</v>
      </c>
      <c r="O8035" s="370" cm="1">
        <f t="array" ref="O8035">+_xlfn.SWITCH(MONTH(C8035),1,1,2,1,3,1,4,2,5,2,6,3,7,3,8,3,9,3,10,2,11,2,12,1,2)</f>
        <v>1</v>
      </c>
      <c r="P8035" s="43"/>
    </row>
    <row r="8036" spans="1:16" ht="18" x14ac:dyDescent="0.35">
      <c r="A8036" s="9"/>
      <c r="C8036" s="393"/>
      <c r="E8036" s="394"/>
      <c r="F8036" s="394"/>
      <c r="G8036" s="394"/>
      <c r="I8036" s="368">
        <f t="shared" si="381"/>
        <v>0</v>
      </c>
      <c r="J8036" s="365">
        <f t="shared" si="382"/>
        <v>0</v>
      </c>
      <c r="K8036" s="369">
        <f t="shared" si="383"/>
        <v>6</v>
      </c>
      <c r="L8036" s="369">
        <f>+IF((C8036&gt;='Resultats - informe'!$E$16)*(C8036&lt;='Resultats - informe'!$G$16),1,0)</f>
        <v>1</v>
      </c>
      <c r="M8036" s="369" cm="1">
        <f t="array" ref="M8036">+_xlfn.IFS((C8036&gt;='Resultats - informe'!$D$26)*(C8036&lt;='Resultats - informe'!$E$26),0,(C8036&gt;='Resultats - informe'!$D$27)*(C8036&lt;='Resultats - informe'!$E$27),0,(C8036&gt;='Resultats - informe'!$D$28)*(C8036&lt;='Resultats - informe'!$E$28),0,(C8036&gt;='Resultats - informe'!$D$29)*(C8036&lt;='Resultats - informe'!$E$29),0,1,1)</f>
        <v>0</v>
      </c>
      <c r="N8036" s="366">
        <f>+VLOOKUP(D8036,'Resultats - informe'!$Y$18:$AG$42,'Introducció dades consum'!K8036+1,0)</f>
        <v>0</v>
      </c>
      <c r="O8036" s="370" cm="1">
        <f t="array" ref="O8036">+_xlfn.SWITCH(MONTH(C8036),1,1,2,1,3,1,4,2,5,2,6,3,7,3,8,3,9,3,10,2,11,2,12,1,2)</f>
        <v>1</v>
      </c>
      <c r="P8036" s="43"/>
    </row>
    <row r="8037" spans="1:16" ht="18" x14ac:dyDescent="0.35">
      <c r="A8037" s="9"/>
      <c r="C8037" s="393"/>
      <c r="E8037" s="394"/>
      <c r="F8037" s="394"/>
      <c r="G8037" s="394"/>
      <c r="I8037" s="368">
        <f t="shared" si="381"/>
        <v>0</v>
      </c>
      <c r="J8037" s="365">
        <f t="shared" si="382"/>
        <v>0</v>
      </c>
      <c r="K8037" s="369">
        <f t="shared" si="383"/>
        <v>6</v>
      </c>
      <c r="L8037" s="369">
        <f>+IF((C8037&gt;='Resultats - informe'!$E$16)*(C8037&lt;='Resultats - informe'!$G$16),1,0)</f>
        <v>1</v>
      </c>
      <c r="M8037" s="369" cm="1">
        <f t="array" ref="M8037">+_xlfn.IFS((C8037&gt;='Resultats - informe'!$D$26)*(C8037&lt;='Resultats - informe'!$E$26),0,(C8037&gt;='Resultats - informe'!$D$27)*(C8037&lt;='Resultats - informe'!$E$27),0,(C8037&gt;='Resultats - informe'!$D$28)*(C8037&lt;='Resultats - informe'!$E$28),0,(C8037&gt;='Resultats - informe'!$D$29)*(C8037&lt;='Resultats - informe'!$E$29),0,1,1)</f>
        <v>0</v>
      </c>
      <c r="N8037" s="366">
        <f>+VLOOKUP(D8037,'Resultats - informe'!$Y$18:$AG$42,'Introducció dades consum'!K8037+1,0)</f>
        <v>0</v>
      </c>
      <c r="O8037" s="370" cm="1">
        <f t="array" ref="O8037">+_xlfn.SWITCH(MONTH(C8037),1,1,2,1,3,1,4,2,5,2,6,3,7,3,8,3,9,3,10,2,11,2,12,1,2)</f>
        <v>1</v>
      </c>
      <c r="P8037" s="43"/>
    </row>
    <row r="8038" spans="1:16" ht="18" x14ac:dyDescent="0.35">
      <c r="A8038" s="9"/>
      <c r="C8038" s="393"/>
      <c r="E8038" s="394"/>
      <c r="F8038" s="394"/>
      <c r="G8038" s="394"/>
      <c r="I8038" s="368">
        <f t="shared" si="381"/>
        <v>0</v>
      </c>
      <c r="J8038" s="365">
        <f t="shared" si="382"/>
        <v>0</v>
      </c>
      <c r="K8038" s="369">
        <f t="shared" si="383"/>
        <v>6</v>
      </c>
      <c r="L8038" s="369">
        <f>+IF((C8038&gt;='Resultats - informe'!$E$16)*(C8038&lt;='Resultats - informe'!$G$16),1,0)</f>
        <v>1</v>
      </c>
      <c r="M8038" s="369" cm="1">
        <f t="array" ref="M8038">+_xlfn.IFS((C8038&gt;='Resultats - informe'!$D$26)*(C8038&lt;='Resultats - informe'!$E$26),0,(C8038&gt;='Resultats - informe'!$D$27)*(C8038&lt;='Resultats - informe'!$E$27),0,(C8038&gt;='Resultats - informe'!$D$28)*(C8038&lt;='Resultats - informe'!$E$28),0,(C8038&gt;='Resultats - informe'!$D$29)*(C8038&lt;='Resultats - informe'!$E$29),0,1,1)</f>
        <v>0</v>
      </c>
      <c r="N8038" s="366">
        <f>+VLOOKUP(D8038,'Resultats - informe'!$Y$18:$AG$42,'Introducció dades consum'!K8038+1,0)</f>
        <v>0</v>
      </c>
      <c r="O8038" s="370" cm="1">
        <f t="array" ref="O8038">+_xlfn.SWITCH(MONTH(C8038),1,1,2,1,3,1,4,2,5,2,6,3,7,3,8,3,9,3,10,2,11,2,12,1,2)</f>
        <v>1</v>
      </c>
      <c r="P8038" s="43"/>
    </row>
    <row r="8039" spans="1:16" ht="18" x14ac:dyDescent="0.35">
      <c r="A8039" s="9"/>
      <c r="C8039" s="393"/>
      <c r="E8039" s="394"/>
      <c r="F8039" s="394"/>
      <c r="G8039" s="394"/>
      <c r="I8039" s="368">
        <f t="shared" si="381"/>
        <v>0</v>
      </c>
      <c r="J8039" s="365">
        <f t="shared" si="382"/>
        <v>0</v>
      </c>
      <c r="K8039" s="369">
        <f t="shared" si="383"/>
        <v>6</v>
      </c>
      <c r="L8039" s="369">
        <f>+IF((C8039&gt;='Resultats - informe'!$E$16)*(C8039&lt;='Resultats - informe'!$G$16),1,0)</f>
        <v>1</v>
      </c>
      <c r="M8039" s="369" cm="1">
        <f t="array" ref="M8039">+_xlfn.IFS((C8039&gt;='Resultats - informe'!$D$26)*(C8039&lt;='Resultats - informe'!$E$26),0,(C8039&gt;='Resultats - informe'!$D$27)*(C8039&lt;='Resultats - informe'!$E$27),0,(C8039&gt;='Resultats - informe'!$D$28)*(C8039&lt;='Resultats - informe'!$E$28),0,(C8039&gt;='Resultats - informe'!$D$29)*(C8039&lt;='Resultats - informe'!$E$29),0,1,1)</f>
        <v>0</v>
      </c>
      <c r="N8039" s="366">
        <f>+VLOOKUP(D8039,'Resultats - informe'!$Y$18:$AG$42,'Introducció dades consum'!K8039+1,0)</f>
        <v>0</v>
      </c>
      <c r="O8039" s="370" cm="1">
        <f t="array" ref="O8039">+_xlfn.SWITCH(MONTH(C8039),1,1,2,1,3,1,4,2,5,2,6,3,7,3,8,3,9,3,10,2,11,2,12,1,2)</f>
        <v>1</v>
      </c>
      <c r="P8039" s="43"/>
    </row>
    <row r="8040" spans="1:16" ht="18" x14ac:dyDescent="0.35">
      <c r="A8040" s="9"/>
      <c r="C8040" s="393"/>
      <c r="E8040" s="394"/>
      <c r="F8040" s="394"/>
      <c r="G8040" s="394"/>
      <c r="I8040" s="368">
        <f t="shared" si="381"/>
        <v>0</v>
      </c>
      <c r="J8040" s="365">
        <f t="shared" si="382"/>
        <v>0</v>
      </c>
      <c r="K8040" s="369">
        <f t="shared" si="383"/>
        <v>6</v>
      </c>
      <c r="L8040" s="369">
        <f>+IF((C8040&gt;='Resultats - informe'!$E$16)*(C8040&lt;='Resultats - informe'!$G$16),1,0)</f>
        <v>1</v>
      </c>
      <c r="M8040" s="369" cm="1">
        <f t="array" ref="M8040">+_xlfn.IFS((C8040&gt;='Resultats - informe'!$D$26)*(C8040&lt;='Resultats - informe'!$E$26),0,(C8040&gt;='Resultats - informe'!$D$27)*(C8040&lt;='Resultats - informe'!$E$27),0,(C8040&gt;='Resultats - informe'!$D$28)*(C8040&lt;='Resultats - informe'!$E$28),0,(C8040&gt;='Resultats - informe'!$D$29)*(C8040&lt;='Resultats - informe'!$E$29),0,1,1)</f>
        <v>0</v>
      </c>
      <c r="N8040" s="366">
        <f>+VLOOKUP(D8040,'Resultats - informe'!$Y$18:$AG$42,'Introducció dades consum'!K8040+1,0)</f>
        <v>0</v>
      </c>
      <c r="O8040" s="370" cm="1">
        <f t="array" ref="O8040">+_xlfn.SWITCH(MONTH(C8040),1,1,2,1,3,1,4,2,5,2,6,3,7,3,8,3,9,3,10,2,11,2,12,1,2)</f>
        <v>1</v>
      </c>
      <c r="P8040" s="43"/>
    </row>
    <row r="8041" spans="1:16" ht="18" x14ac:dyDescent="0.35">
      <c r="A8041" s="9"/>
      <c r="C8041" s="393"/>
      <c r="E8041" s="394"/>
      <c r="F8041" s="394"/>
      <c r="G8041" s="394"/>
      <c r="I8041" s="368">
        <f t="shared" si="381"/>
        <v>0</v>
      </c>
      <c r="J8041" s="365">
        <f t="shared" si="382"/>
        <v>0</v>
      </c>
      <c r="K8041" s="369">
        <f t="shared" si="383"/>
        <v>6</v>
      </c>
      <c r="L8041" s="369">
        <f>+IF((C8041&gt;='Resultats - informe'!$E$16)*(C8041&lt;='Resultats - informe'!$G$16),1,0)</f>
        <v>1</v>
      </c>
      <c r="M8041" s="369" cm="1">
        <f t="array" ref="M8041">+_xlfn.IFS((C8041&gt;='Resultats - informe'!$D$26)*(C8041&lt;='Resultats - informe'!$E$26),0,(C8041&gt;='Resultats - informe'!$D$27)*(C8041&lt;='Resultats - informe'!$E$27),0,(C8041&gt;='Resultats - informe'!$D$28)*(C8041&lt;='Resultats - informe'!$E$28),0,(C8041&gt;='Resultats - informe'!$D$29)*(C8041&lt;='Resultats - informe'!$E$29),0,1,1)</f>
        <v>0</v>
      </c>
      <c r="N8041" s="366">
        <f>+VLOOKUP(D8041,'Resultats - informe'!$Y$18:$AG$42,'Introducció dades consum'!K8041+1,0)</f>
        <v>0</v>
      </c>
      <c r="O8041" s="370" cm="1">
        <f t="array" ref="O8041">+_xlfn.SWITCH(MONTH(C8041),1,1,2,1,3,1,4,2,5,2,6,3,7,3,8,3,9,3,10,2,11,2,12,1,2)</f>
        <v>1</v>
      </c>
      <c r="P8041" s="43"/>
    </row>
    <row r="8042" spans="1:16" ht="18" x14ac:dyDescent="0.35">
      <c r="A8042" s="9"/>
      <c r="C8042" s="393"/>
      <c r="E8042" s="394"/>
      <c r="F8042" s="394"/>
      <c r="G8042" s="394"/>
      <c r="I8042" s="368">
        <f t="shared" si="381"/>
        <v>0</v>
      </c>
      <c r="J8042" s="365">
        <f t="shared" si="382"/>
        <v>0</v>
      </c>
      <c r="K8042" s="369">
        <f t="shared" si="383"/>
        <v>6</v>
      </c>
      <c r="L8042" s="369">
        <f>+IF((C8042&gt;='Resultats - informe'!$E$16)*(C8042&lt;='Resultats - informe'!$G$16),1,0)</f>
        <v>1</v>
      </c>
      <c r="M8042" s="369" cm="1">
        <f t="array" ref="M8042">+_xlfn.IFS((C8042&gt;='Resultats - informe'!$D$26)*(C8042&lt;='Resultats - informe'!$E$26),0,(C8042&gt;='Resultats - informe'!$D$27)*(C8042&lt;='Resultats - informe'!$E$27),0,(C8042&gt;='Resultats - informe'!$D$28)*(C8042&lt;='Resultats - informe'!$E$28),0,(C8042&gt;='Resultats - informe'!$D$29)*(C8042&lt;='Resultats - informe'!$E$29),0,1,1)</f>
        <v>0</v>
      </c>
      <c r="N8042" s="366">
        <f>+VLOOKUP(D8042,'Resultats - informe'!$Y$18:$AG$42,'Introducció dades consum'!K8042+1,0)</f>
        <v>0</v>
      </c>
      <c r="O8042" s="370" cm="1">
        <f t="array" ref="O8042">+_xlfn.SWITCH(MONTH(C8042),1,1,2,1,3,1,4,2,5,2,6,3,7,3,8,3,9,3,10,2,11,2,12,1,2)</f>
        <v>1</v>
      </c>
      <c r="P8042" s="43"/>
    </row>
    <row r="8043" spans="1:16" ht="18" x14ac:dyDescent="0.35">
      <c r="A8043" s="9"/>
      <c r="C8043" s="393"/>
      <c r="E8043" s="394"/>
      <c r="F8043" s="394"/>
      <c r="G8043" s="394"/>
      <c r="I8043" s="368">
        <f t="shared" si="381"/>
        <v>0</v>
      </c>
      <c r="J8043" s="365">
        <f t="shared" si="382"/>
        <v>0</v>
      </c>
      <c r="K8043" s="369">
        <f t="shared" si="383"/>
        <v>6</v>
      </c>
      <c r="L8043" s="369">
        <f>+IF((C8043&gt;='Resultats - informe'!$E$16)*(C8043&lt;='Resultats - informe'!$G$16),1,0)</f>
        <v>1</v>
      </c>
      <c r="M8043" s="369" cm="1">
        <f t="array" ref="M8043">+_xlfn.IFS((C8043&gt;='Resultats - informe'!$D$26)*(C8043&lt;='Resultats - informe'!$E$26),0,(C8043&gt;='Resultats - informe'!$D$27)*(C8043&lt;='Resultats - informe'!$E$27),0,(C8043&gt;='Resultats - informe'!$D$28)*(C8043&lt;='Resultats - informe'!$E$28),0,(C8043&gt;='Resultats - informe'!$D$29)*(C8043&lt;='Resultats - informe'!$E$29),0,1,1)</f>
        <v>0</v>
      </c>
      <c r="N8043" s="366">
        <f>+VLOOKUP(D8043,'Resultats - informe'!$Y$18:$AG$42,'Introducció dades consum'!K8043+1,0)</f>
        <v>0</v>
      </c>
      <c r="O8043" s="370" cm="1">
        <f t="array" ref="O8043">+_xlfn.SWITCH(MONTH(C8043),1,1,2,1,3,1,4,2,5,2,6,3,7,3,8,3,9,3,10,2,11,2,12,1,2)</f>
        <v>1</v>
      </c>
      <c r="P8043" s="43"/>
    </row>
    <row r="8044" spans="1:16" ht="18" x14ac:dyDescent="0.35">
      <c r="A8044" s="9"/>
      <c r="C8044" s="393"/>
      <c r="E8044" s="394"/>
      <c r="F8044" s="394"/>
      <c r="G8044" s="394"/>
      <c r="I8044" s="368">
        <f t="shared" si="381"/>
        <v>0</v>
      </c>
      <c r="J8044" s="365">
        <f t="shared" si="382"/>
        <v>0</v>
      </c>
      <c r="K8044" s="369">
        <f t="shared" si="383"/>
        <v>6</v>
      </c>
      <c r="L8044" s="369">
        <f>+IF((C8044&gt;='Resultats - informe'!$E$16)*(C8044&lt;='Resultats - informe'!$G$16),1,0)</f>
        <v>1</v>
      </c>
      <c r="M8044" s="369" cm="1">
        <f t="array" ref="M8044">+_xlfn.IFS((C8044&gt;='Resultats - informe'!$D$26)*(C8044&lt;='Resultats - informe'!$E$26),0,(C8044&gt;='Resultats - informe'!$D$27)*(C8044&lt;='Resultats - informe'!$E$27),0,(C8044&gt;='Resultats - informe'!$D$28)*(C8044&lt;='Resultats - informe'!$E$28),0,(C8044&gt;='Resultats - informe'!$D$29)*(C8044&lt;='Resultats - informe'!$E$29),0,1,1)</f>
        <v>0</v>
      </c>
      <c r="N8044" s="366">
        <f>+VLOOKUP(D8044,'Resultats - informe'!$Y$18:$AG$42,'Introducció dades consum'!K8044+1,0)</f>
        <v>0</v>
      </c>
      <c r="O8044" s="370" cm="1">
        <f t="array" ref="O8044">+_xlfn.SWITCH(MONTH(C8044),1,1,2,1,3,1,4,2,5,2,6,3,7,3,8,3,9,3,10,2,11,2,12,1,2)</f>
        <v>1</v>
      </c>
      <c r="P8044" s="43"/>
    </row>
    <row r="8045" spans="1:16" ht="18" x14ac:dyDescent="0.35">
      <c r="A8045" s="9"/>
      <c r="C8045" s="393"/>
      <c r="E8045" s="394"/>
      <c r="F8045" s="394"/>
      <c r="G8045" s="394"/>
      <c r="I8045" s="368">
        <f t="shared" si="381"/>
        <v>0</v>
      </c>
      <c r="J8045" s="365">
        <f t="shared" si="382"/>
        <v>0</v>
      </c>
      <c r="K8045" s="369">
        <f t="shared" si="383"/>
        <v>6</v>
      </c>
      <c r="L8045" s="369">
        <f>+IF((C8045&gt;='Resultats - informe'!$E$16)*(C8045&lt;='Resultats - informe'!$G$16),1,0)</f>
        <v>1</v>
      </c>
      <c r="M8045" s="369" cm="1">
        <f t="array" ref="M8045">+_xlfn.IFS((C8045&gt;='Resultats - informe'!$D$26)*(C8045&lt;='Resultats - informe'!$E$26),0,(C8045&gt;='Resultats - informe'!$D$27)*(C8045&lt;='Resultats - informe'!$E$27),0,(C8045&gt;='Resultats - informe'!$D$28)*(C8045&lt;='Resultats - informe'!$E$28),0,(C8045&gt;='Resultats - informe'!$D$29)*(C8045&lt;='Resultats - informe'!$E$29),0,1,1)</f>
        <v>0</v>
      </c>
      <c r="N8045" s="366">
        <f>+VLOOKUP(D8045,'Resultats - informe'!$Y$18:$AG$42,'Introducció dades consum'!K8045+1,0)</f>
        <v>0</v>
      </c>
      <c r="O8045" s="370" cm="1">
        <f t="array" ref="O8045">+_xlfn.SWITCH(MONTH(C8045),1,1,2,1,3,1,4,2,5,2,6,3,7,3,8,3,9,3,10,2,11,2,12,1,2)</f>
        <v>1</v>
      </c>
      <c r="P8045" s="43"/>
    </row>
    <row r="8046" spans="1:16" ht="18" x14ac:dyDescent="0.35">
      <c r="A8046" s="9"/>
      <c r="C8046" s="393"/>
      <c r="E8046" s="394"/>
      <c r="F8046" s="394"/>
      <c r="G8046" s="394"/>
      <c r="I8046" s="368">
        <f t="shared" si="381"/>
        <v>0</v>
      </c>
      <c r="J8046" s="365">
        <f t="shared" si="382"/>
        <v>0</v>
      </c>
      <c r="K8046" s="369">
        <f t="shared" si="383"/>
        <v>6</v>
      </c>
      <c r="L8046" s="369">
        <f>+IF((C8046&gt;='Resultats - informe'!$E$16)*(C8046&lt;='Resultats - informe'!$G$16),1,0)</f>
        <v>1</v>
      </c>
      <c r="M8046" s="369" cm="1">
        <f t="array" ref="M8046">+_xlfn.IFS((C8046&gt;='Resultats - informe'!$D$26)*(C8046&lt;='Resultats - informe'!$E$26),0,(C8046&gt;='Resultats - informe'!$D$27)*(C8046&lt;='Resultats - informe'!$E$27),0,(C8046&gt;='Resultats - informe'!$D$28)*(C8046&lt;='Resultats - informe'!$E$28),0,(C8046&gt;='Resultats - informe'!$D$29)*(C8046&lt;='Resultats - informe'!$E$29),0,1,1)</f>
        <v>0</v>
      </c>
      <c r="N8046" s="366">
        <f>+VLOOKUP(D8046,'Resultats - informe'!$Y$18:$AG$42,'Introducció dades consum'!K8046+1,0)</f>
        <v>0</v>
      </c>
      <c r="O8046" s="370" cm="1">
        <f t="array" ref="O8046">+_xlfn.SWITCH(MONTH(C8046),1,1,2,1,3,1,4,2,5,2,6,3,7,3,8,3,9,3,10,2,11,2,12,1,2)</f>
        <v>1</v>
      </c>
      <c r="P8046" s="43"/>
    </row>
    <row r="8047" spans="1:16" ht="18" x14ac:dyDescent="0.35">
      <c r="A8047" s="9"/>
      <c r="C8047" s="393"/>
      <c r="E8047" s="394"/>
      <c r="F8047" s="394"/>
      <c r="G8047" s="394"/>
      <c r="I8047" s="368">
        <f t="shared" si="381"/>
        <v>0</v>
      </c>
      <c r="J8047" s="365">
        <f t="shared" si="382"/>
        <v>0</v>
      </c>
      <c r="K8047" s="369">
        <f t="shared" si="383"/>
        <v>6</v>
      </c>
      <c r="L8047" s="369">
        <f>+IF((C8047&gt;='Resultats - informe'!$E$16)*(C8047&lt;='Resultats - informe'!$G$16),1,0)</f>
        <v>1</v>
      </c>
      <c r="M8047" s="369" cm="1">
        <f t="array" ref="M8047">+_xlfn.IFS((C8047&gt;='Resultats - informe'!$D$26)*(C8047&lt;='Resultats - informe'!$E$26),0,(C8047&gt;='Resultats - informe'!$D$27)*(C8047&lt;='Resultats - informe'!$E$27),0,(C8047&gt;='Resultats - informe'!$D$28)*(C8047&lt;='Resultats - informe'!$E$28),0,(C8047&gt;='Resultats - informe'!$D$29)*(C8047&lt;='Resultats - informe'!$E$29),0,1,1)</f>
        <v>0</v>
      </c>
      <c r="N8047" s="366">
        <f>+VLOOKUP(D8047,'Resultats - informe'!$Y$18:$AG$42,'Introducció dades consum'!K8047+1,0)</f>
        <v>0</v>
      </c>
      <c r="O8047" s="370" cm="1">
        <f t="array" ref="O8047">+_xlfn.SWITCH(MONTH(C8047),1,1,2,1,3,1,4,2,5,2,6,3,7,3,8,3,9,3,10,2,11,2,12,1,2)</f>
        <v>1</v>
      </c>
      <c r="P8047" s="43"/>
    </row>
    <row r="8048" spans="1:16" ht="18" x14ac:dyDescent="0.35">
      <c r="A8048" s="9"/>
      <c r="C8048" s="393"/>
      <c r="E8048" s="394"/>
      <c r="F8048" s="394"/>
      <c r="G8048" s="394"/>
      <c r="I8048" s="368">
        <f t="shared" si="381"/>
        <v>0</v>
      </c>
      <c r="J8048" s="365">
        <f t="shared" si="382"/>
        <v>0</v>
      </c>
      <c r="K8048" s="369">
        <f t="shared" si="383"/>
        <v>6</v>
      </c>
      <c r="L8048" s="369">
        <f>+IF((C8048&gt;='Resultats - informe'!$E$16)*(C8048&lt;='Resultats - informe'!$G$16),1,0)</f>
        <v>1</v>
      </c>
      <c r="M8048" s="369" cm="1">
        <f t="array" ref="M8048">+_xlfn.IFS((C8048&gt;='Resultats - informe'!$D$26)*(C8048&lt;='Resultats - informe'!$E$26),0,(C8048&gt;='Resultats - informe'!$D$27)*(C8048&lt;='Resultats - informe'!$E$27),0,(C8048&gt;='Resultats - informe'!$D$28)*(C8048&lt;='Resultats - informe'!$E$28),0,(C8048&gt;='Resultats - informe'!$D$29)*(C8048&lt;='Resultats - informe'!$E$29),0,1,1)</f>
        <v>0</v>
      </c>
      <c r="N8048" s="366">
        <f>+VLOOKUP(D8048,'Resultats - informe'!$Y$18:$AG$42,'Introducció dades consum'!K8048+1,0)</f>
        <v>0</v>
      </c>
      <c r="O8048" s="370" cm="1">
        <f t="array" ref="O8048">+_xlfn.SWITCH(MONTH(C8048),1,1,2,1,3,1,4,2,5,2,6,3,7,3,8,3,9,3,10,2,11,2,12,1,2)</f>
        <v>1</v>
      </c>
      <c r="P8048" s="43"/>
    </row>
    <row r="8049" spans="1:16" ht="18" x14ac:dyDescent="0.35">
      <c r="A8049" s="9"/>
      <c r="C8049" s="393"/>
      <c r="E8049" s="394"/>
      <c r="F8049" s="394"/>
      <c r="G8049" s="394"/>
      <c r="I8049" s="368">
        <f t="shared" si="381"/>
        <v>0</v>
      </c>
      <c r="J8049" s="365">
        <f t="shared" si="382"/>
        <v>0</v>
      </c>
      <c r="K8049" s="369">
        <f t="shared" si="383"/>
        <v>6</v>
      </c>
      <c r="L8049" s="369">
        <f>+IF((C8049&gt;='Resultats - informe'!$E$16)*(C8049&lt;='Resultats - informe'!$G$16),1,0)</f>
        <v>1</v>
      </c>
      <c r="M8049" s="369" cm="1">
        <f t="array" ref="M8049">+_xlfn.IFS((C8049&gt;='Resultats - informe'!$D$26)*(C8049&lt;='Resultats - informe'!$E$26),0,(C8049&gt;='Resultats - informe'!$D$27)*(C8049&lt;='Resultats - informe'!$E$27),0,(C8049&gt;='Resultats - informe'!$D$28)*(C8049&lt;='Resultats - informe'!$E$28),0,(C8049&gt;='Resultats - informe'!$D$29)*(C8049&lt;='Resultats - informe'!$E$29),0,1,1)</f>
        <v>0</v>
      </c>
      <c r="N8049" s="366">
        <f>+VLOOKUP(D8049,'Resultats - informe'!$Y$18:$AG$42,'Introducció dades consum'!K8049+1,0)</f>
        <v>0</v>
      </c>
      <c r="O8049" s="370" cm="1">
        <f t="array" ref="O8049">+_xlfn.SWITCH(MONTH(C8049),1,1,2,1,3,1,4,2,5,2,6,3,7,3,8,3,9,3,10,2,11,2,12,1,2)</f>
        <v>1</v>
      </c>
      <c r="P8049" s="43"/>
    </row>
    <row r="8050" spans="1:16" ht="18" x14ac:dyDescent="0.35">
      <c r="A8050" s="9"/>
      <c r="C8050" s="393"/>
      <c r="E8050" s="394"/>
      <c r="F8050" s="394"/>
      <c r="G8050" s="394"/>
      <c r="I8050" s="368">
        <f t="shared" si="381"/>
        <v>0</v>
      </c>
      <c r="J8050" s="365">
        <f t="shared" si="382"/>
        <v>0</v>
      </c>
      <c r="K8050" s="369">
        <f t="shared" si="383"/>
        <v>6</v>
      </c>
      <c r="L8050" s="369">
        <f>+IF((C8050&gt;='Resultats - informe'!$E$16)*(C8050&lt;='Resultats - informe'!$G$16),1,0)</f>
        <v>1</v>
      </c>
      <c r="M8050" s="369" cm="1">
        <f t="array" ref="M8050">+_xlfn.IFS((C8050&gt;='Resultats - informe'!$D$26)*(C8050&lt;='Resultats - informe'!$E$26),0,(C8050&gt;='Resultats - informe'!$D$27)*(C8050&lt;='Resultats - informe'!$E$27),0,(C8050&gt;='Resultats - informe'!$D$28)*(C8050&lt;='Resultats - informe'!$E$28),0,(C8050&gt;='Resultats - informe'!$D$29)*(C8050&lt;='Resultats - informe'!$E$29),0,1,1)</f>
        <v>0</v>
      </c>
      <c r="N8050" s="366">
        <f>+VLOOKUP(D8050,'Resultats - informe'!$Y$18:$AG$42,'Introducció dades consum'!K8050+1,0)</f>
        <v>0</v>
      </c>
      <c r="O8050" s="370" cm="1">
        <f t="array" ref="O8050">+_xlfn.SWITCH(MONTH(C8050),1,1,2,1,3,1,4,2,5,2,6,3,7,3,8,3,9,3,10,2,11,2,12,1,2)</f>
        <v>1</v>
      </c>
      <c r="P8050" s="43"/>
    </row>
    <row r="8051" spans="1:16" ht="18" x14ac:dyDescent="0.35">
      <c r="A8051" s="9"/>
      <c r="C8051" s="393"/>
      <c r="E8051" s="394"/>
      <c r="F8051" s="394"/>
      <c r="G8051" s="394"/>
      <c r="I8051" s="368">
        <f t="shared" si="381"/>
        <v>0</v>
      </c>
      <c r="J8051" s="365">
        <f t="shared" si="382"/>
        <v>0</v>
      </c>
      <c r="K8051" s="369">
        <f t="shared" si="383"/>
        <v>6</v>
      </c>
      <c r="L8051" s="369">
        <f>+IF((C8051&gt;='Resultats - informe'!$E$16)*(C8051&lt;='Resultats - informe'!$G$16),1,0)</f>
        <v>1</v>
      </c>
      <c r="M8051" s="369" cm="1">
        <f t="array" ref="M8051">+_xlfn.IFS((C8051&gt;='Resultats - informe'!$D$26)*(C8051&lt;='Resultats - informe'!$E$26),0,(C8051&gt;='Resultats - informe'!$D$27)*(C8051&lt;='Resultats - informe'!$E$27),0,(C8051&gt;='Resultats - informe'!$D$28)*(C8051&lt;='Resultats - informe'!$E$28),0,(C8051&gt;='Resultats - informe'!$D$29)*(C8051&lt;='Resultats - informe'!$E$29),0,1,1)</f>
        <v>0</v>
      </c>
      <c r="N8051" s="366">
        <f>+VLOOKUP(D8051,'Resultats - informe'!$Y$18:$AG$42,'Introducció dades consum'!K8051+1,0)</f>
        <v>0</v>
      </c>
      <c r="O8051" s="370" cm="1">
        <f t="array" ref="O8051">+_xlfn.SWITCH(MONTH(C8051),1,1,2,1,3,1,4,2,5,2,6,3,7,3,8,3,9,3,10,2,11,2,12,1,2)</f>
        <v>1</v>
      </c>
      <c r="P8051" s="43"/>
    </row>
    <row r="8052" spans="1:16" ht="18" x14ac:dyDescent="0.35">
      <c r="A8052" s="9"/>
      <c r="C8052" s="393"/>
      <c r="E8052" s="394"/>
      <c r="F8052" s="394"/>
      <c r="G8052" s="394"/>
      <c r="I8052" s="368">
        <f t="shared" si="381"/>
        <v>0</v>
      </c>
      <c r="J8052" s="365">
        <f t="shared" si="382"/>
        <v>0</v>
      </c>
      <c r="K8052" s="369">
        <f t="shared" si="383"/>
        <v>6</v>
      </c>
      <c r="L8052" s="369">
        <f>+IF((C8052&gt;='Resultats - informe'!$E$16)*(C8052&lt;='Resultats - informe'!$G$16),1,0)</f>
        <v>1</v>
      </c>
      <c r="M8052" s="369" cm="1">
        <f t="array" ref="M8052">+_xlfn.IFS((C8052&gt;='Resultats - informe'!$D$26)*(C8052&lt;='Resultats - informe'!$E$26),0,(C8052&gt;='Resultats - informe'!$D$27)*(C8052&lt;='Resultats - informe'!$E$27),0,(C8052&gt;='Resultats - informe'!$D$28)*(C8052&lt;='Resultats - informe'!$E$28),0,(C8052&gt;='Resultats - informe'!$D$29)*(C8052&lt;='Resultats - informe'!$E$29),0,1,1)</f>
        <v>0</v>
      </c>
      <c r="N8052" s="366">
        <f>+VLOOKUP(D8052,'Resultats - informe'!$Y$18:$AG$42,'Introducció dades consum'!K8052+1,0)</f>
        <v>0</v>
      </c>
      <c r="O8052" s="370" cm="1">
        <f t="array" ref="O8052">+_xlfn.SWITCH(MONTH(C8052),1,1,2,1,3,1,4,2,5,2,6,3,7,3,8,3,9,3,10,2,11,2,12,1,2)</f>
        <v>1</v>
      </c>
      <c r="P8052" s="43"/>
    </row>
    <row r="8053" spans="1:16" ht="18" x14ac:dyDescent="0.35">
      <c r="A8053" s="9"/>
      <c r="C8053" s="393"/>
      <c r="E8053" s="394"/>
      <c r="F8053" s="394"/>
      <c r="G8053" s="394"/>
      <c r="I8053" s="368">
        <f t="shared" si="381"/>
        <v>0</v>
      </c>
      <c r="J8053" s="365">
        <f t="shared" si="382"/>
        <v>0</v>
      </c>
      <c r="K8053" s="369">
        <f t="shared" si="383"/>
        <v>6</v>
      </c>
      <c r="L8053" s="369">
        <f>+IF((C8053&gt;='Resultats - informe'!$E$16)*(C8053&lt;='Resultats - informe'!$G$16),1,0)</f>
        <v>1</v>
      </c>
      <c r="M8053" s="369" cm="1">
        <f t="array" ref="M8053">+_xlfn.IFS((C8053&gt;='Resultats - informe'!$D$26)*(C8053&lt;='Resultats - informe'!$E$26),0,(C8053&gt;='Resultats - informe'!$D$27)*(C8053&lt;='Resultats - informe'!$E$27),0,(C8053&gt;='Resultats - informe'!$D$28)*(C8053&lt;='Resultats - informe'!$E$28),0,(C8053&gt;='Resultats - informe'!$D$29)*(C8053&lt;='Resultats - informe'!$E$29),0,1,1)</f>
        <v>0</v>
      </c>
      <c r="N8053" s="366">
        <f>+VLOOKUP(D8053,'Resultats - informe'!$Y$18:$AG$42,'Introducció dades consum'!K8053+1,0)</f>
        <v>0</v>
      </c>
      <c r="O8053" s="370" cm="1">
        <f t="array" ref="O8053">+_xlfn.SWITCH(MONTH(C8053),1,1,2,1,3,1,4,2,5,2,6,3,7,3,8,3,9,3,10,2,11,2,12,1,2)</f>
        <v>1</v>
      </c>
      <c r="P8053" s="43"/>
    </row>
    <row r="8054" spans="1:16" ht="18" x14ac:dyDescent="0.35">
      <c r="A8054" s="9"/>
      <c r="C8054" s="393"/>
      <c r="E8054" s="394"/>
      <c r="F8054" s="394"/>
      <c r="G8054" s="394"/>
      <c r="I8054" s="368">
        <f t="shared" si="381"/>
        <v>0</v>
      </c>
      <c r="J8054" s="365">
        <f t="shared" si="382"/>
        <v>0</v>
      </c>
      <c r="K8054" s="369">
        <f t="shared" si="383"/>
        <v>6</v>
      </c>
      <c r="L8054" s="369">
        <f>+IF((C8054&gt;='Resultats - informe'!$E$16)*(C8054&lt;='Resultats - informe'!$G$16),1,0)</f>
        <v>1</v>
      </c>
      <c r="M8054" s="369" cm="1">
        <f t="array" ref="M8054">+_xlfn.IFS((C8054&gt;='Resultats - informe'!$D$26)*(C8054&lt;='Resultats - informe'!$E$26),0,(C8054&gt;='Resultats - informe'!$D$27)*(C8054&lt;='Resultats - informe'!$E$27),0,(C8054&gt;='Resultats - informe'!$D$28)*(C8054&lt;='Resultats - informe'!$E$28),0,(C8054&gt;='Resultats - informe'!$D$29)*(C8054&lt;='Resultats - informe'!$E$29),0,1,1)</f>
        <v>0</v>
      </c>
      <c r="N8054" s="366">
        <f>+VLOOKUP(D8054,'Resultats - informe'!$Y$18:$AG$42,'Introducció dades consum'!K8054+1,0)</f>
        <v>0</v>
      </c>
      <c r="O8054" s="370" cm="1">
        <f t="array" ref="O8054">+_xlfn.SWITCH(MONTH(C8054),1,1,2,1,3,1,4,2,5,2,6,3,7,3,8,3,9,3,10,2,11,2,12,1,2)</f>
        <v>1</v>
      </c>
      <c r="P8054" s="43"/>
    </row>
    <row r="8055" spans="1:16" ht="18" x14ac:dyDescent="0.35">
      <c r="A8055" s="9"/>
      <c r="C8055" s="393"/>
      <c r="E8055" s="394"/>
      <c r="F8055" s="394"/>
      <c r="G8055" s="394"/>
      <c r="I8055" s="368">
        <f t="shared" si="381"/>
        <v>0</v>
      </c>
      <c r="J8055" s="365">
        <f t="shared" si="382"/>
        <v>0</v>
      </c>
      <c r="K8055" s="369">
        <f t="shared" si="383"/>
        <v>6</v>
      </c>
      <c r="L8055" s="369">
        <f>+IF((C8055&gt;='Resultats - informe'!$E$16)*(C8055&lt;='Resultats - informe'!$G$16),1,0)</f>
        <v>1</v>
      </c>
      <c r="M8055" s="369" cm="1">
        <f t="array" ref="M8055">+_xlfn.IFS((C8055&gt;='Resultats - informe'!$D$26)*(C8055&lt;='Resultats - informe'!$E$26),0,(C8055&gt;='Resultats - informe'!$D$27)*(C8055&lt;='Resultats - informe'!$E$27),0,(C8055&gt;='Resultats - informe'!$D$28)*(C8055&lt;='Resultats - informe'!$E$28),0,(C8055&gt;='Resultats - informe'!$D$29)*(C8055&lt;='Resultats - informe'!$E$29),0,1,1)</f>
        <v>0</v>
      </c>
      <c r="N8055" s="366">
        <f>+VLOOKUP(D8055,'Resultats - informe'!$Y$18:$AG$42,'Introducció dades consum'!K8055+1,0)</f>
        <v>0</v>
      </c>
      <c r="O8055" s="370" cm="1">
        <f t="array" ref="O8055">+_xlfn.SWITCH(MONTH(C8055),1,1,2,1,3,1,4,2,5,2,6,3,7,3,8,3,9,3,10,2,11,2,12,1,2)</f>
        <v>1</v>
      </c>
      <c r="P8055" s="43"/>
    </row>
    <row r="8056" spans="1:16" ht="18" x14ac:dyDescent="0.35">
      <c r="A8056" s="9"/>
      <c r="C8056" s="393"/>
      <c r="E8056" s="394"/>
      <c r="F8056" s="394"/>
      <c r="G8056" s="394"/>
      <c r="I8056" s="368">
        <f t="shared" si="381"/>
        <v>0</v>
      </c>
      <c r="J8056" s="365">
        <f t="shared" si="382"/>
        <v>0</v>
      </c>
      <c r="K8056" s="369">
        <f t="shared" si="383"/>
        <v>6</v>
      </c>
      <c r="L8056" s="369">
        <f>+IF((C8056&gt;='Resultats - informe'!$E$16)*(C8056&lt;='Resultats - informe'!$G$16),1,0)</f>
        <v>1</v>
      </c>
      <c r="M8056" s="369" cm="1">
        <f t="array" ref="M8056">+_xlfn.IFS((C8056&gt;='Resultats - informe'!$D$26)*(C8056&lt;='Resultats - informe'!$E$26),0,(C8056&gt;='Resultats - informe'!$D$27)*(C8056&lt;='Resultats - informe'!$E$27),0,(C8056&gt;='Resultats - informe'!$D$28)*(C8056&lt;='Resultats - informe'!$E$28),0,(C8056&gt;='Resultats - informe'!$D$29)*(C8056&lt;='Resultats - informe'!$E$29),0,1,1)</f>
        <v>0</v>
      </c>
      <c r="N8056" s="366">
        <f>+VLOOKUP(D8056,'Resultats - informe'!$Y$18:$AG$42,'Introducció dades consum'!K8056+1,0)</f>
        <v>0</v>
      </c>
      <c r="O8056" s="370" cm="1">
        <f t="array" ref="O8056">+_xlfn.SWITCH(MONTH(C8056),1,1,2,1,3,1,4,2,5,2,6,3,7,3,8,3,9,3,10,2,11,2,12,1,2)</f>
        <v>1</v>
      </c>
      <c r="P8056" s="43"/>
    </row>
    <row r="8057" spans="1:16" ht="18" x14ac:dyDescent="0.35">
      <c r="A8057" s="9"/>
      <c r="C8057" s="393"/>
      <c r="E8057" s="394"/>
      <c r="F8057" s="394"/>
      <c r="G8057" s="394"/>
      <c r="I8057" s="368">
        <f t="shared" si="381"/>
        <v>0</v>
      </c>
      <c r="J8057" s="365">
        <f t="shared" si="382"/>
        <v>0</v>
      </c>
      <c r="K8057" s="369">
        <f t="shared" si="383"/>
        <v>6</v>
      </c>
      <c r="L8057" s="369">
        <f>+IF((C8057&gt;='Resultats - informe'!$E$16)*(C8057&lt;='Resultats - informe'!$G$16),1,0)</f>
        <v>1</v>
      </c>
      <c r="M8057" s="369" cm="1">
        <f t="array" ref="M8057">+_xlfn.IFS((C8057&gt;='Resultats - informe'!$D$26)*(C8057&lt;='Resultats - informe'!$E$26),0,(C8057&gt;='Resultats - informe'!$D$27)*(C8057&lt;='Resultats - informe'!$E$27),0,(C8057&gt;='Resultats - informe'!$D$28)*(C8057&lt;='Resultats - informe'!$E$28),0,(C8057&gt;='Resultats - informe'!$D$29)*(C8057&lt;='Resultats - informe'!$E$29),0,1,1)</f>
        <v>0</v>
      </c>
      <c r="N8057" s="366">
        <f>+VLOOKUP(D8057,'Resultats - informe'!$Y$18:$AG$42,'Introducció dades consum'!K8057+1,0)</f>
        <v>0</v>
      </c>
      <c r="O8057" s="370" cm="1">
        <f t="array" ref="O8057">+_xlfn.SWITCH(MONTH(C8057),1,1,2,1,3,1,4,2,5,2,6,3,7,3,8,3,9,3,10,2,11,2,12,1,2)</f>
        <v>1</v>
      </c>
      <c r="P8057" s="43"/>
    </row>
    <row r="8058" spans="1:16" ht="18" x14ac:dyDescent="0.35">
      <c r="A8058" s="9"/>
      <c r="C8058" s="393"/>
      <c r="E8058" s="394"/>
      <c r="F8058" s="394"/>
      <c r="G8058" s="394"/>
      <c r="I8058" s="368">
        <f t="shared" si="381"/>
        <v>0</v>
      </c>
      <c r="J8058" s="365">
        <f t="shared" si="382"/>
        <v>0</v>
      </c>
      <c r="K8058" s="369">
        <f t="shared" si="383"/>
        <v>6</v>
      </c>
      <c r="L8058" s="369">
        <f>+IF((C8058&gt;='Resultats - informe'!$E$16)*(C8058&lt;='Resultats - informe'!$G$16),1,0)</f>
        <v>1</v>
      </c>
      <c r="M8058" s="369" cm="1">
        <f t="array" ref="M8058">+_xlfn.IFS((C8058&gt;='Resultats - informe'!$D$26)*(C8058&lt;='Resultats - informe'!$E$26),0,(C8058&gt;='Resultats - informe'!$D$27)*(C8058&lt;='Resultats - informe'!$E$27),0,(C8058&gt;='Resultats - informe'!$D$28)*(C8058&lt;='Resultats - informe'!$E$28),0,(C8058&gt;='Resultats - informe'!$D$29)*(C8058&lt;='Resultats - informe'!$E$29),0,1,1)</f>
        <v>0</v>
      </c>
      <c r="N8058" s="366">
        <f>+VLOOKUP(D8058,'Resultats - informe'!$Y$18:$AG$42,'Introducció dades consum'!K8058+1,0)</f>
        <v>0</v>
      </c>
      <c r="O8058" s="370" cm="1">
        <f t="array" ref="O8058">+_xlfn.SWITCH(MONTH(C8058),1,1,2,1,3,1,4,2,5,2,6,3,7,3,8,3,9,3,10,2,11,2,12,1,2)</f>
        <v>1</v>
      </c>
      <c r="P8058" s="43"/>
    </row>
    <row r="8059" spans="1:16" ht="18" x14ac:dyDescent="0.35">
      <c r="A8059" s="9"/>
      <c r="C8059" s="393"/>
      <c r="E8059" s="394"/>
      <c r="F8059" s="394"/>
      <c r="G8059" s="394"/>
      <c r="I8059" s="368">
        <f t="shared" si="381"/>
        <v>0</v>
      </c>
      <c r="J8059" s="365">
        <f t="shared" si="382"/>
        <v>0</v>
      </c>
      <c r="K8059" s="369">
        <f t="shared" si="383"/>
        <v>6</v>
      </c>
      <c r="L8059" s="369">
        <f>+IF((C8059&gt;='Resultats - informe'!$E$16)*(C8059&lt;='Resultats - informe'!$G$16),1,0)</f>
        <v>1</v>
      </c>
      <c r="M8059" s="369" cm="1">
        <f t="array" ref="M8059">+_xlfn.IFS((C8059&gt;='Resultats - informe'!$D$26)*(C8059&lt;='Resultats - informe'!$E$26),0,(C8059&gt;='Resultats - informe'!$D$27)*(C8059&lt;='Resultats - informe'!$E$27),0,(C8059&gt;='Resultats - informe'!$D$28)*(C8059&lt;='Resultats - informe'!$E$28),0,(C8059&gt;='Resultats - informe'!$D$29)*(C8059&lt;='Resultats - informe'!$E$29),0,1,1)</f>
        <v>0</v>
      </c>
      <c r="N8059" s="366">
        <f>+VLOOKUP(D8059,'Resultats - informe'!$Y$18:$AG$42,'Introducció dades consum'!K8059+1,0)</f>
        <v>0</v>
      </c>
      <c r="O8059" s="370" cm="1">
        <f t="array" ref="O8059">+_xlfn.SWITCH(MONTH(C8059),1,1,2,1,3,1,4,2,5,2,6,3,7,3,8,3,9,3,10,2,11,2,12,1,2)</f>
        <v>1</v>
      </c>
      <c r="P8059" s="43"/>
    </row>
    <row r="8060" spans="1:16" ht="18" x14ac:dyDescent="0.35">
      <c r="A8060" s="9"/>
      <c r="C8060" s="393"/>
      <c r="E8060" s="394"/>
      <c r="F8060" s="394"/>
      <c r="G8060" s="394"/>
      <c r="I8060" s="368">
        <f t="shared" si="381"/>
        <v>0</v>
      </c>
      <c r="J8060" s="365">
        <f t="shared" si="382"/>
        <v>0</v>
      </c>
      <c r="K8060" s="369">
        <f t="shared" si="383"/>
        <v>6</v>
      </c>
      <c r="L8060" s="369">
        <f>+IF((C8060&gt;='Resultats - informe'!$E$16)*(C8060&lt;='Resultats - informe'!$G$16),1,0)</f>
        <v>1</v>
      </c>
      <c r="M8060" s="369" cm="1">
        <f t="array" ref="M8060">+_xlfn.IFS((C8060&gt;='Resultats - informe'!$D$26)*(C8060&lt;='Resultats - informe'!$E$26),0,(C8060&gt;='Resultats - informe'!$D$27)*(C8060&lt;='Resultats - informe'!$E$27),0,(C8060&gt;='Resultats - informe'!$D$28)*(C8060&lt;='Resultats - informe'!$E$28),0,(C8060&gt;='Resultats - informe'!$D$29)*(C8060&lt;='Resultats - informe'!$E$29),0,1,1)</f>
        <v>0</v>
      </c>
      <c r="N8060" s="366">
        <f>+VLOOKUP(D8060,'Resultats - informe'!$Y$18:$AG$42,'Introducció dades consum'!K8060+1,0)</f>
        <v>0</v>
      </c>
      <c r="O8060" s="370" cm="1">
        <f t="array" ref="O8060">+_xlfn.SWITCH(MONTH(C8060),1,1,2,1,3,1,4,2,5,2,6,3,7,3,8,3,9,3,10,2,11,2,12,1,2)</f>
        <v>1</v>
      </c>
      <c r="P8060" s="43"/>
    </row>
    <row r="8061" spans="1:16" ht="18" x14ac:dyDescent="0.35">
      <c r="A8061" s="9"/>
      <c r="C8061" s="393"/>
      <c r="E8061" s="394"/>
      <c r="F8061" s="394"/>
      <c r="G8061" s="394"/>
      <c r="I8061" s="368">
        <f t="shared" si="381"/>
        <v>0</v>
      </c>
      <c r="J8061" s="365">
        <f t="shared" si="382"/>
        <v>0</v>
      </c>
      <c r="K8061" s="369">
        <f t="shared" si="383"/>
        <v>6</v>
      </c>
      <c r="L8061" s="369">
        <f>+IF((C8061&gt;='Resultats - informe'!$E$16)*(C8061&lt;='Resultats - informe'!$G$16),1,0)</f>
        <v>1</v>
      </c>
      <c r="M8061" s="369" cm="1">
        <f t="array" ref="M8061">+_xlfn.IFS((C8061&gt;='Resultats - informe'!$D$26)*(C8061&lt;='Resultats - informe'!$E$26),0,(C8061&gt;='Resultats - informe'!$D$27)*(C8061&lt;='Resultats - informe'!$E$27),0,(C8061&gt;='Resultats - informe'!$D$28)*(C8061&lt;='Resultats - informe'!$E$28),0,(C8061&gt;='Resultats - informe'!$D$29)*(C8061&lt;='Resultats - informe'!$E$29),0,1,1)</f>
        <v>0</v>
      </c>
      <c r="N8061" s="366">
        <f>+VLOOKUP(D8061,'Resultats - informe'!$Y$18:$AG$42,'Introducció dades consum'!K8061+1,0)</f>
        <v>0</v>
      </c>
      <c r="O8061" s="370" cm="1">
        <f t="array" ref="O8061">+_xlfn.SWITCH(MONTH(C8061),1,1,2,1,3,1,4,2,5,2,6,3,7,3,8,3,9,3,10,2,11,2,12,1,2)</f>
        <v>1</v>
      </c>
      <c r="P8061" s="43"/>
    </row>
    <row r="8062" spans="1:16" ht="18" x14ac:dyDescent="0.35">
      <c r="A8062" s="9"/>
      <c r="C8062" s="393"/>
      <c r="E8062" s="394"/>
      <c r="F8062" s="394"/>
      <c r="G8062" s="394"/>
      <c r="I8062" s="368">
        <f t="shared" si="381"/>
        <v>0</v>
      </c>
      <c r="J8062" s="365">
        <f t="shared" si="382"/>
        <v>0</v>
      </c>
      <c r="K8062" s="369">
        <f t="shared" si="383"/>
        <v>6</v>
      </c>
      <c r="L8062" s="369">
        <f>+IF((C8062&gt;='Resultats - informe'!$E$16)*(C8062&lt;='Resultats - informe'!$G$16),1,0)</f>
        <v>1</v>
      </c>
      <c r="M8062" s="369" cm="1">
        <f t="array" ref="M8062">+_xlfn.IFS((C8062&gt;='Resultats - informe'!$D$26)*(C8062&lt;='Resultats - informe'!$E$26),0,(C8062&gt;='Resultats - informe'!$D$27)*(C8062&lt;='Resultats - informe'!$E$27),0,(C8062&gt;='Resultats - informe'!$D$28)*(C8062&lt;='Resultats - informe'!$E$28),0,(C8062&gt;='Resultats - informe'!$D$29)*(C8062&lt;='Resultats - informe'!$E$29),0,1,1)</f>
        <v>0</v>
      </c>
      <c r="N8062" s="366">
        <f>+VLOOKUP(D8062,'Resultats - informe'!$Y$18:$AG$42,'Introducció dades consum'!K8062+1,0)</f>
        <v>0</v>
      </c>
      <c r="O8062" s="370" cm="1">
        <f t="array" ref="O8062">+_xlfn.SWITCH(MONTH(C8062),1,1,2,1,3,1,4,2,5,2,6,3,7,3,8,3,9,3,10,2,11,2,12,1,2)</f>
        <v>1</v>
      </c>
      <c r="P8062" s="43"/>
    </row>
    <row r="8063" spans="1:16" ht="18" x14ac:dyDescent="0.35">
      <c r="A8063" s="9"/>
      <c r="C8063" s="393"/>
      <c r="E8063" s="394"/>
      <c r="F8063" s="394"/>
      <c r="G8063" s="394"/>
      <c r="I8063" s="368">
        <f t="shared" si="381"/>
        <v>0</v>
      </c>
      <c r="J8063" s="365">
        <f t="shared" si="382"/>
        <v>0</v>
      </c>
      <c r="K8063" s="369">
        <f t="shared" si="383"/>
        <v>6</v>
      </c>
      <c r="L8063" s="369">
        <f>+IF((C8063&gt;='Resultats - informe'!$E$16)*(C8063&lt;='Resultats - informe'!$G$16),1,0)</f>
        <v>1</v>
      </c>
      <c r="M8063" s="369" cm="1">
        <f t="array" ref="M8063">+_xlfn.IFS((C8063&gt;='Resultats - informe'!$D$26)*(C8063&lt;='Resultats - informe'!$E$26),0,(C8063&gt;='Resultats - informe'!$D$27)*(C8063&lt;='Resultats - informe'!$E$27),0,(C8063&gt;='Resultats - informe'!$D$28)*(C8063&lt;='Resultats - informe'!$E$28),0,(C8063&gt;='Resultats - informe'!$D$29)*(C8063&lt;='Resultats - informe'!$E$29),0,1,1)</f>
        <v>0</v>
      </c>
      <c r="N8063" s="366">
        <f>+VLOOKUP(D8063,'Resultats - informe'!$Y$18:$AG$42,'Introducció dades consum'!K8063+1,0)</f>
        <v>0</v>
      </c>
      <c r="O8063" s="370" cm="1">
        <f t="array" ref="O8063">+_xlfn.SWITCH(MONTH(C8063),1,1,2,1,3,1,4,2,5,2,6,3,7,3,8,3,9,3,10,2,11,2,12,1,2)</f>
        <v>1</v>
      </c>
      <c r="P8063" s="43"/>
    </row>
    <row r="8064" spans="1:16" ht="18" x14ac:dyDescent="0.35">
      <c r="A8064" s="9"/>
      <c r="C8064" s="393"/>
      <c r="E8064" s="394"/>
      <c r="F8064" s="394"/>
      <c r="G8064" s="394"/>
      <c r="I8064" s="368">
        <f t="shared" si="381"/>
        <v>0</v>
      </c>
      <c r="J8064" s="365">
        <f t="shared" si="382"/>
        <v>0</v>
      </c>
      <c r="K8064" s="369">
        <f t="shared" si="383"/>
        <v>6</v>
      </c>
      <c r="L8064" s="369">
        <f>+IF((C8064&gt;='Resultats - informe'!$E$16)*(C8064&lt;='Resultats - informe'!$G$16),1,0)</f>
        <v>1</v>
      </c>
      <c r="M8064" s="369" cm="1">
        <f t="array" ref="M8064">+_xlfn.IFS((C8064&gt;='Resultats - informe'!$D$26)*(C8064&lt;='Resultats - informe'!$E$26),0,(C8064&gt;='Resultats - informe'!$D$27)*(C8064&lt;='Resultats - informe'!$E$27),0,(C8064&gt;='Resultats - informe'!$D$28)*(C8064&lt;='Resultats - informe'!$E$28),0,(C8064&gt;='Resultats - informe'!$D$29)*(C8064&lt;='Resultats - informe'!$E$29),0,1,1)</f>
        <v>0</v>
      </c>
      <c r="N8064" s="366">
        <f>+VLOOKUP(D8064,'Resultats - informe'!$Y$18:$AG$42,'Introducció dades consum'!K8064+1,0)</f>
        <v>0</v>
      </c>
      <c r="O8064" s="370" cm="1">
        <f t="array" ref="O8064">+_xlfn.SWITCH(MONTH(C8064),1,1,2,1,3,1,4,2,5,2,6,3,7,3,8,3,9,3,10,2,11,2,12,1,2)</f>
        <v>1</v>
      </c>
      <c r="P8064" s="43"/>
    </row>
    <row r="8065" spans="1:16" ht="18" x14ac:dyDescent="0.35">
      <c r="A8065" s="9"/>
      <c r="C8065" s="393"/>
      <c r="E8065" s="394"/>
      <c r="F8065" s="394"/>
      <c r="G8065" s="394"/>
      <c r="I8065" s="368">
        <f t="shared" si="381"/>
        <v>0</v>
      </c>
      <c r="J8065" s="365">
        <f t="shared" si="382"/>
        <v>0</v>
      </c>
      <c r="K8065" s="369">
        <f t="shared" si="383"/>
        <v>6</v>
      </c>
      <c r="L8065" s="369">
        <f>+IF((C8065&gt;='Resultats - informe'!$E$16)*(C8065&lt;='Resultats - informe'!$G$16),1,0)</f>
        <v>1</v>
      </c>
      <c r="M8065" s="369" cm="1">
        <f t="array" ref="M8065">+_xlfn.IFS((C8065&gt;='Resultats - informe'!$D$26)*(C8065&lt;='Resultats - informe'!$E$26),0,(C8065&gt;='Resultats - informe'!$D$27)*(C8065&lt;='Resultats - informe'!$E$27),0,(C8065&gt;='Resultats - informe'!$D$28)*(C8065&lt;='Resultats - informe'!$E$28),0,(C8065&gt;='Resultats - informe'!$D$29)*(C8065&lt;='Resultats - informe'!$E$29),0,1,1)</f>
        <v>0</v>
      </c>
      <c r="N8065" s="366">
        <f>+VLOOKUP(D8065,'Resultats - informe'!$Y$18:$AG$42,'Introducció dades consum'!K8065+1,0)</f>
        <v>0</v>
      </c>
      <c r="O8065" s="370" cm="1">
        <f t="array" ref="O8065">+_xlfn.SWITCH(MONTH(C8065),1,1,2,1,3,1,4,2,5,2,6,3,7,3,8,3,9,3,10,2,11,2,12,1,2)</f>
        <v>1</v>
      </c>
      <c r="P8065" s="43"/>
    </row>
    <row r="8066" spans="1:16" ht="18" x14ac:dyDescent="0.35">
      <c r="A8066" s="9"/>
      <c r="C8066" s="393"/>
      <c r="E8066" s="394"/>
      <c r="F8066" s="394"/>
      <c r="G8066" s="394"/>
      <c r="I8066" s="368">
        <f t="shared" si="381"/>
        <v>0</v>
      </c>
      <c r="J8066" s="365">
        <f t="shared" si="382"/>
        <v>0</v>
      </c>
      <c r="K8066" s="369">
        <f t="shared" si="383"/>
        <v>6</v>
      </c>
      <c r="L8066" s="369">
        <f>+IF((C8066&gt;='Resultats - informe'!$E$16)*(C8066&lt;='Resultats - informe'!$G$16),1,0)</f>
        <v>1</v>
      </c>
      <c r="M8066" s="369" cm="1">
        <f t="array" ref="M8066">+_xlfn.IFS((C8066&gt;='Resultats - informe'!$D$26)*(C8066&lt;='Resultats - informe'!$E$26),0,(C8066&gt;='Resultats - informe'!$D$27)*(C8066&lt;='Resultats - informe'!$E$27),0,(C8066&gt;='Resultats - informe'!$D$28)*(C8066&lt;='Resultats - informe'!$E$28),0,(C8066&gt;='Resultats - informe'!$D$29)*(C8066&lt;='Resultats - informe'!$E$29),0,1,1)</f>
        <v>0</v>
      </c>
      <c r="N8066" s="366">
        <f>+VLOOKUP(D8066,'Resultats - informe'!$Y$18:$AG$42,'Introducció dades consum'!K8066+1,0)</f>
        <v>0</v>
      </c>
      <c r="O8066" s="370" cm="1">
        <f t="array" ref="O8066">+_xlfn.SWITCH(MONTH(C8066),1,1,2,1,3,1,4,2,5,2,6,3,7,3,8,3,9,3,10,2,11,2,12,1,2)</f>
        <v>1</v>
      </c>
      <c r="P8066" s="43"/>
    </row>
    <row r="8067" spans="1:16" ht="18" x14ac:dyDescent="0.35">
      <c r="A8067" s="9"/>
      <c r="C8067" s="393"/>
      <c r="E8067" s="394"/>
      <c r="F8067" s="394"/>
      <c r="G8067" s="394"/>
      <c r="I8067" s="368">
        <f t="shared" si="381"/>
        <v>0</v>
      </c>
      <c r="J8067" s="365">
        <f t="shared" si="382"/>
        <v>0</v>
      </c>
      <c r="K8067" s="369">
        <f t="shared" si="383"/>
        <v>6</v>
      </c>
      <c r="L8067" s="369">
        <f>+IF((C8067&gt;='Resultats - informe'!$E$16)*(C8067&lt;='Resultats - informe'!$G$16),1,0)</f>
        <v>1</v>
      </c>
      <c r="M8067" s="369" cm="1">
        <f t="array" ref="M8067">+_xlfn.IFS((C8067&gt;='Resultats - informe'!$D$26)*(C8067&lt;='Resultats - informe'!$E$26),0,(C8067&gt;='Resultats - informe'!$D$27)*(C8067&lt;='Resultats - informe'!$E$27),0,(C8067&gt;='Resultats - informe'!$D$28)*(C8067&lt;='Resultats - informe'!$E$28),0,(C8067&gt;='Resultats - informe'!$D$29)*(C8067&lt;='Resultats - informe'!$E$29),0,1,1)</f>
        <v>0</v>
      </c>
      <c r="N8067" s="366">
        <f>+VLOOKUP(D8067,'Resultats - informe'!$Y$18:$AG$42,'Introducció dades consum'!K8067+1,0)</f>
        <v>0</v>
      </c>
      <c r="O8067" s="370" cm="1">
        <f t="array" ref="O8067">+_xlfn.SWITCH(MONTH(C8067),1,1,2,1,3,1,4,2,5,2,6,3,7,3,8,3,9,3,10,2,11,2,12,1,2)</f>
        <v>1</v>
      </c>
      <c r="P8067" s="43"/>
    </row>
    <row r="8068" spans="1:16" ht="18" x14ac:dyDescent="0.35">
      <c r="A8068" s="9"/>
      <c r="C8068" s="393"/>
      <c r="E8068" s="394"/>
      <c r="F8068" s="394"/>
      <c r="G8068" s="394"/>
      <c r="I8068" s="368">
        <f t="shared" si="381"/>
        <v>0</v>
      </c>
      <c r="J8068" s="365">
        <f t="shared" si="382"/>
        <v>0</v>
      </c>
      <c r="K8068" s="369">
        <f t="shared" si="383"/>
        <v>6</v>
      </c>
      <c r="L8068" s="369">
        <f>+IF((C8068&gt;='Resultats - informe'!$E$16)*(C8068&lt;='Resultats - informe'!$G$16),1,0)</f>
        <v>1</v>
      </c>
      <c r="M8068" s="369" cm="1">
        <f t="array" ref="M8068">+_xlfn.IFS((C8068&gt;='Resultats - informe'!$D$26)*(C8068&lt;='Resultats - informe'!$E$26),0,(C8068&gt;='Resultats - informe'!$D$27)*(C8068&lt;='Resultats - informe'!$E$27),0,(C8068&gt;='Resultats - informe'!$D$28)*(C8068&lt;='Resultats - informe'!$E$28),0,(C8068&gt;='Resultats - informe'!$D$29)*(C8068&lt;='Resultats - informe'!$E$29),0,1,1)</f>
        <v>0</v>
      </c>
      <c r="N8068" s="366">
        <f>+VLOOKUP(D8068,'Resultats - informe'!$Y$18:$AG$42,'Introducció dades consum'!K8068+1,0)</f>
        <v>0</v>
      </c>
      <c r="O8068" s="370" cm="1">
        <f t="array" ref="O8068">+_xlfn.SWITCH(MONTH(C8068),1,1,2,1,3,1,4,2,5,2,6,3,7,3,8,3,9,3,10,2,11,2,12,1,2)</f>
        <v>1</v>
      </c>
      <c r="P8068" s="43"/>
    </row>
    <row r="8069" spans="1:16" ht="18" x14ac:dyDescent="0.35">
      <c r="A8069" s="9"/>
      <c r="C8069" s="393"/>
      <c r="E8069" s="394"/>
      <c r="F8069" s="394"/>
      <c r="G8069" s="394"/>
      <c r="I8069" s="368">
        <f t="shared" si="381"/>
        <v>0</v>
      </c>
      <c r="J8069" s="365">
        <f t="shared" si="382"/>
        <v>0</v>
      </c>
      <c r="K8069" s="369">
        <f t="shared" si="383"/>
        <v>6</v>
      </c>
      <c r="L8069" s="369">
        <f>+IF((C8069&gt;='Resultats - informe'!$E$16)*(C8069&lt;='Resultats - informe'!$G$16),1,0)</f>
        <v>1</v>
      </c>
      <c r="M8069" s="369" cm="1">
        <f t="array" ref="M8069">+_xlfn.IFS((C8069&gt;='Resultats - informe'!$D$26)*(C8069&lt;='Resultats - informe'!$E$26),0,(C8069&gt;='Resultats - informe'!$D$27)*(C8069&lt;='Resultats - informe'!$E$27),0,(C8069&gt;='Resultats - informe'!$D$28)*(C8069&lt;='Resultats - informe'!$E$28),0,(C8069&gt;='Resultats - informe'!$D$29)*(C8069&lt;='Resultats - informe'!$E$29),0,1,1)</f>
        <v>0</v>
      </c>
      <c r="N8069" s="366">
        <f>+VLOOKUP(D8069,'Resultats - informe'!$Y$18:$AG$42,'Introducció dades consum'!K8069+1,0)</f>
        <v>0</v>
      </c>
      <c r="O8069" s="370" cm="1">
        <f t="array" ref="O8069">+_xlfn.SWITCH(MONTH(C8069),1,1,2,1,3,1,4,2,5,2,6,3,7,3,8,3,9,3,10,2,11,2,12,1,2)</f>
        <v>1</v>
      </c>
      <c r="P8069" s="43"/>
    </row>
    <row r="8070" spans="1:16" ht="18" x14ac:dyDescent="0.35">
      <c r="A8070" s="9"/>
      <c r="C8070" s="393"/>
      <c r="E8070" s="394"/>
      <c r="F8070" s="394"/>
      <c r="G8070" s="394"/>
      <c r="I8070" s="368">
        <f t="shared" si="381"/>
        <v>0</v>
      </c>
      <c r="J8070" s="365">
        <f t="shared" si="382"/>
        <v>0</v>
      </c>
      <c r="K8070" s="369">
        <f t="shared" si="383"/>
        <v>6</v>
      </c>
      <c r="L8070" s="369">
        <f>+IF((C8070&gt;='Resultats - informe'!$E$16)*(C8070&lt;='Resultats - informe'!$G$16),1,0)</f>
        <v>1</v>
      </c>
      <c r="M8070" s="369" cm="1">
        <f t="array" ref="M8070">+_xlfn.IFS((C8070&gt;='Resultats - informe'!$D$26)*(C8070&lt;='Resultats - informe'!$E$26),0,(C8070&gt;='Resultats - informe'!$D$27)*(C8070&lt;='Resultats - informe'!$E$27),0,(C8070&gt;='Resultats - informe'!$D$28)*(C8070&lt;='Resultats - informe'!$E$28),0,(C8070&gt;='Resultats - informe'!$D$29)*(C8070&lt;='Resultats - informe'!$E$29),0,1,1)</f>
        <v>0</v>
      </c>
      <c r="N8070" s="366">
        <f>+VLOOKUP(D8070,'Resultats - informe'!$Y$18:$AG$42,'Introducció dades consum'!K8070+1,0)</f>
        <v>0</v>
      </c>
      <c r="O8070" s="370" cm="1">
        <f t="array" ref="O8070">+_xlfn.SWITCH(MONTH(C8070),1,1,2,1,3,1,4,2,5,2,6,3,7,3,8,3,9,3,10,2,11,2,12,1,2)</f>
        <v>1</v>
      </c>
      <c r="P8070" s="43"/>
    </row>
    <row r="8071" spans="1:16" ht="18" x14ac:dyDescent="0.35">
      <c r="A8071" s="9"/>
      <c r="C8071" s="393"/>
      <c r="E8071" s="394"/>
      <c r="F8071" s="394"/>
      <c r="G8071" s="394"/>
      <c r="I8071" s="368">
        <f t="shared" si="381"/>
        <v>0</v>
      </c>
      <c r="J8071" s="365">
        <f t="shared" si="382"/>
        <v>0</v>
      </c>
      <c r="K8071" s="369">
        <f t="shared" si="383"/>
        <v>6</v>
      </c>
      <c r="L8071" s="369">
        <f>+IF((C8071&gt;='Resultats - informe'!$E$16)*(C8071&lt;='Resultats - informe'!$G$16),1,0)</f>
        <v>1</v>
      </c>
      <c r="M8071" s="369" cm="1">
        <f t="array" ref="M8071">+_xlfn.IFS((C8071&gt;='Resultats - informe'!$D$26)*(C8071&lt;='Resultats - informe'!$E$26),0,(C8071&gt;='Resultats - informe'!$D$27)*(C8071&lt;='Resultats - informe'!$E$27),0,(C8071&gt;='Resultats - informe'!$D$28)*(C8071&lt;='Resultats - informe'!$E$28),0,(C8071&gt;='Resultats - informe'!$D$29)*(C8071&lt;='Resultats - informe'!$E$29),0,1,1)</f>
        <v>0</v>
      </c>
      <c r="N8071" s="366">
        <f>+VLOOKUP(D8071,'Resultats - informe'!$Y$18:$AG$42,'Introducció dades consum'!K8071+1,0)</f>
        <v>0</v>
      </c>
      <c r="O8071" s="370" cm="1">
        <f t="array" ref="O8071">+_xlfn.SWITCH(MONTH(C8071),1,1,2,1,3,1,4,2,5,2,6,3,7,3,8,3,9,3,10,2,11,2,12,1,2)</f>
        <v>1</v>
      </c>
      <c r="P8071" s="43"/>
    </row>
    <row r="8072" spans="1:16" ht="18" x14ac:dyDescent="0.35">
      <c r="A8072" s="9"/>
      <c r="C8072" s="393"/>
      <c r="E8072" s="394"/>
      <c r="F8072" s="394"/>
      <c r="G8072" s="394"/>
      <c r="I8072" s="368">
        <f t="shared" si="381"/>
        <v>0</v>
      </c>
      <c r="J8072" s="365">
        <f t="shared" si="382"/>
        <v>0</v>
      </c>
      <c r="K8072" s="369">
        <f t="shared" si="383"/>
        <v>6</v>
      </c>
      <c r="L8072" s="369">
        <f>+IF((C8072&gt;='Resultats - informe'!$E$16)*(C8072&lt;='Resultats - informe'!$G$16),1,0)</f>
        <v>1</v>
      </c>
      <c r="M8072" s="369" cm="1">
        <f t="array" ref="M8072">+_xlfn.IFS((C8072&gt;='Resultats - informe'!$D$26)*(C8072&lt;='Resultats - informe'!$E$26),0,(C8072&gt;='Resultats - informe'!$D$27)*(C8072&lt;='Resultats - informe'!$E$27),0,(C8072&gt;='Resultats - informe'!$D$28)*(C8072&lt;='Resultats - informe'!$E$28),0,(C8072&gt;='Resultats - informe'!$D$29)*(C8072&lt;='Resultats - informe'!$E$29),0,1,1)</f>
        <v>0</v>
      </c>
      <c r="N8072" s="366">
        <f>+VLOOKUP(D8072,'Resultats - informe'!$Y$18:$AG$42,'Introducció dades consum'!K8072+1,0)</f>
        <v>0</v>
      </c>
      <c r="O8072" s="370" cm="1">
        <f t="array" ref="O8072">+_xlfn.SWITCH(MONTH(C8072),1,1,2,1,3,1,4,2,5,2,6,3,7,3,8,3,9,3,10,2,11,2,12,1,2)</f>
        <v>1</v>
      </c>
      <c r="P8072" s="43"/>
    </row>
    <row r="8073" spans="1:16" ht="18" x14ac:dyDescent="0.35">
      <c r="A8073" s="9"/>
      <c r="C8073" s="393"/>
      <c r="E8073" s="394"/>
      <c r="F8073" s="394"/>
      <c r="G8073" s="394"/>
      <c r="I8073" s="368">
        <f t="shared" si="381"/>
        <v>0</v>
      </c>
      <c r="J8073" s="365">
        <f t="shared" si="382"/>
        <v>0</v>
      </c>
      <c r="K8073" s="369">
        <f t="shared" si="383"/>
        <v>6</v>
      </c>
      <c r="L8073" s="369">
        <f>+IF((C8073&gt;='Resultats - informe'!$E$16)*(C8073&lt;='Resultats - informe'!$G$16),1,0)</f>
        <v>1</v>
      </c>
      <c r="M8073" s="369" cm="1">
        <f t="array" ref="M8073">+_xlfn.IFS((C8073&gt;='Resultats - informe'!$D$26)*(C8073&lt;='Resultats - informe'!$E$26),0,(C8073&gt;='Resultats - informe'!$D$27)*(C8073&lt;='Resultats - informe'!$E$27),0,(C8073&gt;='Resultats - informe'!$D$28)*(C8073&lt;='Resultats - informe'!$E$28),0,(C8073&gt;='Resultats - informe'!$D$29)*(C8073&lt;='Resultats - informe'!$E$29),0,1,1)</f>
        <v>0</v>
      </c>
      <c r="N8073" s="366">
        <f>+VLOOKUP(D8073,'Resultats - informe'!$Y$18:$AG$42,'Introducció dades consum'!K8073+1,0)</f>
        <v>0</v>
      </c>
      <c r="O8073" s="370" cm="1">
        <f t="array" ref="O8073">+_xlfn.SWITCH(MONTH(C8073),1,1,2,1,3,1,4,2,5,2,6,3,7,3,8,3,9,3,10,2,11,2,12,1,2)</f>
        <v>1</v>
      </c>
      <c r="P8073" s="43"/>
    </row>
    <row r="8074" spans="1:16" ht="18" x14ac:dyDescent="0.35">
      <c r="A8074" s="9"/>
      <c r="C8074" s="393"/>
      <c r="E8074" s="394"/>
      <c r="F8074" s="394"/>
      <c r="G8074" s="394"/>
      <c r="I8074" s="368">
        <f t="shared" si="381"/>
        <v>0</v>
      </c>
      <c r="J8074" s="365">
        <f t="shared" si="382"/>
        <v>0</v>
      </c>
      <c r="K8074" s="369">
        <f t="shared" si="383"/>
        <v>6</v>
      </c>
      <c r="L8074" s="369">
        <f>+IF((C8074&gt;='Resultats - informe'!$E$16)*(C8074&lt;='Resultats - informe'!$G$16),1,0)</f>
        <v>1</v>
      </c>
      <c r="M8074" s="369" cm="1">
        <f t="array" ref="M8074">+_xlfn.IFS((C8074&gt;='Resultats - informe'!$D$26)*(C8074&lt;='Resultats - informe'!$E$26),0,(C8074&gt;='Resultats - informe'!$D$27)*(C8074&lt;='Resultats - informe'!$E$27),0,(C8074&gt;='Resultats - informe'!$D$28)*(C8074&lt;='Resultats - informe'!$E$28),0,(C8074&gt;='Resultats - informe'!$D$29)*(C8074&lt;='Resultats - informe'!$E$29),0,1,1)</f>
        <v>0</v>
      </c>
      <c r="N8074" s="366">
        <f>+VLOOKUP(D8074,'Resultats - informe'!$Y$18:$AG$42,'Introducció dades consum'!K8074+1,0)</f>
        <v>0</v>
      </c>
      <c r="O8074" s="370" cm="1">
        <f t="array" ref="O8074">+_xlfn.SWITCH(MONTH(C8074),1,1,2,1,3,1,4,2,5,2,6,3,7,3,8,3,9,3,10,2,11,2,12,1,2)</f>
        <v>1</v>
      </c>
      <c r="P8074" s="43"/>
    </row>
    <row r="8075" spans="1:16" ht="18" x14ac:dyDescent="0.35">
      <c r="A8075" s="9"/>
      <c r="C8075" s="393"/>
      <c r="E8075" s="394"/>
      <c r="F8075" s="394"/>
      <c r="G8075" s="394"/>
      <c r="I8075" s="368">
        <f t="shared" si="381"/>
        <v>0</v>
      </c>
      <c r="J8075" s="365">
        <f t="shared" si="382"/>
        <v>0</v>
      </c>
      <c r="K8075" s="369">
        <f t="shared" si="383"/>
        <v>6</v>
      </c>
      <c r="L8075" s="369">
        <f>+IF((C8075&gt;='Resultats - informe'!$E$16)*(C8075&lt;='Resultats - informe'!$G$16),1,0)</f>
        <v>1</v>
      </c>
      <c r="M8075" s="369" cm="1">
        <f t="array" ref="M8075">+_xlfn.IFS((C8075&gt;='Resultats - informe'!$D$26)*(C8075&lt;='Resultats - informe'!$E$26),0,(C8075&gt;='Resultats - informe'!$D$27)*(C8075&lt;='Resultats - informe'!$E$27),0,(C8075&gt;='Resultats - informe'!$D$28)*(C8075&lt;='Resultats - informe'!$E$28),0,(C8075&gt;='Resultats - informe'!$D$29)*(C8075&lt;='Resultats - informe'!$E$29),0,1,1)</f>
        <v>0</v>
      </c>
      <c r="N8075" s="366">
        <f>+VLOOKUP(D8075,'Resultats - informe'!$Y$18:$AG$42,'Introducció dades consum'!K8075+1,0)</f>
        <v>0</v>
      </c>
      <c r="O8075" s="370" cm="1">
        <f t="array" ref="O8075">+_xlfn.SWITCH(MONTH(C8075),1,1,2,1,3,1,4,2,5,2,6,3,7,3,8,3,9,3,10,2,11,2,12,1,2)</f>
        <v>1</v>
      </c>
      <c r="P8075" s="43"/>
    </row>
    <row r="8076" spans="1:16" ht="18" x14ac:dyDescent="0.35">
      <c r="A8076" s="9"/>
      <c r="C8076" s="393"/>
      <c r="E8076" s="394"/>
      <c r="F8076" s="394"/>
      <c r="G8076" s="394"/>
      <c r="I8076" s="368">
        <f t="shared" si="381"/>
        <v>0</v>
      </c>
      <c r="J8076" s="365">
        <f t="shared" si="382"/>
        <v>0</v>
      </c>
      <c r="K8076" s="369">
        <f t="shared" si="383"/>
        <v>6</v>
      </c>
      <c r="L8076" s="369">
        <f>+IF((C8076&gt;='Resultats - informe'!$E$16)*(C8076&lt;='Resultats - informe'!$G$16),1,0)</f>
        <v>1</v>
      </c>
      <c r="M8076" s="369" cm="1">
        <f t="array" ref="M8076">+_xlfn.IFS((C8076&gt;='Resultats - informe'!$D$26)*(C8076&lt;='Resultats - informe'!$E$26),0,(C8076&gt;='Resultats - informe'!$D$27)*(C8076&lt;='Resultats - informe'!$E$27),0,(C8076&gt;='Resultats - informe'!$D$28)*(C8076&lt;='Resultats - informe'!$E$28),0,(C8076&gt;='Resultats - informe'!$D$29)*(C8076&lt;='Resultats - informe'!$E$29),0,1,1)</f>
        <v>0</v>
      </c>
      <c r="N8076" s="366">
        <f>+VLOOKUP(D8076,'Resultats - informe'!$Y$18:$AG$42,'Introducció dades consum'!K8076+1,0)</f>
        <v>0</v>
      </c>
      <c r="O8076" s="370" cm="1">
        <f t="array" ref="O8076">+_xlfn.SWITCH(MONTH(C8076),1,1,2,1,3,1,4,2,5,2,6,3,7,3,8,3,9,3,10,2,11,2,12,1,2)</f>
        <v>1</v>
      </c>
      <c r="P8076" s="43"/>
    </row>
    <row r="8077" spans="1:16" ht="18" x14ac:dyDescent="0.35">
      <c r="A8077" s="9"/>
      <c r="C8077" s="393"/>
      <c r="E8077" s="394"/>
      <c r="F8077" s="394"/>
      <c r="G8077" s="394"/>
      <c r="I8077" s="368">
        <f t="shared" si="381"/>
        <v>0</v>
      </c>
      <c r="J8077" s="365">
        <f t="shared" si="382"/>
        <v>0</v>
      </c>
      <c r="K8077" s="369">
        <f t="shared" si="383"/>
        <v>6</v>
      </c>
      <c r="L8077" s="369">
        <f>+IF((C8077&gt;='Resultats - informe'!$E$16)*(C8077&lt;='Resultats - informe'!$G$16),1,0)</f>
        <v>1</v>
      </c>
      <c r="M8077" s="369" cm="1">
        <f t="array" ref="M8077">+_xlfn.IFS((C8077&gt;='Resultats - informe'!$D$26)*(C8077&lt;='Resultats - informe'!$E$26),0,(C8077&gt;='Resultats - informe'!$D$27)*(C8077&lt;='Resultats - informe'!$E$27),0,(C8077&gt;='Resultats - informe'!$D$28)*(C8077&lt;='Resultats - informe'!$E$28),0,(C8077&gt;='Resultats - informe'!$D$29)*(C8077&lt;='Resultats - informe'!$E$29),0,1,1)</f>
        <v>0</v>
      </c>
      <c r="N8077" s="366">
        <f>+VLOOKUP(D8077,'Resultats - informe'!$Y$18:$AG$42,'Introducció dades consum'!K8077+1,0)</f>
        <v>0</v>
      </c>
      <c r="O8077" s="370" cm="1">
        <f t="array" ref="O8077">+_xlfn.SWITCH(MONTH(C8077),1,1,2,1,3,1,4,2,5,2,6,3,7,3,8,3,9,3,10,2,11,2,12,1,2)</f>
        <v>1</v>
      </c>
      <c r="P8077" s="43"/>
    </row>
    <row r="8078" spans="1:16" ht="18" x14ac:dyDescent="0.35">
      <c r="A8078" s="9"/>
      <c r="C8078" s="393"/>
      <c r="E8078" s="394"/>
      <c r="F8078" s="394"/>
      <c r="G8078" s="394"/>
      <c r="I8078" s="368">
        <f t="shared" si="381"/>
        <v>0</v>
      </c>
      <c r="J8078" s="365">
        <f t="shared" si="382"/>
        <v>0</v>
      </c>
      <c r="K8078" s="369">
        <f t="shared" si="383"/>
        <v>6</v>
      </c>
      <c r="L8078" s="369">
        <f>+IF((C8078&gt;='Resultats - informe'!$E$16)*(C8078&lt;='Resultats - informe'!$G$16),1,0)</f>
        <v>1</v>
      </c>
      <c r="M8078" s="369" cm="1">
        <f t="array" ref="M8078">+_xlfn.IFS((C8078&gt;='Resultats - informe'!$D$26)*(C8078&lt;='Resultats - informe'!$E$26),0,(C8078&gt;='Resultats - informe'!$D$27)*(C8078&lt;='Resultats - informe'!$E$27),0,(C8078&gt;='Resultats - informe'!$D$28)*(C8078&lt;='Resultats - informe'!$E$28),0,(C8078&gt;='Resultats - informe'!$D$29)*(C8078&lt;='Resultats - informe'!$E$29),0,1,1)</f>
        <v>0</v>
      </c>
      <c r="N8078" s="366">
        <f>+VLOOKUP(D8078,'Resultats - informe'!$Y$18:$AG$42,'Introducció dades consum'!K8078+1,0)</f>
        <v>0</v>
      </c>
      <c r="O8078" s="370" cm="1">
        <f t="array" ref="O8078">+_xlfn.SWITCH(MONTH(C8078),1,1,2,1,3,1,4,2,5,2,6,3,7,3,8,3,9,3,10,2,11,2,12,1,2)</f>
        <v>1</v>
      </c>
      <c r="P8078" s="43"/>
    </row>
    <row r="8079" spans="1:16" ht="18" x14ac:dyDescent="0.35">
      <c r="A8079" s="9"/>
      <c r="C8079" s="393"/>
      <c r="E8079" s="394"/>
      <c r="F8079" s="394"/>
      <c r="G8079" s="394"/>
      <c r="I8079" s="368">
        <f t="shared" si="381"/>
        <v>0</v>
      </c>
      <c r="J8079" s="365">
        <f t="shared" si="382"/>
        <v>0</v>
      </c>
      <c r="K8079" s="369">
        <f t="shared" si="383"/>
        <v>6</v>
      </c>
      <c r="L8079" s="369">
        <f>+IF((C8079&gt;='Resultats - informe'!$E$16)*(C8079&lt;='Resultats - informe'!$G$16),1,0)</f>
        <v>1</v>
      </c>
      <c r="M8079" s="369" cm="1">
        <f t="array" ref="M8079">+_xlfn.IFS((C8079&gt;='Resultats - informe'!$D$26)*(C8079&lt;='Resultats - informe'!$E$26),0,(C8079&gt;='Resultats - informe'!$D$27)*(C8079&lt;='Resultats - informe'!$E$27),0,(C8079&gt;='Resultats - informe'!$D$28)*(C8079&lt;='Resultats - informe'!$E$28),0,(C8079&gt;='Resultats - informe'!$D$29)*(C8079&lt;='Resultats - informe'!$E$29),0,1,1)</f>
        <v>0</v>
      </c>
      <c r="N8079" s="366">
        <f>+VLOOKUP(D8079,'Resultats - informe'!$Y$18:$AG$42,'Introducció dades consum'!K8079+1,0)</f>
        <v>0</v>
      </c>
      <c r="O8079" s="370" cm="1">
        <f t="array" ref="O8079">+_xlfn.SWITCH(MONTH(C8079),1,1,2,1,3,1,4,2,5,2,6,3,7,3,8,3,9,3,10,2,11,2,12,1,2)</f>
        <v>1</v>
      </c>
      <c r="P8079" s="43"/>
    </row>
    <row r="8080" spans="1:16" ht="18" x14ac:dyDescent="0.35">
      <c r="A8080" s="9"/>
      <c r="C8080" s="393"/>
      <c r="E8080" s="394"/>
      <c r="F8080" s="394"/>
      <c r="G8080" s="394"/>
      <c r="I8080" s="368">
        <f t="shared" si="381"/>
        <v>0</v>
      </c>
      <c r="J8080" s="365">
        <f t="shared" si="382"/>
        <v>0</v>
      </c>
      <c r="K8080" s="369">
        <f t="shared" si="383"/>
        <v>6</v>
      </c>
      <c r="L8080" s="369">
        <f>+IF((C8080&gt;='Resultats - informe'!$E$16)*(C8080&lt;='Resultats - informe'!$G$16),1,0)</f>
        <v>1</v>
      </c>
      <c r="M8080" s="369" cm="1">
        <f t="array" ref="M8080">+_xlfn.IFS((C8080&gt;='Resultats - informe'!$D$26)*(C8080&lt;='Resultats - informe'!$E$26),0,(C8080&gt;='Resultats - informe'!$D$27)*(C8080&lt;='Resultats - informe'!$E$27),0,(C8080&gt;='Resultats - informe'!$D$28)*(C8080&lt;='Resultats - informe'!$E$28),0,(C8080&gt;='Resultats - informe'!$D$29)*(C8080&lt;='Resultats - informe'!$E$29),0,1,1)</f>
        <v>0</v>
      </c>
      <c r="N8080" s="366">
        <f>+VLOOKUP(D8080,'Resultats - informe'!$Y$18:$AG$42,'Introducció dades consum'!K8080+1,0)</f>
        <v>0</v>
      </c>
      <c r="O8080" s="370" cm="1">
        <f t="array" ref="O8080">+_xlfn.SWITCH(MONTH(C8080),1,1,2,1,3,1,4,2,5,2,6,3,7,3,8,3,9,3,10,2,11,2,12,1,2)</f>
        <v>1</v>
      </c>
      <c r="P8080" s="43"/>
    </row>
    <row r="8081" spans="1:16" ht="18" x14ac:dyDescent="0.35">
      <c r="A8081" s="9"/>
      <c r="C8081" s="393"/>
      <c r="E8081" s="394"/>
      <c r="F8081" s="394"/>
      <c r="G8081" s="394"/>
      <c r="I8081" s="368">
        <f t="shared" si="381"/>
        <v>0</v>
      </c>
      <c r="J8081" s="365">
        <f t="shared" si="382"/>
        <v>0</v>
      </c>
      <c r="K8081" s="369">
        <f t="shared" si="383"/>
        <v>6</v>
      </c>
      <c r="L8081" s="369">
        <f>+IF((C8081&gt;='Resultats - informe'!$E$16)*(C8081&lt;='Resultats - informe'!$G$16),1,0)</f>
        <v>1</v>
      </c>
      <c r="M8081" s="369" cm="1">
        <f t="array" ref="M8081">+_xlfn.IFS((C8081&gt;='Resultats - informe'!$D$26)*(C8081&lt;='Resultats - informe'!$E$26),0,(C8081&gt;='Resultats - informe'!$D$27)*(C8081&lt;='Resultats - informe'!$E$27),0,(C8081&gt;='Resultats - informe'!$D$28)*(C8081&lt;='Resultats - informe'!$E$28),0,(C8081&gt;='Resultats - informe'!$D$29)*(C8081&lt;='Resultats - informe'!$E$29),0,1,1)</f>
        <v>0</v>
      </c>
      <c r="N8081" s="366">
        <f>+VLOOKUP(D8081,'Resultats - informe'!$Y$18:$AG$42,'Introducció dades consum'!K8081+1,0)</f>
        <v>0</v>
      </c>
      <c r="O8081" s="370" cm="1">
        <f t="array" ref="O8081">+_xlfn.SWITCH(MONTH(C8081),1,1,2,1,3,1,4,2,5,2,6,3,7,3,8,3,9,3,10,2,11,2,12,1,2)</f>
        <v>1</v>
      </c>
      <c r="P8081" s="43"/>
    </row>
    <row r="8082" spans="1:16" ht="18" x14ac:dyDescent="0.35">
      <c r="A8082" s="9"/>
      <c r="C8082" s="393"/>
      <c r="E8082" s="394"/>
      <c r="F8082" s="394"/>
      <c r="G8082" s="394"/>
      <c r="I8082" s="368">
        <f t="shared" ref="I8082:I8145" si="384">+E8082+G8082</f>
        <v>0</v>
      </c>
      <c r="J8082" s="365">
        <f t="shared" ref="J8082:J8145" si="385">+C8082</f>
        <v>0</v>
      </c>
      <c r="K8082" s="369">
        <f t="shared" ref="K8082:K8145" si="386">+WEEKDAY(C8082,2)</f>
        <v>6</v>
      </c>
      <c r="L8082" s="369">
        <f>+IF((C8082&gt;='Resultats - informe'!$E$16)*(C8082&lt;='Resultats - informe'!$G$16),1,0)</f>
        <v>1</v>
      </c>
      <c r="M8082" s="369" cm="1">
        <f t="array" ref="M8082">+_xlfn.IFS((C8082&gt;='Resultats - informe'!$D$26)*(C8082&lt;='Resultats - informe'!$E$26),0,(C8082&gt;='Resultats - informe'!$D$27)*(C8082&lt;='Resultats - informe'!$E$27),0,(C8082&gt;='Resultats - informe'!$D$28)*(C8082&lt;='Resultats - informe'!$E$28),0,(C8082&gt;='Resultats - informe'!$D$29)*(C8082&lt;='Resultats - informe'!$E$29),0,1,1)</f>
        <v>0</v>
      </c>
      <c r="N8082" s="366">
        <f>+VLOOKUP(D8082,'Resultats - informe'!$Y$18:$AG$42,'Introducció dades consum'!K8082+1,0)</f>
        <v>0</v>
      </c>
      <c r="O8082" s="370" cm="1">
        <f t="array" ref="O8082">+_xlfn.SWITCH(MONTH(C8082),1,1,2,1,3,1,4,2,5,2,6,3,7,3,8,3,9,3,10,2,11,2,12,1,2)</f>
        <v>1</v>
      </c>
      <c r="P8082" s="43"/>
    </row>
    <row r="8083" spans="1:16" ht="18" x14ac:dyDescent="0.35">
      <c r="A8083" s="9"/>
      <c r="C8083" s="393"/>
      <c r="E8083" s="394"/>
      <c r="F8083" s="394"/>
      <c r="G8083" s="394"/>
      <c r="I8083" s="368">
        <f t="shared" si="384"/>
        <v>0</v>
      </c>
      <c r="J8083" s="365">
        <f t="shared" si="385"/>
        <v>0</v>
      </c>
      <c r="K8083" s="369">
        <f t="shared" si="386"/>
        <v>6</v>
      </c>
      <c r="L8083" s="369">
        <f>+IF((C8083&gt;='Resultats - informe'!$E$16)*(C8083&lt;='Resultats - informe'!$G$16),1,0)</f>
        <v>1</v>
      </c>
      <c r="M8083" s="369" cm="1">
        <f t="array" ref="M8083">+_xlfn.IFS((C8083&gt;='Resultats - informe'!$D$26)*(C8083&lt;='Resultats - informe'!$E$26),0,(C8083&gt;='Resultats - informe'!$D$27)*(C8083&lt;='Resultats - informe'!$E$27),0,(C8083&gt;='Resultats - informe'!$D$28)*(C8083&lt;='Resultats - informe'!$E$28),0,(C8083&gt;='Resultats - informe'!$D$29)*(C8083&lt;='Resultats - informe'!$E$29),0,1,1)</f>
        <v>0</v>
      </c>
      <c r="N8083" s="366">
        <f>+VLOOKUP(D8083,'Resultats - informe'!$Y$18:$AG$42,'Introducció dades consum'!K8083+1,0)</f>
        <v>0</v>
      </c>
      <c r="O8083" s="370" cm="1">
        <f t="array" ref="O8083">+_xlfn.SWITCH(MONTH(C8083),1,1,2,1,3,1,4,2,5,2,6,3,7,3,8,3,9,3,10,2,11,2,12,1,2)</f>
        <v>1</v>
      </c>
      <c r="P8083" s="43"/>
    </row>
    <row r="8084" spans="1:16" ht="18" x14ac:dyDescent="0.35">
      <c r="A8084" s="9"/>
      <c r="C8084" s="393"/>
      <c r="E8084" s="394"/>
      <c r="F8084" s="394"/>
      <c r="G8084" s="394"/>
      <c r="I8084" s="368">
        <f t="shared" si="384"/>
        <v>0</v>
      </c>
      <c r="J8084" s="365">
        <f t="shared" si="385"/>
        <v>0</v>
      </c>
      <c r="K8084" s="369">
        <f t="shared" si="386"/>
        <v>6</v>
      </c>
      <c r="L8084" s="369">
        <f>+IF((C8084&gt;='Resultats - informe'!$E$16)*(C8084&lt;='Resultats - informe'!$G$16),1,0)</f>
        <v>1</v>
      </c>
      <c r="M8084" s="369" cm="1">
        <f t="array" ref="M8084">+_xlfn.IFS((C8084&gt;='Resultats - informe'!$D$26)*(C8084&lt;='Resultats - informe'!$E$26),0,(C8084&gt;='Resultats - informe'!$D$27)*(C8084&lt;='Resultats - informe'!$E$27),0,(C8084&gt;='Resultats - informe'!$D$28)*(C8084&lt;='Resultats - informe'!$E$28),0,(C8084&gt;='Resultats - informe'!$D$29)*(C8084&lt;='Resultats - informe'!$E$29),0,1,1)</f>
        <v>0</v>
      </c>
      <c r="N8084" s="366">
        <f>+VLOOKUP(D8084,'Resultats - informe'!$Y$18:$AG$42,'Introducció dades consum'!K8084+1,0)</f>
        <v>0</v>
      </c>
      <c r="O8084" s="370" cm="1">
        <f t="array" ref="O8084">+_xlfn.SWITCH(MONTH(C8084),1,1,2,1,3,1,4,2,5,2,6,3,7,3,8,3,9,3,10,2,11,2,12,1,2)</f>
        <v>1</v>
      </c>
      <c r="P8084" s="43"/>
    </row>
    <row r="8085" spans="1:16" ht="18" x14ac:dyDescent="0.35">
      <c r="A8085" s="9"/>
      <c r="C8085" s="393"/>
      <c r="E8085" s="394"/>
      <c r="F8085" s="394"/>
      <c r="G8085" s="394"/>
      <c r="I8085" s="368">
        <f t="shared" si="384"/>
        <v>0</v>
      </c>
      <c r="J8085" s="365">
        <f t="shared" si="385"/>
        <v>0</v>
      </c>
      <c r="K8085" s="369">
        <f t="shared" si="386"/>
        <v>6</v>
      </c>
      <c r="L8085" s="369">
        <f>+IF((C8085&gt;='Resultats - informe'!$E$16)*(C8085&lt;='Resultats - informe'!$G$16),1,0)</f>
        <v>1</v>
      </c>
      <c r="M8085" s="369" cm="1">
        <f t="array" ref="M8085">+_xlfn.IFS((C8085&gt;='Resultats - informe'!$D$26)*(C8085&lt;='Resultats - informe'!$E$26),0,(C8085&gt;='Resultats - informe'!$D$27)*(C8085&lt;='Resultats - informe'!$E$27),0,(C8085&gt;='Resultats - informe'!$D$28)*(C8085&lt;='Resultats - informe'!$E$28),0,(C8085&gt;='Resultats - informe'!$D$29)*(C8085&lt;='Resultats - informe'!$E$29),0,1,1)</f>
        <v>0</v>
      </c>
      <c r="N8085" s="366">
        <f>+VLOOKUP(D8085,'Resultats - informe'!$Y$18:$AG$42,'Introducció dades consum'!K8085+1,0)</f>
        <v>0</v>
      </c>
      <c r="O8085" s="370" cm="1">
        <f t="array" ref="O8085">+_xlfn.SWITCH(MONTH(C8085),1,1,2,1,3,1,4,2,5,2,6,3,7,3,8,3,9,3,10,2,11,2,12,1,2)</f>
        <v>1</v>
      </c>
      <c r="P8085" s="43"/>
    </row>
    <row r="8086" spans="1:16" ht="18" x14ac:dyDescent="0.35">
      <c r="A8086" s="9"/>
      <c r="C8086" s="393"/>
      <c r="E8086" s="394"/>
      <c r="F8086" s="394"/>
      <c r="G8086" s="394"/>
      <c r="I8086" s="368">
        <f t="shared" si="384"/>
        <v>0</v>
      </c>
      <c r="J8086" s="365">
        <f t="shared" si="385"/>
        <v>0</v>
      </c>
      <c r="K8086" s="369">
        <f t="shared" si="386"/>
        <v>6</v>
      </c>
      <c r="L8086" s="369">
        <f>+IF((C8086&gt;='Resultats - informe'!$E$16)*(C8086&lt;='Resultats - informe'!$G$16),1,0)</f>
        <v>1</v>
      </c>
      <c r="M8086" s="369" cm="1">
        <f t="array" ref="M8086">+_xlfn.IFS((C8086&gt;='Resultats - informe'!$D$26)*(C8086&lt;='Resultats - informe'!$E$26),0,(C8086&gt;='Resultats - informe'!$D$27)*(C8086&lt;='Resultats - informe'!$E$27),0,(C8086&gt;='Resultats - informe'!$D$28)*(C8086&lt;='Resultats - informe'!$E$28),0,(C8086&gt;='Resultats - informe'!$D$29)*(C8086&lt;='Resultats - informe'!$E$29),0,1,1)</f>
        <v>0</v>
      </c>
      <c r="N8086" s="366">
        <f>+VLOOKUP(D8086,'Resultats - informe'!$Y$18:$AG$42,'Introducció dades consum'!K8086+1,0)</f>
        <v>0</v>
      </c>
      <c r="O8086" s="370" cm="1">
        <f t="array" ref="O8086">+_xlfn.SWITCH(MONTH(C8086),1,1,2,1,3,1,4,2,5,2,6,3,7,3,8,3,9,3,10,2,11,2,12,1,2)</f>
        <v>1</v>
      </c>
      <c r="P8086" s="43"/>
    </row>
    <row r="8087" spans="1:16" ht="18" x14ac:dyDescent="0.35">
      <c r="A8087" s="9"/>
      <c r="C8087" s="393"/>
      <c r="E8087" s="394"/>
      <c r="F8087" s="394"/>
      <c r="G8087" s="394"/>
      <c r="I8087" s="368">
        <f t="shared" si="384"/>
        <v>0</v>
      </c>
      <c r="J8087" s="365">
        <f t="shared" si="385"/>
        <v>0</v>
      </c>
      <c r="K8087" s="369">
        <f t="shared" si="386"/>
        <v>6</v>
      </c>
      <c r="L8087" s="369">
        <f>+IF((C8087&gt;='Resultats - informe'!$E$16)*(C8087&lt;='Resultats - informe'!$G$16),1,0)</f>
        <v>1</v>
      </c>
      <c r="M8087" s="369" cm="1">
        <f t="array" ref="M8087">+_xlfn.IFS((C8087&gt;='Resultats - informe'!$D$26)*(C8087&lt;='Resultats - informe'!$E$26),0,(C8087&gt;='Resultats - informe'!$D$27)*(C8087&lt;='Resultats - informe'!$E$27),0,(C8087&gt;='Resultats - informe'!$D$28)*(C8087&lt;='Resultats - informe'!$E$28),0,(C8087&gt;='Resultats - informe'!$D$29)*(C8087&lt;='Resultats - informe'!$E$29),0,1,1)</f>
        <v>0</v>
      </c>
      <c r="N8087" s="366">
        <f>+VLOOKUP(D8087,'Resultats - informe'!$Y$18:$AG$42,'Introducció dades consum'!K8087+1,0)</f>
        <v>0</v>
      </c>
      <c r="O8087" s="370" cm="1">
        <f t="array" ref="O8087">+_xlfn.SWITCH(MONTH(C8087),1,1,2,1,3,1,4,2,5,2,6,3,7,3,8,3,9,3,10,2,11,2,12,1,2)</f>
        <v>1</v>
      </c>
      <c r="P8087" s="43"/>
    </row>
    <row r="8088" spans="1:16" ht="18" x14ac:dyDescent="0.35">
      <c r="A8088" s="9"/>
      <c r="C8088" s="393"/>
      <c r="E8088" s="394"/>
      <c r="F8088" s="394"/>
      <c r="G8088" s="394"/>
      <c r="I8088" s="368">
        <f t="shared" si="384"/>
        <v>0</v>
      </c>
      <c r="J8088" s="365">
        <f t="shared" si="385"/>
        <v>0</v>
      </c>
      <c r="K8088" s="369">
        <f t="shared" si="386"/>
        <v>6</v>
      </c>
      <c r="L8088" s="369">
        <f>+IF((C8088&gt;='Resultats - informe'!$E$16)*(C8088&lt;='Resultats - informe'!$G$16),1,0)</f>
        <v>1</v>
      </c>
      <c r="M8088" s="369" cm="1">
        <f t="array" ref="M8088">+_xlfn.IFS((C8088&gt;='Resultats - informe'!$D$26)*(C8088&lt;='Resultats - informe'!$E$26),0,(C8088&gt;='Resultats - informe'!$D$27)*(C8088&lt;='Resultats - informe'!$E$27),0,(C8088&gt;='Resultats - informe'!$D$28)*(C8088&lt;='Resultats - informe'!$E$28),0,(C8088&gt;='Resultats - informe'!$D$29)*(C8088&lt;='Resultats - informe'!$E$29),0,1,1)</f>
        <v>0</v>
      </c>
      <c r="N8088" s="366">
        <f>+VLOOKUP(D8088,'Resultats - informe'!$Y$18:$AG$42,'Introducció dades consum'!K8088+1,0)</f>
        <v>0</v>
      </c>
      <c r="O8088" s="370" cm="1">
        <f t="array" ref="O8088">+_xlfn.SWITCH(MONTH(C8088),1,1,2,1,3,1,4,2,5,2,6,3,7,3,8,3,9,3,10,2,11,2,12,1,2)</f>
        <v>1</v>
      </c>
      <c r="P8088" s="43"/>
    </row>
    <row r="8089" spans="1:16" ht="18" x14ac:dyDescent="0.35">
      <c r="A8089" s="9"/>
      <c r="C8089" s="393"/>
      <c r="E8089" s="394"/>
      <c r="F8089" s="394"/>
      <c r="G8089" s="394"/>
      <c r="I8089" s="368">
        <f t="shared" si="384"/>
        <v>0</v>
      </c>
      <c r="J8089" s="365">
        <f t="shared" si="385"/>
        <v>0</v>
      </c>
      <c r="K8089" s="369">
        <f t="shared" si="386"/>
        <v>6</v>
      </c>
      <c r="L8089" s="369">
        <f>+IF((C8089&gt;='Resultats - informe'!$E$16)*(C8089&lt;='Resultats - informe'!$G$16),1,0)</f>
        <v>1</v>
      </c>
      <c r="M8089" s="369" cm="1">
        <f t="array" ref="M8089">+_xlfn.IFS((C8089&gt;='Resultats - informe'!$D$26)*(C8089&lt;='Resultats - informe'!$E$26),0,(C8089&gt;='Resultats - informe'!$D$27)*(C8089&lt;='Resultats - informe'!$E$27),0,(C8089&gt;='Resultats - informe'!$D$28)*(C8089&lt;='Resultats - informe'!$E$28),0,(C8089&gt;='Resultats - informe'!$D$29)*(C8089&lt;='Resultats - informe'!$E$29),0,1,1)</f>
        <v>0</v>
      </c>
      <c r="N8089" s="366">
        <f>+VLOOKUP(D8089,'Resultats - informe'!$Y$18:$AG$42,'Introducció dades consum'!K8089+1,0)</f>
        <v>0</v>
      </c>
      <c r="O8089" s="370" cm="1">
        <f t="array" ref="O8089">+_xlfn.SWITCH(MONTH(C8089),1,1,2,1,3,1,4,2,5,2,6,3,7,3,8,3,9,3,10,2,11,2,12,1,2)</f>
        <v>1</v>
      </c>
      <c r="P8089" s="43"/>
    </row>
    <row r="8090" spans="1:16" ht="18" x14ac:dyDescent="0.35">
      <c r="A8090" s="9"/>
      <c r="C8090" s="393"/>
      <c r="E8090" s="394"/>
      <c r="F8090" s="394"/>
      <c r="G8090" s="394"/>
      <c r="I8090" s="368">
        <f t="shared" si="384"/>
        <v>0</v>
      </c>
      <c r="J8090" s="365">
        <f t="shared" si="385"/>
        <v>0</v>
      </c>
      <c r="K8090" s="369">
        <f t="shared" si="386"/>
        <v>6</v>
      </c>
      <c r="L8090" s="369">
        <f>+IF((C8090&gt;='Resultats - informe'!$E$16)*(C8090&lt;='Resultats - informe'!$G$16),1,0)</f>
        <v>1</v>
      </c>
      <c r="M8090" s="369" cm="1">
        <f t="array" ref="M8090">+_xlfn.IFS((C8090&gt;='Resultats - informe'!$D$26)*(C8090&lt;='Resultats - informe'!$E$26),0,(C8090&gt;='Resultats - informe'!$D$27)*(C8090&lt;='Resultats - informe'!$E$27),0,(C8090&gt;='Resultats - informe'!$D$28)*(C8090&lt;='Resultats - informe'!$E$28),0,(C8090&gt;='Resultats - informe'!$D$29)*(C8090&lt;='Resultats - informe'!$E$29),0,1,1)</f>
        <v>0</v>
      </c>
      <c r="N8090" s="366">
        <f>+VLOOKUP(D8090,'Resultats - informe'!$Y$18:$AG$42,'Introducció dades consum'!K8090+1,0)</f>
        <v>0</v>
      </c>
      <c r="O8090" s="370" cm="1">
        <f t="array" ref="O8090">+_xlfn.SWITCH(MONTH(C8090),1,1,2,1,3,1,4,2,5,2,6,3,7,3,8,3,9,3,10,2,11,2,12,1,2)</f>
        <v>1</v>
      </c>
      <c r="P8090" s="43"/>
    </row>
    <row r="8091" spans="1:16" ht="18" x14ac:dyDescent="0.35">
      <c r="A8091" s="9"/>
      <c r="C8091" s="393"/>
      <c r="E8091" s="394"/>
      <c r="F8091" s="394"/>
      <c r="G8091" s="394"/>
      <c r="I8091" s="368">
        <f t="shared" si="384"/>
        <v>0</v>
      </c>
      <c r="J8091" s="365">
        <f t="shared" si="385"/>
        <v>0</v>
      </c>
      <c r="K8091" s="369">
        <f t="shared" si="386"/>
        <v>6</v>
      </c>
      <c r="L8091" s="369">
        <f>+IF((C8091&gt;='Resultats - informe'!$E$16)*(C8091&lt;='Resultats - informe'!$G$16),1,0)</f>
        <v>1</v>
      </c>
      <c r="M8091" s="369" cm="1">
        <f t="array" ref="M8091">+_xlfn.IFS((C8091&gt;='Resultats - informe'!$D$26)*(C8091&lt;='Resultats - informe'!$E$26),0,(C8091&gt;='Resultats - informe'!$D$27)*(C8091&lt;='Resultats - informe'!$E$27),0,(C8091&gt;='Resultats - informe'!$D$28)*(C8091&lt;='Resultats - informe'!$E$28),0,(C8091&gt;='Resultats - informe'!$D$29)*(C8091&lt;='Resultats - informe'!$E$29),0,1,1)</f>
        <v>0</v>
      </c>
      <c r="N8091" s="366">
        <f>+VLOOKUP(D8091,'Resultats - informe'!$Y$18:$AG$42,'Introducció dades consum'!K8091+1,0)</f>
        <v>0</v>
      </c>
      <c r="O8091" s="370" cm="1">
        <f t="array" ref="O8091">+_xlfn.SWITCH(MONTH(C8091),1,1,2,1,3,1,4,2,5,2,6,3,7,3,8,3,9,3,10,2,11,2,12,1,2)</f>
        <v>1</v>
      </c>
      <c r="P8091" s="43"/>
    </row>
    <row r="8092" spans="1:16" ht="18" x14ac:dyDescent="0.35">
      <c r="A8092" s="9"/>
      <c r="C8092" s="393"/>
      <c r="E8092" s="394"/>
      <c r="F8092" s="394"/>
      <c r="G8092" s="394"/>
      <c r="I8092" s="368">
        <f t="shared" si="384"/>
        <v>0</v>
      </c>
      <c r="J8092" s="365">
        <f t="shared" si="385"/>
        <v>0</v>
      </c>
      <c r="K8092" s="369">
        <f t="shared" si="386"/>
        <v>6</v>
      </c>
      <c r="L8092" s="369">
        <f>+IF((C8092&gt;='Resultats - informe'!$E$16)*(C8092&lt;='Resultats - informe'!$G$16),1,0)</f>
        <v>1</v>
      </c>
      <c r="M8092" s="369" cm="1">
        <f t="array" ref="M8092">+_xlfn.IFS((C8092&gt;='Resultats - informe'!$D$26)*(C8092&lt;='Resultats - informe'!$E$26),0,(C8092&gt;='Resultats - informe'!$D$27)*(C8092&lt;='Resultats - informe'!$E$27),0,(C8092&gt;='Resultats - informe'!$D$28)*(C8092&lt;='Resultats - informe'!$E$28),0,(C8092&gt;='Resultats - informe'!$D$29)*(C8092&lt;='Resultats - informe'!$E$29),0,1,1)</f>
        <v>0</v>
      </c>
      <c r="N8092" s="366">
        <f>+VLOOKUP(D8092,'Resultats - informe'!$Y$18:$AG$42,'Introducció dades consum'!K8092+1,0)</f>
        <v>0</v>
      </c>
      <c r="O8092" s="370" cm="1">
        <f t="array" ref="O8092">+_xlfn.SWITCH(MONTH(C8092),1,1,2,1,3,1,4,2,5,2,6,3,7,3,8,3,9,3,10,2,11,2,12,1,2)</f>
        <v>1</v>
      </c>
      <c r="P8092" s="43"/>
    </row>
    <row r="8093" spans="1:16" ht="18" x14ac:dyDescent="0.35">
      <c r="A8093" s="9"/>
      <c r="C8093" s="393"/>
      <c r="E8093" s="394"/>
      <c r="F8093" s="394"/>
      <c r="G8093" s="394"/>
      <c r="I8093" s="368">
        <f t="shared" si="384"/>
        <v>0</v>
      </c>
      <c r="J8093" s="365">
        <f t="shared" si="385"/>
        <v>0</v>
      </c>
      <c r="K8093" s="369">
        <f t="shared" si="386"/>
        <v>6</v>
      </c>
      <c r="L8093" s="369">
        <f>+IF((C8093&gt;='Resultats - informe'!$E$16)*(C8093&lt;='Resultats - informe'!$G$16),1,0)</f>
        <v>1</v>
      </c>
      <c r="M8093" s="369" cm="1">
        <f t="array" ref="M8093">+_xlfn.IFS((C8093&gt;='Resultats - informe'!$D$26)*(C8093&lt;='Resultats - informe'!$E$26),0,(C8093&gt;='Resultats - informe'!$D$27)*(C8093&lt;='Resultats - informe'!$E$27),0,(C8093&gt;='Resultats - informe'!$D$28)*(C8093&lt;='Resultats - informe'!$E$28),0,(C8093&gt;='Resultats - informe'!$D$29)*(C8093&lt;='Resultats - informe'!$E$29),0,1,1)</f>
        <v>0</v>
      </c>
      <c r="N8093" s="366">
        <f>+VLOOKUP(D8093,'Resultats - informe'!$Y$18:$AG$42,'Introducció dades consum'!K8093+1,0)</f>
        <v>0</v>
      </c>
      <c r="O8093" s="370" cm="1">
        <f t="array" ref="O8093">+_xlfn.SWITCH(MONTH(C8093),1,1,2,1,3,1,4,2,5,2,6,3,7,3,8,3,9,3,10,2,11,2,12,1,2)</f>
        <v>1</v>
      </c>
      <c r="P8093" s="43"/>
    </row>
    <row r="8094" spans="1:16" ht="18" x14ac:dyDescent="0.35">
      <c r="A8094" s="9"/>
      <c r="C8094" s="393"/>
      <c r="E8094" s="394"/>
      <c r="F8094" s="394"/>
      <c r="G8094" s="394"/>
      <c r="I8094" s="368">
        <f t="shared" si="384"/>
        <v>0</v>
      </c>
      <c r="J8094" s="365">
        <f t="shared" si="385"/>
        <v>0</v>
      </c>
      <c r="K8094" s="369">
        <f t="shared" si="386"/>
        <v>6</v>
      </c>
      <c r="L8094" s="369">
        <f>+IF((C8094&gt;='Resultats - informe'!$E$16)*(C8094&lt;='Resultats - informe'!$G$16),1,0)</f>
        <v>1</v>
      </c>
      <c r="M8094" s="369" cm="1">
        <f t="array" ref="M8094">+_xlfn.IFS((C8094&gt;='Resultats - informe'!$D$26)*(C8094&lt;='Resultats - informe'!$E$26),0,(C8094&gt;='Resultats - informe'!$D$27)*(C8094&lt;='Resultats - informe'!$E$27),0,(C8094&gt;='Resultats - informe'!$D$28)*(C8094&lt;='Resultats - informe'!$E$28),0,(C8094&gt;='Resultats - informe'!$D$29)*(C8094&lt;='Resultats - informe'!$E$29),0,1,1)</f>
        <v>0</v>
      </c>
      <c r="N8094" s="366">
        <f>+VLOOKUP(D8094,'Resultats - informe'!$Y$18:$AG$42,'Introducció dades consum'!K8094+1,0)</f>
        <v>0</v>
      </c>
      <c r="O8094" s="370" cm="1">
        <f t="array" ref="O8094">+_xlfn.SWITCH(MONTH(C8094),1,1,2,1,3,1,4,2,5,2,6,3,7,3,8,3,9,3,10,2,11,2,12,1,2)</f>
        <v>1</v>
      </c>
      <c r="P8094" s="43"/>
    </row>
    <row r="8095" spans="1:16" ht="18" x14ac:dyDescent="0.35">
      <c r="A8095" s="9"/>
      <c r="C8095" s="393"/>
      <c r="E8095" s="394"/>
      <c r="F8095" s="394"/>
      <c r="G8095" s="394"/>
      <c r="I8095" s="368">
        <f t="shared" si="384"/>
        <v>0</v>
      </c>
      <c r="J8095" s="365">
        <f t="shared" si="385"/>
        <v>0</v>
      </c>
      <c r="K8095" s="369">
        <f t="shared" si="386"/>
        <v>6</v>
      </c>
      <c r="L8095" s="369">
        <f>+IF((C8095&gt;='Resultats - informe'!$E$16)*(C8095&lt;='Resultats - informe'!$G$16),1,0)</f>
        <v>1</v>
      </c>
      <c r="M8095" s="369" cm="1">
        <f t="array" ref="M8095">+_xlfn.IFS((C8095&gt;='Resultats - informe'!$D$26)*(C8095&lt;='Resultats - informe'!$E$26),0,(C8095&gt;='Resultats - informe'!$D$27)*(C8095&lt;='Resultats - informe'!$E$27),0,(C8095&gt;='Resultats - informe'!$D$28)*(C8095&lt;='Resultats - informe'!$E$28),0,(C8095&gt;='Resultats - informe'!$D$29)*(C8095&lt;='Resultats - informe'!$E$29),0,1,1)</f>
        <v>0</v>
      </c>
      <c r="N8095" s="366">
        <f>+VLOOKUP(D8095,'Resultats - informe'!$Y$18:$AG$42,'Introducció dades consum'!K8095+1,0)</f>
        <v>0</v>
      </c>
      <c r="O8095" s="370" cm="1">
        <f t="array" ref="O8095">+_xlfn.SWITCH(MONTH(C8095),1,1,2,1,3,1,4,2,5,2,6,3,7,3,8,3,9,3,10,2,11,2,12,1,2)</f>
        <v>1</v>
      </c>
      <c r="P8095" s="43"/>
    </row>
    <row r="8096" spans="1:16" ht="18" x14ac:dyDescent="0.35">
      <c r="A8096" s="9"/>
      <c r="C8096" s="393"/>
      <c r="E8096" s="394"/>
      <c r="F8096" s="394"/>
      <c r="G8096" s="394"/>
      <c r="I8096" s="368">
        <f t="shared" si="384"/>
        <v>0</v>
      </c>
      <c r="J8096" s="365">
        <f t="shared" si="385"/>
        <v>0</v>
      </c>
      <c r="K8096" s="369">
        <f t="shared" si="386"/>
        <v>6</v>
      </c>
      <c r="L8096" s="369">
        <f>+IF((C8096&gt;='Resultats - informe'!$E$16)*(C8096&lt;='Resultats - informe'!$G$16),1,0)</f>
        <v>1</v>
      </c>
      <c r="M8096" s="369" cm="1">
        <f t="array" ref="M8096">+_xlfn.IFS((C8096&gt;='Resultats - informe'!$D$26)*(C8096&lt;='Resultats - informe'!$E$26),0,(C8096&gt;='Resultats - informe'!$D$27)*(C8096&lt;='Resultats - informe'!$E$27),0,(C8096&gt;='Resultats - informe'!$D$28)*(C8096&lt;='Resultats - informe'!$E$28),0,(C8096&gt;='Resultats - informe'!$D$29)*(C8096&lt;='Resultats - informe'!$E$29),0,1,1)</f>
        <v>0</v>
      </c>
      <c r="N8096" s="366">
        <f>+VLOOKUP(D8096,'Resultats - informe'!$Y$18:$AG$42,'Introducció dades consum'!K8096+1,0)</f>
        <v>0</v>
      </c>
      <c r="O8096" s="370" cm="1">
        <f t="array" ref="O8096">+_xlfn.SWITCH(MONTH(C8096),1,1,2,1,3,1,4,2,5,2,6,3,7,3,8,3,9,3,10,2,11,2,12,1,2)</f>
        <v>1</v>
      </c>
      <c r="P8096" s="43"/>
    </row>
    <row r="8097" spans="1:16" ht="18" x14ac:dyDescent="0.35">
      <c r="A8097" s="9"/>
      <c r="C8097" s="393"/>
      <c r="E8097" s="394"/>
      <c r="F8097" s="394"/>
      <c r="G8097" s="394"/>
      <c r="I8097" s="368">
        <f t="shared" si="384"/>
        <v>0</v>
      </c>
      <c r="J8097" s="365">
        <f t="shared" si="385"/>
        <v>0</v>
      </c>
      <c r="K8097" s="369">
        <f t="shared" si="386"/>
        <v>6</v>
      </c>
      <c r="L8097" s="369">
        <f>+IF((C8097&gt;='Resultats - informe'!$E$16)*(C8097&lt;='Resultats - informe'!$G$16),1,0)</f>
        <v>1</v>
      </c>
      <c r="M8097" s="369" cm="1">
        <f t="array" ref="M8097">+_xlfn.IFS((C8097&gt;='Resultats - informe'!$D$26)*(C8097&lt;='Resultats - informe'!$E$26),0,(C8097&gt;='Resultats - informe'!$D$27)*(C8097&lt;='Resultats - informe'!$E$27),0,(C8097&gt;='Resultats - informe'!$D$28)*(C8097&lt;='Resultats - informe'!$E$28),0,(C8097&gt;='Resultats - informe'!$D$29)*(C8097&lt;='Resultats - informe'!$E$29),0,1,1)</f>
        <v>0</v>
      </c>
      <c r="N8097" s="366">
        <f>+VLOOKUP(D8097,'Resultats - informe'!$Y$18:$AG$42,'Introducció dades consum'!K8097+1,0)</f>
        <v>0</v>
      </c>
      <c r="O8097" s="370" cm="1">
        <f t="array" ref="O8097">+_xlfn.SWITCH(MONTH(C8097),1,1,2,1,3,1,4,2,5,2,6,3,7,3,8,3,9,3,10,2,11,2,12,1,2)</f>
        <v>1</v>
      </c>
      <c r="P8097" s="43"/>
    </row>
    <row r="8098" spans="1:16" ht="18" x14ac:dyDescent="0.35">
      <c r="A8098" s="9"/>
      <c r="C8098" s="393"/>
      <c r="E8098" s="394"/>
      <c r="F8098" s="394"/>
      <c r="G8098" s="394"/>
      <c r="I8098" s="368">
        <f t="shared" si="384"/>
        <v>0</v>
      </c>
      <c r="J8098" s="365">
        <f t="shared" si="385"/>
        <v>0</v>
      </c>
      <c r="K8098" s="369">
        <f t="shared" si="386"/>
        <v>6</v>
      </c>
      <c r="L8098" s="369">
        <f>+IF((C8098&gt;='Resultats - informe'!$E$16)*(C8098&lt;='Resultats - informe'!$G$16),1,0)</f>
        <v>1</v>
      </c>
      <c r="M8098" s="369" cm="1">
        <f t="array" ref="M8098">+_xlfn.IFS((C8098&gt;='Resultats - informe'!$D$26)*(C8098&lt;='Resultats - informe'!$E$26),0,(C8098&gt;='Resultats - informe'!$D$27)*(C8098&lt;='Resultats - informe'!$E$27),0,(C8098&gt;='Resultats - informe'!$D$28)*(C8098&lt;='Resultats - informe'!$E$28),0,(C8098&gt;='Resultats - informe'!$D$29)*(C8098&lt;='Resultats - informe'!$E$29),0,1,1)</f>
        <v>0</v>
      </c>
      <c r="N8098" s="366">
        <f>+VLOOKUP(D8098,'Resultats - informe'!$Y$18:$AG$42,'Introducció dades consum'!K8098+1,0)</f>
        <v>0</v>
      </c>
      <c r="O8098" s="370" cm="1">
        <f t="array" ref="O8098">+_xlfn.SWITCH(MONTH(C8098),1,1,2,1,3,1,4,2,5,2,6,3,7,3,8,3,9,3,10,2,11,2,12,1,2)</f>
        <v>1</v>
      </c>
      <c r="P8098" s="43"/>
    </row>
    <row r="8099" spans="1:16" ht="18" x14ac:dyDescent="0.35">
      <c r="A8099" s="9"/>
      <c r="C8099" s="393"/>
      <c r="E8099" s="394"/>
      <c r="F8099" s="394"/>
      <c r="G8099" s="394"/>
      <c r="I8099" s="368">
        <f t="shared" si="384"/>
        <v>0</v>
      </c>
      <c r="J8099" s="365">
        <f t="shared" si="385"/>
        <v>0</v>
      </c>
      <c r="K8099" s="369">
        <f t="shared" si="386"/>
        <v>6</v>
      </c>
      <c r="L8099" s="369">
        <f>+IF((C8099&gt;='Resultats - informe'!$E$16)*(C8099&lt;='Resultats - informe'!$G$16),1,0)</f>
        <v>1</v>
      </c>
      <c r="M8099" s="369" cm="1">
        <f t="array" ref="M8099">+_xlfn.IFS((C8099&gt;='Resultats - informe'!$D$26)*(C8099&lt;='Resultats - informe'!$E$26),0,(C8099&gt;='Resultats - informe'!$D$27)*(C8099&lt;='Resultats - informe'!$E$27),0,(C8099&gt;='Resultats - informe'!$D$28)*(C8099&lt;='Resultats - informe'!$E$28),0,(C8099&gt;='Resultats - informe'!$D$29)*(C8099&lt;='Resultats - informe'!$E$29),0,1,1)</f>
        <v>0</v>
      </c>
      <c r="N8099" s="366">
        <f>+VLOOKUP(D8099,'Resultats - informe'!$Y$18:$AG$42,'Introducció dades consum'!K8099+1,0)</f>
        <v>0</v>
      </c>
      <c r="O8099" s="370" cm="1">
        <f t="array" ref="O8099">+_xlfn.SWITCH(MONTH(C8099),1,1,2,1,3,1,4,2,5,2,6,3,7,3,8,3,9,3,10,2,11,2,12,1,2)</f>
        <v>1</v>
      </c>
      <c r="P8099" s="43"/>
    </row>
    <row r="8100" spans="1:16" ht="18" x14ac:dyDescent="0.35">
      <c r="A8100" s="9"/>
      <c r="C8100" s="393"/>
      <c r="E8100" s="394"/>
      <c r="F8100" s="394"/>
      <c r="G8100" s="394"/>
      <c r="I8100" s="368">
        <f t="shared" si="384"/>
        <v>0</v>
      </c>
      <c r="J8100" s="365">
        <f t="shared" si="385"/>
        <v>0</v>
      </c>
      <c r="K8100" s="369">
        <f t="shared" si="386"/>
        <v>6</v>
      </c>
      <c r="L8100" s="369">
        <f>+IF((C8100&gt;='Resultats - informe'!$E$16)*(C8100&lt;='Resultats - informe'!$G$16),1,0)</f>
        <v>1</v>
      </c>
      <c r="M8100" s="369" cm="1">
        <f t="array" ref="M8100">+_xlfn.IFS((C8100&gt;='Resultats - informe'!$D$26)*(C8100&lt;='Resultats - informe'!$E$26),0,(C8100&gt;='Resultats - informe'!$D$27)*(C8100&lt;='Resultats - informe'!$E$27),0,(C8100&gt;='Resultats - informe'!$D$28)*(C8100&lt;='Resultats - informe'!$E$28),0,(C8100&gt;='Resultats - informe'!$D$29)*(C8100&lt;='Resultats - informe'!$E$29),0,1,1)</f>
        <v>0</v>
      </c>
      <c r="N8100" s="366">
        <f>+VLOOKUP(D8100,'Resultats - informe'!$Y$18:$AG$42,'Introducció dades consum'!K8100+1,0)</f>
        <v>0</v>
      </c>
      <c r="O8100" s="370" cm="1">
        <f t="array" ref="O8100">+_xlfn.SWITCH(MONTH(C8100),1,1,2,1,3,1,4,2,5,2,6,3,7,3,8,3,9,3,10,2,11,2,12,1,2)</f>
        <v>1</v>
      </c>
      <c r="P8100" s="43"/>
    </row>
    <row r="8101" spans="1:16" ht="18" x14ac:dyDescent="0.35">
      <c r="A8101" s="9"/>
      <c r="C8101" s="393"/>
      <c r="E8101" s="394"/>
      <c r="F8101" s="394"/>
      <c r="G8101" s="394"/>
      <c r="I8101" s="368">
        <f t="shared" si="384"/>
        <v>0</v>
      </c>
      <c r="J8101" s="365">
        <f t="shared" si="385"/>
        <v>0</v>
      </c>
      <c r="K8101" s="369">
        <f t="shared" si="386"/>
        <v>6</v>
      </c>
      <c r="L8101" s="369">
        <f>+IF((C8101&gt;='Resultats - informe'!$E$16)*(C8101&lt;='Resultats - informe'!$G$16),1,0)</f>
        <v>1</v>
      </c>
      <c r="M8101" s="369" cm="1">
        <f t="array" ref="M8101">+_xlfn.IFS((C8101&gt;='Resultats - informe'!$D$26)*(C8101&lt;='Resultats - informe'!$E$26),0,(C8101&gt;='Resultats - informe'!$D$27)*(C8101&lt;='Resultats - informe'!$E$27),0,(C8101&gt;='Resultats - informe'!$D$28)*(C8101&lt;='Resultats - informe'!$E$28),0,(C8101&gt;='Resultats - informe'!$D$29)*(C8101&lt;='Resultats - informe'!$E$29),0,1,1)</f>
        <v>0</v>
      </c>
      <c r="N8101" s="366">
        <f>+VLOOKUP(D8101,'Resultats - informe'!$Y$18:$AG$42,'Introducció dades consum'!K8101+1,0)</f>
        <v>0</v>
      </c>
      <c r="O8101" s="370" cm="1">
        <f t="array" ref="O8101">+_xlfn.SWITCH(MONTH(C8101),1,1,2,1,3,1,4,2,5,2,6,3,7,3,8,3,9,3,10,2,11,2,12,1,2)</f>
        <v>1</v>
      </c>
      <c r="P8101" s="43"/>
    </row>
    <row r="8102" spans="1:16" ht="18" x14ac:dyDescent="0.35">
      <c r="A8102" s="9"/>
      <c r="C8102" s="393"/>
      <c r="E8102" s="394"/>
      <c r="F8102" s="394"/>
      <c r="G8102" s="394"/>
      <c r="I8102" s="368">
        <f t="shared" si="384"/>
        <v>0</v>
      </c>
      <c r="J8102" s="365">
        <f t="shared" si="385"/>
        <v>0</v>
      </c>
      <c r="K8102" s="369">
        <f t="shared" si="386"/>
        <v>6</v>
      </c>
      <c r="L8102" s="369">
        <f>+IF((C8102&gt;='Resultats - informe'!$E$16)*(C8102&lt;='Resultats - informe'!$G$16),1,0)</f>
        <v>1</v>
      </c>
      <c r="M8102" s="369" cm="1">
        <f t="array" ref="M8102">+_xlfn.IFS((C8102&gt;='Resultats - informe'!$D$26)*(C8102&lt;='Resultats - informe'!$E$26),0,(C8102&gt;='Resultats - informe'!$D$27)*(C8102&lt;='Resultats - informe'!$E$27),0,(C8102&gt;='Resultats - informe'!$D$28)*(C8102&lt;='Resultats - informe'!$E$28),0,(C8102&gt;='Resultats - informe'!$D$29)*(C8102&lt;='Resultats - informe'!$E$29),0,1,1)</f>
        <v>0</v>
      </c>
      <c r="N8102" s="366">
        <f>+VLOOKUP(D8102,'Resultats - informe'!$Y$18:$AG$42,'Introducció dades consum'!K8102+1,0)</f>
        <v>0</v>
      </c>
      <c r="O8102" s="370" cm="1">
        <f t="array" ref="O8102">+_xlfn.SWITCH(MONTH(C8102),1,1,2,1,3,1,4,2,5,2,6,3,7,3,8,3,9,3,10,2,11,2,12,1,2)</f>
        <v>1</v>
      </c>
      <c r="P8102" s="43"/>
    </row>
    <row r="8103" spans="1:16" ht="18" x14ac:dyDescent="0.35">
      <c r="A8103" s="9"/>
      <c r="C8103" s="393"/>
      <c r="E8103" s="394"/>
      <c r="F8103" s="394"/>
      <c r="G8103" s="394"/>
      <c r="I8103" s="368">
        <f t="shared" si="384"/>
        <v>0</v>
      </c>
      <c r="J8103" s="365">
        <f t="shared" si="385"/>
        <v>0</v>
      </c>
      <c r="K8103" s="369">
        <f t="shared" si="386"/>
        <v>6</v>
      </c>
      <c r="L8103" s="369">
        <f>+IF((C8103&gt;='Resultats - informe'!$E$16)*(C8103&lt;='Resultats - informe'!$G$16),1,0)</f>
        <v>1</v>
      </c>
      <c r="M8103" s="369" cm="1">
        <f t="array" ref="M8103">+_xlfn.IFS((C8103&gt;='Resultats - informe'!$D$26)*(C8103&lt;='Resultats - informe'!$E$26),0,(C8103&gt;='Resultats - informe'!$D$27)*(C8103&lt;='Resultats - informe'!$E$27),0,(C8103&gt;='Resultats - informe'!$D$28)*(C8103&lt;='Resultats - informe'!$E$28),0,(C8103&gt;='Resultats - informe'!$D$29)*(C8103&lt;='Resultats - informe'!$E$29),0,1,1)</f>
        <v>0</v>
      </c>
      <c r="N8103" s="366">
        <f>+VLOOKUP(D8103,'Resultats - informe'!$Y$18:$AG$42,'Introducció dades consum'!K8103+1,0)</f>
        <v>0</v>
      </c>
      <c r="O8103" s="370" cm="1">
        <f t="array" ref="O8103">+_xlfn.SWITCH(MONTH(C8103),1,1,2,1,3,1,4,2,5,2,6,3,7,3,8,3,9,3,10,2,11,2,12,1,2)</f>
        <v>1</v>
      </c>
      <c r="P8103" s="43"/>
    </row>
    <row r="8104" spans="1:16" ht="18" x14ac:dyDescent="0.35">
      <c r="A8104" s="9"/>
      <c r="C8104" s="393"/>
      <c r="E8104" s="394"/>
      <c r="F8104" s="394"/>
      <c r="G8104" s="394"/>
      <c r="I8104" s="368">
        <f t="shared" si="384"/>
        <v>0</v>
      </c>
      <c r="J8104" s="365">
        <f t="shared" si="385"/>
        <v>0</v>
      </c>
      <c r="K8104" s="369">
        <f t="shared" si="386"/>
        <v>6</v>
      </c>
      <c r="L8104" s="369">
        <f>+IF((C8104&gt;='Resultats - informe'!$E$16)*(C8104&lt;='Resultats - informe'!$G$16),1,0)</f>
        <v>1</v>
      </c>
      <c r="M8104" s="369" cm="1">
        <f t="array" ref="M8104">+_xlfn.IFS((C8104&gt;='Resultats - informe'!$D$26)*(C8104&lt;='Resultats - informe'!$E$26),0,(C8104&gt;='Resultats - informe'!$D$27)*(C8104&lt;='Resultats - informe'!$E$27),0,(C8104&gt;='Resultats - informe'!$D$28)*(C8104&lt;='Resultats - informe'!$E$28),0,(C8104&gt;='Resultats - informe'!$D$29)*(C8104&lt;='Resultats - informe'!$E$29),0,1,1)</f>
        <v>0</v>
      </c>
      <c r="N8104" s="366">
        <f>+VLOOKUP(D8104,'Resultats - informe'!$Y$18:$AG$42,'Introducció dades consum'!K8104+1,0)</f>
        <v>0</v>
      </c>
      <c r="O8104" s="370" cm="1">
        <f t="array" ref="O8104">+_xlfn.SWITCH(MONTH(C8104),1,1,2,1,3,1,4,2,5,2,6,3,7,3,8,3,9,3,10,2,11,2,12,1,2)</f>
        <v>1</v>
      </c>
      <c r="P8104" s="43"/>
    </row>
    <row r="8105" spans="1:16" ht="18" x14ac:dyDescent="0.35">
      <c r="A8105" s="9"/>
      <c r="C8105" s="393"/>
      <c r="E8105" s="394"/>
      <c r="F8105" s="394"/>
      <c r="G8105" s="394"/>
      <c r="I8105" s="368">
        <f t="shared" si="384"/>
        <v>0</v>
      </c>
      <c r="J8105" s="365">
        <f t="shared" si="385"/>
        <v>0</v>
      </c>
      <c r="K8105" s="369">
        <f t="shared" si="386"/>
        <v>6</v>
      </c>
      <c r="L8105" s="369">
        <f>+IF((C8105&gt;='Resultats - informe'!$E$16)*(C8105&lt;='Resultats - informe'!$G$16),1,0)</f>
        <v>1</v>
      </c>
      <c r="M8105" s="369" cm="1">
        <f t="array" ref="M8105">+_xlfn.IFS((C8105&gt;='Resultats - informe'!$D$26)*(C8105&lt;='Resultats - informe'!$E$26),0,(C8105&gt;='Resultats - informe'!$D$27)*(C8105&lt;='Resultats - informe'!$E$27),0,(C8105&gt;='Resultats - informe'!$D$28)*(C8105&lt;='Resultats - informe'!$E$28),0,(C8105&gt;='Resultats - informe'!$D$29)*(C8105&lt;='Resultats - informe'!$E$29),0,1,1)</f>
        <v>0</v>
      </c>
      <c r="N8105" s="366">
        <f>+VLOOKUP(D8105,'Resultats - informe'!$Y$18:$AG$42,'Introducció dades consum'!K8105+1,0)</f>
        <v>0</v>
      </c>
      <c r="O8105" s="370" cm="1">
        <f t="array" ref="O8105">+_xlfn.SWITCH(MONTH(C8105),1,1,2,1,3,1,4,2,5,2,6,3,7,3,8,3,9,3,10,2,11,2,12,1,2)</f>
        <v>1</v>
      </c>
      <c r="P8105" s="43"/>
    </row>
    <row r="8106" spans="1:16" ht="18" x14ac:dyDescent="0.35">
      <c r="A8106" s="9"/>
      <c r="C8106" s="393"/>
      <c r="E8106" s="394"/>
      <c r="F8106" s="394"/>
      <c r="G8106" s="394"/>
      <c r="I8106" s="368">
        <f t="shared" si="384"/>
        <v>0</v>
      </c>
      <c r="J8106" s="365">
        <f t="shared" si="385"/>
        <v>0</v>
      </c>
      <c r="K8106" s="369">
        <f t="shared" si="386"/>
        <v>6</v>
      </c>
      <c r="L8106" s="369">
        <f>+IF((C8106&gt;='Resultats - informe'!$E$16)*(C8106&lt;='Resultats - informe'!$G$16),1,0)</f>
        <v>1</v>
      </c>
      <c r="M8106" s="369" cm="1">
        <f t="array" ref="M8106">+_xlfn.IFS((C8106&gt;='Resultats - informe'!$D$26)*(C8106&lt;='Resultats - informe'!$E$26),0,(C8106&gt;='Resultats - informe'!$D$27)*(C8106&lt;='Resultats - informe'!$E$27),0,(C8106&gt;='Resultats - informe'!$D$28)*(C8106&lt;='Resultats - informe'!$E$28),0,(C8106&gt;='Resultats - informe'!$D$29)*(C8106&lt;='Resultats - informe'!$E$29),0,1,1)</f>
        <v>0</v>
      </c>
      <c r="N8106" s="366">
        <f>+VLOOKUP(D8106,'Resultats - informe'!$Y$18:$AG$42,'Introducció dades consum'!K8106+1,0)</f>
        <v>0</v>
      </c>
      <c r="O8106" s="370" cm="1">
        <f t="array" ref="O8106">+_xlfn.SWITCH(MONTH(C8106),1,1,2,1,3,1,4,2,5,2,6,3,7,3,8,3,9,3,10,2,11,2,12,1,2)</f>
        <v>1</v>
      </c>
      <c r="P8106" s="43"/>
    </row>
    <row r="8107" spans="1:16" ht="18" x14ac:dyDescent="0.35">
      <c r="A8107" s="9"/>
      <c r="C8107" s="393"/>
      <c r="E8107" s="394"/>
      <c r="F8107" s="394"/>
      <c r="G8107" s="394"/>
      <c r="I8107" s="368">
        <f t="shared" si="384"/>
        <v>0</v>
      </c>
      <c r="J8107" s="365">
        <f t="shared" si="385"/>
        <v>0</v>
      </c>
      <c r="K8107" s="369">
        <f t="shared" si="386"/>
        <v>6</v>
      </c>
      <c r="L8107" s="369">
        <f>+IF((C8107&gt;='Resultats - informe'!$E$16)*(C8107&lt;='Resultats - informe'!$G$16),1,0)</f>
        <v>1</v>
      </c>
      <c r="M8107" s="369" cm="1">
        <f t="array" ref="M8107">+_xlfn.IFS((C8107&gt;='Resultats - informe'!$D$26)*(C8107&lt;='Resultats - informe'!$E$26),0,(C8107&gt;='Resultats - informe'!$D$27)*(C8107&lt;='Resultats - informe'!$E$27),0,(C8107&gt;='Resultats - informe'!$D$28)*(C8107&lt;='Resultats - informe'!$E$28),0,(C8107&gt;='Resultats - informe'!$D$29)*(C8107&lt;='Resultats - informe'!$E$29),0,1,1)</f>
        <v>0</v>
      </c>
      <c r="N8107" s="366">
        <f>+VLOOKUP(D8107,'Resultats - informe'!$Y$18:$AG$42,'Introducció dades consum'!K8107+1,0)</f>
        <v>0</v>
      </c>
      <c r="O8107" s="370" cm="1">
        <f t="array" ref="O8107">+_xlfn.SWITCH(MONTH(C8107),1,1,2,1,3,1,4,2,5,2,6,3,7,3,8,3,9,3,10,2,11,2,12,1,2)</f>
        <v>1</v>
      </c>
      <c r="P8107" s="43"/>
    </row>
    <row r="8108" spans="1:16" ht="18" x14ac:dyDescent="0.35">
      <c r="A8108" s="9"/>
      <c r="C8108" s="393"/>
      <c r="E8108" s="394"/>
      <c r="F8108" s="394"/>
      <c r="G8108" s="394"/>
      <c r="I8108" s="368">
        <f t="shared" si="384"/>
        <v>0</v>
      </c>
      <c r="J8108" s="365">
        <f t="shared" si="385"/>
        <v>0</v>
      </c>
      <c r="K8108" s="369">
        <f t="shared" si="386"/>
        <v>6</v>
      </c>
      <c r="L8108" s="369">
        <f>+IF((C8108&gt;='Resultats - informe'!$E$16)*(C8108&lt;='Resultats - informe'!$G$16),1,0)</f>
        <v>1</v>
      </c>
      <c r="M8108" s="369" cm="1">
        <f t="array" ref="M8108">+_xlfn.IFS((C8108&gt;='Resultats - informe'!$D$26)*(C8108&lt;='Resultats - informe'!$E$26),0,(C8108&gt;='Resultats - informe'!$D$27)*(C8108&lt;='Resultats - informe'!$E$27),0,(C8108&gt;='Resultats - informe'!$D$28)*(C8108&lt;='Resultats - informe'!$E$28),0,(C8108&gt;='Resultats - informe'!$D$29)*(C8108&lt;='Resultats - informe'!$E$29),0,1,1)</f>
        <v>0</v>
      </c>
      <c r="N8108" s="366">
        <f>+VLOOKUP(D8108,'Resultats - informe'!$Y$18:$AG$42,'Introducció dades consum'!K8108+1,0)</f>
        <v>0</v>
      </c>
      <c r="O8108" s="370" cm="1">
        <f t="array" ref="O8108">+_xlfn.SWITCH(MONTH(C8108),1,1,2,1,3,1,4,2,5,2,6,3,7,3,8,3,9,3,10,2,11,2,12,1,2)</f>
        <v>1</v>
      </c>
      <c r="P8108" s="43"/>
    </row>
    <row r="8109" spans="1:16" ht="18" x14ac:dyDescent="0.35">
      <c r="A8109" s="9"/>
      <c r="C8109" s="393"/>
      <c r="E8109" s="394"/>
      <c r="F8109" s="394"/>
      <c r="G8109" s="394"/>
      <c r="I8109" s="368">
        <f t="shared" si="384"/>
        <v>0</v>
      </c>
      <c r="J8109" s="365">
        <f t="shared" si="385"/>
        <v>0</v>
      </c>
      <c r="K8109" s="369">
        <f t="shared" si="386"/>
        <v>6</v>
      </c>
      <c r="L8109" s="369">
        <f>+IF((C8109&gt;='Resultats - informe'!$E$16)*(C8109&lt;='Resultats - informe'!$G$16),1,0)</f>
        <v>1</v>
      </c>
      <c r="M8109" s="369" cm="1">
        <f t="array" ref="M8109">+_xlfn.IFS((C8109&gt;='Resultats - informe'!$D$26)*(C8109&lt;='Resultats - informe'!$E$26),0,(C8109&gt;='Resultats - informe'!$D$27)*(C8109&lt;='Resultats - informe'!$E$27),0,(C8109&gt;='Resultats - informe'!$D$28)*(C8109&lt;='Resultats - informe'!$E$28),0,(C8109&gt;='Resultats - informe'!$D$29)*(C8109&lt;='Resultats - informe'!$E$29),0,1,1)</f>
        <v>0</v>
      </c>
      <c r="N8109" s="366">
        <f>+VLOOKUP(D8109,'Resultats - informe'!$Y$18:$AG$42,'Introducció dades consum'!K8109+1,0)</f>
        <v>0</v>
      </c>
      <c r="O8109" s="370" cm="1">
        <f t="array" ref="O8109">+_xlfn.SWITCH(MONTH(C8109),1,1,2,1,3,1,4,2,5,2,6,3,7,3,8,3,9,3,10,2,11,2,12,1,2)</f>
        <v>1</v>
      </c>
      <c r="P8109" s="43"/>
    </row>
    <row r="8110" spans="1:16" ht="18" x14ac:dyDescent="0.35">
      <c r="A8110" s="9"/>
      <c r="C8110" s="393"/>
      <c r="E8110" s="394"/>
      <c r="F8110" s="394"/>
      <c r="G8110" s="394"/>
      <c r="I8110" s="368">
        <f t="shared" si="384"/>
        <v>0</v>
      </c>
      <c r="J8110" s="365">
        <f t="shared" si="385"/>
        <v>0</v>
      </c>
      <c r="K8110" s="369">
        <f t="shared" si="386"/>
        <v>6</v>
      </c>
      <c r="L8110" s="369">
        <f>+IF((C8110&gt;='Resultats - informe'!$E$16)*(C8110&lt;='Resultats - informe'!$G$16),1,0)</f>
        <v>1</v>
      </c>
      <c r="M8110" s="369" cm="1">
        <f t="array" ref="M8110">+_xlfn.IFS((C8110&gt;='Resultats - informe'!$D$26)*(C8110&lt;='Resultats - informe'!$E$26),0,(C8110&gt;='Resultats - informe'!$D$27)*(C8110&lt;='Resultats - informe'!$E$27),0,(C8110&gt;='Resultats - informe'!$D$28)*(C8110&lt;='Resultats - informe'!$E$28),0,(C8110&gt;='Resultats - informe'!$D$29)*(C8110&lt;='Resultats - informe'!$E$29),0,1,1)</f>
        <v>0</v>
      </c>
      <c r="N8110" s="366">
        <f>+VLOOKUP(D8110,'Resultats - informe'!$Y$18:$AG$42,'Introducció dades consum'!K8110+1,0)</f>
        <v>0</v>
      </c>
      <c r="O8110" s="370" cm="1">
        <f t="array" ref="O8110">+_xlfn.SWITCH(MONTH(C8110),1,1,2,1,3,1,4,2,5,2,6,3,7,3,8,3,9,3,10,2,11,2,12,1,2)</f>
        <v>1</v>
      </c>
      <c r="P8110" s="43"/>
    </row>
    <row r="8111" spans="1:16" ht="18" x14ac:dyDescent="0.35">
      <c r="A8111" s="9"/>
      <c r="C8111" s="393"/>
      <c r="E8111" s="394"/>
      <c r="F8111" s="394"/>
      <c r="G8111" s="394"/>
      <c r="I8111" s="368">
        <f t="shared" si="384"/>
        <v>0</v>
      </c>
      <c r="J8111" s="365">
        <f t="shared" si="385"/>
        <v>0</v>
      </c>
      <c r="K8111" s="369">
        <f t="shared" si="386"/>
        <v>6</v>
      </c>
      <c r="L8111" s="369">
        <f>+IF((C8111&gt;='Resultats - informe'!$E$16)*(C8111&lt;='Resultats - informe'!$G$16),1,0)</f>
        <v>1</v>
      </c>
      <c r="M8111" s="369" cm="1">
        <f t="array" ref="M8111">+_xlfn.IFS((C8111&gt;='Resultats - informe'!$D$26)*(C8111&lt;='Resultats - informe'!$E$26),0,(C8111&gt;='Resultats - informe'!$D$27)*(C8111&lt;='Resultats - informe'!$E$27),0,(C8111&gt;='Resultats - informe'!$D$28)*(C8111&lt;='Resultats - informe'!$E$28),0,(C8111&gt;='Resultats - informe'!$D$29)*(C8111&lt;='Resultats - informe'!$E$29),0,1,1)</f>
        <v>0</v>
      </c>
      <c r="N8111" s="366">
        <f>+VLOOKUP(D8111,'Resultats - informe'!$Y$18:$AG$42,'Introducció dades consum'!K8111+1,0)</f>
        <v>0</v>
      </c>
      <c r="O8111" s="370" cm="1">
        <f t="array" ref="O8111">+_xlfn.SWITCH(MONTH(C8111),1,1,2,1,3,1,4,2,5,2,6,3,7,3,8,3,9,3,10,2,11,2,12,1,2)</f>
        <v>1</v>
      </c>
      <c r="P8111" s="43"/>
    </row>
    <row r="8112" spans="1:16" ht="18" x14ac:dyDescent="0.35">
      <c r="A8112" s="9"/>
      <c r="C8112" s="393"/>
      <c r="E8112" s="394"/>
      <c r="F8112" s="394"/>
      <c r="G8112" s="394"/>
      <c r="I8112" s="368">
        <f t="shared" si="384"/>
        <v>0</v>
      </c>
      <c r="J8112" s="365">
        <f t="shared" si="385"/>
        <v>0</v>
      </c>
      <c r="K8112" s="369">
        <f t="shared" si="386"/>
        <v>6</v>
      </c>
      <c r="L8112" s="369">
        <f>+IF((C8112&gt;='Resultats - informe'!$E$16)*(C8112&lt;='Resultats - informe'!$G$16),1,0)</f>
        <v>1</v>
      </c>
      <c r="M8112" s="369" cm="1">
        <f t="array" ref="M8112">+_xlfn.IFS((C8112&gt;='Resultats - informe'!$D$26)*(C8112&lt;='Resultats - informe'!$E$26),0,(C8112&gt;='Resultats - informe'!$D$27)*(C8112&lt;='Resultats - informe'!$E$27),0,(C8112&gt;='Resultats - informe'!$D$28)*(C8112&lt;='Resultats - informe'!$E$28),0,(C8112&gt;='Resultats - informe'!$D$29)*(C8112&lt;='Resultats - informe'!$E$29),0,1,1)</f>
        <v>0</v>
      </c>
      <c r="N8112" s="366">
        <f>+VLOOKUP(D8112,'Resultats - informe'!$Y$18:$AG$42,'Introducció dades consum'!K8112+1,0)</f>
        <v>0</v>
      </c>
      <c r="O8112" s="370" cm="1">
        <f t="array" ref="O8112">+_xlfn.SWITCH(MONTH(C8112),1,1,2,1,3,1,4,2,5,2,6,3,7,3,8,3,9,3,10,2,11,2,12,1,2)</f>
        <v>1</v>
      </c>
      <c r="P8112" s="43"/>
    </row>
    <row r="8113" spans="1:16" ht="18" x14ac:dyDescent="0.35">
      <c r="A8113" s="9"/>
      <c r="C8113" s="393"/>
      <c r="E8113" s="394"/>
      <c r="F8113" s="394"/>
      <c r="G8113" s="394"/>
      <c r="I8113" s="368">
        <f t="shared" si="384"/>
        <v>0</v>
      </c>
      <c r="J8113" s="365">
        <f t="shared" si="385"/>
        <v>0</v>
      </c>
      <c r="K8113" s="369">
        <f t="shared" si="386"/>
        <v>6</v>
      </c>
      <c r="L8113" s="369">
        <f>+IF((C8113&gt;='Resultats - informe'!$E$16)*(C8113&lt;='Resultats - informe'!$G$16),1,0)</f>
        <v>1</v>
      </c>
      <c r="M8113" s="369" cm="1">
        <f t="array" ref="M8113">+_xlfn.IFS((C8113&gt;='Resultats - informe'!$D$26)*(C8113&lt;='Resultats - informe'!$E$26),0,(C8113&gt;='Resultats - informe'!$D$27)*(C8113&lt;='Resultats - informe'!$E$27),0,(C8113&gt;='Resultats - informe'!$D$28)*(C8113&lt;='Resultats - informe'!$E$28),0,(C8113&gt;='Resultats - informe'!$D$29)*(C8113&lt;='Resultats - informe'!$E$29),0,1,1)</f>
        <v>0</v>
      </c>
      <c r="N8113" s="366">
        <f>+VLOOKUP(D8113,'Resultats - informe'!$Y$18:$AG$42,'Introducció dades consum'!K8113+1,0)</f>
        <v>0</v>
      </c>
      <c r="O8113" s="370" cm="1">
        <f t="array" ref="O8113">+_xlfn.SWITCH(MONTH(C8113),1,1,2,1,3,1,4,2,5,2,6,3,7,3,8,3,9,3,10,2,11,2,12,1,2)</f>
        <v>1</v>
      </c>
      <c r="P8113" s="43"/>
    </row>
    <row r="8114" spans="1:16" ht="18" x14ac:dyDescent="0.35">
      <c r="A8114" s="9"/>
      <c r="C8114" s="393"/>
      <c r="E8114" s="394"/>
      <c r="F8114" s="394"/>
      <c r="G8114" s="394"/>
      <c r="I8114" s="368">
        <f t="shared" si="384"/>
        <v>0</v>
      </c>
      <c r="J8114" s="365">
        <f t="shared" si="385"/>
        <v>0</v>
      </c>
      <c r="K8114" s="369">
        <f t="shared" si="386"/>
        <v>6</v>
      </c>
      <c r="L8114" s="369">
        <f>+IF((C8114&gt;='Resultats - informe'!$E$16)*(C8114&lt;='Resultats - informe'!$G$16),1,0)</f>
        <v>1</v>
      </c>
      <c r="M8114" s="369" cm="1">
        <f t="array" ref="M8114">+_xlfn.IFS((C8114&gt;='Resultats - informe'!$D$26)*(C8114&lt;='Resultats - informe'!$E$26),0,(C8114&gt;='Resultats - informe'!$D$27)*(C8114&lt;='Resultats - informe'!$E$27),0,(C8114&gt;='Resultats - informe'!$D$28)*(C8114&lt;='Resultats - informe'!$E$28),0,(C8114&gt;='Resultats - informe'!$D$29)*(C8114&lt;='Resultats - informe'!$E$29),0,1,1)</f>
        <v>0</v>
      </c>
      <c r="N8114" s="366">
        <f>+VLOOKUP(D8114,'Resultats - informe'!$Y$18:$AG$42,'Introducció dades consum'!K8114+1,0)</f>
        <v>0</v>
      </c>
      <c r="O8114" s="370" cm="1">
        <f t="array" ref="O8114">+_xlfn.SWITCH(MONTH(C8114),1,1,2,1,3,1,4,2,5,2,6,3,7,3,8,3,9,3,10,2,11,2,12,1,2)</f>
        <v>1</v>
      </c>
      <c r="P8114" s="43"/>
    </row>
    <row r="8115" spans="1:16" ht="18" x14ac:dyDescent="0.35">
      <c r="A8115" s="9"/>
      <c r="C8115" s="393"/>
      <c r="E8115" s="394"/>
      <c r="F8115" s="394"/>
      <c r="G8115" s="394"/>
      <c r="I8115" s="368">
        <f t="shared" si="384"/>
        <v>0</v>
      </c>
      <c r="J8115" s="365">
        <f t="shared" si="385"/>
        <v>0</v>
      </c>
      <c r="K8115" s="369">
        <f t="shared" si="386"/>
        <v>6</v>
      </c>
      <c r="L8115" s="369">
        <f>+IF((C8115&gt;='Resultats - informe'!$E$16)*(C8115&lt;='Resultats - informe'!$G$16),1,0)</f>
        <v>1</v>
      </c>
      <c r="M8115" s="369" cm="1">
        <f t="array" ref="M8115">+_xlfn.IFS((C8115&gt;='Resultats - informe'!$D$26)*(C8115&lt;='Resultats - informe'!$E$26),0,(C8115&gt;='Resultats - informe'!$D$27)*(C8115&lt;='Resultats - informe'!$E$27),0,(C8115&gt;='Resultats - informe'!$D$28)*(C8115&lt;='Resultats - informe'!$E$28),0,(C8115&gt;='Resultats - informe'!$D$29)*(C8115&lt;='Resultats - informe'!$E$29),0,1,1)</f>
        <v>0</v>
      </c>
      <c r="N8115" s="366">
        <f>+VLOOKUP(D8115,'Resultats - informe'!$Y$18:$AG$42,'Introducció dades consum'!K8115+1,0)</f>
        <v>0</v>
      </c>
      <c r="O8115" s="370" cm="1">
        <f t="array" ref="O8115">+_xlfn.SWITCH(MONTH(C8115),1,1,2,1,3,1,4,2,5,2,6,3,7,3,8,3,9,3,10,2,11,2,12,1,2)</f>
        <v>1</v>
      </c>
      <c r="P8115" s="43"/>
    </row>
    <row r="8116" spans="1:16" ht="18" x14ac:dyDescent="0.35">
      <c r="A8116" s="9"/>
      <c r="C8116" s="393"/>
      <c r="E8116" s="394"/>
      <c r="F8116" s="394"/>
      <c r="G8116" s="394"/>
      <c r="I8116" s="368">
        <f t="shared" si="384"/>
        <v>0</v>
      </c>
      <c r="J8116" s="365">
        <f t="shared" si="385"/>
        <v>0</v>
      </c>
      <c r="K8116" s="369">
        <f t="shared" si="386"/>
        <v>6</v>
      </c>
      <c r="L8116" s="369">
        <f>+IF((C8116&gt;='Resultats - informe'!$E$16)*(C8116&lt;='Resultats - informe'!$G$16),1,0)</f>
        <v>1</v>
      </c>
      <c r="M8116" s="369" cm="1">
        <f t="array" ref="M8116">+_xlfn.IFS((C8116&gt;='Resultats - informe'!$D$26)*(C8116&lt;='Resultats - informe'!$E$26),0,(C8116&gt;='Resultats - informe'!$D$27)*(C8116&lt;='Resultats - informe'!$E$27),0,(C8116&gt;='Resultats - informe'!$D$28)*(C8116&lt;='Resultats - informe'!$E$28),0,(C8116&gt;='Resultats - informe'!$D$29)*(C8116&lt;='Resultats - informe'!$E$29),0,1,1)</f>
        <v>0</v>
      </c>
      <c r="N8116" s="366">
        <f>+VLOOKUP(D8116,'Resultats - informe'!$Y$18:$AG$42,'Introducció dades consum'!K8116+1,0)</f>
        <v>0</v>
      </c>
      <c r="O8116" s="370" cm="1">
        <f t="array" ref="O8116">+_xlfn.SWITCH(MONTH(C8116),1,1,2,1,3,1,4,2,5,2,6,3,7,3,8,3,9,3,10,2,11,2,12,1,2)</f>
        <v>1</v>
      </c>
      <c r="P8116" s="43"/>
    </row>
    <row r="8117" spans="1:16" ht="18" x14ac:dyDescent="0.35">
      <c r="A8117" s="9"/>
      <c r="C8117" s="393"/>
      <c r="E8117" s="394"/>
      <c r="F8117" s="394"/>
      <c r="G8117" s="394"/>
      <c r="I8117" s="368">
        <f t="shared" si="384"/>
        <v>0</v>
      </c>
      <c r="J8117" s="365">
        <f t="shared" si="385"/>
        <v>0</v>
      </c>
      <c r="K8117" s="369">
        <f t="shared" si="386"/>
        <v>6</v>
      </c>
      <c r="L8117" s="369">
        <f>+IF((C8117&gt;='Resultats - informe'!$E$16)*(C8117&lt;='Resultats - informe'!$G$16),1,0)</f>
        <v>1</v>
      </c>
      <c r="M8117" s="369" cm="1">
        <f t="array" ref="M8117">+_xlfn.IFS((C8117&gt;='Resultats - informe'!$D$26)*(C8117&lt;='Resultats - informe'!$E$26),0,(C8117&gt;='Resultats - informe'!$D$27)*(C8117&lt;='Resultats - informe'!$E$27),0,(C8117&gt;='Resultats - informe'!$D$28)*(C8117&lt;='Resultats - informe'!$E$28),0,(C8117&gt;='Resultats - informe'!$D$29)*(C8117&lt;='Resultats - informe'!$E$29),0,1,1)</f>
        <v>0</v>
      </c>
      <c r="N8117" s="366">
        <f>+VLOOKUP(D8117,'Resultats - informe'!$Y$18:$AG$42,'Introducció dades consum'!K8117+1,0)</f>
        <v>0</v>
      </c>
      <c r="O8117" s="370" cm="1">
        <f t="array" ref="O8117">+_xlfn.SWITCH(MONTH(C8117),1,1,2,1,3,1,4,2,5,2,6,3,7,3,8,3,9,3,10,2,11,2,12,1,2)</f>
        <v>1</v>
      </c>
      <c r="P8117" s="43"/>
    </row>
    <row r="8118" spans="1:16" ht="18" x14ac:dyDescent="0.35">
      <c r="A8118" s="9"/>
      <c r="C8118" s="393"/>
      <c r="E8118" s="394"/>
      <c r="F8118" s="394"/>
      <c r="G8118" s="394"/>
      <c r="I8118" s="368">
        <f t="shared" si="384"/>
        <v>0</v>
      </c>
      <c r="J8118" s="365">
        <f t="shared" si="385"/>
        <v>0</v>
      </c>
      <c r="K8118" s="369">
        <f t="shared" si="386"/>
        <v>6</v>
      </c>
      <c r="L8118" s="369">
        <f>+IF((C8118&gt;='Resultats - informe'!$E$16)*(C8118&lt;='Resultats - informe'!$G$16),1,0)</f>
        <v>1</v>
      </c>
      <c r="M8118" s="369" cm="1">
        <f t="array" ref="M8118">+_xlfn.IFS((C8118&gt;='Resultats - informe'!$D$26)*(C8118&lt;='Resultats - informe'!$E$26),0,(C8118&gt;='Resultats - informe'!$D$27)*(C8118&lt;='Resultats - informe'!$E$27),0,(C8118&gt;='Resultats - informe'!$D$28)*(C8118&lt;='Resultats - informe'!$E$28),0,(C8118&gt;='Resultats - informe'!$D$29)*(C8118&lt;='Resultats - informe'!$E$29),0,1,1)</f>
        <v>0</v>
      </c>
      <c r="N8118" s="366">
        <f>+VLOOKUP(D8118,'Resultats - informe'!$Y$18:$AG$42,'Introducció dades consum'!K8118+1,0)</f>
        <v>0</v>
      </c>
      <c r="O8118" s="370" cm="1">
        <f t="array" ref="O8118">+_xlfn.SWITCH(MONTH(C8118),1,1,2,1,3,1,4,2,5,2,6,3,7,3,8,3,9,3,10,2,11,2,12,1,2)</f>
        <v>1</v>
      </c>
      <c r="P8118" s="43"/>
    </row>
    <row r="8119" spans="1:16" ht="18" x14ac:dyDescent="0.35">
      <c r="A8119" s="9"/>
      <c r="C8119" s="393"/>
      <c r="E8119" s="394"/>
      <c r="F8119" s="394"/>
      <c r="G8119" s="394"/>
      <c r="I8119" s="368">
        <f t="shared" si="384"/>
        <v>0</v>
      </c>
      <c r="J8119" s="365">
        <f t="shared" si="385"/>
        <v>0</v>
      </c>
      <c r="K8119" s="369">
        <f t="shared" si="386"/>
        <v>6</v>
      </c>
      <c r="L8119" s="369">
        <f>+IF((C8119&gt;='Resultats - informe'!$E$16)*(C8119&lt;='Resultats - informe'!$G$16),1,0)</f>
        <v>1</v>
      </c>
      <c r="M8119" s="369" cm="1">
        <f t="array" ref="M8119">+_xlfn.IFS((C8119&gt;='Resultats - informe'!$D$26)*(C8119&lt;='Resultats - informe'!$E$26),0,(C8119&gt;='Resultats - informe'!$D$27)*(C8119&lt;='Resultats - informe'!$E$27),0,(C8119&gt;='Resultats - informe'!$D$28)*(C8119&lt;='Resultats - informe'!$E$28),0,(C8119&gt;='Resultats - informe'!$D$29)*(C8119&lt;='Resultats - informe'!$E$29),0,1,1)</f>
        <v>0</v>
      </c>
      <c r="N8119" s="366">
        <f>+VLOOKUP(D8119,'Resultats - informe'!$Y$18:$AG$42,'Introducció dades consum'!K8119+1,0)</f>
        <v>0</v>
      </c>
      <c r="O8119" s="370" cm="1">
        <f t="array" ref="O8119">+_xlfn.SWITCH(MONTH(C8119),1,1,2,1,3,1,4,2,5,2,6,3,7,3,8,3,9,3,10,2,11,2,12,1,2)</f>
        <v>1</v>
      </c>
      <c r="P8119" s="43"/>
    </row>
    <row r="8120" spans="1:16" ht="18" x14ac:dyDescent="0.35">
      <c r="A8120" s="9"/>
      <c r="C8120" s="393"/>
      <c r="E8120" s="394"/>
      <c r="F8120" s="394"/>
      <c r="G8120" s="394"/>
      <c r="I8120" s="368">
        <f t="shared" si="384"/>
        <v>0</v>
      </c>
      <c r="J8120" s="365">
        <f t="shared" si="385"/>
        <v>0</v>
      </c>
      <c r="K8120" s="369">
        <f t="shared" si="386"/>
        <v>6</v>
      </c>
      <c r="L8120" s="369">
        <f>+IF((C8120&gt;='Resultats - informe'!$E$16)*(C8120&lt;='Resultats - informe'!$G$16),1,0)</f>
        <v>1</v>
      </c>
      <c r="M8120" s="369" cm="1">
        <f t="array" ref="M8120">+_xlfn.IFS((C8120&gt;='Resultats - informe'!$D$26)*(C8120&lt;='Resultats - informe'!$E$26),0,(C8120&gt;='Resultats - informe'!$D$27)*(C8120&lt;='Resultats - informe'!$E$27),0,(C8120&gt;='Resultats - informe'!$D$28)*(C8120&lt;='Resultats - informe'!$E$28),0,(C8120&gt;='Resultats - informe'!$D$29)*(C8120&lt;='Resultats - informe'!$E$29),0,1,1)</f>
        <v>0</v>
      </c>
      <c r="N8120" s="366">
        <f>+VLOOKUP(D8120,'Resultats - informe'!$Y$18:$AG$42,'Introducció dades consum'!K8120+1,0)</f>
        <v>0</v>
      </c>
      <c r="O8120" s="370" cm="1">
        <f t="array" ref="O8120">+_xlfn.SWITCH(MONTH(C8120),1,1,2,1,3,1,4,2,5,2,6,3,7,3,8,3,9,3,10,2,11,2,12,1,2)</f>
        <v>1</v>
      </c>
      <c r="P8120" s="43"/>
    </row>
    <row r="8121" spans="1:16" ht="18" x14ac:dyDescent="0.35">
      <c r="A8121" s="9"/>
      <c r="C8121" s="393"/>
      <c r="E8121" s="394"/>
      <c r="F8121" s="394"/>
      <c r="G8121" s="394"/>
      <c r="I8121" s="368">
        <f t="shared" si="384"/>
        <v>0</v>
      </c>
      <c r="J8121" s="365">
        <f t="shared" si="385"/>
        <v>0</v>
      </c>
      <c r="K8121" s="369">
        <f t="shared" si="386"/>
        <v>6</v>
      </c>
      <c r="L8121" s="369">
        <f>+IF((C8121&gt;='Resultats - informe'!$E$16)*(C8121&lt;='Resultats - informe'!$G$16),1,0)</f>
        <v>1</v>
      </c>
      <c r="M8121" s="369" cm="1">
        <f t="array" ref="M8121">+_xlfn.IFS((C8121&gt;='Resultats - informe'!$D$26)*(C8121&lt;='Resultats - informe'!$E$26),0,(C8121&gt;='Resultats - informe'!$D$27)*(C8121&lt;='Resultats - informe'!$E$27),0,(C8121&gt;='Resultats - informe'!$D$28)*(C8121&lt;='Resultats - informe'!$E$28),0,(C8121&gt;='Resultats - informe'!$D$29)*(C8121&lt;='Resultats - informe'!$E$29),0,1,1)</f>
        <v>0</v>
      </c>
      <c r="N8121" s="366">
        <f>+VLOOKUP(D8121,'Resultats - informe'!$Y$18:$AG$42,'Introducció dades consum'!K8121+1,0)</f>
        <v>0</v>
      </c>
      <c r="O8121" s="370" cm="1">
        <f t="array" ref="O8121">+_xlfn.SWITCH(MONTH(C8121),1,1,2,1,3,1,4,2,5,2,6,3,7,3,8,3,9,3,10,2,11,2,12,1,2)</f>
        <v>1</v>
      </c>
      <c r="P8121" s="43"/>
    </row>
    <row r="8122" spans="1:16" ht="18" x14ac:dyDescent="0.35">
      <c r="A8122" s="9"/>
      <c r="C8122" s="393"/>
      <c r="E8122" s="394"/>
      <c r="F8122" s="394"/>
      <c r="G8122" s="394"/>
      <c r="I8122" s="368">
        <f t="shared" si="384"/>
        <v>0</v>
      </c>
      <c r="J8122" s="365">
        <f t="shared" si="385"/>
        <v>0</v>
      </c>
      <c r="K8122" s="369">
        <f t="shared" si="386"/>
        <v>6</v>
      </c>
      <c r="L8122" s="369">
        <f>+IF((C8122&gt;='Resultats - informe'!$E$16)*(C8122&lt;='Resultats - informe'!$G$16),1,0)</f>
        <v>1</v>
      </c>
      <c r="M8122" s="369" cm="1">
        <f t="array" ref="M8122">+_xlfn.IFS((C8122&gt;='Resultats - informe'!$D$26)*(C8122&lt;='Resultats - informe'!$E$26),0,(C8122&gt;='Resultats - informe'!$D$27)*(C8122&lt;='Resultats - informe'!$E$27),0,(C8122&gt;='Resultats - informe'!$D$28)*(C8122&lt;='Resultats - informe'!$E$28),0,(C8122&gt;='Resultats - informe'!$D$29)*(C8122&lt;='Resultats - informe'!$E$29),0,1,1)</f>
        <v>0</v>
      </c>
      <c r="N8122" s="366">
        <f>+VLOOKUP(D8122,'Resultats - informe'!$Y$18:$AG$42,'Introducció dades consum'!K8122+1,0)</f>
        <v>0</v>
      </c>
      <c r="O8122" s="370" cm="1">
        <f t="array" ref="O8122">+_xlfn.SWITCH(MONTH(C8122),1,1,2,1,3,1,4,2,5,2,6,3,7,3,8,3,9,3,10,2,11,2,12,1,2)</f>
        <v>1</v>
      </c>
      <c r="P8122" s="43"/>
    </row>
    <row r="8123" spans="1:16" ht="18" x14ac:dyDescent="0.35">
      <c r="A8123" s="9"/>
      <c r="C8123" s="393"/>
      <c r="E8123" s="394"/>
      <c r="F8123" s="394"/>
      <c r="G8123" s="394"/>
      <c r="I8123" s="368">
        <f t="shared" si="384"/>
        <v>0</v>
      </c>
      <c r="J8123" s="365">
        <f t="shared" si="385"/>
        <v>0</v>
      </c>
      <c r="K8123" s="369">
        <f t="shared" si="386"/>
        <v>6</v>
      </c>
      <c r="L8123" s="369">
        <f>+IF((C8123&gt;='Resultats - informe'!$E$16)*(C8123&lt;='Resultats - informe'!$G$16),1,0)</f>
        <v>1</v>
      </c>
      <c r="M8123" s="369" cm="1">
        <f t="array" ref="M8123">+_xlfn.IFS((C8123&gt;='Resultats - informe'!$D$26)*(C8123&lt;='Resultats - informe'!$E$26),0,(C8123&gt;='Resultats - informe'!$D$27)*(C8123&lt;='Resultats - informe'!$E$27),0,(C8123&gt;='Resultats - informe'!$D$28)*(C8123&lt;='Resultats - informe'!$E$28),0,(C8123&gt;='Resultats - informe'!$D$29)*(C8123&lt;='Resultats - informe'!$E$29),0,1,1)</f>
        <v>0</v>
      </c>
      <c r="N8123" s="366">
        <f>+VLOOKUP(D8123,'Resultats - informe'!$Y$18:$AG$42,'Introducció dades consum'!K8123+1,0)</f>
        <v>0</v>
      </c>
      <c r="O8123" s="370" cm="1">
        <f t="array" ref="O8123">+_xlfn.SWITCH(MONTH(C8123),1,1,2,1,3,1,4,2,5,2,6,3,7,3,8,3,9,3,10,2,11,2,12,1,2)</f>
        <v>1</v>
      </c>
      <c r="P8123" s="43"/>
    </row>
    <row r="8124" spans="1:16" ht="18" x14ac:dyDescent="0.35">
      <c r="A8124" s="9"/>
      <c r="C8124" s="393"/>
      <c r="E8124" s="394"/>
      <c r="F8124" s="394"/>
      <c r="G8124" s="394"/>
      <c r="I8124" s="368">
        <f t="shared" si="384"/>
        <v>0</v>
      </c>
      <c r="J8124" s="365">
        <f t="shared" si="385"/>
        <v>0</v>
      </c>
      <c r="K8124" s="369">
        <f t="shared" si="386"/>
        <v>6</v>
      </c>
      <c r="L8124" s="369">
        <f>+IF((C8124&gt;='Resultats - informe'!$E$16)*(C8124&lt;='Resultats - informe'!$G$16),1,0)</f>
        <v>1</v>
      </c>
      <c r="M8124" s="369" cm="1">
        <f t="array" ref="M8124">+_xlfn.IFS((C8124&gt;='Resultats - informe'!$D$26)*(C8124&lt;='Resultats - informe'!$E$26),0,(C8124&gt;='Resultats - informe'!$D$27)*(C8124&lt;='Resultats - informe'!$E$27),0,(C8124&gt;='Resultats - informe'!$D$28)*(C8124&lt;='Resultats - informe'!$E$28),0,(C8124&gt;='Resultats - informe'!$D$29)*(C8124&lt;='Resultats - informe'!$E$29),0,1,1)</f>
        <v>0</v>
      </c>
      <c r="N8124" s="366">
        <f>+VLOOKUP(D8124,'Resultats - informe'!$Y$18:$AG$42,'Introducció dades consum'!K8124+1,0)</f>
        <v>0</v>
      </c>
      <c r="O8124" s="370" cm="1">
        <f t="array" ref="O8124">+_xlfn.SWITCH(MONTH(C8124),1,1,2,1,3,1,4,2,5,2,6,3,7,3,8,3,9,3,10,2,11,2,12,1,2)</f>
        <v>1</v>
      </c>
      <c r="P8124" s="43"/>
    </row>
    <row r="8125" spans="1:16" ht="18" x14ac:dyDescent="0.35">
      <c r="A8125" s="9"/>
      <c r="C8125" s="393"/>
      <c r="E8125" s="394"/>
      <c r="F8125" s="394"/>
      <c r="G8125" s="394"/>
      <c r="I8125" s="368">
        <f t="shared" si="384"/>
        <v>0</v>
      </c>
      <c r="J8125" s="365">
        <f t="shared" si="385"/>
        <v>0</v>
      </c>
      <c r="K8125" s="369">
        <f t="shared" si="386"/>
        <v>6</v>
      </c>
      <c r="L8125" s="369">
        <f>+IF((C8125&gt;='Resultats - informe'!$E$16)*(C8125&lt;='Resultats - informe'!$G$16),1,0)</f>
        <v>1</v>
      </c>
      <c r="M8125" s="369" cm="1">
        <f t="array" ref="M8125">+_xlfn.IFS((C8125&gt;='Resultats - informe'!$D$26)*(C8125&lt;='Resultats - informe'!$E$26),0,(C8125&gt;='Resultats - informe'!$D$27)*(C8125&lt;='Resultats - informe'!$E$27),0,(C8125&gt;='Resultats - informe'!$D$28)*(C8125&lt;='Resultats - informe'!$E$28),0,(C8125&gt;='Resultats - informe'!$D$29)*(C8125&lt;='Resultats - informe'!$E$29),0,1,1)</f>
        <v>0</v>
      </c>
      <c r="N8125" s="366">
        <f>+VLOOKUP(D8125,'Resultats - informe'!$Y$18:$AG$42,'Introducció dades consum'!K8125+1,0)</f>
        <v>0</v>
      </c>
      <c r="O8125" s="370" cm="1">
        <f t="array" ref="O8125">+_xlfn.SWITCH(MONTH(C8125),1,1,2,1,3,1,4,2,5,2,6,3,7,3,8,3,9,3,10,2,11,2,12,1,2)</f>
        <v>1</v>
      </c>
      <c r="P8125" s="43"/>
    </row>
    <row r="8126" spans="1:16" ht="18" x14ac:dyDescent="0.35">
      <c r="A8126" s="9"/>
      <c r="C8126" s="393"/>
      <c r="E8126" s="394"/>
      <c r="F8126" s="394"/>
      <c r="G8126" s="394"/>
      <c r="I8126" s="368">
        <f t="shared" si="384"/>
        <v>0</v>
      </c>
      <c r="J8126" s="365">
        <f t="shared" si="385"/>
        <v>0</v>
      </c>
      <c r="K8126" s="369">
        <f t="shared" si="386"/>
        <v>6</v>
      </c>
      <c r="L8126" s="369">
        <f>+IF((C8126&gt;='Resultats - informe'!$E$16)*(C8126&lt;='Resultats - informe'!$G$16),1,0)</f>
        <v>1</v>
      </c>
      <c r="M8126" s="369" cm="1">
        <f t="array" ref="M8126">+_xlfn.IFS((C8126&gt;='Resultats - informe'!$D$26)*(C8126&lt;='Resultats - informe'!$E$26),0,(C8126&gt;='Resultats - informe'!$D$27)*(C8126&lt;='Resultats - informe'!$E$27),0,(C8126&gt;='Resultats - informe'!$D$28)*(C8126&lt;='Resultats - informe'!$E$28),0,(C8126&gt;='Resultats - informe'!$D$29)*(C8126&lt;='Resultats - informe'!$E$29),0,1,1)</f>
        <v>0</v>
      </c>
      <c r="N8126" s="366">
        <f>+VLOOKUP(D8126,'Resultats - informe'!$Y$18:$AG$42,'Introducció dades consum'!K8126+1,0)</f>
        <v>0</v>
      </c>
      <c r="O8126" s="370" cm="1">
        <f t="array" ref="O8126">+_xlfn.SWITCH(MONTH(C8126),1,1,2,1,3,1,4,2,5,2,6,3,7,3,8,3,9,3,10,2,11,2,12,1,2)</f>
        <v>1</v>
      </c>
      <c r="P8126" s="43"/>
    </row>
    <row r="8127" spans="1:16" ht="18" x14ac:dyDescent="0.35">
      <c r="A8127" s="9"/>
      <c r="C8127" s="393"/>
      <c r="E8127" s="394"/>
      <c r="F8127" s="394"/>
      <c r="G8127" s="394"/>
      <c r="I8127" s="368">
        <f t="shared" si="384"/>
        <v>0</v>
      </c>
      <c r="J8127" s="365">
        <f t="shared" si="385"/>
        <v>0</v>
      </c>
      <c r="K8127" s="369">
        <f t="shared" si="386"/>
        <v>6</v>
      </c>
      <c r="L8127" s="369">
        <f>+IF((C8127&gt;='Resultats - informe'!$E$16)*(C8127&lt;='Resultats - informe'!$G$16),1,0)</f>
        <v>1</v>
      </c>
      <c r="M8127" s="369" cm="1">
        <f t="array" ref="M8127">+_xlfn.IFS((C8127&gt;='Resultats - informe'!$D$26)*(C8127&lt;='Resultats - informe'!$E$26),0,(C8127&gt;='Resultats - informe'!$D$27)*(C8127&lt;='Resultats - informe'!$E$27),0,(C8127&gt;='Resultats - informe'!$D$28)*(C8127&lt;='Resultats - informe'!$E$28),0,(C8127&gt;='Resultats - informe'!$D$29)*(C8127&lt;='Resultats - informe'!$E$29),0,1,1)</f>
        <v>0</v>
      </c>
      <c r="N8127" s="366">
        <f>+VLOOKUP(D8127,'Resultats - informe'!$Y$18:$AG$42,'Introducció dades consum'!K8127+1,0)</f>
        <v>0</v>
      </c>
      <c r="O8127" s="370" cm="1">
        <f t="array" ref="O8127">+_xlfn.SWITCH(MONTH(C8127),1,1,2,1,3,1,4,2,5,2,6,3,7,3,8,3,9,3,10,2,11,2,12,1,2)</f>
        <v>1</v>
      </c>
      <c r="P8127" s="43"/>
    </row>
    <row r="8128" spans="1:16" ht="18" x14ac:dyDescent="0.35">
      <c r="A8128" s="9"/>
      <c r="C8128" s="393"/>
      <c r="E8128" s="394"/>
      <c r="F8128" s="394"/>
      <c r="G8128" s="394"/>
      <c r="I8128" s="368">
        <f t="shared" si="384"/>
        <v>0</v>
      </c>
      <c r="J8128" s="365">
        <f t="shared" si="385"/>
        <v>0</v>
      </c>
      <c r="K8128" s="369">
        <f t="shared" si="386"/>
        <v>6</v>
      </c>
      <c r="L8128" s="369">
        <f>+IF((C8128&gt;='Resultats - informe'!$E$16)*(C8128&lt;='Resultats - informe'!$G$16),1,0)</f>
        <v>1</v>
      </c>
      <c r="M8128" s="369" cm="1">
        <f t="array" ref="M8128">+_xlfn.IFS((C8128&gt;='Resultats - informe'!$D$26)*(C8128&lt;='Resultats - informe'!$E$26),0,(C8128&gt;='Resultats - informe'!$D$27)*(C8128&lt;='Resultats - informe'!$E$27),0,(C8128&gt;='Resultats - informe'!$D$28)*(C8128&lt;='Resultats - informe'!$E$28),0,(C8128&gt;='Resultats - informe'!$D$29)*(C8128&lt;='Resultats - informe'!$E$29),0,1,1)</f>
        <v>0</v>
      </c>
      <c r="N8128" s="366">
        <f>+VLOOKUP(D8128,'Resultats - informe'!$Y$18:$AG$42,'Introducció dades consum'!K8128+1,0)</f>
        <v>0</v>
      </c>
      <c r="O8128" s="370" cm="1">
        <f t="array" ref="O8128">+_xlfn.SWITCH(MONTH(C8128),1,1,2,1,3,1,4,2,5,2,6,3,7,3,8,3,9,3,10,2,11,2,12,1,2)</f>
        <v>1</v>
      </c>
      <c r="P8128" s="43"/>
    </row>
    <row r="8129" spans="1:16" ht="18" x14ac:dyDescent="0.35">
      <c r="A8129" s="9"/>
      <c r="C8129" s="393"/>
      <c r="E8129" s="394"/>
      <c r="F8129" s="394"/>
      <c r="G8129" s="394"/>
      <c r="I8129" s="368">
        <f t="shared" si="384"/>
        <v>0</v>
      </c>
      <c r="J8129" s="365">
        <f t="shared" si="385"/>
        <v>0</v>
      </c>
      <c r="K8129" s="369">
        <f t="shared" si="386"/>
        <v>6</v>
      </c>
      <c r="L8129" s="369">
        <f>+IF((C8129&gt;='Resultats - informe'!$E$16)*(C8129&lt;='Resultats - informe'!$G$16),1,0)</f>
        <v>1</v>
      </c>
      <c r="M8129" s="369" cm="1">
        <f t="array" ref="M8129">+_xlfn.IFS((C8129&gt;='Resultats - informe'!$D$26)*(C8129&lt;='Resultats - informe'!$E$26),0,(C8129&gt;='Resultats - informe'!$D$27)*(C8129&lt;='Resultats - informe'!$E$27),0,(C8129&gt;='Resultats - informe'!$D$28)*(C8129&lt;='Resultats - informe'!$E$28),0,(C8129&gt;='Resultats - informe'!$D$29)*(C8129&lt;='Resultats - informe'!$E$29),0,1,1)</f>
        <v>0</v>
      </c>
      <c r="N8129" s="366">
        <f>+VLOOKUP(D8129,'Resultats - informe'!$Y$18:$AG$42,'Introducció dades consum'!K8129+1,0)</f>
        <v>0</v>
      </c>
      <c r="O8129" s="370" cm="1">
        <f t="array" ref="O8129">+_xlfn.SWITCH(MONTH(C8129),1,1,2,1,3,1,4,2,5,2,6,3,7,3,8,3,9,3,10,2,11,2,12,1,2)</f>
        <v>1</v>
      </c>
      <c r="P8129" s="43"/>
    </row>
    <row r="8130" spans="1:16" ht="18" x14ac:dyDescent="0.35">
      <c r="A8130" s="9"/>
      <c r="C8130" s="393"/>
      <c r="E8130" s="394"/>
      <c r="F8130" s="394"/>
      <c r="G8130" s="394"/>
      <c r="I8130" s="368">
        <f t="shared" si="384"/>
        <v>0</v>
      </c>
      <c r="J8130" s="365">
        <f t="shared" si="385"/>
        <v>0</v>
      </c>
      <c r="K8130" s="369">
        <f t="shared" si="386"/>
        <v>6</v>
      </c>
      <c r="L8130" s="369">
        <f>+IF((C8130&gt;='Resultats - informe'!$E$16)*(C8130&lt;='Resultats - informe'!$G$16),1,0)</f>
        <v>1</v>
      </c>
      <c r="M8130" s="369" cm="1">
        <f t="array" ref="M8130">+_xlfn.IFS((C8130&gt;='Resultats - informe'!$D$26)*(C8130&lt;='Resultats - informe'!$E$26),0,(C8130&gt;='Resultats - informe'!$D$27)*(C8130&lt;='Resultats - informe'!$E$27),0,(C8130&gt;='Resultats - informe'!$D$28)*(C8130&lt;='Resultats - informe'!$E$28),0,(C8130&gt;='Resultats - informe'!$D$29)*(C8130&lt;='Resultats - informe'!$E$29),0,1,1)</f>
        <v>0</v>
      </c>
      <c r="N8130" s="366">
        <f>+VLOOKUP(D8130,'Resultats - informe'!$Y$18:$AG$42,'Introducció dades consum'!K8130+1,0)</f>
        <v>0</v>
      </c>
      <c r="O8130" s="370" cm="1">
        <f t="array" ref="O8130">+_xlfn.SWITCH(MONTH(C8130),1,1,2,1,3,1,4,2,5,2,6,3,7,3,8,3,9,3,10,2,11,2,12,1,2)</f>
        <v>1</v>
      </c>
      <c r="P8130" s="43"/>
    </row>
    <row r="8131" spans="1:16" ht="18" x14ac:dyDescent="0.35">
      <c r="A8131" s="9"/>
      <c r="C8131" s="393"/>
      <c r="E8131" s="394"/>
      <c r="F8131" s="394"/>
      <c r="G8131" s="394"/>
      <c r="I8131" s="368">
        <f t="shared" si="384"/>
        <v>0</v>
      </c>
      <c r="J8131" s="365">
        <f t="shared" si="385"/>
        <v>0</v>
      </c>
      <c r="K8131" s="369">
        <f t="shared" si="386"/>
        <v>6</v>
      </c>
      <c r="L8131" s="369">
        <f>+IF((C8131&gt;='Resultats - informe'!$E$16)*(C8131&lt;='Resultats - informe'!$G$16),1,0)</f>
        <v>1</v>
      </c>
      <c r="M8131" s="369" cm="1">
        <f t="array" ref="M8131">+_xlfn.IFS((C8131&gt;='Resultats - informe'!$D$26)*(C8131&lt;='Resultats - informe'!$E$26),0,(C8131&gt;='Resultats - informe'!$D$27)*(C8131&lt;='Resultats - informe'!$E$27),0,(C8131&gt;='Resultats - informe'!$D$28)*(C8131&lt;='Resultats - informe'!$E$28),0,(C8131&gt;='Resultats - informe'!$D$29)*(C8131&lt;='Resultats - informe'!$E$29),0,1,1)</f>
        <v>0</v>
      </c>
      <c r="N8131" s="366">
        <f>+VLOOKUP(D8131,'Resultats - informe'!$Y$18:$AG$42,'Introducció dades consum'!K8131+1,0)</f>
        <v>0</v>
      </c>
      <c r="O8131" s="370" cm="1">
        <f t="array" ref="O8131">+_xlfn.SWITCH(MONTH(C8131),1,1,2,1,3,1,4,2,5,2,6,3,7,3,8,3,9,3,10,2,11,2,12,1,2)</f>
        <v>1</v>
      </c>
      <c r="P8131" s="43"/>
    </row>
    <row r="8132" spans="1:16" ht="18" x14ac:dyDescent="0.35">
      <c r="A8132" s="9"/>
      <c r="C8132" s="393"/>
      <c r="E8132" s="394"/>
      <c r="F8132" s="394"/>
      <c r="G8132" s="394"/>
      <c r="I8132" s="368">
        <f t="shared" si="384"/>
        <v>0</v>
      </c>
      <c r="J8132" s="365">
        <f t="shared" si="385"/>
        <v>0</v>
      </c>
      <c r="K8132" s="369">
        <f t="shared" si="386"/>
        <v>6</v>
      </c>
      <c r="L8132" s="369">
        <f>+IF((C8132&gt;='Resultats - informe'!$E$16)*(C8132&lt;='Resultats - informe'!$G$16),1,0)</f>
        <v>1</v>
      </c>
      <c r="M8132" s="369" cm="1">
        <f t="array" ref="M8132">+_xlfn.IFS((C8132&gt;='Resultats - informe'!$D$26)*(C8132&lt;='Resultats - informe'!$E$26),0,(C8132&gt;='Resultats - informe'!$D$27)*(C8132&lt;='Resultats - informe'!$E$27),0,(C8132&gt;='Resultats - informe'!$D$28)*(C8132&lt;='Resultats - informe'!$E$28),0,(C8132&gt;='Resultats - informe'!$D$29)*(C8132&lt;='Resultats - informe'!$E$29),0,1,1)</f>
        <v>0</v>
      </c>
      <c r="N8132" s="366">
        <f>+VLOOKUP(D8132,'Resultats - informe'!$Y$18:$AG$42,'Introducció dades consum'!K8132+1,0)</f>
        <v>0</v>
      </c>
      <c r="O8132" s="370" cm="1">
        <f t="array" ref="O8132">+_xlfn.SWITCH(MONTH(C8132),1,1,2,1,3,1,4,2,5,2,6,3,7,3,8,3,9,3,10,2,11,2,12,1,2)</f>
        <v>1</v>
      </c>
      <c r="P8132" s="43"/>
    </row>
    <row r="8133" spans="1:16" ht="18" x14ac:dyDescent="0.35">
      <c r="A8133" s="9"/>
      <c r="C8133" s="393"/>
      <c r="E8133" s="394"/>
      <c r="F8133" s="394"/>
      <c r="G8133" s="394"/>
      <c r="I8133" s="368">
        <f t="shared" si="384"/>
        <v>0</v>
      </c>
      <c r="J8133" s="365">
        <f t="shared" si="385"/>
        <v>0</v>
      </c>
      <c r="K8133" s="369">
        <f t="shared" si="386"/>
        <v>6</v>
      </c>
      <c r="L8133" s="369">
        <f>+IF((C8133&gt;='Resultats - informe'!$E$16)*(C8133&lt;='Resultats - informe'!$G$16),1,0)</f>
        <v>1</v>
      </c>
      <c r="M8133" s="369" cm="1">
        <f t="array" ref="M8133">+_xlfn.IFS((C8133&gt;='Resultats - informe'!$D$26)*(C8133&lt;='Resultats - informe'!$E$26),0,(C8133&gt;='Resultats - informe'!$D$27)*(C8133&lt;='Resultats - informe'!$E$27),0,(C8133&gt;='Resultats - informe'!$D$28)*(C8133&lt;='Resultats - informe'!$E$28),0,(C8133&gt;='Resultats - informe'!$D$29)*(C8133&lt;='Resultats - informe'!$E$29),0,1,1)</f>
        <v>0</v>
      </c>
      <c r="N8133" s="366">
        <f>+VLOOKUP(D8133,'Resultats - informe'!$Y$18:$AG$42,'Introducció dades consum'!K8133+1,0)</f>
        <v>0</v>
      </c>
      <c r="O8133" s="370" cm="1">
        <f t="array" ref="O8133">+_xlfn.SWITCH(MONTH(C8133),1,1,2,1,3,1,4,2,5,2,6,3,7,3,8,3,9,3,10,2,11,2,12,1,2)</f>
        <v>1</v>
      </c>
      <c r="P8133" s="43"/>
    </row>
    <row r="8134" spans="1:16" ht="18" x14ac:dyDescent="0.35">
      <c r="A8134" s="9"/>
      <c r="C8134" s="393"/>
      <c r="E8134" s="394"/>
      <c r="F8134" s="394"/>
      <c r="G8134" s="394"/>
      <c r="I8134" s="368">
        <f t="shared" si="384"/>
        <v>0</v>
      </c>
      <c r="J8134" s="365">
        <f t="shared" si="385"/>
        <v>0</v>
      </c>
      <c r="K8134" s="369">
        <f t="shared" si="386"/>
        <v>6</v>
      </c>
      <c r="L8134" s="369">
        <f>+IF((C8134&gt;='Resultats - informe'!$E$16)*(C8134&lt;='Resultats - informe'!$G$16),1,0)</f>
        <v>1</v>
      </c>
      <c r="M8134" s="369" cm="1">
        <f t="array" ref="M8134">+_xlfn.IFS((C8134&gt;='Resultats - informe'!$D$26)*(C8134&lt;='Resultats - informe'!$E$26),0,(C8134&gt;='Resultats - informe'!$D$27)*(C8134&lt;='Resultats - informe'!$E$27),0,(C8134&gt;='Resultats - informe'!$D$28)*(C8134&lt;='Resultats - informe'!$E$28),0,(C8134&gt;='Resultats - informe'!$D$29)*(C8134&lt;='Resultats - informe'!$E$29),0,1,1)</f>
        <v>0</v>
      </c>
      <c r="N8134" s="366">
        <f>+VLOOKUP(D8134,'Resultats - informe'!$Y$18:$AG$42,'Introducció dades consum'!K8134+1,0)</f>
        <v>0</v>
      </c>
      <c r="O8134" s="370" cm="1">
        <f t="array" ref="O8134">+_xlfn.SWITCH(MONTH(C8134),1,1,2,1,3,1,4,2,5,2,6,3,7,3,8,3,9,3,10,2,11,2,12,1,2)</f>
        <v>1</v>
      </c>
      <c r="P8134" s="43"/>
    </row>
    <row r="8135" spans="1:16" ht="18" x14ac:dyDescent="0.35">
      <c r="A8135" s="9"/>
      <c r="C8135" s="393"/>
      <c r="E8135" s="394"/>
      <c r="F8135" s="394"/>
      <c r="G8135" s="394"/>
      <c r="I8135" s="368">
        <f t="shared" si="384"/>
        <v>0</v>
      </c>
      <c r="J8135" s="365">
        <f t="shared" si="385"/>
        <v>0</v>
      </c>
      <c r="K8135" s="369">
        <f t="shared" si="386"/>
        <v>6</v>
      </c>
      <c r="L8135" s="369">
        <f>+IF((C8135&gt;='Resultats - informe'!$E$16)*(C8135&lt;='Resultats - informe'!$G$16),1,0)</f>
        <v>1</v>
      </c>
      <c r="M8135" s="369" cm="1">
        <f t="array" ref="M8135">+_xlfn.IFS((C8135&gt;='Resultats - informe'!$D$26)*(C8135&lt;='Resultats - informe'!$E$26),0,(C8135&gt;='Resultats - informe'!$D$27)*(C8135&lt;='Resultats - informe'!$E$27),0,(C8135&gt;='Resultats - informe'!$D$28)*(C8135&lt;='Resultats - informe'!$E$28),0,(C8135&gt;='Resultats - informe'!$D$29)*(C8135&lt;='Resultats - informe'!$E$29),0,1,1)</f>
        <v>0</v>
      </c>
      <c r="N8135" s="366">
        <f>+VLOOKUP(D8135,'Resultats - informe'!$Y$18:$AG$42,'Introducció dades consum'!K8135+1,0)</f>
        <v>0</v>
      </c>
      <c r="O8135" s="370" cm="1">
        <f t="array" ref="O8135">+_xlfn.SWITCH(MONTH(C8135),1,1,2,1,3,1,4,2,5,2,6,3,7,3,8,3,9,3,10,2,11,2,12,1,2)</f>
        <v>1</v>
      </c>
      <c r="P8135" s="43"/>
    </row>
    <row r="8136" spans="1:16" ht="18" x14ac:dyDescent="0.35">
      <c r="A8136" s="9"/>
      <c r="C8136" s="393"/>
      <c r="E8136" s="394"/>
      <c r="F8136" s="394"/>
      <c r="G8136" s="394"/>
      <c r="I8136" s="368">
        <f t="shared" si="384"/>
        <v>0</v>
      </c>
      <c r="J8136" s="365">
        <f t="shared" si="385"/>
        <v>0</v>
      </c>
      <c r="K8136" s="369">
        <f t="shared" si="386"/>
        <v>6</v>
      </c>
      <c r="L8136" s="369">
        <f>+IF((C8136&gt;='Resultats - informe'!$E$16)*(C8136&lt;='Resultats - informe'!$G$16),1,0)</f>
        <v>1</v>
      </c>
      <c r="M8136" s="369" cm="1">
        <f t="array" ref="M8136">+_xlfn.IFS((C8136&gt;='Resultats - informe'!$D$26)*(C8136&lt;='Resultats - informe'!$E$26),0,(C8136&gt;='Resultats - informe'!$D$27)*(C8136&lt;='Resultats - informe'!$E$27),0,(C8136&gt;='Resultats - informe'!$D$28)*(C8136&lt;='Resultats - informe'!$E$28),0,(C8136&gt;='Resultats - informe'!$D$29)*(C8136&lt;='Resultats - informe'!$E$29),0,1,1)</f>
        <v>0</v>
      </c>
      <c r="N8136" s="366">
        <f>+VLOOKUP(D8136,'Resultats - informe'!$Y$18:$AG$42,'Introducció dades consum'!K8136+1,0)</f>
        <v>0</v>
      </c>
      <c r="O8136" s="370" cm="1">
        <f t="array" ref="O8136">+_xlfn.SWITCH(MONTH(C8136),1,1,2,1,3,1,4,2,5,2,6,3,7,3,8,3,9,3,10,2,11,2,12,1,2)</f>
        <v>1</v>
      </c>
      <c r="P8136" s="43"/>
    </row>
    <row r="8137" spans="1:16" ht="18" x14ac:dyDescent="0.35">
      <c r="A8137" s="9"/>
      <c r="C8137" s="393"/>
      <c r="E8137" s="394"/>
      <c r="F8137" s="394"/>
      <c r="G8137" s="394"/>
      <c r="I8137" s="368">
        <f t="shared" si="384"/>
        <v>0</v>
      </c>
      <c r="J8137" s="365">
        <f t="shared" si="385"/>
        <v>0</v>
      </c>
      <c r="K8137" s="369">
        <f t="shared" si="386"/>
        <v>6</v>
      </c>
      <c r="L8137" s="369">
        <f>+IF((C8137&gt;='Resultats - informe'!$E$16)*(C8137&lt;='Resultats - informe'!$G$16),1,0)</f>
        <v>1</v>
      </c>
      <c r="M8137" s="369" cm="1">
        <f t="array" ref="M8137">+_xlfn.IFS((C8137&gt;='Resultats - informe'!$D$26)*(C8137&lt;='Resultats - informe'!$E$26),0,(C8137&gt;='Resultats - informe'!$D$27)*(C8137&lt;='Resultats - informe'!$E$27),0,(C8137&gt;='Resultats - informe'!$D$28)*(C8137&lt;='Resultats - informe'!$E$28),0,(C8137&gt;='Resultats - informe'!$D$29)*(C8137&lt;='Resultats - informe'!$E$29),0,1,1)</f>
        <v>0</v>
      </c>
      <c r="N8137" s="366">
        <f>+VLOOKUP(D8137,'Resultats - informe'!$Y$18:$AG$42,'Introducció dades consum'!K8137+1,0)</f>
        <v>0</v>
      </c>
      <c r="O8137" s="370" cm="1">
        <f t="array" ref="O8137">+_xlfn.SWITCH(MONTH(C8137),1,1,2,1,3,1,4,2,5,2,6,3,7,3,8,3,9,3,10,2,11,2,12,1,2)</f>
        <v>1</v>
      </c>
      <c r="P8137" s="43"/>
    </row>
    <row r="8138" spans="1:16" ht="18" x14ac:dyDescent="0.35">
      <c r="A8138" s="9"/>
      <c r="C8138" s="393"/>
      <c r="E8138" s="394"/>
      <c r="F8138" s="394"/>
      <c r="G8138" s="394"/>
      <c r="I8138" s="368">
        <f t="shared" si="384"/>
        <v>0</v>
      </c>
      <c r="J8138" s="365">
        <f t="shared" si="385"/>
        <v>0</v>
      </c>
      <c r="K8138" s="369">
        <f t="shared" si="386"/>
        <v>6</v>
      </c>
      <c r="L8138" s="369">
        <f>+IF((C8138&gt;='Resultats - informe'!$E$16)*(C8138&lt;='Resultats - informe'!$G$16),1,0)</f>
        <v>1</v>
      </c>
      <c r="M8138" s="369" cm="1">
        <f t="array" ref="M8138">+_xlfn.IFS((C8138&gt;='Resultats - informe'!$D$26)*(C8138&lt;='Resultats - informe'!$E$26),0,(C8138&gt;='Resultats - informe'!$D$27)*(C8138&lt;='Resultats - informe'!$E$27),0,(C8138&gt;='Resultats - informe'!$D$28)*(C8138&lt;='Resultats - informe'!$E$28),0,(C8138&gt;='Resultats - informe'!$D$29)*(C8138&lt;='Resultats - informe'!$E$29),0,1,1)</f>
        <v>0</v>
      </c>
      <c r="N8138" s="366">
        <f>+VLOOKUP(D8138,'Resultats - informe'!$Y$18:$AG$42,'Introducció dades consum'!K8138+1,0)</f>
        <v>0</v>
      </c>
      <c r="O8138" s="370" cm="1">
        <f t="array" ref="O8138">+_xlfn.SWITCH(MONTH(C8138),1,1,2,1,3,1,4,2,5,2,6,3,7,3,8,3,9,3,10,2,11,2,12,1,2)</f>
        <v>1</v>
      </c>
      <c r="P8138" s="43"/>
    </row>
    <row r="8139" spans="1:16" ht="18" x14ac:dyDescent="0.35">
      <c r="A8139" s="9"/>
      <c r="C8139" s="393"/>
      <c r="E8139" s="394"/>
      <c r="F8139" s="394"/>
      <c r="G8139" s="394"/>
      <c r="I8139" s="368">
        <f t="shared" si="384"/>
        <v>0</v>
      </c>
      <c r="J8139" s="365">
        <f t="shared" si="385"/>
        <v>0</v>
      </c>
      <c r="K8139" s="369">
        <f t="shared" si="386"/>
        <v>6</v>
      </c>
      <c r="L8139" s="369">
        <f>+IF((C8139&gt;='Resultats - informe'!$E$16)*(C8139&lt;='Resultats - informe'!$G$16),1,0)</f>
        <v>1</v>
      </c>
      <c r="M8139" s="369" cm="1">
        <f t="array" ref="M8139">+_xlfn.IFS((C8139&gt;='Resultats - informe'!$D$26)*(C8139&lt;='Resultats - informe'!$E$26),0,(C8139&gt;='Resultats - informe'!$D$27)*(C8139&lt;='Resultats - informe'!$E$27),0,(C8139&gt;='Resultats - informe'!$D$28)*(C8139&lt;='Resultats - informe'!$E$28),0,(C8139&gt;='Resultats - informe'!$D$29)*(C8139&lt;='Resultats - informe'!$E$29),0,1,1)</f>
        <v>0</v>
      </c>
      <c r="N8139" s="366">
        <f>+VLOOKUP(D8139,'Resultats - informe'!$Y$18:$AG$42,'Introducció dades consum'!K8139+1,0)</f>
        <v>0</v>
      </c>
      <c r="O8139" s="370" cm="1">
        <f t="array" ref="O8139">+_xlfn.SWITCH(MONTH(C8139),1,1,2,1,3,1,4,2,5,2,6,3,7,3,8,3,9,3,10,2,11,2,12,1,2)</f>
        <v>1</v>
      </c>
      <c r="P8139" s="43"/>
    </row>
    <row r="8140" spans="1:16" ht="18" x14ac:dyDescent="0.35">
      <c r="A8140" s="9"/>
      <c r="C8140" s="393"/>
      <c r="E8140" s="394"/>
      <c r="F8140" s="394"/>
      <c r="G8140" s="394"/>
      <c r="I8140" s="368">
        <f t="shared" si="384"/>
        <v>0</v>
      </c>
      <c r="J8140" s="365">
        <f t="shared" si="385"/>
        <v>0</v>
      </c>
      <c r="K8140" s="369">
        <f t="shared" si="386"/>
        <v>6</v>
      </c>
      <c r="L8140" s="369">
        <f>+IF((C8140&gt;='Resultats - informe'!$E$16)*(C8140&lt;='Resultats - informe'!$G$16),1,0)</f>
        <v>1</v>
      </c>
      <c r="M8140" s="369" cm="1">
        <f t="array" ref="M8140">+_xlfn.IFS((C8140&gt;='Resultats - informe'!$D$26)*(C8140&lt;='Resultats - informe'!$E$26),0,(C8140&gt;='Resultats - informe'!$D$27)*(C8140&lt;='Resultats - informe'!$E$27),0,(C8140&gt;='Resultats - informe'!$D$28)*(C8140&lt;='Resultats - informe'!$E$28),0,(C8140&gt;='Resultats - informe'!$D$29)*(C8140&lt;='Resultats - informe'!$E$29),0,1,1)</f>
        <v>0</v>
      </c>
      <c r="N8140" s="366">
        <f>+VLOOKUP(D8140,'Resultats - informe'!$Y$18:$AG$42,'Introducció dades consum'!K8140+1,0)</f>
        <v>0</v>
      </c>
      <c r="O8140" s="370" cm="1">
        <f t="array" ref="O8140">+_xlfn.SWITCH(MONTH(C8140),1,1,2,1,3,1,4,2,5,2,6,3,7,3,8,3,9,3,10,2,11,2,12,1,2)</f>
        <v>1</v>
      </c>
      <c r="P8140" s="43"/>
    </row>
    <row r="8141" spans="1:16" ht="18" x14ac:dyDescent="0.35">
      <c r="A8141" s="9"/>
      <c r="C8141" s="393"/>
      <c r="E8141" s="394"/>
      <c r="F8141" s="394"/>
      <c r="G8141" s="394"/>
      <c r="I8141" s="368">
        <f t="shared" si="384"/>
        <v>0</v>
      </c>
      <c r="J8141" s="365">
        <f t="shared" si="385"/>
        <v>0</v>
      </c>
      <c r="K8141" s="369">
        <f t="shared" si="386"/>
        <v>6</v>
      </c>
      <c r="L8141" s="369">
        <f>+IF((C8141&gt;='Resultats - informe'!$E$16)*(C8141&lt;='Resultats - informe'!$G$16),1,0)</f>
        <v>1</v>
      </c>
      <c r="M8141" s="369" cm="1">
        <f t="array" ref="M8141">+_xlfn.IFS((C8141&gt;='Resultats - informe'!$D$26)*(C8141&lt;='Resultats - informe'!$E$26),0,(C8141&gt;='Resultats - informe'!$D$27)*(C8141&lt;='Resultats - informe'!$E$27),0,(C8141&gt;='Resultats - informe'!$D$28)*(C8141&lt;='Resultats - informe'!$E$28),0,(C8141&gt;='Resultats - informe'!$D$29)*(C8141&lt;='Resultats - informe'!$E$29),0,1,1)</f>
        <v>0</v>
      </c>
      <c r="N8141" s="366">
        <f>+VLOOKUP(D8141,'Resultats - informe'!$Y$18:$AG$42,'Introducció dades consum'!K8141+1,0)</f>
        <v>0</v>
      </c>
      <c r="O8141" s="370" cm="1">
        <f t="array" ref="O8141">+_xlfn.SWITCH(MONTH(C8141),1,1,2,1,3,1,4,2,5,2,6,3,7,3,8,3,9,3,10,2,11,2,12,1,2)</f>
        <v>1</v>
      </c>
      <c r="P8141" s="43"/>
    </row>
    <row r="8142" spans="1:16" ht="18" x14ac:dyDescent="0.35">
      <c r="A8142" s="9"/>
      <c r="C8142" s="393"/>
      <c r="E8142" s="394"/>
      <c r="F8142" s="394"/>
      <c r="G8142" s="394"/>
      <c r="I8142" s="368">
        <f t="shared" si="384"/>
        <v>0</v>
      </c>
      <c r="J8142" s="365">
        <f t="shared" si="385"/>
        <v>0</v>
      </c>
      <c r="K8142" s="369">
        <f t="shared" si="386"/>
        <v>6</v>
      </c>
      <c r="L8142" s="369">
        <f>+IF((C8142&gt;='Resultats - informe'!$E$16)*(C8142&lt;='Resultats - informe'!$G$16),1,0)</f>
        <v>1</v>
      </c>
      <c r="M8142" s="369" cm="1">
        <f t="array" ref="M8142">+_xlfn.IFS((C8142&gt;='Resultats - informe'!$D$26)*(C8142&lt;='Resultats - informe'!$E$26),0,(C8142&gt;='Resultats - informe'!$D$27)*(C8142&lt;='Resultats - informe'!$E$27),0,(C8142&gt;='Resultats - informe'!$D$28)*(C8142&lt;='Resultats - informe'!$E$28),0,(C8142&gt;='Resultats - informe'!$D$29)*(C8142&lt;='Resultats - informe'!$E$29),0,1,1)</f>
        <v>0</v>
      </c>
      <c r="N8142" s="366">
        <f>+VLOOKUP(D8142,'Resultats - informe'!$Y$18:$AG$42,'Introducció dades consum'!K8142+1,0)</f>
        <v>0</v>
      </c>
      <c r="O8142" s="370" cm="1">
        <f t="array" ref="O8142">+_xlfn.SWITCH(MONTH(C8142),1,1,2,1,3,1,4,2,5,2,6,3,7,3,8,3,9,3,10,2,11,2,12,1,2)</f>
        <v>1</v>
      </c>
      <c r="P8142" s="43"/>
    </row>
    <row r="8143" spans="1:16" ht="18" x14ac:dyDescent="0.35">
      <c r="A8143" s="9"/>
      <c r="C8143" s="393"/>
      <c r="E8143" s="394"/>
      <c r="F8143" s="394"/>
      <c r="G8143" s="394"/>
      <c r="I8143" s="368">
        <f t="shared" si="384"/>
        <v>0</v>
      </c>
      <c r="J8143" s="365">
        <f t="shared" si="385"/>
        <v>0</v>
      </c>
      <c r="K8143" s="369">
        <f t="shared" si="386"/>
        <v>6</v>
      </c>
      <c r="L8143" s="369">
        <f>+IF((C8143&gt;='Resultats - informe'!$E$16)*(C8143&lt;='Resultats - informe'!$G$16),1,0)</f>
        <v>1</v>
      </c>
      <c r="M8143" s="369" cm="1">
        <f t="array" ref="M8143">+_xlfn.IFS((C8143&gt;='Resultats - informe'!$D$26)*(C8143&lt;='Resultats - informe'!$E$26),0,(C8143&gt;='Resultats - informe'!$D$27)*(C8143&lt;='Resultats - informe'!$E$27),0,(C8143&gt;='Resultats - informe'!$D$28)*(C8143&lt;='Resultats - informe'!$E$28),0,(C8143&gt;='Resultats - informe'!$D$29)*(C8143&lt;='Resultats - informe'!$E$29),0,1,1)</f>
        <v>0</v>
      </c>
      <c r="N8143" s="366">
        <f>+VLOOKUP(D8143,'Resultats - informe'!$Y$18:$AG$42,'Introducció dades consum'!K8143+1,0)</f>
        <v>0</v>
      </c>
      <c r="O8143" s="370" cm="1">
        <f t="array" ref="O8143">+_xlfn.SWITCH(MONTH(C8143),1,1,2,1,3,1,4,2,5,2,6,3,7,3,8,3,9,3,10,2,11,2,12,1,2)</f>
        <v>1</v>
      </c>
      <c r="P8143" s="43"/>
    </row>
    <row r="8144" spans="1:16" ht="18" x14ac:dyDescent="0.35">
      <c r="A8144" s="9"/>
      <c r="C8144" s="393"/>
      <c r="E8144" s="394"/>
      <c r="F8144" s="394"/>
      <c r="G8144" s="394"/>
      <c r="I8144" s="368">
        <f t="shared" si="384"/>
        <v>0</v>
      </c>
      <c r="J8144" s="365">
        <f t="shared" si="385"/>
        <v>0</v>
      </c>
      <c r="K8144" s="369">
        <f t="shared" si="386"/>
        <v>6</v>
      </c>
      <c r="L8144" s="369">
        <f>+IF((C8144&gt;='Resultats - informe'!$E$16)*(C8144&lt;='Resultats - informe'!$G$16),1,0)</f>
        <v>1</v>
      </c>
      <c r="M8144" s="369" cm="1">
        <f t="array" ref="M8144">+_xlfn.IFS((C8144&gt;='Resultats - informe'!$D$26)*(C8144&lt;='Resultats - informe'!$E$26),0,(C8144&gt;='Resultats - informe'!$D$27)*(C8144&lt;='Resultats - informe'!$E$27),0,(C8144&gt;='Resultats - informe'!$D$28)*(C8144&lt;='Resultats - informe'!$E$28),0,(C8144&gt;='Resultats - informe'!$D$29)*(C8144&lt;='Resultats - informe'!$E$29),0,1,1)</f>
        <v>0</v>
      </c>
      <c r="N8144" s="366">
        <f>+VLOOKUP(D8144,'Resultats - informe'!$Y$18:$AG$42,'Introducció dades consum'!K8144+1,0)</f>
        <v>0</v>
      </c>
      <c r="O8144" s="370" cm="1">
        <f t="array" ref="O8144">+_xlfn.SWITCH(MONTH(C8144),1,1,2,1,3,1,4,2,5,2,6,3,7,3,8,3,9,3,10,2,11,2,12,1,2)</f>
        <v>1</v>
      </c>
      <c r="P8144" s="43"/>
    </row>
    <row r="8145" spans="1:16" ht="18" x14ac:dyDescent="0.35">
      <c r="A8145" s="9"/>
      <c r="C8145" s="393"/>
      <c r="E8145" s="394"/>
      <c r="F8145" s="394"/>
      <c r="G8145" s="394"/>
      <c r="I8145" s="368">
        <f t="shared" si="384"/>
        <v>0</v>
      </c>
      <c r="J8145" s="365">
        <f t="shared" si="385"/>
        <v>0</v>
      </c>
      <c r="K8145" s="369">
        <f t="shared" si="386"/>
        <v>6</v>
      </c>
      <c r="L8145" s="369">
        <f>+IF((C8145&gt;='Resultats - informe'!$E$16)*(C8145&lt;='Resultats - informe'!$G$16),1,0)</f>
        <v>1</v>
      </c>
      <c r="M8145" s="369" cm="1">
        <f t="array" ref="M8145">+_xlfn.IFS((C8145&gt;='Resultats - informe'!$D$26)*(C8145&lt;='Resultats - informe'!$E$26),0,(C8145&gt;='Resultats - informe'!$D$27)*(C8145&lt;='Resultats - informe'!$E$27),0,(C8145&gt;='Resultats - informe'!$D$28)*(C8145&lt;='Resultats - informe'!$E$28),0,(C8145&gt;='Resultats - informe'!$D$29)*(C8145&lt;='Resultats - informe'!$E$29),0,1,1)</f>
        <v>0</v>
      </c>
      <c r="N8145" s="366">
        <f>+VLOOKUP(D8145,'Resultats - informe'!$Y$18:$AG$42,'Introducció dades consum'!K8145+1,0)</f>
        <v>0</v>
      </c>
      <c r="O8145" s="370" cm="1">
        <f t="array" ref="O8145">+_xlfn.SWITCH(MONTH(C8145),1,1,2,1,3,1,4,2,5,2,6,3,7,3,8,3,9,3,10,2,11,2,12,1,2)</f>
        <v>1</v>
      </c>
      <c r="P8145" s="43"/>
    </row>
    <row r="8146" spans="1:16" ht="18" x14ac:dyDescent="0.35">
      <c r="A8146" s="9"/>
      <c r="C8146" s="393"/>
      <c r="E8146" s="394"/>
      <c r="F8146" s="394"/>
      <c r="G8146" s="394"/>
      <c r="I8146" s="368">
        <f t="shared" ref="I8146:I8209" si="387">+E8146+G8146</f>
        <v>0</v>
      </c>
      <c r="J8146" s="365">
        <f t="shared" ref="J8146:J8209" si="388">+C8146</f>
        <v>0</v>
      </c>
      <c r="K8146" s="369">
        <f t="shared" ref="K8146:K8209" si="389">+WEEKDAY(C8146,2)</f>
        <v>6</v>
      </c>
      <c r="L8146" s="369">
        <f>+IF((C8146&gt;='Resultats - informe'!$E$16)*(C8146&lt;='Resultats - informe'!$G$16),1,0)</f>
        <v>1</v>
      </c>
      <c r="M8146" s="369" cm="1">
        <f t="array" ref="M8146">+_xlfn.IFS((C8146&gt;='Resultats - informe'!$D$26)*(C8146&lt;='Resultats - informe'!$E$26),0,(C8146&gt;='Resultats - informe'!$D$27)*(C8146&lt;='Resultats - informe'!$E$27),0,(C8146&gt;='Resultats - informe'!$D$28)*(C8146&lt;='Resultats - informe'!$E$28),0,(C8146&gt;='Resultats - informe'!$D$29)*(C8146&lt;='Resultats - informe'!$E$29),0,1,1)</f>
        <v>0</v>
      </c>
      <c r="N8146" s="366">
        <f>+VLOOKUP(D8146,'Resultats - informe'!$Y$18:$AG$42,'Introducció dades consum'!K8146+1,0)</f>
        <v>0</v>
      </c>
      <c r="O8146" s="370" cm="1">
        <f t="array" ref="O8146">+_xlfn.SWITCH(MONTH(C8146),1,1,2,1,3,1,4,2,5,2,6,3,7,3,8,3,9,3,10,2,11,2,12,1,2)</f>
        <v>1</v>
      </c>
      <c r="P8146" s="43"/>
    </row>
    <row r="8147" spans="1:16" ht="18" x14ac:dyDescent="0.35">
      <c r="A8147" s="9"/>
      <c r="C8147" s="393"/>
      <c r="E8147" s="394"/>
      <c r="F8147" s="394"/>
      <c r="G8147" s="394"/>
      <c r="I8147" s="368">
        <f t="shared" si="387"/>
        <v>0</v>
      </c>
      <c r="J8147" s="365">
        <f t="shared" si="388"/>
        <v>0</v>
      </c>
      <c r="K8147" s="369">
        <f t="shared" si="389"/>
        <v>6</v>
      </c>
      <c r="L8147" s="369">
        <f>+IF((C8147&gt;='Resultats - informe'!$E$16)*(C8147&lt;='Resultats - informe'!$G$16),1,0)</f>
        <v>1</v>
      </c>
      <c r="M8147" s="369" cm="1">
        <f t="array" ref="M8147">+_xlfn.IFS((C8147&gt;='Resultats - informe'!$D$26)*(C8147&lt;='Resultats - informe'!$E$26),0,(C8147&gt;='Resultats - informe'!$D$27)*(C8147&lt;='Resultats - informe'!$E$27),0,(C8147&gt;='Resultats - informe'!$D$28)*(C8147&lt;='Resultats - informe'!$E$28),0,(C8147&gt;='Resultats - informe'!$D$29)*(C8147&lt;='Resultats - informe'!$E$29),0,1,1)</f>
        <v>0</v>
      </c>
      <c r="N8147" s="366">
        <f>+VLOOKUP(D8147,'Resultats - informe'!$Y$18:$AG$42,'Introducció dades consum'!K8147+1,0)</f>
        <v>0</v>
      </c>
      <c r="O8147" s="370" cm="1">
        <f t="array" ref="O8147">+_xlfn.SWITCH(MONTH(C8147),1,1,2,1,3,1,4,2,5,2,6,3,7,3,8,3,9,3,10,2,11,2,12,1,2)</f>
        <v>1</v>
      </c>
      <c r="P8147" s="43"/>
    </row>
    <row r="8148" spans="1:16" ht="18" x14ac:dyDescent="0.35">
      <c r="A8148" s="9"/>
      <c r="C8148" s="393"/>
      <c r="E8148" s="394"/>
      <c r="F8148" s="394"/>
      <c r="G8148" s="394"/>
      <c r="I8148" s="368">
        <f t="shared" si="387"/>
        <v>0</v>
      </c>
      <c r="J8148" s="365">
        <f t="shared" si="388"/>
        <v>0</v>
      </c>
      <c r="K8148" s="369">
        <f t="shared" si="389"/>
        <v>6</v>
      </c>
      <c r="L8148" s="369">
        <f>+IF((C8148&gt;='Resultats - informe'!$E$16)*(C8148&lt;='Resultats - informe'!$G$16),1,0)</f>
        <v>1</v>
      </c>
      <c r="M8148" s="369" cm="1">
        <f t="array" ref="M8148">+_xlfn.IFS((C8148&gt;='Resultats - informe'!$D$26)*(C8148&lt;='Resultats - informe'!$E$26),0,(C8148&gt;='Resultats - informe'!$D$27)*(C8148&lt;='Resultats - informe'!$E$27),0,(C8148&gt;='Resultats - informe'!$D$28)*(C8148&lt;='Resultats - informe'!$E$28),0,(C8148&gt;='Resultats - informe'!$D$29)*(C8148&lt;='Resultats - informe'!$E$29),0,1,1)</f>
        <v>0</v>
      </c>
      <c r="N8148" s="366">
        <f>+VLOOKUP(D8148,'Resultats - informe'!$Y$18:$AG$42,'Introducció dades consum'!K8148+1,0)</f>
        <v>0</v>
      </c>
      <c r="O8148" s="370" cm="1">
        <f t="array" ref="O8148">+_xlfn.SWITCH(MONTH(C8148),1,1,2,1,3,1,4,2,5,2,6,3,7,3,8,3,9,3,10,2,11,2,12,1,2)</f>
        <v>1</v>
      </c>
      <c r="P8148" s="43"/>
    </row>
    <row r="8149" spans="1:16" ht="18" x14ac:dyDescent="0.35">
      <c r="A8149" s="9"/>
      <c r="C8149" s="393"/>
      <c r="E8149" s="394"/>
      <c r="F8149" s="394"/>
      <c r="G8149" s="394"/>
      <c r="I8149" s="368">
        <f t="shared" si="387"/>
        <v>0</v>
      </c>
      <c r="J8149" s="365">
        <f t="shared" si="388"/>
        <v>0</v>
      </c>
      <c r="K8149" s="369">
        <f t="shared" si="389"/>
        <v>6</v>
      </c>
      <c r="L8149" s="369">
        <f>+IF((C8149&gt;='Resultats - informe'!$E$16)*(C8149&lt;='Resultats - informe'!$G$16),1,0)</f>
        <v>1</v>
      </c>
      <c r="M8149" s="369" cm="1">
        <f t="array" ref="M8149">+_xlfn.IFS((C8149&gt;='Resultats - informe'!$D$26)*(C8149&lt;='Resultats - informe'!$E$26),0,(C8149&gt;='Resultats - informe'!$D$27)*(C8149&lt;='Resultats - informe'!$E$27),0,(C8149&gt;='Resultats - informe'!$D$28)*(C8149&lt;='Resultats - informe'!$E$28),0,(C8149&gt;='Resultats - informe'!$D$29)*(C8149&lt;='Resultats - informe'!$E$29),0,1,1)</f>
        <v>0</v>
      </c>
      <c r="N8149" s="366">
        <f>+VLOOKUP(D8149,'Resultats - informe'!$Y$18:$AG$42,'Introducció dades consum'!K8149+1,0)</f>
        <v>0</v>
      </c>
      <c r="O8149" s="370" cm="1">
        <f t="array" ref="O8149">+_xlfn.SWITCH(MONTH(C8149),1,1,2,1,3,1,4,2,5,2,6,3,7,3,8,3,9,3,10,2,11,2,12,1,2)</f>
        <v>1</v>
      </c>
      <c r="P8149" s="43"/>
    </row>
    <row r="8150" spans="1:16" ht="18" x14ac:dyDescent="0.35">
      <c r="A8150" s="9"/>
      <c r="C8150" s="393"/>
      <c r="E8150" s="394"/>
      <c r="F8150" s="394"/>
      <c r="G8150" s="394"/>
      <c r="I8150" s="368">
        <f t="shared" si="387"/>
        <v>0</v>
      </c>
      <c r="J8150" s="365">
        <f t="shared" si="388"/>
        <v>0</v>
      </c>
      <c r="K8150" s="369">
        <f t="shared" si="389"/>
        <v>6</v>
      </c>
      <c r="L8150" s="369">
        <f>+IF((C8150&gt;='Resultats - informe'!$E$16)*(C8150&lt;='Resultats - informe'!$G$16),1,0)</f>
        <v>1</v>
      </c>
      <c r="M8150" s="369" cm="1">
        <f t="array" ref="M8150">+_xlfn.IFS((C8150&gt;='Resultats - informe'!$D$26)*(C8150&lt;='Resultats - informe'!$E$26),0,(C8150&gt;='Resultats - informe'!$D$27)*(C8150&lt;='Resultats - informe'!$E$27),0,(C8150&gt;='Resultats - informe'!$D$28)*(C8150&lt;='Resultats - informe'!$E$28),0,(C8150&gt;='Resultats - informe'!$D$29)*(C8150&lt;='Resultats - informe'!$E$29),0,1,1)</f>
        <v>0</v>
      </c>
      <c r="N8150" s="366">
        <f>+VLOOKUP(D8150,'Resultats - informe'!$Y$18:$AG$42,'Introducció dades consum'!K8150+1,0)</f>
        <v>0</v>
      </c>
      <c r="O8150" s="370" cm="1">
        <f t="array" ref="O8150">+_xlfn.SWITCH(MONTH(C8150),1,1,2,1,3,1,4,2,5,2,6,3,7,3,8,3,9,3,10,2,11,2,12,1,2)</f>
        <v>1</v>
      </c>
      <c r="P8150" s="43"/>
    </row>
    <row r="8151" spans="1:16" ht="18" x14ac:dyDescent="0.35">
      <c r="A8151" s="9"/>
      <c r="C8151" s="393"/>
      <c r="E8151" s="394"/>
      <c r="F8151" s="394"/>
      <c r="G8151" s="394"/>
      <c r="I8151" s="368">
        <f t="shared" si="387"/>
        <v>0</v>
      </c>
      <c r="J8151" s="365">
        <f t="shared" si="388"/>
        <v>0</v>
      </c>
      <c r="K8151" s="369">
        <f t="shared" si="389"/>
        <v>6</v>
      </c>
      <c r="L8151" s="369">
        <f>+IF((C8151&gt;='Resultats - informe'!$E$16)*(C8151&lt;='Resultats - informe'!$G$16),1,0)</f>
        <v>1</v>
      </c>
      <c r="M8151" s="369" cm="1">
        <f t="array" ref="M8151">+_xlfn.IFS((C8151&gt;='Resultats - informe'!$D$26)*(C8151&lt;='Resultats - informe'!$E$26),0,(C8151&gt;='Resultats - informe'!$D$27)*(C8151&lt;='Resultats - informe'!$E$27),0,(C8151&gt;='Resultats - informe'!$D$28)*(C8151&lt;='Resultats - informe'!$E$28),0,(C8151&gt;='Resultats - informe'!$D$29)*(C8151&lt;='Resultats - informe'!$E$29),0,1,1)</f>
        <v>0</v>
      </c>
      <c r="N8151" s="366">
        <f>+VLOOKUP(D8151,'Resultats - informe'!$Y$18:$AG$42,'Introducció dades consum'!K8151+1,0)</f>
        <v>0</v>
      </c>
      <c r="O8151" s="370" cm="1">
        <f t="array" ref="O8151">+_xlfn.SWITCH(MONTH(C8151),1,1,2,1,3,1,4,2,5,2,6,3,7,3,8,3,9,3,10,2,11,2,12,1,2)</f>
        <v>1</v>
      </c>
      <c r="P8151" s="43"/>
    </row>
    <row r="8152" spans="1:16" ht="18" x14ac:dyDescent="0.35">
      <c r="A8152" s="9"/>
      <c r="C8152" s="393"/>
      <c r="E8152" s="394"/>
      <c r="F8152" s="394"/>
      <c r="G8152" s="394"/>
      <c r="I8152" s="368">
        <f t="shared" si="387"/>
        <v>0</v>
      </c>
      <c r="J8152" s="365">
        <f t="shared" si="388"/>
        <v>0</v>
      </c>
      <c r="K8152" s="369">
        <f t="shared" si="389"/>
        <v>6</v>
      </c>
      <c r="L8152" s="369">
        <f>+IF((C8152&gt;='Resultats - informe'!$E$16)*(C8152&lt;='Resultats - informe'!$G$16),1,0)</f>
        <v>1</v>
      </c>
      <c r="M8152" s="369" cm="1">
        <f t="array" ref="M8152">+_xlfn.IFS((C8152&gt;='Resultats - informe'!$D$26)*(C8152&lt;='Resultats - informe'!$E$26),0,(C8152&gt;='Resultats - informe'!$D$27)*(C8152&lt;='Resultats - informe'!$E$27),0,(C8152&gt;='Resultats - informe'!$D$28)*(C8152&lt;='Resultats - informe'!$E$28),0,(C8152&gt;='Resultats - informe'!$D$29)*(C8152&lt;='Resultats - informe'!$E$29),0,1,1)</f>
        <v>0</v>
      </c>
      <c r="N8152" s="366">
        <f>+VLOOKUP(D8152,'Resultats - informe'!$Y$18:$AG$42,'Introducció dades consum'!K8152+1,0)</f>
        <v>0</v>
      </c>
      <c r="O8152" s="370" cm="1">
        <f t="array" ref="O8152">+_xlfn.SWITCH(MONTH(C8152),1,1,2,1,3,1,4,2,5,2,6,3,7,3,8,3,9,3,10,2,11,2,12,1,2)</f>
        <v>1</v>
      </c>
      <c r="P8152" s="43"/>
    </row>
    <row r="8153" spans="1:16" ht="18" x14ac:dyDescent="0.35">
      <c r="A8153" s="9"/>
      <c r="C8153" s="393"/>
      <c r="E8153" s="394"/>
      <c r="F8153" s="394"/>
      <c r="G8153" s="394"/>
      <c r="I8153" s="368">
        <f t="shared" si="387"/>
        <v>0</v>
      </c>
      <c r="J8153" s="365">
        <f t="shared" si="388"/>
        <v>0</v>
      </c>
      <c r="K8153" s="369">
        <f t="shared" si="389"/>
        <v>6</v>
      </c>
      <c r="L8153" s="369">
        <f>+IF((C8153&gt;='Resultats - informe'!$E$16)*(C8153&lt;='Resultats - informe'!$G$16),1,0)</f>
        <v>1</v>
      </c>
      <c r="M8153" s="369" cm="1">
        <f t="array" ref="M8153">+_xlfn.IFS((C8153&gt;='Resultats - informe'!$D$26)*(C8153&lt;='Resultats - informe'!$E$26),0,(C8153&gt;='Resultats - informe'!$D$27)*(C8153&lt;='Resultats - informe'!$E$27),0,(C8153&gt;='Resultats - informe'!$D$28)*(C8153&lt;='Resultats - informe'!$E$28),0,(C8153&gt;='Resultats - informe'!$D$29)*(C8153&lt;='Resultats - informe'!$E$29),0,1,1)</f>
        <v>0</v>
      </c>
      <c r="N8153" s="366">
        <f>+VLOOKUP(D8153,'Resultats - informe'!$Y$18:$AG$42,'Introducció dades consum'!K8153+1,0)</f>
        <v>0</v>
      </c>
      <c r="O8153" s="370" cm="1">
        <f t="array" ref="O8153">+_xlfn.SWITCH(MONTH(C8153),1,1,2,1,3,1,4,2,5,2,6,3,7,3,8,3,9,3,10,2,11,2,12,1,2)</f>
        <v>1</v>
      </c>
      <c r="P8153" s="43"/>
    </row>
    <row r="8154" spans="1:16" ht="18" x14ac:dyDescent="0.35">
      <c r="A8154" s="9"/>
      <c r="C8154" s="393"/>
      <c r="E8154" s="394"/>
      <c r="F8154" s="394"/>
      <c r="G8154" s="394"/>
      <c r="I8154" s="368">
        <f t="shared" si="387"/>
        <v>0</v>
      </c>
      <c r="J8154" s="365">
        <f t="shared" si="388"/>
        <v>0</v>
      </c>
      <c r="K8154" s="369">
        <f t="shared" si="389"/>
        <v>6</v>
      </c>
      <c r="L8154" s="369">
        <f>+IF((C8154&gt;='Resultats - informe'!$E$16)*(C8154&lt;='Resultats - informe'!$G$16),1,0)</f>
        <v>1</v>
      </c>
      <c r="M8154" s="369" cm="1">
        <f t="array" ref="M8154">+_xlfn.IFS((C8154&gt;='Resultats - informe'!$D$26)*(C8154&lt;='Resultats - informe'!$E$26),0,(C8154&gt;='Resultats - informe'!$D$27)*(C8154&lt;='Resultats - informe'!$E$27),0,(C8154&gt;='Resultats - informe'!$D$28)*(C8154&lt;='Resultats - informe'!$E$28),0,(C8154&gt;='Resultats - informe'!$D$29)*(C8154&lt;='Resultats - informe'!$E$29),0,1,1)</f>
        <v>0</v>
      </c>
      <c r="N8154" s="366">
        <f>+VLOOKUP(D8154,'Resultats - informe'!$Y$18:$AG$42,'Introducció dades consum'!K8154+1,0)</f>
        <v>0</v>
      </c>
      <c r="O8154" s="370" cm="1">
        <f t="array" ref="O8154">+_xlfn.SWITCH(MONTH(C8154),1,1,2,1,3,1,4,2,5,2,6,3,7,3,8,3,9,3,10,2,11,2,12,1,2)</f>
        <v>1</v>
      </c>
      <c r="P8154" s="43"/>
    </row>
    <row r="8155" spans="1:16" ht="18" x14ac:dyDescent="0.35">
      <c r="A8155" s="9"/>
      <c r="C8155" s="393"/>
      <c r="E8155" s="394"/>
      <c r="F8155" s="394"/>
      <c r="G8155" s="394"/>
      <c r="I8155" s="368">
        <f t="shared" si="387"/>
        <v>0</v>
      </c>
      <c r="J8155" s="365">
        <f t="shared" si="388"/>
        <v>0</v>
      </c>
      <c r="K8155" s="369">
        <f t="shared" si="389"/>
        <v>6</v>
      </c>
      <c r="L8155" s="369">
        <f>+IF((C8155&gt;='Resultats - informe'!$E$16)*(C8155&lt;='Resultats - informe'!$G$16),1,0)</f>
        <v>1</v>
      </c>
      <c r="M8155" s="369" cm="1">
        <f t="array" ref="M8155">+_xlfn.IFS((C8155&gt;='Resultats - informe'!$D$26)*(C8155&lt;='Resultats - informe'!$E$26),0,(C8155&gt;='Resultats - informe'!$D$27)*(C8155&lt;='Resultats - informe'!$E$27),0,(C8155&gt;='Resultats - informe'!$D$28)*(C8155&lt;='Resultats - informe'!$E$28),0,(C8155&gt;='Resultats - informe'!$D$29)*(C8155&lt;='Resultats - informe'!$E$29),0,1,1)</f>
        <v>0</v>
      </c>
      <c r="N8155" s="366">
        <f>+VLOOKUP(D8155,'Resultats - informe'!$Y$18:$AG$42,'Introducció dades consum'!K8155+1,0)</f>
        <v>0</v>
      </c>
      <c r="O8155" s="370" cm="1">
        <f t="array" ref="O8155">+_xlfn.SWITCH(MONTH(C8155),1,1,2,1,3,1,4,2,5,2,6,3,7,3,8,3,9,3,10,2,11,2,12,1,2)</f>
        <v>1</v>
      </c>
      <c r="P8155" s="43"/>
    </row>
    <row r="8156" spans="1:16" ht="18" x14ac:dyDescent="0.35">
      <c r="A8156" s="9"/>
      <c r="C8156" s="393"/>
      <c r="E8156" s="394"/>
      <c r="F8156" s="394"/>
      <c r="G8156" s="394"/>
      <c r="I8156" s="368">
        <f t="shared" si="387"/>
        <v>0</v>
      </c>
      <c r="J8156" s="365">
        <f t="shared" si="388"/>
        <v>0</v>
      </c>
      <c r="K8156" s="369">
        <f t="shared" si="389"/>
        <v>6</v>
      </c>
      <c r="L8156" s="369">
        <f>+IF((C8156&gt;='Resultats - informe'!$E$16)*(C8156&lt;='Resultats - informe'!$G$16),1,0)</f>
        <v>1</v>
      </c>
      <c r="M8156" s="369" cm="1">
        <f t="array" ref="M8156">+_xlfn.IFS((C8156&gt;='Resultats - informe'!$D$26)*(C8156&lt;='Resultats - informe'!$E$26),0,(C8156&gt;='Resultats - informe'!$D$27)*(C8156&lt;='Resultats - informe'!$E$27),0,(C8156&gt;='Resultats - informe'!$D$28)*(C8156&lt;='Resultats - informe'!$E$28),0,(C8156&gt;='Resultats - informe'!$D$29)*(C8156&lt;='Resultats - informe'!$E$29),0,1,1)</f>
        <v>0</v>
      </c>
      <c r="N8156" s="366">
        <f>+VLOOKUP(D8156,'Resultats - informe'!$Y$18:$AG$42,'Introducció dades consum'!K8156+1,0)</f>
        <v>0</v>
      </c>
      <c r="O8156" s="370" cm="1">
        <f t="array" ref="O8156">+_xlfn.SWITCH(MONTH(C8156),1,1,2,1,3,1,4,2,5,2,6,3,7,3,8,3,9,3,10,2,11,2,12,1,2)</f>
        <v>1</v>
      </c>
      <c r="P8156" s="43"/>
    </row>
    <row r="8157" spans="1:16" ht="18" x14ac:dyDescent="0.35">
      <c r="A8157" s="9"/>
      <c r="C8157" s="393"/>
      <c r="E8157" s="394"/>
      <c r="F8157" s="394"/>
      <c r="G8157" s="394"/>
      <c r="I8157" s="368">
        <f t="shared" si="387"/>
        <v>0</v>
      </c>
      <c r="J8157" s="365">
        <f t="shared" si="388"/>
        <v>0</v>
      </c>
      <c r="K8157" s="369">
        <f t="shared" si="389"/>
        <v>6</v>
      </c>
      <c r="L8157" s="369">
        <f>+IF((C8157&gt;='Resultats - informe'!$E$16)*(C8157&lt;='Resultats - informe'!$G$16),1,0)</f>
        <v>1</v>
      </c>
      <c r="M8157" s="369" cm="1">
        <f t="array" ref="M8157">+_xlfn.IFS((C8157&gt;='Resultats - informe'!$D$26)*(C8157&lt;='Resultats - informe'!$E$26),0,(C8157&gt;='Resultats - informe'!$D$27)*(C8157&lt;='Resultats - informe'!$E$27),0,(C8157&gt;='Resultats - informe'!$D$28)*(C8157&lt;='Resultats - informe'!$E$28),0,(C8157&gt;='Resultats - informe'!$D$29)*(C8157&lt;='Resultats - informe'!$E$29),0,1,1)</f>
        <v>0</v>
      </c>
      <c r="N8157" s="366">
        <f>+VLOOKUP(D8157,'Resultats - informe'!$Y$18:$AG$42,'Introducció dades consum'!K8157+1,0)</f>
        <v>0</v>
      </c>
      <c r="O8157" s="370" cm="1">
        <f t="array" ref="O8157">+_xlfn.SWITCH(MONTH(C8157),1,1,2,1,3,1,4,2,5,2,6,3,7,3,8,3,9,3,10,2,11,2,12,1,2)</f>
        <v>1</v>
      </c>
      <c r="P8157" s="43"/>
    </row>
    <row r="8158" spans="1:16" ht="18" x14ac:dyDescent="0.35">
      <c r="A8158" s="9"/>
      <c r="C8158" s="393"/>
      <c r="E8158" s="394"/>
      <c r="F8158" s="394"/>
      <c r="G8158" s="394"/>
      <c r="I8158" s="368">
        <f t="shared" si="387"/>
        <v>0</v>
      </c>
      <c r="J8158" s="365">
        <f t="shared" si="388"/>
        <v>0</v>
      </c>
      <c r="K8158" s="369">
        <f t="shared" si="389"/>
        <v>6</v>
      </c>
      <c r="L8158" s="369">
        <f>+IF((C8158&gt;='Resultats - informe'!$E$16)*(C8158&lt;='Resultats - informe'!$G$16),1,0)</f>
        <v>1</v>
      </c>
      <c r="M8158" s="369" cm="1">
        <f t="array" ref="M8158">+_xlfn.IFS((C8158&gt;='Resultats - informe'!$D$26)*(C8158&lt;='Resultats - informe'!$E$26),0,(C8158&gt;='Resultats - informe'!$D$27)*(C8158&lt;='Resultats - informe'!$E$27),0,(C8158&gt;='Resultats - informe'!$D$28)*(C8158&lt;='Resultats - informe'!$E$28),0,(C8158&gt;='Resultats - informe'!$D$29)*(C8158&lt;='Resultats - informe'!$E$29),0,1,1)</f>
        <v>0</v>
      </c>
      <c r="N8158" s="366">
        <f>+VLOOKUP(D8158,'Resultats - informe'!$Y$18:$AG$42,'Introducció dades consum'!K8158+1,0)</f>
        <v>0</v>
      </c>
      <c r="O8158" s="370" cm="1">
        <f t="array" ref="O8158">+_xlfn.SWITCH(MONTH(C8158),1,1,2,1,3,1,4,2,5,2,6,3,7,3,8,3,9,3,10,2,11,2,12,1,2)</f>
        <v>1</v>
      </c>
      <c r="P8158" s="43"/>
    </row>
    <row r="8159" spans="1:16" ht="18" x14ac:dyDescent="0.35">
      <c r="A8159" s="9"/>
      <c r="C8159" s="393"/>
      <c r="E8159" s="394"/>
      <c r="F8159" s="394"/>
      <c r="G8159" s="394"/>
      <c r="I8159" s="368">
        <f t="shared" si="387"/>
        <v>0</v>
      </c>
      <c r="J8159" s="365">
        <f t="shared" si="388"/>
        <v>0</v>
      </c>
      <c r="K8159" s="369">
        <f t="shared" si="389"/>
        <v>6</v>
      </c>
      <c r="L8159" s="369">
        <f>+IF((C8159&gt;='Resultats - informe'!$E$16)*(C8159&lt;='Resultats - informe'!$G$16),1,0)</f>
        <v>1</v>
      </c>
      <c r="M8159" s="369" cm="1">
        <f t="array" ref="M8159">+_xlfn.IFS((C8159&gt;='Resultats - informe'!$D$26)*(C8159&lt;='Resultats - informe'!$E$26),0,(C8159&gt;='Resultats - informe'!$D$27)*(C8159&lt;='Resultats - informe'!$E$27),0,(C8159&gt;='Resultats - informe'!$D$28)*(C8159&lt;='Resultats - informe'!$E$28),0,(C8159&gt;='Resultats - informe'!$D$29)*(C8159&lt;='Resultats - informe'!$E$29),0,1,1)</f>
        <v>0</v>
      </c>
      <c r="N8159" s="366">
        <f>+VLOOKUP(D8159,'Resultats - informe'!$Y$18:$AG$42,'Introducció dades consum'!K8159+1,0)</f>
        <v>0</v>
      </c>
      <c r="O8159" s="370" cm="1">
        <f t="array" ref="O8159">+_xlfn.SWITCH(MONTH(C8159),1,1,2,1,3,1,4,2,5,2,6,3,7,3,8,3,9,3,10,2,11,2,12,1,2)</f>
        <v>1</v>
      </c>
      <c r="P8159" s="43"/>
    </row>
    <row r="8160" spans="1:16" ht="18" x14ac:dyDescent="0.35">
      <c r="A8160" s="9"/>
      <c r="C8160" s="393"/>
      <c r="E8160" s="394"/>
      <c r="F8160" s="394"/>
      <c r="G8160" s="394"/>
      <c r="I8160" s="368">
        <f t="shared" si="387"/>
        <v>0</v>
      </c>
      <c r="J8160" s="365">
        <f t="shared" si="388"/>
        <v>0</v>
      </c>
      <c r="K8160" s="369">
        <f t="shared" si="389"/>
        <v>6</v>
      </c>
      <c r="L8160" s="369">
        <f>+IF((C8160&gt;='Resultats - informe'!$E$16)*(C8160&lt;='Resultats - informe'!$G$16),1,0)</f>
        <v>1</v>
      </c>
      <c r="M8160" s="369" cm="1">
        <f t="array" ref="M8160">+_xlfn.IFS((C8160&gt;='Resultats - informe'!$D$26)*(C8160&lt;='Resultats - informe'!$E$26),0,(C8160&gt;='Resultats - informe'!$D$27)*(C8160&lt;='Resultats - informe'!$E$27),0,(C8160&gt;='Resultats - informe'!$D$28)*(C8160&lt;='Resultats - informe'!$E$28),0,(C8160&gt;='Resultats - informe'!$D$29)*(C8160&lt;='Resultats - informe'!$E$29),0,1,1)</f>
        <v>0</v>
      </c>
      <c r="N8160" s="366">
        <f>+VLOOKUP(D8160,'Resultats - informe'!$Y$18:$AG$42,'Introducció dades consum'!K8160+1,0)</f>
        <v>0</v>
      </c>
      <c r="O8160" s="370" cm="1">
        <f t="array" ref="O8160">+_xlfn.SWITCH(MONTH(C8160),1,1,2,1,3,1,4,2,5,2,6,3,7,3,8,3,9,3,10,2,11,2,12,1,2)</f>
        <v>1</v>
      </c>
      <c r="P8160" s="43"/>
    </row>
    <row r="8161" spans="1:16" ht="18" x14ac:dyDescent="0.35">
      <c r="A8161" s="9"/>
      <c r="C8161" s="393"/>
      <c r="E8161" s="394"/>
      <c r="F8161" s="394"/>
      <c r="G8161" s="394"/>
      <c r="I8161" s="368">
        <f t="shared" si="387"/>
        <v>0</v>
      </c>
      <c r="J8161" s="365">
        <f t="shared" si="388"/>
        <v>0</v>
      </c>
      <c r="K8161" s="369">
        <f t="shared" si="389"/>
        <v>6</v>
      </c>
      <c r="L8161" s="369">
        <f>+IF((C8161&gt;='Resultats - informe'!$E$16)*(C8161&lt;='Resultats - informe'!$G$16),1,0)</f>
        <v>1</v>
      </c>
      <c r="M8161" s="369" cm="1">
        <f t="array" ref="M8161">+_xlfn.IFS((C8161&gt;='Resultats - informe'!$D$26)*(C8161&lt;='Resultats - informe'!$E$26),0,(C8161&gt;='Resultats - informe'!$D$27)*(C8161&lt;='Resultats - informe'!$E$27),0,(C8161&gt;='Resultats - informe'!$D$28)*(C8161&lt;='Resultats - informe'!$E$28),0,(C8161&gt;='Resultats - informe'!$D$29)*(C8161&lt;='Resultats - informe'!$E$29),0,1,1)</f>
        <v>0</v>
      </c>
      <c r="N8161" s="366">
        <f>+VLOOKUP(D8161,'Resultats - informe'!$Y$18:$AG$42,'Introducció dades consum'!K8161+1,0)</f>
        <v>0</v>
      </c>
      <c r="O8161" s="370" cm="1">
        <f t="array" ref="O8161">+_xlfn.SWITCH(MONTH(C8161),1,1,2,1,3,1,4,2,5,2,6,3,7,3,8,3,9,3,10,2,11,2,12,1,2)</f>
        <v>1</v>
      </c>
      <c r="P8161" s="43"/>
    </row>
    <row r="8162" spans="1:16" ht="18" x14ac:dyDescent="0.35">
      <c r="A8162" s="9"/>
      <c r="C8162" s="393"/>
      <c r="E8162" s="394"/>
      <c r="F8162" s="394"/>
      <c r="G8162" s="394"/>
      <c r="I8162" s="368">
        <f t="shared" si="387"/>
        <v>0</v>
      </c>
      <c r="J8162" s="365">
        <f t="shared" si="388"/>
        <v>0</v>
      </c>
      <c r="K8162" s="369">
        <f t="shared" si="389"/>
        <v>6</v>
      </c>
      <c r="L8162" s="369">
        <f>+IF((C8162&gt;='Resultats - informe'!$E$16)*(C8162&lt;='Resultats - informe'!$G$16),1,0)</f>
        <v>1</v>
      </c>
      <c r="M8162" s="369" cm="1">
        <f t="array" ref="M8162">+_xlfn.IFS((C8162&gt;='Resultats - informe'!$D$26)*(C8162&lt;='Resultats - informe'!$E$26),0,(C8162&gt;='Resultats - informe'!$D$27)*(C8162&lt;='Resultats - informe'!$E$27),0,(C8162&gt;='Resultats - informe'!$D$28)*(C8162&lt;='Resultats - informe'!$E$28),0,(C8162&gt;='Resultats - informe'!$D$29)*(C8162&lt;='Resultats - informe'!$E$29),0,1,1)</f>
        <v>0</v>
      </c>
      <c r="N8162" s="366">
        <f>+VLOOKUP(D8162,'Resultats - informe'!$Y$18:$AG$42,'Introducció dades consum'!K8162+1,0)</f>
        <v>0</v>
      </c>
      <c r="O8162" s="370" cm="1">
        <f t="array" ref="O8162">+_xlfn.SWITCH(MONTH(C8162),1,1,2,1,3,1,4,2,5,2,6,3,7,3,8,3,9,3,10,2,11,2,12,1,2)</f>
        <v>1</v>
      </c>
      <c r="P8162" s="43"/>
    </row>
    <row r="8163" spans="1:16" ht="18" x14ac:dyDescent="0.35">
      <c r="A8163" s="9"/>
      <c r="C8163" s="393"/>
      <c r="E8163" s="394"/>
      <c r="F8163" s="394"/>
      <c r="G8163" s="394"/>
      <c r="I8163" s="368">
        <f t="shared" si="387"/>
        <v>0</v>
      </c>
      <c r="J8163" s="365">
        <f t="shared" si="388"/>
        <v>0</v>
      </c>
      <c r="K8163" s="369">
        <f t="shared" si="389"/>
        <v>6</v>
      </c>
      <c r="L8163" s="369">
        <f>+IF((C8163&gt;='Resultats - informe'!$E$16)*(C8163&lt;='Resultats - informe'!$G$16),1,0)</f>
        <v>1</v>
      </c>
      <c r="M8163" s="369" cm="1">
        <f t="array" ref="M8163">+_xlfn.IFS((C8163&gt;='Resultats - informe'!$D$26)*(C8163&lt;='Resultats - informe'!$E$26),0,(C8163&gt;='Resultats - informe'!$D$27)*(C8163&lt;='Resultats - informe'!$E$27),0,(C8163&gt;='Resultats - informe'!$D$28)*(C8163&lt;='Resultats - informe'!$E$28),0,(C8163&gt;='Resultats - informe'!$D$29)*(C8163&lt;='Resultats - informe'!$E$29),0,1,1)</f>
        <v>0</v>
      </c>
      <c r="N8163" s="366">
        <f>+VLOOKUP(D8163,'Resultats - informe'!$Y$18:$AG$42,'Introducció dades consum'!K8163+1,0)</f>
        <v>0</v>
      </c>
      <c r="O8163" s="370" cm="1">
        <f t="array" ref="O8163">+_xlfn.SWITCH(MONTH(C8163),1,1,2,1,3,1,4,2,5,2,6,3,7,3,8,3,9,3,10,2,11,2,12,1,2)</f>
        <v>1</v>
      </c>
      <c r="P8163" s="43"/>
    </row>
    <row r="8164" spans="1:16" ht="18" x14ac:dyDescent="0.35">
      <c r="A8164" s="9"/>
      <c r="C8164" s="393"/>
      <c r="E8164" s="394"/>
      <c r="F8164" s="394"/>
      <c r="G8164" s="394"/>
      <c r="I8164" s="368">
        <f t="shared" si="387"/>
        <v>0</v>
      </c>
      <c r="J8164" s="365">
        <f t="shared" si="388"/>
        <v>0</v>
      </c>
      <c r="K8164" s="369">
        <f t="shared" si="389"/>
        <v>6</v>
      </c>
      <c r="L8164" s="369">
        <f>+IF((C8164&gt;='Resultats - informe'!$E$16)*(C8164&lt;='Resultats - informe'!$G$16),1,0)</f>
        <v>1</v>
      </c>
      <c r="M8164" s="369" cm="1">
        <f t="array" ref="M8164">+_xlfn.IFS((C8164&gt;='Resultats - informe'!$D$26)*(C8164&lt;='Resultats - informe'!$E$26),0,(C8164&gt;='Resultats - informe'!$D$27)*(C8164&lt;='Resultats - informe'!$E$27),0,(C8164&gt;='Resultats - informe'!$D$28)*(C8164&lt;='Resultats - informe'!$E$28),0,(C8164&gt;='Resultats - informe'!$D$29)*(C8164&lt;='Resultats - informe'!$E$29),0,1,1)</f>
        <v>0</v>
      </c>
      <c r="N8164" s="366">
        <f>+VLOOKUP(D8164,'Resultats - informe'!$Y$18:$AG$42,'Introducció dades consum'!K8164+1,0)</f>
        <v>0</v>
      </c>
      <c r="O8164" s="370" cm="1">
        <f t="array" ref="O8164">+_xlfn.SWITCH(MONTH(C8164),1,1,2,1,3,1,4,2,5,2,6,3,7,3,8,3,9,3,10,2,11,2,12,1,2)</f>
        <v>1</v>
      </c>
      <c r="P8164" s="43"/>
    </row>
    <row r="8165" spans="1:16" ht="18" x14ac:dyDescent="0.35">
      <c r="A8165" s="9"/>
      <c r="C8165" s="393"/>
      <c r="E8165" s="394"/>
      <c r="F8165" s="394"/>
      <c r="G8165" s="394"/>
      <c r="I8165" s="368">
        <f t="shared" si="387"/>
        <v>0</v>
      </c>
      <c r="J8165" s="365">
        <f t="shared" si="388"/>
        <v>0</v>
      </c>
      <c r="K8165" s="369">
        <f t="shared" si="389"/>
        <v>6</v>
      </c>
      <c r="L8165" s="369">
        <f>+IF((C8165&gt;='Resultats - informe'!$E$16)*(C8165&lt;='Resultats - informe'!$G$16),1,0)</f>
        <v>1</v>
      </c>
      <c r="M8165" s="369" cm="1">
        <f t="array" ref="M8165">+_xlfn.IFS((C8165&gt;='Resultats - informe'!$D$26)*(C8165&lt;='Resultats - informe'!$E$26),0,(C8165&gt;='Resultats - informe'!$D$27)*(C8165&lt;='Resultats - informe'!$E$27),0,(C8165&gt;='Resultats - informe'!$D$28)*(C8165&lt;='Resultats - informe'!$E$28),0,(C8165&gt;='Resultats - informe'!$D$29)*(C8165&lt;='Resultats - informe'!$E$29),0,1,1)</f>
        <v>0</v>
      </c>
      <c r="N8165" s="366">
        <f>+VLOOKUP(D8165,'Resultats - informe'!$Y$18:$AG$42,'Introducció dades consum'!K8165+1,0)</f>
        <v>0</v>
      </c>
      <c r="O8165" s="370" cm="1">
        <f t="array" ref="O8165">+_xlfn.SWITCH(MONTH(C8165),1,1,2,1,3,1,4,2,5,2,6,3,7,3,8,3,9,3,10,2,11,2,12,1,2)</f>
        <v>1</v>
      </c>
      <c r="P8165" s="43"/>
    </row>
    <row r="8166" spans="1:16" ht="18" x14ac:dyDescent="0.35">
      <c r="A8166" s="9"/>
      <c r="C8166" s="393"/>
      <c r="E8166" s="394"/>
      <c r="F8166" s="394"/>
      <c r="G8166" s="394"/>
      <c r="I8166" s="368">
        <f t="shared" si="387"/>
        <v>0</v>
      </c>
      <c r="J8166" s="365">
        <f t="shared" si="388"/>
        <v>0</v>
      </c>
      <c r="K8166" s="369">
        <f t="shared" si="389"/>
        <v>6</v>
      </c>
      <c r="L8166" s="369">
        <f>+IF((C8166&gt;='Resultats - informe'!$E$16)*(C8166&lt;='Resultats - informe'!$G$16),1,0)</f>
        <v>1</v>
      </c>
      <c r="M8166" s="369" cm="1">
        <f t="array" ref="M8166">+_xlfn.IFS((C8166&gt;='Resultats - informe'!$D$26)*(C8166&lt;='Resultats - informe'!$E$26),0,(C8166&gt;='Resultats - informe'!$D$27)*(C8166&lt;='Resultats - informe'!$E$27),0,(C8166&gt;='Resultats - informe'!$D$28)*(C8166&lt;='Resultats - informe'!$E$28),0,(C8166&gt;='Resultats - informe'!$D$29)*(C8166&lt;='Resultats - informe'!$E$29),0,1,1)</f>
        <v>0</v>
      </c>
      <c r="N8166" s="366">
        <f>+VLOOKUP(D8166,'Resultats - informe'!$Y$18:$AG$42,'Introducció dades consum'!K8166+1,0)</f>
        <v>0</v>
      </c>
      <c r="O8166" s="370" cm="1">
        <f t="array" ref="O8166">+_xlfn.SWITCH(MONTH(C8166),1,1,2,1,3,1,4,2,5,2,6,3,7,3,8,3,9,3,10,2,11,2,12,1,2)</f>
        <v>1</v>
      </c>
      <c r="P8166" s="43"/>
    </row>
    <row r="8167" spans="1:16" ht="18" x14ac:dyDescent="0.35">
      <c r="A8167" s="9"/>
      <c r="C8167" s="393"/>
      <c r="E8167" s="394"/>
      <c r="F8167" s="394"/>
      <c r="G8167" s="394"/>
      <c r="I8167" s="368">
        <f t="shared" si="387"/>
        <v>0</v>
      </c>
      <c r="J8167" s="365">
        <f t="shared" si="388"/>
        <v>0</v>
      </c>
      <c r="K8167" s="369">
        <f t="shared" si="389"/>
        <v>6</v>
      </c>
      <c r="L8167" s="369">
        <f>+IF((C8167&gt;='Resultats - informe'!$E$16)*(C8167&lt;='Resultats - informe'!$G$16),1,0)</f>
        <v>1</v>
      </c>
      <c r="M8167" s="369" cm="1">
        <f t="array" ref="M8167">+_xlfn.IFS((C8167&gt;='Resultats - informe'!$D$26)*(C8167&lt;='Resultats - informe'!$E$26),0,(C8167&gt;='Resultats - informe'!$D$27)*(C8167&lt;='Resultats - informe'!$E$27),0,(C8167&gt;='Resultats - informe'!$D$28)*(C8167&lt;='Resultats - informe'!$E$28),0,(C8167&gt;='Resultats - informe'!$D$29)*(C8167&lt;='Resultats - informe'!$E$29),0,1,1)</f>
        <v>0</v>
      </c>
      <c r="N8167" s="366">
        <f>+VLOOKUP(D8167,'Resultats - informe'!$Y$18:$AG$42,'Introducció dades consum'!K8167+1,0)</f>
        <v>0</v>
      </c>
      <c r="O8167" s="370" cm="1">
        <f t="array" ref="O8167">+_xlfn.SWITCH(MONTH(C8167),1,1,2,1,3,1,4,2,5,2,6,3,7,3,8,3,9,3,10,2,11,2,12,1,2)</f>
        <v>1</v>
      </c>
      <c r="P8167" s="43"/>
    </row>
    <row r="8168" spans="1:16" ht="18" x14ac:dyDescent="0.35">
      <c r="A8168" s="9"/>
      <c r="C8168" s="393"/>
      <c r="E8168" s="394"/>
      <c r="F8168" s="394"/>
      <c r="G8168" s="394"/>
      <c r="I8168" s="368">
        <f t="shared" si="387"/>
        <v>0</v>
      </c>
      <c r="J8168" s="365">
        <f t="shared" si="388"/>
        <v>0</v>
      </c>
      <c r="K8168" s="369">
        <f t="shared" si="389"/>
        <v>6</v>
      </c>
      <c r="L8168" s="369">
        <f>+IF((C8168&gt;='Resultats - informe'!$E$16)*(C8168&lt;='Resultats - informe'!$G$16),1,0)</f>
        <v>1</v>
      </c>
      <c r="M8168" s="369" cm="1">
        <f t="array" ref="M8168">+_xlfn.IFS((C8168&gt;='Resultats - informe'!$D$26)*(C8168&lt;='Resultats - informe'!$E$26),0,(C8168&gt;='Resultats - informe'!$D$27)*(C8168&lt;='Resultats - informe'!$E$27),0,(C8168&gt;='Resultats - informe'!$D$28)*(C8168&lt;='Resultats - informe'!$E$28),0,(C8168&gt;='Resultats - informe'!$D$29)*(C8168&lt;='Resultats - informe'!$E$29),0,1,1)</f>
        <v>0</v>
      </c>
      <c r="N8168" s="366">
        <f>+VLOOKUP(D8168,'Resultats - informe'!$Y$18:$AG$42,'Introducció dades consum'!K8168+1,0)</f>
        <v>0</v>
      </c>
      <c r="O8168" s="370" cm="1">
        <f t="array" ref="O8168">+_xlfn.SWITCH(MONTH(C8168),1,1,2,1,3,1,4,2,5,2,6,3,7,3,8,3,9,3,10,2,11,2,12,1,2)</f>
        <v>1</v>
      </c>
      <c r="P8168" s="43"/>
    </row>
    <row r="8169" spans="1:16" ht="18" x14ac:dyDescent="0.35">
      <c r="A8169" s="9"/>
      <c r="C8169" s="393"/>
      <c r="E8169" s="394"/>
      <c r="F8169" s="394"/>
      <c r="G8169" s="394"/>
      <c r="I8169" s="368">
        <f t="shared" si="387"/>
        <v>0</v>
      </c>
      <c r="J8169" s="365">
        <f t="shared" si="388"/>
        <v>0</v>
      </c>
      <c r="K8169" s="369">
        <f t="shared" si="389"/>
        <v>6</v>
      </c>
      <c r="L8169" s="369">
        <f>+IF((C8169&gt;='Resultats - informe'!$E$16)*(C8169&lt;='Resultats - informe'!$G$16),1,0)</f>
        <v>1</v>
      </c>
      <c r="M8169" s="369" cm="1">
        <f t="array" ref="M8169">+_xlfn.IFS((C8169&gt;='Resultats - informe'!$D$26)*(C8169&lt;='Resultats - informe'!$E$26),0,(C8169&gt;='Resultats - informe'!$D$27)*(C8169&lt;='Resultats - informe'!$E$27),0,(C8169&gt;='Resultats - informe'!$D$28)*(C8169&lt;='Resultats - informe'!$E$28),0,(C8169&gt;='Resultats - informe'!$D$29)*(C8169&lt;='Resultats - informe'!$E$29),0,1,1)</f>
        <v>0</v>
      </c>
      <c r="N8169" s="366">
        <f>+VLOOKUP(D8169,'Resultats - informe'!$Y$18:$AG$42,'Introducció dades consum'!K8169+1,0)</f>
        <v>0</v>
      </c>
      <c r="O8169" s="370" cm="1">
        <f t="array" ref="O8169">+_xlfn.SWITCH(MONTH(C8169),1,1,2,1,3,1,4,2,5,2,6,3,7,3,8,3,9,3,10,2,11,2,12,1,2)</f>
        <v>1</v>
      </c>
      <c r="P8169" s="43"/>
    </row>
    <row r="8170" spans="1:16" ht="18" x14ac:dyDescent="0.35">
      <c r="A8170" s="9"/>
      <c r="C8170" s="393"/>
      <c r="E8170" s="394"/>
      <c r="F8170" s="394"/>
      <c r="G8170" s="394"/>
      <c r="I8170" s="368">
        <f t="shared" si="387"/>
        <v>0</v>
      </c>
      <c r="J8170" s="365">
        <f t="shared" si="388"/>
        <v>0</v>
      </c>
      <c r="K8170" s="369">
        <f t="shared" si="389"/>
        <v>6</v>
      </c>
      <c r="L8170" s="369">
        <f>+IF((C8170&gt;='Resultats - informe'!$E$16)*(C8170&lt;='Resultats - informe'!$G$16),1,0)</f>
        <v>1</v>
      </c>
      <c r="M8170" s="369" cm="1">
        <f t="array" ref="M8170">+_xlfn.IFS((C8170&gt;='Resultats - informe'!$D$26)*(C8170&lt;='Resultats - informe'!$E$26),0,(C8170&gt;='Resultats - informe'!$D$27)*(C8170&lt;='Resultats - informe'!$E$27),0,(C8170&gt;='Resultats - informe'!$D$28)*(C8170&lt;='Resultats - informe'!$E$28),0,(C8170&gt;='Resultats - informe'!$D$29)*(C8170&lt;='Resultats - informe'!$E$29),0,1,1)</f>
        <v>0</v>
      </c>
      <c r="N8170" s="366">
        <f>+VLOOKUP(D8170,'Resultats - informe'!$Y$18:$AG$42,'Introducció dades consum'!K8170+1,0)</f>
        <v>0</v>
      </c>
      <c r="O8170" s="370" cm="1">
        <f t="array" ref="O8170">+_xlfn.SWITCH(MONTH(C8170),1,1,2,1,3,1,4,2,5,2,6,3,7,3,8,3,9,3,10,2,11,2,12,1,2)</f>
        <v>1</v>
      </c>
      <c r="P8170" s="43"/>
    </row>
    <row r="8171" spans="1:16" ht="18" x14ac:dyDescent="0.35">
      <c r="A8171" s="9"/>
      <c r="C8171" s="393"/>
      <c r="E8171" s="394"/>
      <c r="F8171" s="394"/>
      <c r="G8171" s="394"/>
      <c r="I8171" s="368">
        <f t="shared" si="387"/>
        <v>0</v>
      </c>
      <c r="J8171" s="365">
        <f t="shared" si="388"/>
        <v>0</v>
      </c>
      <c r="K8171" s="369">
        <f t="shared" si="389"/>
        <v>6</v>
      </c>
      <c r="L8171" s="369">
        <f>+IF((C8171&gt;='Resultats - informe'!$E$16)*(C8171&lt;='Resultats - informe'!$G$16),1,0)</f>
        <v>1</v>
      </c>
      <c r="M8171" s="369" cm="1">
        <f t="array" ref="M8171">+_xlfn.IFS((C8171&gt;='Resultats - informe'!$D$26)*(C8171&lt;='Resultats - informe'!$E$26),0,(C8171&gt;='Resultats - informe'!$D$27)*(C8171&lt;='Resultats - informe'!$E$27),0,(C8171&gt;='Resultats - informe'!$D$28)*(C8171&lt;='Resultats - informe'!$E$28),0,(C8171&gt;='Resultats - informe'!$D$29)*(C8171&lt;='Resultats - informe'!$E$29),0,1,1)</f>
        <v>0</v>
      </c>
      <c r="N8171" s="366">
        <f>+VLOOKUP(D8171,'Resultats - informe'!$Y$18:$AG$42,'Introducció dades consum'!K8171+1,0)</f>
        <v>0</v>
      </c>
      <c r="O8171" s="370" cm="1">
        <f t="array" ref="O8171">+_xlfn.SWITCH(MONTH(C8171),1,1,2,1,3,1,4,2,5,2,6,3,7,3,8,3,9,3,10,2,11,2,12,1,2)</f>
        <v>1</v>
      </c>
      <c r="P8171" s="43"/>
    </row>
    <row r="8172" spans="1:16" ht="18" x14ac:dyDescent="0.35">
      <c r="A8172" s="9"/>
      <c r="C8172" s="393"/>
      <c r="E8172" s="394"/>
      <c r="F8172" s="394"/>
      <c r="G8172" s="394"/>
      <c r="I8172" s="368">
        <f t="shared" si="387"/>
        <v>0</v>
      </c>
      <c r="J8172" s="365">
        <f t="shared" si="388"/>
        <v>0</v>
      </c>
      <c r="K8172" s="369">
        <f t="shared" si="389"/>
        <v>6</v>
      </c>
      <c r="L8172" s="369">
        <f>+IF((C8172&gt;='Resultats - informe'!$E$16)*(C8172&lt;='Resultats - informe'!$G$16),1,0)</f>
        <v>1</v>
      </c>
      <c r="M8172" s="369" cm="1">
        <f t="array" ref="M8172">+_xlfn.IFS((C8172&gt;='Resultats - informe'!$D$26)*(C8172&lt;='Resultats - informe'!$E$26),0,(C8172&gt;='Resultats - informe'!$D$27)*(C8172&lt;='Resultats - informe'!$E$27),0,(C8172&gt;='Resultats - informe'!$D$28)*(C8172&lt;='Resultats - informe'!$E$28),0,(C8172&gt;='Resultats - informe'!$D$29)*(C8172&lt;='Resultats - informe'!$E$29),0,1,1)</f>
        <v>0</v>
      </c>
      <c r="N8172" s="366">
        <f>+VLOOKUP(D8172,'Resultats - informe'!$Y$18:$AG$42,'Introducció dades consum'!K8172+1,0)</f>
        <v>0</v>
      </c>
      <c r="O8172" s="370" cm="1">
        <f t="array" ref="O8172">+_xlfn.SWITCH(MONTH(C8172),1,1,2,1,3,1,4,2,5,2,6,3,7,3,8,3,9,3,10,2,11,2,12,1,2)</f>
        <v>1</v>
      </c>
      <c r="P8172" s="43"/>
    </row>
    <row r="8173" spans="1:16" ht="18" x14ac:dyDescent="0.35">
      <c r="A8173" s="9"/>
      <c r="C8173" s="393"/>
      <c r="E8173" s="394"/>
      <c r="F8173" s="394"/>
      <c r="G8173" s="394"/>
      <c r="I8173" s="368">
        <f t="shared" si="387"/>
        <v>0</v>
      </c>
      <c r="J8173" s="365">
        <f t="shared" si="388"/>
        <v>0</v>
      </c>
      <c r="K8173" s="369">
        <f t="shared" si="389"/>
        <v>6</v>
      </c>
      <c r="L8173" s="369">
        <f>+IF((C8173&gt;='Resultats - informe'!$E$16)*(C8173&lt;='Resultats - informe'!$G$16),1,0)</f>
        <v>1</v>
      </c>
      <c r="M8173" s="369" cm="1">
        <f t="array" ref="M8173">+_xlfn.IFS((C8173&gt;='Resultats - informe'!$D$26)*(C8173&lt;='Resultats - informe'!$E$26),0,(C8173&gt;='Resultats - informe'!$D$27)*(C8173&lt;='Resultats - informe'!$E$27),0,(C8173&gt;='Resultats - informe'!$D$28)*(C8173&lt;='Resultats - informe'!$E$28),0,(C8173&gt;='Resultats - informe'!$D$29)*(C8173&lt;='Resultats - informe'!$E$29),0,1,1)</f>
        <v>0</v>
      </c>
      <c r="N8173" s="366">
        <f>+VLOOKUP(D8173,'Resultats - informe'!$Y$18:$AG$42,'Introducció dades consum'!K8173+1,0)</f>
        <v>0</v>
      </c>
      <c r="O8173" s="370" cm="1">
        <f t="array" ref="O8173">+_xlfn.SWITCH(MONTH(C8173),1,1,2,1,3,1,4,2,5,2,6,3,7,3,8,3,9,3,10,2,11,2,12,1,2)</f>
        <v>1</v>
      </c>
      <c r="P8173" s="43"/>
    </row>
    <row r="8174" spans="1:16" ht="18" x14ac:dyDescent="0.35">
      <c r="A8174" s="9"/>
      <c r="C8174" s="393"/>
      <c r="E8174" s="394"/>
      <c r="F8174" s="394"/>
      <c r="G8174" s="394"/>
      <c r="I8174" s="368">
        <f t="shared" si="387"/>
        <v>0</v>
      </c>
      <c r="J8174" s="365">
        <f t="shared" si="388"/>
        <v>0</v>
      </c>
      <c r="K8174" s="369">
        <f t="shared" si="389"/>
        <v>6</v>
      </c>
      <c r="L8174" s="369">
        <f>+IF((C8174&gt;='Resultats - informe'!$E$16)*(C8174&lt;='Resultats - informe'!$G$16),1,0)</f>
        <v>1</v>
      </c>
      <c r="M8174" s="369" cm="1">
        <f t="array" ref="M8174">+_xlfn.IFS((C8174&gt;='Resultats - informe'!$D$26)*(C8174&lt;='Resultats - informe'!$E$26),0,(C8174&gt;='Resultats - informe'!$D$27)*(C8174&lt;='Resultats - informe'!$E$27),0,(C8174&gt;='Resultats - informe'!$D$28)*(C8174&lt;='Resultats - informe'!$E$28),0,(C8174&gt;='Resultats - informe'!$D$29)*(C8174&lt;='Resultats - informe'!$E$29),0,1,1)</f>
        <v>0</v>
      </c>
      <c r="N8174" s="366">
        <f>+VLOOKUP(D8174,'Resultats - informe'!$Y$18:$AG$42,'Introducció dades consum'!K8174+1,0)</f>
        <v>0</v>
      </c>
      <c r="O8174" s="370" cm="1">
        <f t="array" ref="O8174">+_xlfn.SWITCH(MONTH(C8174),1,1,2,1,3,1,4,2,5,2,6,3,7,3,8,3,9,3,10,2,11,2,12,1,2)</f>
        <v>1</v>
      </c>
      <c r="P8174" s="43"/>
    </row>
    <row r="8175" spans="1:16" ht="18" x14ac:dyDescent="0.35">
      <c r="A8175" s="9"/>
      <c r="C8175" s="393"/>
      <c r="E8175" s="394"/>
      <c r="F8175" s="394"/>
      <c r="G8175" s="394"/>
      <c r="I8175" s="368">
        <f t="shared" si="387"/>
        <v>0</v>
      </c>
      <c r="J8175" s="365">
        <f t="shared" si="388"/>
        <v>0</v>
      </c>
      <c r="K8175" s="369">
        <f t="shared" si="389"/>
        <v>6</v>
      </c>
      <c r="L8175" s="369">
        <f>+IF((C8175&gt;='Resultats - informe'!$E$16)*(C8175&lt;='Resultats - informe'!$G$16),1,0)</f>
        <v>1</v>
      </c>
      <c r="M8175" s="369" cm="1">
        <f t="array" ref="M8175">+_xlfn.IFS((C8175&gt;='Resultats - informe'!$D$26)*(C8175&lt;='Resultats - informe'!$E$26),0,(C8175&gt;='Resultats - informe'!$D$27)*(C8175&lt;='Resultats - informe'!$E$27),0,(C8175&gt;='Resultats - informe'!$D$28)*(C8175&lt;='Resultats - informe'!$E$28),0,(C8175&gt;='Resultats - informe'!$D$29)*(C8175&lt;='Resultats - informe'!$E$29),0,1,1)</f>
        <v>0</v>
      </c>
      <c r="N8175" s="366">
        <f>+VLOOKUP(D8175,'Resultats - informe'!$Y$18:$AG$42,'Introducció dades consum'!K8175+1,0)</f>
        <v>0</v>
      </c>
      <c r="O8175" s="370" cm="1">
        <f t="array" ref="O8175">+_xlfn.SWITCH(MONTH(C8175),1,1,2,1,3,1,4,2,5,2,6,3,7,3,8,3,9,3,10,2,11,2,12,1,2)</f>
        <v>1</v>
      </c>
      <c r="P8175" s="43"/>
    </row>
    <row r="8176" spans="1:16" ht="18" x14ac:dyDescent="0.35">
      <c r="A8176" s="9"/>
      <c r="C8176" s="393"/>
      <c r="E8176" s="394"/>
      <c r="F8176" s="394"/>
      <c r="G8176" s="394"/>
      <c r="I8176" s="368">
        <f t="shared" si="387"/>
        <v>0</v>
      </c>
      <c r="J8176" s="365">
        <f t="shared" si="388"/>
        <v>0</v>
      </c>
      <c r="K8176" s="369">
        <f t="shared" si="389"/>
        <v>6</v>
      </c>
      <c r="L8176" s="369">
        <f>+IF((C8176&gt;='Resultats - informe'!$E$16)*(C8176&lt;='Resultats - informe'!$G$16),1,0)</f>
        <v>1</v>
      </c>
      <c r="M8176" s="369" cm="1">
        <f t="array" ref="M8176">+_xlfn.IFS((C8176&gt;='Resultats - informe'!$D$26)*(C8176&lt;='Resultats - informe'!$E$26),0,(C8176&gt;='Resultats - informe'!$D$27)*(C8176&lt;='Resultats - informe'!$E$27),0,(C8176&gt;='Resultats - informe'!$D$28)*(C8176&lt;='Resultats - informe'!$E$28),0,(C8176&gt;='Resultats - informe'!$D$29)*(C8176&lt;='Resultats - informe'!$E$29),0,1,1)</f>
        <v>0</v>
      </c>
      <c r="N8176" s="366">
        <f>+VLOOKUP(D8176,'Resultats - informe'!$Y$18:$AG$42,'Introducció dades consum'!K8176+1,0)</f>
        <v>0</v>
      </c>
      <c r="O8176" s="370" cm="1">
        <f t="array" ref="O8176">+_xlfn.SWITCH(MONTH(C8176),1,1,2,1,3,1,4,2,5,2,6,3,7,3,8,3,9,3,10,2,11,2,12,1,2)</f>
        <v>1</v>
      </c>
      <c r="P8176" s="43"/>
    </row>
    <row r="8177" spans="1:16" ht="18" x14ac:dyDescent="0.35">
      <c r="A8177" s="9"/>
      <c r="C8177" s="393"/>
      <c r="E8177" s="394"/>
      <c r="F8177" s="394"/>
      <c r="G8177" s="394"/>
      <c r="I8177" s="368">
        <f t="shared" si="387"/>
        <v>0</v>
      </c>
      <c r="J8177" s="365">
        <f t="shared" si="388"/>
        <v>0</v>
      </c>
      <c r="K8177" s="369">
        <f t="shared" si="389"/>
        <v>6</v>
      </c>
      <c r="L8177" s="369">
        <f>+IF((C8177&gt;='Resultats - informe'!$E$16)*(C8177&lt;='Resultats - informe'!$G$16),1,0)</f>
        <v>1</v>
      </c>
      <c r="M8177" s="369" cm="1">
        <f t="array" ref="M8177">+_xlfn.IFS((C8177&gt;='Resultats - informe'!$D$26)*(C8177&lt;='Resultats - informe'!$E$26),0,(C8177&gt;='Resultats - informe'!$D$27)*(C8177&lt;='Resultats - informe'!$E$27),0,(C8177&gt;='Resultats - informe'!$D$28)*(C8177&lt;='Resultats - informe'!$E$28),0,(C8177&gt;='Resultats - informe'!$D$29)*(C8177&lt;='Resultats - informe'!$E$29),0,1,1)</f>
        <v>0</v>
      </c>
      <c r="N8177" s="366">
        <f>+VLOOKUP(D8177,'Resultats - informe'!$Y$18:$AG$42,'Introducció dades consum'!K8177+1,0)</f>
        <v>0</v>
      </c>
      <c r="O8177" s="370" cm="1">
        <f t="array" ref="O8177">+_xlfn.SWITCH(MONTH(C8177),1,1,2,1,3,1,4,2,5,2,6,3,7,3,8,3,9,3,10,2,11,2,12,1,2)</f>
        <v>1</v>
      </c>
      <c r="P8177" s="43"/>
    </row>
    <row r="8178" spans="1:16" ht="18" x14ac:dyDescent="0.35">
      <c r="A8178" s="9"/>
      <c r="C8178" s="393"/>
      <c r="E8178" s="394"/>
      <c r="F8178" s="394"/>
      <c r="G8178" s="394"/>
      <c r="I8178" s="368">
        <f t="shared" si="387"/>
        <v>0</v>
      </c>
      <c r="J8178" s="365">
        <f t="shared" si="388"/>
        <v>0</v>
      </c>
      <c r="K8178" s="369">
        <f t="shared" si="389"/>
        <v>6</v>
      </c>
      <c r="L8178" s="369">
        <f>+IF((C8178&gt;='Resultats - informe'!$E$16)*(C8178&lt;='Resultats - informe'!$G$16),1,0)</f>
        <v>1</v>
      </c>
      <c r="M8178" s="369" cm="1">
        <f t="array" ref="M8178">+_xlfn.IFS((C8178&gt;='Resultats - informe'!$D$26)*(C8178&lt;='Resultats - informe'!$E$26),0,(C8178&gt;='Resultats - informe'!$D$27)*(C8178&lt;='Resultats - informe'!$E$27),0,(C8178&gt;='Resultats - informe'!$D$28)*(C8178&lt;='Resultats - informe'!$E$28),0,(C8178&gt;='Resultats - informe'!$D$29)*(C8178&lt;='Resultats - informe'!$E$29),0,1,1)</f>
        <v>0</v>
      </c>
      <c r="N8178" s="366">
        <f>+VLOOKUP(D8178,'Resultats - informe'!$Y$18:$AG$42,'Introducció dades consum'!K8178+1,0)</f>
        <v>0</v>
      </c>
      <c r="O8178" s="370" cm="1">
        <f t="array" ref="O8178">+_xlfn.SWITCH(MONTH(C8178),1,1,2,1,3,1,4,2,5,2,6,3,7,3,8,3,9,3,10,2,11,2,12,1,2)</f>
        <v>1</v>
      </c>
      <c r="P8178" s="43"/>
    </row>
    <row r="8179" spans="1:16" ht="18" x14ac:dyDescent="0.35">
      <c r="A8179" s="9"/>
      <c r="C8179" s="393"/>
      <c r="E8179" s="394"/>
      <c r="F8179" s="394"/>
      <c r="G8179" s="394"/>
      <c r="I8179" s="368">
        <f t="shared" si="387"/>
        <v>0</v>
      </c>
      <c r="J8179" s="365">
        <f t="shared" si="388"/>
        <v>0</v>
      </c>
      <c r="K8179" s="369">
        <f t="shared" si="389"/>
        <v>6</v>
      </c>
      <c r="L8179" s="369">
        <f>+IF((C8179&gt;='Resultats - informe'!$E$16)*(C8179&lt;='Resultats - informe'!$G$16),1,0)</f>
        <v>1</v>
      </c>
      <c r="M8179" s="369" cm="1">
        <f t="array" ref="M8179">+_xlfn.IFS((C8179&gt;='Resultats - informe'!$D$26)*(C8179&lt;='Resultats - informe'!$E$26),0,(C8179&gt;='Resultats - informe'!$D$27)*(C8179&lt;='Resultats - informe'!$E$27),0,(C8179&gt;='Resultats - informe'!$D$28)*(C8179&lt;='Resultats - informe'!$E$28),0,(C8179&gt;='Resultats - informe'!$D$29)*(C8179&lt;='Resultats - informe'!$E$29),0,1,1)</f>
        <v>0</v>
      </c>
      <c r="N8179" s="366">
        <f>+VLOOKUP(D8179,'Resultats - informe'!$Y$18:$AG$42,'Introducció dades consum'!K8179+1,0)</f>
        <v>0</v>
      </c>
      <c r="O8179" s="370" cm="1">
        <f t="array" ref="O8179">+_xlfn.SWITCH(MONTH(C8179),1,1,2,1,3,1,4,2,5,2,6,3,7,3,8,3,9,3,10,2,11,2,12,1,2)</f>
        <v>1</v>
      </c>
      <c r="P8179" s="43"/>
    </row>
    <row r="8180" spans="1:16" ht="18" x14ac:dyDescent="0.35">
      <c r="A8180" s="9"/>
      <c r="C8180" s="393"/>
      <c r="E8180" s="394"/>
      <c r="F8180" s="394"/>
      <c r="G8180" s="394"/>
      <c r="I8180" s="368">
        <f t="shared" si="387"/>
        <v>0</v>
      </c>
      <c r="J8180" s="365">
        <f t="shared" si="388"/>
        <v>0</v>
      </c>
      <c r="K8180" s="369">
        <f t="shared" si="389"/>
        <v>6</v>
      </c>
      <c r="L8180" s="369">
        <f>+IF((C8180&gt;='Resultats - informe'!$E$16)*(C8180&lt;='Resultats - informe'!$G$16),1,0)</f>
        <v>1</v>
      </c>
      <c r="M8180" s="369" cm="1">
        <f t="array" ref="M8180">+_xlfn.IFS((C8180&gt;='Resultats - informe'!$D$26)*(C8180&lt;='Resultats - informe'!$E$26),0,(C8180&gt;='Resultats - informe'!$D$27)*(C8180&lt;='Resultats - informe'!$E$27),0,(C8180&gt;='Resultats - informe'!$D$28)*(C8180&lt;='Resultats - informe'!$E$28),0,(C8180&gt;='Resultats - informe'!$D$29)*(C8180&lt;='Resultats - informe'!$E$29),0,1,1)</f>
        <v>0</v>
      </c>
      <c r="N8180" s="366">
        <f>+VLOOKUP(D8180,'Resultats - informe'!$Y$18:$AG$42,'Introducció dades consum'!K8180+1,0)</f>
        <v>0</v>
      </c>
      <c r="O8180" s="370" cm="1">
        <f t="array" ref="O8180">+_xlfn.SWITCH(MONTH(C8180),1,1,2,1,3,1,4,2,5,2,6,3,7,3,8,3,9,3,10,2,11,2,12,1,2)</f>
        <v>1</v>
      </c>
      <c r="P8180" s="43"/>
    </row>
    <row r="8181" spans="1:16" ht="18" x14ac:dyDescent="0.35">
      <c r="A8181" s="9"/>
      <c r="C8181" s="393"/>
      <c r="E8181" s="394"/>
      <c r="F8181" s="394"/>
      <c r="G8181" s="394"/>
      <c r="I8181" s="368">
        <f t="shared" si="387"/>
        <v>0</v>
      </c>
      <c r="J8181" s="365">
        <f t="shared" si="388"/>
        <v>0</v>
      </c>
      <c r="K8181" s="369">
        <f t="shared" si="389"/>
        <v>6</v>
      </c>
      <c r="L8181" s="369">
        <f>+IF((C8181&gt;='Resultats - informe'!$E$16)*(C8181&lt;='Resultats - informe'!$G$16),1,0)</f>
        <v>1</v>
      </c>
      <c r="M8181" s="369" cm="1">
        <f t="array" ref="M8181">+_xlfn.IFS((C8181&gt;='Resultats - informe'!$D$26)*(C8181&lt;='Resultats - informe'!$E$26),0,(C8181&gt;='Resultats - informe'!$D$27)*(C8181&lt;='Resultats - informe'!$E$27),0,(C8181&gt;='Resultats - informe'!$D$28)*(C8181&lt;='Resultats - informe'!$E$28),0,(C8181&gt;='Resultats - informe'!$D$29)*(C8181&lt;='Resultats - informe'!$E$29),0,1,1)</f>
        <v>0</v>
      </c>
      <c r="N8181" s="366">
        <f>+VLOOKUP(D8181,'Resultats - informe'!$Y$18:$AG$42,'Introducció dades consum'!K8181+1,0)</f>
        <v>0</v>
      </c>
      <c r="O8181" s="370" cm="1">
        <f t="array" ref="O8181">+_xlfn.SWITCH(MONTH(C8181),1,1,2,1,3,1,4,2,5,2,6,3,7,3,8,3,9,3,10,2,11,2,12,1,2)</f>
        <v>1</v>
      </c>
      <c r="P8181" s="43"/>
    </row>
    <row r="8182" spans="1:16" ht="18" x14ac:dyDescent="0.35">
      <c r="A8182" s="9"/>
      <c r="C8182" s="393"/>
      <c r="E8182" s="394"/>
      <c r="F8182" s="394"/>
      <c r="G8182" s="394"/>
      <c r="I8182" s="368">
        <f t="shared" si="387"/>
        <v>0</v>
      </c>
      <c r="J8182" s="365">
        <f t="shared" si="388"/>
        <v>0</v>
      </c>
      <c r="K8182" s="369">
        <f t="shared" si="389"/>
        <v>6</v>
      </c>
      <c r="L8182" s="369">
        <f>+IF((C8182&gt;='Resultats - informe'!$E$16)*(C8182&lt;='Resultats - informe'!$G$16),1,0)</f>
        <v>1</v>
      </c>
      <c r="M8182" s="369" cm="1">
        <f t="array" ref="M8182">+_xlfn.IFS((C8182&gt;='Resultats - informe'!$D$26)*(C8182&lt;='Resultats - informe'!$E$26),0,(C8182&gt;='Resultats - informe'!$D$27)*(C8182&lt;='Resultats - informe'!$E$27),0,(C8182&gt;='Resultats - informe'!$D$28)*(C8182&lt;='Resultats - informe'!$E$28),0,(C8182&gt;='Resultats - informe'!$D$29)*(C8182&lt;='Resultats - informe'!$E$29),0,1,1)</f>
        <v>0</v>
      </c>
      <c r="N8182" s="366">
        <f>+VLOOKUP(D8182,'Resultats - informe'!$Y$18:$AG$42,'Introducció dades consum'!K8182+1,0)</f>
        <v>0</v>
      </c>
      <c r="O8182" s="370" cm="1">
        <f t="array" ref="O8182">+_xlfn.SWITCH(MONTH(C8182),1,1,2,1,3,1,4,2,5,2,6,3,7,3,8,3,9,3,10,2,11,2,12,1,2)</f>
        <v>1</v>
      </c>
      <c r="P8182" s="43"/>
    </row>
    <row r="8183" spans="1:16" ht="18" x14ac:dyDescent="0.35">
      <c r="A8183" s="9"/>
      <c r="C8183" s="393"/>
      <c r="E8183" s="394"/>
      <c r="F8183" s="394"/>
      <c r="G8183" s="394"/>
      <c r="I8183" s="368">
        <f t="shared" si="387"/>
        <v>0</v>
      </c>
      <c r="J8183" s="365">
        <f t="shared" si="388"/>
        <v>0</v>
      </c>
      <c r="K8183" s="369">
        <f t="shared" si="389"/>
        <v>6</v>
      </c>
      <c r="L8183" s="369">
        <f>+IF((C8183&gt;='Resultats - informe'!$E$16)*(C8183&lt;='Resultats - informe'!$G$16),1,0)</f>
        <v>1</v>
      </c>
      <c r="M8183" s="369" cm="1">
        <f t="array" ref="M8183">+_xlfn.IFS((C8183&gt;='Resultats - informe'!$D$26)*(C8183&lt;='Resultats - informe'!$E$26),0,(C8183&gt;='Resultats - informe'!$D$27)*(C8183&lt;='Resultats - informe'!$E$27),0,(C8183&gt;='Resultats - informe'!$D$28)*(C8183&lt;='Resultats - informe'!$E$28),0,(C8183&gt;='Resultats - informe'!$D$29)*(C8183&lt;='Resultats - informe'!$E$29),0,1,1)</f>
        <v>0</v>
      </c>
      <c r="N8183" s="366">
        <f>+VLOOKUP(D8183,'Resultats - informe'!$Y$18:$AG$42,'Introducció dades consum'!K8183+1,0)</f>
        <v>0</v>
      </c>
      <c r="O8183" s="370" cm="1">
        <f t="array" ref="O8183">+_xlfn.SWITCH(MONTH(C8183),1,1,2,1,3,1,4,2,5,2,6,3,7,3,8,3,9,3,10,2,11,2,12,1,2)</f>
        <v>1</v>
      </c>
      <c r="P8183" s="43"/>
    </row>
    <row r="8184" spans="1:16" ht="18" x14ac:dyDescent="0.35">
      <c r="A8184" s="9"/>
      <c r="C8184" s="393"/>
      <c r="E8184" s="394"/>
      <c r="F8184" s="394"/>
      <c r="G8184" s="394"/>
      <c r="I8184" s="368">
        <f t="shared" si="387"/>
        <v>0</v>
      </c>
      <c r="J8184" s="365">
        <f t="shared" si="388"/>
        <v>0</v>
      </c>
      <c r="K8184" s="369">
        <f t="shared" si="389"/>
        <v>6</v>
      </c>
      <c r="L8184" s="369">
        <f>+IF((C8184&gt;='Resultats - informe'!$E$16)*(C8184&lt;='Resultats - informe'!$G$16),1,0)</f>
        <v>1</v>
      </c>
      <c r="M8184" s="369" cm="1">
        <f t="array" ref="M8184">+_xlfn.IFS((C8184&gt;='Resultats - informe'!$D$26)*(C8184&lt;='Resultats - informe'!$E$26),0,(C8184&gt;='Resultats - informe'!$D$27)*(C8184&lt;='Resultats - informe'!$E$27),0,(C8184&gt;='Resultats - informe'!$D$28)*(C8184&lt;='Resultats - informe'!$E$28),0,(C8184&gt;='Resultats - informe'!$D$29)*(C8184&lt;='Resultats - informe'!$E$29),0,1,1)</f>
        <v>0</v>
      </c>
      <c r="N8184" s="366">
        <f>+VLOOKUP(D8184,'Resultats - informe'!$Y$18:$AG$42,'Introducció dades consum'!K8184+1,0)</f>
        <v>0</v>
      </c>
      <c r="O8184" s="370" cm="1">
        <f t="array" ref="O8184">+_xlfn.SWITCH(MONTH(C8184),1,1,2,1,3,1,4,2,5,2,6,3,7,3,8,3,9,3,10,2,11,2,12,1,2)</f>
        <v>1</v>
      </c>
      <c r="P8184" s="43"/>
    </row>
    <row r="8185" spans="1:16" ht="18" x14ac:dyDescent="0.35">
      <c r="A8185" s="9"/>
      <c r="C8185" s="393"/>
      <c r="E8185" s="394"/>
      <c r="F8185" s="394"/>
      <c r="G8185" s="394"/>
      <c r="I8185" s="368">
        <f t="shared" si="387"/>
        <v>0</v>
      </c>
      <c r="J8185" s="365">
        <f t="shared" si="388"/>
        <v>0</v>
      </c>
      <c r="K8185" s="369">
        <f t="shared" si="389"/>
        <v>6</v>
      </c>
      <c r="L8185" s="369">
        <f>+IF((C8185&gt;='Resultats - informe'!$E$16)*(C8185&lt;='Resultats - informe'!$G$16),1,0)</f>
        <v>1</v>
      </c>
      <c r="M8185" s="369" cm="1">
        <f t="array" ref="M8185">+_xlfn.IFS((C8185&gt;='Resultats - informe'!$D$26)*(C8185&lt;='Resultats - informe'!$E$26),0,(C8185&gt;='Resultats - informe'!$D$27)*(C8185&lt;='Resultats - informe'!$E$27),0,(C8185&gt;='Resultats - informe'!$D$28)*(C8185&lt;='Resultats - informe'!$E$28),0,(C8185&gt;='Resultats - informe'!$D$29)*(C8185&lt;='Resultats - informe'!$E$29),0,1,1)</f>
        <v>0</v>
      </c>
      <c r="N8185" s="366">
        <f>+VLOOKUP(D8185,'Resultats - informe'!$Y$18:$AG$42,'Introducció dades consum'!K8185+1,0)</f>
        <v>0</v>
      </c>
      <c r="O8185" s="370" cm="1">
        <f t="array" ref="O8185">+_xlfn.SWITCH(MONTH(C8185),1,1,2,1,3,1,4,2,5,2,6,3,7,3,8,3,9,3,10,2,11,2,12,1,2)</f>
        <v>1</v>
      </c>
      <c r="P8185" s="43"/>
    </row>
    <row r="8186" spans="1:16" ht="18" x14ac:dyDescent="0.35">
      <c r="A8186" s="9"/>
      <c r="C8186" s="393"/>
      <c r="E8186" s="394"/>
      <c r="F8186" s="394"/>
      <c r="G8186" s="394"/>
      <c r="I8186" s="368">
        <f t="shared" si="387"/>
        <v>0</v>
      </c>
      <c r="J8186" s="365">
        <f t="shared" si="388"/>
        <v>0</v>
      </c>
      <c r="K8186" s="369">
        <f t="shared" si="389"/>
        <v>6</v>
      </c>
      <c r="L8186" s="369">
        <f>+IF((C8186&gt;='Resultats - informe'!$E$16)*(C8186&lt;='Resultats - informe'!$G$16),1,0)</f>
        <v>1</v>
      </c>
      <c r="M8186" s="369" cm="1">
        <f t="array" ref="M8186">+_xlfn.IFS((C8186&gt;='Resultats - informe'!$D$26)*(C8186&lt;='Resultats - informe'!$E$26),0,(C8186&gt;='Resultats - informe'!$D$27)*(C8186&lt;='Resultats - informe'!$E$27),0,(C8186&gt;='Resultats - informe'!$D$28)*(C8186&lt;='Resultats - informe'!$E$28),0,(C8186&gt;='Resultats - informe'!$D$29)*(C8186&lt;='Resultats - informe'!$E$29),0,1,1)</f>
        <v>0</v>
      </c>
      <c r="N8186" s="366">
        <f>+VLOOKUP(D8186,'Resultats - informe'!$Y$18:$AG$42,'Introducció dades consum'!K8186+1,0)</f>
        <v>0</v>
      </c>
      <c r="O8186" s="370" cm="1">
        <f t="array" ref="O8186">+_xlfn.SWITCH(MONTH(C8186),1,1,2,1,3,1,4,2,5,2,6,3,7,3,8,3,9,3,10,2,11,2,12,1,2)</f>
        <v>1</v>
      </c>
      <c r="P8186" s="43"/>
    </row>
    <row r="8187" spans="1:16" ht="18" x14ac:dyDescent="0.35">
      <c r="A8187" s="9"/>
      <c r="C8187" s="393"/>
      <c r="E8187" s="394"/>
      <c r="F8187" s="394"/>
      <c r="G8187" s="394"/>
      <c r="I8187" s="368">
        <f t="shared" si="387"/>
        <v>0</v>
      </c>
      <c r="J8187" s="365">
        <f t="shared" si="388"/>
        <v>0</v>
      </c>
      <c r="K8187" s="369">
        <f t="shared" si="389"/>
        <v>6</v>
      </c>
      <c r="L8187" s="369">
        <f>+IF((C8187&gt;='Resultats - informe'!$E$16)*(C8187&lt;='Resultats - informe'!$G$16),1,0)</f>
        <v>1</v>
      </c>
      <c r="M8187" s="369" cm="1">
        <f t="array" ref="M8187">+_xlfn.IFS((C8187&gt;='Resultats - informe'!$D$26)*(C8187&lt;='Resultats - informe'!$E$26),0,(C8187&gt;='Resultats - informe'!$D$27)*(C8187&lt;='Resultats - informe'!$E$27),0,(C8187&gt;='Resultats - informe'!$D$28)*(C8187&lt;='Resultats - informe'!$E$28),0,(C8187&gt;='Resultats - informe'!$D$29)*(C8187&lt;='Resultats - informe'!$E$29),0,1,1)</f>
        <v>0</v>
      </c>
      <c r="N8187" s="366">
        <f>+VLOOKUP(D8187,'Resultats - informe'!$Y$18:$AG$42,'Introducció dades consum'!K8187+1,0)</f>
        <v>0</v>
      </c>
      <c r="O8187" s="370" cm="1">
        <f t="array" ref="O8187">+_xlfn.SWITCH(MONTH(C8187),1,1,2,1,3,1,4,2,5,2,6,3,7,3,8,3,9,3,10,2,11,2,12,1,2)</f>
        <v>1</v>
      </c>
      <c r="P8187" s="43"/>
    </row>
    <row r="8188" spans="1:16" ht="18" x14ac:dyDescent="0.35">
      <c r="A8188" s="9"/>
      <c r="C8188" s="393"/>
      <c r="E8188" s="394"/>
      <c r="F8188" s="394"/>
      <c r="G8188" s="394"/>
      <c r="I8188" s="368">
        <f t="shared" si="387"/>
        <v>0</v>
      </c>
      <c r="J8188" s="365">
        <f t="shared" si="388"/>
        <v>0</v>
      </c>
      <c r="K8188" s="369">
        <f t="shared" si="389"/>
        <v>6</v>
      </c>
      <c r="L8188" s="369">
        <f>+IF((C8188&gt;='Resultats - informe'!$E$16)*(C8188&lt;='Resultats - informe'!$G$16),1,0)</f>
        <v>1</v>
      </c>
      <c r="M8188" s="369" cm="1">
        <f t="array" ref="M8188">+_xlfn.IFS((C8188&gt;='Resultats - informe'!$D$26)*(C8188&lt;='Resultats - informe'!$E$26),0,(C8188&gt;='Resultats - informe'!$D$27)*(C8188&lt;='Resultats - informe'!$E$27),0,(C8188&gt;='Resultats - informe'!$D$28)*(C8188&lt;='Resultats - informe'!$E$28),0,(C8188&gt;='Resultats - informe'!$D$29)*(C8188&lt;='Resultats - informe'!$E$29),0,1,1)</f>
        <v>0</v>
      </c>
      <c r="N8188" s="366">
        <f>+VLOOKUP(D8188,'Resultats - informe'!$Y$18:$AG$42,'Introducció dades consum'!K8188+1,0)</f>
        <v>0</v>
      </c>
      <c r="O8188" s="370" cm="1">
        <f t="array" ref="O8188">+_xlfn.SWITCH(MONTH(C8188),1,1,2,1,3,1,4,2,5,2,6,3,7,3,8,3,9,3,10,2,11,2,12,1,2)</f>
        <v>1</v>
      </c>
      <c r="P8188" s="43"/>
    </row>
    <row r="8189" spans="1:16" ht="18" x14ac:dyDescent="0.35">
      <c r="A8189" s="9"/>
      <c r="C8189" s="393"/>
      <c r="E8189" s="394"/>
      <c r="F8189" s="394"/>
      <c r="G8189" s="394"/>
      <c r="I8189" s="368">
        <f t="shared" si="387"/>
        <v>0</v>
      </c>
      <c r="J8189" s="365">
        <f t="shared" si="388"/>
        <v>0</v>
      </c>
      <c r="K8189" s="369">
        <f t="shared" si="389"/>
        <v>6</v>
      </c>
      <c r="L8189" s="369">
        <f>+IF((C8189&gt;='Resultats - informe'!$E$16)*(C8189&lt;='Resultats - informe'!$G$16),1,0)</f>
        <v>1</v>
      </c>
      <c r="M8189" s="369" cm="1">
        <f t="array" ref="M8189">+_xlfn.IFS((C8189&gt;='Resultats - informe'!$D$26)*(C8189&lt;='Resultats - informe'!$E$26),0,(C8189&gt;='Resultats - informe'!$D$27)*(C8189&lt;='Resultats - informe'!$E$27),0,(C8189&gt;='Resultats - informe'!$D$28)*(C8189&lt;='Resultats - informe'!$E$28),0,(C8189&gt;='Resultats - informe'!$D$29)*(C8189&lt;='Resultats - informe'!$E$29),0,1,1)</f>
        <v>0</v>
      </c>
      <c r="N8189" s="366">
        <f>+VLOOKUP(D8189,'Resultats - informe'!$Y$18:$AG$42,'Introducció dades consum'!K8189+1,0)</f>
        <v>0</v>
      </c>
      <c r="O8189" s="370" cm="1">
        <f t="array" ref="O8189">+_xlfn.SWITCH(MONTH(C8189),1,1,2,1,3,1,4,2,5,2,6,3,7,3,8,3,9,3,10,2,11,2,12,1,2)</f>
        <v>1</v>
      </c>
      <c r="P8189" s="43"/>
    </row>
    <row r="8190" spans="1:16" ht="18" x14ac:dyDescent="0.35">
      <c r="A8190" s="9"/>
      <c r="C8190" s="393"/>
      <c r="E8190" s="394"/>
      <c r="F8190" s="394"/>
      <c r="G8190" s="394"/>
      <c r="I8190" s="368">
        <f t="shared" si="387"/>
        <v>0</v>
      </c>
      <c r="J8190" s="365">
        <f t="shared" si="388"/>
        <v>0</v>
      </c>
      <c r="K8190" s="369">
        <f t="shared" si="389"/>
        <v>6</v>
      </c>
      <c r="L8190" s="369">
        <f>+IF((C8190&gt;='Resultats - informe'!$E$16)*(C8190&lt;='Resultats - informe'!$G$16),1,0)</f>
        <v>1</v>
      </c>
      <c r="M8190" s="369" cm="1">
        <f t="array" ref="M8190">+_xlfn.IFS((C8190&gt;='Resultats - informe'!$D$26)*(C8190&lt;='Resultats - informe'!$E$26),0,(C8190&gt;='Resultats - informe'!$D$27)*(C8190&lt;='Resultats - informe'!$E$27),0,(C8190&gt;='Resultats - informe'!$D$28)*(C8190&lt;='Resultats - informe'!$E$28),0,(C8190&gt;='Resultats - informe'!$D$29)*(C8190&lt;='Resultats - informe'!$E$29),0,1,1)</f>
        <v>0</v>
      </c>
      <c r="N8190" s="366">
        <f>+VLOOKUP(D8190,'Resultats - informe'!$Y$18:$AG$42,'Introducció dades consum'!K8190+1,0)</f>
        <v>0</v>
      </c>
      <c r="O8190" s="370" cm="1">
        <f t="array" ref="O8190">+_xlfn.SWITCH(MONTH(C8190),1,1,2,1,3,1,4,2,5,2,6,3,7,3,8,3,9,3,10,2,11,2,12,1,2)</f>
        <v>1</v>
      </c>
      <c r="P8190" s="43"/>
    </row>
    <row r="8191" spans="1:16" ht="18" x14ac:dyDescent="0.35">
      <c r="A8191" s="9"/>
      <c r="C8191" s="393"/>
      <c r="E8191" s="394"/>
      <c r="F8191" s="394"/>
      <c r="G8191" s="394"/>
      <c r="I8191" s="368">
        <f t="shared" si="387"/>
        <v>0</v>
      </c>
      <c r="J8191" s="365">
        <f t="shared" si="388"/>
        <v>0</v>
      </c>
      <c r="K8191" s="369">
        <f t="shared" si="389"/>
        <v>6</v>
      </c>
      <c r="L8191" s="369">
        <f>+IF((C8191&gt;='Resultats - informe'!$E$16)*(C8191&lt;='Resultats - informe'!$G$16),1,0)</f>
        <v>1</v>
      </c>
      <c r="M8191" s="369" cm="1">
        <f t="array" ref="M8191">+_xlfn.IFS((C8191&gt;='Resultats - informe'!$D$26)*(C8191&lt;='Resultats - informe'!$E$26),0,(C8191&gt;='Resultats - informe'!$D$27)*(C8191&lt;='Resultats - informe'!$E$27),0,(C8191&gt;='Resultats - informe'!$D$28)*(C8191&lt;='Resultats - informe'!$E$28),0,(C8191&gt;='Resultats - informe'!$D$29)*(C8191&lt;='Resultats - informe'!$E$29),0,1,1)</f>
        <v>0</v>
      </c>
      <c r="N8191" s="366">
        <f>+VLOOKUP(D8191,'Resultats - informe'!$Y$18:$AG$42,'Introducció dades consum'!K8191+1,0)</f>
        <v>0</v>
      </c>
      <c r="O8191" s="370" cm="1">
        <f t="array" ref="O8191">+_xlfn.SWITCH(MONTH(C8191),1,1,2,1,3,1,4,2,5,2,6,3,7,3,8,3,9,3,10,2,11,2,12,1,2)</f>
        <v>1</v>
      </c>
      <c r="P8191" s="43"/>
    </row>
    <row r="8192" spans="1:16" ht="18" x14ac:dyDescent="0.35">
      <c r="A8192" s="9"/>
      <c r="C8192" s="393"/>
      <c r="E8192" s="394"/>
      <c r="F8192" s="394"/>
      <c r="G8192" s="394"/>
      <c r="I8192" s="368">
        <f t="shared" si="387"/>
        <v>0</v>
      </c>
      <c r="J8192" s="365">
        <f t="shared" si="388"/>
        <v>0</v>
      </c>
      <c r="K8192" s="369">
        <f t="shared" si="389"/>
        <v>6</v>
      </c>
      <c r="L8192" s="369">
        <f>+IF((C8192&gt;='Resultats - informe'!$E$16)*(C8192&lt;='Resultats - informe'!$G$16),1,0)</f>
        <v>1</v>
      </c>
      <c r="M8192" s="369" cm="1">
        <f t="array" ref="M8192">+_xlfn.IFS((C8192&gt;='Resultats - informe'!$D$26)*(C8192&lt;='Resultats - informe'!$E$26),0,(C8192&gt;='Resultats - informe'!$D$27)*(C8192&lt;='Resultats - informe'!$E$27),0,(C8192&gt;='Resultats - informe'!$D$28)*(C8192&lt;='Resultats - informe'!$E$28),0,(C8192&gt;='Resultats - informe'!$D$29)*(C8192&lt;='Resultats - informe'!$E$29),0,1,1)</f>
        <v>0</v>
      </c>
      <c r="N8192" s="366">
        <f>+VLOOKUP(D8192,'Resultats - informe'!$Y$18:$AG$42,'Introducció dades consum'!K8192+1,0)</f>
        <v>0</v>
      </c>
      <c r="O8192" s="370" cm="1">
        <f t="array" ref="O8192">+_xlfn.SWITCH(MONTH(C8192),1,1,2,1,3,1,4,2,5,2,6,3,7,3,8,3,9,3,10,2,11,2,12,1,2)</f>
        <v>1</v>
      </c>
      <c r="P8192" s="43"/>
    </row>
    <row r="8193" spans="1:16" ht="18" x14ac:dyDescent="0.35">
      <c r="A8193" s="9"/>
      <c r="C8193" s="393"/>
      <c r="E8193" s="394"/>
      <c r="F8193" s="394"/>
      <c r="G8193" s="394"/>
      <c r="I8193" s="368">
        <f t="shared" si="387"/>
        <v>0</v>
      </c>
      <c r="J8193" s="365">
        <f t="shared" si="388"/>
        <v>0</v>
      </c>
      <c r="K8193" s="369">
        <f t="shared" si="389"/>
        <v>6</v>
      </c>
      <c r="L8193" s="369">
        <f>+IF((C8193&gt;='Resultats - informe'!$E$16)*(C8193&lt;='Resultats - informe'!$G$16),1,0)</f>
        <v>1</v>
      </c>
      <c r="M8193" s="369" cm="1">
        <f t="array" ref="M8193">+_xlfn.IFS((C8193&gt;='Resultats - informe'!$D$26)*(C8193&lt;='Resultats - informe'!$E$26),0,(C8193&gt;='Resultats - informe'!$D$27)*(C8193&lt;='Resultats - informe'!$E$27),0,(C8193&gt;='Resultats - informe'!$D$28)*(C8193&lt;='Resultats - informe'!$E$28),0,(C8193&gt;='Resultats - informe'!$D$29)*(C8193&lt;='Resultats - informe'!$E$29),0,1,1)</f>
        <v>0</v>
      </c>
      <c r="N8193" s="366">
        <f>+VLOOKUP(D8193,'Resultats - informe'!$Y$18:$AG$42,'Introducció dades consum'!K8193+1,0)</f>
        <v>0</v>
      </c>
      <c r="O8193" s="370" cm="1">
        <f t="array" ref="O8193">+_xlfn.SWITCH(MONTH(C8193),1,1,2,1,3,1,4,2,5,2,6,3,7,3,8,3,9,3,10,2,11,2,12,1,2)</f>
        <v>1</v>
      </c>
      <c r="P8193" s="43"/>
    </row>
    <row r="8194" spans="1:16" ht="18" x14ac:dyDescent="0.35">
      <c r="A8194" s="9"/>
      <c r="C8194" s="393"/>
      <c r="E8194" s="394"/>
      <c r="F8194" s="394"/>
      <c r="G8194" s="394"/>
      <c r="I8194" s="368">
        <f t="shared" si="387"/>
        <v>0</v>
      </c>
      <c r="J8194" s="365">
        <f t="shared" si="388"/>
        <v>0</v>
      </c>
      <c r="K8194" s="369">
        <f t="shared" si="389"/>
        <v>6</v>
      </c>
      <c r="L8194" s="369">
        <f>+IF((C8194&gt;='Resultats - informe'!$E$16)*(C8194&lt;='Resultats - informe'!$G$16),1,0)</f>
        <v>1</v>
      </c>
      <c r="M8194" s="369" cm="1">
        <f t="array" ref="M8194">+_xlfn.IFS((C8194&gt;='Resultats - informe'!$D$26)*(C8194&lt;='Resultats - informe'!$E$26),0,(C8194&gt;='Resultats - informe'!$D$27)*(C8194&lt;='Resultats - informe'!$E$27),0,(C8194&gt;='Resultats - informe'!$D$28)*(C8194&lt;='Resultats - informe'!$E$28),0,(C8194&gt;='Resultats - informe'!$D$29)*(C8194&lt;='Resultats - informe'!$E$29),0,1,1)</f>
        <v>0</v>
      </c>
      <c r="N8194" s="366">
        <f>+VLOOKUP(D8194,'Resultats - informe'!$Y$18:$AG$42,'Introducció dades consum'!K8194+1,0)</f>
        <v>0</v>
      </c>
      <c r="O8194" s="370" cm="1">
        <f t="array" ref="O8194">+_xlfn.SWITCH(MONTH(C8194),1,1,2,1,3,1,4,2,5,2,6,3,7,3,8,3,9,3,10,2,11,2,12,1,2)</f>
        <v>1</v>
      </c>
      <c r="P8194" s="43"/>
    </row>
    <row r="8195" spans="1:16" ht="18" x14ac:dyDescent="0.35">
      <c r="A8195" s="9"/>
      <c r="C8195" s="393"/>
      <c r="E8195" s="394"/>
      <c r="F8195" s="394"/>
      <c r="G8195" s="394"/>
      <c r="I8195" s="368">
        <f t="shared" si="387"/>
        <v>0</v>
      </c>
      <c r="J8195" s="365">
        <f t="shared" si="388"/>
        <v>0</v>
      </c>
      <c r="K8195" s="369">
        <f t="shared" si="389"/>
        <v>6</v>
      </c>
      <c r="L8195" s="369">
        <f>+IF((C8195&gt;='Resultats - informe'!$E$16)*(C8195&lt;='Resultats - informe'!$G$16),1,0)</f>
        <v>1</v>
      </c>
      <c r="M8195" s="369" cm="1">
        <f t="array" ref="M8195">+_xlfn.IFS((C8195&gt;='Resultats - informe'!$D$26)*(C8195&lt;='Resultats - informe'!$E$26),0,(C8195&gt;='Resultats - informe'!$D$27)*(C8195&lt;='Resultats - informe'!$E$27),0,(C8195&gt;='Resultats - informe'!$D$28)*(C8195&lt;='Resultats - informe'!$E$28),0,(C8195&gt;='Resultats - informe'!$D$29)*(C8195&lt;='Resultats - informe'!$E$29),0,1,1)</f>
        <v>0</v>
      </c>
      <c r="N8195" s="366">
        <f>+VLOOKUP(D8195,'Resultats - informe'!$Y$18:$AG$42,'Introducció dades consum'!K8195+1,0)</f>
        <v>0</v>
      </c>
      <c r="O8195" s="370" cm="1">
        <f t="array" ref="O8195">+_xlfn.SWITCH(MONTH(C8195),1,1,2,1,3,1,4,2,5,2,6,3,7,3,8,3,9,3,10,2,11,2,12,1,2)</f>
        <v>1</v>
      </c>
      <c r="P8195" s="43"/>
    </row>
    <row r="8196" spans="1:16" ht="18" x14ac:dyDescent="0.35">
      <c r="A8196" s="9"/>
      <c r="C8196" s="393"/>
      <c r="E8196" s="394"/>
      <c r="F8196" s="394"/>
      <c r="G8196" s="394"/>
      <c r="I8196" s="368">
        <f t="shared" si="387"/>
        <v>0</v>
      </c>
      <c r="J8196" s="365">
        <f t="shared" si="388"/>
        <v>0</v>
      </c>
      <c r="K8196" s="369">
        <f t="shared" si="389"/>
        <v>6</v>
      </c>
      <c r="L8196" s="369">
        <f>+IF((C8196&gt;='Resultats - informe'!$E$16)*(C8196&lt;='Resultats - informe'!$G$16),1,0)</f>
        <v>1</v>
      </c>
      <c r="M8196" s="369" cm="1">
        <f t="array" ref="M8196">+_xlfn.IFS((C8196&gt;='Resultats - informe'!$D$26)*(C8196&lt;='Resultats - informe'!$E$26),0,(C8196&gt;='Resultats - informe'!$D$27)*(C8196&lt;='Resultats - informe'!$E$27),0,(C8196&gt;='Resultats - informe'!$D$28)*(C8196&lt;='Resultats - informe'!$E$28),0,(C8196&gt;='Resultats - informe'!$D$29)*(C8196&lt;='Resultats - informe'!$E$29),0,1,1)</f>
        <v>0</v>
      </c>
      <c r="N8196" s="366">
        <f>+VLOOKUP(D8196,'Resultats - informe'!$Y$18:$AG$42,'Introducció dades consum'!K8196+1,0)</f>
        <v>0</v>
      </c>
      <c r="O8196" s="370" cm="1">
        <f t="array" ref="O8196">+_xlfn.SWITCH(MONTH(C8196),1,1,2,1,3,1,4,2,5,2,6,3,7,3,8,3,9,3,10,2,11,2,12,1,2)</f>
        <v>1</v>
      </c>
      <c r="P8196" s="43"/>
    </row>
    <row r="8197" spans="1:16" ht="18" x14ac:dyDescent="0.35">
      <c r="A8197" s="9"/>
      <c r="C8197" s="393"/>
      <c r="E8197" s="394"/>
      <c r="F8197" s="394"/>
      <c r="G8197" s="394"/>
      <c r="I8197" s="368">
        <f t="shared" si="387"/>
        <v>0</v>
      </c>
      <c r="J8197" s="365">
        <f t="shared" si="388"/>
        <v>0</v>
      </c>
      <c r="K8197" s="369">
        <f t="shared" si="389"/>
        <v>6</v>
      </c>
      <c r="L8197" s="369">
        <f>+IF((C8197&gt;='Resultats - informe'!$E$16)*(C8197&lt;='Resultats - informe'!$G$16),1,0)</f>
        <v>1</v>
      </c>
      <c r="M8197" s="369" cm="1">
        <f t="array" ref="M8197">+_xlfn.IFS((C8197&gt;='Resultats - informe'!$D$26)*(C8197&lt;='Resultats - informe'!$E$26),0,(C8197&gt;='Resultats - informe'!$D$27)*(C8197&lt;='Resultats - informe'!$E$27),0,(C8197&gt;='Resultats - informe'!$D$28)*(C8197&lt;='Resultats - informe'!$E$28),0,(C8197&gt;='Resultats - informe'!$D$29)*(C8197&lt;='Resultats - informe'!$E$29),0,1,1)</f>
        <v>0</v>
      </c>
      <c r="N8197" s="366">
        <f>+VLOOKUP(D8197,'Resultats - informe'!$Y$18:$AG$42,'Introducció dades consum'!K8197+1,0)</f>
        <v>0</v>
      </c>
      <c r="O8197" s="370" cm="1">
        <f t="array" ref="O8197">+_xlfn.SWITCH(MONTH(C8197),1,1,2,1,3,1,4,2,5,2,6,3,7,3,8,3,9,3,10,2,11,2,12,1,2)</f>
        <v>1</v>
      </c>
      <c r="P8197" s="43"/>
    </row>
    <row r="8198" spans="1:16" ht="18" x14ac:dyDescent="0.35">
      <c r="A8198" s="9"/>
      <c r="C8198" s="393"/>
      <c r="E8198" s="394"/>
      <c r="F8198" s="394"/>
      <c r="G8198" s="394"/>
      <c r="I8198" s="368">
        <f t="shared" si="387"/>
        <v>0</v>
      </c>
      <c r="J8198" s="365">
        <f t="shared" si="388"/>
        <v>0</v>
      </c>
      <c r="K8198" s="369">
        <f t="shared" si="389"/>
        <v>6</v>
      </c>
      <c r="L8198" s="369">
        <f>+IF((C8198&gt;='Resultats - informe'!$E$16)*(C8198&lt;='Resultats - informe'!$G$16),1,0)</f>
        <v>1</v>
      </c>
      <c r="M8198" s="369" cm="1">
        <f t="array" ref="M8198">+_xlfn.IFS((C8198&gt;='Resultats - informe'!$D$26)*(C8198&lt;='Resultats - informe'!$E$26),0,(C8198&gt;='Resultats - informe'!$D$27)*(C8198&lt;='Resultats - informe'!$E$27),0,(C8198&gt;='Resultats - informe'!$D$28)*(C8198&lt;='Resultats - informe'!$E$28),0,(C8198&gt;='Resultats - informe'!$D$29)*(C8198&lt;='Resultats - informe'!$E$29),0,1,1)</f>
        <v>0</v>
      </c>
      <c r="N8198" s="366">
        <f>+VLOOKUP(D8198,'Resultats - informe'!$Y$18:$AG$42,'Introducció dades consum'!K8198+1,0)</f>
        <v>0</v>
      </c>
      <c r="O8198" s="370" cm="1">
        <f t="array" ref="O8198">+_xlfn.SWITCH(MONTH(C8198),1,1,2,1,3,1,4,2,5,2,6,3,7,3,8,3,9,3,10,2,11,2,12,1,2)</f>
        <v>1</v>
      </c>
      <c r="P8198" s="43"/>
    </row>
    <row r="8199" spans="1:16" ht="18" x14ac:dyDescent="0.35">
      <c r="A8199" s="9"/>
      <c r="C8199" s="393"/>
      <c r="E8199" s="394"/>
      <c r="F8199" s="394"/>
      <c r="G8199" s="394"/>
      <c r="I8199" s="368">
        <f t="shared" si="387"/>
        <v>0</v>
      </c>
      <c r="J8199" s="365">
        <f t="shared" si="388"/>
        <v>0</v>
      </c>
      <c r="K8199" s="369">
        <f t="shared" si="389"/>
        <v>6</v>
      </c>
      <c r="L8199" s="369">
        <f>+IF((C8199&gt;='Resultats - informe'!$E$16)*(C8199&lt;='Resultats - informe'!$G$16),1,0)</f>
        <v>1</v>
      </c>
      <c r="M8199" s="369" cm="1">
        <f t="array" ref="M8199">+_xlfn.IFS((C8199&gt;='Resultats - informe'!$D$26)*(C8199&lt;='Resultats - informe'!$E$26),0,(C8199&gt;='Resultats - informe'!$D$27)*(C8199&lt;='Resultats - informe'!$E$27),0,(C8199&gt;='Resultats - informe'!$D$28)*(C8199&lt;='Resultats - informe'!$E$28),0,(C8199&gt;='Resultats - informe'!$D$29)*(C8199&lt;='Resultats - informe'!$E$29),0,1,1)</f>
        <v>0</v>
      </c>
      <c r="N8199" s="366">
        <f>+VLOOKUP(D8199,'Resultats - informe'!$Y$18:$AG$42,'Introducció dades consum'!K8199+1,0)</f>
        <v>0</v>
      </c>
      <c r="O8199" s="370" cm="1">
        <f t="array" ref="O8199">+_xlfn.SWITCH(MONTH(C8199),1,1,2,1,3,1,4,2,5,2,6,3,7,3,8,3,9,3,10,2,11,2,12,1,2)</f>
        <v>1</v>
      </c>
      <c r="P8199" s="43"/>
    </row>
    <row r="8200" spans="1:16" ht="18" x14ac:dyDescent="0.35">
      <c r="A8200" s="9"/>
      <c r="C8200" s="393"/>
      <c r="E8200" s="394"/>
      <c r="F8200" s="394"/>
      <c r="G8200" s="394"/>
      <c r="I8200" s="368">
        <f t="shared" si="387"/>
        <v>0</v>
      </c>
      <c r="J8200" s="365">
        <f t="shared" si="388"/>
        <v>0</v>
      </c>
      <c r="K8200" s="369">
        <f t="shared" si="389"/>
        <v>6</v>
      </c>
      <c r="L8200" s="369">
        <f>+IF((C8200&gt;='Resultats - informe'!$E$16)*(C8200&lt;='Resultats - informe'!$G$16),1,0)</f>
        <v>1</v>
      </c>
      <c r="M8200" s="369" cm="1">
        <f t="array" ref="M8200">+_xlfn.IFS((C8200&gt;='Resultats - informe'!$D$26)*(C8200&lt;='Resultats - informe'!$E$26),0,(C8200&gt;='Resultats - informe'!$D$27)*(C8200&lt;='Resultats - informe'!$E$27),0,(C8200&gt;='Resultats - informe'!$D$28)*(C8200&lt;='Resultats - informe'!$E$28),0,(C8200&gt;='Resultats - informe'!$D$29)*(C8200&lt;='Resultats - informe'!$E$29),0,1,1)</f>
        <v>0</v>
      </c>
      <c r="N8200" s="366">
        <f>+VLOOKUP(D8200,'Resultats - informe'!$Y$18:$AG$42,'Introducció dades consum'!K8200+1,0)</f>
        <v>0</v>
      </c>
      <c r="O8200" s="370" cm="1">
        <f t="array" ref="O8200">+_xlfn.SWITCH(MONTH(C8200),1,1,2,1,3,1,4,2,5,2,6,3,7,3,8,3,9,3,10,2,11,2,12,1,2)</f>
        <v>1</v>
      </c>
      <c r="P8200" s="43"/>
    </row>
    <row r="8201" spans="1:16" ht="18" x14ac:dyDescent="0.35">
      <c r="A8201" s="9"/>
      <c r="C8201" s="393"/>
      <c r="E8201" s="394"/>
      <c r="F8201" s="394"/>
      <c r="G8201" s="394"/>
      <c r="I8201" s="368">
        <f t="shared" si="387"/>
        <v>0</v>
      </c>
      <c r="J8201" s="365">
        <f t="shared" si="388"/>
        <v>0</v>
      </c>
      <c r="K8201" s="369">
        <f t="shared" si="389"/>
        <v>6</v>
      </c>
      <c r="L8201" s="369">
        <f>+IF((C8201&gt;='Resultats - informe'!$E$16)*(C8201&lt;='Resultats - informe'!$G$16),1,0)</f>
        <v>1</v>
      </c>
      <c r="M8201" s="369" cm="1">
        <f t="array" ref="M8201">+_xlfn.IFS((C8201&gt;='Resultats - informe'!$D$26)*(C8201&lt;='Resultats - informe'!$E$26),0,(C8201&gt;='Resultats - informe'!$D$27)*(C8201&lt;='Resultats - informe'!$E$27),0,(C8201&gt;='Resultats - informe'!$D$28)*(C8201&lt;='Resultats - informe'!$E$28),0,(C8201&gt;='Resultats - informe'!$D$29)*(C8201&lt;='Resultats - informe'!$E$29),0,1,1)</f>
        <v>0</v>
      </c>
      <c r="N8201" s="366">
        <f>+VLOOKUP(D8201,'Resultats - informe'!$Y$18:$AG$42,'Introducció dades consum'!K8201+1,0)</f>
        <v>0</v>
      </c>
      <c r="O8201" s="370" cm="1">
        <f t="array" ref="O8201">+_xlfn.SWITCH(MONTH(C8201),1,1,2,1,3,1,4,2,5,2,6,3,7,3,8,3,9,3,10,2,11,2,12,1,2)</f>
        <v>1</v>
      </c>
      <c r="P8201" s="43"/>
    </row>
    <row r="8202" spans="1:16" ht="18" x14ac:dyDescent="0.35">
      <c r="A8202" s="9"/>
      <c r="C8202" s="393"/>
      <c r="E8202" s="394"/>
      <c r="F8202" s="394"/>
      <c r="G8202" s="394"/>
      <c r="I8202" s="368">
        <f t="shared" si="387"/>
        <v>0</v>
      </c>
      <c r="J8202" s="365">
        <f t="shared" si="388"/>
        <v>0</v>
      </c>
      <c r="K8202" s="369">
        <f t="shared" si="389"/>
        <v>6</v>
      </c>
      <c r="L8202" s="369">
        <f>+IF((C8202&gt;='Resultats - informe'!$E$16)*(C8202&lt;='Resultats - informe'!$G$16),1,0)</f>
        <v>1</v>
      </c>
      <c r="M8202" s="369" cm="1">
        <f t="array" ref="M8202">+_xlfn.IFS((C8202&gt;='Resultats - informe'!$D$26)*(C8202&lt;='Resultats - informe'!$E$26),0,(C8202&gt;='Resultats - informe'!$D$27)*(C8202&lt;='Resultats - informe'!$E$27),0,(C8202&gt;='Resultats - informe'!$D$28)*(C8202&lt;='Resultats - informe'!$E$28),0,(C8202&gt;='Resultats - informe'!$D$29)*(C8202&lt;='Resultats - informe'!$E$29),0,1,1)</f>
        <v>0</v>
      </c>
      <c r="N8202" s="366">
        <f>+VLOOKUP(D8202,'Resultats - informe'!$Y$18:$AG$42,'Introducció dades consum'!K8202+1,0)</f>
        <v>0</v>
      </c>
      <c r="O8202" s="370" cm="1">
        <f t="array" ref="O8202">+_xlfn.SWITCH(MONTH(C8202),1,1,2,1,3,1,4,2,5,2,6,3,7,3,8,3,9,3,10,2,11,2,12,1,2)</f>
        <v>1</v>
      </c>
      <c r="P8202" s="43"/>
    </row>
    <row r="8203" spans="1:16" ht="18" x14ac:dyDescent="0.35">
      <c r="A8203" s="9"/>
      <c r="C8203" s="393"/>
      <c r="E8203" s="394"/>
      <c r="F8203" s="394"/>
      <c r="G8203" s="394"/>
      <c r="I8203" s="368">
        <f t="shared" si="387"/>
        <v>0</v>
      </c>
      <c r="J8203" s="365">
        <f t="shared" si="388"/>
        <v>0</v>
      </c>
      <c r="K8203" s="369">
        <f t="shared" si="389"/>
        <v>6</v>
      </c>
      <c r="L8203" s="369">
        <f>+IF((C8203&gt;='Resultats - informe'!$E$16)*(C8203&lt;='Resultats - informe'!$G$16),1,0)</f>
        <v>1</v>
      </c>
      <c r="M8203" s="369" cm="1">
        <f t="array" ref="M8203">+_xlfn.IFS((C8203&gt;='Resultats - informe'!$D$26)*(C8203&lt;='Resultats - informe'!$E$26),0,(C8203&gt;='Resultats - informe'!$D$27)*(C8203&lt;='Resultats - informe'!$E$27),0,(C8203&gt;='Resultats - informe'!$D$28)*(C8203&lt;='Resultats - informe'!$E$28),0,(C8203&gt;='Resultats - informe'!$D$29)*(C8203&lt;='Resultats - informe'!$E$29),0,1,1)</f>
        <v>0</v>
      </c>
      <c r="N8203" s="366">
        <f>+VLOOKUP(D8203,'Resultats - informe'!$Y$18:$AG$42,'Introducció dades consum'!K8203+1,0)</f>
        <v>0</v>
      </c>
      <c r="O8203" s="370" cm="1">
        <f t="array" ref="O8203">+_xlfn.SWITCH(MONTH(C8203),1,1,2,1,3,1,4,2,5,2,6,3,7,3,8,3,9,3,10,2,11,2,12,1,2)</f>
        <v>1</v>
      </c>
      <c r="P8203" s="43"/>
    </row>
    <row r="8204" spans="1:16" ht="18" x14ac:dyDescent="0.35">
      <c r="A8204" s="9"/>
      <c r="C8204" s="393"/>
      <c r="E8204" s="394"/>
      <c r="F8204" s="394"/>
      <c r="G8204" s="394"/>
      <c r="I8204" s="368">
        <f t="shared" si="387"/>
        <v>0</v>
      </c>
      <c r="J8204" s="365">
        <f t="shared" si="388"/>
        <v>0</v>
      </c>
      <c r="K8204" s="369">
        <f t="shared" si="389"/>
        <v>6</v>
      </c>
      <c r="L8204" s="369">
        <f>+IF((C8204&gt;='Resultats - informe'!$E$16)*(C8204&lt;='Resultats - informe'!$G$16),1,0)</f>
        <v>1</v>
      </c>
      <c r="M8204" s="369" cm="1">
        <f t="array" ref="M8204">+_xlfn.IFS((C8204&gt;='Resultats - informe'!$D$26)*(C8204&lt;='Resultats - informe'!$E$26),0,(C8204&gt;='Resultats - informe'!$D$27)*(C8204&lt;='Resultats - informe'!$E$27),0,(C8204&gt;='Resultats - informe'!$D$28)*(C8204&lt;='Resultats - informe'!$E$28),0,(C8204&gt;='Resultats - informe'!$D$29)*(C8204&lt;='Resultats - informe'!$E$29),0,1,1)</f>
        <v>0</v>
      </c>
      <c r="N8204" s="366">
        <f>+VLOOKUP(D8204,'Resultats - informe'!$Y$18:$AG$42,'Introducció dades consum'!K8204+1,0)</f>
        <v>0</v>
      </c>
      <c r="O8204" s="370" cm="1">
        <f t="array" ref="O8204">+_xlfn.SWITCH(MONTH(C8204),1,1,2,1,3,1,4,2,5,2,6,3,7,3,8,3,9,3,10,2,11,2,12,1,2)</f>
        <v>1</v>
      </c>
      <c r="P8204" s="43"/>
    </row>
    <row r="8205" spans="1:16" ht="18" x14ac:dyDescent="0.35">
      <c r="A8205" s="9"/>
      <c r="C8205" s="393"/>
      <c r="E8205" s="394"/>
      <c r="F8205" s="394"/>
      <c r="G8205" s="394"/>
      <c r="I8205" s="368">
        <f t="shared" si="387"/>
        <v>0</v>
      </c>
      <c r="J8205" s="365">
        <f t="shared" si="388"/>
        <v>0</v>
      </c>
      <c r="K8205" s="369">
        <f t="shared" si="389"/>
        <v>6</v>
      </c>
      <c r="L8205" s="369">
        <f>+IF((C8205&gt;='Resultats - informe'!$E$16)*(C8205&lt;='Resultats - informe'!$G$16),1,0)</f>
        <v>1</v>
      </c>
      <c r="M8205" s="369" cm="1">
        <f t="array" ref="M8205">+_xlfn.IFS((C8205&gt;='Resultats - informe'!$D$26)*(C8205&lt;='Resultats - informe'!$E$26),0,(C8205&gt;='Resultats - informe'!$D$27)*(C8205&lt;='Resultats - informe'!$E$27),0,(C8205&gt;='Resultats - informe'!$D$28)*(C8205&lt;='Resultats - informe'!$E$28),0,(C8205&gt;='Resultats - informe'!$D$29)*(C8205&lt;='Resultats - informe'!$E$29),0,1,1)</f>
        <v>0</v>
      </c>
      <c r="N8205" s="366">
        <f>+VLOOKUP(D8205,'Resultats - informe'!$Y$18:$AG$42,'Introducció dades consum'!K8205+1,0)</f>
        <v>0</v>
      </c>
      <c r="O8205" s="370" cm="1">
        <f t="array" ref="O8205">+_xlfn.SWITCH(MONTH(C8205),1,1,2,1,3,1,4,2,5,2,6,3,7,3,8,3,9,3,10,2,11,2,12,1,2)</f>
        <v>1</v>
      </c>
      <c r="P8205" s="43"/>
    </row>
    <row r="8206" spans="1:16" ht="18" x14ac:dyDescent="0.35">
      <c r="A8206" s="9"/>
      <c r="C8206" s="393"/>
      <c r="E8206" s="394"/>
      <c r="F8206" s="394"/>
      <c r="G8206" s="394"/>
      <c r="I8206" s="368">
        <f t="shared" si="387"/>
        <v>0</v>
      </c>
      <c r="J8206" s="365">
        <f t="shared" si="388"/>
        <v>0</v>
      </c>
      <c r="K8206" s="369">
        <f t="shared" si="389"/>
        <v>6</v>
      </c>
      <c r="L8206" s="369">
        <f>+IF((C8206&gt;='Resultats - informe'!$E$16)*(C8206&lt;='Resultats - informe'!$G$16),1,0)</f>
        <v>1</v>
      </c>
      <c r="M8206" s="369" cm="1">
        <f t="array" ref="M8206">+_xlfn.IFS((C8206&gt;='Resultats - informe'!$D$26)*(C8206&lt;='Resultats - informe'!$E$26),0,(C8206&gt;='Resultats - informe'!$D$27)*(C8206&lt;='Resultats - informe'!$E$27),0,(C8206&gt;='Resultats - informe'!$D$28)*(C8206&lt;='Resultats - informe'!$E$28),0,(C8206&gt;='Resultats - informe'!$D$29)*(C8206&lt;='Resultats - informe'!$E$29),0,1,1)</f>
        <v>0</v>
      </c>
      <c r="N8206" s="366">
        <f>+VLOOKUP(D8206,'Resultats - informe'!$Y$18:$AG$42,'Introducció dades consum'!K8206+1,0)</f>
        <v>0</v>
      </c>
      <c r="O8206" s="370" cm="1">
        <f t="array" ref="O8206">+_xlfn.SWITCH(MONTH(C8206),1,1,2,1,3,1,4,2,5,2,6,3,7,3,8,3,9,3,10,2,11,2,12,1,2)</f>
        <v>1</v>
      </c>
      <c r="P8206" s="43"/>
    </row>
    <row r="8207" spans="1:16" ht="18" x14ac:dyDescent="0.35">
      <c r="A8207" s="9"/>
      <c r="C8207" s="393"/>
      <c r="E8207" s="394"/>
      <c r="F8207" s="394"/>
      <c r="G8207" s="394"/>
      <c r="I8207" s="368">
        <f t="shared" si="387"/>
        <v>0</v>
      </c>
      <c r="J8207" s="365">
        <f t="shared" si="388"/>
        <v>0</v>
      </c>
      <c r="K8207" s="369">
        <f t="shared" si="389"/>
        <v>6</v>
      </c>
      <c r="L8207" s="369">
        <f>+IF((C8207&gt;='Resultats - informe'!$E$16)*(C8207&lt;='Resultats - informe'!$G$16),1,0)</f>
        <v>1</v>
      </c>
      <c r="M8207" s="369" cm="1">
        <f t="array" ref="M8207">+_xlfn.IFS((C8207&gt;='Resultats - informe'!$D$26)*(C8207&lt;='Resultats - informe'!$E$26),0,(C8207&gt;='Resultats - informe'!$D$27)*(C8207&lt;='Resultats - informe'!$E$27),0,(C8207&gt;='Resultats - informe'!$D$28)*(C8207&lt;='Resultats - informe'!$E$28),0,(C8207&gt;='Resultats - informe'!$D$29)*(C8207&lt;='Resultats - informe'!$E$29),0,1,1)</f>
        <v>0</v>
      </c>
      <c r="N8207" s="366">
        <f>+VLOOKUP(D8207,'Resultats - informe'!$Y$18:$AG$42,'Introducció dades consum'!K8207+1,0)</f>
        <v>0</v>
      </c>
      <c r="O8207" s="370" cm="1">
        <f t="array" ref="O8207">+_xlfn.SWITCH(MONTH(C8207),1,1,2,1,3,1,4,2,5,2,6,3,7,3,8,3,9,3,10,2,11,2,12,1,2)</f>
        <v>1</v>
      </c>
      <c r="P8207" s="43"/>
    </row>
    <row r="8208" spans="1:16" ht="18" x14ac:dyDescent="0.35">
      <c r="A8208" s="9"/>
      <c r="C8208" s="393"/>
      <c r="E8208" s="394"/>
      <c r="F8208" s="394"/>
      <c r="G8208" s="394"/>
      <c r="I8208" s="368">
        <f t="shared" si="387"/>
        <v>0</v>
      </c>
      <c r="J8208" s="365">
        <f t="shared" si="388"/>
        <v>0</v>
      </c>
      <c r="K8208" s="369">
        <f t="shared" si="389"/>
        <v>6</v>
      </c>
      <c r="L8208" s="369">
        <f>+IF((C8208&gt;='Resultats - informe'!$E$16)*(C8208&lt;='Resultats - informe'!$G$16),1,0)</f>
        <v>1</v>
      </c>
      <c r="M8208" s="369" cm="1">
        <f t="array" ref="M8208">+_xlfn.IFS((C8208&gt;='Resultats - informe'!$D$26)*(C8208&lt;='Resultats - informe'!$E$26),0,(C8208&gt;='Resultats - informe'!$D$27)*(C8208&lt;='Resultats - informe'!$E$27),0,(C8208&gt;='Resultats - informe'!$D$28)*(C8208&lt;='Resultats - informe'!$E$28),0,(C8208&gt;='Resultats - informe'!$D$29)*(C8208&lt;='Resultats - informe'!$E$29),0,1,1)</f>
        <v>0</v>
      </c>
      <c r="N8208" s="366">
        <f>+VLOOKUP(D8208,'Resultats - informe'!$Y$18:$AG$42,'Introducció dades consum'!K8208+1,0)</f>
        <v>0</v>
      </c>
      <c r="O8208" s="370" cm="1">
        <f t="array" ref="O8208">+_xlfn.SWITCH(MONTH(C8208),1,1,2,1,3,1,4,2,5,2,6,3,7,3,8,3,9,3,10,2,11,2,12,1,2)</f>
        <v>1</v>
      </c>
      <c r="P8208" s="43"/>
    </row>
    <row r="8209" spans="1:16" ht="18" x14ac:dyDescent="0.35">
      <c r="A8209" s="9"/>
      <c r="C8209" s="393"/>
      <c r="E8209" s="394"/>
      <c r="F8209" s="394"/>
      <c r="G8209" s="394"/>
      <c r="I8209" s="368">
        <f t="shared" si="387"/>
        <v>0</v>
      </c>
      <c r="J8209" s="365">
        <f t="shared" si="388"/>
        <v>0</v>
      </c>
      <c r="K8209" s="369">
        <f t="shared" si="389"/>
        <v>6</v>
      </c>
      <c r="L8209" s="369">
        <f>+IF((C8209&gt;='Resultats - informe'!$E$16)*(C8209&lt;='Resultats - informe'!$G$16),1,0)</f>
        <v>1</v>
      </c>
      <c r="M8209" s="369" cm="1">
        <f t="array" ref="M8209">+_xlfn.IFS((C8209&gt;='Resultats - informe'!$D$26)*(C8209&lt;='Resultats - informe'!$E$26),0,(C8209&gt;='Resultats - informe'!$D$27)*(C8209&lt;='Resultats - informe'!$E$27),0,(C8209&gt;='Resultats - informe'!$D$28)*(C8209&lt;='Resultats - informe'!$E$28),0,(C8209&gt;='Resultats - informe'!$D$29)*(C8209&lt;='Resultats - informe'!$E$29),0,1,1)</f>
        <v>0</v>
      </c>
      <c r="N8209" s="366">
        <f>+VLOOKUP(D8209,'Resultats - informe'!$Y$18:$AG$42,'Introducció dades consum'!K8209+1,0)</f>
        <v>0</v>
      </c>
      <c r="O8209" s="370" cm="1">
        <f t="array" ref="O8209">+_xlfn.SWITCH(MONTH(C8209),1,1,2,1,3,1,4,2,5,2,6,3,7,3,8,3,9,3,10,2,11,2,12,1,2)</f>
        <v>1</v>
      </c>
      <c r="P8209" s="43"/>
    </row>
    <row r="8210" spans="1:16" ht="18" x14ac:dyDescent="0.35">
      <c r="A8210" s="9"/>
      <c r="C8210" s="393"/>
      <c r="E8210" s="394"/>
      <c r="F8210" s="394"/>
      <c r="G8210" s="394"/>
      <c r="I8210" s="368">
        <f t="shared" ref="I8210:I8273" si="390">+E8210+G8210</f>
        <v>0</v>
      </c>
      <c r="J8210" s="365">
        <f t="shared" ref="J8210:J8273" si="391">+C8210</f>
        <v>0</v>
      </c>
      <c r="K8210" s="369">
        <f t="shared" ref="K8210:K8273" si="392">+WEEKDAY(C8210,2)</f>
        <v>6</v>
      </c>
      <c r="L8210" s="369">
        <f>+IF((C8210&gt;='Resultats - informe'!$E$16)*(C8210&lt;='Resultats - informe'!$G$16),1,0)</f>
        <v>1</v>
      </c>
      <c r="M8210" s="369" cm="1">
        <f t="array" ref="M8210">+_xlfn.IFS((C8210&gt;='Resultats - informe'!$D$26)*(C8210&lt;='Resultats - informe'!$E$26),0,(C8210&gt;='Resultats - informe'!$D$27)*(C8210&lt;='Resultats - informe'!$E$27),0,(C8210&gt;='Resultats - informe'!$D$28)*(C8210&lt;='Resultats - informe'!$E$28),0,(C8210&gt;='Resultats - informe'!$D$29)*(C8210&lt;='Resultats - informe'!$E$29),0,1,1)</f>
        <v>0</v>
      </c>
      <c r="N8210" s="366">
        <f>+VLOOKUP(D8210,'Resultats - informe'!$Y$18:$AG$42,'Introducció dades consum'!K8210+1,0)</f>
        <v>0</v>
      </c>
      <c r="O8210" s="370" cm="1">
        <f t="array" ref="O8210">+_xlfn.SWITCH(MONTH(C8210),1,1,2,1,3,1,4,2,5,2,6,3,7,3,8,3,9,3,10,2,11,2,12,1,2)</f>
        <v>1</v>
      </c>
      <c r="P8210" s="43"/>
    </row>
    <row r="8211" spans="1:16" ht="18" x14ac:dyDescent="0.35">
      <c r="A8211" s="9"/>
      <c r="C8211" s="393"/>
      <c r="E8211" s="394"/>
      <c r="F8211" s="394"/>
      <c r="G8211" s="394"/>
      <c r="I8211" s="368">
        <f t="shared" si="390"/>
        <v>0</v>
      </c>
      <c r="J8211" s="365">
        <f t="shared" si="391"/>
        <v>0</v>
      </c>
      <c r="K8211" s="369">
        <f t="shared" si="392"/>
        <v>6</v>
      </c>
      <c r="L8211" s="369">
        <f>+IF((C8211&gt;='Resultats - informe'!$E$16)*(C8211&lt;='Resultats - informe'!$G$16),1,0)</f>
        <v>1</v>
      </c>
      <c r="M8211" s="369" cm="1">
        <f t="array" ref="M8211">+_xlfn.IFS((C8211&gt;='Resultats - informe'!$D$26)*(C8211&lt;='Resultats - informe'!$E$26),0,(C8211&gt;='Resultats - informe'!$D$27)*(C8211&lt;='Resultats - informe'!$E$27),0,(C8211&gt;='Resultats - informe'!$D$28)*(C8211&lt;='Resultats - informe'!$E$28),0,(C8211&gt;='Resultats - informe'!$D$29)*(C8211&lt;='Resultats - informe'!$E$29),0,1,1)</f>
        <v>0</v>
      </c>
      <c r="N8211" s="366">
        <f>+VLOOKUP(D8211,'Resultats - informe'!$Y$18:$AG$42,'Introducció dades consum'!K8211+1,0)</f>
        <v>0</v>
      </c>
      <c r="O8211" s="370" cm="1">
        <f t="array" ref="O8211">+_xlfn.SWITCH(MONTH(C8211),1,1,2,1,3,1,4,2,5,2,6,3,7,3,8,3,9,3,10,2,11,2,12,1,2)</f>
        <v>1</v>
      </c>
      <c r="P8211" s="43"/>
    </row>
    <row r="8212" spans="1:16" ht="18" x14ac:dyDescent="0.35">
      <c r="A8212" s="9"/>
      <c r="C8212" s="393"/>
      <c r="E8212" s="394"/>
      <c r="F8212" s="394"/>
      <c r="G8212" s="394"/>
      <c r="I8212" s="368">
        <f t="shared" si="390"/>
        <v>0</v>
      </c>
      <c r="J8212" s="365">
        <f t="shared" si="391"/>
        <v>0</v>
      </c>
      <c r="K8212" s="369">
        <f t="shared" si="392"/>
        <v>6</v>
      </c>
      <c r="L8212" s="369">
        <f>+IF((C8212&gt;='Resultats - informe'!$E$16)*(C8212&lt;='Resultats - informe'!$G$16),1,0)</f>
        <v>1</v>
      </c>
      <c r="M8212" s="369" cm="1">
        <f t="array" ref="M8212">+_xlfn.IFS((C8212&gt;='Resultats - informe'!$D$26)*(C8212&lt;='Resultats - informe'!$E$26),0,(C8212&gt;='Resultats - informe'!$D$27)*(C8212&lt;='Resultats - informe'!$E$27),0,(C8212&gt;='Resultats - informe'!$D$28)*(C8212&lt;='Resultats - informe'!$E$28),0,(C8212&gt;='Resultats - informe'!$D$29)*(C8212&lt;='Resultats - informe'!$E$29),0,1,1)</f>
        <v>0</v>
      </c>
      <c r="N8212" s="366">
        <f>+VLOOKUP(D8212,'Resultats - informe'!$Y$18:$AG$42,'Introducció dades consum'!K8212+1,0)</f>
        <v>0</v>
      </c>
      <c r="O8212" s="370" cm="1">
        <f t="array" ref="O8212">+_xlfn.SWITCH(MONTH(C8212),1,1,2,1,3,1,4,2,5,2,6,3,7,3,8,3,9,3,10,2,11,2,12,1,2)</f>
        <v>1</v>
      </c>
      <c r="P8212" s="43"/>
    </row>
    <row r="8213" spans="1:16" ht="18" x14ac:dyDescent="0.35">
      <c r="A8213" s="9"/>
      <c r="C8213" s="393"/>
      <c r="E8213" s="394"/>
      <c r="F8213" s="394"/>
      <c r="G8213" s="394"/>
      <c r="I8213" s="368">
        <f t="shared" si="390"/>
        <v>0</v>
      </c>
      <c r="J8213" s="365">
        <f t="shared" si="391"/>
        <v>0</v>
      </c>
      <c r="K8213" s="369">
        <f t="shared" si="392"/>
        <v>6</v>
      </c>
      <c r="L8213" s="369">
        <f>+IF((C8213&gt;='Resultats - informe'!$E$16)*(C8213&lt;='Resultats - informe'!$G$16),1,0)</f>
        <v>1</v>
      </c>
      <c r="M8213" s="369" cm="1">
        <f t="array" ref="M8213">+_xlfn.IFS((C8213&gt;='Resultats - informe'!$D$26)*(C8213&lt;='Resultats - informe'!$E$26),0,(C8213&gt;='Resultats - informe'!$D$27)*(C8213&lt;='Resultats - informe'!$E$27),0,(C8213&gt;='Resultats - informe'!$D$28)*(C8213&lt;='Resultats - informe'!$E$28),0,(C8213&gt;='Resultats - informe'!$D$29)*(C8213&lt;='Resultats - informe'!$E$29),0,1,1)</f>
        <v>0</v>
      </c>
      <c r="N8213" s="366">
        <f>+VLOOKUP(D8213,'Resultats - informe'!$Y$18:$AG$42,'Introducció dades consum'!K8213+1,0)</f>
        <v>0</v>
      </c>
      <c r="O8213" s="370" cm="1">
        <f t="array" ref="O8213">+_xlfn.SWITCH(MONTH(C8213),1,1,2,1,3,1,4,2,5,2,6,3,7,3,8,3,9,3,10,2,11,2,12,1,2)</f>
        <v>1</v>
      </c>
      <c r="P8213" s="43"/>
    </row>
    <row r="8214" spans="1:16" ht="18" x14ac:dyDescent="0.35">
      <c r="A8214" s="9"/>
      <c r="C8214" s="393"/>
      <c r="E8214" s="394"/>
      <c r="F8214" s="394"/>
      <c r="G8214" s="394"/>
      <c r="I8214" s="368">
        <f t="shared" si="390"/>
        <v>0</v>
      </c>
      <c r="J8214" s="365">
        <f t="shared" si="391"/>
        <v>0</v>
      </c>
      <c r="K8214" s="369">
        <f t="shared" si="392"/>
        <v>6</v>
      </c>
      <c r="L8214" s="369">
        <f>+IF((C8214&gt;='Resultats - informe'!$E$16)*(C8214&lt;='Resultats - informe'!$G$16),1,0)</f>
        <v>1</v>
      </c>
      <c r="M8214" s="369" cm="1">
        <f t="array" ref="M8214">+_xlfn.IFS((C8214&gt;='Resultats - informe'!$D$26)*(C8214&lt;='Resultats - informe'!$E$26),0,(C8214&gt;='Resultats - informe'!$D$27)*(C8214&lt;='Resultats - informe'!$E$27),0,(C8214&gt;='Resultats - informe'!$D$28)*(C8214&lt;='Resultats - informe'!$E$28),0,(C8214&gt;='Resultats - informe'!$D$29)*(C8214&lt;='Resultats - informe'!$E$29),0,1,1)</f>
        <v>0</v>
      </c>
      <c r="N8214" s="366">
        <f>+VLOOKUP(D8214,'Resultats - informe'!$Y$18:$AG$42,'Introducció dades consum'!K8214+1,0)</f>
        <v>0</v>
      </c>
      <c r="O8214" s="370" cm="1">
        <f t="array" ref="O8214">+_xlfn.SWITCH(MONTH(C8214),1,1,2,1,3,1,4,2,5,2,6,3,7,3,8,3,9,3,10,2,11,2,12,1,2)</f>
        <v>1</v>
      </c>
      <c r="P8214" s="43"/>
    </row>
    <row r="8215" spans="1:16" ht="18" x14ac:dyDescent="0.35">
      <c r="A8215" s="9"/>
      <c r="C8215" s="393"/>
      <c r="E8215" s="394"/>
      <c r="F8215" s="394"/>
      <c r="G8215" s="394"/>
      <c r="I8215" s="368">
        <f t="shared" si="390"/>
        <v>0</v>
      </c>
      <c r="J8215" s="365">
        <f t="shared" si="391"/>
        <v>0</v>
      </c>
      <c r="K8215" s="369">
        <f t="shared" si="392"/>
        <v>6</v>
      </c>
      <c r="L8215" s="369">
        <f>+IF((C8215&gt;='Resultats - informe'!$E$16)*(C8215&lt;='Resultats - informe'!$G$16),1,0)</f>
        <v>1</v>
      </c>
      <c r="M8215" s="369" cm="1">
        <f t="array" ref="M8215">+_xlfn.IFS((C8215&gt;='Resultats - informe'!$D$26)*(C8215&lt;='Resultats - informe'!$E$26),0,(C8215&gt;='Resultats - informe'!$D$27)*(C8215&lt;='Resultats - informe'!$E$27),0,(C8215&gt;='Resultats - informe'!$D$28)*(C8215&lt;='Resultats - informe'!$E$28),0,(C8215&gt;='Resultats - informe'!$D$29)*(C8215&lt;='Resultats - informe'!$E$29),0,1,1)</f>
        <v>0</v>
      </c>
      <c r="N8215" s="366">
        <f>+VLOOKUP(D8215,'Resultats - informe'!$Y$18:$AG$42,'Introducció dades consum'!K8215+1,0)</f>
        <v>0</v>
      </c>
      <c r="O8215" s="370" cm="1">
        <f t="array" ref="O8215">+_xlfn.SWITCH(MONTH(C8215),1,1,2,1,3,1,4,2,5,2,6,3,7,3,8,3,9,3,10,2,11,2,12,1,2)</f>
        <v>1</v>
      </c>
      <c r="P8215" s="43"/>
    </row>
    <row r="8216" spans="1:16" ht="18" x14ac:dyDescent="0.35">
      <c r="A8216" s="9"/>
      <c r="C8216" s="393"/>
      <c r="E8216" s="394"/>
      <c r="F8216" s="394"/>
      <c r="G8216" s="394"/>
      <c r="I8216" s="368">
        <f t="shared" si="390"/>
        <v>0</v>
      </c>
      <c r="J8216" s="365">
        <f t="shared" si="391"/>
        <v>0</v>
      </c>
      <c r="K8216" s="369">
        <f t="shared" si="392"/>
        <v>6</v>
      </c>
      <c r="L8216" s="369">
        <f>+IF((C8216&gt;='Resultats - informe'!$E$16)*(C8216&lt;='Resultats - informe'!$G$16),1,0)</f>
        <v>1</v>
      </c>
      <c r="M8216" s="369" cm="1">
        <f t="array" ref="M8216">+_xlfn.IFS((C8216&gt;='Resultats - informe'!$D$26)*(C8216&lt;='Resultats - informe'!$E$26),0,(C8216&gt;='Resultats - informe'!$D$27)*(C8216&lt;='Resultats - informe'!$E$27),0,(C8216&gt;='Resultats - informe'!$D$28)*(C8216&lt;='Resultats - informe'!$E$28),0,(C8216&gt;='Resultats - informe'!$D$29)*(C8216&lt;='Resultats - informe'!$E$29),0,1,1)</f>
        <v>0</v>
      </c>
      <c r="N8216" s="366">
        <f>+VLOOKUP(D8216,'Resultats - informe'!$Y$18:$AG$42,'Introducció dades consum'!K8216+1,0)</f>
        <v>0</v>
      </c>
      <c r="O8216" s="370" cm="1">
        <f t="array" ref="O8216">+_xlfn.SWITCH(MONTH(C8216),1,1,2,1,3,1,4,2,5,2,6,3,7,3,8,3,9,3,10,2,11,2,12,1,2)</f>
        <v>1</v>
      </c>
      <c r="P8216" s="43"/>
    </row>
    <row r="8217" spans="1:16" ht="18" x14ac:dyDescent="0.35">
      <c r="A8217" s="9"/>
      <c r="C8217" s="393"/>
      <c r="E8217" s="394"/>
      <c r="F8217" s="394"/>
      <c r="G8217" s="394"/>
      <c r="I8217" s="368">
        <f t="shared" si="390"/>
        <v>0</v>
      </c>
      <c r="J8217" s="365">
        <f t="shared" si="391"/>
        <v>0</v>
      </c>
      <c r="K8217" s="369">
        <f t="shared" si="392"/>
        <v>6</v>
      </c>
      <c r="L8217" s="369">
        <f>+IF((C8217&gt;='Resultats - informe'!$E$16)*(C8217&lt;='Resultats - informe'!$G$16),1,0)</f>
        <v>1</v>
      </c>
      <c r="M8217" s="369" cm="1">
        <f t="array" ref="M8217">+_xlfn.IFS((C8217&gt;='Resultats - informe'!$D$26)*(C8217&lt;='Resultats - informe'!$E$26),0,(C8217&gt;='Resultats - informe'!$D$27)*(C8217&lt;='Resultats - informe'!$E$27),0,(C8217&gt;='Resultats - informe'!$D$28)*(C8217&lt;='Resultats - informe'!$E$28),0,(C8217&gt;='Resultats - informe'!$D$29)*(C8217&lt;='Resultats - informe'!$E$29),0,1,1)</f>
        <v>0</v>
      </c>
      <c r="N8217" s="366">
        <f>+VLOOKUP(D8217,'Resultats - informe'!$Y$18:$AG$42,'Introducció dades consum'!K8217+1,0)</f>
        <v>0</v>
      </c>
      <c r="O8217" s="370" cm="1">
        <f t="array" ref="O8217">+_xlfn.SWITCH(MONTH(C8217),1,1,2,1,3,1,4,2,5,2,6,3,7,3,8,3,9,3,10,2,11,2,12,1,2)</f>
        <v>1</v>
      </c>
      <c r="P8217" s="43"/>
    </row>
    <row r="8218" spans="1:16" ht="18" x14ac:dyDescent="0.35">
      <c r="A8218" s="9"/>
      <c r="C8218" s="393"/>
      <c r="E8218" s="394"/>
      <c r="F8218" s="394"/>
      <c r="G8218" s="394"/>
      <c r="I8218" s="368">
        <f t="shared" si="390"/>
        <v>0</v>
      </c>
      <c r="J8218" s="365">
        <f t="shared" si="391"/>
        <v>0</v>
      </c>
      <c r="K8218" s="369">
        <f t="shared" si="392"/>
        <v>6</v>
      </c>
      <c r="L8218" s="369">
        <f>+IF((C8218&gt;='Resultats - informe'!$E$16)*(C8218&lt;='Resultats - informe'!$G$16),1,0)</f>
        <v>1</v>
      </c>
      <c r="M8218" s="369" cm="1">
        <f t="array" ref="M8218">+_xlfn.IFS((C8218&gt;='Resultats - informe'!$D$26)*(C8218&lt;='Resultats - informe'!$E$26),0,(C8218&gt;='Resultats - informe'!$D$27)*(C8218&lt;='Resultats - informe'!$E$27),0,(C8218&gt;='Resultats - informe'!$D$28)*(C8218&lt;='Resultats - informe'!$E$28),0,(C8218&gt;='Resultats - informe'!$D$29)*(C8218&lt;='Resultats - informe'!$E$29),0,1,1)</f>
        <v>0</v>
      </c>
      <c r="N8218" s="366">
        <f>+VLOOKUP(D8218,'Resultats - informe'!$Y$18:$AG$42,'Introducció dades consum'!K8218+1,0)</f>
        <v>0</v>
      </c>
      <c r="O8218" s="370" cm="1">
        <f t="array" ref="O8218">+_xlfn.SWITCH(MONTH(C8218),1,1,2,1,3,1,4,2,5,2,6,3,7,3,8,3,9,3,10,2,11,2,12,1,2)</f>
        <v>1</v>
      </c>
      <c r="P8218" s="43"/>
    </row>
    <row r="8219" spans="1:16" ht="18" x14ac:dyDescent="0.35">
      <c r="A8219" s="9"/>
      <c r="C8219" s="393"/>
      <c r="E8219" s="394"/>
      <c r="F8219" s="394"/>
      <c r="G8219" s="394"/>
      <c r="I8219" s="368">
        <f t="shared" si="390"/>
        <v>0</v>
      </c>
      <c r="J8219" s="365">
        <f t="shared" si="391"/>
        <v>0</v>
      </c>
      <c r="K8219" s="369">
        <f t="shared" si="392"/>
        <v>6</v>
      </c>
      <c r="L8219" s="369">
        <f>+IF((C8219&gt;='Resultats - informe'!$E$16)*(C8219&lt;='Resultats - informe'!$G$16),1,0)</f>
        <v>1</v>
      </c>
      <c r="M8219" s="369" cm="1">
        <f t="array" ref="M8219">+_xlfn.IFS((C8219&gt;='Resultats - informe'!$D$26)*(C8219&lt;='Resultats - informe'!$E$26),0,(C8219&gt;='Resultats - informe'!$D$27)*(C8219&lt;='Resultats - informe'!$E$27),0,(C8219&gt;='Resultats - informe'!$D$28)*(C8219&lt;='Resultats - informe'!$E$28),0,(C8219&gt;='Resultats - informe'!$D$29)*(C8219&lt;='Resultats - informe'!$E$29),0,1,1)</f>
        <v>0</v>
      </c>
      <c r="N8219" s="366">
        <f>+VLOOKUP(D8219,'Resultats - informe'!$Y$18:$AG$42,'Introducció dades consum'!K8219+1,0)</f>
        <v>0</v>
      </c>
      <c r="O8219" s="370" cm="1">
        <f t="array" ref="O8219">+_xlfn.SWITCH(MONTH(C8219),1,1,2,1,3,1,4,2,5,2,6,3,7,3,8,3,9,3,10,2,11,2,12,1,2)</f>
        <v>1</v>
      </c>
      <c r="P8219" s="43"/>
    </row>
    <row r="8220" spans="1:16" ht="18" x14ac:dyDescent="0.35">
      <c r="A8220" s="9"/>
      <c r="C8220" s="393"/>
      <c r="E8220" s="394"/>
      <c r="F8220" s="394"/>
      <c r="G8220" s="394"/>
      <c r="I8220" s="368">
        <f t="shared" si="390"/>
        <v>0</v>
      </c>
      <c r="J8220" s="365">
        <f t="shared" si="391"/>
        <v>0</v>
      </c>
      <c r="K8220" s="369">
        <f t="shared" si="392"/>
        <v>6</v>
      </c>
      <c r="L8220" s="369">
        <f>+IF((C8220&gt;='Resultats - informe'!$E$16)*(C8220&lt;='Resultats - informe'!$G$16),1,0)</f>
        <v>1</v>
      </c>
      <c r="M8220" s="369" cm="1">
        <f t="array" ref="M8220">+_xlfn.IFS((C8220&gt;='Resultats - informe'!$D$26)*(C8220&lt;='Resultats - informe'!$E$26),0,(C8220&gt;='Resultats - informe'!$D$27)*(C8220&lt;='Resultats - informe'!$E$27),0,(C8220&gt;='Resultats - informe'!$D$28)*(C8220&lt;='Resultats - informe'!$E$28),0,(C8220&gt;='Resultats - informe'!$D$29)*(C8220&lt;='Resultats - informe'!$E$29),0,1,1)</f>
        <v>0</v>
      </c>
      <c r="N8220" s="366">
        <f>+VLOOKUP(D8220,'Resultats - informe'!$Y$18:$AG$42,'Introducció dades consum'!K8220+1,0)</f>
        <v>0</v>
      </c>
      <c r="O8220" s="370" cm="1">
        <f t="array" ref="O8220">+_xlfn.SWITCH(MONTH(C8220),1,1,2,1,3,1,4,2,5,2,6,3,7,3,8,3,9,3,10,2,11,2,12,1,2)</f>
        <v>1</v>
      </c>
      <c r="P8220" s="43"/>
    </row>
    <row r="8221" spans="1:16" ht="18" x14ac:dyDescent="0.35">
      <c r="A8221" s="9"/>
      <c r="C8221" s="393"/>
      <c r="E8221" s="394"/>
      <c r="F8221" s="394"/>
      <c r="G8221" s="394"/>
      <c r="I8221" s="368">
        <f t="shared" si="390"/>
        <v>0</v>
      </c>
      <c r="J8221" s="365">
        <f t="shared" si="391"/>
        <v>0</v>
      </c>
      <c r="K8221" s="369">
        <f t="shared" si="392"/>
        <v>6</v>
      </c>
      <c r="L8221" s="369">
        <f>+IF((C8221&gt;='Resultats - informe'!$E$16)*(C8221&lt;='Resultats - informe'!$G$16),1,0)</f>
        <v>1</v>
      </c>
      <c r="M8221" s="369" cm="1">
        <f t="array" ref="M8221">+_xlfn.IFS((C8221&gt;='Resultats - informe'!$D$26)*(C8221&lt;='Resultats - informe'!$E$26),0,(C8221&gt;='Resultats - informe'!$D$27)*(C8221&lt;='Resultats - informe'!$E$27),0,(C8221&gt;='Resultats - informe'!$D$28)*(C8221&lt;='Resultats - informe'!$E$28),0,(C8221&gt;='Resultats - informe'!$D$29)*(C8221&lt;='Resultats - informe'!$E$29),0,1,1)</f>
        <v>0</v>
      </c>
      <c r="N8221" s="366">
        <f>+VLOOKUP(D8221,'Resultats - informe'!$Y$18:$AG$42,'Introducció dades consum'!K8221+1,0)</f>
        <v>0</v>
      </c>
      <c r="O8221" s="370" cm="1">
        <f t="array" ref="O8221">+_xlfn.SWITCH(MONTH(C8221),1,1,2,1,3,1,4,2,5,2,6,3,7,3,8,3,9,3,10,2,11,2,12,1,2)</f>
        <v>1</v>
      </c>
      <c r="P8221" s="43"/>
    </row>
    <row r="8222" spans="1:16" ht="18" x14ac:dyDescent="0.35">
      <c r="A8222" s="9"/>
      <c r="C8222" s="393"/>
      <c r="E8222" s="394"/>
      <c r="F8222" s="394"/>
      <c r="G8222" s="394"/>
      <c r="I8222" s="368">
        <f t="shared" si="390"/>
        <v>0</v>
      </c>
      <c r="J8222" s="365">
        <f t="shared" si="391"/>
        <v>0</v>
      </c>
      <c r="K8222" s="369">
        <f t="shared" si="392"/>
        <v>6</v>
      </c>
      <c r="L8222" s="369">
        <f>+IF((C8222&gt;='Resultats - informe'!$E$16)*(C8222&lt;='Resultats - informe'!$G$16),1,0)</f>
        <v>1</v>
      </c>
      <c r="M8222" s="369" cm="1">
        <f t="array" ref="M8222">+_xlfn.IFS((C8222&gt;='Resultats - informe'!$D$26)*(C8222&lt;='Resultats - informe'!$E$26),0,(C8222&gt;='Resultats - informe'!$D$27)*(C8222&lt;='Resultats - informe'!$E$27),0,(C8222&gt;='Resultats - informe'!$D$28)*(C8222&lt;='Resultats - informe'!$E$28),0,(C8222&gt;='Resultats - informe'!$D$29)*(C8222&lt;='Resultats - informe'!$E$29),0,1,1)</f>
        <v>0</v>
      </c>
      <c r="N8222" s="366">
        <f>+VLOOKUP(D8222,'Resultats - informe'!$Y$18:$AG$42,'Introducció dades consum'!K8222+1,0)</f>
        <v>0</v>
      </c>
      <c r="O8222" s="370" cm="1">
        <f t="array" ref="O8222">+_xlfn.SWITCH(MONTH(C8222),1,1,2,1,3,1,4,2,5,2,6,3,7,3,8,3,9,3,10,2,11,2,12,1,2)</f>
        <v>1</v>
      </c>
      <c r="P8222" s="43"/>
    </row>
    <row r="8223" spans="1:16" ht="18" x14ac:dyDescent="0.35">
      <c r="A8223" s="9"/>
      <c r="C8223" s="393"/>
      <c r="E8223" s="394"/>
      <c r="F8223" s="394"/>
      <c r="G8223" s="394"/>
      <c r="I8223" s="368">
        <f t="shared" si="390"/>
        <v>0</v>
      </c>
      <c r="J8223" s="365">
        <f t="shared" si="391"/>
        <v>0</v>
      </c>
      <c r="K8223" s="369">
        <f t="shared" si="392"/>
        <v>6</v>
      </c>
      <c r="L8223" s="369">
        <f>+IF((C8223&gt;='Resultats - informe'!$E$16)*(C8223&lt;='Resultats - informe'!$G$16),1,0)</f>
        <v>1</v>
      </c>
      <c r="M8223" s="369" cm="1">
        <f t="array" ref="M8223">+_xlfn.IFS((C8223&gt;='Resultats - informe'!$D$26)*(C8223&lt;='Resultats - informe'!$E$26),0,(C8223&gt;='Resultats - informe'!$D$27)*(C8223&lt;='Resultats - informe'!$E$27),0,(C8223&gt;='Resultats - informe'!$D$28)*(C8223&lt;='Resultats - informe'!$E$28),0,(C8223&gt;='Resultats - informe'!$D$29)*(C8223&lt;='Resultats - informe'!$E$29),0,1,1)</f>
        <v>0</v>
      </c>
      <c r="N8223" s="366">
        <f>+VLOOKUP(D8223,'Resultats - informe'!$Y$18:$AG$42,'Introducció dades consum'!K8223+1,0)</f>
        <v>0</v>
      </c>
      <c r="O8223" s="370" cm="1">
        <f t="array" ref="O8223">+_xlfn.SWITCH(MONTH(C8223),1,1,2,1,3,1,4,2,5,2,6,3,7,3,8,3,9,3,10,2,11,2,12,1,2)</f>
        <v>1</v>
      </c>
      <c r="P8223" s="43"/>
    </row>
    <row r="8224" spans="1:16" ht="18" x14ac:dyDescent="0.35">
      <c r="A8224" s="9"/>
      <c r="C8224" s="393"/>
      <c r="E8224" s="394"/>
      <c r="F8224" s="394"/>
      <c r="G8224" s="394"/>
      <c r="I8224" s="368">
        <f t="shared" si="390"/>
        <v>0</v>
      </c>
      <c r="J8224" s="365">
        <f t="shared" si="391"/>
        <v>0</v>
      </c>
      <c r="K8224" s="369">
        <f t="shared" si="392"/>
        <v>6</v>
      </c>
      <c r="L8224" s="369">
        <f>+IF((C8224&gt;='Resultats - informe'!$E$16)*(C8224&lt;='Resultats - informe'!$G$16),1,0)</f>
        <v>1</v>
      </c>
      <c r="M8224" s="369" cm="1">
        <f t="array" ref="M8224">+_xlfn.IFS((C8224&gt;='Resultats - informe'!$D$26)*(C8224&lt;='Resultats - informe'!$E$26),0,(C8224&gt;='Resultats - informe'!$D$27)*(C8224&lt;='Resultats - informe'!$E$27),0,(C8224&gt;='Resultats - informe'!$D$28)*(C8224&lt;='Resultats - informe'!$E$28),0,(C8224&gt;='Resultats - informe'!$D$29)*(C8224&lt;='Resultats - informe'!$E$29),0,1,1)</f>
        <v>0</v>
      </c>
      <c r="N8224" s="366">
        <f>+VLOOKUP(D8224,'Resultats - informe'!$Y$18:$AG$42,'Introducció dades consum'!K8224+1,0)</f>
        <v>0</v>
      </c>
      <c r="O8224" s="370" cm="1">
        <f t="array" ref="O8224">+_xlfn.SWITCH(MONTH(C8224),1,1,2,1,3,1,4,2,5,2,6,3,7,3,8,3,9,3,10,2,11,2,12,1,2)</f>
        <v>1</v>
      </c>
      <c r="P8224" s="43"/>
    </row>
    <row r="8225" spans="1:16" ht="18" x14ac:dyDescent="0.35">
      <c r="A8225" s="9"/>
      <c r="C8225" s="393"/>
      <c r="E8225" s="394"/>
      <c r="F8225" s="394"/>
      <c r="G8225" s="394"/>
      <c r="I8225" s="368">
        <f t="shared" si="390"/>
        <v>0</v>
      </c>
      <c r="J8225" s="365">
        <f t="shared" si="391"/>
        <v>0</v>
      </c>
      <c r="K8225" s="369">
        <f t="shared" si="392"/>
        <v>6</v>
      </c>
      <c r="L8225" s="369">
        <f>+IF((C8225&gt;='Resultats - informe'!$E$16)*(C8225&lt;='Resultats - informe'!$G$16),1,0)</f>
        <v>1</v>
      </c>
      <c r="M8225" s="369" cm="1">
        <f t="array" ref="M8225">+_xlfn.IFS((C8225&gt;='Resultats - informe'!$D$26)*(C8225&lt;='Resultats - informe'!$E$26),0,(C8225&gt;='Resultats - informe'!$D$27)*(C8225&lt;='Resultats - informe'!$E$27),0,(C8225&gt;='Resultats - informe'!$D$28)*(C8225&lt;='Resultats - informe'!$E$28),0,(C8225&gt;='Resultats - informe'!$D$29)*(C8225&lt;='Resultats - informe'!$E$29),0,1,1)</f>
        <v>0</v>
      </c>
      <c r="N8225" s="366">
        <f>+VLOOKUP(D8225,'Resultats - informe'!$Y$18:$AG$42,'Introducció dades consum'!K8225+1,0)</f>
        <v>0</v>
      </c>
      <c r="O8225" s="370" cm="1">
        <f t="array" ref="O8225">+_xlfn.SWITCH(MONTH(C8225),1,1,2,1,3,1,4,2,5,2,6,3,7,3,8,3,9,3,10,2,11,2,12,1,2)</f>
        <v>1</v>
      </c>
      <c r="P8225" s="43"/>
    </row>
    <row r="8226" spans="1:16" ht="18" x14ac:dyDescent="0.35">
      <c r="A8226" s="9"/>
      <c r="C8226" s="393"/>
      <c r="E8226" s="394"/>
      <c r="F8226" s="394"/>
      <c r="G8226" s="394"/>
      <c r="I8226" s="368">
        <f t="shared" si="390"/>
        <v>0</v>
      </c>
      <c r="J8226" s="365">
        <f t="shared" si="391"/>
        <v>0</v>
      </c>
      <c r="K8226" s="369">
        <f t="shared" si="392"/>
        <v>6</v>
      </c>
      <c r="L8226" s="369">
        <f>+IF((C8226&gt;='Resultats - informe'!$E$16)*(C8226&lt;='Resultats - informe'!$G$16),1,0)</f>
        <v>1</v>
      </c>
      <c r="M8226" s="369" cm="1">
        <f t="array" ref="M8226">+_xlfn.IFS((C8226&gt;='Resultats - informe'!$D$26)*(C8226&lt;='Resultats - informe'!$E$26),0,(C8226&gt;='Resultats - informe'!$D$27)*(C8226&lt;='Resultats - informe'!$E$27),0,(C8226&gt;='Resultats - informe'!$D$28)*(C8226&lt;='Resultats - informe'!$E$28),0,(C8226&gt;='Resultats - informe'!$D$29)*(C8226&lt;='Resultats - informe'!$E$29),0,1,1)</f>
        <v>0</v>
      </c>
      <c r="N8226" s="366">
        <f>+VLOOKUP(D8226,'Resultats - informe'!$Y$18:$AG$42,'Introducció dades consum'!K8226+1,0)</f>
        <v>0</v>
      </c>
      <c r="O8226" s="370" cm="1">
        <f t="array" ref="O8226">+_xlfn.SWITCH(MONTH(C8226),1,1,2,1,3,1,4,2,5,2,6,3,7,3,8,3,9,3,10,2,11,2,12,1,2)</f>
        <v>1</v>
      </c>
      <c r="P8226" s="43"/>
    </row>
    <row r="8227" spans="1:16" ht="18" x14ac:dyDescent="0.35">
      <c r="A8227" s="9"/>
      <c r="C8227" s="393"/>
      <c r="E8227" s="394"/>
      <c r="F8227" s="394"/>
      <c r="G8227" s="394"/>
      <c r="I8227" s="368">
        <f t="shared" si="390"/>
        <v>0</v>
      </c>
      <c r="J8227" s="365">
        <f t="shared" si="391"/>
        <v>0</v>
      </c>
      <c r="K8227" s="369">
        <f t="shared" si="392"/>
        <v>6</v>
      </c>
      <c r="L8227" s="369">
        <f>+IF((C8227&gt;='Resultats - informe'!$E$16)*(C8227&lt;='Resultats - informe'!$G$16),1,0)</f>
        <v>1</v>
      </c>
      <c r="M8227" s="369" cm="1">
        <f t="array" ref="M8227">+_xlfn.IFS((C8227&gt;='Resultats - informe'!$D$26)*(C8227&lt;='Resultats - informe'!$E$26),0,(C8227&gt;='Resultats - informe'!$D$27)*(C8227&lt;='Resultats - informe'!$E$27),0,(C8227&gt;='Resultats - informe'!$D$28)*(C8227&lt;='Resultats - informe'!$E$28),0,(C8227&gt;='Resultats - informe'!$D$29)*(C8227&lt;='Resultats - informe'!$E$29),0,1,1)</f>
        <v>0</v>
      </c>
      <c r="N8227" s="366">
        <f>+VLOOKUP(D8227,'Resultats - informe'!$Y$18:$AG$42,'Introducció dades consum'!K8227+1,0)</f>
        <v>0</v>
      </c>
      <c r="O8227" s="370" cm="1">
        <f t="array" ref="O8227">+_xlfn.SWITCH(MONTH(C8227),1,1,2,1,3,1,4,2,5,2,6,3,7,3,8,3,9,3,10,2,11,2,12,1,2)</f>
        <v>1</v>
      </c>
      <c r="P8227" s="43"/>
    </row>
    <row r="8228" spans="1:16" ht="18" x14ac:dyDescent="0.35">
      <c r="A8228" s="9"/>
      <c r="C8228" s="393"/>
      <c r="E8228" s="394"/>
      <c r="F8228" s="394"/>
      <c r="G8228" s="394"/>
      <c r="I8228" s="368">
        <f t="shared" si="390"/>
        <v>0</v>
      </c>
      <c r="J8228" s="365">
        <f t="shared" si="391"/>
        <v>0</v>
      </c>
      <c r="K8228" s="369">
        <f t="shared" si="392"/>
        <v>6</v>
      </c>
      <c r="L8228" s="369">
        <f>+IF((C8228&gt;='Resultats - informe'!$E$16)*(C8228&lt;='Resultats - informe'!$G$16),1,0)</f>
        <v>1</v>
      </c>
      <c r="M8228" s="369" cm="1">
        <f t="array" ref="M8228">+_xlfn.IFS((C8228&gt;='Resultats - informe'!$D$26)*(C8228&lt;='Resultats - informe'!$E$26),0,(C8228&gt;='Resultats - informe'!$D$27)*(C8228&lt;='Resultats - informe'!$E$27),0,(C8228&gt;='Resultats - informe'!$D$28)*(C8228&lt;='Resultats - informe'!$E$28),0,(C8228&gt;='Resultats - informe'!$D$29)*(C8228&lt;='Resultats - informe'!$E$29),0,1,1)</f>
        <v>0</v>
      </c>
      <c r="N8228" s="366">
        <f>+VLOOKUP(D8228,'Resultats - informe'!$Y$18:$AG$42,'Introducció dades consum'!K8228+1,0)</f>
        <v>0</v>
      </c>
      <c r="O8228" s="370" cm="1">
        <f t="array" ref="O8228">+_xlfn.SWITCH(MONTH(C8228),1,1,2,1,3,1,4,2,5,2,6,3,7,3,8,3,9,3,10,2,11,2,12,1,2)</f>
        <v>1</v>
      </c>
      <c r="P8228" s="43"/>
    </row>
    <row r="8229" spans="1:16" ht="18" x14ac:dyDescent="0.35">
      <c r="A8229" s="9"/>
      <c r="C8229" s="393"/>
      <c r="E8229" s="394"/>
      <c r="F8229" s="394"/>
      <c r="G8229" s="394"/>
      <c r="I8229" s="368">
        <f t="shared" si="390"/>
        <v>0</v>
      </c>
      <c r="J8229" s="365">
        <f t="shared" si="391"/>
        <v>0</v>
      </c>
      <c r="K8229" s="369">
        <f t="shared" si="392"/>
        <v>6</v>
      </c>
      <c r="L8229" s="369">
        <f>+IF((C8229&gt;='Resultats - informe'!$E$16)*(C8229&lt;='Resultats - informe'!$G$16),1,0)</f>
        <v>1</v>
      </c>
      <c r="M8229" s="369" cm="1">
        <f t="array" ref="M8229">+_xlfn.IFS((C8229&gt;='Resultats - informe'!$D$26)*(C8229&lt;='Resultats - informe'!$E$26),0,(C8229&gt;='Resultats - informe'!$D$27)*(C8229&lt;='Resultats - informe'!$E$27),0,(C8229&gt;='Resultats - informe'!$D$28)*(C8229&lt;='Resultats - informe'!$E$28),0,(C8229&gt;='Resultats - informe'!$D$29)*(C8229&lt;='Resultats - informe'!$E$29),0,1,1)</f>
        <v>0</v>
      </c>
      <c r="N8229" s="366">
        <f>+VLOOKUP(D8229,'Resultats - informe'!$Y$18:$AG$42,'Introducció dades consum'!K8229+1,0)</f>
        <v>0</v>
      </c>
      <c r="O8229" s="370" cm="1">
        <f t="array" ref="O8229">+_xlfn.SWITCH(MONTH(C8229),1,1,2,1,3,1,4,2,5,2,6,3,7,3,8,3,9,3,10,2,11,2,12,1,2)</f>
        <v>1</v>
      </c>
      <c r="P8229" s="43"/>
    </row>
    <row r="8230" spans="1:16" ht="18" x14ac:dyDescent="0.35">
      <c r="A8230" s="9"/>
      <c r="C8230" s="393"/>
      <c r="E8230" s="394"/>
      <c r="F8230" s="394"/>
      <c r="G8230" s="394"/>
      <c r="I8230" s="368">
        <f t="shared" si="390"/>
        <v>0</v>
      </c>
      <c r="J8230" s="365">
        <f t="shared" si="391"/>
        <v>0</v>
      </c>
      <c r="K8230" s="369">
        <f t="shared" si="392"/>
        <v>6</v>
      </c>
      <c r="L8230" s="369">
        <f>+IF((C8230&gt;='Resultats - informe'!$E$16)*(C8230&lt;='Resultats - informe'!$G$16),1,0)</f>
        <v>1</v>
      </c>
      <c r="M8230" s="369" cm="1">
        <f t="array" ref="M8230">+_xlfn.IFS((C8230&gt;='Resultats - informe'!$D$26)*(C8230&lt;='Resultats - informe'!$E$26),0,(C8230&gt;='Resultats - informe'!$D$27)*(C8230&lt;='Resultats - informe'!$E$27),0,(C8230&gt;='Resultats - informe'!$D$28)*(C8230&lt;='Resultats - informe'!$E$28),0,(C8230&gt;='Resultats - informe'!$D$29)*(C8230&lt;='Resultats - informe'!$E$29),0,1,1)</f>
        <v>0</v>
      </c>
      <c r="N8230" s="366">
        <f>+VLOOKUP(D8230,'Resultats - informe'!$Y$18:$AG$42,'Introducció dades consum'!K8230+1,0)</f>
        <v>0</v>
      </c>
      <c r="O8230" s="370" cm="1">
        <f t="array" ref="O8230">+_xlfn.SWITCH(MONTH(C8230),1,1,2,1,3,1,4,2,5,2,6,3,7,3,8,3,9,3,10,2,11,2,12,1,2)</f>
        <v>1</v>
      </c>
      <c r="P8230" s="43"/>
    </row>
    <row r="8231" spans="1:16" ht="18" x14ac:dyDescent="0.35">
      <c r="A8231" s="9"/>
      <c r="C8231" s="393"/>
      <c r="E8231" s="394"/>
      <c r="F8231" s="394"/>
      <c r="G8231" s="394"/>
      <c r="I8231" s="368">
        <f t="shared" si="390"/>
        <v>0</v>
      </c>
      <c r="J8231" s="365">
        <f t="shared" si="391"/>
        <v>0</v>
      </c>
      <c r="K8231" s="369">
        <f t="shared" si="392"/>
        <v>6</v>
      </c>
      <c r="L8231" s="369">
        <f>+IF((C8231&gt;='Resultats - informe'!$E$16)*(C8231&lt;='Resultats - informe'!$G$16),1,0)</f>
        <v>1</v>
      </c>
      <c r="M8231" s="369" cm="1">
        <f t="array" ref="M8231">+_xlfn.IFS((C8231&gt;='Resultats - informe'!$D$26)*(C8231&lt;='Resultats - informe'!$E$26),0,(C8231&gt;='Resultats - informe'!$D$27)*(C8231&lt;='Resultats - informe'!$E$27),0,(C8231&gt;='Resultats - informe'!$D$28)*(C8231&lt;='Resultats - informe'!$E$28),0,(C8231&gt;='Resultats - informe'!$D$29)*(C8231&lt;='Resultats - informe'!$E$29),0,1,1)</f>
        <v>0</v>
      </c>
      <c r="N8231" s="366">
        <f>+VLOOKUP(D8231,'Resultats - informe'!$Y$18:$AG$42,'Introducció dades consum'!K8231+1,0)</f>
        <v>0</v>
      </c>
      <c r="O8231" s="370" cm="1">
        <f t="array" ref="O8231">+_xlfn.SWITCH(MONTH(C8231),1,1,2,1,3,1,4,2,5,2,6,3,7,3,8,3,9,3,10,2,11,2,12,1,2)</f>
        <v>1</v>
      </c>
      <c r="P8231" s="43"/>
    </row>
    <row r="8232" spans="1:16" ht="18" x14ac:dyDescent="0.35">
      <c r="A8232" s="9"/>
      <c r="C8232" s="393"/>
      <c r="E8232" s="394"/>
      <c r="F8232" s="394"/>
      <c r="G8232" s="394"/>
      <c r="I8232" s="368">
        <f t="shared" si="390"/>
        <v>0</v>
      </c>
      <c r="J8232" s="365">
        <f t="shared" si="391"/>
        <v>0</v>
      </c>
      <c r="K8232" s="369">
        <f t="shared" si="392"/>
        <v>6</v>
      </c>
      <c r="L8232" s="369">
        <f>+IF((C8232&gt;='Resultats - informe'!$E$16)*(C8232&lt;='Resultats - informe'!$G$16),1,0)</f>
        <v>1</v>
      </c>
      <c r="M8232" s="369" cm="1">
        <f t="array" ref="M8232">+_xlfn.IFS((C8232&gt;='Resultats - informe'!$D$26)*(C8232&lt;='Resultats - informe'!$E$26),0,(C8232&gt;='Resultats - informe'!$D$27)*(C8232&lt;='Resultats - informe'!$E$27),0,(C8232&gt;='Resultats - informe'!$D$28)*(C8232&lt;='Resultats - informe'!$E$28),0,(C8232&gt;='Resultats - informe'!$D$29)*(C8232&lt;='Resultats - informe'!$E$29),0,1,1)</f>
        <v>0</v>
      </c>
      <c r="N8232" s="366">
        <f>+VLOOKUP(D8232,'Resultats - informe'!$Y$18:$AG$42,'Introducció dades consum'!K8232+1,0)</f>
        <v>0</v>
      </c>
      <c r="O8232" s="370" cm="1">
        <f t="array" ref="O8232">+_xlfn.SWITCH(MONTH(C8232),1,1,2,1,3,1,4,2,5,2,6,3,7,3,8,3,9,3,10,2,11,2,12,1,2)</f>
        <v>1</v>
      </c>
      <c r="P8232" s="43"/>
    </row>
    <row r="8233" spans="1:16" ht="18" x14ac:dyDescent="0.35">
      <c r="A8233" s="9"/>
      <c r="C8233" s="393"/>
      <c r="E8233" s="394"/>
      <c r="F8233" s="394"/>
      <c r="G8233" s="394"/>
      <c r="I8233" s="368">
        <f t="shared" si="390"/>
        <v>0</v>
      </c>
      <c r="J8233" s="365">
        <f t="shared" si="391"/>
        <v>0</v>
      </c>
      <c r="K8233" s="369">
        <f t="shared" si="392"/>
        <v>6</v>
      </c>
      <c r="L8233" s="369">
        <f>+IF((C8233&gt;='Resultats - informe'!$E$16)*(C8233&lt;='Resultats - informe'!$G$16),1,0)</f>
        <v>1</v>
      </c>
      <c r="M8233" s="369" cm="1">
        <f t="array" ref="M8233">+_xlfn.IFS((C8233&gt;='Resultats - informe'!$D$26)*(C8233&lt;='Resultats - informe'!$E$26),0,(C8233&gt;='Resultats - informe'!$D$27)*(C8233&lt;='Resultats - informe'!$E$27),0,(C8233&gt;='Resultats - informe'!$D$28)*(C8233&lt;='Resultats - informe'!$E$28),0,(C8233&gt;='Resultats - informe'!$D$29)*(C8233&lt;='Resultats - informe'!$E$29),0,1,1)</f>
        <v>0</v>
      </c>
      <c r="N8233" s="366">
        <f>+VLOOKUP(D8233,'Resultats - informe'!$Y$18:$AG$42,'Introducció dades consum'!K8233+1,0)</f>
        <v>0</v>
      </c>
      <c r="O8233" s="370" cm="1">
        <f t="array" ref="O8233">+_xlfn.SWITCH(MONTH(C8233),1,1,2,1,3,1,4,2,5,2,6,3,7,3,8,3,9,3,10,2,11,2,12,1,2)</f>
        <v>1</v>
      </c>
      <c r="P8233" s="43"/>
    </row>
    <row r="8234" spans="1:16" ht="18" x14ac:dyDescent="0.35">
      <c r="A8234" s="9"/>
      <c r="C8234" s="393"/>
      <c r="E8234" s="394"/>
      <c r="F8234" s="394"/>
      <c r="G8234" s="394"/>
      <c r="I8234" s="368">
        <f t="shared" si="390"/>
        <v>0</v>
      </c>
      <c r="J8234" s="365">
        <f t="shared" si="391"/>
        <v>0</v>
      </c>
      <c r="K8234" s="369">
        <f t="shared" si="392"/>
        <v>6</v>
      </c>
      <c r="L8234" s="369">
        <f>+IF((C8234&gt;='Resultats - informe'!$E$16)*(C8234&lt;='Resultats - informe'!$G$16),1,0)</f>
        <v>1</v>
      </c>
      <c r="M8234" s="369" cm="1">
        <f t="array" ref="M8234">+_xlfn.IFS((C8234&gt;='Resultats - informe'!$D$26)*(C8234&lt;='Resultats - informe'!$E$26),0,(C8234&gt;='Resultats - informe'!$D$27)*(C8234&lt;='Resultats - informe'!$E$27),0,(C8234&gt;='Resultats - informe'!$D$28)*(C8234&lt;='Resultats - informe'!$E$28),0,(C8234&gt;='Resultats - informe'!$D$29)*(C8234&lt;='Resultats - informe'!$E$29),0,1,1)</f>
        <v>0</v>
      </c>
      <c r="N8234" s="366">
        <f>+VLOOKUP(D8234,'Resultats - informe'!$Y$18:$AG$42,'Introducció dades consum'!K8234+1,0)</f>
        <v>0</v>
      </c>
      <c r="O8234" s="370" cm="1">
        <f t="array" ref="O8234">+_xlfn.SWITCH(MONTH(C8234),1,1,2,1,3,1,4,2,5,2,6,3,7,3,8,3,9,3,10,2,11,2,12,1,2)</f>
        <v>1</v>
      </c>
      <c r="P8234" s="43"/>
    </row>
    <row r="8235" spans="1:16" ht="18" x14ac:dyDescent="0.35">
      <c r="A8235" s="9"/>
      <c r="C8235" s="393"/>
      <c r="E8235" s="394"/>
      <c r="F8235" s="394"/>
      <c r="G8235" s="394"/>
      <c r="I8235" s="368">
        <f t="shared" si="390"/>
        <v>0</v>
      </c>
      <c r="J8235" s="365">
        <f t="shared" si="391"/>
        <v>0</v>
      </c>
      <c r="K8235" s="369">
        <f t="shared" si="392"/>
        <v>6</v>
      </c>
      <c r="L8235" s="369">
        <f>+IF((C8235&gt;='Resultats - informe'!$E$16)*(C8235&lt;='Resultats - informe'!$G$16),1,0)</f>
        <v>1</v>
      </c>
      <c r="M8235" s="369" cm="1">
        <f t="array" ref="M8235">+_xlfn.IFS((C8235&gt;='Resultats - informe'!$D$26)*(C8235&lt;='Resultats - informe'!$E$26),0,(C8235&gt;='Resultats - informe'!$D$27)*(C8235&lt;='Resultats - informe'!$E$27),0,(C8235&gt;='Resultats - informe'!$D$28)*(C8235&lt;='Resultats - informe'!$E$28),0,(C8235&gt;='Resultats - informe'!$D$29)*(C8235&lt;='Resultats - informe'!$E$29),0,1,1)</f>
        <v>0</v>
      </c>
      <c r="N8235" s="366">
        <f>+VLOOKUP(D8235,'Resultats - informe'!$Y$18:$AG$42,'Introducció dades consum'!K8235+1,0)</f>
        <v>0</v>
      </c>
      <c r="O8235" s="370" cm="1">
        <f t="array" ref="O8235">+_xlfn.SWITCH(MONTH(C8235),1,1,2,1,3,1,4,2,5,2,6,3,7,3,8,3,9,3,10,2,11,2,12,1,2)</f>
        <v>1</v>
      </c>
      <c r="P8235" s="43"/>
    </row>
    <row r="8236" spans="1:16" ht="18" x14ac:dyDescent="0.35">
      <c r="A8236" s="9"/>
      <c r="C8236" s="393"/>
      <c r="E8236" s="394"/>
      <c r="F8236" s="394"/>
      <c r="G8236" s="394"/>
      <c r="I8236" s="368">
        <f t="shared" si="390"/>
        <v>0</v>
      </c>
      <c r="J8236" s="365">
        <f t="shared" si="391"/>
        <v>0</v>
      </c>
      <c r="K8236" s="369">
        <f t="shared" si="392"/>
        <v>6</v>
      </c>
      <c r="L8236" s="369">
        <f>+IF((C8236&gt;='Resultats - informe'!$E$16)*(C8236&lt;='Resultats - informe'!$G$16),1,0)</f>
        <v>1</v>
      </c>
      <c r="M8236" s="369" cm="1">
        <f t="array" ref="M8236">+_xlfn.IFS((C8236&gt;='Resultats - informe'!$D$26)*(C8236&lt;='Resultats - informe'!$E$26),0,(C8236&gt;='Resultats - informe'!$D$27)*(C8236&lt;='Resultats - informe'!$E$27),0,(C8236&gt;='Resultats - informe'!$D$28)*(C8236&lt;='Resultats - informe'!$E$28),0,(C8236&gt;='Resultats - informe'!$D$29)*(C8236&lt;='Resultats - informe'!$E$29),0,1,1)</f>
        <v>0</v>
      </c>
      <c r="N8236" s="366">
        <f>+VLOOKUP(D8236,'Resultats - informe'!$Y$18:$AG$42,'Introducció dades consum'!K8236+1,0)</f>
        <v>0</v>
      </c>
      <c r="O8236" s="370" cm="1">
        <f t="array" ref="O8236">+_xlfn.SWITCH(MONTH(C8236),1,1,2,1,3,1,4,2,5,2,6,3,7,3,8,3,9,3,10,2,11,2,12,1,2)</f>
        <v>1</v>
      </c>
      <c r="P8236" s="43"/>
    </row>
    <row r="8237" spans="1:16" ht="18" x14ac:dyDescent="0.35">
      <c r="A8237" s="9"/>
      <c r="C8237" s="393"/>
      <c r="E8237" s="394"/>
      <c r="F8237" s="394"/>
      <c r="G8237" s="394"/>
      <c r="I8237" s="368">
        <f t="shared" si="390"/>
        <v>0</v>
      </c>
      <c r="J8237" s="365">
        <f t="shared" si="391"/>
        <v>0</v>
      </c>
      <c r="K8237" s="369">
        <f t="shared" si="392"/>
        <v>6</v>
      </c>
      <c r="L8237" s="369">
        <f>+IF((C8237&gt;='Resultats - informe'!$E$16)*(C8237&lt;='Resultats - informe'!$G$16),1,0)</f>
        <v>1</v>
      </c>
      <c r="M8237" s="369" cm="1">
        <f t="array" ref="M8237">+_xlfn.IFS((C8237&gt;='Resultats - informe'!$D$26)*(C8237&lt;='Resultats - informe'!$E$26),0,(C8237&gt;='Resultats - informe'!$D$27)*(C8237&lt;='Resultats - informe'!$E$27),0,(C8237&gt;='Resultats - informe'!$D$28)*(C8237&lt;='Resultats - informe'!$E$28),0,(C8237&gt;='Resultats - informe'!$D$29)*(C8237&lt;='Resultats - informe'!$E$29),0,1,1)</f>
        <v>0</v>
      </c>
      <c r="N8237" s="366">
        <f>+VLOOKUP(D8237,'Resultats - informe'!$Y$18:$AG$42,'Introducció dades consum'!K8237+1,0)</f>
        <v>0</v>
      </c>
      <c r="O8237" s="370" cm="1">
        <f t="array" ref="O8237">+_xlfn.SWITCH(MONTH(C8237),1,1,2,1,3,1,4,2,5,2,6,3,7,3,8,3,9,3,10,2,11,2,12,1,2)</f>
        <v>1</v>
      </c>
      <c r="P8237" s="43"/>
    </row>
    <row r="8238" spans="1:16" ht="18" x14ac:dyDescent="0.35">
      <c r="A8238" s="9"/>
      <c r="C8238" s="393"/>
      <c r="E8238" s="394"/>
      <c r="F8238" s="394"/>
      <c r="G8238" s="394"/>
      <c r="I8238" s="368">
        <f t="shared" si="390"/>
        <v>0</v>
      </c>
      <c r="J8238" s="365">
        <f t="shared" si="391"/>
        <v>0</v>
      </c>
      <c r="K8238" s="369">
        <f t="shared" si="392"/>
        <v>6</v>
      </c>
      <c r="L8238" s="369">
        <f>+IF((C8238&gt;='Resultats - informe'!$E$16)*(C8238&lt;='Resultats - informe'!$G$16),1,0)</f>
        <v>1</v>
      </c>
      <c r="M8238" s="369" cm="1">
        <f t="array" ref="M8238">+_xlfn.IFS((C8238&gt;='Resultats - informe'!$D$26)*(C8238&lt;='Resultats - informe'!$E$26),0,(C8238&gt;='Resultats - informe'!$D$27)*(C8238&lt;='Resultats - informe'!$E$27),0,(C8238&gt;='Resultats - informe'!$D$28)*(C8238&lt;='Resultats - informe'!$E$28),0,(C8238&gt;='Resultats - informe'!$D$29)*(C8238&lt;='Resultats - informe'!$E$29),0,1,1)</f>
        <v>0</v>
      </c>
      <c r="N8238" s="366">
        <f>+VLOOKUP(D8238,'Resultats - informe'!$Y$18:$AG$42,'Introducció dades consum'!K8238+1,0)</f>
        <v>0</v>
      </c>
      <c r="O8238" s="370" cm="1">
        <f t="array" ref="O8238">+_xlfn.SWITCH(MONTH(C8238),1,1,2,1,3,1,4,2,5,2,6,3,7,3,8,3,9,3,10,2,11,2,12,1,2)</f>
        <v>1</v>
      </c>
      <c r="P8238" s="43"/>
    </row>
    <row r="8239" spans="1:16" ht="18" x14ac:dyDescent="0.35">
      <c r="A8239" s="9"/>
      <c r="C8239" s="393"/>
      <c r="E8239" s="394"/>
      <c r="F8239" s="394"/>
      <c r="G8239" s="394"/>
      <c r="I8239" s="368">
        <f t="shared" si="390"/>
        <v>0</v>
      </c>
      <c r="J8239" s="365">
        <f t="shared" si="391"/>
        <v>0</v>
      </c>
      <c r="K8239" s="369">
        <f t="shared" si="392"/>
        <v>6</v>
      </c>
      <c r="L8239" s="369">
        <f>+IF((C8239&gt;='Resultats - informe'!$E$16)*(C8239&lt;='Resultats - informe'!$G$16),1,0)</f>
        <v>1</v>
      </c>
      <c r="M8239" s="369" cm="1">
        <f t="array" ref="M8239">+_xlfn.IFS((C8239&gt;='Resultats - informe'!$D$26)*(C8239&lt;='Resultats - informe'!$E$26),0,(C8239&gt;='Resultats - informe'!$D$27)*(C8239&lt;='Resultats - informe'!$E$27),0,(C8239&gt;='Resultats - informe'!$D$28)*(C8239&lt;='Resultats - informe'!$E$28),0,(C8239&gt;='Resultats - informe'!$D$29)*(C8239&lt;='Resultats - informe'!$E$29),0,1,1)</f>
        <v>0</v>
      </c>
      <c r="N8239" s="366">
        <f>+VLOOKUP(D8239,'Resultats - informe'!$Y$18:$AG$42,'Introducció dades consum'!K8239+1,0)</f>
        <v>0</v>
      </c>
      <c r="O8239" s="370" cm="1">
        <f t="array" ref="O8239">+_xlfn.SWITCH(MONTH(C8239),1,1,2,1,3,1,4,2,5,2,6,3,7,3,8,3,9,3,10,2,11,2,12,1,2)</f>
        <v>1</v>
      </c>
      <c r="P8239" s="43"/>
    </row>
    <row r="8240" spans="1:16" ht="18" x14ac:dyDescent="0.35">
      <c r="A8240" s="9"/>
      <c r="C8240" s="393"/>
      <c r="E8240" s="394"/>
      <c r="F8240" s="394"/>
      <c r="G8240" s="394"/>
      <c r="I8240" s="368">
        <f t="shared" si="390"/>
        <v>0</v>
      </c>
      <c r="J8240" s="365">
        <f t="shared" si="391"/>
        <v>0</v>
      </c>
      <c r="K8240" s="369">
        <f t="shared" si="392"/>
        <v>6</v>
      </c>
      <c r="L8240" s="369">
        <f>+IF((C8240&gt;='Resultats - informe'!$E$16)*(C8240&lt;='Resultats - informe'!$G$16),1,0)</f>
        <v>1</v>
      </c>
      <c r="M8240" s="369" cm="1">
        <f t="array" ref="M8240">+_xlfn.IFS((C8240&gt;='Resultats - informe'!$D$26)*(C8240&lt;='Resultats - informe'!$E$26),0,(C8240&gt;='Resultats - informe'!$D$27)*(C8240&lt;='Resultats - informe'!$E$27),0,(C8240&gt;='Resultats - informe'!$D$28)*(C8240&lt;='Resultats - informe'!$E$28),0,(C8240&gt;='Resultats - informe'!$D$29)*(C8240&lt;='Resultats - informe'!$E$29),0,1,1)</f>
        <v>0</v>
      </c>
      <c r="N8240" s="366">
        <f>+VLOOKUP(D8240,'Resultats - informe'!$Y$18:$AG$42,'Introducció dades consum'!K8240+1,0)</f>
        <v>0</v>
      </c>
      <c r="O8240" s="370" cm="1">
        <f t="array" ref="O8240">+_xlfn.SWITCH(MONTH(C8240),1,1,2,1,3,1,4,2,5,2,6,3,7,3,8,3,9,3,10,2,11,2,12,1,2)</f>
        <v>1</v>
      </c>
      <c r="P8240" s="43"/>
    </row>
    <row r="8241" spans="1:16" ht="18" x14ac:dyDescent="0.35">
      <c r="A8241" s="9"/>
      <c r="C8241" s="393"/>
      <c r="E8241" s="394"/>
      <c r="F8241" s="394"/>
      <c r="G8241" s="394"/>
      <c r="I8241" s="368">
        <f t="shared" si="390"/>
        <v>0</v>
      </c>
      <c r="J8241" s="365">
        <f t="shared" si="391"/>
        <v>0</v>
      </c>
      <c r="K8241" s="369">
        <f t="shared" si="392"/>
        <v>6</v>
      </c>
      <c r="L8241" s="369">
        <f>+IF((C8241&gt;='Resultats - informe'!$E$16)*(C8241&lt;='Resultats - informe'!$G$16),1,0)</f>
        <v>1</v>
      </c>
      <c r="M8241" s="369" cm="1">
        <f t="array" ref="M8241">+_xlfn.IFS((C8241&gt;='Resultats - informe'!$D$26)*(C8241&lt;='Resultats - informe'!$E$26),0,(C8241&gt;='Resultats - informe'!$D$27)*(C8241&lt;='Resultats - informe'!$E$27),0,(C8241&gt;='Resultats - informe'!$D$28)*(C8241&lt;='Resultats - informe'!$E$28),0,(C8241&gt;='Resultats - informe'!$D$29)*(C8241&lt;='Resultats - informe'!$E$29),0,1,1)</f>
        <v>0</v>
      </c>
      <c r="N8241" s="366">
        <f>+VLOOKUP(D8241,'Resultats - informe'!$Y$18:$AG$42,'Introducció dades consum'!K8241+1,0)</f>
        <v>0</v>
      </c>
      <c r="O8241" s="370" cm="1">
        <f t="array" ref="O8241">+_xlfn.SWITCH(MONTH(C8241),1,1,2,1,3,1,4,2,5,2,6,3,7,3,8,3,9,3,10,2,11,2,12,1,2)</f>
        <v>1</v>
      </c>
      <c r="P8241" s="43"/>
    </row>
    <row r="8242" spans="1:16" ht="18" x14ac:dyDescent="0.35">
      <c r="A8242" s="9"/>
      <c r="C8242" s="393"/>
      <c r="E8242" s="394"/>
      <c r="F8242" s="394"/>
      <c r="G8242" s="394"/>
      <c r="I8242" s="368">
        <f t="shared" si="390"/>
        <v>0</v>
      </c>
      <c r="J8242" s="365">
        <f t="shared" si="391"/>
        <v>0</v>
      </c>
      <c r="K8242" s="369">
        <f t="shared" si="392"/>
        <v>6</v>
      </c>
      <c r="L8242" s="369">
        <f>+IF((C8242&gt;='Resultats - informe'!$E$16)*(C8242&lt;='Resultats - informe'!$G$16),1,0)</f>
        <v>1</v>
      </c>
      <c r="M8242" s="369" cm="1">
        <f t="array" ref="M8242">+_xlfn.IFS((C8242&gt;='Resultats - informe'!$D$26)*(C8242&lt;='Resultats - informe'!$E$26),0,(C8242&gt;='Resultats - informe'!$D$27)*(C8242&lt;='Resultats - informe'!$E$27),0,(C8242&gt;='Resultats - informe'!$D$28)*(C8242&lt;='Resultats - informe'!$E$28),0,(C8242&gt;='Resultats - informe'!$D$29)*(C8242&lt;='Resultats - informe'!$E$29),0,1,1)</f>
        <v>0</v>
      </c>
      <c r="N8242" s="366">
        <f>+VLOOKUP(D8242,'Resultats - informe'!$Y$18:$AG$42,'Introducció dades consum'!K8242+1,0)</f>
        <v>0</v>
      </c>
      <c r="O8242" s="370" cm="1">
        <f t="array" ref="O8242">+_xlfn.SWITCH(MONTH(C8242),1,1,2,1,3,1,4,2,5,2,6,3,7,3,8,3,9,3,10,2,11,2,12,1,2)</f>
        <v>1</v>
      </c>
      <c r="P8242" s="43"/>
    </row>
    <row r="8243" spans="1:16" ht="18" x14ac:dyDescent="0.35">
      <c r="A8243" s="9"/>
      <c r="C8243" s="393"/>
      <c r="E8243" s="394"/>
      <c r="F8243" s="394"/>
      <c r="G8243" s="394"/>
      <c r="I8243" s="368">
        <f t="shared" si="390"/>
        <v>0</v>
      </c>
      <c r="J8243" s="365">
        <f t="shared" si="391"/>
        <v>0</v>
      </c>
      <c r="K8243" s="369">
        <f t="shared" si="392"/>
        <v>6</v>
      </c>
      <c r="L8243" s="369">
        <f>+IF((C8243&gt;='Resultats - informe'!$E$16)*(C8243&lt;='Resultats - informe'!$G$16),1,0)</f>
        <v>1</v>
      </c>
      <c r="M8243" s="369" cm="1">
        <f t="array" ref="M8243">+_xlfn.IFS((C8243&gt;='Resultats - informe'!$D$26)*(C8243&lt;='Resultats - informe'!$E$26),0,(C8243&gt;='Resultats - informe'!$D$27)*(C8243&lt;='Resultats - informe'!$E$27),0,(C8243&gt;='Resultats - informe'!$D$28)*(C8243&lt;='Resultats - informe'!$E$28),0,(C8243&gt;='Resultats - informe'!$D$29)*(C8243&lt;='Resultats - informe'!$E$29),0,1,1)</f>
        <v>0</v>
      </c>
      <c r="N8243" s="366">
        <f>+VLOOKUP(D8243,'Resultats - informe'!$Y$18:$AG$42,'Introducció dades consum'!K8243+1,0)</f>
        <v>0</v>
      </c>
      <c r="O8243" s="370" cm="1">
        <f t="array" ref="O8243">+_xlfn.SWITCH(MONTH(C8243),1,1,2,1,3,1,4,2,5,2,6,3,7,3,8,3,9,3,10,2,11,2,12,1,2)</f>
        <v>1</v>
      </c>
      <c r="P8243" s="43"/>
    </row>
    <row r="8244" spans="1:16" ht="18" x14ac:dyDescent="0.35">
      <c r="A8244" s="9"/>
      <c r="C8244" s="393"/>
      <c r="E8244" s="394"/>
      <c r="F8244" s="394"/>
      <c r="G8244" s="394"/>
      <c r="I8244" s="368">
        <f t="shared" si="390"/>
        <v>0</v>
      </c>
      <c r="J8244" s="365">
        <f t="shared" si="391"/>
        <v>0</v>
      </c>
      <c r="K8244" s="369">
        <f t="shared" si="392"/>
        <v>6</v>
      </c>
      <c r="L8244" s="369">
        <f>+IF((C8244&gt;='Resultats - informe'!$E$16)*(C8244&lt;='Resultats - informe'!$G$16),1,0)</f>
        <v>1</v>
      </c>
      <c r="M8244" s="369" cm="1">
        <f t="array" ref="M8244">+_xlfn.IFS((C8244&gt;='Resultats - informe'!$D$26)*(C8244&lt;='Resultats - informe'!$E$26),0,(C8244&gt;='Resultats - informe'!$D$27)*(C8244&lt;='Resultats - informe'!$E$27),0,(C8244&gt;='Resultats - informe'!$D$28)*(C8244&lt;='Resultats - informe'!$E$28),0,(C8244&gt;='Resultats - informe'!$D$29)*(C8244&lt;='Resultats - informe'!$E$29),0,1,1)</f>
        <v>0</v>
      </c>
      <c r="N8244" s="366">
        <f>+VLOOKUP(D8244,'Resultats - informe'!$Y$18:$AG$42,'Introducció dades consum'!K8244+1,0)</f>
        <v>0</v>
      </c>
      <c r="O8244" s="370" cm="1">
        <f t="array" ref="O8244">+_xlfn.SWITCH(MONTH(C8244),1,1,2,1,3,1,4,2,5,2,6,3,7,3,8,3,9,3,10,2,11,2,12,1,2)</f>
        <v>1</v>
      </c>
      <c r="P8244" s="43"/>
    </row>
    <row r="8245" spans="1:16" ht="18" x14ac:dyDescent="0.35">
      <c r="A8245" s="9"/>
      <c r="C8245" s="393"/>
      <c r="E8245" s="394"/>
      <c r="F8245" s="394"/>
      <c r="G8245" s="394"/>
      <c r="I8245" s="368">
        <f t="shared" si="390"/>
        <v>0</v>
      </c>
      <c r="J8245" s="365">
        <f t="shared" si="391"/>
        <v>0</v>
      </c>
      <c r="K8245" s="369">
        <f t="shared" si="392"/>
        <v>6</v>
      </c>
      <c r="L8245" s="369">
        <f>+IF((C8245&gt;='Resultats - informe'!$E$16)*(C8245&lt;='Resultats - informe'!$G$16),1,0)</f>
        <v>1</v>
      </c>
      <c r="M8245" s="369" cm="1">
        <f t="array" ref="M8245">+_xlfn.IFS((C8245&gt;='Resultats - informe'!$D$26)*(C8245&lt;='Resultats - informe'!$E$26),0,(C8245&gt;='Resultats - informe'!$D$27)*(C8245&lt;='Resultats - informe'!$E$27),0,(C8245&gt;='Resultats - informe'!$D$28)*(C8245&lt;='Resultats - informe'!$E$28),0,(C8245&gt;='Resultats - informe'!$D$29)*(C8245&lt;='Resultats - informe'!$E$29),0,1,1)</f>
        <v>0</v>
      </c>
      <c r="N8245" s="366">
        <f>+VLOOKUP(D8245,'Resultats - informe'!$Y$18:$AG$42,'Introducció dades consum'!K8245+1,0)</f>
        <v>0</v>
      </c>
      <c r="O8245" s="370" cm="1">
        <f t="array" ref="O8245">+_xlfn.SWITCH(MONTH(C8245),1,1,2,1,3,1,4,2,5,2,6,3,7,3,8,3,9,3,10,2,11,2,12,1,2)</f>
        <v>1</v>
      </c>
      <c r="P8245" s="43"/>
    </row>
    <row r="8246" spans="1:16" ht="18" x14ac:dyDescent="0.35">
      <c r="A8246" s="9"/>
      <c r="C8246" s="393"/>
      <c r="E8246" s="394"/>
      <c r="F8246" s="394"/>
      <c r="G8246" s="394"/>
      <c r="I8246" s="368">
        <f t="shared" si="390"/>
        <v>0</v>
      </c>
      <c r="J8246" s="365">
        <f t="shared" si="391"/>
        <v>0</v>
      </c>
      <c r="K8246" s="369">
        <f t="shared" si="392"/>
        <v>6</v>
      </c>
      <c r="L8246" s="369">
        <f>+IF((C8246&gt;='Resultats - informe'!$E$16)*(C8246&lt;='Resultats - informe'!$G$16),1,0)</f>
        <v>1</v>
      </c>
      <c r="M8246" s="369" cm="1">
        <f t="array" ref="M8246">+_xlfn.IFS((C8246&gt;='Resultats - informe'!$D$26)*(C8246&lt;='Resultats - informe'!$E$26),0,(C8246&gt;='Resultats - informe'!$D$27)*(C8246&lt;='Resultats - informe'!$E$27),0,(C8246&gt;='Resultats - informe'!$D$28)*(C8246&lt;='Resultats - informe'!$E$28),0,(C8246&gt;='Resultats - informe'!$D$29)*(C8246&lt;='Resultats - informe'!$E$29),0,1,1)</f>
        <v>0</v>
      </c>
      <c r="N8246" s="366">
        <f>+VLOOKUP(D8246,'Resultats - informe'!$Y$18:$AG$42,'Introducció dades consum'!K8246+1,0)</f>
        <v>0</v>
      </c>
      <c r="O8246" s="370" cm="1">
        <f t="array" ref="O8246">+_xlfn.SWITCH(MONTH(C8246),1,1,2,1,3,1,4,2,5,2,6,3,7,3,8,3,9,3,10,2,11,2,12,1,2)</f>
        <v>1</v>
      </c>
      <c r="P8246" s="43"/>
    </row>
    <row r="8247" spans="1:16" ht="18" x14ac:dyDescent="0.35">
      <c r="A8247" s="9"/>
      <c r="C8247" s="393"/>
      <c r="E8247" s="394"/>
      <c r="F8247" s="394"/>
      <c r="G8247" s="394"/>
      <c r="I8247" s="368">
        <f t="shared" si="390"/>
        <v>0</v>
      </c>
      <c r="J8247" s="365">
        <f t="shared" si="391"/>
        <v>0</v>
      </c>
      <c r="K8247" s="369">
        <f t="shared" si="392"/>
        <v>6</v>
      </c>
      <c r="L8247" s="369">
        <f>+IF((C8247&gt;='Resultats - informe'!$E$16)*(C8247&lt;='Resultats - informe'!$G$16),1,0)</f>
        <v>1</v>
      </c>
      <c r="M8247" s="369" cm="1">
        <f t="array" ref="M8247">+_xlfn.IFS((C8247&gt;='Resultats - informe'!$D$26)*(C8247&lt;='Resultats - informe'!$E$26),0,(C8247&gt;='Resultats - informe'!$D$27)*(C8247&lt;='Resultats - informe'!$E$27),0,(C8247&gt;='Resultats - informe'!$D$28)*(C8247&lt;='Resultats - informe'!$E$28),0,(C8247&gt;='Resultats - informe'!$D$29)*(C8247&lt;='Resultats - informe'!$E$29),0,1,1)</f>
        <v>0</v>
      </c>
      <c r="N8247" s="366">
        <f>+VLOOKUP(D8247,'Resultats - informe'!$Y$18:$AG$42,'Introducció dades consum'!K8247+1,0)</f>
        <v>0</v>
      </c>
      <c r="O8247" s="370" cm="1">
        <f t="array" ref="O8247">+_xlfn.SWITCH(MONTH(C8247),1,1,2,1,3,1,4,2,5,2,6,3,7,3,8,3,9,3,10,2,11,2,12,1,2)</f>
        <v>1</v>
      </c>
      <c r="P8247" s="43"/>
    </row>
    <row r="8248" spans="1:16" ht="18" x14ac:dyDescent="0.35">
      <c r="A8248" s="9"/>
      <c r="C8248" s="393"/>
      <c r="E8248" s="394"/>
      <c r="F8248" s="394"/>
      <c r="G8248" s="394"/>
      <c r="I8248" s="368">
        <f t="shared" si="390"/>
        <v>0</v>
      </c>
      <c r="J8248" s="365">
        <f t="shared" si="391"/>
        <v>0</v>
      </c>
      <c r="K8248" s="369">
        <f t="shared" si="392"/>
        <v>6</v>
      </c>
      <c r="L8248" s="369">
        <f>+IF((C8248&gt;='Resultats - informe'!$E$16)*(C8248&lt;='Resultats - informe'!$G$16),1,0)</f>
        <v>1</v>
      </c>
      <c r="M8248" s="369" cm="1">
        <f t="array" ref="M8248">+_xlfn.IFS((C8248&gt;='Resultats - informe'!$D$26)*(C8248&lt;='Resultats - informe'!$E$26),0,(C8248&gt;='Resultats - informe'!$D$27)*(C8248&lt;='Resultats - informe'!$E$27),0,(C8248&gt;='Resultats - informe'!$D$28)*(C8248&lt;='Resultats - informe'!$E$28),0,(C8248&gt;='Resultats - informe'!$D$29)*(C8248&lt;='Resultats - informe'!$E$29),0,1,1)</f>
        <v>0</v>
      </c>
      <c r="N8248" s="366">
        <f>+VLOOKUP(D8248,'Resultats - informe'!$Y$18:$AG$42,'Introducció dades consum'!K8248+1,0)</f>
        <v>0</v>
      </c>
      <c r="O8248" s="370" cm="1">
        <f t="array" ref="O8248">+_xlfn.SWITCH(MONTH(C8248),1,1,2,1,3,1,4,2,5,2,6,3,7,3,8,3,9,3,10,2,11,2,12,1,2)</f>
        <v>1</v>
      </c>
      <c r="P8248" s="43"/>
    </row>
    <row r="8249" spans="1:16" ht="18" x14ac:dyDescent="0.35">
      <c r="A8249" s="9"/>
      <c r="C8249" s="393"/>
      <c r="E8249" s="394"/>
      <c r="F8249" s="394"/>
      <c r="G8249" s="394"/>
      <c r="I8249" s="368">
        <f t="shared" si="390"/>
        <v>0</v>
      </c>
      <c r="J8249" s="365">
        <f t="shared" si="391"/>
        <v>0</v>
      </c>
      <c r="K8249" s="369">
        <f t="shared" si="392"/>
        <v>6</v>
      </c>
      <c r="L8249" s="369">
        <f>+IF((C8249&gt;='Resultats - informe'!$E$16)*(C8249&lt;='Resultats - informe'!$G$16),1,0)</f>
        <v>1</v>
      </c>
      <c r="M8249" s="369" cm="1">
        <f t="array" ref="M8249">+_xlfn.IFS((C8249&gt;='Resultats - informe'!$D$26)*(C8249&lt;='Resultats - informe'!$E$26),0,(C8249&gt;='Resultats - informe'!$D$27)*(C8249&lt;='Resultats - informe'!$E$27),0,(C8249&gt;='Resultats - informe'!$D$28)*(C8249&lt;='Resultats - informe'!$E$28),0,(C8249&gt;='Resultats - informe'!$D$29)*(C8249&lt;='Resultats - informe'!$E$29),0,1,1)</f>
        <v>0</v>
      </c>
      <c r="N8249" s="366">
        <f>+VLOOKUP(D8249,'Resultats - informe'!$Y$18:$AG$42,'Introducció dades consum'!K8249+1,0)</f>
        <v>0</v>
      </c>
      <c r="O8249" s="370" cm="1">
        <f t="array" ref="O8249">+_xlfn.SWITCH(MONTH(C8249),1,1,2,1,3,1,4,2,5,2,6,3,7,3,8,3,9,3,10,2,11,2,12,1,2)</f>
        <v>1</v>
      </c>
      <c r="P8249" s="43"/>
    </row>
    <row r="8250" spans="1:16" ht="18" x14ac:dyDescent="0.35">
      <c r="A8250" s="9"/>
      <c r="C8250" s="393"/>
      <c r="E8250" s="394"/>
      <c r="F8250" s="394"/>
      <c r="G8250" s="394"/>
      <c r="I8250" s="368">
        <f t="shared" si="390"/>
        <v>0</v>
      </c>
      <c r="J8250" s="365">
        <f t="shared" si="391"/>
        <v>0</v>
      </c>
      <c r="K8250" s="369">
        <f t="shared" si="392"/>
        <v>6</v>
      </c>
      <c r="L8250" s="369">
        <f>+IF((C8250&gt;='Resultats - informe'!$E$16)*(C8250&lt;='Resultats - informe'!$G$16),1,0)</f>
        <v>1</v>
      </c>
      <c r="M8250" s="369" cm="1">
        <f t="array" ref="M8250">+_xlfn.IFS((C8250&gt;='Resultats - informe'!$D$26)*(C8250&lt;='Resultats - informe'!$E$26),0,(C8250&gt;='Resultats - informe'!$D$27)*(C8250&lt;='Resultats - informe'!$E$27),0,(C8250&gt;='Resultats - informe'!$D$28)*(C8250&lt;='Resultats - informe'!$E$28),0,(C8250&gt;='Resultats - informe'!$D$29)*(C8250&lt;='Resultats - informe'!$E$29),0,1,1)</f>
        <v>0</v>
      </c>
      <c r="N8250" s="366">
        <f>+VLOOKUP(D8250,'Resultats - informe'!$Y$18:$AG$42,'Introducció dades consum'!K8250+1,0)</f>
        <v>0</v>
      </c>
      <c r="O8250" s="370" cm="1">
        <f t="array" ref="O8250">+_xlfn.SWITCH(MONTH(C8250),1,1,2,1,3,1,4,2,5,2,6,3,7,3,8,3,9,3,10,2,11,2,12,1,2)</f>
        <v>1</v>
      </c>
      <c r="P8250" s="43"/>
    </row>
    <row r="8251" spans="1:16" ht="18" x14ac:dyDescent="0.35">
      <c r="A8251" s="9"/>
      <c r="C8251" s="393"/>
      <c r="E8251" s="394"/>
      <c r="F8251" s="394"/>
      <c r="G8251" s="394"/>
      <c r="I8251" s="368">
        <f t="shared" si="390"/>
        <v>0</v>
      </c>
      <c r="J8251" s="365">
        <f t="shared" si="391"/>
        <v>0</v>
      </c>
      <c r="K8251" s="369">
        <f t="shared" si="392"/>
        <v>6</v>
      </c>
      <c r="L8251" s="369">
        <f>+IF((C8251&gt;='Resultats - informe'!$E$16)*(C8251&lt;='Resultats - informe'!$G$16),1,0)</f>
        <v>1</v>
      </c>
      <c r="M8251" s="369" cm="1">
        <f t="array" ref="M8251">+_xlfn.IFS((C8251&gt;='Resultats - informe'!$D$26)*(C8251&lt;='Resultats - informe'!$E$26),0,(C8251&gt;='Resultats - informe'!$D$27)*(C8251&lt;='Resultats - informe'!$E$27),0,(C8251&gt;='Resultats - informe'!$D$28)*(C8251&lt;='Resultats - informe'!$E$28),0,(C8251&gt;='Resultats - informe'!$D$29)*(C8251&lt;='Resultats - informe'!$E$29),0,1,1)</f>
        <v>0</v>
      </c>
      <c r="N8251" s="366">
        <f>+VLOOKUP(D8251,'Resultats - informe'!$Y$18:$AG$42,'Introducció dades consum'!K8251+1,0)</f>
        <v>0</v>
      </c>
      <c r="O8251" s="370" cm="1">
        <f t="array" ref="O8251">+_xlfn.SWITCH(MONTH(C8251),1,1,2,1,3,1,4,2,5,2,6,3,7,3,8,3,9,3,10,2,11,2,12,1,2)</f>
        <v>1</v>
      </c>
      <c r="P8251" s="43"/>
    </row>
    <row r="8252" spans="1:16" ht="18" x14ac:dyDescent="0.35">
      <c r="A8252" s="9"/>
      <c r="C8252" s="393"/>
      <c r="E8252" s="394"/>
      <c r="F8252" s="394"/>
      <c r="G8252" s="394"/>
      <c r="I8252" s="368">
        <f t="shared" si="390"/>
        <v>0</v>
      </c>
      <c r="J8252" s="365">
        <f t="shared" si="391"/>
        <v>0</v>
      </c>
      <c r="K8252" s="369">
        <f t="shared" si="392"/>
        <v>6</v>
      </c>
      <c r="L8252" s="369">
        <f>+IF((C8252&gt;='Resultats - informe'!$E$16)*(C8252&lt;='Resultats - informe'!$G$16),1,0)</f>
        <v>1</v>
      </c>
      <c r="M8252" s="369" cm="1">
        <f t="array" ref="M8252">+_xlfn.IFS((C8252&gt;='Resultats - informe'!$D$26)*(C8252&lt;='Resultats - informe'!$E$26),0,(C8252&gt;='Resultats - informe'!$D$27)*(C8252&lt;='Resultats - informe'!$E$27),0,(C8252&gt;='Resultats - informe'!$D$28)*(C8252&lt;='Resultats - informe'!$E$28),0,(C8252&gt;='Resultats - informe'!$D$29)*(C8252&lt;='Resultats - informe'!$E$29),0,1,1)</f>
        <v>0</v>
      </c>
      <c r="N8252" s="366">
        <f>+VLOOKUP(D8252,'Resultats - informe'!$Y$18:$AG$42,'Introducció dades consum'!K8252+1,0)</f>
        <v>0</v>
      </c>
      <c r="O8252" s="370" cm="1">
        <f t="array" ref="O8252">+_xlfn.SWITCH(MONTH(C8252),1,1,2,1,3,1,4,2,5,2,6,3,7,3,8,3,9,3,10,2,11,2,12,1,2)</f>
        <v>1</v>
      </c>
      <c r="P8252" s="43"/>
    </row>
    <row r="8253" spans="1:16" ht="18" x14ac:dyDescent="0.35">
      <c r="A8253" s="9"/>
      <c r="C8253" s="393"/>
      <c r="E8253" s="394"/>
      <c r="F8253" s="394"/>
      <c r="G8253" s="394"/>
      <c r="I8253" s="368">
        <f t="shared" si="390"/>
        <v>0</v>
      </c>
      <c r="J8253" s="365">
        <f t="shared" si="391"/>
        <v>0</v>
      </c>
      <c r="K8253" s="369">
        <f t="shared" si="392"/>
        <v>6</v>
      </c>
      <c r="L8253" s="369">
        <f>+IF((C8253&gt;='Resultats - informe'!$E$16)*(C8253&lt;='Resultats - informe'!$G$16),1,0)</f>
        <v>1</v>
      </c>
      <c r="M8253" s="369" cm="1">
        <f t="array" ref="M8253">+_xlfn.IFS((C8253&gt;='Resultats - informe'!$D$26)*(C8253&lt;='Resultats - informe'!$E$26),0,(C8253&gt;='Resultats - informe'!$D$27)*(C8253&lt;='Resultats - informe'!$E$27),0,(C8253&gt;='Resultats - informe'!$D$28)*(C8253&lt;='Resultats - informe'!$E$28),0,(C8253&gt;='Resultats - informe'!$D$29)*(C8253&lt;='Resultats - informe'!$E$29),0,1,1)</f>
        <v>0</v>
      </c>
      <c r="N8253" s="366">
        <f>+VLOOKUP(D8253,'Resultats - informe'!$Y$18:$AG$42,'Introducció dades consum'!K8253+1,0)</f>
        <v>0</v>
      </c>
      <c r="O8253" s="370" cm="1">
        <f t="array" ref="O8253">+_xlfn.SWITCH(MONTH(C8253),1,1,2,1,3,1,4,2,5,2,6,3,7,3,8,3,9,3,10,2,11,2,12,1,2)</f>
        <v>1</v>
      </c>
      <c r="P8253" s="43"/>
    </row>
    <row r="8254" spans="1:16" ht="18" x14ac:dyDescent="0.35">
      <c r="A8254" s="9"/>
      <c r="C8254" s="393"/>
      <c r="E8254" s="394"/>
      <c r="F8254" s="394"/>
      <c r="G8254" s="394"/>
      <c r="I8254" s="368">
        <f t="shared" si="390"/>
        <v>0</v>
      </c>
      <c r="J8254" s="365">
        <f t="shared" si="391"/>
        <v>0</v>
      </c>
      <c r="K8254" s="369">
        <f t="shared" si="392"/>
        <v>6</v>
      </c>
      <c r="L8254" s="369">
        <f>+IF((C8254&gt;='Resultats - informe'!$E$16)*(C8254&lt;='Resultats - informe'!$G$16),1,0)</f>
        <v>1</v>
      </c>
      <c r="M8254" s="369" cm="1">
        <f t="array" ref="M8254">+_xlfn.IFS((C8254&gt;='Resultats - informe'!$D$26)*(C8254&lt;='Resultats - informe'!$E$26),0,(C8254&gt;='Resultats - informe'!$D$27)*(C8254&lt;='Resultats - informe'!$E$27),0,(C8254&gt;='Resultats - informe'!$D$28)*(C8254&lt;='Resultats - informe'!$E$28),0,(C8254&gt;='Resultats - informe'!$D$29)*(C8254&lt;='Resultats - informe'!$E$29),0,1,1)</f>
        <v>0</v>
      </c>
      <c r="N8254" s="366">
        <f>+VLOOKUP(D8254,'Resultats - informe'!$Y$18:$AG$42,'Introducció dades consum'!K8254+1,0)</f>
        <v>0</v>
      </c>
      <c r="O8254" s="370" cm="1">
        <f t="array" ref="O8254">+_xlfn.SWITCH(MONTH(C8254),1,1,2,1,3,1,4,2,5,2,6,3,7,3,8,3,9,3,10,2,11,2,12,1,2)</f>
        <v>1</v>
      </c>
      <c r="P8254" s="43"/>
    </row>
    <row r="8255" spans="1:16" ht="18" x14ac:dyDescent="0.35">
      <c r="A8255" s="9"/>
      <c r="C8255" s="393"/>
      <c r="E8255" s="394"/>
      <c r="F8255" s="394"/>
      <c r="G8255" s="394"/>
      <c r="I8255" s="368">
        <f t="shared" si="390"/>
        <v>0</v>
      </c>
      <c r="J8255" s="365">
        <f t="shared" si="391"/>
        <v>0</v>
      </c>
      <c r="K8255" s="369">
        <f t="shared" si="392"/>
        <v>6</v>
      </c>
      <c r="L8255" s="369">
        <f>+IF((C8255&gt;='Resultats - informe'!$E$16)*(C8255&lt;='Resultats - informe'!$G$16),1,0)</f>
        <v>1</v>
      </c>
      <c r="M8255" s="369" cm="1">
        <f t="array" ref="M8255">+_xlfn.IFS((C8255&gt;='Resultats - informe'!$D$26)*(C8255&lt;='Resultats - informe'!$E$26),0,(C8255&gt;='Resultats - informe'!$D$27)*(C8255&lt;='Resultats - informe'!$E$27),0,(C8255&gt;='Resultats - informe'!$D$28)*(C8255&lt;='Resultats - informe'!$E$28),0,(C8255&gt;='Resultats - informe'!$D$29)*(C8255&lt;='Resultats - informe'!$E$29),0,1,1)</f>
        <v>0</v>
      </c>
      <c r="N8255" s="366">
        <f>+VLOOKUP(D8255,'Resultats - informe'!$Y$18:$AG$42,'Introducció dades consum'!K8255+1,0)</f>
        <v>0</v>
      </c>
      <c r="O8255" s="370" cm="1">
        <f t="array" ref="O8255">+_xlfn.SWITCH(MONTH(C8255),1,1,2,1,3,1,4,2,5,2,6,3,7,3,8,3,9,3,10,2,11,2,12,1,2)</f>
        <v>1</v>
      </c>
      <c r="P8255" s="43"/>
    </row>
    <row r="8256" spans="1:16" ht="18" x14ac:dyDescent="0.35">
      <c r="A8256" s="9"/>
      <c r="C8256" s="393"/>
      <c r="E8256" s="394"/>
      <c r="F8256" s="394"/>
      <c r="G8256" s="394"/>
      <c r="I8256" s="368">
        <f t="shared" si="390"/>
        <v>0</v>
      </c>
      <c r="J8256" s="365">
        <f t="shared" si="391"/>
        <v>0</v>
      </c>
      <c r="K8256" s="369">
        <f t="shared" si="392"/>
        <v>6</v>
      </c>
      <c r="L8256" s="369">
        <f>+IF((C8256&gt;='Resultats - informe'!$E$16)*(C8256&lt;='Resultats - informe'!$G$16),1,0)</f>
        <v>1</v>
      </c>
      <c r="M8256" s="369" cm="1">
        <f t="array" ref="M8256">+_xlfn.IFS((C8256&gt;='Resultats - informe'!$D$26)*(C8256&lt;='Resultats - informe'!$E$26),0,(C8256&gt;='Resultats - informe'!$D$27)*(C8256&lt;='Resultats - informe'!$E$27),0,(C8256&gt;='Resultats - informe'!$D$28)*(C8256&lt;='Resultats - informe'!$E$28),0,(C8256&gt;='Resultats - informe'!$D$29)*(C8256&lt;='Resultats - informe'!$E$29),0,1,1)</f>
        <v>0</v>
      </c>
      <c r="N8256" s="366">
        <f>+VLOOKUP(D8256,'Resultats - informe'!$Y$18:$AG$42,'Introducció dades consum'!K8256+1,0)</f>
        <v>0</v>
      </c>
      <c r="O8256" s="370" cm="1">
        <f t="array" ref="O8256">+_xlfn.SWITCH(MONTH(C8256),1,1,2,1,3,1,4,2,5,2,6,3,7,3,8,3,9,3,10,2,11,2,12,1,2)</f>
        <v>1</v>
      </c>
      <c r="P8256" s="43"/>
    </row>
    <row r="8257" spans="1:16" ht="18" x14ac:dyDescent="0.35">
      <c r="A8257" s="9"/>
      <c r="C8257" s="393"/>
      <c r="E8257" s="394"/>
      <c r="F8257" s="394"/>
      <c r="G8257" s="394"/>
      <c r="I8257" s="368">
        <f t="shared" si="390"/>
        <v>0</v>
      </c>
      <c r="J8257" s="365">
        <f t="shared" si="391"/>
        <v>0</v>
      </c>
      <c r="K8257" s="369">
        <f t="shared" si="392"/>
        <v>6</v>
      </c>
      <c r="L8257" s="369">
        <f>+IF((C8257&gt;='Resultats - informe'!$E$16)*(C8257&lt;='Resultats - informe'!$G$16),1,0)</f>
        <v>1</v>
      </c>
      <c r="M8257" s="369" cm="1">
        <f t="array" ref="M8257">+_xlfn.IFS((C8257&gt;='Resultats - informe'!$D$26)*(C8257&lt;='Resultats - informe'!$E$26),0,(C8257&gt;='Resultats - informe'!$D$27)*(C8257&lt;='Resultats - informe'!$E$27),0,(C8257&gt;='Resultats - informe'!$D$28)*(C8257&lt;='Resultats - informe'!$E$28),0,(C8257&gt;='Resultats - informe'!$D$29)*(C8257&lt;='Resultats - informe'!$E$29),0,1,1)</f>
        <v>0</v>
      </c>
      <c r="N8257" s="366">
        <f>+VLOOKUP(D8257,'Resultats - informe'!$Y$18:$AG$42,'Introducció dades consum'!K8257+1,0)</f>
        <v>0</v>
      </c>
      <c r="O8257" s="370" cm="1">
        <f t="array" ref="O8257">+_xlfn.SWITCH(MONTH(C8257),1,1,2,1,3,1,4,2,5,2,6,3,7,3,8,3,9,3,10,2,11,2,12,1,2)</f>
        <v>1</v>
      </c>
      <c r="P8257" s="43"/>
    </row>
    <row r="8258" spans="1:16" ht="18" x14ac:dyDescent="0.35">
      <c r="A8258" s="9"/>
      <c r="C8258" s="393"/>
      <c r="E8258" s="394"/>
      <c r="F8258" s="394"/>
      <c r="G8258" s="394"/>
      <c r="I8258" s="368">
        <f t="shared" si="390"/>
        <v>0</v>
      </c>
      <c r="J8258" s="365">
        <f t="shared" si="391"/>
        <v>0</v>
      </c>
      <c r="K8258" s="369">
        <f t="shared" si="392"/>
        <v>6</v>
      </c>
      <c r="L8258" s="369">
        <f>+IF((C8258&gt;='Resultats - informe'!$E$16)*(C8258&lt;='Resultats - informe'!$G$16),1,0)</f>
        <v>1</v>
      </c>
      <c r="M8258" s="369" cm="1">
        <f t="array" ref="M8258">+_xlfn.IFS((C8258&gt;='Resultats - informe'!$D$26)*(C8258&lt;='Resultats - informe'!$E$26),0,(C8258&gt;='Resultats - informe'!$D$27)*(C8258&lt;='Resultats - informe'!$E$27),0,(C8258&gt;='Resultats - informe'!$D$28)*(C8258&lt;='Resultats - informe'!$E$28),0,(C8258&gt;='Resultats - informe'!$D$29)*(C8258&lt;='Resultats - informe'!$E$29),0,1,1)</f>
        <v>0</v>
      </c>
      <c r="N8258" s="366">
        <f>+VLOOKUP(D8258,'Resultats - informe'!$Y$18:$AG$42,'Introducció dades consum'!K8258+1,0)</f>
        <v>0</v>
      </c>
      <c r="O8258" s="370" cm="1">
        <f t="array" ref="O8258">+_xlfn.SWITCH(MONTH(C8258),1,1,2,1,3,1,4,2,5,2,6,3,7,3,8,3,9,3,10,2,11,2,12,1,2)</f>
        <v>1</v>
      </c>
      <c r="P8258" s="43"/>
    </row>
    <row r="8259" spans="1:16" ht="18" x14ac:dyDescent="0.35">
      <c r="A8259" s="9"/>
      <c r="C8259" s="393"/>
      <c r="E8259" s="394"/>
      <c r="F8259" s="394"/>
      <c r="G8259" s="394"/>
      <c r="I8259" s="368">
        <f t="shared" si="390"/>
        <v>0</v>
      </c>
      <c r="J8259" s="365">
        <f t="shared" si="391"/>
        <v>0</v>
      </c>
      <c r="K8259" s="369">
        <f t="shared" si="392"/>
        <v>6</v>
      </c>
      <c r="L8259" s="369">
        <f>+IF((C8259&gt;='Resultats - informe'!$E$16)*(C8259&lt;='Resultats - informe'!$G$16),1,0)</f>
        <v>1</v>
      </c>
      <c r="M8259" s="369" cm="1">
        <f t="array" ref="M8259">+_xlfn.IFS((C8259&gt;='Resultats - informe'!$D$26)*(C8259&lt;='Resultats - informe'!$E$26),0,(C8259&gt;='Resultats - informe'!$D$27)*(C8259&lt;='Resultats - informe'!$E$27),0,(C8259&gt;='Resultats - informe'!$D$28)*(C8259&lt;='Resultats - informe'!$E$28),0,(C8259&gt;='Resultats - informe'!$D$29)*(C8259&lt;='Resultats - informe'!$E$29),0,1,1)</f>
        <v>0</v>
      </c>
      <c r="N8259" s="366">
        <f>+VLOOKUP(D8259,'Resultats - informe'!$Y$18:$AG$42,'Introducció dades consum'!K8259+1,0)</f>
        <v>0</v>
      </c>
      <c r="O8259" s="370" cm="1">
        <f t="array" ref="O8259">+_xlfn.SWITCH(MONTH(C8259),1,1,2,1,3,1,4,2,5,2,6,3,7,3,8,3,9,3,10,2,11,2,12,1,2)</f>
        <v>1</v>
      </c>
      <c r="P8259" s="43"/>
    </row>
    <row r="8260" spans="1:16" ht="18" x14ac:dyDescent="0.35">
      <c r="A8260" s="9"/>
      <c r="C8260" s="393"/>
      <c r="E8260" s="394"/>
      <c r="F8260" s="394"/>
      <c r="G8260" s="394"/>
      <c r="I8260" s="368">
        <f t="shared" si="390"/>
        <v>0</v>
      </c>
      <c r="J8260" s="365">
        <f t="shared" si="391"/>
        <v>0</v>
      </c>
      <c r="K8260" s="369">
        <f t="shared" si="392"/>
        <v>6</v>
      </c>
      <c r="L8260" s="369">
        <f>+IF((C8260&gt;='Resultats - informe'!$E$16)*(C8260&lt;='Resultats - informe'!$G$16),1,0)</f>
        <v>1</v>
      </c>
      <c r="M8260" s="369" cm="1">
        <f t="array" ref="M8260">+_xlfn.IFS((C8260&gt;='Resultats - informe'!$D$26)*(C8260&lt;='Resultats - informe'!$E$26),0,(C8260&gt;='Resultats - informe'!$D$27)*(C8260&lt;='Resultats - informe'!$E$27),0,(C8260&gt;='Resultats - informe'!$D$28)*(C8260&lt;='Resultats - informe'!$E$28),0,(C8260&gt;='Resultats - informe'!$D$29)*(C8260&lt;='Resultats - informe'!$E$29),0,1,1)</f>
        <v>0</v>
      </c>
      <c r="N8260" s="366">
        <f>+VLOOKUP(D8260,'Resultats - informe'!$Y$18:$AG$42,'Introducció dades consum'!K8260+1,0)</f>
        <v>0</v>
      </c>
      <c r="O8260" s="370" cm="1">
        <f t="array" ref="O8260">+_xlfn.SWITCH(MONTH(C8260),1,1,2,1,3,1,4,2,5,2,6,3,7,3,8,3,9,3,10,2,11,2,12,1,2)</f>
        <v>1</v>
      </c>
      <c r="P8260" s="43"/>
    </row>
    <row r="8261" spans="1:16" ht="18" x14ac:dyDescent="0.35">
      <c r="A8261" s="9"/>
      <c r="C8261" s="393"/>
      <c r="E8261" s="394"/>
      <c r="F8261" s="394"/>
      <c r="G8261" s="394"/>
      <c r="I8261" s="368">
        <f t="shared" si="390"/>
        <v>0</v>
      </c>
      <c r="J8261" s="365">
        <f t="shared" si="391"/>
        <v>0</v>
      </c>
      <c r="K8261" s="369">
        <f t="shared" si="392"/>
        <v>6</v>
      </c>
      <c r="L8261" s="369">
        <f>+IF((C8261&gt;='Resultats - informe'!$E$16)*(C8261&lt;='Resultats - informe'!$G$16),1,0)</f>
        <v>1</v>
      </c>
      <c r="M8261" s="369" cm="1">
        <f t="array" ref="M8261">+_xlfn.IFS((C8261&gt;='Resultats - informe'!$D$26)*(C8261&lt;='Resultats - informe'!$E$26),0,(C8261&gt;='Resultats - informe'!$D$27)*(C8261&lt;='Resultats - informe'!$E$27),0,(C8261&gt;='Resultats - informe'!$D$28)*(C8261&lt;='Resultats - informe'!$E$28),0,(C8261&gt;='Resultats - informe'!$D$29)*(C8261&lt;='Resultats - informe'!$E$29),0,1,1)</f>
        <v>0</v>
      </c>
      <c r="N8261" s="366">
        <f>+VLOOKUP(D8261,'Resultats - informe'!$Y$18:$AG$42,'Introducció dades consum'!K8261+1,0)</f>
        <v>0</v>
      </c>
      <c r="O8261" s="370" cm="1">
        <f t="array" ref="O8261">+_xlfn.SWITCH(MONTH(C8261),1,1,2,1,3,1,4,2,5,2,6,3,7,3,8,3,9,3,10,2,11,2,12,1,2)</f>
        <v>1</v>
      </c>
      <c r="P8261" s="43"/>
    </row>
    <row r="8262" spans="1:16" ht="18" x14ac:dyDescent="0.35">
      <c r="A8262" s="9"/>
      <c r="C8262" s="393"/>
      <c r="E8262" s="394"/>
      <c r="F8262" s="394"/>
      <c r="G8262" s="394"/>
      <c r="I8262" s="368">
        <f t="shared" si="390"/>
        <v>0</v>
      </c>
      <c r="J8262" s="365">
        <f t="shared" si="391"/>
        <v>0</v>
      </c>
      <c r="K8262" s="369">
        <f t="shared" si="392"/>
        <v>6</v>
      </c>
      <c r="L8262" s="369">
        <f>+IF((C8262&gt;='Resultats - informe'!$E$16)*(C8262&lt;='Resultats - informe'!$G$16),1,0)</f>
        <v>1</v>
      </c>
      <c r="M8262" s="369" cm="1">
        <f t="array" ref="M8262">+_xlfn.IFS((C8262&gt;='Resultats - informe'!$D$26)*(C8262&lt;='Resultats - informe'!$E$26),0,(C8262&gt;='Resultats - informe'!$D$27)*(C8262&lt;='Resultats - informe'!$E$27),0,(C8262&gt;='Resultats - informe'!$D$28)*(C8262&lt;='Resultats - informe'!$E$28),0,(C8262&gt;='Resultats - informe'!$D$29)*(C8262&lt;='Resultats - informe'!$E$29),0,1,1)</f>
        <v>0</v>
      </c>
      <c r="N8262" s="366">
        <f>+VLOOKUP(D8262,'Resultats - informe'!$Y$18:$AG$42,'Introducció dades consum'!K8262+1,0)</f>
        <v>0</v>
      </c>
      <c r="O8262" s="370" cm="1">
        <f t="array" ref="O8262">+_xlfn.SWITCH(MONTH(C8262),1,1,2,1,3,1,4,2,5,2,6,3,7,3,8,3,9,3,10,2,11,2,12,1,2)</f>
        <v>1</v>
      </c>
      <c r="P8262" s="43"/>
    </row>
    <row r="8263" spans="1:16" ht="18" x14ac:dyDescent="0.35">
      <c r="A8263" s="9"/>
      <c r="C8263" s="393"/>
      <c r="E8263" s="394"/>
      <c r="F8263" s="394"/>
      <c r="G8263" s="394"/>
      <c r="I8263" s="368">
        <f t="shared" si="390"/>
        <v>0</v>
      </c>
      <c r="J8263" s="365">
        <f t="shared" si="391"/>
        <v>0</v>
      </c>
      <c r="K8263" s="369">
        <f t="shared" si="392"/>
        <v>6</v>
      </c>
      <c r="L8263" s="369">
        <f>+IF((C8263&gt;='Resultats - informe'!$E$16)*(C8263&lt;='Resultats - informe'!$G$16),1,0)</f>
        <v>1</v>
      </c>
      <c r="M8263" s="369" cm="1">
        <f t="array" ref="M8263">+_xlfn.IFS((C8263&gt;='Resultats - informe'!$D$26)*(C8263&lt;='Resultats - informe'!$E$26),0,(C8263&gt;='Resultats - informe'!$D$27)*(C8263&lt;='Resultats - informe'!$E$27),0,(C8263&gt;='Resultats - informe'!$D$28)*(C8263&lt;='Resultats - informe'!$E$28),0,(C8263&gt;='Resultats - informe'!$D$29)*(C8263&lt;='Resultats - informe'!$E$29),0,1,1)</f>
        <v>0</v>
      </c>
      <c r="N8263" s="366">
        <f>+VLOOKUP(D8263,'Resultats - informe'!$Y$18:$AG$42,'Introducció dades consum'!K8263+1,0)</f>
        <v>0</v>
      </c>
      <c r="O8263" s="370" cm="1">
        <f t="array" ref="O8263">+_xlfn.SWITCH(MONTH(C8263),1,1,2,1,3,1,4,2,5,2,6,3,7,3,8,3,9,3,10,2,11,2,12,1,2)</f>
        <v>1</v>
      </c>
      <c r="P8263" s="43"/>
    </row>
    <row r="8264" spans="1:16" ht="18" x14ac:dyDescent="0.35">
      <c r="A8264" s="9"/>
      <c r="C8264" s="393"/>
      <c r="E8264" s="394"/>
      <c r="F8264" s="394"/>
      <c r="G8264" s="394"/>
      <c r="I8264" s="368">
        <f t="shared" si="390"/>
        <v>0</v>
      </c>
      <c r="J8264" s="365">
        <f t="shared" si="391"/>
        <v>0</v>
      </c>
      <c r="K8264" s="369">
        <f t="shared" si="392"/>
        <v>6</v>
      </c>
      <c r="L8264" s="369">
        <f>+IF((C8264&gt;='Resultats - informe'!$E$16)*(C8264&lt;='Resultats - informe'!$G$16),1,0)</f>
        <v>1</v>
      </c>
      <c r="M8264" s="369" cm="1">
        <f t="array" ref="M8264">+_xlfn.IFS((C8264&gt;='Resultats - informe'!$D$26)*(C8264&lt;='Resultats - informe'!$E$26),0,(C8264&gt;='Resultats - informe'!$D$27)*(C8264&lt;='Resultats - informe'!$E$27),0,(C8264&gt;='Resultats - informe'!$D$28)*(C8264&lt;='Resultats - informe'!$E$28),0,(C8264&gt;='Resultats - informe'!$D$29)*(C8264&lt;='Resultats - informe'!$E$29),0,1,1)</f>
        <v>0</v>
      </c>
      <c r="N8264" s="366">
        <f>+VLOOKUP(D8264,'Resultats - informe'!$Y$18:$AG$42,'Introducció dades consum'!K8264+1,0)</f>
        <v>0</v>
      </c>
      <c r="O8264" s="370" cm="1">
        <f t="array" ref="O8264">+_xlfn.SWITCH(MONTH(C8264),1,1,2,1,3,1,4,2,5,2,6,3,7,3,8,3,9,3,10,2,11,2,12,1,2)</f>
        <v>1</v>
      </c>
      <c r="P8264" s="43"/>
    </row>
    <row r="8265" spans="1:16" ht="18" x14ac:dyDescent="0.35">
      <c r="A8265" s="9"/>
      <c r="C8265" s="393"/>
      <c r="E8265" s="394"/>
      <c r="F8265" s="394"/>
      <c r="G8265" s="394"/>
      <c r="I8265" s="368">
        <f t="shared" si="390"/>
        <v>0</v>
      </c>
      <c r="J8265" s="365">
        <f t="shared" si="391"/>
        <v>0</v>
      </c>
      <c r="K8265" s="369">
        <f t="shared" si="392"/>
        <v>6</v>
      </c>
      <c r="L8265" s="369">
        <f>+IF((C8265&gt;='Resultats - informe'!$E$16)*(C8265&lt;='Resultats - informe'!$G$16),1,0)</f>
        <v>1</v>
      </c>
      <c r="M8265" s="369" cm="1">
        <f t="array" ref="M8265">+_xlfn.IFS((C8265&gt;='Resultats - informe'!$D$26)*(C8265&lt;='Resultats - informe'!$E$26),0,(C8265&gt;='Resultats - informe'!$D$27)*(C8265&lt;='Resultats - informe'!$E$27),0,(C8265&gt;='Resultats - informe'!$D$28)*(C8265&lt;='Resultats - informe'!$E$28),0,(C8265&gt;='Resultats - informe'!$D$29)*(C8265&lt;='Resultats - informe'!$E$29),0,1,1)</f>
        <v>0</v>
      </c>
      <c r="N8265" s="366">
        <f>+VLOOKUP(D8265,'Resultats - informe'!$Y$18:$AG$42,'Introducció dades consum'!K8265+1,0)</f>
        <v>0</v>
      </c>
      <c r="O8265" s="370" cm="1">
        <f t="array" ref="O8265">+_xlfn.SWITCH(MONTH(C8265),1,1,2,1,3,1,4,2,5,2,6,3,7,3,8,3,9,3,10,2,11,2,12,1,2)</f>
        <v>1</v>
      </c>
      <c r="P8265" s="43"/>
    </row>
    <row r="8266" spans="1:16" ht="18" x14ac:dyDescent="0.35">
      <c r="A8266" s="9"/>
      <c r="C8266" s="393"/>
      <c r="E8266" s="394"/>
      <c r="F8266" s="394"/>
      <c r="G8266" s="394"/>
      <c r="I8266" s="368">
        <f t="shared" si="390"/>
        <v>0</v>
      </c>
      <c r="J8266" s="365">
        <f t="shared" si="391"/>
        <v>0</v>
      </c>
      <c r="K8266" s="369">
        <f t="shared" si="392"/>
        <v>6</v>
      </c>
      <c r="L8266" s="369">
        <f>+IF((C8266&gt;='Resultats - informe'!$E$16)*(C8266&lt;='Resultats - informe'!$G$16),1,0)</f>
        <v>1</v>
      </c>
      <c r="M8266" s="369" cm="1">
        <f t="array" ref="M8266">+_xlfn.IFS((C8266&gt;='Resultats - informe'!$D$26)*(C8266&lt;='Resultats - informe'!$E$26),0,(C8266&gt;='Resultats - informe'!$D$27)*(C8266&lt;='Resultats - informe'!$E$27),0,(C8266&gt;='Resultats - informe'!$D$28)*(C8266&lt;='Resultats - informe'!$E$28),0,(C8266&gt;='Resultats - informe'!$D$29)*(C8266&lt;='Resultats - informe'!$E$29),0,1,1)</f>
        <v>0</v>
      </c>
      <c r="N8266" s="366">
        <f>+VLOOKUP(D8266,'Resultats - informe'!$Y$18:$AG$42,'Introducció dades consum'!K8266+1,0)</f>
        <v>0</v>
      </c>
      <c r="O8266" s="370" cm="1">
        <f t="array" ref="O8266">+_xlfn.SWITCH(MONTH(C8266),1,1,2,1,3,1,4,2,5,2,6,3,7,3,8,3,9,3,10,2,11,2,12,1,2)</f>
        <v>1</v>
      </c>
      <c r="P8266" s="43"/>
    </row>
    <row r="8267" spans="1:16" ht="18" x14ac:dyDescent="0.35">
      <c r="A8267" s="9"/>
      <c r="C8267" s="393"/>
      <c r="E8267" s="394"/>
      <c r="F8267" s="394"/>
      <c r="G8267" s="394"/>
      <c r="I8267" s="368">
        <f t="shared" si="390"/>
        <v>0</v>
      </c>
      <c r="J8267" s="365">
        <f t="shared" si="391"/>
        <v>0</v>
      </c>
      <c r="K8267" s="369">
        <f t="shared" si="392"/>
        <v>6</v>
      </c>
      <c r="L8267" s="369">
        <f>+IF((C8267&gt;='Resultats - informe'!$E$16)*(C8267&lt;='Resultats - informe'!$G$16),1,0)</f>
        <v>1</v>
      </c>
      <c r="M8267" s="369" cm="1">
        <f t="array" ref="M8267">+_xlfn.IFS((C8267&gt;='Resultats - informe'!$D$26)*(C8267&lt;='Resultats - informe'!$E$26),0,(C8267&gt;='Resultats - informe'!$D$27)*(C8267&lt;='Resultats - informe'!$E$27),0,(C8267&gt;='Resultats - informe'!$D$28)*(C8267&lt;='Resultats - informe'!$E$28),0,(C8267&gt;='Resultats - informe'!$D$29)*(C8267&lt;='Resultats - informe'!$E$29),0,1,1)</f>
        <v>0</v>
      </c>
      <c r="N8267" s="366">
        <f>+VLOOKUP(D8267,'Resultats - informe'!$Y$18:$AG$42,'Introducció dades consum'!K8267+1,0)</f>
        <v>0</v>
      </c>
      <c r="O8267" s="370" cm="1">
        <f t="array" ref="O8267">+_xlfn.SWITCH(MONTH(C8267),1,1,2,1,3,1,4,2,5,2,6,3,7,3,8,3,9,3,10,2,11,2,12,1,2)</f>
        <v>1</v>
      </c>
      <c r="P8267" s="43"/>
    </row>
    <row r="8268" spans="1:16" ht="18" x14ac:dyDescent="0.35">
      <c r="A8268" s="9"/>
      <c r="C8268" s="393"/>
      <c r="E8268" s="394"/>
      <c r="F8268" s="394"/>
      <c r="G8268" s="394"/>
      <c r="I8268" s="368">
        <f t="shared" si="390"/>
        <v>0</v>
      </c>
      <c r="J8268" s="365">
        <f t="shared" si="391"/>
        <v>0</v>
      </c>
      <c r="K8268" s="369">
        <f t="shared" si="392"/>
        <v>6</v>
      </c>
      <c r="L8268" s="369">
        <f>+IF((C8268&gt;='Resultats - informe'!$E$16)*(C8268&lt;='Resultats - informe'!$G$16),1,0)</f>
        <v>1</v>
      </c>
      <c r="M8268" s="369" cm="1">
        <f t="array" ref="M8268">+_xlfn.IFS((C8268&gt;='Resultats - informe'!$D$26)*(C8268&lt;='Resultats - informe'!$E$26),0,(C8268&gt;='Resultats - informe'!$D$27)*(C8268&lt;='Resultats - informe'!$E$27),0,(C8268&gt;='Resultats - informe'!$D$28)*(C8268&lt;='Resultats - informe'!$E$28),0,(C8268&gt;='Resultats - informe'!$D$29)*(C8268&lt;='Resultats - informe'!$E$29),0,1,1)</f>
        <v>0</v>
      </c>
      <c r="N8268" s="366">
        <f>+VLOOKUP(D8268,'Resultats - informe'!$Y$18:$AG$42,'Introducció dades consum'!K8268+1,0)</f>
        <v>0</v>
      </c>
      <c r="O8268" s="370" cm="1">
        <f t="array" ref="O8268">+_xlfn.SWITCH(MONTH(C8268),1,1,2,1,3,1,4,2,5,2,6,3,7,3,8,3,9,3,10,2,11,2,12,1,2)</f>
        <v>1</v>
      </c>
      <c r="P8268" s="43"/>
    </row>
    <row r="8269" spans="1:16" ht="18" x14ac:dyDescent="0.35">
      <c r="A8269" s="9"/>
      <c r="C8269" s="393"/>
      <c r="E8269" s="394"/>
      <c r="F8269" s="394"/>
      <c r="G8269" s="394"/>
      <c r="I8269" s="368">
        <f t="shared" si="390"/>
        <v>0</v>
      </c>
      <c r="J8269" s="365">
        <f t="shared" si="391"/>
        <v>0</v>
      </c>
      <c r="K8269" s="369">
        <f t="shared" si="392"/>
        <v>6</v>
      </c>
      <c r="L8269" s="369">
        <f>+IF((C8269&gt;='Resultats - informe'!$E$16)*(C8269&lt;='Resultats - informe'!$G$16),1,0)</f>
        <v>1</v>
      </c>
      <c r="M8269" s="369" cm="1">
        <f t="array" ref="M8269">+_xlfn.IFS((C8269&gt;='Resultats - informe'!$D$26)*(C8269&lt;='Resultats - informe'!$E$26),0,(C8269&gt;='Resultats - informe'!$D$27)*(C8269&lt;='Resultats - informe'!$E$27),0,(C8269&gt;='Resultats - informe'!$D$28)*(C8269&lt;='Resultats - informe'!$E$28),0,(C8269&gt;='Resultats - informe'!$D$29)*(C8269&lt;='Resultats - informe'!$E$29),0,1,1)</f>
        <v>0</v>
      </c>
      <c r="N8269" s="366">
        <f>+VLOOKUP(D8269,'Resultats - informe'!$Y$18:$AG$42,'Introducció dades consum'!K8269+1,0)</f>
        <v>0</v>
      </c>
      <c r="O8269" s="370" cm="1">
        <f t="array" ref="O8269">+_xlfn.SWITCH(MONTH(C8269),1,1,2,1,3,1,4,2,5,2,6,3,7,3,8,3,9,3,10,2,11,2,12,1,2)</f>
        <v>1</v>
      </c>
      <c r="P8269" s="43"/>
    </row>
    <row r="8270" spans="1:16" ht="18" x14ac:dyDescent="0.35">
      <c r="A8270" s="9"/>
      <c r="C8270" s="393"/>
      <c r="E8270" s="394"/>
      <c r="F8270" s="394"/>
      <c r="G8270" s="394"/>
      <c r="I8270" s="368">
        <f t="shared" si="390"/>
        <v>0</v>
      </c>
      <c r="J8270" s="365">
        <f t="shared" si="391"/>
        <v>0</v>
      </c>
      <c r="K8270" s="369">
        <f t="shared" si="392"/>
        <v>6</v>
      </c>
      <c r="L8270" s="369">
        <f>+IF((C8270&gt;='Resultats - informe'!$E$16)*(C8270&lt;='Resultats - informe'!$G$16),1,0)</f>
        <v>1</v>
      </c>
      <c r="M8270" s="369" cm="1">
        <f t="array" ref="M8270">+_xlfn.IFS((C8270&gt;='Resultats - informe'!$D$26)*(C8270&lt;='Resultats - informe'!$E$26),0,(C8270&gt;='Resultats - informe'!$D$27)*(C8270&lt;='Resultats - informe'!$E$27),0,(C8270&gt;='Resultats - informe'!$D$28)*(C8270&lt;='Resultats - informe'!$E$28),0,(C8270&gt;='Resultats - informe'!$D$29)*(C8270&lt;='Resultats - informe'!$E$29),0,1,1)</f>
        <v>0</v>
      </c>
      <c r="N8270" s="366">
        <f>+VLOOKUP(D8270,'Resultats - informe'!$Y$18:$AG$42,'Introducció dades consum'!K8270+1,0)</f>
        <v>0</v>
      </c>
      <c r="O8270" s="370" cm="1">
        <f t="array" ref="O8270">+_xlfn.SWITCH(MONTH(C8270),1,1,2,1,3,1,4,2,5,2,6,3,7,3,8,3,9,3,10,2,11,2,12,1,2)</f>
        <v>1</v>
      </c>
      <c r="P8270" s="43"/>
    </row>
    <row r="8271" spans="1:16" ht="18" x14ac:dyDescent="0.35">
      <c r="A8271" s="9"/>
      <c r="C8271" s="393"/>
      <c r="E8271" s="394"/>
      <c r="F8271" s="394"/>
      <c r="G8271" s="394"/>
      <c r="I8271" s="368">
        <f t="shared" si="390"/>
        <v>0</v>
      </c>
      <c r="J8271" s="365">
        <f t="shared" si="391"/>
        <v>0</v>
      </c>
      <c r="K8271" s="369">
        <f t="shared" si="392"/>
        <v>6</v>
      </c>
      <c r="L8271" s="369">
        <f>+IF((C8271&gt;='Resultats - informe'!$E$16)*(C8271&lt;='Resultats - informe'!$G$16),1,0)</f>
        <v>1</v>
      </c>
      <c r="M8271" s="369" cm="1">
        <f t="array" ref="M8271">+_xlfn.IFS((C8271&gt;='Resultats - informe'!$D$26)*(C8271&lt;='Resultats - informe'!$E$26),0,(C8271&gt;='Resultats - informe'!$D$27)*(C8271&lt;='Resultats - informe'!$E$27),0,(C8271&gt;='Resultats - informe'!$D$28)*(C8271&lt;='Resultats - informe'!$E$28),0,(C8271&gt;='Resultats - informe'!$D$29)*(C8271&lt;='Resultats - informe'!$E$29),0,1,1)</f>
        <v>0</v>
      </c>
      <c r="N8271" s="366">
        <f>+VLOOKUP(D8271,'Resultats - informe'!$Y$18:$AG$42,'Introducció dades consum'!K8271+1,0)</f>
        <v>0</v>
      </c>
      <c r="O8271" s="370" cm="1">
        <f t="array" ref="O8271">+_xlfn.SWITCH(MONTH(C8271),1,1,2,1,3,1,4,2,5,2,6,3,7,3,8,3,9,3,10,2,11,2,12,1,2)</f>
        <v>1</v>
      </c>
      <c r="P8271" s="43"/>
    </row>
    <row r="8272" spans="1:16" ht="18" x14ac:dyDescent="0.35">
      <c r="A8272" s="9"/>
      <c r="C8272" s="393"/>
      <c r="E8272" s="394"/>
      <c r="F8272" s="394"/>
      <c r="G8272" s="394"/>
      <c r="I8272" s="368">
        <f t="shared" si="390"/>
        <v>0</v>
      </c>
      <c r="J8272" s="365">
        <f t="shared" si="391"/>
        <v>0</v>
      </c>
      <c r="K8272" s="369">
        <f t="shared" si="392"/>
        <v>6</v>
      </c>
      <c r="L8272" s="369">
        <f>+IF((C8272&gt;='Resultats - informe'!$E$16)*(C8272&lt;='Resultats - informe'!$G$16),1,0)</f>
        <v>1</v>
      </c>
      <c r="M8272" s="369" cm="1">
        <f t="array" ref="M8272">+_xlfn.IFS((C8272&gt;='Resultats - informe'!$D$26)*(C8272&lt;='Resultats - informe'!$E$26),0,(C8272&gt;='Resultats - informe'!$D$27)*(C8272&lt;='Resultats - informe'!$E$27),0,(C8272&gt;='Resultats - informe'!$D$28)*(C8272&lt;='Resultats - informe'!$E$28),0,(C8272&gt;='Resultats - informe'!$D$29)*(C8272&lt;='Resultats - informe'!$E$29),0,1,1)</f>
        <v>0</v>
      </c>
      <c r="N8272" s="366">
        <f>+VLOOKUP(D8272,'Resultats - informe'!$Y$18:$AG$42,'Introducció dades consum'!K8272+1,0)</f>
        <v>0</v>
      </c>
      <c r="O8272" s="370" cm="1">
        <f t="array" ref="O8272">+_xlfn.SWITCH(MONTH(C8272),1,1,2,1,3,1,4,2,5,2,6,3,7,3,8,3,9,3,10,2,11,2,12,1,2)</f>
        <v>1</v>
      </c>
      <c r="P8272" s="43"/>
    </row>
    <row r="8273" spans="1:16" ht="18" x14ac:dyDescent="0.35">
      <c r="A8273" s="9"/>
      <c r="C8273" s="393"/>
      <c r="E8273" s="394"/>
      <c r="F8273" s="394"/>
      <c r="G8273" s="394"/>
      <c r="I8273" s="368">
        <f t="shared" si="390"/>
        <v>0</v>
      </c>
      <c r="J8273" s="365">
        <f t="shared" si="391"/>
        <v>0</v>
      </c>
      <c r="K8273" s="369">
        <f t="shared" si="392"/>
        <v>6</v>
      </c>
      <c r="L8273" s="369">
        <f>+IF((C8273&gt;='Resultats - informe'!$E$16)*(C8273&lt;='Resultats - informe'!$G$16),1,0)</f>
        <v>1</v>
      </c>
      <c r="M8273" s="369" cm="1">
        <f t="array" ref="M8273">+_xlfn.IFS((C8273&gt;='Resultats - informe'!$D$26)*(C8273&lt;='Resultats - informe'!$E$26),0,(C8273&gt;='Resultats - informe'!$D$27)*(C8273&lt;='Resultats - informe'!$E$27),0,(C8273&gt;='Resultats - informe'!$D$28)*(C8273&lt;='Resultats - informe'!$E$28),0,(C8273&gt;='Resultats - informe'!$D$29)*(C8273&lt;='Resultats - informe'!$E$29),0,1,1)</f>
        <v>0</v>
      </c>
      <c r="N8273" s="366">
        <f>+VLOOKUP(D8273,'Resultats - informe'!$Y$18:$AG$42,'Introducció dades consum'!K8273+1,0)</f>
        <v>0</v>
      </c>
      <c r="O8273" s="370" cm="1">
        <f t="array" ref="O8273">+_xlfn.SWITCH(MONTH(C8273),1,1,2,1,3,1,4,2,5,2,6,3,7,3,8,3,9,3,10,2,11,2,12,1,2)</f>
        <v>1</v>
      </c>
      <c r="P8273" s="43"/>
    </row>
    <row r="8274" spans="1:16" ht="18" x14ac:dyDescent="0.35">
      <c r="A8274" s="9"/>
      <c r="C8274" s="393"/>
      <c r="E8274" s="394"/>
      <c r="F8274" s="394"/>
      <c r="G8274" s="394"/>
      <c r="I8274" s="368">
        <f t="shared" ref="I8274:I8337" si="393">+E8274+G8274</f>
        <v>0</v>
      </c>
      <c r="J8274" s="365">
        <f t="shared" ref="J8274:J8337" si="394">+C8274</f>
        <v>0</v>
      </c>
      <c r="K8274" s="369">
        <f t="shared" ref="K8274:K8337" si="395">+WEEKDAY(C8274,2)</f>
        <v>6</v>
      </c>
      <c r="L8274" s="369">
        <f>+IF((C8274&gt;='Resultats - informe'!$E$16)*(C8274&lt;='Resultats - informe'!$G$16),1,0)</f>
        <v>1</v>
      </c>
      <c r="M8274" s="369" cm="1">
        <f t="array" ref="M8274">+_xlfn.IFS((C8274&gt;='Resultats - informe'!$D$26)*(C8274&lt;='Resultats - informe'!$E$26),0,(C8274&gt;='Resultats - informe'!$D$27)*(C8274&lt;='Resultats - informe'!$E$27),0,(C8274&gt;='Resultats - informe'!$D$28)*(C8274&lt;='Resultats - informe'!$E$28),0,(C8274&gt;='Resultats - informe'!$D$29)*(C8274&lt;='Resultats - informe'!$E$29),0,1,1)</f>
        <v>0</v>
      </c>
      <c r="N8274" s="366">
        <f>+VLOOKUP(D8274,'Resultats - informe'!$Y$18:$AG$42,'Introducció dades consum'!K8274+1,0)</f>
        <v>0</v>
      </c>
      <c r="O8274" s="370" cm="1">
        <f t="array" ref="O8274">+_xlfn.SWITCH(MONTH(C8274),1,1,2,1,3,1,4,2,5,2,6,3,7,3,8,3,9,3,10,2,11,2,12,1,2)</f>
        <v>1</v>
      </c>
      <c r="P8274" s="43"/>
    </row>
    <row r="8275" spans="1:16" ht="18" x14ac:dyDescent="0.35">
      <c r="A8275" s="9"/>
      <c r="C8275" s="393"/>
      <c r="E8275" s="394"/>
      <c r="F8275" s="394"/>
      <c r="G8275" s="394"/>
      <c r="I8275" s="368">
        <f t="shared" si="393"/>
        <v>0</v>
      </c>
      <c r="J8275" s="365">
        <f t="shared" si="394"/>
        <v>0</v>
      </c>
      <c r="K8275" s="369">
        <f t="shared" si="395"/>
        <v>6</v>
      </c>
      <c r="L8275" s="369">
        <f>+IF((C8275&gt;='Resultats - informe'!$E$16)*(C8275&lt;='Resultats - informe'!$G$16),1,0)</f>
        <v>1</v>
      </c>
      <c r="M8275" s="369" cm="1">
        <f t="array" ref="M8275">+_xlfn.IFS((C8275&gt;='Resultats - informe'!$D$26)*(C8275&lt;='Resultats - informe'!$E$26),0,(C8275&gt;='Resultats - informe'!$D$27)*(C8275&lt;='Resultats - informe'!$E$27),0,(C8275&gt;='Resultats - informe'!$D$28)*(C8275&lt;='Resultats - informe'!$E$28),0,(C8275&gt;='Resultats - informe'!$D$29)*(C8275&lt;='Resultats - informe'!$E$29),0,1,1)</f>
        <v>0</v>
      </c>
      <c r="N8275" s="366">
        <f>+VLOOKUP(D8275,'Resultats - informe'!$Y$18:$AG$42,'Introducció dades consum'!K8275+1,0)</f>
        <v>0</v>
      </c>
      <c r="O8275" s="370" cm="1">
        <f t="array" ref="O8275">+_xlfn.SWITCH(MONTH(C8275),1,1,2,1,3,1,4,2,5,2,6,3,7,3,8,3,9,3,10,2,11,2,12,1,2)</f>
        <v>1</v>
      </c>
      <c r="P8275" s="43"/>
    </row>
    <row r="8276" spans="1:16" ht="18" x14ac:dyDescent="0.35">
      <c r="A8276" s="9"/>
      <c r="C8276" s="393"/>
      <c r="E8276" s="394"/>
      <c r="F8276" s="394"/>
      <c r="G8276" s="394"/>
      <c r="I8276" s="368">
        <f t="shared" si="393"/>
        <v>0</v>
      </c>
      <c r="J8276" s="365">
        <f t="shared" si="394"/>
        <v>0</v>
      </c>
      <c r="K8276" s="369">
        <f t="shared" si="395"/>
        <v>6</v>
      </c>
      <c r="L8276" s="369">
        <f>+IF((C8276&gt;='Resultats - informe'!$E$16)*(C8276&lt;='Resultats - informe'!$G$16),1,0)</f>
        <v>1</v>
      </c>
      <c r="M8276" s="369" cm="1">
        <f t="array" ref="M8276">+_xlfn.IFS((C8276&gt;='Resultats - informe'!$D$26)*(C8276&lt;='Resultats - informe'!$E$26),0,(C8276&gt;='Resultats - informe'!$D$27)*(C8276&lt;='Resultats - informe'!$E$27),0,(C8276&gt;='Resultats - informe'!$D$28)*(C8276&lt;='Resultats - informe'!$E$28),0,(C8276&gt;='Resultats - informe'!$D$29)*(C8276&lt;='Resultats - informe'!$E$29),0,1,1)</f>
        <v>0</v>
      </c>
      <c r="N8276" s="366">
        <f>+VLOOKUP(D8276,'Resultats - informe'!$Y$18:$AG$42,'Introducció dades consum'!K8276+1,0)</f>
        <v>0</v>
      </c>
      <c r="O8276" s="370" cm="1">
        <f t="array" ref="O8276">+_xlfn.SWITCH(MONTH(C8276),1,1,2,1,3,1,4,2,5,2,6,3,7,3,8,3,9,3,10,2,11,2,12,1,2)</f>
        <v>1</v>
      </c>
      <c r="P8276" s="43"/>
    </row>
    <row r="8277" spans="1:16" ht="18" x14ac:dyDescent="0.35">
      <c r="A8277" s="9"/>
      <c r="C8277" s="393"/>
      <c r="E8277" s="394"/>
      <c r="F8277" s="394"/>
      <c r="G8277" s="394"/>
      <c r="I8277" s="368">
        <f t="shared" si="393"/>
        <v>0</v>
      </c>
      <c r="J8277" s="365">
        <f t="shared" si="394"/>
        <v>0</v>
      </c>
      <c r="K8277" s="369">
        <f t="shared" si="395"/>
        <v>6</v>
      </c>
      <c r="L8277" s="369">
        <f>+IF((C8277&gt;='Resultats - informe'!$E$16)*(C8277&lt;='Resultats - informe'!$G$16),1,0)</f>
        <v>1</v>
      </c>
      <c r="M8277" s="369" cm="1">
        <f t="array" ref="M8277">+_xlfn.IFS((C8277&gt;='Resultats - informe'!$D$26)*(C8277&lt;='Resultats - informe'!$E$26),0,(C8277&gt;='Resultats - informe'!$D$27)*(C8277&lt;='Resultats - informe'!$E$27),0,(C8277&gt;='Resultats - informe'!$D$28)*(C8277&lt;='Resultats - informe'!$E$28),0,(C8277&gt;='Resultats - informe'!$D$29)*(C8277&lt;='Resultats - informe'!$E$29),0,1,1)</f>
        <v>0</v>
      </c>
      <c r="N8277" s="366">
        <f>+VLOOKUP(D8277,'Resultats - informe'!$Y$18:$AG$42,'Introducció dades consum'!K8277+1,0)</f>
        <v>0</v>
      </c>
      <c r="O8277" s="370" cm="1">
        <f t="array" ref="O8277">+_xlfn.SWITCH(MONTH(C8277),1,1,2,1,3,1,4,2,5,2,6,3,7,3,8,3,9,3,10,2,11,2,12,1,2)</f>
        <v>1</v>
      </c>
      <c r="P8277" s="43"/>
    </row>
    <row r="8278" spans="1:16" ht="18" x14ac:dyDescent="0.35">
      <c r="A8278" s="9"/>
      <c r="C8278" s="393"/>
      <c r="E8278" s="394"/>
      <c r="F8278" s="394"/>
      <c r="G8278" s="394"/>
      <c r="I8278" s="368">
        <f t="shared" si="393"/>
        <v>0</v>
      </c>
      <c r="J8278" s="365">
        <f t="shared" si="394"/>
        <v>0</v>
      </c>
      <c r="K8278" s="369">
        <f t="shared" si="395"/>
        <v>6</v>
      </c>
      <c r="L8278" s="369">
        <f>+IF((C8278&gt;='Resultats - informe'!$E$16)*(C8278&lt;='Resultats - informe'!$G$16),1,0)</f>
        <v>1</v>
      </c>
      <c r="M8278" s="369" cm="1">
        <f t="array" ref="M8278">+_xlfn.IFS((C8278&gt;='Resultats - informe'!$D$26)*(C8278&lt;='Resultats - informe'!$E$26),0,(C8278&gt;='Resultats - informe'!$D$27)*(C8278&lt;='Resultats - informe'!$E$27),0,(C8278&gt;='Resultats - informe'!$D$28)*(C8278&lt;='Resultats - informe'!$E$28),0,(C8278&gt;='Resultats - informe'!$D$29)*(C8278&lt;='Resultats - informe'!$E$29),0,1,1)</f>
        <v>0</v>
      </c>
      <c r="N8278" s="366">
        <f>+VLOOKUP(D8278,'Resultats - informe'!$Y$18:$AG$42,'Introducció dades consum'!K8278+1,0)</f>
        <v>0</v>
      </c>
      <c r="O8278" s="370" cm="1">
        <f t="array" ref="O8278">+_xlfn.SWITCH(MONTH(C8278),1,1,2,1,3,1,4,2,5,2,6,3,7,3,8,3,9,3,10,2,11,2,12,1,2)</f>
        <v>1</v>
      </c>
      <c r="P8278" s="43"/>
    </row>
    <row r="8279" spans="1:16" ht="18" x14ac:dyDescent="0.35">
      <c r="A8279" s="9"/>
      <c r="C8279" s="393"/>
      <c r="E8279" s="394"/>
      <c r="F8279" s="394"/>
      <c r="G8279" s="394"/>
      <c r="I8279" s="368">
        <f t="shared" si="393"/>
        <v>0</v>
      </c>
      <c r="J8279" s="365">
        <f t="shared" si="394"/>
        <v>0</v>
      </c>
      <c r="K8279" s="369">
        <f t="shared" si="395"/>
        <v>6</v>
      </c>
      <c r="L8279" s="369">
        <f>+IF((C8279&gt;='Resultats - informe'!$E$16)*(C8279&lt;='Resultats - informe'!$G$16),1,0)</f>
        <v>1</v>
      </c>
      <c r="M8279" s="369" cm="1">
        <f t="array" ref="M8279">+_xlfn.IFS((C8279&gt;='Resultats - informe'!$D$26)*(C8279&lt;='Resultats - informe'!$E$26),0,(C8279&gt;='Resultats - informe'!$D$27)*(C8279&lt;='Resultats - informe'!$E$27),0,(C8279&gt;='Resultats - informe'!$D$28)*(C8279&lt;='Resultats - informe'!$E$28),0,(C8279&gt;='Resultats - informe'!$D$29)*(C8279&lt;='Resultats - informe'!$E$29),0,1,1)</f>
        <v>0</v>
      </c>
      <c r="N8279" s="366">
        <f>+VLOOKUP(D8279,'Resultats - informe'!$Y$18:$AG$42,'Introducció dades consum'!K8279+1,0)</f>
        <v>0</v>
      </c>
      <c r="O8279" s="370" cm="1">
        <f t="array" ref="O8279">+_xlfn.SWITCH(MONTH(C8279),1,1,2,1,3,1,4,2,5,2,6,3,7,3,8,3,9,3,10,2,11,2,12,1,2)</f>
        <v>1</v>
      </c>
      <c r="P8279" s="43"/>
    </row>
    <row r="8280" spans="1:16" ht="18" x14ac:dyDescent="0.35">
      <c r="A8280" s="9"/>
      <c r="C8280" s="393"/>
      <c r="E8280" s="394"/>
      <c r="F8280" s="394"/>
      <c r="G8280" s="394"/>
      <c r="I8280" s="368">
        <f t="shared" si="393"/>
        <v>0</v>
      </c>
      <c r="J8280" s="365">
        <f t="shared" si="394"/>
        <v>0</v>
      </c>
      <c r="K8280" s="369">
        <f t="shared" si="395"/>
        <v>6</v>
      </c>
      <c r="L8280" s="369">
        <f>+IF((C8280&gt;='Resultats - informe'!$E$16)*(C8280&lt;='Resultats - informe'!$G$16),1,0)</f>
        <v>1</v>
      </c>
      <c r="M8280" s="369" cm="1">
        <f t="array" ref="M8280">+_xlfn.IFS((C8280&gt;='Resultats - informe'!$D$26)*(C8280&lt;='Resultats - informe'!$E$26),0,(C8280&gt;='Resultats - informe'!$D$27)*(C8280&lt;='Resultats - informe'!$E$27),0,(C8280&gt;='Resultats - informe'!$D$28)*(C8280&lt;='Resultats - informe'!$E$28),0,(C8280&gt;='Resultats - informe'!$D$29)*(C8280&lt;='Resultats - informe'!$E$29),0,1,1)</f>
        <v>0</v>
      </c>
      <c r="N8280" s="366">
        <f>+VLOOKUP(D8280,'Resultats - informe'!$Y$18:$AG$42,'Introducció dades consum'!K8280+1,0)</f>
        <v>0</v>
      </c>
      <c r="O8280" s="370" cm="1">
        <f t="array" ref="O8280">+_xlfn.SWITCH(MONTH(C8280),1,1,2,1,3,1,4,2,5,2,6,3,7,3,8,3,9,3,10,2,11,2,12,1,2)</f>
        <v>1</v>
      </c>
      <c r="P8280" s="43"/>
    </row>
    <row r="8281" spans="1:16" ht="18" x14ac:dyDescent="0.35">
      <c r="A8281" s="9"/>
      <c r="C8281" s="393"/>
      <c r="E8281" s="394"/>
      <c r="F8281" s="394"/>
      <c r="G8281" s="394"/>
      <c r="I8281" s="368">
        <f t="shared" si="393"/>
        <v>0</v>
      </c>
      <c r="J8281" s="365">
        <f t="shared" si="394"/>
        <v>0</v>
      </c>
      <c r="K8281" s="369">
        <f t="shared" si="395"/>
        <v>6</v>
      </c>
      <c r="L8281" s="369">
        <f>+IF((C8281&gt;='Resultats - informe'!$E$16)*(C8281&lt;='Resultats - informe'!$G$16),1,0)</f>
        <v>1</v>
      </c>
      <c r="M8281" s="369" cm="1">
        <f t="array" ref="M8281">+_xlfn.IFS((C8281&gt;='Resultats - informe'!$D$26)*(C8281&lt;='Resultats - informe'!$E$26),0,(C8281&gt;='Resultats - informe'!$D$27)*(C8281&lt;='Resultats - informe'!$E$27),0,(C8281&gt;='Resultats - informe'!$D$28)*(C8281&lt;='Resultats - informe'!$E$28),0,(C8281&gt;='Resultats - informe'!$D$29)*(C8281&lt;='Resultats - informe'!$E$29),0,1,1)</f>
        <v>0</v>
      </c>
      <c r="N8281" s="366">
        <f>+VLOOKUP(D8281,'Resultats - informe'!$Y$18:$AG$42,'Introducció dades consum'!K8281+1,0)</f>
        <v>0</v>
      </c>
      <c r="O8281" s="370" cm="1">
        <f t="array" ref="O8281">+_xlfn.SWITCH(MONTH(C8281),1,1,2,1,3,1,4,2,5,2,6,3,7,3,8,3,9,3,10,2,11,2,12,1,2)</f>
        <v>1</v>
      </c>
      <c r="P8281" s="43"/>
    </row>
    <row r="8282" spans="1:16" ht="18" x14ac:dyDescent="0.35">
      <c r="A8282" s="9"/>
      <c r="C8282" s="393"/>
      <c r="E8282" s="394"/>
      <c r="F8282" s="394"/>
      <c r="G8282" s="394"/>
      <c r="I8282" s="368">
        <f t="shared" si="393"/>
        <v>0</v>
      </c>
      <c r="J8282" s="365">
        <f t="shared" si="394"/>
        <v>0</v>
      </c>
      <c r="K8282" s="369">
        <f t="shared" si="395"/>
        <v>6</v>
      </c>
      <c r="L8282" s="369">
        <f>+IF((C8282&gt;='Resultats - informe'!$E$16)*(C8282&lt;='Resultats - informe'!$G$16),1,0)</f>
        <v>1</v>
      </c>
      <c r="M8282" s="369" cm="1">
        <f t="array" ref="M8282">+_xlfn.IFS((C8282&gt;='Resultats - informe'!$D$26)*(C8282&lt;='Resultats - informe'!$E$26),0,(C8282&gt;='Resultats - informe'!$D$27)*(C8282&lt;='Resultats - informe'!$E$27),0,(C8282&gt;='Resultats - informe'!$D$28)*(C8282&lt;='Resultats - informe'!$E$28),0,(C8282&gt;='Resultats - informe'!$D$29)*(C8282&lt;='Resultats - informe'!$E$29),0,1,1)</f>
        <v>0</v>
      </c>
      <c r="N8282" s="366">
        <f>+VLOOKUP(D8282,'Resultats - informe'!$Y$18:$AG$42,'Introducció dades consum'!K8282+1,0)</f>
        <v>0</v>
      </c>
      <c r="O8282" s="370" cm="1">
        <f t="array" ref="O8282">+_xlfn.SWITCH(MONTH(C8282),1,1,2,1,3,1,4,2,5,2,6,3,7,3,8,3,9,3,10,2,11,2,12,1,2)</f>
        <v>1</v>
      </c>
      <c r="P8282" s="43"/>
    </row>
    <row r="8283" spans="1:16" ht="18" x14ac:dyDescent="0.35">
      <c r="A8283" s="9"/>
      <c r="C8283" s="393"/>
      <c r="E8283" s="394"/>
      <c r="F8283" s="394"/>
      <c r="G8283" s="394"/>
      <c r="I8283" s="368">
        <f t="shared" si="393"/>
        <v>0</v>
      </c>
      <c r="J8283" s="365">
        <f t="shared" si="394"/>
        <v>0</v>
      </c>
      <c r="K8283" s="369">
        <f t="shared" si="395"/>
        <v>6</v>
      </c>
      <c r="L8283" s="369">
        <f>+IF((C8283&gt;='Resultats - informe'!$E$16)*(C8283&lt;='Resultats - informe'!$G$16),1,0)</f>
        <v>1</v>
      </c>
      <c r="M8283" s="369" cm="1">
        <f t="array" ref="M8283">+_xlfn.IFS((C8283&gt;='Resultats - informe'!$D$26)*(C8283&lt;='Resultats - informe'!$E$26),0,(C8283&gt;='Resultats - informe'!$D$27)*(C8283&lt;='Resultats - informe'!$E$27),0,(C8283&gt;='Resultats - informe'!$D$28)*(C8283&lt;='Resultats - informe'!$E$28),0,(C8283&gt;='Resultats - informe'!$D$29)*(C8283&lt;='Resultats - informe'!$E$29),0,1,1)</f>
        <v>0</v>
      </c>
      <c r="N8283" s="366">
        <f>+VLOOKUP(D8283,'Resultats - informe'!$Y$18:$AG$42,'Introducció dades consum'!K8283+1,0)</f>
        <v>0</v>
      </c>
      <c r="O8283" s="370" cm="1">
        <f t="array" ref="O8283">+_xlfn.SWITCH(MONTH(C8283),1,1,2,1,3,1,4,2,5,2,6,3,7,3,8,3,9,3,10,2,11,2,12,1,2)</f>
        <v>1</v>
      </c>
      <c r="P8283" s="43"/>
    </row>
    <row r="8284" spans="1:16" ht="18" x14ac:dyDescent="0.35">
      <c r="A8284" s="9"/>
      <c r="C8284" s="393"/>
      <c r="E8284" s="394"/>
      <c r="F8284" s="394"/>
      <c r="G8284" s="394"/>
      <c r="I8284" s="368">
        <f t="shared" si="393"/>
        <v>0</v>
      </c>
      <c r="J8284" s="365">
        <f t="shared" si="394"/>
        <v>0</v>
      </c>
      <c r="K8284" s="369">
        <f t="shared" si="395"/>
        <v>6</v>
      </c>
      <c r="L8284" s="369">
        <f>+IF((C8284&gt;='Resultats - informe'!$E$16)*(C8284&lt;='Resultats - informe'!$G$16),1,0)</f>
        <v>1</v>
      </c>
      <c r="M8284" s="369" cm="1">
        <f t="array" ref="M8284">+_xlfn.IFS((C8284&gt;='Resultats - informe'!$D$26)*(C8284&lt;='Resultats - informe'!$E$26),0,(C8284&gt;='Resultats - informe'!$D$27)*(C8284&lt;='Resultats - informe'!$E$27),0,(C8284&gt;='Resultats - informe'!$D$28)*(C8284&lt;='Resultats - informe'!$E$28),0,(C8284&gt;='Resultats - informe'!$D$29)*(C8284&lt;='Resultats - informe'!$E$29),0,1,1)</f>
        <v>0</v>
      </c>
      <c r="N8284" s="366">
        <f>+VLOOKUP(D8284,'Resultats - informe'!$Y$18:$AG$42,'Introducció dades consum'!K8284+1,0)</f>
        <v>0</v>
      </c>
      <c r="O8284" s="370" cm="1">
        <f t="array" ref="O8284">+_xlfn.SWITCH(MONTH(C8284),1,1,2,1,3,1,4,2,5,2,6,3,7,3,8,3,9,3,10,2,11,2,12,1,2)</f>
        <v>1</v>
      </c>
      <c r="P8284" s="43"/>
    </row>
    <row r="8285" spans="1:16" ht="18" x14ac:dyDescent="0.35">
      <c r="A8285" s="9"/>
      <c r="C8285" s="393"/>
      <c r="E8285" s="394"/>
      <c r="F8285" s="394"/>
      <c r="G8285" s="394"/>
      <c r="I8285" s="368">
        <f t="shared" si="393"/>
        <v>0</v>
      </c>
      <c r="J8285" s="365">
        <f t="shared" si="394"/>
        <v>0</v>
      </c>
      <c r="K8285" s="369">
        <f t="shared" si="395"/>
        <v>6</v>
      </c>
      <c r="L8285" s="369">
        <f>+IF((C8285&gt;='Resultats - informe'!$E$16)*(C8285&lt;='Resultats - informe'!$G$16),1,0)</f>
        <v>1</v>
      </c>
      <c r="M8285" s="369" cm="1">
        <f t="array" ref="M8285">+_xlfn.IFS((C8285&gt;='Resultats - informe'!$D$26)*(C8285&lt;='Resultats - informe'!$E$26),0,(C8285&gt;='Resultats - informe'!$D$27)*(C8285&lt;='Resultats - informe'!$E$27),0,(C8285&gt;='Resultats - informe'!$D$28)*(C8285&lt;='Resultats - informe'!$E$28),0,(C8285&gt;='Resultats - informe'!$D$29)*(C8285&lt;='Resultats - informe'!$E$29),0,1,1)</f>
        <v>0</v>
      </c>
      <c r="N8285" s="366">
        <f>+VLOOKUP(D8285,'Resultats - informe'!$Y$18:$AG$42,'Introducció dades consum'!K8285+1,0)</f>
        <v>0</v>
      </c>
      <c r="O8285" s="370" cm="1">
        <f t="array" ref="O8285">+_xlfn.SWITCH(MONTH(C8285),1,1,2,1,3,1,4,2,5,2,6,3,7,3,8,3,9,3,10,2,11,2,12,1,2)</f>
        <v>1</v>
      </c>
      <c r="P8285" s="43"/>
    </row>
    <row r="8286" spans="1:16" ht="18" x14ac:dyDescent="0.35">
      <c r="A8286" s="9"/>
      <c r="C8286" s="393"/>
      <c r="E8286" s="394"/>
      <c r="F8286" s="394"/>
      <c r="G8286" s="394"/>
      <c r="I8286" s="368">
        <f t="shared" si="393"/>
        <v>0</v>
      </c>
      <c r="J8286" s="365">
        <f t="shared" si="394"/>
        <v>0</v>
      </c>
      <c r="K8286" s="369">
        <f t="shared" si="395"/>
        <v>6</v>
      </c>
      <c r="L8286" s="369">
        <f>+IF((C8286&gt;='Resultats - informe'!$E$16)*(C8286&lt;='Resultats - informe'!$G$16),1,0)</f>
        <v>1</v>
      </c>
      <c r="M8286" s="369" cm="1">
        <f t="array" ref="M8286">+_xlfn.IFS((C8286&gt;='Resultats - informe'!$D$26)*(C8286&lt;='Resultats - informe'!$E$26),0,(C8286&gt;='Resultats - informe'!$D$27)*(C8286&lt;='Resultats - informe'!$E$27),0,(C8286&gt;='Resultats - informe'!$D$28)*(C8286&lt;='Resultats - informe'!$E$28),0,(C8286&gt;='Resultats - informe'!$D$29)*(C8286&lt;='Resultats - informe'!$E$29),0,1,1)</f>
        <v>0</v>
      </c>
      <c r="N8286" s="366">
        <f>+VLOOKUP(D8286,'Resultats - informe'!$Y$18:$AG$42,'Introducció dades consum'!K8286+1,0)</f>
        <v>0</v>
      </c>
      <c r="O8286" s="370" cm="1">
        <f t="array" ref="O8286">+_xlfn.SWITCH(MONTH(C8286),1,1,2,1,3,1,4,2,5,2,6,3,7,3,8,3,9,3,10,2,11,2,12,1,2)</f>
        <v>1</v>
      </c>
      <c r="P8286" s="43"/>
    </row>
    <row r="8287" spans="1:16" ht="18" x14ac:dyDescent="0.35">
      <c r="A8287" s="9"/>
      <c r="C8287" s="393"/>
      <c r="E8287" s="394"/>
      <c r="F8287" s="394"/>
      <c r="G8287" s="394"/>
      <c r="I8287" s="368">
        <f t="shared" si="393"/>
        <v>0</v>
      </c>
      <c r="J8287" s="365">
        <f t="shared" si="394"/>
        <v>0</v>
      </c>
      <c r="K8287" s="369">
        <f t="shared" si="395"/>
        <v>6</v>
      </c>
      <c r="L8287" s="369">
        <f>+IF((C8287&gt;='Resultats - informe'!$E$16)*(C8287&lt;='Resultats - informe'!$G$16),1,0)</f>
        <v>1</v>
      </c>
      <c r="M8287" s="369" cm="1">
        <f t="array" ref="M8287">+_xlfn.IFS((C8287&gt;='Resultats - informe'!$D$26)*(C8287&lt;='Resultats - informe'!$E$26),0,(C8287&gt;='Resultats - informe'!$D$27)*(C8287&lt;='Resultats - informe'!$E$27),0,(C8287&gt;='Resultats - informe'!$D$28)*(C8287&lt;='Resultats - informe'!$E$28),0,(C8287&gt;='Resultats - informe'!$D$29)*(C8287&lt;='Resultats - informe'!$E$29),0,1,1)</f>
        <v>0</v>
      </c>
      <c r="N8287" s="366">
        <f>+VLOOKUP(D8287,'Resultats - informe'!$Y$18:$AG$42,'Introducció dades consum'!K8287+1,0)</f>
        <v>0</v>
      </c>
      <c r="O8287" s="370" cm="1">
        <f t="array" ref="O8287">+_xlfn.SWITCH(MONTH(C8287),1,1,2,1,3,1,4,2,5,2,6,3,7,3,8,3,9,3,10,2,11,2,12,1,2)</f>
        <v>1</v>
      </c>
      <c r="P8287" s="43"/>
    </row>
    <row r="8288" spans="1:16" ht="18" x14ac:dyDescent="0.35">
      <c r="A8288" s="9"/>
      <c r="C8288" s="393"/>
      <c r="E8288" s="394"/>
      <c r="F8288" s="394"/>
      <c r="G8288" s="394"/>
      <c r="I8288" s="368">
        <f t="shared" si="393"/>
        <v>0</v>
      </c>
      <c r="J8288" s="365">
        <f t="shared" si="394"/>
        <v>0</v>
      </c>
      <c r="K8288" s="369">
        <f t="shared" si="395"/>
        <v>6</v>
      </c>
      <c r="L8288" s="369">
        <f>+IF((C8288&gt;='Resultats - informe'!$E$16)*(C8288&lt;='Resultats - informe'!$G$16),1,0)</f>
        <v>1</v>
      </c>
      <c r="M8288" s="369" cm="1">
        <f t="array" ref="M8288">+_xlfn.IFS((C8288&gt;='Resultats - informe'!$D$26)*(C8288&lt;='Resultats - informe'!$E$26),0,(C8288&gt;='Resultats - informe'!$D$27)*(C8288&lt;='Resultats - informe'!$E$27),0,(C8288&gt;='Resultats - informe'!$D$28)*(C8288&lt;='Resultats - informe'!$E$28),0,(C8288&gt;='Resultats - informe'!$D$29)*(C8288&lt;='Resultats - informe'!$E$29),0,1,1)</f>
        <v>0</v>
      </c>
      <c r="N8288" s="366">
        <f>+VLOOKUP(D8288,'Resultats - informe'!$Y$18:$AG$42,'Introducció dades consum'!K8288+1,0)</f>
        <v>0</v>
      </c>
      <c r="O8288" s="370" cm="1">
        <f t="array" ref="O8288">+_xlfn.SWITCH(MONTH(C8288),1,1,2,1,3,1,4,2,5,2,6,3,7,3,8,3,9,3,10,2,11,2,12,1,2)</f>
        <v>1</v>
      </c>
      <c r="P8288" s="43"/>
    </row>
    <row r="8289" spans="1:16" ht="18" x14ac:dyDescent="0.35">
      <c r="A8289" s="9"/>
      <c r="C8289" s="393"/>
      <c r="E8289" s="394"/>
      <c r="F8289" s="394"/>
      <c r="G8289" s="394"/>
      <c r="I8289" s="368">
        <f t="shared" si="393"/>
        <v>0</v>
      </c>
      <c r="J8289" s="365">
        <f t="shared" si="394"/>
        <v>0</v>
      </c>
      <c r="K8289" s="369">
        <f t="shared" si="395"/>
        <v>6</v>
      </c>
      <c r="L8289" s="369">
        <f>+IF((C8289&gt;='Resultats - informe'!$E$16)*(C8289&lt;='Resultats - informe'!$G$16),1,0)</f>
        <v>1</v>
      </c>
      <c r="M8289" s="369" cm="1">
        <f t="array" ref="M8289">+_xlfn.IFS((C8289&gt;='Resultats - informe'!$D$26)*(C8289&lt;='Resultats - informe'!$E$26),0,(C8289&gt;='Resultats - informe'!$D$27)*(C8289&lt;='Resultats - informe'!$E$27),0,(C8289&gt;='Resultats - informe'!$D$28)*(C8289&lt;='Resultats - informe'!$E$28),0,(C8289&gt;='Resultats - informe'!$D$29)*(C8289&lt;='Resultats - informe'!$E$29),0,1,1)</f>
        <v>0</v>
      </c>
      <c r="N8289" s="366">
        <f>+VLOOKUP(D8289,'Resultats - informe'!$Y$18:$AG$42,'Introducció dades consum'!K8289+1,0)</f>
        <v>0</v>
      </c>
      <c r="O8289" s="370" cm="1">
        <f t="array" ref="O8289">+_xlfn.SWITCH(MONTH(C8289),1,1,2,1,3,1,4,2,5,2,6,3,7,3,8,3,9,3,10,2,11,2,12,1,2)</f>
        <v>1</v>
      </c>
      <c r="P8289" s="43"/>
    </row>
    <row r="8290" spans="1:16" ht="18" x14ac:dyDescent="0.35">
      <c r="A8290" s="9"/>
      <c r="C8290" s="393"/>
      <c r="E8290" s="394"/>
      <c r="F8290" s="394"/>
      <c r="G8290" s="394"/>
      <c r="I8290" s="368">
        <f t="shared" si="393"/>
        <v>0</v>
      </c>
      <c r="J8290" s="365">
        <f t="shared" si="394"/>
        <v>0</v>
      </c>
      <c r="K8290" s="369">
        <f t="shared" si="395"/>
        <v>6</v>
      </c>
      <c r="L8290" s="369">
        <f>+IF((C8290&gt;='Resultats - informe'!$E$16)*(C8290&lt;='Resultats - informe'!$G$16),1,0)</f>
        <v>1</v>
      </c>
      <c r="M8290" s="369" cm="1">
        <f t="array" ref="M8290">+_xlfn.IFS((C8290&gt;='Resultats - informe'!$D$26)*(C8290&lt;='Resultats - informe'!$E$26),0,(C8290&gt;='Resultats - informe'!$D$27)*(C8290&lt;='Resultats - informe'!$E$27),0,(C8290&gt;='Resultats - informe'!$D$28)*(C8290&lt;='Resultats - informe'!$E$28),0,(C8290&gt;='Resultats - informe'!$D$29)*(C8290&lt;='Resultats - informe'!$E$29),0,1,1)</f>
        <v>0</v>
      </c>
      <c r="N8290" s="366">
        <f>+VLOOKUP(D8290,'Resultats - informe'!$Y$18:$AG$42,'Introducció dades consum'!K8290+1,0)</f>
        <v>0</v>
      </c>
      <c r="O8290" s="370" cm="1">
        <f t="array" ref="O8290">+_xlfn.SWITCH(MONTH(C8290),1,1,2,1,3,1,4,2,5,2,6,3,7,3,8,3,9,3,10,2,11,2,12,1,2)</f>
        <v>1</v>
      </c>
      <c r="P8290" s="43"/>
    </row>
    <row r="8291" spans="1:16" ht="18" x14ac:dyDescent="0.35">
      <c r="A8291" s="9"/>
      <c r="C8291" s="393"/>
      <c r="E8291" s="394"/>
      <c r="F8291" s="394"/>
      <c r="G8291" s="394"/>
      <c r="I8291" s="368">
        <f t="shared" si="393"/>
        <v>0</v>
      </c>
      <c r="J8291" s="365">
        <f t="shared" si="394"/>
        <v>0</v>
      </c>
      <c r="K8291" s="369">
        <f t="shared" si="395"/>
        <v>6</v>
      </c>
      <c r="L8291" s="369">
        <f>+IF((C8291&gt;='Resultats - informe'!$E$16)*(C8291&lt;='Resultats - informe'!$G$16),1,0)</f>
        <v>1</v>
      </c>
      <c r="M8291" s="369" cm="1">
        <f t="array" ref="M8291">+_xlfn.IFS((C8291&gt;='Resultats - informe'!$D$26)*(C8291&lt;='Resultats - informe'!$E$26),0,(C8291&gt;='Resultats - informe'!$D$27)*(C8291&lt;='Resultats - informe'!$E$27),0,(C8291&gt;='Resultats - informe'!$D$28)*(C8291&lt;='Resultats - informe'!$E$28),0,(C8291&gt;='Resultats - informe'!$D$29)*(C8291&lt;='Resultats - informe'!$E$29),0,1,1)</f>
        <v>0</v>
      </c>
      <c r="N8291" s="366">
        <f>+VLOOKUP(D8291,'Resultats - informe'!$Y$18:$AG$42,'Introducció dades consum'!K8291+1,0)</f>
        <v>0</v>
      </c>
      <c r="O8291" s="370" cm="1">
        <f t="array" ref="O8291">+_xlfn.SWITCH(MONTH(C8291),1,1,2,1,3,1,4,2,5,2,6,3,7,3,8,3,9,3,10,2,11,2,12,1,2)</f>
        <v>1</v>
      </c>
      <c r="P8291" s="43"/>
    </row>
    <row r="8292" spans="1:16" ht="18" x14ac:dyDescent="0.35">
      <c r="A8292" s="9"/>
      <c r="C8292" s="393"/>
      <c r="E8292" s="394"/>
      <c r="F8292" s="394"/>
      <c r="G8292" s="394"/>
      <c r="I8292" s="368">
        <f t="shared" si="393"/>
        <v>0</v>
      </c>
      <c r="J8292" s="365">
        <f t="shared" si="394"/>
        <v>0</v>
      </c>
      <c r="K8292" s="369">
        <f t="shared" si="395"/>
        <v>6</v>
      </c>
      <c r="L8292" s="369">
        <f>+IF((C8292&gt;='Resultats - informe'!$E$16)*(C8292&lt;='Resultats - informe'!$G$16),1,0)</f>
        <v>1</v>
      </c>
      <c r="M8292" s="369" cm="1">
        <f t="array" ref="M8292">+_xlfn.IFS((C8292&gt;='Resultats - informe'!$D$26)*(C8292&lt;='Resultats - informe'!$E$26),0,(C8292&gt;='Resultats - informe'!$D$27)*(C8292&lt;='Resultats - informe'!$E$27),0,(C8292&gt;='Resultats - informe'!$D$28)*(C8292&lt;='Resultats - informe'!$E$28),0,(C8292&gt;='Resultats - informe'!$D$29)*(C8292&lt;='Resultats - informe'!$E$29),0,1,1)</f>
        <v>0</v>
      </c>
      <c r="N8292" s="366">
        <f>+VLOOKUP(D8292,'Resultats - informe'!$Y$18:$AG$42,'Introducció dades consum'!K8292+1,0)</f>
        <v>0</v>
      </c>
      <c r="O8292" s="370" cm="1">
        <f t="array" ref="O8292">+_xlfn.SWITCH(MONTH(C8292),1,1,2,1,3,1,4,2,5,2,6,3,7,3,8,3,9,3,10,2,11,2,12,1,2)</f>
        <v>1</v>
      </c>
      <c r="P8292" s="43"/>
    </row>
    <row r="8293" spans="1:16" ht="18" x14ac:dyDescent="0.35">
      <c r="A8293" s="9"/>
      <c r="C8293" s="393"/>
      <c r="E8293" s="394"/>
      <c r="F8293" s="394"/>
      <c r="G8293" s="394"/>
      <c r="I8293" s="368">
        <f t="shared" si="393"/>
        <v>0</v>
      </c>
      <c r="J8293" s="365">
        <f t="shared" si="394"/>
        <v>0</v>
      </c>
      <c r="K8293" s="369">
        <f t="shared" si="395"/>
        <v>6</v>
      </c>
      <c r="L8293" s="369">
        <f>+IF((C8293&gt;='Resultats - informe'!$E$16)*(C8293&lt;='Resultats - informe'!$G$16),1,0)</f>
        <v>1</v>
      </c>
      <c r="M8293" s="369" cm="1">
        <f t="array" ref="M8293">+_xlfn.IFS((C8293&gt;='Resultats - informe'!$D$26)*(C8293&lt;='Resultats - informe'!$E$26),0,(C8293&gt;='Resultats - informe'!$D$27)*(C8293&lt;='Resultats - informe'!$E$27),0,(C8293&gt;='Resultats - informe'!$D$28)*(C8293&lt;='Resultats - informe'!$E$28),0,(C8293&gt;='Resultats - informe'!$D$29)*(C8293&lt;='Resultats - informe'!$E$29),0,1,1)</f>
        <v>0</v>
      </c>
      <c r="N8293" s="366">
        <f>+VLOOKUP(D8293,'Resultats - informe'!$Y$18:$AG$42,'Introducció dades consum'!K8293+1,0)</f>
        <v>0</v>
      </c>
      <c r="O8293" s="370" cm="1">
        <f t="array" ref="O8293">+_xlfn.SWITCH(MONTH(C8293),1,1,2,1,3,1,4,2,5,2,6,3,7,3,8,3,9,3,10,2,11,2,12,1,2)</f>
        <v>1</v>
      </c>
      <c r="P8293" s="43"/>
    </row>
    <row r="8294" spans="1:16" ht="18" x14ac:dyDescent="0.35">
      <c r="A8294" s="9"/>
      <c r="C8294" s="393"/>
      <c r="E8294" s="394"/>
      <c r="F8294" s="394"/>
      <c r="G8294" s="394"/>
      <c r="I8294" s="368">
        <f t="shared" si="393"/>
        <v>0</v>
      </c>
      <c r="J8294" s="365">
        <f t="shared" si="394"/>
        <v>0</v>
      </c>
      <c r="K8294" s="369">
        <f t="shared" si="395"/>
        <v>6</v>
      </c>
      <c r="L8294" s="369">
        <f>+IF((C8294&gt;='Resultats - informe'!$E$16)*(C8294&lt;='Resultats - informe'!$G$16),1,0)</f>
        <v>1</v>
      </c>
      <c r="M8294" s="369" cm="1">
        <f t="array" ref="M8294">+_xlfn.IFS((C8294&gt;='Resultats - informe'!$D$26)*(C8294&lt;='Resultats - informe'!$E$26),0,(C8294&gt;='Resultats - informe'!$D$27)*(C8294&lt;='Resultats - informe'!$E$27),0,(C8294&gt;='Resultats - informe'!$D$28)*(C8294&lt;='Resultats - informe'!$E$28),0,(C8294&gt;='Resultats - informe'!$D$29)*(C8294&lt;='Resultats - informe'!$E$29),0,1,1)</f>
        <v>0</v>
      </c>
      <c r="N8294" s="366">
        <f>+VLOOKUP(D8294,'Resultats - informe'!$Y$18:$AG$42,'Introducció dades consum'!K8294+1,0)</f>
        <v>0</v>
      </c>
      <c r="O8294" s="370" cm="1">
        <f t="array" ref="O8294">+_xlfn.SWITCH(MONTH(C8294),1,1,2,1,3,1,4,2,5,2,6,3,7,3,8,3,9,3,10,2,11,2,12,1,2)</f>
        <v>1</v>
      </c>
      <c r="P8294" s="43"/>
    </row>
    <row r="8295" spans="1:16" ht="18" x14ac:dyDescent="0.35">
      <c r="A8295" s="9"/>
      <c r="C8295" s="393"/>
      <c r="E8295" s="394"/>
      <c r="F8295" s="394"/>
      <c r="G8295" s="394"/>
      <c r="I8295" s="368">
        <f t="shared" si="393"/>
        <v>0</v>
      </c>
      <c r="J8295" s="365">
        <f t="shared" si="394"/>
        <v>0</v>
      </c>
      <c r="K8295" s="369">
        <f t="shared" si="395"/>
        <v>6</v>
      </c>
      <c r="L8295" s="369">
        <f>+IF((C8295&gt;='Resultats - informe'!$E$16)*(C8295&lt;='Resultats - informe'!$G$16),1,0)</f>
        <v>1</v>
      </c>
      <c r="M8295" s="369" cm="1">
        <f t="array" ref="M8295">+_xlfn.IFS((C8295&gt;='Resultats - informe'!$D$26)*(C8295&lt;='Resultats - informe'!$E$26),0,(C8295&gt;='Resultats - informe'!$D$27)*(C8295&lt;='Resultats - informe'!$E$27),0,(C8295&gt;='Resultats - informe'!$D$28)*(C8295&lt;='Resultats - informe'!$E$28),0,(C8295&gt;='Resultats - informe'!$D$29)*(C8295&lt;='Resultats - informe'!$E$29),0,1,1)</f>
        <v>0</v>
      </c>
      <c r="N8295" s="366">
        <f>+VLOOKUP(D8295,'Resultats - informe'!$Y$18:$AG$42,'Introducció dades consum'!K8295+1,0)</f>
        <v>0</v>
      </c>
      <c r="O8295" s="370" cm="1">
        <f t="array" ref="O8295">+_xlfn.SWITCH(MONTH(C8295),1,1,2,1,3,1,4,2,5,2,6,3,7,3,8,3,9,3,10,2,11,2,12,1,2)</f>
        <v>1</v>
      </c>
      <c r="P8295" s="43"/>
    </row>
    <row r="8296" spans="1:16" ht="18" x14ac:dyDescent="0.35">
      <c r="A8296" s="9"/>
      <c r="C8296" s="393"/>
      <c r="E8296" s="394"/>
      <c r="F8296" s="394"/>
      <c r="G8296" s="394"/>
      <c r="I8296" s="368">
        <f t="shared" si="393"/>
        <v>0</v>
      </c>
      <c r="J8296" s="365">
        <f t="shared" si="394"/>
        <v>0</v>
      </c>
      <c r="K8296" s="369">
        <f t="shared" si="395"/>
        <v>6</v>
      </c>
      <c r="L8296" s="369">
        <f>+IF((C8296&gt;='Resultats - informe'!$E$16)*(C8296&lt;='Resultats - informe'!$G$16),1,0)</f>
        <v>1</v>
      </c>
      <c r="M8296" s="369" cm="1">
        <f t="array" ref="M8296">+_xlfn.IFS((C8296&gt;='Resultats - informe'!$D$26)*(C8296&lt;='Resultats - informe'!$E$26),0,(C8296&gt;='Resultats - informe'!$D$27)*(C8296&lt;='Resultats - informe'!$E$27),0,(C8296&gt;='Resultats - informe'!$D$28)*(C8296&lt;='Resultats - informe'!$E$28),0,(C8296&gt;='Resultats - informe'!$D$29)*(C8296&lt;='Resultats - informe'!$E$29),0,1,1)</f>
        <v>0</v>
      </c>
      <c r="N8296" s="366">
        <f>+VLOOKUP(D8296,'Resultats - informe'!$Y$18:$AG$42,'Introducció dades consum'!K8296+1,0)</f>
        <v>0</v>
      </c>
      <c r="O8296" s="370" cm="1">
        <f t="array" ref="O8296">+_xlfn.SWITCH(MONTH(C8296),1,1,2,1,3,1,4,2,5,2,6,3,7,3,8,3,9,3,10,2,11,2,12,1,2)</f>
        <v>1</v>
      </c>
      <c r="P8296" s="43"/>
    </row>
    <row r="8297" spans="1:16" ht="18" x14ac:dyDescent="0.35">
      <c r="A8297" s="9"/>
      <c r="C8297" s="393"/>
      <c r="E8297" s="394"/>
      <c r="F8297" s="394"/>
      <c r="G8297" s="394"/>
      <c r="I8297" s="368">
        <f t="shared" si="393"/>
        <v>0</v>
      </c>
      <c r="J8297" s="365">
        <f t="shared" si="394"/>
        <v>0</v>
      </c>
      <c r="K8297" s="369">
        <f t="shared" si="395"/>
        <v>6</v>
      </c>
      <c r="L8297" s="369">
        <f>+IF((C8297&gt;='Resultats - informe'!$E$16)*(C8297&lt;='Resultats - informe'!$G$16),1,0)</f>
        <v>1</v>
      </c>
      <c r="M8297" s="369" cm="1">
        <f t="array" ref="M8297">+_xlfn.IFS((C8297&gt;='Resultats - informe'!$D$26)*(C8297&lt;='Resultats - informe'!$E$26),0,(C8297&gt;='Resultats - informe'!$D$27)*(C8297&lt;='Resultats - informe'!$E$27),0,(C8297&gt;='Resultats - informe'!$D$28)*(C8297&lt;='Resultats - informe'!$E$28),0,(C8297&gt;='Resultats - informe'!$D$29)*(C8297&lt;='Resultats - informe'!$E$29),0,1,1)</f>
        <v>0</v>
      </c>
      <c r="N8297" s="366">
        <f>+VLOOKUP(D8297,'Resultats - informe'!$Y$18:$AG$42,'Introducció dades consum'!K8297+1,0)</f>
        <v>0</v>
      </c>
      <c r="O8297" s="370" cm="1">
        <f t="array" ref="O8297">+_xlfn.SWITCH(MONTH(C8297),1,1,2,1,3,1,4,2,5,2,6,3,7,3,8,3,9,3,10,2,11,2,12,1,2)</f>
        <v>1</v>
      </c>
      <c r="P8297" s="43"/>
    </row>
    <row r="8298" spans="1:16" ht="18" x14ac:dyDescent="0.35">
      <c r="A8298" s="9"/>
      <c r="C8298" s="393"/>
      <c r="E8298" s="394"/>
      <c r="F8298" s="394"/>
      <c r="G8298" s="394"/>
      <c r="I8298" s="368">
        <f t="shared" si="393"/>
        <v>0</v>
      </c>
      <c r="J8298" s="365">
        <f t="shared" si="394"/>
        <v>0</v>
      </c>
      <c r="K8298" s="369">
        <f t="shared" si="395"/>
        <v>6</v>
      </c>
      <c r="L8298" s="369">
        <f>+IF((C8298&gt;='Resultats - informe'!$E$16)*(C8298&lt;='Resultats - informe'!$G$16),1,0)</f>
        <v>1</v>
      </c>
      <c r="M8298" s="369" cm="1">
        <f t="array" ref="M8298">+_xlfn.IFS((C8298&gt;='Resultats - informe'!$D$26)*(C8298&lt;='Resultats - informe'!$E$26),0,(C8298&gt;='Resultats - informe'!$D$27)*(C8298&lt;='Resultats - informe'!$E$27),0,(C8298&gt;='Resultats - informe'!$D$28)*(C8298&lt;='Resultats - informe'!$E$28),0,(C8298&gt;='Resultats - informe'!$D$29)*(C8298&lt;='Resultats - informe'!$E$29),0,1,1)</f>
        <v>0</v>
      </c>
      <c r="N8298" s="366">
        <f>+VLOOKUP(D8298,'Resultats - informe'!$Y$18:$AG$42,'Introducció dades consum'!K8298+1,0)</f>
        <v>0</v>
      </c>
      <c r="O8298" s="370" cm="1">
        <f t="array" ref="O8298">+_xlfn.SWITCH(MONTH(C8298),1,1,2,1,3,1,4,2,5,2,6,3,7,3,8,3,9,3,10,2,11,2,12,1,2)</f>
        <v>1</v>
      </c>
      <c r="P8298" s="43"/>
    </row>
    <row r="8299" spans="1:16" ht="18" x14ac:dyDescent="0.35">
      <c r="A8299" s="9"/>
      <c r="C8299" s="393"/>
      <c r="E8299" s="394"/>
      <c r="F8299" s="394"/>
      <c r="G8299" s="394"/>
      <c r="I8299" s="368">
        <f t="shared" si="393"/>
        <v>0</v>
      </c>
      <c r="J8299" s="365">
        <f t="shared" si="394"/>
        <v>0</v>
      </c>
      <c r="K8299" s="369">
        <f t="shared" si="395"/>
        <v>6</v>
      </c>
      <c r="L8299" s="369">
        <f>+IF((C8299&gt;='Resultats - informe'!$E$16)*(C8299&lt;='Resultats - informe'!$G$16),1,0)</f>
        <v>1</v>
      </c>
      <c r="M8299" s="369" cm="1">
        <f t="array" ref="M8299">+_xlfn.IFS((C8299&gt;='Resultats - informe'!$D$26)*(C8299&lt;='Resultats - informe'!$E$26),0,(C8299&gt;='Resultats - informe'!$D$27)*(C8299&lt;='Resultats - informe'!$E$27),0,(C8299&gt;='Resultats - informe'!$D$28)*(C8299&lt;='Resultats - informe'!$E$28),0,(C8299&gt;='Resultats - informe'!$D$29)*(C8299&lt;='Resultats - informe'!$E$29),0,1,1)</f>
        <v>0</v>
      </c>
      <c r="N8299" s="366">
        <f>+VLOOKUP(D8299,'Resultats - informe'!$Y$18:$AG$42,'Introducció dades consum'!K8299+1,0)</f>
        <v>0</v>
      </c>
      <c r="O8299" s="370" cm="1">
        <f t="array" ref="O8299">+_xlfn.SWITCH(MONTH(C8299),1,1,2,1,3,1,4,2,5,2,6,3,7,3,8,3,9,3,10,2,11,2,12,1,2)</f>
        <v>1</v>
      </c>
      <c r="P8299" s="43"/>
    </row>
    <row r="8300" spans="1:16" ht="18" x14ac:dyDescent="0.35">
      <c r="A8300" s="9"/>
      <c r="C8300" s="393"/>
      <c r="E8300" s="394"/>
      <c r="F8300" s="394"/>
      <c r="G8300" s="394"/>
      <c r="I8300" s="368">
        <f t="shared" si="393"/>
        <v>0</v>
      </c>
      <c r="J8300" s="365">
        <f t="shared" si="394"/>
        <v>0</v>
      </c>
      <c r="K8300" s="369">
        <f t="shared" si="395"/>
        <v>6</v>
      </c>
      <c r="L8300" s="369">
        <f>+IF((C8300&gt;='Resultats - informe'!$E$16)*(C8300&lt;='Resultats - informe'!$G$16),1,0)</f>
        <v>1</v>
      </c>
      <c r="M8300" s="369" cm="1">
        <f t="array" ref="M8300">+_xlfn.IFS((C8300&gt;='Resultats - informe'!$D$26)*(C8300&lt;='Resultats - informe'!$E$26),0,(C8300&gt;='Resultats - informe'!$D$27)*(C8300&lt;='Resultats - informe'!$E$27),0,(C8300&gt;='Resultats - informe'!$D$28)*(C8300&lt;='Resultats - informe'!$E$28),0,(C8300&gt;='Resultats - informe'!$D$29)*(C8300&lt;='Resultats - informe'!$E$29),0,1,1)</f>
        <v>0</v>
      </c>
      <c r="N8300" s="366">
        <f>+VLOOKUP(D8300,'Resultats - informe'!$Y$18:$AG$42,'Introducció dades consum'!K8300+1,0)</f>
        <v>0</v>
      </c>
      <c r="O8300" s="370" cm="1">
        <f t="array" ref="O8300">+_xlfn.SWITCH(MONTH(C8300),1,1,2,1,3,1,4,2,5,2,6,3,7,3,8,3,9,3,10,2,11,2,12,1,2)</f>
        <v>1</v>
      </c>
      <c r="P8300" s="43"/>
    </row>
    <row r="8301" spans="1:16" ht="18" x14ac:dyDescent="0.35">
      <c r="A8301" s="9"/>
      <c r="C8301" s="393"/>
      <c r="E8301" s="394"/>
      <c r="F8301" s="394"/>
      <c r="G8301" s="394"/>
      <c r="I8301" s="368">
        <f t="shared" si="393"/>
        <v>0</v>
      </c>
      <c r="J8301" s="365">
        <f t="shared" si="394"/>
        <v>0</v>
      </c>
      <c r="K8301" s="369">
        <f t="shared" si="395"/>
        <v>6</v>
      </c>
      <c r="L8301" s="369">
        <f>+IF((C8301&gt;='Resultats - informe'!$E$16)*(C8301&lt;='Resultats - informe'!$G$16),1,0)</f>
        <v>1</v>
      </c>
      <c r="M8301" s="369" cm="1">
        <f t="array" ref="M8301">+_xlfn.IFS((C8301&gt;='Resultats - informe'!$D$26)*(C8301&lt;='Resultats - informe'!$E$26),0,(C8301&gt;='Resultats - informe'!$D$27)*(C8301&lt;='Resultats - informe'!$E$27),0,(C8301&gt;='Resultats - informe'!$D$28)*(C8301&lt;='Resultats - informe'!$E$28),0,(C8301&gt;='Resultats - informe'!$D$29)*(C8301&lt;='Resultats - informe'!$E$29),0,1,1)</f>
        <v>0</v>
      </c>
      <c r="N8301" s="366">
        <f>+VLOOKUP(D8301,'Resultats - informe'!$Y$18:$AG$42,'Introducció dades consum'!K8301+1,0)</f>
        <v>0</v>
      </c>
      <c r="O8301" s="370" cm="1">
        <f t="array" ref="O8301">+_xlfn.SWITCH(MONTH(C8301),1,1,2,1,3,1,4,2,5,2,6,3,7,3,8,3,9,3,10,2,11,2,12,1,2)</f>
        <v>1</v>
      </c>
      <c r="P8301" s="43"/>
    </row>
    <row r="8302" spans="1:16" ht="18" x14ac:dyDescent="0.35">
      <c r="A8302" s="9"/>
      <c r="C8302" s="393"/>
      <c r="E8302" s="394"/>
      <c r="F8302" s="394"/>
      <c r="G8302" s="394"/>
      <c r="I8302" s="368">
        <f t="shared" si="393"/>
        <v>0</v>
      </c>
      <c r="J8302" s="365">
        <f t="shared" si="394"/>
        <v>0</v>
      </c>
      <c r="K8302" s="369">
        <f t="shared" si="395"/>
        <v>6</v>
      </c>
      <c r="L8302" s="369">
        <f>+IF((C8302&gt;='Resultats - informe'!$E$16)*(C8302&lt;='Resultats - informe'!$G$16),1,0)</f>
        <v>1</v>
      </c>
      <c r="M8302" s="369" cm="1">
        <f t="array" ref="M8302">+_xlfn.IFS((C8302&gt;='Resultats - informe'!$D$26)*(C8302&lt;='Resultats - informe'!$E$26),0,(C8302&gt;='Resultats - informe'!$D$27)*(C8302&lt;='Resultats - informe'!$E$27),0,(C8302&gt;='Resultats - informe'!$D$28)*(C8302&lt;='Resultats - informe'!$E$28),0,(C8302&gt;='Resultats - informe'!$D$29)*(C8302&lt;='Resultats - informe'!$E$29),0,1,1)</f>
        <v>0</v>
      </c>
      <c r="N8302" s="366">
        <f>+VLOOKUP(D8302,'Resultats - informe'!$Y$18:$AG$42,'Introducció dades consum'!K8302+1,0)</f>
        <v>0</v>
      </c>
      <c r="O8302" s="370" cm="1">
        <f t="array" ref="O8302">+_xlfn.SWITCH(MONTH(C8302),1,1,2,1,3,1,4,2,5,2,6,3,7,3,8,3,9,3,10,2,11,2,12,1,2)</f>
        <v>1</v>
      </c>
      <c r="P8302" s="43"/>
    </row>
    <row r="8303" spans="1:16" ht="18" x14ac:dyDescent="0.35">
      <c r="A8303" s="9"/>
      <c r="C8303" s="393"/>
      <c r="E8303" s="394"/>
      <c r="F8303" s="394"/>
      <c r="G8303" s="394"/>
      <c r="I8303" s="368">
        <f t="shared" si="393"/>
        <v>0</v>
      </c>
      <c r="J8303" s="365">
        <f t="shared" si="394"/>
        <v>0</v>
      </c>
      <c r="K8303" s="369">
        <f t="shared" si="395"/>
        <v>6</v>
      </c>
      <c r="L8303" s="369">
        <f>+IF((C8303&gt;='Resultats - informe'!$E$16)*(C8303&lt;='Resultats - informe'!$G$16),1,0)</f>
        <v>1</v>
      </c>
      <c r="M8303" s="369" cm="1">
        <f t="array" ref="M8303">+_xlfn.IFS((C8303&gt;='Resultats - informe'!$D$26)*(C8303&lt;='Resultats - informe'!$E$26),0,(C8303&gt;='Resultats - informe'!$D$27)*(C8303&lt;='Resultats - informe'!$E$27),0,(C8303&gt;='Resultats - informe'!$D$28)*(C8303&lt;='Resultats - informe'!$E$28),0,(C8303&gt;='Resultats - informe'!$D$29)*(C8303&lt;='Resultats - informe'!$E$29),0,1,1)</f>
        <v>0</v>
      </c>
      <c r="N8303" s="366">
        <f>+VLOOKUP(D8303,'Resultats - informe'!$Y$18:$AG$42,'Introducció dades consum'!K8303+1,0)</f>
        <v>0</v>
      </c>
      <c r="O8303" s="370" cm="1">
        <f t="array" ref="O8303">+_xlfn.SWITCH(MONTH(C8303),1,1,2,1,3,1,4,2,5,2,6,3,7,3,8,3,9,3,10,2,11,2,12,1,2)</f>
        <v>1</v>
      </c>
      <c r="P8303" s="43"/>
    </row>
    <row r="8304" spans="1:16" ht="18" x14ac:dyDescent="0.35">
      <c r="A8304" s="9"/>
      <c r="C8304" s="393"/>
      <c r="E8304" s="394"/>
      <c r="F8304" s="394"/>
      <c r="G8304" s="394"/>
      <c r="I8304" s="368">
        <f t="shared" si="393"/>
        <v>0</v>
      </c>
      <c r="J8304" s="365">
        <f t="shared" si="394"/>
        <v>0</v>
      </c>
      <c r="K8304" s="369">
        <f t="shared" si="395"/>
        <v>6</v>
      </c>
      <c r="L8304" s="369">
        <f>+IF((C8304&gt;='Resultats - informe'!$E$16)*(C8304&lt;='Resultats - informe'!$G$16),1,0)</f>
        <v>1</v>
      </c>
      <c r="M8304" s="369" cm="1">
        <f t="array" ref="M8304">+_xlfn.IFS((C8304&gt;='Resultats - informe'!$D$26)*(C8304&lt;='Resultats - informe'!$E$26),0,(C8304&gt;='Resultats - informe'!$D$27)*(C8304&lt;='Resultats - informe'!$E$27),0,(C8304&gt;='Resultats - informe'!$D$28)*(C8304&lt;='Resultats - informe'!$E$28),0,(C8304&gt;='Resultats - informe'!$D$29)*(C8304&lt;='Resultats - informe'!$E$29),0,1,1)</f>
        <v>0</v>
      </c>
      <c r="N8304" s="366">
        <f>+VLOOKUP(D8304,'Resultats - informe'!$Y$18:$AG$42,'Introducció dades consum'!K8304+1,0)</f>
        <v>0</v>
      </c>
      <c r="O8304" s="370" cm="1">
        <f t="array" ref="O8304">+_xlfn.SWITCH(MONTH(C8304),1,1,2,1,3,1,4,2,5,2,6,3,7,3,8,3,9,3,10,2,11,2,12,1,2)</f>
        <v>1</v>
      </c>
      <c r="P8304" s="43"/>
    </row>
    <row r="8305" spans="1:16" ht="18" x14ac:dyDescent="0.35">
      <c r="A8305" s="9"/>
      <c r="C8305" s="393"/>
      <c r="E8305" s="394"/>
      <c r="F8305" s="394"/>
      <c r="G8305" s="394"/>
      <c r="I8305" s="368">
        <f t="shared" si="393"/>
        <v>0</v>
      </c>
      <c r="J8305" s="365">
        <f t="shared" si="394"/>
        <v>0</v>
      </c>
      <c r="K8305" s="369">
        <f t="shared" si="395"/>
        <v>6</v>
      </c>
      <c r="L8305" s="369">
        <f>+IF((C8305&gt;='Resultats - informe'!$E$16)*(C8305&lt;='Resultats - informe'!$G$16),1,0)</f>
        <v>1</v>
      </c>
      <c r="M8305" s="369" cm="1">
        <f t="array" ref="M8305">+_xlfn.IFS((C8305&gt;='Resultats - informe'!$D$26)*(C8305&lt;='Resultats - informe'!$E$26),0,(C8305&gt;='Resultats - informe'!$D$27)*(C8305&lt;='Resultats - informe'!$E$27),0,(C8305&gt;='Resultats - informe'!$D$28)*(C8305&lt;='Resultats - informe'!$E$28),0,(C8305&gt;='Resultats - informe'!$D$29)*(C8305&lt;='Resultats - informe'!$E$29),0,1,1)</f>
        <v>0</v>
      </c>
      <c r="N8305" s="366">
        <f>+VLOOKUP(D8305,'Resultats - informe'!$Y$18:$AG$42,'Introducció dades consum'!K8305+1,0)</f>
        <v>0</v>
      </c>
      <c r="O8305" s="370" cm="1">
        <f t="array" ref="O8305">+_xlfn.SWITCH(MONTH(C8305),1,1,2,1,3,1,4,2,5,2,6,3,7,3,8,3,9,3,10,2,11,2,12,1,2)</f>
        <v>1</v>
      </c>
      <c r="P8305" s="43"/>
    </row>
    <row r="8306" spans="1:16" ht="18" x14ac:dyDescent="0.35">
      <c r="A8306" s="9"/>
      <c r="C8306" s="393"/>
      <c r="E8306" s="394"/>
      <c r="F8306" s="394"/>
      <c r="G8306" s="394"/>
      <c r="I8306" s="368">
        <f t="shared" si="393"/>
        <v>0</v>
      </c>
      <c r="J8306" s="365">
        <f t="shared" si="394"/>
        <v>0</v>
      </c>
      <c r="K8306" s="369">
        <f t="shared" si="395"/>
        <v>6</v>
      </c>
      <c r="L8306" s="369">
        <f>+IF((C8306&gt;='Resultats - informe'!$E$16)*(C8306&lt;='Resultats - informe'!$G$16),1,0)</f>
        <v>1</v>
      </c>
      <c r="M8306" s="369" cm="1">
        <f t="array" ref="M8306">+_xlfn.IFS((C8306&gt;='Resultats - informe'!$D$26)*(C8306&lt;='Resultats - informe'!$E$26),0,(C8306&gt;='Resultats - informe'!$D$27)*(C8306&lt;='Resultats - informe'!$E$27),0,(C8306&gt;='Resultats - informe'!$D$28)*(C8306&lt;='Resultats - informe'!$E$28),0,(C8306&gt;='Resultats - informe'!$D$29)*(C8306&lt;='Resultats - informe'!$E$29),0,1,1)</f>
        <v>0</v>
      </c>
      <c r="N8306" s="366">
        <f>+VLOOKUP(D8306,'Resultats - informe'!$Y$18:$AG$42,'Introducció dades consum'!K8306+1,0)</f>
        <v>0</v>
      </c>
      <c r="O8306" s="370" cm="1">
        <f t="array" ref="O8306">+_xlfn.SWITCH(MONTH(C8306),1,1,2,1,3,1,4,2,5,2,6,3,7,3,8,3,9,3,10,2,11,2,12,1,2)</f>
        <v>1</v>
      </c>
      <c r="P8306" s="43"/>
    </row>
    <row r="8307" spans="1:16" ht="18" x14ac:dyDescent="0.35">
      <c r="A8307" s="9"/>
      <c r="C8307" s="393"/>
      <c r="E8307" s="394"/>
      <c r="F8307" s="394"/>
      <c r="G8307" s="394"/>
      <c r="I8307" s="368">
        <f t="shared" si="393"/>
        <v>0</v>
      </c>
      <c r="J8307" s="365">
        <f t="shared" si="394"/>
        <v>0</v>
      </c>
      <c r="K8307" s="369">
        <f t="shared" si="395"/>
        <v>6</v>
      </c>
      <c r="L8307" s="369">
        <f>+IF((C8307&gt;='Resultats - informe'!$E$16)*(C8307&lt;='Resultats - informe'!$G$16),1,0)</f>
        <v>1</v>
      </c>
      <c r="M8307" s="369" cm="1">
        <f t="array" ref="M8307">+_xlfn.IFS((C8307&gt;='Resultats - informe'!$D$26)*(C8307&lt;='Resultats - informe'!$E$26),0,(C8307&gt;='Resultats - informe'!$D$27)*(C8307&lt;='Resultats - informe'!$E$27),0,(C8307&gt;='Resultats - informe'!$D$28)*(C8307&lt;='Resultats - informe'!$E$28),0,(C8307&gt;='Resultats - informe'!$D$29)*(C8307&lt;='Resultats - informe'!$E$29),0,1,1)</f>
        <v>0</v>
      </c>
      <c r="N8307" s="366">
        <f>+VLOOKUP(D8307,'Resultats - informe'!$Y$18:$AG$42,'Introducció dades consum'!K8307+1,0)</f>
        <v>0</v>
      </c>
      <c r="O8307" s="370" cm="1">
        <f t="array" ref="O8307">+_xlfn.SWITCH(MONTH(C8307),1,1,2,1,3,1,4,2,5,2,6,3,7,3,8,3,9,3,10,2,11,2,12,1,2)</f>
        <v>1</v>
      </c>
      <c r="P8307" s="43"/>
    </row>
    <row r="8308" spans="1:16" ht="18" x14ac:dyDescent="0.35">
      <c r="A8308" s="9"/>
      <c r="C8308" s="393"/>
      <c r="E8308" s="394"/>
      <c r="F8308" s="394"/>
      <c r="G8308" s="394"/>
      <c r="I8308" s="368">
        <f t="shared" si="393"/>
        <v>0</v>
      </c>
      <c r="J8308" s="365">
        <f t="shared" si="394"/>
        <v>0</v>
      </c>
      <c r="K8308" s="369">
        <f t="shared" si="395"/>
        <v>6</v>
      </c>
      <c r="L8308" s="369">
        <f>+IF((C8308&gt;='Resultats - informe'!$E$16)*(C8308&lt;='Resultats - informe'!$G$16),1,0)</f>
        <v>1</v>
      </c>
      <c r="M8308" s="369" cm="1">
        <f t="array" ref="M8308">+_xlfn.IFS((C8308&gt;='Resultats - informe'!$D$26)*(C8308&lt;='Resultats - informe'!$E$26),0,(C8308&gt;='Resultats - informe'!$D$27)*(C8308&lt;='Resultats - informe'!$E$27),0,(C8308&gt;='Resultats - informe'!$D$28)*(C8308&lt;='Resultats - informe'!$E$28),0,(C8308&gt;='Resultats - informe'!$D$29)*(C8308&lt;='Resultats - informe'!$E$29),0,1,1)</f>
        <v>0</v>
      </c>
      <c r="N8308" s="366">
        <f>+VLOOKUP(D8308,'Resultats - informe'!$Y$18:$AG$42,'Introducció dades consum'!K8308+1,0)</f>
        <v>0</v>
      </c>
      <c r="O8308" s="370" cm="1">
        <f t="array" ref="O8308">+_xlfn.SWITCH(MONTH(C8308),1,1,2,1,3,1,4,2,5,2,6,3,7,3,8,3,9,3,10,2,11,2,12,1,2)</f>
        <v>1</v>
      </c>
      <c r="P8308" s="43"/>
    </row>
    <row r="8309" spans="1:16" ht="18" x14ac:dyDescent="0.35">
      <c r="A8309" s="9"/>
      <c r="C8309" s="393"/>
      <c r="E8309" s="394"/>
      <c r="F8309" s="394"/>
      <c r="G8309" s="394"/>
      <c r="I8309" s="368">
        <f t="shared" si="393"/>
        <v>0</v>
      </c>
      <c r="J8309" s="365">
        <f t="shared" si="394"/>
        <v>0</v>
      </c>
      <c r="K8309" s="369">
        <f t="shared" si="395"/>
        <v>6</v>
      </c>
      <c r="L8309" s="369">
        <f>+IF((C8309&gt;='Resultats - informe'!$E$16)*(C8309&lt;='Resultats - informe'!$G$16),1,0)</f>
        <v>1</v>
      </c>
      <c r="M8309" s="369" cm="1">
        <f t="array" ref="M8309">+_xlfn.IFS((C8309&gt;='Resultats - informe'!$D$26)*(C8309&lt;='Resultats - informe'!$E$26),0,(C8309&gt;='Resultats - informe'!$D$27)*(C8309&lt;='Resultats - informe'!$E$27),0,(C8309&gt;='Resultats - informe'!$D$28)*(C8309&lt;='Resultats - informe'!$E$28),0,(C8309&gt;='Resultats - informe'!$D$29)*(C8309&lt;='Resultats - informe'!$E$29),0,1,1)</f>
        <v>0</v>
      </c>
      <c r="N8309" s="366">
        <f>+VLOOKUP(D8309,'Resultats - informe'!$Y$18:$AG$42,'Introducció dades consum'!K8309+1,0)</f>
        <v>0</v>
      </c>
      <c r="O8309" s="370" cm="1">
        <f t="array" ref="O8309">+_xlfn.SWITCH(MONTH(C8309),1,1,2,1,3,1,4,2,5,2,6,3,7,3,8,3,9,3,10,2,11,2,12,1,2)</f>
        <v>1</v>
      </c>
      <c r="P8309" s="43"/>
    </row>
    <row r="8310" spans="1:16" ht="18" x14ac:dyDescent="0.35">
      <c r="A8310" s="9"/>
      <c r="C8310" s="393"/>
      <c r="E8310" s="394"/>
      <c r="F8310" s="394"/>
      <c r="G8310" s="394"/>
      <c r="I8310" s="368">
        <f t="shared" si="393"/>
        <v>0</v>
      </c>
      <c r="J8310" s="365">
        <f t="shared" si="394"/>
        <v>0</v>
      </c>
      <c r="K8310" s="369">
        <f t="shared" si="395"/>
        <v>6</v>
      </c>
      <c r="L8310" s="369">
        <f>+IF((C8310&gt;='Resultats - informe'!$E$16)*(C8310&lt;='Resultats - informe'!$G$16),1,0)</f>
        <v>1</v>
      </c>
      <c r="M8310" s="369" cm="1">
        <f t="array" ref="M8310">+_xlfn.IFS((C8310&gt;='Resultats - informe'!$D$26)*(C8310&lt;='Resultats - informe'!$E$26),0,(C8310&gt;='Resultats - informe'!$D$27)*(C8310&lt;='Resultats - informe'!$E$27),0,(C8310&gt;='Resultats - informe'!$D$28)*(C8310&lt;='Resultats - informe'!$E$28),0,(C8310&gt;='Resultats - informe'!$D$29)*(C8310&lt;='Resultats - informe'!$E$29),0,1,1)</f>
        <v>0</v>
      </c>
      <c r="N8310" s="366">
        <f>+VLOOKUP(D8310,'Resultats - informe'!$Y$18:$AG$42,'Introducció dades consum'!K8310+1,0)</f>
        <v>0</v>
      </c>
      <c r="O8310" s="370" cm="1">
        <f t="array" ref="O8310">+_xlfn.SWITCH(MONTH(C8310),1,1,2,1,3,1,4,2,5,2,6,3,7,3,8,3,9,3,10,2,11,2,12,1,2)</f>
        <v>1</v>
      </c>
      <c r="P8310" s="43"/>
    </row>
    <row r="8311" spans="1:16" ht="18" x14ac:dyDescent="0.35">
      <c r="A8311" s="9"/>
      <c r="C8311" s="393"/>
      <c r="E8311" s="394"/>
      <c r="F8311" s="394"/>
      <c r="G8311" s="394"/>
      <c r="I8311" s="368">
        <f t="shared" si="393"/>
        <v>0</v>
      </c>
      <c r="J8311" s="365">
        <f t="shared" si="394"/>
        <v>0</v>
      </c>
      <c r="K8311" s="369">
        <f t="shared" si="395"/>
        <v>6</v>
      </c>
      <c r="L8311" s="369">
        <f>+IF((C8311&gt;='Resultats - informe'!$E$16)*(C8311&lt;='Resultats - informe'!$G$16),1,0)</f>
        <v>1</v>
      </c>
      <c r="M8311" s="369" cm="1">
        <f t="array" ref="M8311">+_xlfn.IFS((C8311&gt;='Resultats - informe'!$D$26)*(C8311&lt;='Resultats - informe'!$E$26),0,(C8311&gt;='Resultats - informe'!$D$27)*(C8311&lt;='Resultats - informe'!$E$27),0,(C8311&gt;='Resultats - informe'!$D$28)*(C8311&lt;='Resultats - informe'!$E$28),0,(C8311&gt;='Resultats - informe'!$D$29)*(C8311&lt;='Resultats - informe'!$E$29),0,1,1)</f>
        <v>0</v>
      </c>
      <c r="N8311" s="366">
        <f>+VLOOKUP(D8311,'Resultats - informe'!$Y$18:$AG$42,'Introducció dades consum'!K8311+1,0)</f>
        <v>0</v>
      </c>
      <c r="O8311" s="370" cm="1">
        <f t="array" ref="O8311">+_xlfn.SWITCH(MONTH(C8311),1,1,2,1,3,1,4,2,5,2,6,3,7,3,8,3,9,3,10,2,11,2,12,1,2)</f>
        <v>1</v>
      </c>
      <c r="P8311" s="43"/>
    </row>
    <row r="8312" spans="1:16" ht="18" x14ac:dyDescent="0.35">
      <c r="A8312" s="9"/>
      <c r="C8312" s="393"/>
      <c r="E8312" s="394"/>
      <c r="F8312" s="394"/>
      <c r="G8312" s="394"/>
      <c r="I8312" s="368">
        <f t="shared" si="393"/>
        <v>0</v>
      </c>
      <c r="J8312" s="365">
        <f t="shared" si="394"/>
        <v>0</v>
      </c>
      <c r="K8312" s="369">
        <f t="shared" si="395"/>
        <v>6</v>
      </c>
      <c r="L8312" s="369">
        <f>+IF((C8312&gt;='Resultats - informe'!$E$16)*(C8312&lt;='Resultats - informe'!$G$16),1,0)</f>
        <v>1</v>
      </c>
      <c r="M8312" s="369" cm="1">
        <f t="array" ref="M8312">+_xlfn.IFS((C8312&gt;='Resultats - informe'!$D$26)*(C8312&lt;='Resultats - informe'!$E$26),0,(C8312&gt;='Resultats - informe'!$D$27)*(C8312&lt;='Resultats - informe'!$E$27),0,(C8312&gt;='Resultats - informe'!$D$28)*(C8312&lt;='Resultats - informe'!$E$28),0,(C8312&gt;='Resultats - informe'!$D$29)*(C8312&lt;='Resultats - informe'!$E$29),0,1,1)</f>
        <v>0</v>
      </c>
      <c r="N8312" s="366">
        <f>+VLOOKUP(D8312,'Resultats - informe'!$Y$18:$AG$42,'Introducció dades consum'!K8312+1,0)</f>
        <v>0</v>
      </c>
      <c r="O8312" s="370" cm="1">
        <f t="array" ref="O8312">+_xlfn.SWITCH(MONTH(C8312),1,1,2,1,3,1,4,2,5,2,6,3,7,3,8,3,9,3,10,2,11,2,12,1,2)</f>
        <v>1</v>
      </c>
      <c r="P8312" s="43"/>
    </row>
    <row r="8313" spans="1:16" ht="18" x14ac:dyDescent="0.35">
      <c r="A8313" s="9"/>
      <c r="C8313" s="393"/>
      <c r="E8313" s="394"/>
      <c r="F8313" s="394"/>
      <c r="G8313" s="394"/>
      <c r="I8313" s="368">
        <f t="shared" si="393"/>
        <v>0</v>
      </c>
      <c r="J8313" s="365">
        <f t="shared" si="394"/>
        <v>0</v>
      </c>
      <c r="K8313" s="369">
        <f t="shared" si="395"/>
        <v>6</v>
      </c>
      <c r="L8313" s="369">
        <f>+IF((C8313&gt;='Resultats - informe'!$E$16)*(C8313&lt;='Resultats - informe'!$G$16),1,0)</f>
        <v>1</v>
      </c>
      <c r="M8313" s="369" cm="1">
        <f t="array" ref="M8313">+_xlfn.IFS((C8313&gt;='Resultats - informe'!$D$26)*(C8313&lt;='Resultats - informe'!$E$26),0,(C8313&gt;='Resultats - informe'!$D$27)*(C8313&lt;='Resultats - informe'!$E$27),0,(C8313&gt;='Resultats - informe'!$D$28)*(C8313&lt;='Resultats - informe'!$E$28),0,(C8313&gt;='Resultats - informe'!$D$29)*(C8313&lt;='Resultats - informe'!$E$29),0,1,1)</f>
        <v>0</v>
      </c>
      <c r="N8313" s="366">
        <f>+VLOOKUP(D8313,'Resultats - informe'!$Y$18:$AG$42,'Introducció dades consum'!K8313+1,0)</f>
        <v>0</v>
      </c>
      <c r="O8313" s="370" cm="1">
        <f t="array" ref="O8313">+_xlfn.SWITCH(MONTH(C8313),1,1,2,1,3,1,4,2,5,2,6,3,7,3,8,3,9,3,10,2,11,2,12,1,2)</f>
        <v>1</v>
      </c>
      <c r="P8313" s="43"/>
    </row>
    <row r="8314" spans="1:16" ht="18" x14ac:dyDescent="0.35">
      <c r="A8314" s="9"/>
      <c r="C8314" s="393"/>
      <c r="E8314" s="394"/>
      <c r="F8314" s="394"/>
      <c r="G8314" s="394"/>
      <c r="I8314" s="368">
        <f t="shared" si="393"/>
        <v>0</v>
      </c>
      <c r="J8314" s="365">
        <f t="shared" si="394"/>
        <v>0</v>
      </c>
      <c r="K8314" s="369">
        <f t="shared" si="395"/>
        <v>6</v>
      </c>
      <c r="L8314" s="369">
        <f>+IF((C8314&gt;='Resultats - informe'!$E$16)*(C8314&lt;='Resultats - informe'!$G$16),1,0)</f>
        <v>1</v>
      </c>
      <c r="M8314" s="369" cm="1">
        <f t="array" ref="M8314">+_xlfn.IFS((C8314&gt;='Resultats - informe'!$D$26)*(C8314&lt;='Resultats - informe'!$E$26),0,(C8314&gt;='Resultats - informe'!$D$27)*(C8314&lt;='Resultats - informe'!$E$27),0,(C8314&gt;='Resultats - informe'!$D$28)*(C8314&lt;='Resultats - informe'!$E$28),0,(C8314&gt;='Resultats - informe'!$D$29)*(C8314&lt;='Resultats - informe'!$E$29),0,1,1)</f>
        <v>0</v>
      </c>
      <c r="N8314" s="366">
        <f>+VLOOKUP(D8314,'Resultats - informe'!$Y$18:$AG$42,'Introducció dades consum'!K8314+1,0)</f>
        <v>0</v>
      </c>
      <c r="O8314" s="370" cm="1">
        <f t="array" ref="O8314">+_xlfn.SWITCH(MONTH(C8314),1,1,2,1,3,1,4,2,5,2,6,3,7,3,8,3,9,3,10,2,11,2,12,1,2)</f>
        <v>1</v>
      </c>
      <c r="P8314" s="43"/>
    </row>
    <row r="8315" spans="1:16" ht="18" x14ac:dyDescent="0.35">
      <c r="A8315" s="9"/>
      <c r="C8315" s="393"/>
      <c r="E8315" s="394"/>
      <c r="F8315" s="394"/>
      <c r="G8315" s="394"/>
      <c r="I8315" s="368">
        <f t="shared" si="393"/>
        <v>0</v>
      </c>
      <c r="J8315" s="365">
        <f t="shared" si="394"/>
        <v>0</v>
      </c>
      <c r="K8315" s="369">
        <f t="shared" si="395"/>
        <v>6</v>
      </c>
      <c r="L8315" s="369">
        <f>+IF((C8315&gt;='Resultats - informe'!$E$16)*(C8315&lt;='Resultats - informe'!$G$16),1,0)</f>
        <v>1</v>
      </c>
      <c r="M8315" s="369" cm="1">
        <f t="array" ref="M8315">+_xlfn.IFS((C8315&gt;='Resultats - informe'!$D$26)*(C8315&lt;='Resultats - informe'!$E$26),0,(C8315&gt;='Resultats - informe'!$D$27)*(C8315&lt;='Resultats - informe'!$E$27),0,(C8315&gt;='Resultats - informe'!$D$28)*(C8315&lt;='Resultats - informe'!$E$28),0,(C8315&gt;='Resultats - informe'!$D$29)*(C8315&lt;='Resultats - informe'!$E$29),0,1,1)</f>
        <v>0</v>
      </c>
      <c r="N8315" s="366">
        <f>+VLOOKUP(D8315,'Resultats - informe'!$Y$18:$AG$42,'Introducció dades consum'!K8315+1,0)</f>
        <v>0</v>
      </c>
      <c r="O8315" s="370" cm="1">
        <f t="array" ref="O8315">+_xlfn.SWITCH(MONTH(C8315),1,1,2,1,3,1,4,2,5,2,6,3,7,3,8,3,9,3,10,2,11,2,12,1,2)</f>
        <v>1</v>
      </c>
      <c r="P8315" s="43"/>
    </row>
    <row r="8316" spans="1:16" ht="18" x14ac:dyDescent="0.35">
      <c r="A8316" s="9"/>
      <c r="C8316" s="393"/>
      <c r="E8316" s="394"/>
      <c r="F8316" s="394"/>
      <c r="G8316" s="394"/>
      <c r="I8316" s="368">
        <f t="shared" si="393"/>
        <v>0</v>
      </c>
      <c r="J8316" s="365">
        <f t="shared" si="394"/>
        <v>0</v>
      </c>
      <c r="K8316" s="369">
        <f t="shared" si="395"/>
        <v>6</v>
      </c>
      <c r="L8316" s="369">
        <f>+IF((C8316&gt;='Resultats - informe'!$E$16)*(C8316&lt;='Resultats - informe'!$G$16),1,0)</f>
        <v>1</v>
      </c>
      <c r="M8316" s="369" cm="1">
        <f t="array" ref="M8316">+_xlfn.IFS((C8316&gt;='Resultats - informe'!$D$26)*(C8316&lt;='Resultats - informe'!$E$26),0,(C8316&gt;='Resultats - informe'!$D$27)*(C8316&lt;='Resultats - informe'!$E$27),0,(C8316&gt;='Resultats - informe'!$D$28)*(C8316&lt;='Resultats - informe'!$E$28),0,(C8316&gt;='Resultats - informe'!$D$29)*(C8316&lt;='Resultats - informe'!$E$29),0,1,1)</f>
        <v>0</v>
      </c>
      <c r="N8316" s="366">
        <f>+VLOOKUP(D8316,'Resultats - informe'!$Y$18:$AG$42,'Introducció dades consum'!K8316+1,0)</f>
        <v>0</v>
      </c>
      <c r="O8316" s="370" cm="1">
        <f t="array" ref="O8316">+_xlfn.SWITCH(MONTH(C8316),1,1,2,1,3,1,4,2,5,2,6,3,7,3,8,3,9,3,10,2,11,2,12,1,2)</f>
        <v>1</v>
      </c>
      <c r="P8316" s="43"/>
    </row>
    <row r="8317" spans="1:16" ht="18" x14ac:dyDescent="0.35">
      <c r="A8317" s="9"/>
      <c r="C8317" s="393"/>
      <c r="E8317" s="394"/>
      <c r="F8317" s="394"/>
      <c r="G8317" s="394"/>
      <c r="I8317" s="368">
        <f t="shared" si="393"/>
        <v>0</v>
      </c>
      <c r="J8317" s="365">
        <f t="shared" si="394"/>
        <v>0</v>
      </c>
      <c r="K8317" s="369">
        <f t="shared" si="395"/>
        <v>6</v>
      </c>
      <c r="L8317" s="369">
        <f>+IF((C8317&gt;='Resultats - informe'!$E$16)*(C8317&lt;='Resultats - informe'!$G$16),1,0)</f>
        <v>1</v>
      </c>
      <c r="M8317" s="369" cm="1">
        <f t="array" ref="M8317">+_xlfn.IFS((C8317&gt;='Resultats - informe'!$D$26)*(C8317&lt;='Resultats - informe'!$E$26),0,(C8317&gt;='Resultats - informe'!$D$27)*(C8317&lt;='Resultats - informe'!$E$27),0,(C8317&gt;='Resultats - informe'!$D$28)*(C8317&lt;='Resultats - informe'!$E$28),0,(C8317&gt;='Resultats - informe'!$D$29)*(C8317&lt;='Resultats - informe'!$E$29),0,1,1)</f>
        <v>0</v>
      </c>
      <c r="N8317" s="366">
        <f>+VLOOKUP(D8317,'Resultats - informe'!$Y$18:$AG$42,'Introducció dades consum'!K8317+1,0)</f>
        <v>0</v>
      </c>
      <c r="O8317" s="370" cm="1">
        <f t="array" ref="O8317">+_xlfn.SWITCH(MONTH(C8317),1,1,2,1,3,1,4,2,5,2,6,3,7,3,8,3,9,3,10,2,11,2,12,1,2)</f>
        <v>1</v>
      </c>
      <c r="P8317" s="43"/>
    </row>
    <row r="8318" spans="1:16" ht="18" x14ac:dyDescent="0.35">
      <c r="A8318" s="9"/>
      <c r="C8318" s="393"/>
      <c r="E8318" s="394"/>
      <c r="F8318" s="394"/>
      <c r="G8318" s="394"/>
      <c r="I8318" s="368">
        <f t="shared" si="393"/>
        <v>0</v>
      </c>
      <c r="J8318" s="365">
        <f t="shared" si="394"/>
        <v>0</v>
      </c>
      <c r="K8318" s="369">
        <f t="shared" si="395"/>
        <v>6</v>
      </c>
      <c r="L8318" s="369">
        <f>+IF((C8318&gt;='Resultats - informe'!$E$16)*(C8318&lt;='Resultats - informe'!$G$16),1,0)</f>
        <v>1</v>
      </c>
      <c r="M8318" s="369" cm="1">
        <f t="array" ref="M8318">+_xlfn.IFS((C8318&gt;='Resultats - informe'!$D$26)*(C8318&lt;='Resultats - informe'!$E$26),0,(C8318&gt;='Resultats - informe'!$D$27)*(C8318&lt;='Resultats - informe'!$E$27),0,(C8318&gt;='Resultats - informe'!$D$28)*(C8318&lt;='Resultats - informe'!$E$28),0,(C8318&gt;='Resultats - informe'!$D$29)*(C8318&lt;='Resultats - informe'!$E$29),0,1,1)</f>
        <v>0</v>
      </c>
      <c r="N8318" s="366">
        <f>+VLOOKUP(D8318,'Resultats - informe'!$Y$18:$AG$42,'Introducció dades consum'!K8318+1,0)</f>
        <v>0</v>
      </c>
      <c r="O8318" s="370" cm="1">
        <f t="array" ref="O8318">+_xlfn.SWITCH(MONTH(C8318),1,1,2,1,3,1,4,2,5,2,6,3,7,3,8,3,9,3,10,2,11,2,12,1,2)</f>
        <v>1</v>
      </c>
      <c r="P8318" s="43"/>
    </row>
    <row r="8319" spans="1:16" ht="18" x14ac:dyDescent="0.35">
      <c r="A8319" s="9"/>
      <c r="C8319" s="393"/>
      <c r="E8319" s="394"/>
      <c r="F8319" s="394"/>
      <c r="G8319" s="394"/>
      <c r="I8319" s="368">
        <f t="shared" si="393"/>
        <v>0</v>
      </c>
      <c r="J8319" s="365">
        <f t="shared" si="394"/>
        <v>0</v>
      </c>
      <c r="K8319" s="369">
        <f t="shared" si="395"/>
        <v>6</v>
      </c>
      <c r="L8319" s="369">
        <f>+IF((C8319&gt;='Resultats - informe'!$E$16)*(C8319&lt;='Resultats - informe'!$G$16),1,0)</f>
        <v>1</v>
      </c>
      <c r="M8319" s="369" cm="1">
        <f t="array" ref="M8319">+_xlfn.IFS((C8319&gt;='Resultats - informe'!$D$26)*(C8319&lt;='Resultats - informe'!$E$26),0,(C8319&gt;='Resultats - informe'!$D$27)*(C8319&lt;='Resultats - informe'!$E$27),0,(C8319&gt;='Resultats - informe'!$D$28)*(C8319&lt;='Resultats - informe'!$E$28),0,(C8319&gt;='Resultats - informe'!$D$29)*(C8319&lt;='Resultats - informe'!$E$29),0,1,1)</f>
        <v>0</v>
      </c>
      <c r="N8319" s="366">
        <f>+VLOOKUP(D8319,'Resultats - informe'!$Y$18:$AG$42,'Introducció dades consum'!K8319+1,0)</f>
        <v>0</v>
      </c>
      <c r="O8319" s="370" cm="1">
        <f t="array" ref="O8319">+_xlfn.SWITCH(MONTH(C8319),1,1,2,1,3,1,4,2,5,2,6,3,7,3,8,3,9,3,10,2,11,2,12,1,2)</f>
        <v>1</v>
      </c>
      <c r="P8319" s="43"/>
    </row>
    <row r="8320" spans="1:16" ht="18" x14ac:dyDescent="0.35">
      <c r="A8320" s="9"/>
      <c r="C8320" s="393"/>
      <c r="E8320" s="394"/>
      <c r="F8320" s="394"/>
      <c r="G8320" s="394"/>
      <c r="I8320" s="368">
        <f t="shared" si="393"/>
        <v>0</v>
      </c>
      <c r="J8320" s="365">
        <f t="shared" si="394"/>
        <v>0</v>
      </c>
      <c r="K8320" s="369">
        <f t="shared" si="395"/>
        <v>6</v>
      </c>
      <c r="L8320" s="369">
        <f>+IF((C8320&gt;='Resultats - informe'!$E$16)*(C8320&lt;='Resultats - informe'!$G$16),1,0)</f>
        <v>1</v>
      </c>
      <c r="M8320" s="369" cm="1">
        <f t="array" ref="M8320">+_xlfn.IFS((C8320&gt;='Resultats - informe'!$D$26)*(C8320&lt;='Resultats - informe'!$E$26),0,(C8320&gt;='Resultats - informe'!$D$27)*(C8320&lt;='Resultats - informe'!$E$27),0,(C8320&gt;='Resultats - informe'!$D$28)*(C8320&lt;='Resultats - informe'!$E$28),0,(C8320&gt;='Resultats - informe'!$D$29)*(C8320&lt;='Resultats - informe'!$E$29),0,1,1)</f>
        <v>0</v>
      </c>
      <c r="N8320" s="366">
        <f>+VLOOKUP(D8320,'Resultats - informe'!$Y$18:$AG$42,'Introducció dades consum'!K8320+1,0)</f>
        <v>0</v>
      </c>
      <c r="O8320" s="370" cm="1">
        <f t="array" ref="O8320">+_xlfn.SWITCH(MONTH(C8320),1,1,2,1,3,1,4,2,5,2,6,3,7,3,8,3,9,3,10,2,11,2,12,1,2)</f>
        <v>1</v>
      </c>
      <c r="P8320" s="43"/>
    </row>
    <row r="8321" spans="1:16" ht="18" x14ac:dyDescent="0.35">
      <c r="A8321" s="9"/>
      <c r="C8321" s="393"/>
      <c r="E8321" s="394"/>
      <c r="F8321" s="394"/>
      <c r="G8321" s="394"/>
      <c r="I8321" s="368">
        <f t="shared" si="393"/>
        <v>0</v>
      </c>
      <c r="J8321" s="365">
        <f t="shared" si="394"/>
        <v>0</v>
      </c>
      <c r="K8321" s="369">
        <f t="shared" si="395"/>
        <v>6</v>
      </c>
      <c r="L8321" s="369">
        <f>+IF((C8321&gt;='Resultats - informe'!$E$16)*(C8321&lt;='Resultats - informe'!$G$16),1,0)</f>
        <v>1</v>
      </c>
      <c r="M8321" s="369" cm="1">
        <f t="array" ref="M8321">+_xlfn.IFS((C8321&gt;='Resultats - informe'!$D$26)*(C8321&lt;='Resultats - informe'!$E$26),0,(C8321&gt;='Resultats - informe'!$D$27)*(C8321&lt;='Resultats - informe'!$E$27),0,(C8321&gt;='Resultats - informe'!$D$28)*(C8321&lt;='Resultats - informe'!$E$28),0,(C8321&gt;='Resultats - informe'!$D$29)*(C8321&lt;='Resultats - informe'!$E$29),0,1,1)</f>
        <v>0</v>
      </c>
      <c r="N8321" s="366">
        <f>+VLOOKUP(D8321,'Resultats - informe'!$Y$18:$AG$42,'Introducció dades consum'!K8321+1,0)</f>
        <v>0</v>
      </c>
      <c r="O8321" s="370" cm="1">
        <f t="array" ref="O8321">+_xlfn.SWITCH(MONTH(C8321),1,1,2,1,3,1,4,2,5,2,6,3,7,3,8,3,9,3,10,2,11,2,12,1,2)</f>
        <v>1</v>
      </c>
      <c r="P8321" s="43"/>
    </row>
    <row r="8322" spans="1:16" ht="18" x14ac:dyDescent="0.35">
      <c r="A8322" s="9"/>
      <c r="C8322" s="393"/>
      <c r="E8322" s="394"/>
      <c r="F8322" s="394"/>
      <c r="G8322" s="394"/>
      <c r="I8322" s="368">
        <f t="shared" si="393"/>
        <v>0</v>
      </c>
      <c r="J8322" s="365">
        <f t="shared" si="394"/>
        <v>0</v>
      </c>
      <c r="K8322" s="369">
        <f t="shared" si="395"/>
        <v>6</v>
      </c>
      <c r="L8322" s="369">
        <f>+IF((C8322&gt;='Resultats - informe'!$E$16)*(C8322&lt;='Resultats - informe'!$G$16),1,0)</f>
        <v>1</v>
      </c>
      <c r="M8322" s="369" cm="1">
        <f t="array" ref="M8322">+_xlfn.IFS((C8322&gt;='Resultats - informe'!$D$26)*(C8322&lt;='Resultats - informe'!$E$26),0,(C8322&gt;='Resultats - informe'!$D$27)*(C8322&lt;='Resultats - informe'!$E$27),0,(C8322&gt;='Resultats - informe'!$D$28)*(C8322&lt;='Resultats - informe'!$E$28),0,(C8322&gt;='Resultats - informe'!$D$29)*(C8322&lt;='Resultats - informe'!$E$29),0,1,1)</f>
        <v>0</v>
      </c>
      <c r="N8322" s="366">
        <f>+VLOOKUP(D8322,'Resultats - informe'!$Y$18:$AG$42,'Introducció dades consum'!K8322+1,0)</f>
        <v>0</v>
      </c>
      <c r="O8322" s="370" cm="1">
        <f t="array" ref="O8322">+_xlfn.SWITCH(MONTH(C8322),1,1,2,1,3,1,4,2,5,2,6,3,7,3,8,3,9,3,10,2,11,2,12,1,2)</f>
        <v>1</v>
      </c>
      <c r="P8322" s="43"/>
    </row>
    <row r="8323" spans="1:16" ht="18" x14ac:dyDescent="0.35">
      <c r="A8323" s="9"/>
      <c r="C8323" s="393"/>
      <c r="E8323" s="394"/>
      <c r="F8323" s="394"/>
      <c r="G8323" s="394"/>
      <c r="I8323" s="368">
        <f t="shared" si="393"/>
        <v>0</v>
      </c>
      <c r="J8323" s="365">
        <f t="shared" si="394"/>
        <v>0</v>
      </c>
      <c r="K8323" s="369">
        <f t="shared" si="395"/>
        <v>6</v>
      </c>
      <c r="L8323" s="369">
        <f>+IF((C8323&gt;='Resultats - informe'!$E$16)*(C8323&lt;='Resultats - informe'!$G$16),1,0)</f>
        <v>1</v>
      </c>
      <c r="M8323" s="369" cm="1">
        <f t="array" ref="M8323">+_xlfn.IFS((C8323&gt;='Resultats - informe'!$D$26)*(C8323&lt;='Resultats - informe'!$E$26),0,(C8323&gt;='Resultats - informe'!$D$27)*(C8323&lt;='Resultats - informe'!$E$27),0,(C8323&gt;='Resultats - informe'!$D$28)*(C8323&lt;='Resultats - informe'!$E$28),0,(C8323&gt;='Resultats - informe'!$D$29)*(C8323&lt;='Resultats - informe'!$E$29),0,1,1)</f>
        <v>0</v>
      </c>
      <c r="N8323" s="366">
        <f>+VLOOKUP(D8323,'Resultats - informe'!$Y$18:$AG$42,'Introducció dades consum'!K8323+1,0)</f>
        <v>0</v>
      </c>
      <c r="O8323" s="370" cm="1">
        <f t="array" ref="O8323">+_xlfn.SWITCH(MONTH(C8323),1,1,2,1,3,1,4,2,5,2,6,3,7,3,8,3,9,3,10,2,11,2,12,1,2)</f>
        <v>1</v>
      </c>
      <c r="P8323" s="43"/>
    </row>
    <row r="8324" spans="1:16" ht="18" x14ac:dyDescent="0.35">
      <c r="A8324" s="9"/>
      <c r="C8324" s="393"/>
      <c r="E8324" s="394"/>
      <c r="F8324" s="394"/>
      <c r="G8324" s="394"/>
      <c r="I8324" s="368">
        <f t="shared" si="393"/>
        <v>0</v>
      </c>
      <c r="J8324" s="365">
        <f t="shared" si="394"/>
        <v>0</v>
      </c>
      <c r="K8324" s="369">
        <f t="shared" si="395"/>
        <v>6</v>
      </c>
      <c r="L8324" s="369">
        <f>+IF((C8324&gt;='Resultats - informe'!$E$16)*(C8324&lt;='Resultats - informe'!$G$16),1,0)</f>
        <v>1</v>
      </c>
      <c r="M8324" s="369" cm="1">
        <f t="array" ref="M8324">+_xlfn.IFS((C8324&gt;='Resultats - informe'!$D$26)*(C8324&lt;='Resultats - informe'!$E$26),0,(C8324&gt;='Resultats - informe'!$D$27)*(C8324&lt;='Resultats - informe'!$E$27),0,(C8324&gt;='Resultats - informe'!$D$28)*(C8324&lt;='Resultats - informe'!$E$28),0,(C8324&gt;='Resultats - informe'!$D$29)*(C8324&lt;='Resultats - informe'!$E$29),0,1,1)</f>
        <v>0</v>
      </c>
      <c r="N8324" s="366">
        <f>+VLOOKUP(D8324,'Resultats - informe'!$Y$18:$AG$42,'Introducció dades consum'!K8324+1,0)</f>
        <v>0</v>
      </c>
      <c r="O8324" s="370" cm="1">
        <f t="array" ref="O8324">+_xlfn.SWITCH(MONTH(C8324),1,1,2,1,3,1,4,2,5,2,6,3,7,3,8,3,9,3,10,2,11,2,12,1,2)</f>
        <v>1</v>
      </c>
      <c r="P8324" s="43"/>
    </row>
    <row r="8325" spans="1:16" ht="18" x14ac:dyDescent="0.35">
      <c r="A8325" s="9"/>
      <c r="C8325" s="393"/>
      <c r="E8325" s="394"/>
      <c r="F8325" s="394"/>
      <c r="G8325" s="394"/>
      <c r="I8325" s="368">
        <f t="shared" si="393"/>
        <v>0</v>
      </c>
      <c r="J8325" s="365">
        <f t="shared" si="394"/>
        <v>0</v>
      </c>
      <c r="K8325" s="369">
        <f t="shared" si="395"/>
        <v>6</v>
      </c>
      <c r="L8325" s="369">
        <f>+IF((C8325&gt;='Resultats - informe'!$E$16)*(C8325&lt;='Resultats - informe'!$G$16),1,0)</f>
        <v>1</v>
      </c>
      <c r="M8325" s="369" cm="1">
        <f t="array" ref="M8325">+_xlfn.IFS((C8325&gt;='Resultats - informe'!$D$26)*(C8325&lt;='Resultats - informe'!$E$26),0,(C8325&gt;='Resultats - informe'!$D$27)*(C8325&lt;='Resultats - informe'!$E$27),0,(C8325&gt;='Resultats - informe'!$D$28)*(C8325&lt;='Resultats - informe'!$E$28),0,(C8325&gt;='Resultats - informe'!$D$29)*(C8325&lt;='Resultats - informe'!$E$29),0,1,1)</f>
        <v>0</v>
      </c>
      <c r="N8325" s="366">
        <f>+VLOOKUP(D8325,'Resultats - informe'!$Y$18:$AG$42,'Introducció dades consum'!K8325+1,0)</f>
        <v>0</v>
      </c>
      <c r="O8325" s="370" cm="1">
        <f t="array" ref="O8325">+_xlfn.SWITCH(MONTH(C8325),1,1,2,1,3,1,4,2,5,2,6,3,7,3,8,3,9,3,10,2,11,2,12,1,2)</f>
        <v>1</v>
      </c>
      <c r="P8325" s="43"/>
    </row>
    <row r="8326" spans="1:16" ht="18" x14ac:dyDescent="0.35">
      <c r="A8326" s="9"/>
      <c r="C8326" s="393"/>
      <c r="E8326" s="394"/>
      <c r="F8326" s="394"/>
      <c r="G8326" s="394"/>
      <c r="I8326" s="368">
        <f t="shared" si="393"/>
        <v>0</v>
      </c>
      <c r="J8326" s="365">
        <f t="shared" si="394"/>
        <v>0</v>
      </c>
      <c r="K8326" s="369">
        <f t="shared" si="395"/>
        <v>6</v>
      </c>
      <c r="L8326" s="369">
        <f>+IF((C8326&gt;='Resultats - informe'!$E$16)*(C8326&lt;='Resultats - informe'!$G$16),1,0)</f>
        <v>1</v>
      </c>
      <c r="M8326" s="369" cm="1">
        <f t="array" ref="M8326">+_xlfn.IFS((C8326&gt;='Resultats - informe'!$D$26)*(C8326&lt;='Resultats - informe'!$E$26),0,(C8326&gt;='Resultats - informe'!$D$27)*(C8326&lt;='Resultats - informe'!$E$27),0,(C8326&gt;='Resultats - informe'!$D$28)*(C8326&lt;='Resultats - informe'!$E$28),0,(C8326&gt;='Resultats - informe'!$D$29)*(C8326&lt;='Resultats - informe'!$E$29),0,1,1)</f>
        <v>0</v>
      </c>
      <c r="N8326" s="366">
        <f>+VLOOKUP(D8326,'Resultats - informe'!$Y$18:$AG$42,'Introducció dades consum'!K8326+1,0)</f>
        <v>0</v>
      </c>
      <c r="O8326" s="370" cm="1">
        <f t="array" ref="O8326">+_xlfn.SWITCH(MONTH(C8326),1,1,2,1,3,1,4,2,5,2,6,3,7,3,8,3,9,3,10,2,11,2,12,1,2)</f>
        <v>1</v>
      </c>
      <c r="P8326" s="43"/>
    </row>
    <row r="8327" spans="1:16" ht="18" x14ac:dyDescent="0.35">
      <c r="A8327" s="9"/>
      <c r="C8327" s="393"/>
      <c r="E8327" s="394"/>
      <c r="F8327" s="394"/>
      <c r="G8327" s="394"/>
      <c r="I8327" s="368">
        <f t="shared" si="393"/>
        <v>0</v>
      </c>
      <c r="J8327" s="365">
        <f t="shared" si="394"/>
        <v>0</v>
      </c>
      <c r="K8327" s="369">
        <f t="shared" si="395"/>
        <v>6</v>
      </c>
      <c r="L8327" s="369">
        <f>+IF((C8327&gt;='Resultats - informe'!$E$16)*(C8327&lt;='Resultats - informe'!$G$16),1,0)</f>
        <v>1</v>
      </c>
      <c r="M8327" s="369" cm="1">
        <f t="array" ref="M8327">+_xlfn.IFS((C8327&gt;='Resultats - informe'!$D$26)*(C8327&lt;='Resultats - informe'!$E$26),0,(C8327&gt;='Resultats - informe'!$D$27)*(C8327&lt;='Resultats - informe'!$E$27),0,(C8327&gt;='Resultats - informe'!$D$28)*(C8327&lt;='Resultats - informe'!$E$28),0,(C8327&gt;='Resultats - informe'!$D$29)*(C8327&lt;='Resultats - informe'!$E$29),0,1,1)</f>
        <v>0</v>
      </c>
      <c r="N8327" s="366">
        <f>+VLOOKUP(D8327,'Resultats - informe'!$Y$18:$AG$42,'Introducció dades consum'!K8327+1,0)</f>
        <v>0</v>
      </c>
      <c r="O8327" s="370" cm="1">
        <f t="array" ref="O8327">+_xlfn.SWITCH(MONTH(C8327),1,1,2,1,3,1,4,2,5,2,6,3,7,3,8,3,9,3,10,2,11,2,12,1,2)</f>
        <v>1</v>
      </c>
      <c r="P8327" s="43"/>
    </row>
    <row r="8328" spans="1:16" ht="18" x14ac:dyDescent="0.35">
      <c r="A8328" s="9"/>
      <c r="C8328" s="393"/>
      <c r="E8328" s="394"/>
      <c r="F8328" s="394"/>
      <c r="G8328" s="394"/>
      <c r="I8328" s="368">
        <f t="shared" si="393"/>
        <v>0</v>
      </c>
      <c r="J8328" s="365">
        <f t="shared" si="394"/>
        <v>0</v>
      </c>
      <c r="K8328" s="369">
        <f t="shared" si="395"/>
        <v>6</v>
      </c>
      <c r="L8328" s="369">
        <f>+IF((C8328&gt;='Resultats - informe'!$E$16)*(C8328&lt;='Resultats - informe'!$G$16),1,0)</f>
        <v>1</v>
      </c>
      <c r="M8328" s="369" cm="1">
        <f t="array" ref="M8328">+_xlfn.IFS((C8328&gt;='Resultats - informe'!$D$26)*(C8328&lt;='Resultats - informe'!$E$26),0,(C8328&gt;='Resultats - informe'!$D$27)*(C8328&lt;='Resultats - informe'!$E$27),0,(C8328&gt;='Resultats - informe'!$D$28)*(C8328&lt;='Resultats - informe'!$E$28),0,(C8328&gt;='Resultats - informe'!$D$29)*(C8328&lt;='Resultats - informe'!$E$29),0,1,1)</f>
        <v>0</v>
      </c>
      <c r="N8328" s="366">
        <f>+VLOOKUP(D8328,'Resultats - informe'!$Y$18:$AG$42,'Introducció dades consum'!K8328+1,0)</f>
        <v>0</v>
      </c>
      <c r="O8328" s="370" cm="1">
        <f t="array" ref="O8328">+_xlfn.SWITCH(MONTH(C8328),1,1,2,1,3,1,4,2,5,2,6,3,7,3,8,3,9,3,10,2,11,2,12,1,2)</f>
        <v>1</v>
      </c>
      <c r="P8328" s="43"/>
    </row>
    <row r="8329" spans="1:16" ht="18" x14ac:dyDescent="0.35">
      <c r="A8329" s="9"/>
      <c r="C8329" s="393"/>
      <c r="E8329" s="394"/>
      <c r="F8329" s="394"/>
      <c r="G8329" s="394"/>
      <c r="I8329" s="368">
        <f t="shared" si="393"/>
        <v>0</v>
      </c>
      <c r="J8329" s="365">
        <f t="shared" si="394"/>
        <v>0</v>
      </c>
      <c r="K8329" s="369">
        <f t="shared" si="395"/>
        <v>6</v>
      </c>
      <c r="L8329" s="369">
        <f>+IF((C8329&gt;='Resultats - informe'!$E$16)*(C8329&lt;='Resultats - informe'!$G$16),1,0)</f>
        <v>1</v>
      </c>
      <c r="M8329" s="369" cm="1">
        <f t="array" ref="M8329">+_xlfn.IFS((C8329&gt;='Resultats - informe'!$D$26)*(C8329&lt;='Resultats - informe'!$E$26),0,(C8329&gt;='Resultats - informe'!$D$27)*(C8329&lt;='Resultats - informe'!$E$27),0,(C8329&gt;='Resultats - informe'!$D$28)*(C8329&lt;='Resultats - informe'!$E$28),0,(C8329&gt;='Resultats - informe'!$D$29)*(C8329&lt;='Resultats - informe'!$E$29),0,1,1)</f>
        <v>0</v>
      </c>
      <c r="N8329" s="366">
        <f>+VLOOKUP(D8329,'Resultats - informe'!$Y$18:$AG$42,'Introducció dades consum'!K8329+1,0)</f>
        <v>0</v>
      </c>
      <c r="O8329" s="370" cm="1">
        <f t="array" ref="O8329">+_xlfn.SWITCH(MONTH(C8329),1,1,2,1,3,1,4,2,5,2,6,3,7,3,8,3,9,3,10,2,11,2,12,1,2)</f>
        <v>1</v>
      </c>
      <c r="P8329" s="43"/>
    </row>
    <row r="8330" spans="1:16" ht="18" x14ac:dyDescent="0.35">
      <c r="A8330" s="9"/>
      <c r="C8330" s="393"/>
      <c r="E8330" s="394"/>
      <c r="F8330" s="394"/>
      <c r="G8330" s="394"/>
      <c r="I8330" s="368">
        <f t="shared" si="393"/>
        <v>0</v>
      </c>
      <c r="J8330" s="365">
        <f t="shared" si="394"/>
        <v>0</v>
      </c>
      <c r="K8330" s="369">
        <f t="shared" si="395"/>
        <v>6</v>
      </c>
      <c r="L8330" s="369">
        <f>+IF((C8330&gt;='Resultats - informe'!$E$16)*(C8330&lt;='Resultats - informe'!$G$16),1,0)</f>
        <v>1</v>
      </c>
      <c r="M8330" s="369" cm="1">
        <f t="array" ref="M8330">+_xlfn.IFS((C8330&gt;='Resultats - informe'!$D$26)*(C8330&lt;='Resultats - informe'!$E$26),0,(C8330&gt;='Resultats - informe'!$D$27)*(C8330&lt;='Resultats - informe'!$E$27),0,(C8330&gt;='Resultats - informe'!$D$28)*(C8330&lt;='Resultats - informe'!$E$28),0,(C8330&gt;='Resultats - informe'!$D$29)*(C8330&lt;='Resultats - informe'!$E$29),0,1,1)</f>
        <v>0</v>
      </c>
      <c r="N8330" s="366">
        <f>+VLOOKUP(D8330,'Resultats - informe'!$Y$18:$AG$42,'Introducció dades consum'!K8330+1,0)</f>
        <v>0</v>
      </c>
      <c r="O8330" s="370" cm="1">
        <f t="array" ref="O8330">+_xlfn.SWITCH(MONTH(C8330),1,1,2,1,3,1,4,2,5,2,6,3,7,3,8,3,9,3,10,2,11,2,12,1,2)</f>
        <v>1</v>
      </c>
      <c r="P8330" s="43"/>
    </row>
    <row r="8331" spans="1:16" ht="18" x14ac:dyDescent="0.35">
      <c r="A8331" s="9"/>
      <c r="C8331" s="393"/>
      <c r="E8331" s="394"/>
      <c r="F8331" s="394"/>
      <c r="G8331" s="394"/>
      <c r="I8331" s="368">
        <f t="shared" si="393"/>
        <v>0</v>
      </c>
      <c r="J8331" s="365">
        <f t="shared" si="394"/>
        <v>0</v>
      </c>
      <c r="K8331" s="369">
        <f t="shared" si="395"/>
        <v>6</v>
      </c>
      <c r="L8331" s="369">
        <f>+IF((C8331&gt;='Resultats - informe'!$E$16)*(C8331&lt;='Resultats - informe'!$G$16),1,0)</f>
        <v>1</v>
      </c>
      <c r="M8331" s="369" cm="1">
        <f t="array" ref="M8331">+_xlfn.IFS((C8331&gt;='Resultats - informe'!$D$26)*(C8331&lt;='Resultats - informe'!$E$26),0,(C8331&gt;='Resultats - informe'!$D$27)*(C8331&lt;='Resultats - informe'!$E$27),0,(C8331&gt;='Resultats - informe'!$D$28)*(C8331&lt;='Resultats - informe'!$E$28),0,(C8331&gt;='Resultats - informe'!$D$29)*(C8331&lt;='Resultats - informe'!$E$29),0,1,1)</f>
        <v>0</v>
      </c>
      <c r="N8331" s="366">
        <f>+VLOOKUP(D8331,'Resultats - informe'!$Y$18:$AG$42,'Introducció dades consum'!K8331+1,0)</f>
        <v>0</v>
      </c>
      <c r="O8331" s="370" cm="1">
        <f t="array" ref="O8331">+_xlfn.SWITCH(MONTH(C8331),1,1,2,1,3,1,4,2,5,2,6,3,7,3,8,3,9,3,10,2,11,2,12,1,2)</f>
        <v>1</v>
      </c>
      <c r="P8331" s="43"/>
    </row>
    <row r="8332" spans="1:16" ht="18" x14ac:dyDescent="0.35">
      <c r="A8332" s="9"/>
      <c r="C8332" s="393"/>
      <c r="E8332" s="394"/>
      <c r="F8332" s="394"/>
      <c r="G8332" s="394"/>
      <c r="I8332" s="368">
        <f t="shared" si="393"/>
        <v>0</v>
      </c>
      <c r="J8332" s="365">
        <f t="shared" si="394"/>
        <v>0</v>
      </c>
      <c r="K8332" s="369">
        <f t="shared" si="395"/>
        <v>6</v>
      </c>
      <c r="L8332" s="369">
        <f>+IF((C8332&gt;='Resultats - informe'!$E$16)*(C8332&lt;='Resultats - informe'!$G$16),1,0)</f>
        <v>1</v>
      </c>
      <c r="M8332" s="369" cm="1">
        <f t="array" ref="M8332">+_xlfn.IFS((C8332&gt;='Resultats - informe'!$D$26)*(C8332&lt;='Resultats - informe'!$E$26),0,(C8332&gt;='Resultats - informe'!$D$27)*(C8332&lt;='Resultats - informe'!$E$27),0,(C8332&gt;='Resultats - informe'!$D$28)*(C8332&lt;='Resultats - informe'!$E$28),0,(C8332&gt;='Resultats - informe'!$D$29)*(C8332&lt;='Resultats - informe'!$E$29),0,1,1)</f>
        <v>0</v>
      </c>
      <c r="N8332" s="366">
        <f>+VLOOKUP(D8332,'Resultats - informe'!$Y$18:$AG$42,'Introducció dades consum'!K8332+1,0)</f>
        <v>0</v>
      </c>
      <c r="O8332" s="370" cm="1">
        <f t="array" ref="O8332">+_xlfn.SWITCH(MONTH(C8332),1,1,2,1,3,1,4,2,5,2,6,3,7,3,8,3,9,3,10,2,11,2,12,1,2)</f>
        <v>1</v>
      </c>
      <c r="P8332" s="43"/>
    </row>
    <row r="8333" spans="1:16" ht="18" x14ac:dyDescent="0.35">
      <c r="A8333" s="9"/>
      <c r="C8333" s="393"/>
      <c r="E8333" s="394"/>
      <c r="F8333" s="394"/>
      <c r="G8333" s="394"/>
      <c r="I8333" s="368">
        <f t="shared" si="393"/>
        <v>0</v>
      </c>
      <c r="J8333" s="365">
        <f t="shared" si="394"/>
        <v>0</v>
      </c>
      <c r="K8333" s="369">
        <f t="shared" si="395"/>
        <v>6</v>
      </c>
      <c r="L8333" s="369">
        <f>+IF((C8333&gt;='Resultats - informe'!$E$16)*(C8333&lt;='Resultats - informe'!$G$16),1,0)</f>
        <v>1</v>
      </c>
      <c r="M8333" s="369" cm="1">
        <f t="array" ref="M8333">+_xlfn.IFS((C8333&gt;='Resultats - informe'!$D$26)*(C8333&lt;='Resultats - informe'!$E$26),0,(C8333&gt;='Resultats - informe'!$D$27)*(C8333&lt;='Resultats - informe'!$E$27),0,(C8333&gt;='Resultats - informe'!$D$28)*(C8333&lt;='Resultats - informe'!$E$28),0,(C8333&gt;='Resultats - informe'!$D$29)*(C8333&lt;='Resultats - informe'!$E$29),0,1,1)</f>
        <v>0</v>
      </c>
      <c r="N8333" s="366">
        <f>+VLOOKUP(D8333,'Resultats - informe'!$Y$18:$AG$42,'Introducció dades consum'!K8333+1,0)</f>
        <v>0</v>
      </c>
      <c r="O8333" s="370" cm="1">
        <f t="array" ref="O8333">+_xlfn.SWITCH(MONTH(C8333),1,1,2,1,3,1,4,2,5,2,6,3,7,3,8,3,9,3,10,2,11,2,12,1,2)</f>
        <v>1</v>
      </c>
      <c r="P8333" s="43"/>
    </row>
    <row r="8334" spans="1:16" ht="18" x14ac:dyDescent="0.35">
      <c r="A8334" s="9"/>
      <c r="C8334" s="393"/>
      <c r="E8334" s="394"/>
      <c r="F8334" s="394"/>
      <c r="G8334" s="394"/>
      <c r="I8334" s="368">
        <f t="shared" si="393"/>
        <v>0</v>
      </c>
      <c r="J8334" s="365">
        <f t="shared" si="394"/>
        <v>0</v>
      </c>
      <c r="K8334" s="369">
        <f t="shared" si="395"/>
        <v>6</v>
      </c>
      <c r="L8334" s="369">
        <f>+IF((C8334&gt;='Resultats - informe'!$E$16)*(C8334&lt;='Resultats - informe'!$G$16),1,0)</f>
        <v>1</v>
      </c>
      <c r="M8334" s="369" cm="1">
        <f t="array" ref="M8334">+_xlfn.IFS((C8334&gt;='Resultats - informe'!$D$26)*(C8334&lt;='Resultats - informe'!$E$26),0,(C8334&gt;='Resultats - informe'!$D$27)*(C8334&lt;='Resultats - informe'!$E$27),0,(C8334&gt;='Resultats - informe'!$D$28)*(C8334&lt;='Resultats - informe'!$E$28),0,(C8334&gt;='Resultats - informe'!$D$29)*(C8334&lt;='Resultats - informe'!$E$29),0,1,1)</f>
        <v>0</v>
      </c>
      <c r="N8334" s="366">
        <f>+VLOOKUP(D8334,'Resultats - informe'!$Y$18:$AG$42,'Introducció dades consum'!K8334+1,0)</f>
        <v>0</v>
      </c>
      <c r="O8334" s="370" cm="1">
        <f t="array" ref="O8334">+_xlfn.SWITCH(MONTH(C8334),1,1,2,1,3,1,4,2,5,2,6,3,7,3,8,3,9,3,10,2,11,2,12,1,2)</f>
        <v>1</v>
      </c>
      <c r="P8334" s="43"/>
    </row>
    <row r="8335" spans="1:16" ht="18" x14ac:dyDescent="0.35">
      <c r="A8335" s="9"/>
      <c r="C8335" s="393"/>
      <c r="E8335" s="394"/>
      <c r="F8335" s="394"/>
      <c r="G8335" s="394"/>
      <c r="I8335" s="368">
        <f t="shared" si="393"/>
        <v>0</v>
      </c>
      <c r="J8335" s="365">
        <f t="shared" si="394"/>
        <v>0</v>
      </c>
      <c r="K8335" s="369">
        <f t="shared" si="395"/>
        <v>6</v>
      </c>
      <c r="L8335" s="369">
        <f>+IF((C8335&gt;='Resultats - informe'!$E$16)*(C8335&lt;='Resultats - informe'!$G$16),1,0)</f>
        <v>1</v>
      </c>
      <c r="M8335" s="369" cm="1">
        <f t="array" ref="M8335">+_xlfn.IFS((C8335&gt;='Resultats - informe'!$D$26)*(C8335&lt;='Resultats - informe'!$E$26),0,(C8335&gt;='Resultats - informe'!$D$27)*(C8335&lt;='Resultats - informe'!$E$27),0,(C8335&gt;='Resultats - informe'!$D$28)*(C8335&lt;='Resultats - informe'!$E$28),0,(C8335&gt;='Resultats - informe'!$D$29)*(C8335&lt;='Resultats - informe'!$E$29),0,1,1)</f>
        <v>0</v>
      </c>
      <c r="N8335" s="366">
        <f>+VLOOKUP(D8335,'Resultats - informe'!$Y$18:$AG$42,'Introducció dades consum'!K8335+1,0)</f>
        <v>0</v>
      </c>
      <c r="O8335" s="370" cm="1">
        <f t="array" ref="O8335">+_xlfn.SWITCH(MONTH(C8335),1,1,2,1,3,1,4,2,5,2,6,3,7,3,8,3,9,3,10,2,11,2,12,1,2)</f>
        <v>1</v>
      </c>
      <c r="P8335" s="43"/>
    </row>
    <row r="8336" spans="1:16" ht="18" x14ac:dyDescent="0.35">
      <c r="A8336" s="9"/>
      <c r="C8336" s="393"/>
      <c r="E8336" s="394"/>
      <c r="F8336" s="394"/>
      <c r="G8336" s="394"/>
      <c r="I8336" s="368">
        <f t="shared" si="393"/>
        <v>0</v>
      </c>
      <c r="J8336" s="365">
        <f t="shared" si="394"/>
        <v>0</v>
      </c>
      <c r="K8336" s="369">
        <f t="shared" si="395"/>
        <v>6</v>
      </c>
      <c r="L8336" s="369">
        <f>+IF((C8336&gt;='Resultats - informe'!$E$16)*(C8336&lt;='Resultats - informe'!$G$16),1,0)</f>
        <v>1</v>
      </c>
      <c r="M8336" s="369" cm="1">
        <f t="array" ref="M8336">+_xlfn.IFS((C8336&gt;='Resultats - informe'!$D$26)*(C8336&lt;='Resultats - informe'!$E$26),0,(C8336&gt;='Resultats - informe'!$D$27)*(C8336&lt;='Resultats - informe'!$E$27),0,(C8336&gt;='Resultats - informe'!$D$28)*(C8336&lt;='Resultats - informe'!$E$28),0,(C8336&gt;='Resultats - informe'!$D$29)*(C8336&lt;='Resultats - informe'!$E$29),0,1,1)</f>
        <v>0</v>
      </c>
      <c r="N8336" s="366">
        <f>+VLOOKUP(D8336,'Resultats - informe'!$Y$18:$AG$42,'Introducció dades consum'!K8336+1,0)</f>
        <v>0</v>
      </c>
      <c r="O8336" s="370" cm="1">
        <f t="array" ref="O8336">+_xlfn.SWITCH(MONTH(C8336),1,1,2,1,3,1,4,2,5,2,6,3,7,3,8,3,9,3,10,2,11,2,12,1,2)</f>
        <v>1</v>
      </c>
      <c r="P8336" s="43"/>
    </row>
    <row r="8337" spans="1:16" ht="18" x14ac:dyDescent="0.35">
      <c r="A8337" s="9"/>
      <c r="C8337" s="393"/>
      <c r="E8337" s="394"/>
      <c r="F8337" s="394"/>
      <c r="G8337" s="394"/>
      <c r="I8337" s="368">
        <f t="shared" si="393"/>
        <v>0</v>
      </c>
      <c r="J8337" s="365">
        <f t="shared" si="394"/>
        <v>0</v>
      </c>
      <c r="K8337" s="369">
        <f t="shared" si="395"/>
        <v>6</v>
      </c>
      <c r="L8337" s="369">
        <f>+IF((C8337&gt;='Resultats - informe'!$E$16)*(C8337&lt;='Resultats - informe'!$G$16),1,0)</f>
        <v>1</v>
      </c>
      <c r="M8337" s="369" cm="1">
        <f t="array" ref="M8337">+_xlfn.IFS((C8337&gt;='Resultats - informe'!$D$26)*(C8337&lt;='Resultats - informe'!$E$26),0,(C8337&gt;='Resultats - informe'!$D$27)*(C8337&lt;='Resultats - informe'!$E$27),0,(C8337&gt;='Resultats - informe'!$D$28)*(C8337&lt;='Resultats - informe'!$E$28),0,(C8337&gt;='Resultats - informe'!$D$29)*(C8337&lt;='Resultats - informe'!$E$29),0,1,1)</f>
        <v>0</v>
      </c>
      <c r="N8337" s="366">
        <f>+VLOOKUP(D8337,'Resultats - informe'!$Y$18:$AG$42,'Introducció dades consum'!K8337+1,0)</f>
        <v>0</v>
      </c>
      <c r="O8337" s="370" cm="1">
        <f t="array" ref="O8337">+_xlfn.SWITCH(MONTH(C8337),1,1,2,1,3,1,4,2,5,2,6,3,7,3,8,3,9,3,10,2,11,2,12,1,2)</f>
        <v>1</v>
      </c>
      <c r="P8337" s="43"/>
    </row>
    <row r="8338" spans="1:16" ht="18" x14ac:dyDescent="0.35">
      <c r="A8338" s="9"/>
      <c r="C8338" s="393"/>
      <c r="E8338" s="394"/>
      <c r="F8338" s="394"/>
      <c r="G8338" s="394"/>
      <c r="I8338" s="368">
        <f t="shared" ref="I8338:I8401" si="396">+E8338+G8338</f>
        <v>0</v>
      </c>
      <c r="J8338" s="365">
        <f t="shared" ref="J8338:J8401" si="397">+C8338</f>
        <v>0</v>
      </c>
      <c r="K8338" s="369">
        <f t="shared" ref="K8338:K8401" si="398">+WEEKDAY(C8338,2)</f>
        <v>6</v>
      </c>
      <c r="L8338" s="369">
        <f>+IF((C8338&gt;='Resultats - informe'!$E$16)*(C8338&lt;='Resultats - informe'!$G$16),1,0)</f>
        <v>1</v>
      </c>
      <c r="M8338" s="369" cm="1">
        <f t="array" ref="M8338">+_xlfn.IFS((C8338&gt;='Resultats - informe'!$D$26)*(C8338&lt;='Resultats - informe'!$E$26),0,(C8338&gt;='Resultats - informe'!$D$27)*(C8338&lt;='Resultats - informe'!$E$27),0,(C8338&gt;='Resultats - informe'!$D$28)*(C8338&lt;='Resultats - informe'!$E$28),0,(C8338&gt;='Resultats - informe'!$D$29)*(C8338&lt;='Resultats - informe'!$E$29),0,1,1)</f>
        <v>0</v>
      </c>
      <c r="N8338" s="366">
        <f>+VLOOKUP(D8338,'Resultats - informe'!$Y$18:$AG$42,'Introducció dades consum'!K8338+1,0)</f>
        <v>0</v>
      </c>
      <c r="O8338" s="370" cm="1">
        <f t="array" ref="O8338">+_xlfn.SWITCH(MONTH(C8338),1,1,2,1,3,1,4,2,5,2,6,3,7,3,8,3,9,3,10,2,11,2,12,1,2)</f>
        <v>1</v>
      </c>
      <c r="P8338" s="43"/>
    </row>
    <row r="8339" spans="1:16" ht="18" x14ac:dyDescent="0.35">
      <c r="A8339" s="9"/>
      <c r="C8339" s="393"/>
      <c r="E8339" s="394"/>
      <c r="F8339" s="394"/>
      <c r="G8339" s="394"/>
      <c r="I8339" s="368">
        <f t="shared" si="396"/>
        <v>0</v>
      </c>
      <c r="J8339" s="365">
        <f t="shared" si="397"/>
        <v>0</v>
      </c>
      <c r="K8339" s="369">
        <f t="shared" si="398"/>
        <v>6</v>
      </c>
      <c r="L8339" s="369">
        <f>+IF((C8339&gt;='Resultats - informe'!$E$16)*(C8339&lt;='Resultats - informe'!$G$16),1,0)</f>
        <v>1</v>
      </c>
      <c r="M8339" s="369" cm="1">
        <f t="array" ref="M8339">+_xlfn.IFS((C8339&gt;='Resultats - informe'!$D$26)*(C8339&lt;='Resultats - informe'!$E$26),0,(C8339&gt;='Resultats - informe'!$D$27)*(C8339&lt;='Resultats - informe'!$E$27),0,(C8339&gt;='Resultats - informe'!$D$28)*(C8339&lt;='Resultats - informe'!$E$28),0,(C8339&gt;='Resultats - informe'!$D$29)*(C8339&lt;='Resultats - informe'!$E$29),0,1,1)</f>
        <v>0</v>
      </c>
      <c r="N8339" s="366">
        <f>+VLOOKUP(D8339,'Resultats - informe'!$Y$18:$AG$42,'Introducció dades consum'!K8339+1,0)</f>
        <v>0</v>
      </c>
      <c r="O8339" s="370" cm="1">
        <f t="array" ref="O8339">+_xlfn.SWITCH(MONTH(C8339),1,1,2,1,3,1,4,2,5,2,6,3,7,3,8,3,9,3,10,2,11,2,12,1,2)</f>
        <v>1</v>
      </c>
      <c r="P8339" s="43"/>
    </row>
    <row r="8340" spans="1:16" ht="18" x14ac:dyDescent="0.35">
      <c r="A8340" s="9"/>
      <c r="C8340" s="393"/>
      <c r="E8340" s="394"/>
      <c r="F8340" s="394"/>
      <c r="G8340" s="394"/>
      <c r="I8340" s="368">
        <f t="shared" si="396"/>
        <v>0</v>
      </c>
      <c r="J8340" s="365">
        <f t="shared" si="397"/>
        <v>0</v>
      </c>
      <c r="K8340" s="369">
        <f t="shared" si="398"/>
        <v>6</v>
      </c>
      <c r="L8340" s="369">
        <f>+IF((C8340&gt;='Resultats - informe'!$E$16)*(C8340&lt;='Resultats - informe'!$G$16),1,0)</f>
        <v>1</v>
      </c>
      <c r="M8340" s="369" cm="1">
        <f t="array" ref="M8340">+_xlfn.IFS((C8340&gt;='Resultats - informe'!$D$26)*(C8340&lt;='Resultats - informe'!$E$26),0,(C8340&gt;='Resultats - informe'!$D$27)*(C8340&lt;='Resultats - informe'!$E$27),0,(C8340&gt;='Resultats - informe'!$D$28)*(C8340&lt;='Resultats - informe'!$E$28),0,(C8340&gt;='Resultats - informe'!$D$29)*(C8340&lt;='Resultats - informe'!$E$29),0,1,1)</f>
        <v>0</v>
      </c>
      <c r="N8340" s="366">
        <f>+VLOOKUP(D8340,'Resultats - informe'!$Y$18:$AG$42,'Introducció dades consum'!K8340+1,0)</f>
        <v>0</v>
      </c>
      <c r="O8340" s="370" cm="1">
        <f t="array" ref="O8340">+_xlfn.SWITCH(MONTH(C8340),1,1,2,1,3,1,4,2,5,2,6,3,7,3,8,3,9,3,10,2,11,2,12,1,2)</f>
        <v>1</v>
      </c>
      <c r="P8340" s="43"/>
    </row>
    <row r="8341" spans="1:16" ht="18" x14ac:dyDescent="0.35">
      <c r="A8341" s="9"/>
      <c r="C8341" s="393"/>
      <c r="E8341" s="394"/>
      <c r="F8341" s="394"/>
      <c r="G8341" s="394"/>
      <c r="I8341" s="368">
        <f t="shared" si="396"/>
        <v>0</v>
      </c>
      <c r="J8341" s="365">
        <f t="shared" si="397"/>
        <v>0</v>
      </c>
      <c r="K8341" s="369">
        <f t="shared" si="398"/>
        <v>6</v>
      </c>
      <c r="L8341" s="369">
        <f>+IF((C8341&gt;='Resultats - informe'!$E$16)*(C8341&lt;='Resultats - informe'!$G$16),1,0)</f>
        <v>1</v>
      </c>
      <c r="M8341" s="369" cm="1">
        <f t="array" ref="M8341">+_xlfn.IFS((C8341&gt;='Resultats - informe'!$D$26)*(C8341&lt;='Resultats - informe'!$E$26),0,(C8341&gt;='Resultats - informe'!$D$27)*(C8341&lt;='Resultats - informe'!$E$27),0,(C8341&gt;='Resultats - informe'!$D$28)*(C8341&lt;='Resultats - informe'!$E$28),0,(C8341&gt;='Resultats - informe'!$D$29)*(C8341&lt;='Resultats - informe'!$E$29),0,1,1)</f>
        <v>0</v>
      </c>
      <c r="N8341" s="366">
        <f>+VLOOKUP(D8341,'Resultats - informe'!$Y$18:$AG$42,'Introducció dades consum'!K8341+1,0)</f>
        <v>0</v>
      </c>
      <c r="O8341" s="370" cm="1">
        <f t="array" ref="O8341">+_xlfn.SWITCH(MONTH(C8341),1,1,2,1,3,1,4,2,5,2,6,3,7,3,8,3,9,3,10,2,11,2,12,1,2)</f>
        <v>1</v>
      </c>
      <c r="P8341" s="43"/>
    </row>
    <row r="8342" spans="1:16" ht="18" x14ac:dyDescent="0.35">
      <c r="A8342" s="9"/>
      <c r="C8342" s="393"/>
      <c r="E8342" s="394"/>
      <c r="F8342" s="394"/>
      <c r="G8342" s="394"/>
      <c r="I8342" s="368">
        <f t="shared" si="396"/>
        <v>0</v>
      </c>
      <c r="J8342" s="365">
        <f t="shared" si="397"/>
        <v>0</v>
      </c>
      <c r="K8342" s="369">
        <f t="shared" si="398"/>
        <v>6</v>
      </c>
      <c r="L8342" s="369">
        <f>+IF((C8342&gt;='Resultats - informe'!$E$16)*(C8342&lt;='Resultats - informe'!$G$16),1,0)</f>
        <v>1</v>
      </c>
      <c r="M8342" s="369" cm="1">
        <f t="array" ref="M8342">+_xlfn.IFS((C8342&gt;='Resultats - informe'!$D$26)*(C8342&lt;='Resultats - informe'!$E$26),0,(C8342&gt;='Resultats - informe'!$D$27)*(C8342&lt;='Resultats - informe'!$E$27),0,(C8342&gt;='Resultats - informe'!$D$28)*(C8342&lt;='Resultats - informe'!$E$28),0,(C8342&gt;='Resultats - informe'!$D$29)*(C8342&lt;='Resultats - informe'!$E$29),0,1,1)</f>
        <v>0</v>
      </c>
      <c r="N8342" s="366">
        <f>+VLOOKUP(D8342,'Resultats - informe'!$Y$18:$AG$42,'Introducció dades consum'!K8342+1,0)</f>
        <v>0</v>
      </c>
      <c r="O8342" s="370" cm="1">
        <f t="array" ref="O8342">+_xlfn.SWITCH(MONTH(C8342),1,1,2,1,3,1,4,2,5,2,6,3,7,3,8,3,9,3,10,2,11,2,12,1,2)</f>
        <v>1</v>
      </c>
      <c r="P8342" s="43"/>
    </row>
    <row r="8343" spans="1:16" ht="18" x14ac:dyDescent="0.35">
      <c r="A8343" s="9"/>
      <c r="C8343" s="393"/>
      <c r="E8343" s="394"/>
      <c r="F8343" s="394"/>
      <c r="G8343" s="394"/>
      <c r="I8343" s="368">
        <f t="shared" si="396"/>
        <v>0</v>
      </c>
      <c r="J8343" s="365">
        <f t="shared" si="397"/>
        <v>0</v>
      </c>
      <c r="K8343" s="369">
        <f t="shared" si="398"/>
        <v>6</v>
      </c>
      <c r="L8343" s="369">
        <f>+IF((C8343&gt;='Resultats - informe'!$E$16)*(C8343&lt;='Resultats - informe'!$G$16),1,0)</f>
        <v>1</v>
      </c>
      <c r="M8343" s="369" cm="1">
        <f t="array" ref="M8343">+_xlfn.IFS((C8343&gt;='Resultats - informe'!$D$26)*(C8343&lt;='Resultats - informe'!$E$26),0,(C8343&gt;='Resultats - informe'!$D$27)*(C8343&lt;='Resultats - informe'!$E$27),0,(C8343&gt;='Resultats - informe'!$D$28)*(C8343&lt;='Resultats - informe'!$E$28),0,(C8343&gt;='Resultats - informe'!$D$29)*(C8343&lt;='Resultats - informe'!$E$29),0,1,1)</f>
        <v>0</v>
      </c>
      <c r="N8343" s="366">
        <f>+VLOOKUP(D8343,'Resultats - informe'!$Y$18:$AG$42,'Introducció dades consum'!K8343+1,0)</f>
        <v>0</v>
      </c>
      <c r="O8343" s="370" cm="1">
        <f t="array" ref="O8343">+_xlfn.SWITCH(MONTH(C8343),1,1,2,1,3,1,4,2,5,2,6,3,7,3,8,3,9,3,10,2,11,2,12,1,2)</f>
        <v>1</v>
      </c>
      <c r="P8343" s="43"/>
    </row>
    <row r="8344" spans="1:16" ht="18" x14ac:dyDescent="0.35">
      <c r="A8344" s="9"/>
      <c r="C8344" s="393"/>
      <c r="E8344" s="394"/>
      <c r="F8344" s="394"/>
      <c r="G8344" s="394"/>
      <c r="I8344" s="368">
        <f t="shared" si="396"/>
        <v>0</v>
      </c>
      <c r="J8344" s="365">
        <f t="shared" si="397"/>
        <v>0</v>
      </c>
      <c r="K8344" s="369">
        <f t="shared" si="398"/>
        <v>6</v>
      </c>
      <c r="L8344" s="369">
        <f>+IF((C8344&gt;='Resultats - informe'!$E$16)*(C8344&lt;='Resultats - informe'!$G$16),1,0)</f>
        <v>1</v>
      </c>
      <c r="M8344" s="369" cm="1">
        <f t="array" ref="M8344">+_xlfn.IFS((C8344&gt;='Resultats - informe'!$D$26)*(C8344&lt;='Resultats - informe'!$E$26),0,(C8344&gt;='Resultats - informe'!$D$27)*(C8344&lt;='Resultats - informe'!$E$27),0,(C8344&gt;='Resultats - informe'!$D$28)*(C8344&lt;='Resultats - informe'!$E$28),0,(C8344&gt;='Resultats - informe'!$D$29)*(C8344&lt;='Resultats - informe'!$E$29),0,1,1)</f>
        <v>0</v>
      </c>
      <c r="N8344" s="366">
        <f>+VLOOKUP(D8344,'Resultats - informe'!$Y$18:$AG$42,'Introducció dades consum'!K8344+1,0)</f>
        <v>0</v>
      </c>
      <c r="O8344" s="370" cm="1">
        <f t="array" ref="O8344">+_xlfn.SWITCH(MONTH(C8344),1,1,2,1,3,1,4,2,5,2,6,3,7,3,8,3,9,3,10,2,11,2,12,1,2)</f>
        <v>1</v>
      </c>
      <c r="P8344" s="43"/>
    </row>
    <row r="8345" spans="1:16" ht="18" x14ac:dyDescent="0.35">
      <c r="A8345" s="9"/>
      <c r="C8345" s="393"/>
      <c r="E8345" s="394"/>
      <c r="F8345" s="394"/>
      <c r="G8345" s="394"/>
      <c r="I8345" s="368">
        <f t="shared" si="396"/>
        <v>0</v>
      </c>
      <c r="J8345" s="365">
        <f t="shared" si="397"/>
        <v>0</v>
      </c>
      <c r="K8345" s="369">
        <f t="shared" si="398"/>
        <v>6</v>
      </c>
      <c r="L8345" s="369">
        <f>+IF((C8345&gt;='Resultats - informe'!$E$16)*(C8345&lt;='Resultats - informe'!$G$16),1,0)</f>
        <v>1</v>
      </c>
      <c r="M8345" s="369" cm="1">
        <f t="array" ref="M8345">+_xlfn.IFS((C8345&gt;='Resultats - informe'!$D$26)*(C8345&lt;='Resultats - informe'!$E$26),0,(C8345&gt;='Resultats - informe'!$D$27)*(C8345&lt;='Resultats - informe'!$E$27),0,(C8345&gt;='Resultats - informe'!$D$28)*(C8345&lt;='Resultats - informe'!$E$28),0,(C8345&gt;='Resultats - informe'!$D$29)*(C8345&lt;='Resultats - informe'!$E$29),0,1,1)</f>
        <v>0</v>
      </c>
      <c r="N8345" s="366">
        <f>+VLOOKUP(D8345,'Resultats - informe'!$Y$18:$AG$42,'Introducció dades consum'!K8345+1,0)</f>
        <v>0</v>
      </c>
      <c r="O8345" s="370" cm="1">
        <f t="array" ref="O8345">+_xlfn.SWITCH(MONTH(C8345),1,1,2,1,3,1,4,2,5,2,6,3,7,3,8,3,9,3,10,2,11,2,12,1,2)</f>
        <v>1</v>
      </c>
      <c r="P8345" s="43"/>
    </row>
    <row r="8346" spans="1:16" ht="18" x14ac:dyDescent="0.35">
      <c r="A8346" s="9"/>
      <c r="C8346" s="393"/>
      <c r="E8346" s="394"/>
      <c r="F8346" s="394"/>
      <c r="G8346" s="394"/>
      <c r="I8346" s="368">
        <f t="shared" si="396"/>
        <v>0</v>
      </c>
      <c r="J8346" s="365">
        <f t="shared" si="397"/>
        <v>0</v>
      </c>
      <c r="K8346" s="369">
        <f t="shared" si="398"/>
        <v>6</v>
      </c>
      <c r="L8346" s="369">
        <f>+IF((C8346&gt;='Resultats - informe'!$E$16)*(C8346&lt;='Resultats - informe'!$G$16),1,0)</f>
        <v>1</v>
      </c>
      <c r="M8346" s="369" cm="1">
        <f t="array" ref="M8346">+_xlfn.IFS((C8346&gt;='Resultats - informe'!$D$26)*(C8346&lt;='Resultats - informe'!$E$26),0,(C8346&gt;='Resultats - informe'!$D$27)*(C8346&lt;='Resultats - informe'!$E$27),0,(C8346&gt;='Resultats - informe'!$D$28)*(C8346&lt;='Resultats - informe'!$E$28),0,(C8346&gt;='Resultats - informe'!$D$29)*(C8346&lt;='Resultats - informe'!$E$29),0,1,1)</f>
        <v>0</v>
      </c>
      <c r="N8346" s="366">
        <f>+VLOOKUP(D8346,'Resultats - informe'!$Y$18:$AG$42,'Introducció dades consum'!K8346+1,0)</f>
        <v>0</v>
      </c>
      <c r="O8346" s="370" cm="1">
        <f t="array" ref="O8346">+_xlfn.SWITCH(MONTH(C8346),1,1,2,1,3,1,4,2,5,2,6,3,7,3,8,3,9,3,10,2,11,2,12,1,2)</f>
        <v>1</v>
      </c>
      <c r="P8346" s="43"/>
    </row>
    <row r="8347" spans="1:16" ht="18" x14ac:dyDescent="0.35">
      <c r="A8347" s="9"/>
      <c r="C8347" s="393"/>
      <c r="E8347" s="394"/>
      <c r="F8347" s="394"/>
      <c r="G8347" s="394"/>
      <c r="I8347" s="368">
        <f t="shared" si="396"/>
        <v>0</v>
      </c>
      <c r="J8347" s="365">
        <f t="shared" si="397"/>
        <v>0</v>
      </c>
      <c r="K8347" s="369">
        <f t="shared" si="398"/>
        <v>6</v>
      </c>
      <c r="L8347" s="369">
        <f>+IF((C8347&gt;='Resultats - informe'!$E$16)*(C8347&lt;='Resultats - informe'!$G$16),1,0)</f>
        <v>1</v>
      </c>
      <c r="M8347" s="369" cm="1">
        <f t="array" ref="M8347">+_xlfn.IFS((C8347&gt;='Resultats - informe'!$D$26)*(C8347&lt;='Resultats - informe'!$E$26),0,(C8347&gt;='Resultats - informe'!$D$27)*(C8347&lt;='Resultats - informe'!$E$27),0,(C8347&gt;='Resultats - informe'!$D$28)*(C8347&lt;='Resultats - informe'!$E$28),0,(C8347&gt;='Resultats - informe'!$D$29)*(C8347&lt;='Resultats - informe'!$E$29),0,1,1)</f>
        <v>0</v>
      </c>
      <c r="N8347" s="366">
        <f>+VLOOKUP(D8347,'Resultats - informe'!$Y$18:$AG$42,'Introducció dades consum'!K8347+1,0)</f>
        <v>0</v>
      </c>
      <c r="O8347" s="370" cm="1">
        <f t="array" ref="O8347">+_xlfn.SWITCH(MONTH(C8347),1,1,2,1,3,1,4,2,5,2,6,3,7,3,8,3,9,3,10,2,11,2,12,1,2)</f>
        <v>1</v>
      </c>
      <c r="P8347" s="43"/>
    </row>
    <row r="8348" spans="1:16" ht="18" x14ac:dyDescent="0.35">
      <c r="A8348" s="9"/>
      <c r="C8348" s="393"/>
      <c r="E8348" s="394"/>
      <c r="F8348" s="394"/>
      <c r="G8348" s="394"/>
      <c r="I8348" s="368">
        <f t="shared" si="396"/>
        <v>0</v>
      </c>
      <c r="J8348" s="365">
        <f t="shared" si="397"/>
        <v>0</v>
      </c>
      <c r="K8348" s="369">
        <f t="shared" si="398"/>
        <v>6</v>
      </c>
      <c r="L8348" s="369">
        <f>+IF((C8348&gt;='Resultats - informe'!$E$16)*(C8348&lt;='Resultats - informe'!$G$16),1,0)</f>
        <v>1</v>
      </c>
      <c r="M8348" s="369" cm="1">
        <f t="array" ref="M8348">+_xlfn.IFS((C8348&gt;='Resultats - informe'!$D$26)*(C8348&lt;='Resultats - informe'!$E$26),0,(C8348&gt;='Resultats - informe'!$D$27)*(C8348&lt;='Resultats - informe'!$E$27),0,(C8348&gt;='Resultats - informe'!$D$28)*(C8348&lt;='Resultats - informe'!$E$28),0,(C8348&gt;='Resultats - informe'!$D$29)*(C8348&lt;='Resultats - informe'!$E$29),0,1,1)</f>
        <v>0</v>
      </c>
      <c r="N8348" s="366">
        <f>+VLOOKUP(D8348,'Resultats - informe'!$Y$18:$AG$42,'Introducció dades consum'!K8348+1,0)</f>
        <v>0</v>
      </c>
      <c r="O8348" s="370" cm="1">
        <f t="array" ref="O8348">+_xlfn.SWITCH(MONTH(C8348),1,1,2,1,3,1,4,2,5,2,6,3,7,3,8,3,9,3,10,2,11,2,12,1,2)</f>
        <v>1</v>
      </c>
      <c r="P8348" s="43"/>
    </row>
    <row r="8349" spans="1:16" ht="18" x14ac:dyDescent="0.35">
      <c r="A8349" s="9"/>
      <c r="C8349" s="393"/>
      <c r="E8349" s="394"/>
      <c r="F8349" s="394"/>
      <c r="G8349" s="394"/>
      <c r="I8349" s="368">
        <f t="shared" si="396"/>
        <v>0</v>
      </c>
      <c r="J8349" s="365">
        <f t="shared" si="397"/>
        <v>0</v>
      </c>
      <c r="K8349" s="369">
        <f t="shared" si="398"/>
        <v>6</v>
      </c>
      <c r="L8349" s="369">
        <f>+IF((C8349&gt;='Resultats - informe'!$E$16)*(C8349&lt;='Resultats - informe'!$G$16),1,0)</f>
        <v>1</v>
      </c>
      <c r="M8349" s="369" cm="1">
        <f t="array" ref="M8349">+_xlfn.IFS((C8349&gt;='Resultats - informe'!$D$26)*(C8349&lt;='Resultats - informe'!$E$26),0,(C8349&gt;='Resultats - informe'!$D$27)*(C8349&lt;='Resultats - informe'!$E$27),0,(C8349&gt;='Resultats - informe'!$D$28)*(C8349&lt;='Resultats - informe'!$E$28),0,(C8349&gt;='Resultats - informe'!$D$29)*(C8349&lt;='Resultats - informe'!$E$29),0,1,1)</f>
        <v>0</v>
      </c>
      <c r="N8349" s="366">
        <f>+VLOOKUP(D8349,'Resultats - informe'!$Y$18:$AG$42,'Introducció dades consum'!K8349+1,0)</f>
        <v>0</v>
      </c>
      <c r="O8349" s="370" cm="1">
        <f t="array" ref="O8349">+_xlfn.SWITCH(MONTH(C8349),1,1,2,1,3,1,4,2,5,2,6,3,7,3,8,3,9,3,10,2,11,2,12,1,2)</f>
        <v>1</v>
      </c>
      <c r="P8349" s="43"/>
    </row>
    <row r="8350" spans="1:16" ht="18" x14ac:dyDescent="0.35">
      <c r="A8350" s="9"/>
      <c r="C8350" s="393"/>
      <c r="E8350" s="394"/>
      <c r="F8350" s="394"/>
      <c r="G8350" s="394"/>
      <c r="I8350" s="368">
        <f t="shared" si="396"/>
        <v>0</v>
      </c>
      <c r="J8350" s="365">
        <f t="shared" si="397"/>
        <v>0</v>
      </c>
      <c r="K8350" s="369">
        <f t="shared" si="398"/>
        <v>6</v>
      </c>
      <c r="L8350" s="369">
        <f>+IF((C8350&gt;='Resultats - informe'!$E$16)*(C8350&lt;='Resultats - informe'!$G$16),1,0)</f>
        <v>1</v>
      </c>
      <c r="M8350" s="369" cm="1">
        <f t="array" ref="M8350">+_xlfn.IFS((C8350&gt;='Resultats - informe'!$D$26)*(C8350&lt;='Resultats - informe'!$E$26),0,(C8350&gt;='Resultats - informe'!$D$27)*(C8350&lt;='Resultats - informe'!$E$27),0,(C8350&gt;='Resultats - informe'!$D$28)*(C8350&lt;='Resultats - informe'!$E$28),0,(C8350&gt;='Resultats - informe'!$D$29)*(C8350&lt;='Resultats - informe'!$E$29),0,1,1)</f>
        <v>0</v>
      </c>
      <c r="N8350" s="366">
        <f>+VLOOKUP(D8350,'Resultats - informe'!$Y$18:$AG$42,'Introducció dades consum'!K8350+1,0)</f>
        <v>0</v>
      </c>
      <c r="O8350" s="370" cm="1">
        <f t="array" ref="O8350">+_xlfn.SWITCH(MONTH(C8350),1,1,2,1,3,1,4,2,5,2,6,3,7,3,8,3,9,3,10,2,11,2,12,1,2)</f>
        <v>1</v>
      </c>
      <c r="P8350" s="43"/>
    </row>
    <row r="8351" spans="1:16" ht="18" x14ac:dyDescent="0.35">
      <c r="A8351" s="9"/>
      <c r="C8351" s="393"/>
      <c r="E8351" s="394"/>
      <c r="F8351" s="394"/>
      <c r="G8351" s="394"/>
      <c r="I8351" s="368">
        <f t="shared" si="396"/>
        <v>0</v>
      </c>
      <c r="J8351" s="365">
        <f t="shared" si="397"/>
        <v>0</v>
      </c>
      <c r="K8351" s="369">
        <f t="shared" si="398"/>
        <v>6</v>
      </c>
      <c r="L8351" s="369">
        <f>+IF((C8351&gt;='Resultats - informe'!$E$16)*(C8351&lt;='Resultats - informe'!$G$16),1,0)</f>
        <v>1</v>
      </c>
      <c r="M8351" s="369" cm="1">
        <f t="array" ref="M8351">+_xlfn.IFS((C8351&gt;='Resultats - informe'!$D$26)*(C8351&lt;='Resultats - informe'!$E$26),0,(C8351&gt;='Resultats - informe'!$D$27)*(C8351&lt;='Resultats - informe'!$E$27),0,(C8351&gt;='Resultats - informe'!$D$28)*(C8351&lt;='Resultats - informe'!$E$28),0,(C8351&gt;='Resultats - informe'!$D$29)*(C8351&lt;='Resultats - informe'!$E$29),0,1,1)</f>
        <v>0</v>
      </c>
      <c r="N8351" s="366">
        <f>+VLOOKUP(D8351,'Resultats - informe'!$Y$18:$AG$42,'Introducció dades consum'!K8351+1,0)</f>
        <v>0</v>
      </c>
      <c r="O8351" s="370" cm="1">
        <f t="array" ref="O8351">+_xlfn.SWITCH(MONTH(C8351),1,1,2,1,3,1,4,2,5,2,6,3,7,3,8,3,9,3,10,2,11,2,12,1,2)</f>
        <v>1</v>
      </c>
      <c r="P8351" s="43"/>
    </row>
    <row r="8352" spans="1:16" ht="18" x14ac:dyDescent="0.35">
      <c r="A8352" s="9"/>
      <c r="C8352" s="393"/>
      <c r="E8352" s="394"/>
      <c r="F8352" s="394"/>
      <c r="G8352" s="394"/>
      <c r="I8352" s="368">
        <f t="shared" si="396"/>
        <v>0</v>
      </c>
      <c r="J8352" s="365">
        <f t="shared" si="397"/>
        <v>0</v>
      </c>
      <c r="K8352" s="369">
        <f t="shared" si="398"/>
        <v>6</v>
      </c>
      <c r="L8352" s="369">
        <f>+IF((C8352&gt;='Resultats - informe'!$E$16)*(C8352&lt;='Resultats - informe'!$G$16),1,0)</f>
        <v>1</v>
      </c>
      <c r="M8352" s="369" cm="1">
        <f t="array" ref="M8352">+_xlfn.IFS((C8352&gt;='Resultats - informe'!$D$26)*(C8352&lt;='Resultats - informe'!$E$26),0,(C8352&gt;='Resultats - informe'!$D$27)*(C8352&lt;='Resultats - informe'!$E$27),0,(C8352&gt;='Resultats - informe'!$D$28)*(C8352&lt;='Resultats - informe'!$E$28),0,(C8352&gt;='Resultats - informe'!$D$29)*(C8352&lt;='Resultats - informe'!$E$29),0,1,1)</f>
        <v>0</v>
      </c>
      <c r="N8352" s="366">
        <f>+VLOOKUP(D8352,'Resultats - informe'!$Y$18:$AG$42,'Introducció dades consum'!K8352+1,0)</f>
        <v>0</v>
      </c>
      <c r="O8352" s="370" cm="1">
        <f t="array" ref="O8352">+_xlfn.SWITCH(MONTH(C8352),1,1,2,1,3,1,4,2,5,2,6,3,7,3,8,3,9,3,10,2,11,2,12,1,2)</f>
        <v>1</v>
      </c>
      <c r="P8352" s="43"/>
    </row>
    <row r="8353" spans="1:16" ht="18" x14ac:dyDescent="0.35">
      <c r="A8353" s="9"/>
      <c r="C8353" s="393"/>
      <c r="E8353" s="394"/>
      <c r="F8353" s="394"/>
      <c r="G8353" s="394"/>
      <c r="I8353" s="368">
        <f t="shared" si="396"/>
        <v>0</v>
      </c>
      <c r="J8353" s="365">
        <f t="shared" si="397"/>
        <v>0</v>
      </c>
      <c r="K8353" s="369">
        <f t="shared" si="398"/>
        <v>6</v>
      </c>
      <c r="L8353" s="369">
        <f>+IF((C8353&gt;='Resultats - informe'!$E$16)*(C8353&lt;='Resultats - informe'!$G$16),1,0)</f>
        <v>1</v>
      </c>
      <c r="M8353" s="369" cm="1">
        <f t="array" ref="M8353">+_xlfn.IFS((C8353&gt;='Resultats - informe'!$D$26)*(C8353&lt;='Resultats - informe'!$E$26),0,(C8353&gt;='Resultats - informe'!$D$27)*(C8353&lt;='Resultats - informe'!$E$27),0,(C8353&gt;='Resultats - informe'!$D$28)*(C8353&lt;='Resultats - informe'!$E$28),0,(C8353&gt;='Resultats - informe'!$D$29)*(C8353&lt;='Resultats - informe'!$E$29),0,1,1)</f>
        <v>0</v>
      </c>
      <c r="N8353" s="366">
        <f>+VLOOKUP(D8353,'Resultats - informe'!$Y$18:$AG$42,'Introducció dades consum'!K8353+1,0)</f>
        <v>0</v>
      </c>
      <c r="O8353" s="370" cm="1">
        <f t="array" ref="O8353">+_xlfn.SWITCH(MONTH(C8353),1,1,2,1,3,1,4,2,5,2,6,3,7,3,8,3,9,3,10,2,11,2,12,1,2)</f>
        <v>1</v>
      </c>
      <c r="P8353" s="43"/>
    </row>
    <row r="8354" spans="1:16" ht="18" x14ac:dyDescent="0.35">
      <c r="A8354" s="9"/>
      <c r="C8354" s="393"/>
      <c r="E8354" s="394"/>
      <c r="F8354" s="394"/>
      <c r="G8354" s="394"/>
      <c r="I8354" s="368">
        <f t="shared" si="396"/>
        <v>0</v>
      </c>
      <c r="J8354" s="365">
        <f t="shared" si="397"/>
        <v>0</v>
      </c>
      <c r="K8354" s="369">
        <f t="shared" si="398"/>
        <v>6</v>
      </c>
      <c r="L8354" s="369">
        <f>+IF((C8354&gt;='Resultats - informe'!$E$16)*(C8354&lt;='Resultats - informe'!$G$16),1,0)</f>
        <v>1</v>
      </c>
      <c r="M8354" s="369" cm="1">
        <f t="array" ref="M8354">+_xlfn.IFS((C8354&gt;='Resultats - informe'!$D$26)*(C8354&lt;='Resultats - informe'!$E$26),0,(C8354&gt;='Resultats - informe'!$D$27)*(C8354&lt;='Resultats - informe'!$E$27),0,(C8354&gt;='Resultats - informe'!$D$28)*(C8354&lt;='Resultats - informe'!$E$28),0,(C8354&gt;='Resultats - informe'!$D$29)*(C8354&lt;='Resultats - informe'!$E$29),0,1,1)</f>
        <v>0</v>
      </c>
      <c r="N8354" s="366">
        <f>+VLOOKUP(D8354,'Resultats - informe'!$Y$18:$AG$42,'Introducció dades consum'!K8354+1,0)</f>
        <v>0</v>
      </c>
      <c r="O8354" s="370" cm="1">
        <f t="array" ref="O8354">+_xlfn.SWITCH(MONTH(C8354),1,1,2,1,3,1,4,2,5,2,6,3,7,3,8,3,9,3,10,2,11,2,12,1,2)</f>
        <v>1</v>
      </c>
      <c r="P8354" s="43"/>
    </row>
    <row r="8355" spans="1:16" ht="18" x14ac:dyDescent="0.35">
      <c r="A8355" s="9"/>
      <c r="C8355" s="393"/>
      <c r="E8355" s="394"/>
      <c r="F8355" s="394"/>
      <c r="G8355" s="394"/>
      <c r="I8355" s="368">
        <f t="shared" si="396"/>
        <v>0</v>
      </c>
      <c r="J8355" s="365">
        <f t="shared" si="397"/>
        <v>0</v>
      </c>
      <c r="K8355" s="369">
        <f t="shared" si="398"/>
        <v>6</v>
      </c>
      <c r="L8355" s="369">
        <f>+IF((C8355&gt;='Resultats - informe'!$E$16)*(C8355&lt;='Resultats - informe'!$G$16),1,0)</f>
        <v>1</v>
      </c>
      <c r="M8355" s="369" cm="1">
        <f t="array" ref="M8355">+_xlfn.IFS((C8355&gt;='Resultats - informe'!$D$26)*(C8355&lt;='Resultats - informe'!$E$26),0,(C8355&gt;='Resultats - informe'!$D$27)*(C8355&lt;='Resultats - informe'!$E$27),0,(C8355&gt;='Resultats - informe'!$D$28)*(C8355&lt;='Resultats - informe'!$E$28),0,(C8355&gt;='Resultats - informe'!$D$29)*(C8355&lt;='Resultats - informe'!$E$29),0,1,1)</f>
        <v>0</v>
      </c>
      <c r="N8355" s="366">
        <f>+VLOOKUP(D8355,'Resultats - informe'!$Y$18:$AG$42,'Introducció dades consum'!K8355+1,0)</f>
        <v>0</v>
      </c>
      <c r="O8355" s="370" cm="1">
        <f t="array" ref="O8355">+_xlfn.SWITCH(MONTH(C8355),1,1,2,1,3,1,4,2,5,2,6,3,7,3,8,3,9,3,10,2,11,2,12,1,2)</f>
        <v>1</v>
      </c>
      <c r="P8355" s="43"/>
    </row>
    <row r="8356" spans="1:16" ht="18" x14ac:dyDescent="0.35">
      <c r="A8356" s="9"/>
      <c r="C8356" s="393"/>
      <c r="E8356" s="394"/>
      <c r="F8356" s="394"/>
      <c r="G8356" s="394"/>
      <c r="I8356" s="368">
        <f t="shared" si="396"/>
        <v>0</v>
      </c>
      <c r="J8356" s="365">
        <f t="shared" si="397"/>
        <v>0</v>
      </c>
      <c r="K8356" s="369">
        <f t="shared" si="398"/>
        <v>6</v>
      </c>
      <c r="L8356" s="369">
        <f>+IF((C8356&gt;='Resultats - informe'!$E$16)*(C8356&lt;='Resultats - informe'!$G$16),1,0)</f>
        <v>1</v>
      </c>
      <c r="M8356" s="369" cm="1">
        <f t="array" ref="M8356">+_xlfn.IFS((C8356&gt;='Resultats - informe'!$D$26)*(C8356&lt;='Resultats - informe'!$E$26),0,(C8356&gt;='Resultats - informe'!$D$27)*(C8356&lt;='Resultats - informe'!$E$27),0,(C8356&gt;='Resultats - informe'!$D$28)*(C8356&lt;='Resultats - informe'!$E$28),0,(C8356&gt;='Resultats - informe'!$D$29)*(C8356&lt;='Resultats - informe'!$E$29),0,1,1)</f>
        <v>0</v>
      </c>
      <c r="N8356" s="366">
        <f>+VLOOKUP(D8356,'Resultats - informe'!$Y$18:$AG$42,'Introducció dades consum'!K8356+1,0)</f>
        <v>0</v>
      </c>
      <c r="O8356" s="370" cm="1">
        <f t="array" ref="O8356">+_xlfn.SWITCH(MONTH(C8356),1,1,2,1,3,1,4,2,5,2,6,3,7,3,8,3,9,3,10,2,11,2,12,1,2)</f>
        <v>1</v>
      </c>
      <c r="P8356" s="43"/>
    </row>
    <row r="8357" spans="1:16" ht="18" x14ac:dyDescent="0.35">
      <c r="A8357" s="9"/>
      <c r="C8357" s="393"/>
      <c r="E8357" s="394"/>
      <c r="F8357" s="394"/>
      <c r="G8357" s="394"/>
      <c r="I8357" s="368">
        <f t="shared" si="396"/>
        <v>0</v>
      </c>
      <c r="J8357" s="365">
        <f t="shared" si="397"/>
        <v>0</v>
      </c>
      <c r="K8357" s="369">
        <f t="shared" si="398"/>
        <v>6</v>
      </c>
      <c r="L8357" s="369">
        <f>+IF((C8357&gt;='Resultats - informe'!$E$16)*(C8357&lt;='Resultats - informe'!$G$16),1,0)</f>
        <v>1</v>
      </c>
      <c r="M8357" s="369" cm="1">
        <f t="array" ref="M8357">+_xlfn.IFS((C8357&gt;='Resultats - informe'!$D$26)*(C8357&lt;='Resultats - informe'!$E$26),0,(C8357&gt;='Resultats - informe'!$D$27)*(C8357&lt;='Resultats - informe'!$E$27),0,(C8357&gt;='Resultats - informe'!$D$28)*(C8357&lt;='Resultats - informe'!$E$28),0,(C8357&gt;='Resultats - informe'!$D$29)*(C8357&lt;='Resultats - informe'!$E$29),0,1,1)</f>
        <v>0</v>
      </c>
      <c r="N8357" s="366">
        <f>+VLOOKUP(D8357,'Resultats - informe'!$Y$18:$AG$42,'Introducció dades consum'!K8357+1,0)</f>
        <v>0</v>
      </c>
      <c r="O8357" s="370" cm="1">
        <f t="array" ref="O8357">+_xlfn.SWITCH(MONTH(C8357),1,1,2,1,3,1,4,2,5,2,6,3,7,3,8,3,9,3,10,2,11,2,12,1,2)</f>
        <v>1</v>
      </c>
      <c r="P8357" s="43"/>
    </row>
    <row r="8358" spans="1:16" ht="18" x14ac:dyDescent="0.35">
      <c r="A8358" s="9"/>
      <c r="C8358" s="393"/>
      <c r="E8358" s="394"/>
      <c r="F8358" s="394"/>
      <c r="G8358" s="394"/>
      <c r="I8358" s="368">
        <f t="shared" si="396"/>
        <v>0</v>
      </c>
      <c r="J8358" s="365">
        <f t="shared" si="397"/>
        <v>0</v>
      </c>
      <c r="K8358" s="369">
        <f t="shared" si="398"/>
        <v>6</v>
      </c>
      <c r="L8358" s="369">
        <f>+IF((C8358&gt;='Resultats - informe'!$E$16)*(C8358&lt;='Resultats - informe'!$G$16),1,0)</f>
        <v>1</v>
      </c>
      <c r="M8358" s="369" cm="1">
        <f t="array" ref="M8358">+_xlfn.IFS((C8358&gt;='Resultats - informe'!$D$26)*(C8358&lt;='Resultats - informe'!$E$26),0,(C8358&gt;='Resultats - informe'!$D$27)*(C8358&lt;='Resultats - informe'!$E$27),0,(C8358&gt;='Resultats - informe'!$D$28)*(C8358&lt;='Resultats - informe'!$E$28),0,(C8358&gt;='Resultats - informe'!$D$29)*(C8358&lt;='Resultats - informe'!$E$29),0,1,1)</f>
        <v>0</v>
      </c>
      <c r="N8358" s="366">
        <f>+VLOOKUP(D8358,'Resultats - informe'!$Y$18:$AG$42,'Introducció dades consum'!K8358+1,0)</f>
        <v>0</v>
      </c>
      <c r="O8358" s="370" cm="1">
        <f t="array" ref="O8358">+_xlfn.SWITCH(MONTH(C8358),1,1,2,1,3,1,4,2,5,2,6,3,7,3,8,3,9,3,10,2,11,2,12,1,2)</f>
        <v>1</v>
      </c>
      <c r="P8358" s="43"/>
    </row>
    <row r="8359" spans="1:16" ht="18" x14ac:dyDescent="0.35">
      <c r="A8359" s="9"/>
      <c r="C8359" s="393"/>
      <c r="E8359" s="394"/>
      <c r="F8359" s="394"/>
      <c r="G8359" s="394"/>
      <c r="I8359" s="368">
        <f t="shared" si="396"/>
        <v>0</v>
      </c>
      <c r="J8359" s="365">
        <f t="shared" si="397"/>
        <v>0</v>
      </c>
      <c r="K8359" s="369">
        <f t="shared" si="398"/>
        <v>6</v>
      </c>
      <c r="L8359" s="369">
        <f>+IF((C8359&gt;='Resultats - informe'!$E$16)*(C8359&lt;='Resultats - informe'!$G$16),1,0)</f>
        <v>1</v>
      </c>
      <c r="M8359" s="369" cm="1">
        <f t="array" ref="M8359">+_xlfn.IFS((C8359&gt;='Resultats - informe'!$D$26)*(C8359&lt;='Resultats - informe'!$E$26),0,(C8359&gt;='Resultats - informe'!$D$27)*(C8359&lt;='Resultats - informe'!$E$27),0,(C8359&gt;='Resultats - informe'!$D$28)*(C8359&lt;='Resultats - informe'!$E$28),0,(C8359&gt;='Resultats - informe'!$D$29)*(C8359&lt;='Resultats - informe'!$E$29),0,1,1)</f>
        <v>0</v>
      </c>
      <c r="N8359" s="366">
        <f>+VLOOKUP(D8359,'Resultats - informe'!$Y$18:$AG$42,'Introducció dades consum'!K8359+1,0)</f>
        <v>0</v>
      </c>
      <c r="O8359" s="370" cm="1">
        <f t="array" ref="O8359">+_xlfn.SWITCH(MONTH(C8359),1,1,2,1,3,1,4,2,5,2,6,3,7,3,8,3,9,3,10,2,11,2,12,1,2)</f>
        <v>1</v>
      </c>
      <c r="P8359" s="43"/>
    </row>
    <row r="8360" spans="1:16" ht="18" x14ac:dyDescent="0.35">
      <c r="A8360" s="9"/>
      <c r="C8360" s="393"/>
      <c r="E8360" s="394"/>
      <c r="F8360" s="394"/>
      <c r="G8360" s="394"/>
      <c r="I8360" s="368">
        <f t="shared" si="396"/>
        <v>0</v>
      </c>
      <c r="J8360" s="365">
        <f t="shared" si="397"/>
        <v>0</v>
      </c>
      <c r="K8360" s="369">
        <f t="shared" si="398"/>
        <v>6</v>
      </c>
      <c r="L8360" s="369">
        <f>+IF((C8360&gt;='Resultats - informe'!$E$16)*(C8360&lt;='Resultats - informe'!$G$16),1,0)</f>
        <v>1</v>
      </c>
      <c r="M8360" s="369" cm="1">
        <f t="array" ref="M8360">+_xlfn.IFS((C8360&gt;='Resultats - informe'!$D$26)*(C8360&lt;='Resultats - informe'!$E$26),0,(C8360&gt;='Resultats - informe'!$D$27)*(C8360&lt;='Resultats - informe'!$E$27),0,(C8360&gt;='Resultats - informe'!$D$28)*(C8360&lt;='Resultats - informe'!$E$28),0,(C8360&gt;='Resultats - informe'!$D$29)*(C8360&lt;='Resultats - informe'!$E$29),0,1,1)</f>
        <v>0</v>
      </c>
      <c r="N8360" s="366">
        <f>+VLOOKUP(D8360,'Resultats - informe'!$Y$18:$AG$42,'Introducció dades consum'!K8360+1,0)</f>
        <v>0</v>
      </c>
      <c r="O8360" s="370" cm="1">
        <f t="array" ref="O8360">+_xlfn.SWITCH(MONTH(C8360),1,1,2,1,3,1,4,2,5,2,6,3,7,3,8,3,9,3,10,2,11,2,12,1,2)</f>
        <v>1</v>
      </c>
      <c r="P8360" s="43"/>
    </row>
    <row r="8361" spans="1:16" ht="18" x14ac:dyDescent="0.35">
      <c r="A8361" s="9"/>
      <c r="C8361" s="393"/>
      <c r="E8361" s="394"/>
      <c r="F8361" s="394"/>
      <c r="G8361" s="394"/>
      <c r="I8361" s="368">
        <f t="shared" si="396"/>
        <v>0</v>
      </c>
      <c r="J8361" s="365">
        <f t="shared" si="397"/>
        <v>0</v>
      </c>
      <c r="K8361" s="369">
        <f t="shared" si="398"/>
        <v>6</v>
      </c>
      <c r="L8361" s="369">
        <f>+IF((C8361&gt;='Resultats - informe'!$E$16)*(C8361&lt;='Resultats - informe'!$G$16),1,0)</f>
        <v>1</v>
      </c>
      <c r="M8361" s="369" cm="1">
        <f t="array" ref="M8361">+_xlfn.IFS((C8361&gt;='Resultats - informe'!$D$26)*(C8361&lt;='Resultats - informe'!$E$26),0,(C8361&gt;='Resultats - informe'!$D$27)*(C8361&lt;='Resultats - informe'!$E$27),0,(C8361&gt;='Resultats - informe'!$D$28)*(C8361&lt;='Resultats - informe'!$E$28),0,(C8361&gt;='Resultats - informe'!$D$29)*(C8361&lt;='Resultats - informe'!$E$29),0,1,1)</f>
        <v>0</v>
      </c>
      <c r="N8361" s="366">
        <f>+VLOOKUP(D8361,'Resultats - informe'!$Y$18:$AG$42,'Introducció dades consum'!K8361+1,0)</f>
        <v>0</v>
      </c>
      <c r="O8361" s="370" cm="1">
        <f t="array" ref="O8361">+_xlfn.SWITCH(MONTH(C8361),1,1,2,1,3,1,4,2,5,2,6,3,7,3,8,3,9,3,10,2,11,2,12,1,2)</f>
        <v>1</v>
      </c>
      <c r="P8361" s="43"/>
    </row>
    <row r="8362" spans="1:16" ht="18" x14ac:dyDescent="0.35">
      <c r="A8362" s="9"/>
      <c r="C8362" s="393"/>
      <c r="E8362" s="394"/>
      <c r="F8362" s="394"/>
      <c r="G8362" s="394"/>
      <c r="I8362" s="368">
        <f t="shared" si="396"/>
        <v>0</v>
      </c>
      <c r="J8362" s="365">
        <f t="shared" si="397"/>
        <v>0</v>
      </c>
      <c r="K8362" s="369">
        <f t="shared" si="398"/>
        <v>6</v>
      </c>
      <c r="L8362" s="369">
        <f>+IF((C8362&gt;='Resultats - informe'!$E$16)*(C8362&lt;='Resultats - informe'!$G$16),1,0)</f>
        <v>1</v>
      </c>
      <c r="M8362" s="369" cm="1">
        <f t="array" ref="M8362">+_xlfn.IFS((C8362&gt;='Resultats - informe'!$D$26)*(C8362&lt;='Resultats - informe'!$E$26),0,(C8362&gt;='Resultats - informe'!$D$27)*(C8362&lt;='Resultats - informe'!$E$27),0,(C8362&gt;='Resultats - informe'!$D$28)*(C8362&lt;='Resultats - informe'!$E$28),0,(C8362&gt;='Resultats - informe'!$D$29)*(C8362&lt;='Resultats - informe'!$E$29),0,1,1)</f>
        <v>0</v>
      </c>
      <c r="N8362" s="366">
        <f>+VLOOKUP(D8362,'Resultats - informe'!$Y$18:$AG$42,'Introducció dades consum'!K8362+1,0)</f>
        <v>0</v>
      </c>
      <c r="O8362" s="370" cm="1">
        <f t="array" ref="O8362">+_xlfn.SWITCH(MONTH(C8362),1,1,2,1,3,1,4,2,5,2,6,3,7,3,8,3,9,3,10,2,11,2,12,1,2)</f>
        <v>1</v>
      </c>
      <c r="P8362" s="43"/>
    </row>
    <row r="8363" spans="1:16" ht="18" x14ac:dyDescent="0.35">
      <c r="A8363" s="9"/>
      <c r="C8363" s="393"/>
      <c r="E8363" s="394"/>
      <c r="F8363" s="394"/>
      <c r="G8363" s="394"/>
      <c r="I8363" s="368">
        <f t="shared" si="396"/>
        <v>0</v>
      </c>
      <c r="J8363" s="365">
        <f t="shared" si="397"/>
        <v>0</v>
      </c>
      <c r="K8363" s="369">
        <f t="shared" si="398"/>
        <v>6</v>
      </c>
      <c r="L8363" s="369">
        <f>+IF((C8363&gt;='Resultats - informe'!$E$16)*(C8363&lt;='Resultats - informe'!$G$16),1,0)</f>
        <v>1</v>
      </c>
      <c r="M8363" s="369" cm="1">
        <f t="array" ref="M8363">+_xlfn.IFS((C8363&gt;='Resultats - informe'!$D$26)*(C8363&lt;='Resultats - informe'!$E$26),0,(C8363&gt;='Resultats - informe'!$D$27)*(C8363&lt;='Resultats - informe'!$E$27),0,(C8363&gt;='Resultats - informe'!$D$28)*(C8363&lt;='Resultats - informe'!$E$28),0,(C8363&gt;='Resultats - informe'!$D$29)*(C8363&lt;='Resultats - informe'!$E$29),0,1,1)</f>
        <v>0</v>
      </c>
      <c r="N8363" s="366">
        <f>+VLOOKUP(D8363,'Resultats - informe'!$Y$18:$AG$42,'Introducció dades consum'!K8363+1,0)</f>
        <v>0</v>
      </c>
      <c r="O8363" s="370" cm="1">
        <f t="array" ref="O8363">+_xlfn.SWITCH(MONTH(C8363),1,1,2,1,3,1,4,2,5,2,6,3,7,3,8,3,9,3,10,2,11,2,12,1,2)</f>
        <v>1</v>
      </c>
      <c r="P8363" s="43"/>
    </row>
    <row r="8364" spans="1:16" ht="18" x14ac:dyDescent="0.35">
      <c r="A8364" s="9"/>
      <c r="C8364" s="393"/>
      <c r="E8364" s="394"/>
      <c r="F8364" s="394"/>
      <c r="G8364" s="394"/>
      <c r="I8364" s="368">
        <f t="shared" si="396"/>
        <v>0</v>
      </c>
      <c r="J8364" s="365">
        <f t="shared" si="397"/>
        <v>0</v>
      </c>
      <c r="K8364" s="369">
        <f t="shared" si="398"/>
        <v>6</v>
      </c>
      <c r="L8364" s="369">
        <f>+IF((C8364&gt;='Resultats - informe'!$E$16)*(C8364&lt;='Resultats - informe'!$G$16),1,0)</f>
        <v>1</v>
      </c>
      <c r="M8364" s="369" cm="1">
        <f t="array" ref="M8364">+_xlfn.IFS((C8364&gt;='Resultats - informe'!$D$26)*(C8364&lt;='Resultats - informe'!$E$26),0,(C8364&gt;='Resultats - informe'!$D$27)*(C8364&lt;='Resultats - informe'!$E$27),0,(C8364&gt;='Resultats - informe'!$D$28)*(C8364&lt;='Resultats - informe'!$E$28),0,(C8364&gt;='Resultats - informe'!$D$29)*(C8364&lt;='Resultats - informe'!$E$29),0,1,1)</f>
        <v>0</v>
      </c>
      <c r="N8364" s="366">
        <f>+VLOOKUP(D8364,'Resultats - informe'!$Y$18:$AG$42,'Introducció dades consum'!K8364+1,0)</f>
        <v>0</v>
      </c>
      <c r="O8364" s="370" cm="1">
        <f t="array" ref="O8364">+_xlfn.SWITCH(MONTH(C8364),1,1,2,1,3,1,4,2,5,2,6,3,7,3,8,3,9,3,10,2,11,2,12,1,2)</f>
        <v>1</v>
      </c>
      <c r="P8364" s="43"/>
    </row>
    <row r="8365" spans="1:16" ht="18" x14ac:dyDescent="0.35">
      <c r="A8365" s="9"/>
      <c r="C8365" s="393"/>
      <c r="E8365" s="394"/>
      <c r="F8365" s="394"/>
      <c r="G8365" s="394"/>
      <c r="I8365" s="368">
        <f t="shared" si="396"/>
        <v>0</v>
      </c>
      <c r="J8365" s="365">
        <f t="shared" si="397"/>
        <v>0</v>
      </c>
      <c r="K8365" s="369">
        <f t="shared" si="398"/>
        <v>6</v>
      </c>
      <c r="L8365" s="369">
        <f>+IF((C8365&gt;='Resultats - informe'!$E$16)*(C8365&lt;='Resultats - informe'!$G$16),1,0)</f>
        <v>1</v>
      </c>
      <c r="M8365" s="369" cm="1">
        <f t="array" ref="M8365">+_xlfn.IFS((C8365&gt;='Resultats - informe'!$D$26)*(C8365&lt;='Resultats - informe'!$E$26),0,(C8365&gt;='Resultats - informe'!$D$27)*(C8365&lt;='Resultats - informe'!$E$27),0,(C8365&gt;='Resultats - informe'!$D$28)*(C8365&lt;='Resultats - informe'!$E$28),0,(C8365&gt;='Resultats - informe'!$D$29)*(C8365&lt;='Resultats - informe'!$E$29),0,1,1)</f>
        <v>0</v>
      </c>
      <c r="N8365" s="366">
        <f>+VLOOKUP(D8365,'Resultats - informe'!$Y$18:$AG$42,'Introducció dades consum'!K8365+1,0)</f>
        <v>0</v>
      </c>
      <c r="O8365" s="370" cm="1">
        <f t="array" ref="O8365">+_xlfn.SWITCH(MONTH(C8365),1,1,2,1,3,1,4,2,5,2,6,3,7,3,8,3,9,3,10,2,11,2,12,1,2)</f>
        <v>1</v>
      </c>
      <c r="P8365" s="43"/>
    </row>
    <row r="8366" spans="1:16" ht="18" x14ac:dyDescent="0.35">
      <c r="A8366" s="9"/>
      <c r="C8366" s="393"/>
      <c r="E8366" s="394"/>
      <c r="F8366" s="394"/>
      <c r="G8366" s="394"/>
      <c r="I8366" s="368">
        <f t="shared" si="396"/>
        <v>0</v>
      </c>
      <c r="J8366" s="365">
        <f t="shared" si="397"/>
        <v>0</v>
      </c>
      <c r="K8366" s="369">
        <f t="shared" si="398"/>
        <v>6</v>
      </c>
      <c r="L8366" s="369">
        <f>+IF((C8366&gt;='Resultats - informe'!$E$16)*(C8366&lt;='Resultats - informe'!$G$16),1,0)</f>
        <v>1</v>
      </c>
      <c r="M8366" s="369" cm="1">
        <f t="array" ref="M8366">+_xlfn.IFS((C8366&gt;='Resultats - informe'!$D$26)*(C8366&lt;='Resultats - informe'!$E$26),0,(C8366&gt;='Resultats - informe'!$D$27)*(C8366&lt;='Resultats - informe'!$E$27),0,(C8366&gt;='Resultats - informe'!$D$28)*(C8366&lt;='Resultats - informe'!$E$28),0,(C8366&gt;='Resultats - informe'!$D$29)*(C8366&lt;='Resultats - informe'!$E$29),0,1,1)</f>
        <v>0</v>
      </c>
      <c r="N8366" s="366">
        <f>+VLOOKUP(D8366,'Resultats - informe'!$Y$18:$AG$42,'Introducció dades consum'!K8366+1,0)</f>
        <v>0</v>
      </c>
      <c r="O8366" s="370" cm="1">
        <f t="array" ref="O8366">+_xlfn.SWITCH(MONTH(C8366),1,1,2,1,3,1,4,2,5,2,6,3,7,3,8,3,9,3,10,2,11,2,12,1,2)</f>
        <v>1</v>
      </c>
      <c r="P8366" s="43"/>
    </row>
    <row r="8367" spans="1:16" ht="18" x14ac:dyDescent="0.35">
      <c r="A8367" s="9"/>
      <c r="C8367" s="393"/>
      <c r="E8367" s="394"/>
      <c r="F8367" s="394"/>
      <c r="G8367" s="394"/>
      <c r="I8367" s="368">
        <f t="shared" si="396"/>
        <v>0</v>
      </c>
      <c r="J8367" s="365">
        <f t="shared" si="397"/>
        <v>0</v>
      </c>
      <c r="K8367" s="369">
        <f t="shared" si="398"/>
        <v>6</v>
      </c>
      <c r="L8367" s="369">
        <f>+IF((C8367&gt;='Resultats - informe'!$E$16)*(C8367&lt;='Resultats - informe'!$G$16),1,0)</f>
        <v>1</v>
      </c>
      <c r="M8367" s="369" cm="1">
        <f t="array" ref="M8367">+_xlfn.IFS((C8367&gt;='Resultats - informe'!$D$26)*(C8367&lt;='Resultats - informe'!$E$26),0,(C8367&gt;='Resultats - informe'!$D$27)*(C8367&lt;='Resultats - informe'!$E$27),0,(C8367&gt;='Resultats - informe'!$D$28)*(C8367&lt;='Resultats - informe'!$E$28),0,(C8367&gt;='Resultats - informe'!$D$29)*(C8367&lt;='Resultats - informe'!$E$29),0,1,1)</f>
        <v>0</v>
      </c>
      <c r="N8367" s="366">
        <f>+VLOOKUP(D8367,'Resultats - informe'!$Y$18:$AG$42,'Introducció dades consum'!K8367+1,0)</f>
        <v>0</v>
      </c>
      <c r="O8367" s="370" cm="1">
        <f t="array" ref="O8367">+_xlfn.SWITCH(MONTH(C8367),1,1,2,1,3,1,4,2,5,2,6,3,7,3,8,3,9,3,10,2,11,2,12,1,2)</f>
        <v>1</v>
      </c>
      <c r="P8367" s="43"/>
    </row>
    <row r="8368" spans="1:16" ht="18" x14ac:dyDescent="0.35">
      <c r="A8368" s="9"/>
      <c r="C8368" s="393"/>
      <c r="E8368" s="394"/>
      <c r="F8368" s="394"/>
      <c r="G8368" s="394"/>
      <c r="I8368" s="368">
        <f t="shared" si="396"/>
        <v>0</v>
      </c>
      <c r="J8368" s="365">
        <f t="shared" si="397"/>
        <v>0</v>
      </c>
      <c r="K8368" s="369">
        <f t="shared" si="398"/>
        <v>6</v>
      </c>
      <c r="L8368" s="369">
        <f>+IF((C8368&gt;='Resultats - informe'!$E$16)*(C8368&lt;='Resultats - informe'!$G$16),1,0)</f>
        <v>1</v>
      </c>
      <c r="M8368" s="369" cm="1">
        <f t="array" ref="M8368">+_xlfn.IFS((C8368&gt;='Resultats - informe'!$D$26)*(C8368&lt;='Resultats - informe'!$E$26),0,(C8368&gt;='Resultats - informe'!$D$27)*(C8368&lt;='Resultats - informe'!$E$27),0,(C8368&gt;='Resultats - informe'!$D$28)*(C8368&lt;='Resultats - informe'!$E$28),0,(C8368&gt;='Resultats - informe'!$D$29)*(C8368&lt;='Resultats - informe'!$E$29),0,1,1)</f>
        <v>0</v>
      </c>
      <c r="N8368" s="366">
        <f>+VLOOKUP(D8368,'Resultats - informe'!$Y$18:$AG$42,'Introducció dades consum'!K8368+1,0)</f>
        <v>0</v>
      </c>
      <c r="O8368" s="370" cm="1">
        <f t="array" ref="O8368">+_xlfn.SWITCH(MONTH(C8368),1,1,2,1,3,1,4,2,5,2,6,3,7,3,8,3,9,3,10,2,11,2,12,1,2)</f>
        <v>1</v>
      </c>
      <c r="P8368" s="43"/>
    </row>
    <row r="8369" spans="1:16" ht="18" x14ac:dyDescent="0.35">
      <c r="A8369" s="9"/>
      <c r="C8369" s="393"/>
      <c r="E8369" s="394"/>
      <c r="F8369" s="394"/>
      <c r="G8369" s="394"/>
      <c r="I8369" s="368">
        <f t="shared" si="396"/>
        <v>0</v>
      </c>
      <c r="J8369" s="365">
        <f t="shared" si="397"/>
        <v>0</v>
      </c>
      <c r="K8369" s="369">
        <f t="shared" si="398"/>
        <v>6</v>
      </c>
      <c r="L8369" s="369">
        <f>+IF((C8369&gt;='Resultats - informe'!$E$16)*(C8369&lt;='Resultats - informe'!$G$16),1,0)</f>
        <v>1</v>
      </c>
      <c r="M8369" s="369" cm="1">
        <f t="array" ref="M8369">+_xlfn.IFS((C8369&gt;='Resultats - informe'!$D$26)*(C8369&lt;='Resultats - informe'!$E$26),0,(C8369&gt;='Resultats - informe'!$D$27)*(C8369&lt;='Resultats - informe'!$E$27),0,(C8369&gt;='Resultats - informe'!$D$28)*(C8369&lt;='Resultats - informe'!$E$28),0,(C8369&gt;='Resultats - informe'!$D$29)*(C8369&lt;='Resultats - informe'!$E$29),0,1,1)</f>
        <v>0</v>
      </c>
      <c r="N8369" s="366">
        <f>+VLOOKUP(D8369,'Resultats - informe'!$Y$18:$AG$42,'Introducció dades consum'!K8369+1,0)</f>
        <v>0</v>
      </c>
      <c r="O8369" s="370" cm="1">
        <f t="array" ref="O8369">+_xlfn.SWITCH(MONTH(C8369),1,1,2,1,3,1,4,2,5,2,6,3,7,3,8,3,9,3,10,2,11,2,12,1,2)</f>
        <v>1</v>
      </c>
      <c r="P8369" s="43"/>
    </row>
    <row r="8370" spans="1:16" ht="18" x14ac:dyDescent="0.35">
      <c r="A8370" s="9"/>
      <c r="C8370" s="393"/>
      <c r="E8370" s="394"/>
      <c r="F8370" s="394"/>
      <c r="G8370" s="394"/>
      <c r="I8370" s="368">
        <f t="shared" si="396"/>
        <v>0</v>
      </c>
      <c r="J8370" s="365">
        <f t="shared" si="397"/>
        <v>0</v>
      </c>
      <c r="K8370" s="369">
        <f t="shared" si="398"/>
        <v>6</v>
      </c>
      <c r="L8370" s="369">
        <f>+IF((C8370&gt;='Resultats - informe'!$E$16)*(C8370&lt;='Resultats - informe'!$G$16),1,0)</f>
        <v>1</v>
      </c>
      <c r="M8370" s="369" cm="1">
        <f t="array" ref="M8370">+_xlfn.IFS((C8370&gt;='Resultats - informe'!$D$26)*(C8370&lt;='Resultats - informe'!$E$26),0,(C8370&gt;='Resultats - informe'!$D$27)*(C8370&lt;='Resultats - informe'!$E$27),0,(C8370&gt;='Resultats - informe'!$D$28)*(C8370&lt;='Resultats - informe'!$E$28),0,(C8370&gt;='Resultats - informe'!$D$29)*(C8370&lt;='Resultats - informe'!$E$29),0,1,1)</f>
        <v>0</v>
      </c>
      <c r="N8370" s="366">
        <f>+VLOOKUP(D8370,'Resultats - informe'!$Y$18:$AG$42,'Introducció dades consum'!K8370+1,0)</f>
        <v>0</v>
      </c>
      <c r="O8370" s="370" cm="1">
        <f t="array" ref="O8370">+_xlfn.SWITCH(MONTH(C8370),1,1,2,1,3,1,4,2,5,2,6,3,7,3,8,3,9,3,10,2,11,2,12,1,2)</f>
        <v>1</v>
      </c>
      <c r="P8370" s="43"/>
    </row>
    <row r="8371" spans="1:16" ht="18" x14ac:dyDescent="0.35">
      <c r="A8371" s="9"/>
      <c r="C8371" s="393"/>
      <c r="E8371" s="394"/>
      <c r="F8371" s="394"/>
      <c r="G8371" s="394"/>
      <c r="I8371" s="368">
        <f t="shared" si="396"/>
        <v>0</v>
      </c>
      <c r="J8371" s="365">
        <f t="shared" si="397"/>
        <v>0</v>
      </c>
      <c r="K8371" s="369">
        <f t="shared" si="398"/>
        <v>6</v>
      </c>
      <c r="L8371" s="369">
        <f>+IF((C8371&gt;='Resultats - informe'!$E$16)*(C8371&lt;='Resultats - informe'!$G$16),1,0)</f>
        <v>1</v>
      </c>
      <c r="M8371" s="369" cm="1">
        <f t="array" ref="M8371">+_xlfn.IFS((C8371&gt;='Resultats - informe'!$D$26)*(C8371&lt;='Resultats - informe'!$E$26),0,(C8371&gt;='Resultats - informe'!$D$27)*(C8371&lt;='Resultats - informe'!$E$27),0,(C8371&gt;='Resultats - informe'!$D$28)*(C8371&lt;='Resultats - informe'!$E$28),0,(C8371&gt;='Resultats - informe'!$D$29)*(C8371&lt;='Resultats - informe'!$E$29),0,1,1)</f>
        <v>0</v>
      </c>
      <c r="N8371" s="366">
        <f>+VLOOKUP(D8371,'Resultats - informe'!$Y$18:$AG$42,'Introducció dades consum'!K8371+1,0)</f>
        <v>0</v>
      </c>
      <c r="O8371" s="370" cm="1">
        <f t="array" ref="O8371">+_xlfn.SWITCH(MONTH(C8371),1,1,2,1,3,1,4,2,5,2,6,3,7,3,8,3,9,3,10,2,11,2,12,1,2)</f>
        <v>1</v>
      </c>
      <c r="P8371" s="43"/>
    </row>
    <row r="8372" spans="1:16" ht="18" x14ac:dyDescent="0.35">
      <c r="A8372" s="9"/>
      <c r="C8372" s="393"/>
      <c r="E8372" s="394"/>
      <c r="F8372" s="394"/>
      <c r="G8372" s="394"/>
      <c r="I8372" s="368">
        <f t="shared" si="396"/>
        <v>0</v>
      </c>
      <c r="J8372" s="365">
        <f t="shared" si="397"/>
        <v>0</v>
      </c>
      <c r="K8372" s="369">
        <f t="shared" si="398"/>
        <v>6</v>
      </c>
      <c r="L8372" s="369">
        <f>+IF((C8372&gt;='Resultats - informe'!$E$16)*(C8372&lt;='Resultats - informe'!$G$16),1,0)</f>
        <v>1</v>
      </c>
      <c r="M8372" s="369" cm="1">
        <f t="array" ref="M8372">+_xlfn.IFS((C8372&gt;='Resultats - informe'!$D$26)*(C8372&lt;='Resultats - informe'!$E$26),0,(C8372&gt;='Resultats - informe'!$D$27)*(C8372&lt;='Resultats - informe'!$E$27),0,(C8372&gt;='Resultats - informe'!$D$28)*(C8372&lt;='Resultats - informe'!$E$28),0,(C8372&gt;='Resultats - informe'!$D$29)*(C8372&lt;='Resultats - informe'!$E$29),0,1,1)</f>
        <v>0</v>
      </c>
      <c r="N8372" s="366">
        <f>+VLOOKUP(D8372,'Resultats - informe'!$Y$18:$AG$42,'Introducció dades consum'!K8372+1,0)</f>
        <v>0</v>
      </c>
      <c r="O8372" s="370" cm="1">
        <f t="array" ref="O8372">+_xlfn.SWITCH(MONTH(C8372),1,1,2,1,3,1,4,2,5,2,6,3,7,3,8,3,9,3,10,2,11,2,12,1,2)</f>
        <v>1</v>
      </c>
      <c r="P8372" s="43"/>
    </row>
    <row r="8373" spans="1:16" ht="18" x14ac:dyDescent="0.35">
      <c r="A8373" s="9"/>
      <c r="C8373" s="393"/>
      <c r="E8373" s="394"/>
      <c r="F8373" s="394"/>
      <c r="G8373" s="394"/>
      <c r="I8373" s="368">
        <f t="shared" si="396"/>
        <v>0</v>
      </c>
      <c r="J8373" s="365">
        <f t="shared" si="397"/>
        <v>0</v>
      </c>
      <c r="K8373" s="369">
        <f t="shared" si="398"/>
        <v>6</v>
      </c>
      <c r="L8373" s="369">
        <f>+IF((C8373&gt;='Resultats - informe'!$E$16)*(C8373&lt;='Resultats - informe'!$G$16),1,0)</f>
        <v>1</v>
      </c>
      <c r="M8373" s="369" cm="1">
        <f t="array" ref="M8373">+_xlfn.IFS((C8373&gt;='Resultats - informe'!$D$26)*(C8373&lt;='Resultats - informe'!$E$26),0,(C8373&gt;='Resultats - informe'!$D$27)*(C8373&lt;='Resultats - informe'!$E$27),0,(C8373&gt;='Resultats - informe'!$D$28)*(C8373&lt;='Resultats - informe'!$E$28),0,(C8373&gt;='Resultats - informe'!$D$29)*(C8373&lt;='Resultats - informe'!$E$29),0,1,1)</f>
        <v>0</v>
      </c>
      <c r="N8373" s="366">
        <f>+VLOOKUP(D8373,'Resultats - informe'!$Y$18:$AG$42,'Introducció dades consum'!K8373+1,0)</f>
        <v>0</v>
      </c>
      <c r="O8373" s="370" cm="1">
        <f t="array" ref="O8373">+_xlfn.SWITCH(MONTH(C8373),1,1,2,1,3,1,4,2,5,2,6,3,7,3,8,3,9,3,10,2,11,2,12,1,2)</f>
        <v>1</v>
      </c>
      <c r="P8373" s="43"/>
    </row>
    <row r="8374" spans="1:16" ht="18" x14ac:dyDescent="0.35">
      <c r="A8374" s="9"/>
      <c r="C8374" s="393"/>
      <c r="E8374" s="394"/>
      <c r="F8374" s="394"/>
      <c r="G8374" s="394"/>
      <c r="I8374" s="368">
        <f t="shared" si="396"/>
        <v>0</v>
      </c>
      <c r="J8374" s="365">
        <f t="shared" si="397"/>
        <v>0</v>
      </c>
      <c r="K8374" s="369">
        <f t="shared" si="398"/>
        <v>6</v>
      </c>
      <c r="L8374" s="369">
        <f>+IF((C8374&gt;='Resultats - informe'!$E$16)*(C8374&lt;='Resultats - informe'!$G$16),1,0)</f>
        <v>1</v>
      </c>
      <c r="M8374" s="369" cm="1">
        <f t="array" ref="M8374">+_xlfn.IFS((C8374&gt;='Resultats - informe'!$D$26)*(C8374&lt;='Resultats - informe'!$E$26),0,(C8374&gt;='Resultats - informe'!$D$27)*(C8374&lt;='Resultats - informe'!$E$27),0,(C8374&gt;='Resultats - informe'!$D$28)*(C8374&lt;='Resultats - informe'!$E$28),0,(C8374&gt;='Resultats - informe'!$D$29)*(C8374&lt;='Resultats - informe'!$E$29),0,1,1)</f>
        <v>0</v>
      </c>
      <c r="N8374" s="366">
        <f>+VLOOKUP(D8374,'Resultats - informe'!$Y$18:$AG$42,'Introducció dades consum'!K8374+1,0)</f>
        <v>0</v>
      </c>
      <c r="O8374" s="370" cm="1">
        <f t="array" ref="O8374">+_xlfn.SWITCH(MONTH(C8374),1,1,2,1,3,1,4,2,5,2,6,3,7,3,8,3,9,3,10,2,11,2,12,1,2)</f>
        <v>1</v>
      </c>
      <c r="P8374" s="43"/>
    </row>
    <row r="8375" spans="1:16" ht="18" x14ac:dyDescent="0.35">
      <c r="A8375" s="9"/>
      <c r="C8375" s="393"/>
      <c r="E8375" s="394"/>
      <c r="F8375" s="394"/>
      <c r="G8375" s="394"/>
      <c r="I8375" s="368">
        <f t="shared" si="396"/>
        <v>0</v>
      </c>
      <c r="J8375" s="365">
        <f t="shared" si="397"/>
        <v>0</v>
      </c>
      <c r="K8375" s="369">
        <f t="shared" si="398"/>
        <v>6</v>
      </c>
      <c r="L8375" s="369">
        <f>+IF((C8375&gt;='Resultats - informe'!$E$16)*(C8375&lt;='Resultats - informe'!$G$16),1,0)</f>
        <v>1</v>
      </c>
      <c r="M8375" s="369" cm="1">
        <f t="array" ref="M8375">+_xlfn.IFS((C8375&gt;='Resultats - informe'!$D$26)*(C8375&lt;='Resultats - informe'!$E$26),0,(C8375&gt;='Resultats - informe'!$D$27)*(C8375&lt;='Resultats - informe'!$E$27),0,(C8375&gt;='Resultats - informe'!$D$28)*(C8375&lt;='Resultats - informe'!$E$28),0,(C8375&gt;='Resultats - informe'!$D$29)*(C8375&lt;='Resultats - informe'!$E$29),0,1,1)</f>
        <v>0</v>
      </c>
      <c r="N8375" s="366">
        <f>+VLOOKUP(D8375,'Resultats - informe'!$Y$18:$AG$42,'Introducció dades consum'!K8375+1,0)</f>
        <v>0</v>
      </c>
      <c r="O8375" s="370" cm="1">
        <f t="array" ref="O8375">+_xlfn.SWITCH(MONTH(C8375),1,1,2,1,3,1,4,2,5,2,6,3,7,3,8,3,9,3,10,2,11,2,12,1,2)</f>
        <v>1</v>
      </c>
      <c r="P8375" s="43"/>
    </row>
    <row r="8376" spans="1:16" ht="18" x14ac:dyDescent="0.35">
      <c r="A8376" s="9"/>
      <c r="C8376" s="393"/>
      <c r="E8376" s="394"/>
      <c r="F8376" s="394"/>
      <c r="G8376" s="394"/>
      <c r="I8376" s="368">
        <f t="shared" si="396"/>
        <v>0</v>
      </c>
      <c r="J8376" s="365">
        <f t="shared" si="397"/>
        <v>0</v>
      </c>
      <c r="K8376" s="369">
        <f t="shared" si="398"/>
        <v>6</v>
      </c>
      <c r="L8376" s="369">
        <f>+IF((C8376&gt;='Resultats - informe'!$E$16)*(C8376&lt;='Resultats - informe'!$G$16),1,0)</f>
        <v>1</v>
      </c>
      <c r="M8376" s="369" cm="1">
        <f t="array" ref="M8376">+_xlfn.IFS((C8376&gt;='Resultats - informe'!$D$26)*(C8376&lt;='Resultats - informe'!$E$26),0,(C8376&gt;='Resultats - informe'!$D$27)*(C8376&lt;='Resultats - informe'!$E$27),0,(C8376&gt;='Resultats - informe'!$D$28)*(C8376&lt;='Resultats - informe'!$E$28),0,(C8376&gt;='Resultats - informe'!$D$29)*(C8376&lt;='Resultats - informe'!$E$29),0,1,1)</f>
        <v>0</v>
      </c>
      <c r="N8376" s="366">
        <f>+VLOOKUP(D8376,'Resultats - informe'!$Y$18:$AG$42,'Introducció dades consum'!K8376+1,0)</f>
        <v>0</v>
      </c>
      <c r="O8376" s="370" cm="1">
        <f t="array" ref="O8376">+_xlfn.SWITCH(MONTH(C8376),1,1,2,1,3,1,4,2,5,2,6,3,7,3,8,3,9,3,10,2,11,2,12,1,2)</f>
        <v>1</v>
      </c>
      <c r="P8376" s="43"/>
    </row>
    <row r="8377" spans="1:16" ht="18" x14ac:dyDescent="0.35">
      <c r="A8377" s="9"/>
      <c r="C8377" s="393"/>
      <c r="E8377" s="394"/>
      <c r="F8377" s="394"/>
      <c r="G8377" s="394"/>
      <c r="I8377" s="368">
        <f t="shared" si="396"/>
        <v>0</v>
      </c>
      <c r="J8377" s="365">
        <f t="shared" si="397"/>
        <v>0</v>
      </c>
      <c r="K8377" s="369">
        <f t="shared" si="398"/>
        <v>6</v>
      </c>
      <c r="L8377" s="369">
        <f>+IF((C8377&gt;='Resultats - informe'!$E$16)*(C8377&lt;='Resultats - informe'!$G$16),1,0)</f>
        <v>1</v>
      </c>
      <c r="M8377" s="369" cm="1">
        <f t="array" ref="M8377">+_xlfn.IFS((C8377&gt;='Resultats - informe'!$D$26)*(C8377&lt;='Resultats - informe'!$E$26),0,(C8377&gt;='Resultats - informe'!$D$27)*(C8377&lt;='Resultats - informe'!$E$27),0,(C8377&gt;='Resultats - informe'!$D$28)*(C8377&lt;='Resultats - informe'!$E$28),0,(C8377&gt;='Resultats - informe'!$D$29)*(C8377&lt;='Resultats - informe'!$E$29),0,1,1)</f>
        <v>0</v>
      </c>
      <c r="N8377" s="366">
        <f>+VLOOKUP(D8377,'Resultats - informe'!$Y$18:$AG$42,'Introducció dades consum'!K8377+1,0)</f>
        <v>0</v>
      </c>
      <c r="O8377" s="370" cm="1">
        <f t="array" ref="O8377">+_xlfn.SWITCH(MONTH(C8377),1,1,2,1,3,1,4,2,5,2,6,3,7,3,8,3,9,3,10,2,11,2,12,1,2)</f>
        <v>1</v>
      </c>
      <c r="P8377" s="43"/>
    </row>
    <row r="8378" spans="1:16" ht="18" x14ac:dyDescent="0.35">
      <c r="A8378" s="9"/>
      <c r="C8378" s="393"/>
      <c r="E8378" s="394"/>
      <c r="F8378" s="394"/>
      <c r="G8378" s="394"/>
      <c r="I8378" s="368">
        <f t="shared" si="396"/>
        <v>0</v>
      </c>
      <c r="J8378" s="365">
        <f t="shared" si="397"/>
        <v>0</v>
      </c>
      <c r="K8378" s="369">
        <f t="shared" si="398"/>
        <v>6</v>
      </c>
      <c r="L8378" s="369">
        <f>+IF((C8378&gt;='Resultats - informe'!$E$16)*(C8378&lt;='Resultats - informe'!$G$16),1,0)</f>
        <v>1</v>
      </c>
      <c r="M8378" s="369" cm="1">
        <f t="array" ref="M8378">+_xlfn.IFS((C8378&gt;='Resultats - informe'!$D$26)*(C8378&lt;='Resultats - informe'!$E$26),0,(C8378&gt;='Resultats - informe'!$D$27)*(C8378&lt;='Resultats - informe'!$E$27),0,(C8378&gt;='Resultats - informe'!$D$28)*(C8378&lt;='Resultats - informe'!$E$28),0,(C8378&gt;='Resultats - informe'!$D$29)*(C8378&lt;='Resultats - informe'!$E$29),0,1,1)</f>
        <v>0</v>
      </c>
      <c r="N8378" s="366">
        <f>+VLOOKUP(D8378,'Resultats - informe'!$Y$18:$AG$42,'Introducció dades consum'!K8378+1,0)</f>
        <v>0</v>
      </c>
      <c r="O8378" s="370" cm="1">
        <f t="array" ref="O8378">+_xlfn.SWITCH(MONTH(C8378),1,1,2,1,3,1,4,2,5,2,6,3,7,3,8,3,9,3,10,2,11,2,12,1,2)</f>
        <v>1</v>
      </c>
      <c r="P8378" s="43"/>
    </row>
    <row r="8379" spans="1:16" ht="18" x14ac:dyDescent="0.35">
      <c r="A8379" s="9"/>
      <c r="C8379" s="393"/>
      <c r="E8379" s="394"/>
      <c r="F8379" s="394"/>
      <c r="G8379" s="394"/>
      <c r="I8379" s="368">
        <f t="shared" si="396"/>
        <v>0</v>
      </c>
      <c r="J8379" s="365">
        <f t="shared" si="397"/>
        <v>0</v>
      </c>
      <c r="K8379" s="369">
        <f t="shared" si="398"/>
        <v>6</v>
      </c>
      <c r="L8379" s="369">
        <f>+IF((C8379&gt;='Resultats - informe'!$E$16)*(C8379&lt;='Resultats - informe'!$G$16),1,0)</f>
        <v>1</v>
      </c>
      <c r="M8379" s="369" cm="1">
        <f t="array" ref="M8379">+_xlfn.IFS((C8379&gt;='Resultats - informe'!$D$26)*(C8379&lt;='Resultats - informe'!$E$26),0,(C8379&gt;='Resultats - informe'!$D$27)*(C8379&lt;='Resultats - informe'!$E$27),0,(C8379&gt;='Resultats - informe'!$D$28)*(C8379&lt;='Resultats - informe'!$E$28),0,(C8379&gt;='Resultats - informe'!$D$29)*(C8379&lt;='Resultats - informe'!$E$29),0,1,1)</f>
        <v>0</v>
      </c>
      <c r="N8379" s="366">
        <f>+VLOOKUP(D8379,'Resultats - informe'!$Y$18:$AG$42,'Introducció dades consum'!K8379+1,0)</f>
        <v>0</v>
      </c>
      <c r="O8379" s="370" cm="1">
        <f t="array" ref="O8379">+_xlfn.SWITCH(MONTH(C8379),1,1,2,1,3,1,4,2,5,2,6,3,7,3,8,3,9,3,10,2,11,2,12,1,2)</f>
        <v>1</v>
      </c>
      <c r="P8379" s="43"/>
    </row>
    <row r="8380" spans="1:16" ht="18" x14ac:dyDescent="0.35">
      <c r="A8380" s="9"/>
      <c r="C8380" s="393"/>
      <c r="E8380" s="394"/>
      <c r="F8380" s="394"/>
      <c r="G8380" s="394"/>
      <c r="I8380" s="368">
        <f t="shared" si="396"/>
        <v>0</v>
      </c>
      <c r="J8380" s="365">
        <f t="shared" si="397"/>
        <v>0</v>
      </c>
      <c r="K8380" s="369">
        <f t="shared" si="398"/>
        <v>6</v>
      </c>
      <c r="L8380" s="369">
        <f>+IF((C8380&gt;='Resultats - informe'!$E$16)*(C8380&lt;='Resultats - informe'!$G$16),1,0)</f>
        <v>1</v>
      </c>
      <c r="M8380" s="369" cm="1">
        <f t="array" ref="M8380">+_xlfn.IFS((C8380&gt;='Resultats - informe'!$D$26)*(C8380&lt;='Resultats - informe'!$E$26),0,(C8380&gt;='Resultats - informe'!$D$27)*(C8380&lt;='Resultats - informe'!$E$27),0,(C8380&gt;='Resultats - informe'!$D$28)*(C8380&lt;='Resultats - informe'!$E$28),0,(C8380&gt;='Resultats - informe'!$D$29)*(C8380&lt;='Resultats - informe'!$E$29),0,1,1)</f>
        <v>0</v>
      </c>
      <c r="N8380" s="366">
        <f>+VLOOKUP(D8380,'Resultats - informe'!$Y$18:$AG$42,'Introducció dades consum'!K8380+1,0)</f>
        <v>0</v>
      </c>
      <c r="O8380" s="370" cm="1">
        <f t="array" ref="O8380">+_xlfn.SWITCH(MONTH(C8380),1,1,2,1,3,1,4,2,5,2,6,3,7,3,8,3,9,3,10,2,11,2,12,1,2)</f>
        <v>1</v>
      </c>
      <c r="P8380" s="43"/>
    </row>
    <row r="8381" spans="1:16" ht="18" x14ac:dyDescent="0.35">
      <c r="A8381" s="9"/>
      <c r="C8381" s="393"/>
      <c r="E8381" s="394"/>
      <c r="F8381" s="394"/>
      <c r="G8381" s="394"/>
      <c r="I8381" s="368">
        <f t="shared" si="396"/>
        <v>0</v>
      </c>
      <c r="J8381" s="365">
        <f t="shared" si="397"/>
        <v>0</v>
      </c>
      <c r="K8381" s="369">
        <f t="shared" si="398"/>
        <v>6</v>
      </c>
      <c r="L8381" s="369">
        <f>+IF((C8381&gt;='Resultats - informe'!$E$16)*(C8381&lt;='Resultats - informe'!$G$16),1,0)</f>
        <v>1</v>
      </c>
      <c r="M8381" s="369" cm="1">
        <f t="array" ref="M8381">+_xlfn.IFS((C8381&gt;='Resultats - informe'!$D$26)*(C8381&lt;='Resultats - informe'!$E$26),0,(C8381&gt;='Resultats - informe'!$D$27)*(C8381&lt;='Resultats - informe'!$E$27),0,(C8381&gt;='Resultats - informe'!$D$28)*(C8381&lt;='Resultats - informe'!$E$28),0,(C8381&gt;='Resultats - informe'!$D$29)*(C8381&lt;='Resultats - informe'!$E$29),0,1,1)</f>
        <v>0</v>
      </c>
      <c r="N8381" s="366">
        <f>+VLOOKUP(D8381,'Resultats - informe'!$Y$18:$AG$42,'Introducció dades consum'!K8381+1,0)</f>
        <v>0</v>
      </c>
      <c r="O8381" s="370" cm="1">
        <f t="array" ref="O8381">+_xlfn.SWITCH(MONTH(C8381),1,1,2,1,3,1,4,2,5,2,6,3,7,3,8,3,9,3,10,2,11,2,12,1,2)</f>
        <v>1</v>
      </c>
      <c r="P8381" s="43"/>
    </row>
    <row r="8382" spans="1:16" ht="18" x14ac:dyDescent="0.35">
      <c r="A8382" s="9"/>
      <c r="C8382" s="393"/>
      <c r="E8382" s="394"/>
      <c r="F8382" s="394"/>
      <c r="G8382" s="394"/>
      <c r="I8382" s="368">
        <f t="shared" si="396"/>
        <v>0</v>
      </c>
      <c r="J8382" s="365">
        <f t="shared" si="397"/>
        <v>0</v>
      </c>
      <c r="K8382" s="369">
        <f t="shared" si="398"/>
        <v>6</v>
      </c>
      <c r="L8382" s="369">
        <f>+IF((C8382&gt;='Resultats - informe'!$E$16)*(C8382&lt;='Resultats - informe'!$G$16),1,0)</f>
        <v>1</v>
      </c>
      <c r="M8382" s="369" cm="1">
        <f t="array" ref="M8382">+_xlfn.IFS((C8382&gt;='Resultats - informe'!$D$26)*(C8382&lt;='Resultats - informe'!$E$26),0,(C8382&gt;='Resultats - informe'!$D$27)*(C8382&lt;='Resultats - informe'!$E$27),0,(C8382&gt;='Resultats - informe'!$D$28)*(C8382&lt;='Resultats - informe'!$E$28),0,(C8382&gt;='Resultats - informe'!$D$29)*(C8382&lt;='Resultats - informe'!$E$29),0,1,1)</f>
        <v>0</v>
      </c>
      <c r="N8382" s="366">
        <f>+VLOOKUP(D8382,'Resultats - informe'!$Y$18:$AG$42,'Introducció dades consum'!K8382+1,0)</f>
        <v>0</v>
      </c>
      <c r="O8382" s="370" cm="1">
        <f t="array" ref="O8382">+_xlfn.SWITCH(MONTH(C8382),1,1,2,1,3,1,4,2,5,2,6,3,7,3,8,3,9,3,10,2,11,2,12,1,2)</f>
        <v>1</v>
      </c>
      <c r="P8382" s="43"/>
    </row>
    <row r="8383" spans="1:16" ht="18" x14ac:dyDescent="0.35">
      <c r="A8383" s="9"/>
      <c r="C8383" s="393"/>
      <c r="E8383" s="394"/>
      <c r="F8383" s="394"/>
      <c r="G8383" s="394"/>
      <c r="I8383" s="368">
        <f t="shared" si="396"/>
        <v>0</v>
      </c>
      <c r="J8383" s="365">
        <f t="shared" si="397"/>
        <v>0</v>
      </c>
      <c r="K8383" s="369">
        <f t="shared" si="398"/>
        <v>6</v>
      </c>
      <c r="L8383" s="369">
        <f>+IF((C8383&gt;='Resultats - informe'!$E$16)*(C8383&lt;='Resultats - informe'!$G$16),1,0)</f>
        <v>1</v>
      </c>
      <c r="M8383" s="369" cm="1">
        <f t="array" ref="M8383">+_xlfn.IFS((C8383&gt;='Resultats - informe'!$D$26)*(C8383&lt;='Resultats - informe'!$E$26),0,(C8383&gt;='Resultats - informe'!$D$27)*(C8383&lt;='Resultats - informe'!$E$27),0,(C8383&gt;='Resultats - informe'!$D$28)*(C8383&lt;='Resultats - informe'!$E$28),0,(C8383&gt;='Resultats - informe'!$D$29)*(C8383&lt;='Resultats - informe'!$E$29),0,1,1)</f>
        <v>0</v>
      </c>
      <c r="N8383" s="366">
        <f>+VLOOKUP(D8383,'Resultats - informe'!$Y$18:$AG$42,'Introducció dades consum'!K8383+1,0)</f>
        <v>0</v>
      </c>
      <c r="O8383" s="370" cm="1">
        <f t="array" ref="O8383">+_xlfn.SWITCH(MONTH(C8383),1,1,2,1,3,1,4,2,5,2,6,3,7,3,8,3,9,3,10,2,11,2,12,1,2)</f>
        <v>1</v>
      </c>
      <c r="P8383" s="43"/>
    </row>
    <row r="8384" spans="1:16" ht="18" x14ac:dyDescent="0.35">
      <c r="A8384" s="9"/>
      <c r="C8384" s="393"/>
      <c r="E8384" s="394"/>
      <c r="F8384" s="394"/>
      <c r="G8384" s="394"/>
      <c r="I8384" s="368">
        <f t="shared" si="396"/>
        <v>0</v>
      </c>
      <c r="J8384" s="365">
        <f t="shared" si="397"/>
        <v>0</v>
      </c>
      <c r="K8384" s="369">
        <f t="shared" si="398"/>
        <v>6</v>
      </c>
      <c r="L8384" s="369">
        <f>+IF((C8384&gt;='Resultats - informe'!$E$16)*(C8384&lt;='Resultats - informe'!$G$16),1,0)</f>
        <v>1</v>
      </c>
      <c r="M8384" s="369" cm="1">
        <f t="array" ref="M8384">+_xlfn.IFS((C8384&gt;='Resultats - informe'!$D$26)*(C8384&lt;='Resultats - informe'!$E$26),0,(C8384&gt;='Resultats - informe'!$D$27)*(C8384&lt;='Resultats - informe'!$E$27),0,(C8384&gt;='Resultats - informe'!$D$28)*(C8384&lt;='Resultats - informe'!$E$28),0,(C8384&gt;='Resultats - informe'!$D$29)*(C8384&lt;='Resultats - informe'!$E$29),0,1,1)</f>
        <v>0</v>
      </c>
      <c r="N8384" s="366">
        <f>+VLOOKUP(D8384,'Resultats - informe'!$Y$18:$AG$42,'Introducció dades consum'!K8384+1,0)</f>
        <v>0</v>
      </c>
      <c r="O8384" s="370" cm="1">
        <f t="array" ref="O8384">+_xlfn.SWITCH(MONTH(C8384),1,1,2,1,3,1,4,2,5,2,6,3,7,3,8,3,9,3,10,2,11,2,12,1,2)</f>
        <v>1</v>
      </c>
      <c r="P8384" s="43"/>
    </row>
    <row r="8385" spans="1:16" ht="18" x14ac:dyDescent="0.35">
      <c r="A8385" s="9"/>
      <c r="C8385" s="393"/>
      <c r="E8385" s="394"/>
      <c r="F8385" s="394"/>
      <c r="G8385" s="394"/>
      <c r="I8385" s="368">
        <f t="shared" si="396"/>
        <v>0</v>
      </c>
      <c r="J8385" s="365">
        <f t="shared" si="397"/>
        <v>0</v>
      </c>
      <c r="K8385" s="369">
        <f t="shared" si="398"/>
        <v>6</v>
      </c>
      <c r="L8385" s="369">
        <f>+IF((C8385&gt;='Resultats - informe'!$E$16)*(C8385&lt;='Resultats - informe'!$G$16),1,0)</f>
        <v>1</v>
      </c>
      <c r="M8385" s="369" cm="1">
        <f t="array" ref="M8385">+_xlfn.IFS((C8385&gt;='Resultats - informe'!$D$26)*(C8385&lt;='Resultats - informe'!$E$26),0,(C8385&gt;='Resultats - informe'!$D$27)*(C8385&lt;='Resultats - informe'!$E$27),0,(C8385&gt;='Resultats - informe'!$D$28)*(C8385&lt;='Resultats - informe'!$E$28),0,(C8385&gt;='Resultats - informe'!$D$29)*(C8385&lt;='Resultats - informe'!$E$29),0,1,1)</f>
        <v>0</v>
      </c>
      <c r="N8385" s="366">
        <f>+VLOOKUP(D8385,'Resultats - informe'!$Y$18:$AG$42,'Introducció dades consum'!K8385+1,0)</f>
        <v>0</v>
      </c>
      <c r="O8385" s="370" cm="1">
        <f t="array" ref="O8385">+_xlfn.SWITCH(MONTH(C8385),1,1,2,1,3,1,4,2,5,2,6,3,7,3,8,3,9,3,10,2,11,2,12,1,2)</f>
        <v>1</v>
      </c>
      <c r="P8385" s="43"/>
    </row>
    <row r="8386" spans="1:16" ht="18" x14ac:dyDescent="0.35">
      <c r="A8386" s="9"/>
      <c r="C8386" s="393"/>
      <c r="E8386" s="394"/>
      <c r="F8386" s="394"/>
      <c r="G8386" s="394"/>
      <c r="I8386" s="368">
        <f t="shared" si="396"/>
        <v>0</v>
      </c>
      <c r="J8386" s="365">
        <f t="shared" si="397"/>
        <v>0</v>
      </c>
      <c r="K8386" s="369">
        <f t="shared" si="398"/>
        <v>6</v>
      </c>
      <c r="L8386" s="369">
        <f>+IF((C8386&gt;='Resultats - informe'!$E$16)*(C8386&lt;='Resultats - informe'!$G$16),1,0)</f>
        <v>1</v>
      </c>
      <c r="M8386" s="369" cm="1">
        <f t="array" ref="M8386">+_xlfn.IFS((C8386&gt;='Resultats - informe'!$D$26)*(C8386&lt;='Resultats - informe'!$E$26),0,(C8386&gt;='Resultats - informe'!$D$27)*(C8386&lt;='Resultats - informe'!$E$27),0,(C8386&gt;='Resultats - informe'!$D$28)*(C8386&lt;='Resultats - informe'!$E$28),0,(C8386&gt;='Resultats - informe'!$D$29)*(C8386&lt;='Resultats - informe'!$E$29),0,1,1)</f>
        <v>0</v>
      </c>
      <c r="N8386" s="366">
        <f>+VLOOKUP(D8386,'Resultats - informe'!$Y$18:$AG$42,'Introducció dades consum'!K8386+1,0)</f>
        <v>0</v>
      </c>
      <c r="O8386" s="370" cm="1">
        <f t="array" ref="O8386">+_xlfn.SWITCH(MONTH(C8386),1,1,2,1,3,1,4,2,5,2,6,3,7,3,8,3,9,3,10,2,11,2,12,1,2)</f>
        <v>1</v>
      </c>
      <c r="P8386" s="43"/>
    </row>
    <row r="8387" spans="1:16" ht="18" x14ac:dyDescent="0.35">
      <c r="A8387" s="9"/>
      <c r="C8387" s="393"/>
      <c r="E8387" s="394"/>
      <c r="F8387" s="394"/>
      <c r="G8387" s="394"/>
      <c r="I8387" s="368">
        <f t="shared" si="396"/>
        <v>0</v>
      </c>
      <c r="J8387" s="365">
        <f t="shared" si="397"/>
        <v>0</v>
      </c>
      <c r="K8387" s="369">
        <f t="shared" si="398"/>
        <v>6</v>
      </c>
      <c r="L8387" s="369">
        <f>+IF((C8387&gt;='Resultats - informe'!$E$16)*(C8387&lt;='Resultats - informe'!$G$16),1,0)</f>
        <v>1</v>
      </c>
      <c r="M8387" s="369" cm="1">
        <f t="array" ref="M8387">+_xlfn.IFS((C8387&gt;='Resultats - informe'!$D$26)*(C8387&lt;='Resultats - informe'!$E$26),0,(C8387&gt;='Resultats - informe'!$D$27)*(C8387&lt;='Resultats - informe'!$E$27),0,(C8387&gt;='Resultats - informe'!$D$28)*(C8387&lt;='Resultats - informe'!$E$28),0,(C8387&gt;='Resultats - informe'!$D$29)*(C8387&lt;='Resultats - informe'!$E$29),0,1,1)</f>
        <v>0</v>
      </c>
      <c r="N8387" s="366">
        <f>+VLOOKUP(D8387,'Resultats - informe'!$Y$18:$AG$42,'Introducció dades consum'!K8387+1,0)</f>
        <v>0</v>
      </c>
      <c r="O8387" s="370" cm="1">
        <f t="array" ref="O8387">+_xlfn.SWITCH(MONTH(C8387),1,1,2,1,3,1,4,2,5,2,6,3,7,3,8,3,9,3,10,2,11,2,12,1,2)</f>
        <v>1</v>
      </c>
      <c r="P8387" s="43"/>
    </row>
    <row r="8388" spans="1:16" ht="18" x14ac:dyDescent="0.35">
      <c r="A8388" s="9"/>
      <c r="C8388" s="393"/>
      <c r="E8388" s="394"/>
      <c r="F8388" s="394"/>
      <c r="G8388" s="394"/>
      <c r="I8388" s="368">
        <f t="shared" si="396"/>
        <v>0</v>
      </c>
      <c r="J8388" s="365">
        <f t="shared" si="397"/>
        <v>0</v>
      </c>
      <c r="K8388" s="369">
        <f t="shared" si="398"/>
        <v>6</v>
      </c>
      <c r="L8388" s="369">
        <f>+IF((C8388&gt;='Resultats - informe'!$E$16)*(C8388&lt;='Resultats - informe'!$G$16),1,0)</f>
        <v>1</v>
      </c>
      <c r="M8388" s="369" cm="1">
        <f t="array" ref="M8388">+_xlfn.IFS((C8388&gt;='Resultats - informe'!$D$26)*(C8388&lt;='Resultats - informe'!$E$26),0,(C8388&gt;='Resultats - informe'!$D$27)*(C8388&lt;='Resultats - informe'!$E$27),0,(C8388&gt;='Resultats - informe'!$D$28)*(C8388&lt;='Resultats - informe'!$E$28),0,(C8388&gt;='Resultats - informe'!$D$29)*(C8388&lt;='Resultats - informe'!$E$29),0,1,1)</f>
        <v>0</v>
      </c>
      <c r="N8388" s="366">
        <f>+VLOOKUP(D8388,'Resultats - informe'!$Y$18:$AG$42,'Introducció dades consum'!K8388+1,0)</f>
        <v>0</v>
      </c>
      <c r="O8388" s="370" cm="1">
        <f t="array" ref="O8388">+_xlfn.SWITCH(MONTH(C8388),1,1,2,1,3,1,4,2,5,2,6,3,7,3,8,3,9,3,10,2,11,2,12,1,2)</f>
        <v>1</v>
      </c>
      <c r="P8388" s="43"/>
    </row>
    <row r="8389" spans="1:16" ht="18" x14ac:dyDescent="0.35">
      <c r="A8389" s="9"/>
      <c r="C8389" s="393"/>
      <c r="E8389" s="394"/>
      <c r="F8389" s="394"/>
      <c r="G8389" s="394"/>
      <c r="I8389" s="368">
        <f t="shared" si="396"/>
        <v>0</v>
      </c>
      <c r="J8389" s="365">
        <f t="shared" si="397"/>
        <v>0</v>
      </c>
      <c r="K8389" s="369">
        <f t="shared" si="398"/>
        <v>6</v>
      </c>
      <c r="L8389" s="369">
        <f>+IF((C8389&gt;='Resultats - informe'!$E$16)*(C8389&lt;='Resultats - informe'!$G$16),1,0)</f>
        <v>1</v>
      </c>
      <c r="M8389" s="369" cm="1">
        <f t="array" ref="M8389">+_xlfn.IFS((C8389&gt;='Resultats - informe'!$D$26)*(C8389&lt;='Resultats - informe'!$E$26),0,(C8389&gt;='Resultats - informe'!$D$27)*(C8389&lt;='Resultats - informe'!$E$27),0,(C8389&gt;='Resultats - informe'!$D$28)*(C8389&lt;='Resultats - informe'!$E$28),0,(C8389&gt;='Resultats - informe'!$D$29)*(C8389&lt;='Resultats - informe'!$E$29),0,1,1)</f>
        <v>0</v>
      </c>
      <c r="N8389" s="366">
        <f>+VLOOKUP(D8389,'Resultats - informe'!$Y$18:$AG$42,'Introducció dades consum'!K8389+1,0)</f>
        <v>0</v>
      </c>
      <c r="O8389" s="370" cm="1">
        <f t="array" ref="O8389">+_xlfn.SWITCH(MONTH(C8389),1,1,2,1,3,1,4,2,5,2,6,3,7,3,8,3,9,3,10,2,11,2,12,1,2)</f>
        <v>1</v>
      </c>
      <c r="P8389" s="43"/>
    </row>
    <row r="8390" spans="1:16" ht="18" x14ac:dyDescent="0.35">
      <c r="A8390" s="9"/>
      <c r="C8390" s="393"/>
      <c r="E8390" s="394"/>
      <c r="F8390" s="394"/>
      <c r="G8390" s="394"/>
      <c r="I8390" s="368">
        <f t="shared" si="396"/>
        <v>0</v>
      </c>
      <c r="J8390" s="365">
        <f t="shared" si="397"/>
        <v>0</v>
      </c>
      <c r="K8390" s="369">
        <f t="shared" si="398"/>
        <v>6</v>
      </c>
      <c r="L8390" s="369">
        <f>+IF((C8390&gt;='Resultats - informe'!$E$16)*(C8390&lt;='Resultats - informe'!$G$16),1,0)</f>
        <v>1</v>
      </c>
      <c r="M8390" s="369" cm="1">
        <f t="array" ref="M8390">+_xlfn.IFS((C8390&gt;='Resultats - informe'!$D$26)*(C8390&lt;='Resultats - informe'!$E$26),0,(C8390&gt;='Resultats - informe'!$D$27)*(C8390&lt;='Resultats - informe'!$E$27),0,(C8390&gt;='Resultats - informe'!$D$28)*(C8390&lt;='Resultats - informe'!$E$28),0,(C8390&gt;='Resultats - informe'!$D$29)*(C8390&lt;='Resultats - informe'!$E$29),0,1,1)</f>
        <v>0</v>
      </c>
      <c r="N8390" s="366">
        <f>+VLOOKUP(D8390,'Resultats - informe'!$Y$18:$AG$42,'Introducció dades consum'!K8390+1,0)</f>
        <v>0</v>
      </c>
      <c r="O8390" s="370" cm="1">
        <f t="array" ref="O8390">+_xlfn.SWITCH(MONTH(C8390),1,1,2,1,3,1,4,2,5,2,6,3,7,3,8,3,9,3,10,2,11,2,12,1,2)</f>
        <v>1</v>
      </c>
      <c r="P8390" s="43"/>
    </row>
    <row r="8391" spans="1:16" ht="18" x14ac:dyDescent="0.35">
      <c r="A8391" s="9"/>
      <c r="C8391" s="393"/>
      <c r="E8391" s="394"/>
      <c r="F8391" s="394"/>
      <c r="G8391" s="394"/>
      <c r="I8391" s="368">
        <f t="shared" si="396"/>
        <v>0</v>
      </c>
      <c r="J8391" s="365">
        <f t="shared" si="397"/>
        <v>0</v>
      </c>
      <c r="K8391" s="369">
        <f t="shared" si="398"/>
        <v>6</v>
      </c>
      <c r="L8391" s="369">
        <f>+IF((C8391&gt;='Resultats - informe'!$E$16)*(C8391&lt;='Resultats - informe'!$G$16),1,0)</f>
        <v>1</v>
      </c>
      <c r="M8391" s="369" cm="1">
        <f t="array" ref="M8391">+_xlfn.IFS((C8391&gt;='Resultats - informe'!$D$26)*(C8391&lt;='Resultats - informe'!$E$26),0,(C8391&gt;='Resultats - informe'!$D$27)*(C8391&lt;='Resultats - informe'!$E$27),0,(C8391&gt;='Resultats - informe'!$D$28)*(C8391&lt;='Resultats - informe'!$E$28),0,(C8391&gt;='Resultats - informe'!$D$29)*(C8391&lt;='Resultats - informe'!$E$29),0,1,1)</f>
        <v>0</v>
      </c>
      <c r="N8391" s="366">
        <f>+VLOOKUP(D8391,'Resultats - informe'!$Y$18:$AG$42,'Introducció dades consum'!K8391+1,0)</f>
        <v>0</v>
      </c>
      <c r="O8391" s="370" cm="1">
        <f t="array" ref="O8391">+_xlfn.SWITCH(MONTH(C8391),1,1,2,1,3,1,4,2,5,2,6,3,7,3,8,3,9,3,10,2,11,2,12,1,2)</f>
        <v>1</v>
      </c>
      <c r="P8391" s="43"/>
    </row>
    <row r="8392" spans="1:16" ht="18" x14ac:dyDescent="0.35">
      <c r="A8392" s="9"/>
      <c r="C8392" s="393"/>
      <c r="E8392" s="394"/>
      <c r="F8392" s="394"/>
      <c r="G8392" s="394"/>
      <c r="I8392" s="368">
        <f t="shared" si="396"/>
        <v>0</v>
      </c>
      <c r="J8392" s="365">
        <f t="shared" si="397"/>
        <v>0</v>
      </c>
      <c r="K8392" s="369">
        <f t="shared" si="398"/>
        <v>6</v>
      </c>
      <c r="L8392" s="369">
        <f>+IF((C8392&gt;='Resultats - informe'!$E$16)*(C8392&lt;='Resultats - informe'!$G$16),1,0)</f>
        <v>1</v>
      </c>
      <c r="M8392" s="369" cm="1">
        <f t="array" ref="M8392">+_xlfn.IFS((C8392&gt;='Resultats - informe'!$D$26)*(C8392&lt;='Resultats - informe'!$E$26),0,(C8392&gt;='Resultats - informe'!$D$27)*(C8392&lt;='Resultats - informe'!$E$27),0,(C8392&gt;='Resultats - informe'!$D$28)*(C8392&lt;='Resultats - informe'!$E$28),0,(C8392&gt;='Resultats - informe'!$D$29)*(C8392&lt;='Resultats - informe'!$E$29),0,1,1)</f>
        <v>0</v>
      </c>
      <c r="N8392" s="366">
        <f>+VLOOKUP(D8392,'Resultats - informe'!$Y$18:$AG$42,'Introducció dades consum'!K8392+1,0)</f>
        <v>0</v>
      </c>
      <c r="O8392" s="370" cm="1">
        <f t="array" ref="O8392">+_xlfn.SWITCH(MONTH(C8392),1,1,2,1,3,1,4,2,5,2,6,3,7,3,8,3,9,3,10,2,11,2,12,1,2)</f>
        <v>1</v>
      </c>
      <c r="P8392" s="43"/>
    </row>
    <row r="8393" spans="1:16" ht="18" x14ac:dyDescent="0.35">
      <c r="A8393" s="9"/>
      <c r="C8393" s="393"/>
      <c r="E8393" s="394"/>
      <c r="F8393" s="394"/>
      <c r="G8393" s="394"/>
      <c r="I8393" s="368">
        <f t="shared" si="396"/>
        <v>0</v>
      </c>
      <c r="J8393" s="365">
        <f t="shared" si="397"/>
        <v>0</v>
      </c>
      <c r="K8393" s="369">
        <f t="shared" si="398"/>
        <v>6</v>
      </c>
      <c r="L8393" s="369">
        <f>+IF((C8393&gt;='Resultats - informe'!$E$16)*(C8393&lt;='Resultats - informe'!$G$16),1,0)</f>
        <v>1</v>
      </c>
      <c r="M8393" s="369" cm="1">
        <f t="array" ref="M8393">+_xlfn.IFS((C8393&gt;='Resultats - informe'!$D$26)*(C8393&lt;='Resultats - informe'!$E$26),0,(C8393&gt;='Resultats - informe'!$D$27)*(C8393&lt;='Resultats - informe'!$E$27),0,(C8393&gt;='Resultats - informe'!$D$28)*(C8393&lt;='Resultats - informe'!$E$28),0,(C8393&gt;='Resultats - informe'!$D$29)*(C8393&lt;='Resultats - informe'!$E$29),0,1,1)</f>
        <v>0</v>
      </c>
      <c r="N8393" s="366">
        <f>+VLOOKUP(D8393,'Resultats - informe'!$Y$18:$AG$42,'Introducció dades consum'!K8393+1,0)</f>
        <v>0</v>
      </c>
      <c r="O8393" s="370" cm="1">
        <f t="array" ref="O8393">+_xlfn.SWITCH(MONTH(C8393),1,1,2,1,3,1,4,2,5,2,6,3,7,3,8,3,9,3,10,2,11,2,12,1,2)</f>
        <v>1</v>
      </c>
      <c r="P8393" s="43"/>
    </row>
    <row r="8394" spans="1:16" ht="18" x14ac:dyDescent="0.35">
      <c r="A8394" s="9"/>
      <c r="C8394" s="393"/>
      <c r="E8394" s="394"/>
      <c r="F8394" s="394"/>
      <c r="G8394" s="394"/>
      <c r="I8394" s="368">
        <f t="shared" si="396"/>
        <v>0</v>
      </c>
      <c r="J8394" s="365">
        <f t="shared" si="397"/>
        <v>0</v>
      </c>
      <c r="K8394" s="369">
        <f t="shared" si="398"/>
        <v>6</v>
      </c>
      <c r="L8394" s="369">
        <f>+IF((C8394&gt;='Resultats - informe'!$E$16)*(C8394&lt;='Resultats - informe'!$G$16),1,0)</f>
        <v>1</v>
      </c>
      <c r="M8394" s="369" cm="1">
        <f t="array" ref="M8394">+_xlfn.IFS((C8394&gt;='Resultats - informe'!$D$26)*(C8394&lt;='Resultats - informe'!$E$26),0,(C8394&gt;='Resultats - informe'!$D$27)*(C8394&lt;='Resultats - informe'!$E$27),0,(C8394&gt;='Resultats - informe'!$D$28)*(C8394&lt;='Resultats - informe'!$E$28),0,(C8394&gt;='Resultats - informe'!$D$29)*(C8394&lt;='Resultats - informe'!$E$29),0,1,1)</f>
        <v>0</v>
      </c>
      <c r="N8394" s="366">
        <f>+VLOOKUP(D8394,'Resultats - informe'!$Y$18:$AG$42,'Introducció dades consum'!K8394+1,0)</f>
        <v>0</v>
      </c>
      <c r="O8394" s="370" cm="1">
        <f t="array" ref="O8394">+_xlfn.SWITCH(MONTH(C8394),1,1,2,1,3,1,4,2,5,2,6,3,7,3,8,3,9,3,10,2,11,2,12,1,2)</f>
        <v>1</v>
      </c>
      <c r="P8394" s="43"/>
    </row>
    <row r="8395" spans="1:16" ht="18" x14ac:dyDescent="0.35">
      <c r="A8395" s="9"/>
      <c r="C8395" s="393"/>
      <c r="E8395" s="394"/>
      <c r="F8395" s="394"/>
      <c r="G8395" s="394"/>
      <c r="I8395" s="368">
        <f t="shared" si="396"/>
        <v>0</v>
      </c>
      <c r="J8395" s="365">
        <f t="shared" si="397"/>
        <v>0</v>
      </c>
      <c r="K8395" s="369">
        <f t="shared" si="398"/>
        <v>6</v>
      </c>
      <c r="L8395" s="369">
        <f>+IF((C8395&gt;='Resultats - informe'!$E$16)*(C8395&lt;='Resultats - informe'!$G$16),1,0)</f>
        <v>1</v>
      </c>
      <c r="M8395" s="369" cm="1">
        <f t="array" ref="M8395">+_xlfn.IFS((C8395&gt;='Resultats - informe'!$D$26)*(C8395&lt;='Resultats - informe'!$E$26),0,(C8395&gt;='Resultats - informe'!$D$27)*(C8395&lt;='Resultats - informe'!$E$27),0,(C8395&gt;='Resultats - informe'!$D$28)*(C8395&lt;='Resultats - informe'!$E$28),0,(C8395&gt;='Resultats - informe'!$D$29)*(C8395&lt;='Resultats - informe'!$E$29),0,1,1)</f>
        <v>0</v>
      </c>
      <c r="N8395" s="366">
        <f>+VLOOKUP(D8395,'Resultats - informe'!$Y$18:$AG$42,'Introducció dades consum'!K8395+1,0)</f>
        <v>0</v>
      </c>
      <c r="O8395" s="370" cm="1">
        <f t="array" ref="O8395">+_xlfn.SWITCH(MONTH(C8395),1,1,2,1,3,1,4,2,5,2,6,3,7,3,8,3,9,3,10,2,11,2,12,1,2)</f>
        <v>1</v>
      </c>
      <c r="P8395" s="43"/>
    </row>
    <row r="8396" spans="1:16" ht="18" x14ac:dyDescent="0.35">
      <c r="A8396" s="9"/>
      <c r="C8396" s="393"/>
      <c r="E8396" s="394"/>
      <c r="F8396" s="394"/>
      <c r="G8396" s="394"/>
      <c r="I8396" s="368">
        <f t="shared" si="396"/>
        <v>0</v>
      </c>
      <c r="J8396" s="365">
        <f t="shared" si="397"/>
        <v>0</v>
      </c>
      <c r="K8396" s="369">
        <f t="shared" si="398"/>
        <v>6</v>
      </c>
      <c r="L8396" s="369">
        <f>+IF((C8396&gt;='Resultats - informe'!$E$16)*(C8396&lt;='Resultats - informe'!$G$16),1,0)</f>
        <v>1</v>
      </c>
      <c r="M8396" s="369" cm="1">
        <f t="array" ref="M8396">+_xlfn.IFS((C8396&gt;='Resultats - informe'!$D$26)*(C8396&lt;='Resultats - informe'!$E$26),0,(C8396&gt;='Resultats - informe'!$D$27)*(C8396&lt;='Resultats - informe'!$E$27),0,(C8396&gt;='Resultats - informe'!$D$28)*(C8396&lt;='Resultats - informe'!$E$28),0,(C8396&gt;='Resultats - informe'!$D$29)*(C8396&lt;='Resultats - informe'!$E$29),0,1,1)</f>
        <v>0</v>
      </c>
      <c r="N8396" s="366">
        <f>+VLOOKUP(D8396,'Resultats - informe'!$Y$18:$AG$42,'Introducció dades consum'!K8396+1,0)</f>
        <v>0</v>
      </c>
      <c r="O8396" s="370" cm="1">
        <f t="array" ref="O8396">+_xlfn.SWITCH(MONTH(C8396),1,1,2,1,3,1,4,2,5,2,6,3,7,3,8,3,9,3,10,2,11,2,12,1,2)</f>
        <v>1</v>
      </c>
      <c r="P8396" s="43"/>
    </row>
    <row r="8397" spans="1:16" ht="18" x14ac:dyDescent="0.35">
      <c r="A8397" s="9"/>
      <c r="C8397" s="393"/>
      <c r="E8397" s="394"/>
      <c r="F8397" s="394"/>
      <c r="G8397" s="394"/>
      <c r="I8397" s="368">
        <f t="shared" si="396"/>
        <v>0</v>
      </c>
      <c r="J8397" s="365">
        <f t="shared" si="397"/>
        <v>0</v>
      </c>
      <c r="K8397" s="369">
        <f t="shared" si="398"/>
        <v>6</v>
      </c>
      <c r="L8397" s="369">
        <f>+IF((C8397&gt;='Resultats - informe'!$E$16)*(C8397&lt;='Resultats - informe'!$G$16),1,0)</f>
        <v>1</v>
      </c>
      <c r="M8397" s="369" cm="1">
        <f t="array" ref="M8397">+_xlfn.IFS((C8397&gt;='Resultats - informe'!$D$26)*(C8397&lt;='Resultats - informe'!$E$26),0,(C8397&gt;='Resultats - informe'!$D$27)*(C8397&lt;='Resultats - informe'!$E$27),0,(C8397&gt;='Resultats - informe'!$D$28)*(C8397&lt;='Resultats - informe'!$E$28),0,(C8397&gt;='Resultats - informe'!$D$29)*(C8397&lt;='Resultats - informe'!$E$29),0,1,1)</f>
        <v>0</v>
      </c>
      <c r="N8397" s="366">
        <f>+VLOOKUP(D8397,'Resultats - informe'!$Y$18:$AG$42,'Introducció dades consum'!K8397+1,0)</f>
        <v>0</v>
      </c>
      <c r="O8397" s="370" cm="1">
        <f t="array" ref="O8397">+_xlfn.SWITCH(MONTH(C8397),1,1,2,1,3,1,4,2,5,2,6,3,7,3,8,3,9,3,10,2,11,2,12,1,2)</f>
        <v>1</v>
      </c>
      <c r="P8397" s="43"/>
    </row>
    <row r="8398" spans="1:16" ht="18" x14ac:dyDescent="0.35">
      <c r="A8398" s="9"/>
      <c r="C8398" s="393"/>
      <c r="E8398" s="394"/>
      <c r="F8398" s="394"/>
      <c r="G8398" s="394"/>
      <c r="I8398" s="368">
        <f t="shared" si="396"/>
        <v>0</v>
      </c>
      <c r="J8398" s="365">
        <f t="shared" si="397"/>
        <v>0</v>
      </c>
      <c r="K8398" s="369">
        <f t="shared" si="398"/>
        <v>6</v>
      </c>
      <c r="L8398" s="369">
        <f>+IF((C8398&gt;='Resultats - informe'!$E$16)*(C8398&lt;='Resultats - informe'!$G$16),1,0)</f>
        <v>1</v>
      </c>
      <c r="M8398" s="369" cm="1">
        <f t="array" ref="M8398">+_xlfn.IFS((C8398&gt;='Resultats - informe'!$D$26)*(C8398&lt;='Resultats - informe'!$E$26),0,(C8398&gt;='Resultats - informe'!$D$27)*(C8398&lt;='Resultats - informe'!$E$27),0,(C8398&gt;='Resultats - informe'!$D$28)*(C8398&lt;='Resultats - informe'!$E$28),0,(C8398&gt;='Resultats - informe'!$D$29)*(C8398&lt;='Resultats - informe'!$E$29),0,1,1)</f>
        <v>0</v>
      </c>
      <c r="N8398" s="366">
        <f>+VLOOKUP(D8398,'Resultats - informe'!$Y$18:$AG$42,'Introducció dades consum'!K8398+1,0)</f>
        <v>0</v>
      </c>
      <c r="O8398" s="370" cm="1">
        <f t="array" ref="O8398">+_xlfn.SWITCH(MONTH(C8398),1,1,2,1,3,1,4,2,5,2,6,3,7,3,8,3,9,3,10,2,11,2,12,1,2)</f>
        <v>1</v>
      </c>
      <c r="P8398" s="43"/>
    </row>
    <row r="8399" spans="1:16" ht="18" x14ac:dyDescent="0.35">
      <c r="A8399" s="9"/>
      <c r="C8399" s="393"/>
      <c r="E8399" s="394"/>
      <c r="F8399" s="394"/>
      <c r="G8399" s="394"/>
      <c r="I8399" s="368">
        <f t="shared" si="396"/>
        <v>0</v>
      </c>
      <c r="J8399" s="365">
        <f t="shared" si="397"/>
        <v>0</v>
      </c>
      <c r="K8399" s="369">
        <f t="shared" si="398"/>
        <v>6</v>
      </c>
      <c r="L8399" s="369">
        <f>+IF((C8399&gt;='Resultats - informe'!$E$16)*(C8399&lt;='Resultats - informe'!$G$16),1,0)</f>
        <v>1</v>
      </c>
      <c r="M8399" s="369" cm="1">
        <f t="array" ref="M8399">+_xlfn.IFS((C8399&gt;='Resultats - informe'!$D$26)*(C8399&lt;='Resultats - informe'!$E$26),0,(C8399&gt;='Resultats - informe'!$D$27)*(C8399&lt;='Resultats - informe'!$E$27),0,(C8399&gt;='Resultats - informe'!$D$28)*(C8399&lt;='Resultats - informe'!$E$28),0,(C8399&gt;='Resultats - informe'!$D$29)*(C8399&lt;='Resultats - informe'!$E$29),0,1,1)</f>
        <v>0</v>
      </c>
      <c r="N8399" s="366">
        <f>+VLOOKUP(D8399,'Resultats - informe'!$Y$18:$AG$42,'Introducció dades consum'!K8399+1,0)</f>
        <v>0</v>
      </c>
      <c r="O8399" s="370" cm="1">
        <f t="array" ref="O8399">+_xlfn.SWITCH(MONTH(C8399),1,1,2,1,3,1,4,2,5,2,6,3,7,3,8,3,9,3,10,2,11,2,12,1,2)</f>
        <v>1</v>
      </c>
      <c r="P8399" s="43"/>
    </row>
    <row r="8400" spans="1:16" ht="18" x14ac:dyDescent="0.35">
      <c r="A8400" s="9"/>
      <c r="C8400" s="393"/>
      <c r="E8400" s="394"/>
      <c r="F8400" s="394"/>
      <c r="G8400" s="394"/>
      <c r="I8400" s="368">
        <f t="shared" si="396"/>
        <v>0</v>
      </c>
      <c r="J8400" s="365">
        <f t="shared" si="397"/>
        <v>0</v>
      </c>
      <c r="K8400" s="369">
        <f t="shared" si="398"/>
        <v>6</v>
      </c>
      <c r="L8400" s="369">
        <f>+IF((C8400&gt;='Resultats - informe'!$E$16)*(C8400&lt;='Resultats - informe'!$G$16),1,0)</f>
        <v>1</v>
      </c>
      <c r="M8400" s="369" cm="1">
        <f t="array" ref="M8400">+_xlfn.IFS((C8400&gt;='Resultats - informe'!$D$26)*(C8400&lt;='Resultats - informe'!$E$26),0,(C8400&gt;='Resultats - informe'!$D$27)*(C8400&lt;='Resultats - informe'!$E$27),0,(C8400&gt;='Resultats - informe'!$D$28)*(C8400&lt;='Resultats - informe'!$E$28),0,(C8400&gt;='Resultats - informe'!$D$29)*(C8400&lt;='Resultats - informe'!$E$29),0,1,1)</f>
        <v>0</v>
      </c>
      <c r="N8400" s="366">
        <f>+VLOOKUP(D8400,'Resultats - informe'!$Y$18:$AG$42,'Introducció dades consum'!K8400+1,0)</f>
        <v>0</v>
      </c>
      <c r="O8400" s="370" cm="1">
        <f t="array" ref="O8400">+_xlfn.SWITCH(MONTH(C8400),1,1,2,1,3,1,4,2,5,2,6,3,7,3,8,3,9,3,10,2,11,2,12,1,2)</f>
        <v>1</v>
      </c>
      <c r="P8400" s="43"/>
    </row>
    <row r="8401" spans="1:16" ht="18" x14ac:dyDescent="0.35">
      <c r="A8401" s="9"/>
      <c r="C8401" s="393"/>
      <c r="E8401" s="394"/>
      <c r="F8401" s="394"/>
      <c r="G8401" s="394"/>
      <c r="I8401" s="368">
        <f t="shared" si="396"/>
        <v>0</v>
      </c>
      <c r="J8401" s="365">
        <f t="shared" si="397"/>
        <v>0</v>
      </c>
      <c r="K8401" s="369">
        <f t="shared" si="398"/>
        <v>6</v>
      </c>
      <c r="L8401" s="369">
        <f>+IF((C8401&gt;='Resultats - informe'!$E$16)*(C8401&lt;='Resultats - informe'!$G$16),1,0)</f>
        <v>1</v>
      </c>
      <c r="M8401" s="369" cm="1">
        <f t="array" ref="M8401">+_xlfn.IFS((C8401&gt;='Resultats - informe'!$D$26)*(C8401&lt;='Resultats - informe'!$E$26),0,(C8401&gt;='Resultats - informe'!$D$27)*(C8401&lt;='Resultats - informe'!$E$27),0,(C8401&gt;='Resultats - informe'!$D$28)*(C8401&lt;='Resultats - informe'!$E$28),0,(C8401&gt;='Resultats - informe'!$D$29)*(C8401&lt;='Resultats - informe'!$E$29),0,1,1)</f>
        <v>0</v>
      </c>
      <c r="N8401" s="366">
        <f>+VLOOKUP(D8401,'Resultats - informe'!$Y$18:$AG$42,'Introducció dades consum'!K8401+1,0)</f>
        <v>0</v>
      </c>
      <c r="O8401" s="370" cm="1">
        <f t="array" ref="O8401">+_xlfn.SWITCH(MONTH(C8401),1,1,2,1,3,1,4,2,5,2,6,3,7,3,8,3,9,3,10,2,11,2,12,1,2)</f>
        <v>1</v>
      </c>
      <c r="P8401" s="43"/>
    </row>
    <row r="8402" spans="1:16" ht="18" x14ac:dyDescent="0.35">
      <c r="A8402" s="9"/>
      <c r="C8402" s="393"/>
      <c r="E8402" s="394"/>
      <c r="F8402" s="394"/>
      <c r="G8402" s="394"/>
      <c r="I8402" s="368">
        <f t="shared" ref="I8402:I8465" si="399">+E8402+G8402</f>
        <v>0</v>
      </c>
      <c r="J8402" s="365">
        <f t="shared" ref="J8402:J8465" si="400">+C8402</f>
        <v>0</v>
      </c>
      <c r="K8402" s="369">
        <f t="shared" ref="K8402:K8465" si="401">+WEEKDAY(C8402,2)</f>
        <v>6</v>
      </c>
      <c r="L8402" s="369">
        <f>+IF((C8402&gt;='Resultats - informe'!$E$16)*(C8402&lt;='Resultats - informe'!$G$16),1,0)</f>
        <v>1</v>
      </c>
      <c r="M8402" s="369" cm="1">
        <f t="array" ref="M8402">+_xlfn.IFS((C8402&gt;='Resultats - informe'!$D$26)*(C8402&lt;='Resultats - informe'!$E$26),0,(C8402&gt;='Resultats - informe'!$D$27)*(C8402&lt;='Resultats - informe'!$E$27),0,(C8402&gt;='Resultats - informe'!$D$28)*(C8402&lt;='Resultats - informe'!$E$28),0,(C8402&gt;='Resultats - informe'!$D$29)*(C8402&lt;='Resultats - informe'!$E$29),0,1,1)</f>
        <v>0</v>
      </c>
      <c r="N8402" s="366">
        <f>+VLOOKUP(D8402,'Resultats - informe'!$Y$18:$AG$42,'Introducció dades consum'!K8402+1,0)</f>
        <v>0</v>
      </c>
      <c r="O8402" s="370" cm="1">
        <f t="array" ref="O8402">+_xlfn.SWITCH(MONTH(C8402),1,1,2,1,3,1,4,2,5,2,6,3,7,3,8,3,9,3,10,2,11,2,12,1,2)</f>
        <v>1</v>
      </c>
      <c r="P8402" s="43"/>
    </row>
    <row r="8403" spans="1:16" ht="18" x14ac:dyDescent="0.35">
      <c r="A8403" s="9"/>
      <c r="C8403" s="393"/>
      <c r="E8403" s="394"/>
      <c r="F8403" s="394"/>
      <c r="G8403" s="394"/>
      <c r="I8403" s="368">
        <f t="shared" si="399"/>
        <v>0</v>
      </c>
      <c r="J8403" s="365">
        <f t="shared" si="400"/>
        <v>0</v>
      </c>
      <c r="K8403" s="369">
        <f t="shared" si="401"/>
        <v>6</v>
      </c>
      <c r="L8403" s="369">
        <f>+IF((C8403&gt;='Resultats - informe'!$E$16)*(C8403&lt;='Resultats - informe'!$G$16),1,0)</f>
        <v>1</v>
      </c>
      <c r="M8403" s="369" cm="1">
        <f t="array" ref="M8403">+_xlfn.IFS((C8403&gt;='Resultats - informe'!$D$26)*(C8403&lt;='Resultats - informe'!$E$26),0,(C8403&gt;='Resultats - informe'!$D$27)*(C8403&lt;='Resultats - informe'!$E$27),0,(C8403&gt;='Resultats - informe'!$D$28)*(C8403&lt;='Resultats - informe'!$E$28),0,(C8403&gt;='Resultats - informe'!$D$29)*(C8403&lt;='Resultats - informe'!$E$29),0,1,1)</f>
        <v>0</v>
      </c>
      <c r="N8403" s="366">
        <f>+VLOOKUP(D8403,'Resultats - informe'!$Y$18:$AG$42,'Introducció dades consum'!K8403+1,0)</f>
        <v>0</v>
      </c>
      <c r="O8403" s="370" cm="1">
        <f t="array" ref="O8403">+_xlfn.SWITCH(MONTH(C8403),1,1,2,1,3,1,4,2,5,2,6,3,7,3,8,3,9,3,10,2,11,2,12,1,2)</f>
        <v>1</v>
      </c>
      <c r="P8403" s="43"/>
    </row>
    <row r="8404" spans="1:16" ht="18" x14ac:dyDescent="0.35">
      <c r="A8404" s="9"/>
      <c r="C8404" s="393"/>
      <c r="E8404" s="394"/>
      <c r="F8404" s="394"/>
      <c r="G8404" s="394"/>
      <c r="I8404" s="368">
        <f t="shared" si="399"/>
        <v>0</v>
      </c>
      <c r="J8404" s="365">
        <f t="shared" si="400"/>
        <v>0</v>
      </c>
      <c r="K8404" s="369">
        <f t="shared" si="401"/>
        <v>6</v>
      </c>
      <c r="L8404" s="369">
        <f>+IF((C8404&gt;='Resultats - informe'!$E$16)*(C8404&lt;='Resultats - informe'!$G$16),1,0)</f>
        <v>1</v>
      </c>
      <c r="M8404" s="369" cm="1">
        <f t="array" ref="M8404">+_xlfn.IFS((C8404&gt;='Resultats - informe'!$D$26)*(C8404&lt;='Resultats - informe'!$E$26),0,(C8404&gt;='Resultats - informe'!$D$27)*(C8404&lt;='Resultats - informe'!$E$27),0,(C8404&gt;='Resultats - informe'!$D$28)*(C8404&lt;='Resultats - informe'!$E$28),0,(C8404&gt;='Resultats - informe'!$D$29)*(C8404&lt;='Resultats - informe'!$E$29),0,1,1)</f>
        <v>0</v>
      </c>
      <c r="N8404" s="366">
        <f>+VLOOKUP(D8404,'Resultats - informe'!$Y$18:$AG$42,'Introducció dades consum'!K8404+1,0)</f>
        <v>0</v>
      </c>
      <c r="O8404" s="370" cm="1">
        <f t="array" ref="O8404">+_xlfn.SWITCH(MONTH(C8404),1,1,2,1,3,1,4,2,5,2,6,3,7,3,8,3,9,3,10,2,11,2,12,1,2)</f>
        <v>1</v>
      </c>
      <c r="P8404" s="43"/>
    </row>
    <row r="8405" spans="1:16" ht="18" x14ac:dyDescent="0.35">
      <c r="A8405" s="9"/>
      <c r="C8405" s="393"/>
      <c r="E8405" s="394"/>
      <c r="F8405" s="394"/>
      <c r="G8405" s="394"/>
      <c r="I8405" s="368">
        <f t="shared" si="399"/>
        <v>0</v>
      </c>
      <c r="J8405" s="365">
        <f t="shared" si="400"/>
        <v>0</v>
      </c>
      <c r="K8405" s="369">
        <f t="shared" si="401"/>
        <v>6</v>
      </c>
      <c r="L8405" s="369">
        <f>+IF((C8405&gt;='Resultats - informe'!$E$16)*(C8405&lt;='Resultats - informe'!$G$16),1,0)</f>
        <v>1</v>
      </c>
      <c r="M8405" s="369" cm="1">
        <f t="array" ref="M8405">+_xlfn.IFS((C8405&gt;='Resultats - informe'!$D$26)*(C8405&lt;='Resultats - informe'!$E$26),0,(C8405&gt;='Resultats - informe'!$D$27)*(C8405&lt;='Resultats - informe'!$E$27),0,(C8405&gt;='Resultats - informe'!$D$28)*(C8405&lt;='Resultats - informe'!$E$28),0,(C8405&gt;='Resultats - informe'!$D$29)*(C8405&lt;='Resultats - informe'!$E$29),0,1,1)</f>
        <v>0</v>
      </c>
      <c r="N8405" s="366">
        <f>+VLOOKUP(D8405,'Resultats - informe'!$Y$18:$AG$42,'Introducció dades consum'!K8405+1,0)</f>
        <v>0</v>
      </c>
      <c r="O8405" s="370" cm="1">
        <f t="array" ref="O8405">+_xlfn.SWITCH(MONTH(C8405),1,1,2,1,3,1,4,2,5,2,6,3,7,3,8,3,9,3,10,2,11,2,12,1,2)</f>
        <v>1</v>
      </c>
      <c r="P8405" s="43"/>
    </row>
    <row r="8406" spans="1:16" ht="18" x14ac:dyDescent="0.35">
      <c r="A8406" s="9"/>
      <c r="C8406" s="393"/>
      <c r="E8406" s="394"/>
      <c r="F8406" s="394"/>
      <c r="G8406" s="394"/>
      <c r="I8406" s="368">
        <f t="shared" si="399"/>
        <v>0</v>
      </c>
      <c r="J8406" s="365">
        <f t="shared" si="400"/>
        <v>0</v>
      </c>
      <c r="K8406" s="369">
        <f t="shared" si="401"/>
        <v>6</v>
      </c>
      <c r="L8406" s="369">
        <f>+IF((C8406&gt;='Resultats - informe'!$E$16)*(C8406&lt;='Resultats - informe'!$G$16),1,0)</f>
        <v>1</v>
      </c>
      <c r="M8406" s="369" cm="1">
        <f t="array" ref="M8406">+_xlfn.IFS((C8406&gt;='Resultats - informe'!$D$26)*(C8406&lt;='Resultats - informe'!$E$26),0,(C8406&gt;='Resultats - informe'!$D$27)*(C8406&lt;='Resultats - informe'!$E$27),0,(C8406&gt;='Resultats - informe'!$D$28)*(C8406&lt;='Resultats - informe'!$E$28),0,(C8406&gt;='Resultats - informe'!$D$29)*(C8406&lt;='Resultats - informe'!$E$29),0,1,1)</f>
        <v>0</v>
      </c>
      <c r="N8406" s="366">
        <f>+VLOOKUP(D8406,'Resultats - informe'!$Y$18:$AG$42,'Introducció dades consum'!K8406+1,0)</f>
        <v>0</v>
      </c>
      <c r="O8406" s="370" cm="1">
        <f t="array" ref="O8406">+_xlfn.SWITCH(MONTH(C8406),1,1,2,1,3,1,4,2,5,2,6,3,7,3,8,3,9,3,10,2,11,2,12,1,2)</f>
        <v>1</v>
      </c>
      <c r="P8406" s="43"/>
    </row>
    <row r="8407" spans="1:16" ht="18" x14ac:dyDescent="0.35">
      <c r="A8407" s="9"/>
      <c r="C8407" s="393"/>
      <c r="E8407" s="394"/>
      <c r="F8407" s="394"/>
      <c r="G8407" s="394"/>
      <c r="I8407" s="368">
        <f t="shared" si="399"/>
        <v>0</v>
      </c>
      <c r="J8407" s="365">
        <f t="shared" si="400"/>
        <v>0</v>
      </c>
      <c r="K8407" s="369">
        <f t="shared" si="401"/>
        <v>6</v>
      </c>
      <c r="L8407" s="369">
        <f>+IF((C8407&gt;='Resultats - informe'!$E$16)*(C8407&lt;='Resultats - informe'!$G$16),1,0)</f>
        <v>1</v>
      </c>
      <c r="M8407" s="369" cm="1">
        <f t="array" ref="M8407">+_xlfn.IFS((C8407&gt;='Resultats - informe'!$D$26)*(C8407&lt;='Resultats - informe'!$E$26),0,(C8407&gt;='Resultats - informe'!$D$27)*(C8407&lt;='Resultats - informe'!$E$27),0,(C8407&gt;='Resultats - informe'!$D$28)*(C8407&lt;='Resultats - informe'!$E$28),0,(C8407&gt;='Resultats - informe'!$D$29)*(C8407&lt;='Resultats - informe'!$E$29),0,1,1)</f>
        <v>0</v>
      </c>
      <c r="N8407" s="366">
        <f>+VLOOKUP(D8407,'Resultats - informe'!$Y$18:$AG$42,'Introducció dades consum'!K8407+1,0)</f>
        <v>0</v>
      </c>
      <c r="O8407" s="370" cm="1">
        <f t="array" ref="O8407">+_xlfn.SWITCH(MONTH(C8407),1,1,2,1,3,1,4,2,5,2,6,3,7,3,8,3,9,3,10,2,11,2,12,1,2)</f>
        <v>1</v>
      </c>
      <c r="P8407" s="43"/>
    </row>
    <row r="8408" spans="1:16" ht="18" x14ac:dyDescent="0.35">
      <c r="A8408" s="9"/>
      <c r="C8408" s="393"/>
      <c r="E8408" s="394"/>
      <c r="F8408" s="394"/>
      <c r="G8408" s="394"/>
      <c r="I8408" s="368">
        <f t="shared" si="399"/>
        <v>0</v>
      </c>
      <c r="J8408" s="365">
        <f t="shared" si="400"/>
        <v>0</v>
      </c>
      <c r="K8408" s="369">
        <f t="shared" si="401"/>
        <v>6</v>
      </c>
      <c r="L8408" s="369">
        <f>+IF((C8408&gt;='Resultats - informe'!$E$16)*(C8408&lt;='Resultats - informe'!$G$16),1,0)</f>
        <v>1</v>
      </c>
      <c r="M8408" s="369" cm="1">
        <f t="array" ref="M8408">+_xlfn.IFS((C8408&gt;='Resultats - informe'!$D$26)*(C8408&lt;='Resultats - informe'!$E$26),0,(C8408&gt;='Resultats - informe'!$D$27)*(C8408&lt;='Resultats - informe'!$E$27),0,(C8408&gt;='Resultats - informe'!$D$28)*(C8408&lt;='Resultats - informe'!$E$28),0,(C8408&gt;='Resultats - informe'!$D$29)*(C8408&lt;='Resultats - informe'!$E$29),0,1,1)</f>
        <v>0</v>
      </c>
      <c r="N8408" s="366">
        <f>+VLOOKUP(D8408,'Resultats - informe'!$Y$18:$AG$42,'Introducció dades consum'!K8408+1,0)</f>
        <v>0</v>
      </c>
      <c r="O8408" s="370" cm="1">
        <f t="array" ref="O8408">+_xlfn.SWITCH(MONTH(C8408),1,1,2,1,3,1,4,2,5,2,6,3,7,3,8,3,9,3,10,2,11,2,12,1,2)</f>
        <v>1</v>
      </c>
      <c r="P8408" s="43"/>
    </row>
    <row r="8409" spans="1:16" ht="18" x14ac:dyDescent="0.35">
      <c r="A8409" s="9"/>
      <c r="C8409" s="393"/>
      <c r="E8409" s="394"/>
      <c r="F8409" s="394"/>
      <c r="G8409" s="394"/>
      <c r="I8409" s="368">
        <f t="shared" si="399"/>
        <v>0</v>
      </c>
      <c r="J8409" s="365">
        <f t="shared" si="400"/>
        <v>0</v>
      </c>
      <c r="K8409" s="369">
        <f t="shared" si="401"/>
        <v>6</v>
      </c>
      <c r="L8409" s="369">
        <f>+IF((C8409&gt;='Resultats - informe'!$E$16)*(C8409&lt;='Resultats - informe'!$G$16),1,0)</f>
        <v>1</v>
      </c>
      <c r="M8409" s="369" cm="1">
        <f t="array" ref="M8409">+_xlfn.IFS((C8409&gt;='Resultats - informe'!$D$26)*(C8409&lt;='Resultats - informe'!$E$26),0,(C8409&gt;='Resultats - informe'!$D$27)*(C8409&lt;='Resultats - informe'!$E$27),0,(C8409&gt;='Resultats - informe'!$D$28)*(C8409&lt;='Resultats - informe'!$E$28),0,(C8409&gt;='Resultats - informe'!$D$29)*(C8409&lt;='Resultats - informe'!$E$29),0,1,1)</f>
        <v>0</v>
      </c>
      <c r="N8409" s="366">
        <f>+VLOOKUP(D8409,'Resultats - informe'!$Y$18:$AG$42,'Introducció dades consum'!K8409+1,0)</f>
        <v>0</v>
      </c>
      <c r="O8409" s="370" cm="1">
        <f t="array" ref="O8409">+_xlfn.SWITCH(MONTH(C8409),1,1,2,1,3,1,4,2,5,2,6,3,7,3,8,3,9,3,10,2,11,2,12,1,2)</f>
        <v>1</v>
      </c>
      <c r="P8409" s="43"/>
    </row>
    <row r="8410" spans="1:16" ht="18" x14ac:dyDescent="0.35">
      <c r="A8410" s="9"/>
      <c r="C8410" s="393"/>
      <c r="E8410" s="394"/>
      <c r="F8410" s="394"/>
      <c r="G8410" s="394"/>
      <c r="I8410" s="368">
        <f t="shared" si="399"/>
        <v>0</v>
      </c>
      <c r="J8410" s="365">
        <f t="shared" si="400"/>
        <v>0</v>
      </c>
      <c r="K8410" s="369">
        <f t="shared" si="401"/>
        <v>6</v>
      </c>
      <c r="L8410" s="369">
        <f>+IF((C8410&gt;='Resultats - informe'!$E$16)*(C8410&lt;='Resultats - informe'!$G$16),1,0)</f>
        <v>1</v>
      </c>
      <c r="M8410" s="369" cm="1">
        <f t="array" ref="M8410">+_xlfn.IFS((C8410&gt;='Resultats - informe'!$D$26)*(C8410&lt;='Resultats - informe'!$E$26),0,(C8410&gt;='Resultats - informe'!$D$27)*(C8410&lt;='Resultats - informe'!$E$27),0,(C8410&gt;='Resultats - informe'!$D$28)*(C8410&lt;='Resultats - informe'!$E$28),0,(C8410&gt;='Resultats - informe'!$D$29)*(C8410&lt;='Resultats - informe'!$E$29),0,1,1)</f>
        <v>0</v>
      </c>
      <c r="N8410" s="366">
        <f>+VLOOKUP(D8410,'Resultats - informe'!$Y$18:$AG$42,'Introducció dades consum'!K8410+1,0)</f>
        <v>0</v>
      </c>
      <c r="O8410" s="370" cm="1">
        <f t="array" ref="O8410">+_xlfn.SWITCH(MONTH(C8410),1,1,2,1,3,1,4,2,5,2,6,3,7,3,8,3,9,3,10,2,11,2,12,1,2)</f>
        <v>1</v>
      </c>
      <c r="P8410" s="43"/>
    </row>
    <row r="8411" spans="1:16" ht="18" x14ac:dyDescent="0.35">
      <c r="A8411" s="9"/>
      <c r="C8411" s="393"/>
      <c r="E8411" s="394"/>
      <c r="F8411" s="394"/>
      <c r="G8411" s="394"/>
      <c r="I8411" s="368">
        <f t="shared" si="399"/>
        <v>0</v>
      </c>
      <c r="J8411" s="365">
        <f t="shared" si="400"/>
        <v>0</v>
      </c>
      <c r="K8411" s="369">
        <f t="shared" si="401"/>
        <v>6</v>
      </c>
      <c r="L8411" s="369">
        <f>+IF((C8411&gt;='Resultats - informe'!$E$16)*(C8411&lt;='Resultats - informe'!$G$16),1,0)</f>
        <v>1</v>
      </c>
      <c r="M8411" s="369" cm="1">
        <f t="array" ref="M8411">+_xlfn.IFS((C8411&gt;='Resultats - informe'!$D$26)*(C8411&lt;='Resultats - informe'!$E$26),0,(C8411&gt;='Resultats - informe'!$D$27)*(C8411&lt;='Resultats - informe'!$E$27),0,(C8411&gt;='Resultats - informe'!$D$28)*(C8411&lt;='Resultats - informe'!$E$28),0,(C8411&gt;='Resultats - informe'!$D$29)*(C8411&lt;='Resultats - informe'!$E$29),0,1,1)</f>
        <v>0</v>
      </c>
      <c r="N8411" s="366">
        <f>+VLOOKUP(D8411,'Resultats - informe'!$Y$18:$AG$42,'Introducció dades consum'!K8411+1,0)</f>
        <v>0</v>
      </c>
      <c r="O8411" s="370" cm="1">
        <f t="array" ref="O8411">+_xlfn.SWITCH(MONTH(C8411),1,1,2,1,3,1,4,2,5,2,6,3,7,3,8,3,9,3,10,2,11,2,12,1,2)</f>
        <v>1</v>
      </c>
      <c r="P8411" s="43"/>
    </row>
    <row r="8412" spans="1:16" ht="18" x14ac:dyDescent="0.35">
      <c r="A8412" s="9"/>
      <c r="C8412" s="393"/>
      <c r="E8412" s="394"/>
      <c r="F8412" s="394"/>
      <c r="G8412" s="394"/>
      <c r="I8412" s="368">
        <f t="shared" si="399"/>
        <v>0</v>
      </c>
      <c r="J8412" s="365">
        <f t="shared" si="400"/>
        <v>0</v>
      </c>
      <c r="K8412" s="369">
        <f t="shared" si="401"/>
        <v>6</v>
      </c>
      <c r="L8412" s="369">
        <f>+IF((C8412&gt;='Resultats - informe'!$E$16)*(C8412&lt;='Resultats - informe'!$G$16),1,0)</f>
        <v>1</v>
      </c>
      <c r="M8412" s="369" cm="1">
        <f t="array" ref="M8412">+_xlfn.IFS((C8412&gt;='Resultats - informe'!$D$26)*(C8412&lt;='Resultats - informe'!$E$26),0,(C8412&gt;='Resultats - informe'!$D$27)*(C8412&lt;='Resultats - informe'!$E$27),0,(C8412&gt;='Resultats - informe'!$D$28)*(C8412&lt;='Resultats - informe'!$E$28),0,(C8412&gt;='Resultats - informe'!$D$29)*(C8412&lt;='Resultats - informe'!$E$29),0,1,1)</f>
        <v>0</v>
      </c>
      <c r="N8412" s="366">
        <f>+VLOOKUP(D8412,'Resultats - informe'!$Y$18:$AG$42,'Introducció dades consum'!K8412+1,0)</f>
        <v>0</v>
      </c>
      <c r="O8412" s="370" cm="1">
        <f t="array" ref="O8412">+_xlfn.SWITCH(MONTH(C8412),1,1,2,1,3,1,4,2,5,2,6,3,7,3,8,3,9,3,10,2,11,2,12,1,2)</f>
        <v>1</v>
      </c>
      <c r="P8412" s="43"/>
    </row>
    <row r="8413" spans="1:16" ht="18" x14ac:dyDescent="0.35">
      <c r="A8413" s="9"/>
      <c r="C8413" s="393"/>
      <c r="E8413" s="394"/>
      <c r="F8413" s="394"/>
      <c r="G8413" s="394"/>
      <c r="I8413" s="368">
        <f t="shared" si="399"/>
        <v>0</v>
      </c>
      <c r="J8413" s="365">
        <f t="shared" si="400"/>
        <v>0</v>
      </c>
      <c r="K8413" s="369">
        <f t="shared" si="401"/>
        <v>6</v>
      </c>
      <c r="L8413" s="369">
        <f>+IF((C8413&gt;='Resultats - informe'!$E$16)*(C8413&lt;='Resultats - informe'!$G$16),1,0)</f>
        <v>1</v>
      </c>
      <c r="M8413" s="369" cm="1">
        <f t="array" ref="M8413">+_xlfn.IFS((C8413&gt;='Resultats - informe'!$D$26)*(C8413&lt;='Resultats - informe'!$E$26),0,(C8413&gt;='Resultats - informe'!$D$27)*(C8413&lt;='Resultats - informe'!$E$27),0,(C8413&gt;='Resultats - informe'!$D$28)*(C8413&lt;='Resultats - informe'!$E$28),0,(C8413&gt;='Resultats - informe'!$D$29)*(C8413&lt;='Resultats - informe'!$E$29),0,1,1)</f>
        <v>0</v>
      </c>
      <c r="N8413" s="366">
        <f>+VLOOKUP(D8413,'Resultats - informe'!$Y$18:$AG$42,'Introducció dades consum'!K8413+1,0)</f>
        <v>0</v>
      </c>
      <c r="O8413" s="370" cm="1">
        <f t="array" ref="O8413">+_xlfn.SWITCH(MONTH(C8413),1,1,2,1,3,1,4,2,5,2,6,3,7,3,8,3,9,3,10,2,11,2,12,1,2)</f>
        <v>1</v>
      </c>
      <c r="P8413" s="43"/>
    </row>
    <row r="8414" spans="1:16" ht="18" x14ac:dyDescent="0.35">
      <c r="A8414" s="9"/>
      <c r="C8414" s="393"/>
      <c r="E8414" s="394"/>
      <c r="F8414" s="394"/>
      <c r="G8414" s="394"/>
      <c r="I8414" s="368">
        <f t="shared" si="399"/>
        <v>0</v>
      </c>
      <c r="J8414" s="365">
        <f t="shared" si="400"/>
        <v>0</v>
      </c>
      <c r="K8414" s="369">
        <f t="shared" si="401"/>
        <v>6</v>
      </c>
      <c r="L8414" s="369">
        <f>+IF((C8414&gt;='Resultats - informe'!$E$16)*(C8414&lt;='Resultats - informe'!$G$16),1,0)</f>
        <v>1</v>
      </c>
      <c r="M8414" s="369" cm="1">
        <f t="array" ref="M8414">+_xlfn.IFS((C8414&gt;='Resultats - informe'!$D$26)*(C8414&lt;='Resultats - informe'!$E$26),0,(C8414&gt;='Resultats - informe'!$D$27)*(C8414&lt;='Resultats - informe'!$E$27),0,(C8414&gt;='Resultats - informe'!$D$28)*(C8414&lt;='Resultats - informe'!$E$28),0,(C8414&gt;='Resultats - informe'!$D$29)*(C8414&lt;='Resultats - informe'!$E$29),0,1,1)</f>
        <v>0</v>
      </c>
      <c r="N8414" s="366">
        <f>+VLOOKUP(D8414,'Resultats - informe'!$Y$18:$AG$42,'Introducció dades consum'!K8414+1,0)</f>
        <v>0</v>
      </c>
      <c r="O8414" s="370" cm="1">
        <f t="array" ref="O8414">+_xlfn.SWITCH(MONTH(C8414),1,1,2,1,3,1,4,2,5,2,6,3,7,3,8,3,9,3,10,2,11,2,12,1,2)</f>
        <v>1</v>
      </c>
      <c r="P8414" s="43"/>
    </row>
    <row r="8415" spans="1:16" ht="18" x14ac:dyDescent="0.35">
      <c r="A8415" s="9"/>
      <c r="C8415" s="393"/>
      <c r="E8415" s="394"/>
      <c r="F8415" s="394"/>
      <c r="G8415" s="394"/>
      <c r="I8415" s="368">
        <f t="shared" si="399"/>
        <v>0</v>
      </c>
      <c r="J8415" s="365">
        <f t="shared" si="400"/>
        <v>0</v>
      </c>
      <c r="K8415" s="369">
        <f t="shared" si="401"/>
        <v>6</v>
      </c>
      <c r="L8415" s="369">
        <f>+IF((C8415&gt;='Resultats - informe'!$E$16)*(C8415&lt;='Resultats - informe'!$G$16),1,0)</f>
        <v>1</v>
      </c>
      <c r="M8415" s="369" cm="1">
        <f t="array" ref="M8415">+_xlfn.IFS((C8415&gt;='Resultats - informe'!$D$26)*(C8415&lt;='Resultats - informe'!$E$26),0,(C8415&gt;='Resultats - informe'!$D$27)*(C8415&lt;='Resultats - informe'!$E$27),0,(C8415&gt;='Resultats - informe'!$D$28)*(C8415&lt;='Resultats - informe'!$E$28),0,(C8415&gt;='Resultats - informe'!$D$29)*(C8415&lt;='Resultats - informe'!$E$29),0,1,1)</f>
        <v>0</v>
      </c>
      <c r="N8415" s="366">
        <f>+VLOOKUP(D8415,'Resultats - informe'!$Y$18:$AG$42,'Introducció dades consum'!K8415+1,0)</f>
        <v>0</v>
      </c>
      <c r="O8415" s="370" cm="1">
        <f t="array" ref="O8415">+_xlfn.SWITCH(MONTH(C8415),1,1,2,1,3,1,4,2,5,2,6,3,7,3,8,3,9,3,10,2,11,2,12,1,2)</f>
        <v>1</v>
      </c>
      <c r="P8415" s="43"/>
    </row>
    <row r="8416" spans="1:16" ht="18" x14ac:dyDescent="0.35">
      <c r="A8416" s="9"/>
      <c r="C8416" s="393"/>
      <c r="E8416" s="394"/>
      <c r="F8416" s="394"/>
      <c r="G8416" s="394"/>
      <c r="I8416" s="368">
        <f t="shared" si="399"/>
        <v>0</v>
      </c>
      <c r="J8416" s="365">
        <f t="shared" si="400"/>
        <v>0</v>
      </c>
      <c r="K8416" s="369">
        <f t="shared" si="401"/>
        <v>6</v>
      </c>
      <c r="L8416" s="369">
        <f>+IF((C8416&gt;='Resultats - informe'!$E$16)*(C8416&lt;='Resultats - informe'!$G$16),1,0)</f>
        <v>1</v>
      </c>
      <c r="M8416" s="369" cm="1">
        <f t="array" ref="M8416">+_xlfn.IFS((C8416&gt;='Resultats - informe'!$D$26)*(C8416&lt;='Resultats - informe'!$E$26),0,(C8416&gt;='Resultats - informe'!$D$27)*(C8416&lt;='Resultats - informe'!$E$27),0,(C8416&gt;='Resultats - informe'!$D$28)*(C8416&lt;='Resultats - informe'!$E$28),0,(C8416&gt;='Resultats - informe'!$D$29)*(C8416&lt;='Resultats - informe'!$E$29),0,1,1)</f>
        <v>0</v>
      </c>
      <c r="N8416" s="366">
        <f>+VLOOKUP(D8416,'Resultats - informe'!$Y$18:$AG$42,'Introducció dades consum'!K8416+1,0)</f>
        <v>0</v>
      </c>
      <c r="O8416" s="370" cm="1">
        <f t="array" ref="O8416">+_xlfn.SWITCH(MONTH(C8416),1,1,2,1,3,1,4,2,5,2,6,3,7,3,8,3,9,3,10,2,11,2,12,1,2)</f>
        <v>1</v>
      </c>
      <c r="P8416" s="43"/>
    </row>
    <row r="8417" spans="1:16" ht="18" x14ac:dyDescent="0.35">
      <c r="A8417" s="9"/>
      <c r="C8417" s="393"/>
      <c r="E8417" s="394"/>
      <c r="F8417" s="394"/>
      <c r="G8417" s="394"/>
      <c r="I8417" s="368">
        <f t="shared" si="399"/>
        <v>0</v>
      </c>
      <c r="J8417" s="365">
        <f t="shared" si="400"/>
        <v>0</v>
      </c>
      <c r="K8417" s="369">
        <f t="shared" si="401"/>
        <v>6</v>
      </c>
      <c r="L8417" s="369">
        <f>+IF((C8417&gt;='Resultats - informe'!$E$16)*(C8417&lt;='Resultats - informe'!$G$16),1,0)</f>
        <v>1</v>
      </c>
      <c r="M8417" s="369" cm="1">
        <f t="array" ref="M8417">+_xlfn.IFS((C8417&gt;='Resultats - informe'!$D$26)*(C8417&lt;='Resultats - informe'!$E$26),0,(C8417&gt;='Resultats - informe'!$D$27)*(C8417&lt;='Resultats - informe'!$E$27),0,(C8417&gt;='Resultats - informe'!$D$28)*(C8417&lt;='Resultats - informe'!$E$28),0,(C8417&gt;='Resultats - informe'!$D$29)*(C8417&lt;='Resultats - informe'!$E$29),0,1,1)</f>
        <v>0</v>
      </c>
      <c r="N8417" s="366">
        <f>+VLOOKUP(D8417,'Resultats - informe'!$Y$18:$AG$42,'Introducció dades consum'!K8417+1,0)</f>
        <v>0</v>
      </c>
      <c r="O8417" s="370" cm="1">
        <f t="array" ref="O8417">+_xlfn.SWITCH(MONTH(C8417),1,1,2,1,3,1,4,2,5,2,6,3,7,3,8,3,9,3,10,2,11,2,12,1,2)</f>
        <v>1</v>
      </c>
      <c r="P8417" s="43"/>
    </row>
    <row r="8418" spans="1:16" ht="18" x14ac:dyDescent="0.35">
      <c r="A8418" s="9"/>
      <c r="C8418" s="393"/>
      <c r="E8418" s="394"/>
      <c r="F8418" s="394"/>
      <c r="G8418" s="394"/>
      <c r="I8418" s="368">
        <f t="shared" si="399"/>
        <v>0</v>
      </c>
      <c r="J8418" s="365">
        <f t="shared" si="400"/>
        <v>0</v>
      </c>
      <c r="K8418" s="369">
        <f t="shared" si="401"/>
        <v>6</v>
      </c>
      <c r="L8418" s="369">
        <f>+IF((C8418&gt;='Resultats - informe'!$E$16)*(C8418&lt;='Resultats - informe'!$G$16),1,0)</f>
        <v>1</v>
      </c>
      <c r="M8418" s="369" cm="1">
        <f t="array" ref="M8418">+_xlfn.IFS((C8418&gt;='Resultats - informe'!$D$26)*(C8418&lt;='Resultats - informe'!$E$26),0,(C8418&gt;='Resultats - informe'!$D$27)*(C8418&lt;='Resultats - informe'!$E$27),0,(C8418&gt;='Resultats - informe'!$D$28)*(C8418&lt;='Resultats - informe'!$E$28),0,(C8418&gt;='Resultats - informe'!$D$29)*(C8418&lt;='Resultats - informe'!$E$29),0,1,1)</f>
        <v>0</v>
      </c>
      <c r="N8418" s="366">
        <f>+VLOOKUP(D8418,'Resultats - informe'!$Y$18:$AG$42,'Introducció dades consum'!K8418+1,0)</f>
        <v>0</v>
      </c>
      <c r="O8418" s="370" cm="1">
        <f t="array" ref="O8418">+_xlfn.SWITCH(MONTH(C8418),1,1,2,1,3,1,4,2,5,2,6,3,7,3,8,3,9,3,10,2,11,2,12,1,2)</f>
        <v>1</v>
      </c>
      <c r="P8418" s="43"/>
    </row>
    <row r="8419" spans="1:16" ht="18" x14ac:dyDescent="0.35">
      <c r="A8419" s="9"/>
      <c r="C8419" s="393"/>
      <c r="E8419" s="394"/>
      <c r="F8419" s="394"/>
      <c r="G8419" s="394"/>
      <c r="I8419" s="368">
        <f t="shared" si="399"/>
        <v>0</v>
      </c>
      <c r="J8419" s="365">
        <f t="shared" si="400"/>
        <v>0</v>
      </c>
      <c r="K8419" s="369">
        <f t="shared" si="401"/>
        <v>6</v>
      </c>
      <c r="L8419" s="369">
        <f>+IF((C8419&gt;='Resultats - informe'!$E$16)*(C8419&lt;='Resultats - informe'!$G$16),1,0)</f>
        <v>1</v>
      </c>
      <c r="M8419" s="369" cm="1">
        <f t="array" ref="M8419">+_xlfn.IFS((C8419&gt;='Resultats - informe'!$D$26)*(C8419&lt;='Resultats - informe'!$E$26),0,(C8419&gt;='Resultats - informe'!$D$27)*(C8419&lt;='Resultats - informe'!$E$27),0,(C8419&gt;='Resultats - informe'!$D$28)*(C8419&lt;='Resultats - informe'!$E$28),0,(C8419&gt;='Resultats - informe'!$D$29)*(C8419&lt;='Resultats - informe'!$E$29),0,1,1)</f>
        <v>0</v>
      </c>
      <c r="N8419" s="366">
        <f>+VLOOKUP(D8419,'Resultats - informe'!$Y$18:$AG$42,'Introducció dades consum'!K8419+1,0)</f>
        <v>0</v>
      </c>
      <c r="O8419" s="370" cm="1">
        <f t="array" ref="O8419">+_xlfn.SWITCH(MONTH(C8419),1,1,2,1,3,1,4,2,5,2,6,3,7,3,8,3,9,3,10,2,11,2,12,1,2)</f>
        <v>1</v>
      </c>
      <c r="P8419" s="43"/>
    </row>
    <row r="8420" spans="1:16" ht="18" x14ac:dyDescent="0.35">
      <c r="A8420" s="9"/>
      <c r="C8420" s="393"/>
      <c r="E8420" s="394"/>
      <c r="F8420" s="394"/>
      <c r="G8420" s="394"/>
      <c r="I8420" s="368">
        <f t="shared" si="399"/>
        <v>0</v>
      </c>
      <c r="J8420" s="365">
        <f t="shared" si="400"/>
        <v>0</v>
      </c>
      <c r="K8420" s="369">
        <f t="shared" si="401"/>
        <v>6</v>
      </c>
      <c r="L8420" s="369">
        <f>+IF((C8420&gt;='Resultats - informe'!$E$16)*(C8420&lt;='Resultats - informe'!$G$16),1,0)</f>
        <v>1</v>
      </c>
      <c r="M8420" s="369" cm="1">
        <f t="array" ref="M8420">+_xlfn.IFS((C8420&gt;='Resultats - informe'!$D$26)*(C8420&lt;='Resultats - informe'!$E$26),0,(C8420&gt;='Resultats - informe'!$D$27)*(C8420&lt;='Resultats - informe'!$E$27),0,(C8420&gt;='Resultats - informe'!$D$28)*(C8420&lt;='Resultats - informe'!$E$28),0,(C8420&gt;='Resultats - informe'!$D$29)*(C8420&lt;='Resultats - informe'!$E$29),0,1,1)</f>
        <v>0</v>
      </c>
      <c r="N8420" s="366">
        <f>+VLOOKUP(D8420,'Resultats - informe'!$Y$18:$AG$42,'Introducció dades consum'!K8420+1,0)</f>
        <v>0</v>
      </c>
      <c r="O8420" s="370" cm="1">
        <f t="array" ref="O8420">+_xlfn.SWITCH(MONTH(C8420),1,1,2,1,3,1,4,2,5,2,6,3,7,3,8,3,9,3,10,2,11,2,12,1,2)</f>
        <v>1</v>
      </c>
      <c r="P8420" s="43"/>
    </row>
    <row r="8421" spans="1:16" ht="18" x14ac:dyDescent="0.35">
      <c r="A8421" s="9"/>
      <c r="C8421" s="393"/>
      <c r="E8421" s="394"/>
      <c r="F8421" s="394"/>
      <c r="G8421" s="394"/>
      <c r="I8421" s="368">
        <f t="shared" si="399"/>
        <v>0</v>
      </c>
      <c r="J8421" s="365">
        <f t="shared" si="400"/>
        <v>0</v>
      </c>
      <c r="K8421" s="369">
        <f t="shared" si="401"/>
        <v>6</v>
      </c>
      <c r="L8421" s="369">
        <f>+IF((C8421&gt;='Resultats - informe'!$E$16)*(C8421&lt;='Resultats - informe'!$G$16),1,0)</f>
        <v>1</v>
      </c>
      <c r="M8421" s="369" cm="1">
        <f t="array" ref="M8421">+_xlfn.IFS((C8421&gt;='Resultats - informe'!$D$26)*(C8421&lt;='Resultats - informe'!$E$26),0,(C8421&gt;='Resultats - informe'!$D$27)*(C8421&lt;='Resultats - informe'!$E$27),0,(C8421&gt;='Resultats - informe'!$D$28)*(C8421&lt;='Resultats - informe'!$E$28),0,(C8421&gt;='Resultats - informe'!$D$29)*(C8421&lt;='Resultats - informe'!$E$29),0,1,1)</f>
        <v>0</v>
      </c>
      <c r="N8421" s="366">
        <f>+VLOOKUP(D8421,'Resultats - informe'!$Y$18:$AG$42,'Introducció dades consum'!K8421+1,0)</f>
        <v>0</v>
      </c>
      <c r="O8421" s="370" cm="1">
        <f t="array" ref="O8421">+_xlfn.SWITCH(MONTH(C8421),1,1,2,1,3,1,4,2,5,2,6,3,7,3,8,3,9,3,10,2,11,2,12,1,2)</f>
        <v>1</v>
      </c>
      <c r="P8421" s="43"/>
    </row>
    <row r="8422" spans="1:16" ht="18" x14ac:dyDescent="0.35">
      <c r="A8422" s="9"/>
      <c r="C8422" s="393"/>
      <c r="E8422" s="394"/>
      <c r="F8422" s="394"/>
      <c r="G8422" s="394"/>
      <c r="I8422" s="368">
        <f t="shared" si="399"/>
        <v>0</v>
      </c>
      <c r="J8422" s="365">
        <f t="shared" si="400"/>
        <v>0</v>
      </c>
      <c r="K8422" s="369">
        <f t="shared" si="401"/>
        <v>6</v>
      </c>
      <c r="L8422" s="369">
        <f>+IF((C8422&gt;='Resultats - informe'!$E$16)*(C8422&lt;='Resultats - informe'!$G$16),1,0)</f>
        <v>1</v>
      </c>
      <c r="M8422" s="369" cm="1">
        <f t="array" ref="M8422">+_xlfn.IFS((C8422&gt;='Resultats - informe'!$D$26)*(C8422&lt;='Resultats - informe'!$E$26),0,(C8422&gt;='Resultats - informe'!$D$27)*(C8422&lt;='Resultats - informe'!$E$27),0,(C8422&gt;='Resultats - informe'!$D$28)*(C8422&lt;='Resultats - informe'!$E$28),0,(C8422&gt;='Resultats - informe'!$D$29)*(C8422&lt;='Resultats - informe'!$E$29),0,1,1)</f>
        <v>0</v>
      </c>
      <c r="N8422" s="366">
        <f>+VLOOKUP(D8422,'Resultats - informe'!$Y$18:$AG$42,'Introducció dades consum'!K8422+1,0)</f>
        <v>0</v>
      </c>
      <c r="O8422" s="370" cm="1">
        <f t="array" ref="O8422">+_xlfn.SWITCH(MONTH(C8422),1,1,2,1,3,1,4,2,5,2,6,3,7,3,8,3,9,3,10,2,11,2,12,1,2)</f>
        <v>1</v>
      </c>
      <c r="P8422" s="43"/>
    </row>
    <row r="8423" spans="1:16" ht="18" x14ac:dyDescent="0.35">
      <c r="A8423" s="9"/>
      <c r="C8423" s="393"/>
      <c r="E8423" s="394"/>
      <c r="F8423" s="394"/>
      <c r="G8423" s="394"/>
      <c r="I8423" s="368">
        <f t="shared" si="399"/>
        <v>0</v>
      </c>
      <c r="J8423" s="365">
        <f t="shared" si="400"/>
        <v>0</v>
      </c>
      <c r="K8423" s="369">
        <f t="shared" si="401"/>
        <v>6</v>
      </c>
      <c r="L8423" s="369">
        <f>+IF((C8423&gt;='Resultats - informe'!$E$16)*(C8423&lt;='Resultats - informe'!$G$16),1,0)</f>
        <v>1</v>
      </c>
      <c r="M8423" s="369" cm="1">
        <f t="array" ref="M8423">+_xlfn.IFS((C8423&gt;='Resultats - informe'!$D$26)*(C8423&lt;='Resultats - informe'!$E$26),0,(C8423&gt;='Resultats - informe'!$D$27)*(C8423&lt;='Resultats - informe'!$E$27),0,(C8423&gt;='Resultats - informe'!$D$28)*(C8423&lt;='Resultats - informe'!$E$28),0,(C8423&gt;='Resultats - informe'!$D$29)*(C8423&lt;='Resultats - informe'!$E$29),0,1,1)</f>
        <v>0</v>
      </c>
      <c r="N8423" s="366">
        <f>+VLOOKUP(D8423,'Resultats - informe'!$Y$18:$AG$42,'Introducció dades consum'!K8423+1,0)</f>
        <v>0</v>
      </c>
      <c r="O8423" s="370" cm="1">
        <f t="array" ref="O8423">+_xlfn.SWITCH(MONTH(C8423),1,1,2,1,3,1,4,2,5,2,6,3,7,3,8,3,9,3,10,2,11,2,12,1,2)</f>
        <v>1</v>
      </c>
      <c r="P8423" s="43"/>
    </row>
    <row r="8424" spans="1:16" ht="18" x14ac:dyDescent="0.35">
      <c r="A8424" s="9"/>
      <c r="C8424" s="393"/>
      <c r="E8424" s="394"/>
      <c r="F8424" s="394"/>
      <c r="G8424" s="394"/>
      <c r="I8424" s="368">
        <f t="shared" si="399"/>
        <v>0</v>
      </c>
      <c r="J8424" s="365">
        <f t="shared" si="400"/>
        <v>0</v>
      </c>
      <c r="K8424" s="369">
        <f t="shared" si="401"/>
        <v>6</v>
      </c>
      <c r="L8424" s="369">
        <f>+IF((C8424&gt;='Resultats - informe'!$E$16)*(C8424&lt;='Resultats - informe'!$G$16),1,0)</f>
        <v>1</v>
      </c>
      <c r="M8424" s="369" cm="1">
        <f t="array" ref="M8424">+_xlfn.IFS((C8424&gt;='Resultats - informe'!$D$26)*(C8424&lt;='Resultats - informe'!$E$26),0,(C8424&gt;='Resultats - informe'!$D$27)*(C8424&lt;='Resultats - informe'!$E$27),0,(C8424&gt;='Resultats - informe'!$D$28)*(C8424&lt;='Resultats - informe'!$E$28),0,(C8424&gt;='Resultats - informe'!$D$29)*(C8424&lt;='Resultats - informe'!$E$29),0,1,1)</f>
        <v>0</v>
      </c>
      <c r="N8424" s="366">
        <f>+VLOOKUP(D8424,'Resultats - informe'!$Y$18:$AG$42,'Introducció dades consum'!K8424+1,0)</f>
        <v>0</v>
      </c>
      <c r="O8424" s="370" cm="1">
        <f t="array" ref="O8424">+_xlfn.SWITCH(MONTH(C8424),1,1,2,1,3,1,4,2,5,2,6,3,7,3,8,3,9,3,10,2,11,2,12,1,2)</f>
        <v>1</v>
      </c>
      <c r="P8424" s="43"/>
    </row>
    <row r="8425" spans="1:16" ht="18" x14ac:dyDescent="0.35">
      <c r="A8425" s="9"/>
      <c r="C8425" s="393"/>
      <c r="E8425" s="394"/>
      <c r="F8425" s="394"/>
      <c r="G8425" s="394"/>
      <c r="I8425" s="368">
        <f t="shared" si="399"/>
        <v>0</v>
      </c>
      <c r="J8425" s="365">
        <f t="shared" si="400"/>
        <v>0</v>
      </c>
      <c r="K8425" s="369">
        <f t="shared" si="401"/>
        <v>6</v>
      </c>
      <c r="L8425" s="369">
        <f>+IF((C8425&gt;='Resultats - informe'!$E$16)*(C8425&lt;='Resultats - informe'!$G$16),1,0)</f>
        <v>1</v>
      </c>
      <c r="M8425" s="369" cm="1">
        <f t="array" ref="M8425">+_xlfn.IFS((C8425&gt;='Resultats - informe'!$D$26)*(C8425&lt;='Resultats - informe'!$E$26),0,(C8425&gt;='Resultats - informe'!$D$27)*(C8425&lt;='Resultats - informe'!$E$27),0,(C8425&gt;='Resultats - informe'!$D$28)*(C8425&lt;='Resultats - informe'!$E$28),0,(C8425&gt;='Resultats - informe'!$D$29)*(C8425&lt;='Resultats - informe'!$E$29),0,1,1)</f>
        <v>0</v>
      </c>
      <c r="N8425" s="366">
        <f>+VLOOKUP(D8425,'Resultats - informe'!$Y$18:$AG$42,'Introducció dades consum'!K8425+1,0)</f>
        <v>0</v>
      </c>
      <c r="O8425" s="370" cm="1">
        <f t="array" ref="O8425">+_xlfn.SWITCH(MONTH(C8425),1,1,2,1,3,1,4,2,5,2,6,3,7,3,8,3,9,3,10,2,11,2,12,1,2)</f>
        <v>1</v>
      </c>
      <c r="P8425" s="43"/>
    </row>
    <row r="8426" spans="1:16" ht="18" x14ac:dyDescent="0.35">
      <c r="A8426" s="9"/>
      <c r="C8426" s="393"/>
      <c r="E8426" s="394"/>
      <c r="F8426" s="394"/>
      <c r="G8426" s="394"/>
      <c r="I8426" s="368">
        <f t="shared" si="399"/>
        <v>0</v>
      </c>
      <c r="J8426" s="365">
        <f t="shared" si="400"/>
        <v>0</v>
      </c>
      <c r="K8426" s="369">
        <f t="shared" si="401"/>
        <v>6</v>
      </c>
      <c r="L8426" s="369">
        <f>+IF((C8426&gt;='Resultats - informe'!$E$16)*(C8426&lt;='Resultats - informe'!$G$16),1,0)</f>
        <v>1</v>
      </c>
      <c r="M8426" s="369" cm="1">
        <f t="array" ref="M8426">+_xlfn.IFS((C8426&gt;='Resultats - informe'!$D$26)*(C8426&lt;='Resultats - informe'!$E$26),0,(C8426&gt;='Resultats - informe'!$D$27)*(C8426&lt;='Resultats - informe'!$E$27),0,(C8426&gt;='Resultats - informe'!$D$28)*(C8426&lt;='Resultats - informe'!$E$28),0,(C8426&gt;='Resultats - informe'!$D$29)*(C8426&lt;='Resultats - informe'!$E$29),0,1,1)</f>
        <v>0</v>
      </c>
      <c r="N8426" s="366">
        <f>+VLOOKUP(D8426,'Resultats - informe'!$Y$18:$AG$42,'Introducció dades consum'!K8426+1,0)</f>
        <v>0</v>
      </c>
      <c r="O8426" s="370" cm="1">
        <f t="array" ref="O8426">+_xlfn.SWITCH(MONTH(C8426),1,1,2,1,3,1,4,2,5,2,6,3,7,3,8,3,9,3,10,2,11,2,12,1,2)</f>
        <v>1</v>
      </c>
      <c r="P8426" s="43"/>
    </row>
    <row r="8427" spans="1:16" ht="18" x14ac:dyDescent="0.35">
      <c r="A8427" s="9"/>
      <c r="C8427" s="393"/>
      <c r="E8427" s="394"/>
      <c r="F8427" s="394"/>
      <c r="G8427" s="394"/>
      <c r="I8427" s="368">
        <f t="shared" si="399"/>
        <v>0</v>
      </c>
      <c r="J8427" s="365">
        <f t="shared" si="400"/>
        <v>0</v>
      </c>
      <c r="K8427" s="369">
        <f t="shared" si="401"/>
        <v>6</v>
      </c>
      <c r="L8427" s="369">
        <f>+IF((C8427&gt;='Resultats - informe'!$E$16)*(C8427&lt;='Resultats - informe'!$G$16),1,0)</f>
        <v>1</v>
      </c>
      <c r="M8427" s="369" cm="1">
        <f t="array" ref="M8427">+_xlfn.IFS((C8427&gt;='Resultats - informe'!$D$26)*(C8427&lt;='Resultats - informe'!$E$26),0,(C8427&gt;='Resultats - informe'!$D$27)*(C8427&lt;='Resultats - informe'!$E$27),0,(C8427&gt;='Resultats - informe'!$D$28)*(C8427&lt;='Resultats - informe'!$E$28),0,(C8427&gt;='Resultats - informe'!$D$29)*(C8427&lt;='Resultats - informe'!$E$29),0,1,1)</f>
        <v>0</v>
      </c>
      <c r="N8427" s="366">
        <f>+VLOOKUP(D8427,'Resultats - informe'!$Y$18:$AG$42,'Introducció dades consum'!K8427+1,0)</f>
        <v>0</v>
      </c>
      <c r="O8427" s="370" cm="1">
        <f t="array" ref="O8427">+_xlfn.SWITCH(MONTH(C8427),1,1,2,1,3,1,4,2,5,2,6,3,7,3,8,3,9,3,10,2,11,2,12,1,2)</f>
        <v>1</v>
      </c>
      <c r="P8427" s="43"/>
    </row>
    <row r="8428" spans="1:16" ht="18" x14ac:dyDescent="0.35">
      <c r="A8428" s="9"/>
      <c r="C8428" s="393"/>
      <c r="E8428" s="394"/>
      <c r="F8428" s="394"/>
      <c r="G8428" s="394"/>
      <c r="I8428" s="368">
        <f t="shared" si="399"/>
        <v>0</v>
      </c>
      <c r="J8428" s="365">
        <f t="shared" si="400"/>
        <v>0</v>
      </c>
      <c r="K8428" s="369">
        <f t="shared" si="401"/>
        <v>6</v>
      </c>
      <c r="L8428" s="369">
        <f>+IF((C8428&gt;='Resultats - informe'!$E$16)*(C8428&lt;='Resultats - informe'!$G$16),1,0)</f>
        <v>1</v>
      </c>
      <c r="M8428" s="369" cm="1">
        <f t="array" ref="M8428">+_xlfn.IFS((C8428&gt;='Resultats - informe'!$D$26)*(C8428&lt;='Resultats - informe'!$E$26),0,(C8428&gt;='Resultats - informe'!$D$27)*(C8428&lt;='Resultats - informe'!$E$27),0,(C8428&gt;='Resultats - informe'!$D$28)*(C8428&lt;='Resultats - informe'!$E$28),0,(C8428&gt;='Resultats - informe'!$D$29)*(C8428&lt;='Resultats - informe'!$E$29),0,1,1)</f>
        <v>0</v>
      </c>
      <c r="N8428" s="366">
        <f>+VLOOKUP(D8428,'Resultats - informe'!$Y$18:$AG$42,'Introducció dades consum'!K8428+1,0)</f>
        <v>0</v>
      </c>
      <c r="O8428" s="370" cm="1">
        <f t="array" ref="O8428">+_xlfn.SWITCH(MONTH(C8428),1,1,2,1,3,1,4,2,5,2,6,3,7,3,8,3,9,3,10,2,11,2,12,1,2)</f>
        <v>1</v>
      </c>
      <c r="P8428" s="43"/>
    </row>
    <row r="8429" spans="1:16" ht="18" x14ac:dyDescent="0.35">
      <c r="A8429" s="9"/>
      <c r="C8429" s="393"/>
      <c r="E8429" s="394"/>
      <c r="F8429" s="394"/>
      <c r="G8429" s="394"/>
      <c r="I8429" s="368">
        <f t="shared" si="399"/>
        <v>0</v>
      </c>
      <c r="J8429" s="365">
        <f t="shared" si="400"/>
        <v>0</v>
      </c>
      <c r="K8429" s="369">
        <f t="shared" si="401"/>
        <v>6</v>
      </c>
      <c r="L8429" s="369">
        <f>+IF((C8429&gt;='Resultats - informe'!$E$16)*(C8429&lt;='Resultats - informe'!$G$16),1,0)</f>
        <v>1</v>
      </c>
      <c r="M8429" s="369" cm="1">
        <f t="array" ref="M8429">+_xlfn.IFS((C8429&gt;='Resultats - informe'!$D$26)*(C8429&lt;='Resultats - informe'!$E$26),0,(C8429&gt;='Resultats - informe'!$D$27)*(C8429&lt;='Resultats - informe'!$E$27),0,(C8429&gt;='Resultats - informe'!$D$28)*(C8429&lt;='Resultats - informe'!$E$28),0,(C8429&gt;='Resultats - informe'!$D$29)*(C8429&lt;='Resultats - informe'!$E$29),0,1,1)</f>
        <v>0</v>
      </c>
      <c r="N8429" s="366">
        <f>+VLOOKUP(D8429,'Resultats - informe'!$Y$18:$AG$42,'Introducció dades consum'!K8429+1,0)</f>
        <v>0</v>
      </c>
      <c r="O8429" s="370" cm="1">
        <f t="array" ref="O8429">+_xlfn.SWITCH(MONTH(C8429),1,1,2,1,3,1,4,2,5,2,6,3,7,3,8,3,9,3,10,2,11,2,12,1,2)</f>
        <v>1</v>
      </c>
      <c r="P8429" s="43"/>
    </row>
    <row r="8430" spans="1:16" ht="18" x14ac:dyDescent="0.35">
      <c r="A8430" s="9"/>
      <c r="C8430" s="393"/>
      <c r="E8430" s="394"/>
      <c r="F8430" s="394"/>
      <c r="G8430" s="394"/>
      <c r="I8430" s="368">
        <f t="shared" si="399"/>
        <v>0</v>
      </c>
      <c r="J8430" s="365">
        <f t="shared" si="400"/>
        <v>0</v>
      </c>
      <c r="K8430" s="369">
        <f t="shared" si="401"/>
        <v>6</v>
      </c>
      <c r="L8430" s="369">
        <f>+IF((C8430&gt;='Resultats - informe'!$E$16)*(C8430&lt;='Resultats - informe'!$G$16),1,0)</f>
        <v>1</v>
      </c>
      <c r="M8430" s="369" cm="1">
        <f t="array" ref="M8430">+_xlfn.IFS((C8430&gt;='Resultats - informe'!$D$26)*(C8430&lt;='Resultats - informe'!$E$26),0,(C8430&gt;='Resultats - informe'!$D$27)*(C8430&lt;='Resultats - informe'!$E$27),0,(C8430&gt;='Resultats - informe'!$D$28)*(C8430&lt;='Resultats - informe'!$E$28),0,(C8430&gt;='Resultats - informe'!$D$29)*(C8430&lt;='Resultats - informe'!$E$29),0,1,1)</f>
        <v>0</v>
      </c>
      <c r="N8430" s="366">
        <f>+VLOOKUP(D8430,'Resultats - informe'!$Y$18:$AG$42,'Introducció dades consum'!K8430+1,0)</f>
        <v>0</v>
      </c>
      <c r="O8430" s="370" cm="1">
        <f t="array" ref="O8430">+_xlfn.SWITCH(MONTH(C8430),1,1,2,1,3,1,4,2,5,2,6,3,7,3,8,3,9,3,10,2,11,2,12,1,2)</f>
        <v>1</v>
      </c>
      <c r="P8430" s="43"/>
    </row>
    <row r="8431" spans="1:16" ht="18" x14ac:dyDescent="0.35">
      <c r="A8431" s="9"/>
      <c r="C8431" s="393"/>
      <c r="E8431" s="394"/>
      <c r="F8431" s="394"/>
      <c r="G8431" s="394"/>
      <c r="I8431" s="368">
        <f t="shared" si="399"/>
        <v>0</v>
      </c>
      <c r="J8431" s="365">
        <f t="shared" si="400"/>
        <v>0</v>
      </c>
      <c r="K8431" s="369">
        <f t="shared" si="401"/>
        <v>6</v>
      </c>
      <c r="L8431" s="369">
        <f>+IF((C8431&gt;='Resultats - informe'!$E$16)*(C8431&lt;='Resultats - informe'!$G$16),1,0)</f>
        <v>1</v>
      </c>
      <c r="M8431" s="369" cm="1">
        <f t="array" ref="M8431">+_xlfn.IFS((C8431&gt;='Resultats - informe'!$D$26)*(C8431&lt;='Resultats - informe'!$E$26),0,(C8431&gt;='Resultats - informe'!$D$27)*(C8431&lt;='Resultats - informe'!$E$27),0,(C8431&gt;='Resultats - informe'!$D$28)*(C8431&lt;='Resultats - informe'!$E$28),0,(C8431&gt;='Resultats - informe'!$D$29)*(C8431&lt;='Resultats - informe'!$E$29),0,1,1)</f>
        <v>0</v>
      </c>
      <c r="N8431" s="366">
        <f>+VLOOKUP(D8431,'Resultats - informe'!$Y$18:$AG$42,'Introducció dades consum'!K8431+1,0)</f>
        <v>0</v>
      </c>
      <c r="O8431" s="370" cm="1">
        <f t="array" ref="O8431">+_xlfn.SWITCH(MONTH(C8431),1,1,2,1,3,1,4,2,5,2,6,3,7,3,8,3,9,3,10,2,11,2,12,1,2)</f>
        <v>1</v>
      </c>
      <c r="P8431" s="43"/>
    </row>
    <row r="8432" spans="1:16" ht="18" x14ac:dyDescent="0.35">
      <c r="A8432" s="9"/>
      <c r="C8432" s="393"/>
      <c r="E8432" s="394"/>
      <c r="F8432" s="394"/>
      <c r="G8432" s="394"/>
      <c r="I8432" s="368">
        <f t="shared" si="399"/>
        <v>0</v>
      </c>
      <c r="J8432" s="365">
        <f t="shared" si="400"/>
        <v>0</v>
      </c>
      <c r="K8432" s="369">
        <f t="shared" si="401"/>
        <v>6</v>
      </c>
      <c r="L8432" s="369">
        <f>+IF((C8432&gt;='Resultats - informe'!$E$16)*(C8432&lt;='Resultats - informe'!$G$16),1,0)</f>
        <v>1</v>
      </c>
      <c r="M8432" s="369" cm="1">
        <f t="array" ref="M8432">+_xlfn.IFS((C8432&gt;='Resultats - informe'!$D$26)*(C8432&lt;='Resultats - informe'!$E$26),0,(C8432&gt;='Resultats - informe'!$D$27)*(C8432&lt;='Resultats - informe'!$E$27),0,(C8432&gt;='Resultats - informe'!$D$28)*(C8432&lt;='Resultats - informe'!$E$28),0,(C8432&gt;='Resultats - informe'!$D$29)*(C8432&lt;='Resultats - informe'!$E$29),0,1,1)</f>
        <v>0</v>
      </c>
      <c r="N8432" s="366">
        <f>+VLOOKUP(D8432,'Resultats - informe'!$Y$18:$AG$42,'Introducció dades consum'!K8432+1,0)</f>
        <v>0</v>
      </c>
      <c r="O8432" s="370" cm="1">
        <f t="array" ref="O8432">+_xlfn.SWITCH(MONTH(C8432),1,1,2,1,3,1,4,2,5,2,6,3,7,3,8,3,9,3,10,2,11,2,12,1,2)</f>
        <v>1</v>
      </c>
      <c r="P8432" s="43"/>
    </row>
    <row r="8433" spans="1:16" ht="18" x14ac:dyDescent="0.35">
      <c r="A8433" s="9"/>
      <c r="C8433" s="393"/>
      <c r="E8433" s="394"/>
      <c r="F8433" s="394"/>
      <c r="G8433" s="394"/>
      <c r="I8433" s="368">
        <f t="shared" si="399"/>
        <v>0</v>
      </c>
      <c r="J8433" s="365">
        <f t="shared" si="400"/>
        <v>0</v>
      </c>
      <c r="K8433" s="369">
        <f t="shared" si="401"/>
        <v>6</v>
      </c>
      <c r="L8433" s="369">
        <f>+IF((C8433&gt;='Resultats - informe'!$E$16)*(C8433&lt;='Resultats - informe'!$G$16),1,0)</f>
        <v>1</v>
      </c>
      <c r="M8433" s="369" cm="1">
        <f t="array" ref="M8433">+_xlfn.IFS((C8433&gt;='Resultats - informe'!$D$26)*(C8433&lt;='Resultats - informe'!$E$26),0,(C8433&gt;='Resultats - informe'!$D$27)*(C8433&lt;='Resultats - informe'!$E$27),0,(C8433&gt;='Resultats - informe'!$D$28)*(C8433&lt;='Resultats - informe'!$E$28),0,(C8433&gt;='Resultats - informe'!$D$29)*(C8433&lt;='Resultats - informe'!$E$29),0,1,1)</f>
        <v>0</v>
      </c>
      <c r="N8433" s="366">
        <f>+VLOOKUP(D8433,'Resultats - informe'!$Y$18:$AG$42,'Introducció dades consum'!K8433+1,0)</f>
        <v>0</v>
      </c>
      <c r="O8433" s="370" cm="1">
        <f t="array" ref="O8433">+_xlfn.SWITCH(MONTH(C8433),1,1,2,1,3,1,4,2,5,2,6,3,7,3,8,3,9,3,10,2,11,2,12,1,2)</f>
        <v>1</v>
      </c>
      <c r="P8433" s="43"/>
    </row>
    <row r="8434" spans="1:16" ht="18" x14ac:dyDescent="0.35">
      <c r="A8434" s="9"/>
      <c r="C8434" s="393"/>
      <c r="E8434" s="394"/>
      <c r="F8434" s="394"/>
      <c r="G8434" s="394"/>
      <c r="I8434" s="368">
        <f t="shared" si="399"/>
        <v>0</v>
      </c>
      <c r="J8434" s="365">
        <f t="shared" si="400"/>
        <v>0</v>
      </c>
      <c r="K8434" s="369">
        <f t="shared" si="401"/>
        <v>6</v>
      </c>
      <c r="L8434" s="369">
        <f>+IF((C8434&gt;='Resultats - informe'!$E$16)*(C8434&lt;='Resultats - informe'!$G$16),1,0)</f>
        <v>1</v>
      </c>
      <c r="M8434" s="369" cm="1">
        <f t="array" ref="M8434">+_xlfn.IFS((C8434&gt;='Resultats - informe'!$D$26)*(C8434&lt;='Resultats - informe'!$E$26),0,(C8434&gt;='Resultats - informe'!$D$27)*(C8434&lt;='Resultats - informe'!$E$27),0,(C8434&gt;='Resultats - informe'!$D$28)*(C8434&lt;='Resultats - informe'!$E$28),0,(C8434&gt;='Resultats - informe'!$D$29)*(C8434&lt;='Resultats - informe'!$E$29),0,1,1)</f>
        <v>0</v>
      </c>
      <c r="N8434" s="366">
        <f>+VLOOKUP(D8434,'Resultats - informe'!$Y$18:$AG$42,'Introducció dades consum'!K8434+1,0)</f>
        <v>0</v>
      </c>
      <c r="O8434" s="370" cm="1">
        <f t="array" ref="O8434">+_xlfn.SWITCH(MONTH(C8434),1,1,2,1,3,1,4,2,5,2,6,3,7,3,8,3,9,3,10,2,11,2,12,1,2)</f>
        <v>1</v>
      </c>
      <c r="P8434" s="43"/>
    </row>
    <row r="8435" spans="1:16" ht="18" x14ac:dyDescent="0.35">
      <c r="A8435" s="9"/>
      <c r="C8435" s="393"/>
      <c r="E8435" s="394"/>
      <c r="F8435" s="394"/>
      <c r="G8435" s="394"/>
      <c r="I8435" s="368">
        <f t="shared" si="399"/>
        <v>0</v>
      </c>
      <c r="J8435" s="365">
        <f t="shared" si="400"/>
        <v>0</v>
      </c>
      <c r="K8435" s="369">
        <f t="shared" si="401"/>
        <v>6</v>
      </c>
      <c r="L8435" s="369">
        <f>+IF((C8435&gt;='Resultats - informe'!$E$16)*(C8435&lt;='Resultats - informe'!$G$16),1,0)</f>
        <v>1</v>
      </c>
      <c r="M8435" s="369" cm="1">
        <f t="array" ref="M8435">+_xlfn.IFS((C8435&gt;='Resultats - informe'!$D$26)*(C8435&lt;='Resultats - informe'!$E$26),0,(C8435&gt;='Resultats - informe'!$D$27)*(C8435&lt;='Resultats - informe'!$E$27),0,(C8435&gt;='Resultats - informe'!$D$28)*(C8435&lt;='Resultats - informe'!$E$28),0,(C8435&gt;='Resultats - informe'!$D$29)*(C8435&lt;='Resultats - informe'!$E$29),0,1,1)</f>
        <v>0</v>
      </c>
      <c r="N8435" s="366">
        <f>+VLOOKUP(D8435,'Resultats - informe'!$Y$18:$AG$42,'Introducció dades consum'!K8435+1,0)</f>
        <v>0</v>
      </c>
      <c r="O8435" s="370" cm="1">
        <f t="array" ref="O8435">+_xlfn.SWITCH(MONTH(C8435),1,1,2,1,3,1,4,2,5,2,6,3,7,3,8,3,9,3,10,2,11,2,12,1,2)</f>
        <v>1</v>
      </c>
      <c r="P8435" s="43"/>
    </row>
    <row r="8436" spans="1:16" ht="18" x14ac:dyDescent="0.35">
      <c r="A8436" s="9"/>
      <c r="C8436" s="393"/>
      <c r="E8436" s="394"/>
      <c r="F8436" s="394"/>
      <c r="G8436" s="394"/>
      <c r="I8436" s="368">
        <f t="shared" si="399"/>
        <v>0</v>
      </c>
      <c r="J8436" s="365">
        <f t="shared" si="400"/>
        <v>0</v>
      </c>
      <c r="K8436" s="369">
        <f t="shared" si="401"/>
        <v>6</v>
      </c>
      <c r="L8436" s="369">
        <f>+IF((C8436&gt;='Resultats - informe'!$E$16)*(C8436&lt;='Resultats - informe'!$G$16),1,0)</f>
        <v>1</v>
      </c>
      <c r="M8436" s="369" cm="1">
        <f t="array" ref="M8436">+_xlfn.IFS((C8436&gt;='Resultats - informe'!$D$26)*(C8436&lt;='Resultats - informe'!$E$26),0,(C8436&gt;='Resultats - informe'!$D$27)*(C8436&lt;='Resultats - informe'!$E$27),0,(C8436&gt;='Resultats - informe'!$D$28)*(C8436&lt;='Resultats - informe'!$E$28),0,(C8436&gt;='Resultats - informe'!$D$29)*(C8436&lt;='Resultats - informe'!$E$29),0,1,1)</f>
        <v>0</v>
      </c>
      <c r="N8436" s="366">
        <f>+VLOOKUP(D8436,'Resultats - informe'!$Y$18:$AG$42,'Introducció dades consum'!K8436+1,0)</f>
        <v>0</v>
      </c>
      <c r="O8436" s="370" cm="1">
        <f t="array" ref="O8436">+_xlfn.SWITCH(MONTH(C8436),1,1,2,1,3,1,4,2,5,2,6,3,7,3,8,3,9,3,10,2,11,2,12,1,2)</f>
        <v>1</v>
      </c>
      <c r="P8436" s="43"/>
    </row>
    <row r="8437" spans="1:16" ht="18" x14ac:dyDescent="0.35">
      <c r="A8437" s="9"/>
      <c r="C8437" s="393"/>
      <c r="E8437" s="394"/>
      <c r="F8437" s="394"/>
      <c r="G8437" s="394"/>
      <c r="I8437" s="368">
        <f t="shared" si="399"/>
        <v>0</v>
      </c>
      <c r="J8437" s="365">
        <f t="shared" si="400"/>
        <v>0</v>
      </c>
      <c r="K8437" s="369">
        <f t="shared" si="401"/>
        <v>6</v>
      </c>
      <c r="L8437" s="369">
        <f>+IF((C8437&gt;='Resultats - informe'!$E$16)*(C8437&lt;='Resultats - informe'!$G$16),1,0)</f>
        <v>1</v>
      </c>
      <c r="M8437" s="369" cm="1">
        <f t="array" ref="M8437">+_xlfn.IFS((C8437&gt;='Resultats - informe'!$D$26)*(C8437&lt;='Resultats - informe'!$E$26),0,(C8437&gt;='Resultats - informe'!$D$27)*(C8437&lt;='Resultats - informe'!$E$27),0,(C8437&gt;='Resultats - informe'!$D$28)*(C8437&lt;='Resultats - informe'!$E$28),0,(C8437&gt;='Resultats - informe'!$D$29)*(C8437&lt;='Resultats - informe'!$E$29),0,1,1)</f>
        <v>0</v>
      </c>
      <c r="N8437" s="366">
        <f>+VLOOKUP(D8437,'Resultats - informe'!$Y$18:$AG$42,'Introducció dades consum'!K8437+1,0)</f>
        <v>0</v>
      </c>
      <c r="O8437" s="370" cm="1">
        <f t="array" ref="O8437">+_xlfn.SWITCH(MONTH(C8437),1,1,2,1,3,1,4,2,5,2,6,3,7,3,8,3,9,3,10,2,11,2,12,1,2)</f>
        <v>1</v>
      </c>
      <c r="P8437" s="43"/>
    </row>
    <row r="8438" spans="1:16" ht="18" x14ac:dyDescent="0.35">
      <c r="A8438" s="9"/>
      <c r="C8438" s="393"/>
      <c r="E8438" s="394"/>
      <c r="F8438" s="394"/>
      <c r="G8438" s="394"/>
      <c r="I8438" s="368">
        <f t="shared" si="399"/>
        <v>0</v>
      </c>
      <c r="J8438" s="365">
        <f t="shared" si="400"/>
        <v>0</v>
      </c>
      <c r="K8438" s="369">
        <f t="shared" si="401"/>
        <v>6</v>
      </c>
      <c r="L8438" s="369">
        <f>+IF((C8438&gt;='Resultats - informe'!$E$16)*(C8438&lt;='Resultats - informe'!$G$16),1,0)</f>
        <v>1</v>
      </c>
      <c r="M8438" s="369" cm="1">
        <f t="array" ref="M8438">+_xlfn.IFS((C8438&gt;='Resultats - informe'!$D$26)*(C8438&lt;='Resultats - informe'!$E$26),0,(C8438&gt;='Resultats - informe'!$D$27)*(C8438&lt;='Resultats - informe'!$E$27),0,(C8438&gt;='Resultats - informe'!$D$28)*(C8438&lt;='Resultats - informe'!$E$28),0,(C8438&gt;='Resultats - informe'!$D$29)*(C8438&lt;='Resultats - informe'!$E$29),0,1,1)</f>
        <v>0</v>
      </c>
      <c r="N8438" s="366">
        <f>+VLOOKUP(D8438,'Resultats - informe'!$Y$18:$AG$42,'Introducció dades consum'!K8438+1,0)</f>
        <v>0</v>
      </c>
      <c r="O8438" s="370" cm="1">
        <f t="array" ref="O8438">+_xlfn.SWITCH(MONTH(C8438),1,1,2,1,3,1,4,2,5,2,6,3,7,3,8,3,9,3,10,2,11,2,12,1,2)</f>
        <v>1</v>
      </c>
      <c r="P8438" s="43"/>
    </row>
    <row r="8439" spans="1:16" ht="18" x14ac:dyDescent="0.35">
      <c r="A8439" s="9"/>
      <c r="C8439" s="393"/>
      <c r="E8439" s="394"/>
      <c r="F8439" s="394"/>
      <c r="G8439" s="394"/>
      <c r="I8439" s="368">
        <f t="shared" si="399"/>
        <v>0</v>
      </c>
      <c r="J8439" s="365">
        <f t="shared" si="400"/>
        <v>0</v>
      </c>
      <c r="K8439" s="369">
        <f t="shared" si="401"/>
        <v>6</v>
      </c>
      <c r="L8439" s="369">
        <f>+IF((C8439&gt;='Resultats - informe'!$E$16)*(C8439&lt;='Resultats - informe'!$G$16),1,0)</f>
        <v>1</v>
      </c>
      <c r="M8439" s="369" cm="1">
        <f t="array" ref="M8439">+_xlfn.IFS((C8439&gt;='Resultats - informe'!$D$26)*(C8439&lt;='Resultats - informe'!$E$26),0,(C8439&gt;='Resultats - informe'!$D$27)*(C8439&lt;='Resultats - informe'!$E$27),0,(C8439&gt;='Resultats - informe'!$D$28)*(C8439&lt;='Resultats - informe'!$E$28),0,(C8439&gt;='Resultats - informe'!$D$29)*(C8439&lt;='Resultats - informe'!$E$29),0,1,1)</f>
        <v>0</v>
      </c>
      <c r="N8439" s="366">
        <f>+VLOOKUP(D8439,'Resultats - informe'!$Y$18:$AG$42,'Introducció dades consum'!K8439+1,0)</f>
        <v>0</v>
      </c>
      <c r="O8439" s="370" cm="1">
        <f t="array" ref="O8439">+_xlfn.SWITCH(MONTH(C8439),1,1,2,1,3,1,4,2,5,2,6,3,7,3,8,3,9,3,10,2,11,2,12,1,2)</f>
        <v>1</v>
      </c>
      <c r="P8439" s="43"/>
    </row>
    <row r="8440" spans="1:16" ht="18" x14ac:dyDescent="0.35">
      <c r="A8440" s="9"/>
      <c r="C8440" s="393"/>
      <c r="E8440" s="394"/>
      <c r="F8440" s="394"/>
      <c r="G8440" s="394"/>
      <c r="I8440" s="368">
        <f t="shared" si="399"/>
        <v>0</v>
      </c>
      <c r="J8440" s="365">
        <f t="shared" si="400"/>
        <v>0</v>
      </c>
      <c r="K8440" s="369">
        <f t="shared" si="401"/>
        <v>6</v>
      </c>
      <c r="L8440" s="369">
        <f>+IF((C8440&gt;='Resultats - informe'!$E$16)*(C8440&lt;='Resultats - informe'!$G$16),1,0)</f>
        <v>1</v>
      </c>
      <c r="M8440" s="369" cm="1">
        <f t="array" ref="M8440">+_xlfn.IFS((C8440&gt;='Resultats - informe'!$D$26)*(C8440&lt;='Resultats - informe'!$E$26),0,(C8440&gt;='Resultats - informe'!$D$27)*(C8440&lt;='Resultats - informe'!$E$27),0,(C8440&gt;='Resultats - informe'!$D$28)*(C8440&lt;='Resultats - informe'!$E$28),0,(C8440&gt;='Resultats - informe'!$D$29)*(C8440&lt;='Resultats - informe'!$E$29),0,1,1)</f>
        <v>0</v>
      </c>
      <c r="N8440" s="366">
        <f>+VLOOKUP(D8440,'Resultats - informe'!$Y$18:$AG$42,'Introducció dades consum'!K8440+1,0)</f>
        <v>0</v>
      </c>
      <c r="O8440" s="370" cm="1">
        <f t="array" ref="O8440">+_xlfn.SWITCH(MONTH(C8440),1,1,2,1,3,1,4,2,5,2,6,3,7,3,8,3,9,3,10,2,11,2,12,1,2)</f>
        <v>1</v>
      </c>
      <c r="P8440" s="43"/>
    </row>
    <row r="8441" spans="1:16" ht="18" x14ac:dyDescent="0.35">
      <c r="A8441" s="9"/>
      <c r="C8441" s="393"/>
      <c r="E8441" s="394"/>
      <c r="F8441" s="394"/>
      <c r="G8441" s="394"/>
      <c r="I8441" s="368">
        <f t="shared" si="399"/>
        <v>0</v>
      </c>
      <c r="J8441" s="365">
        <f t="shared" si="400"/>
        <v>0</v>
      </c>
      <c r="K8441" s="369">
        <f t="shared" si="401"/>
        <v>6</v>
      </c>
      <c r="L8441" s="369">
        <f>+IF((C8441&gt;='Resultats - informe'!$E$16)*(C8441&lt;='Resultats - informe'!$G$16),1,0)</f>
        <v>1</v>
      </c>
      <c r="M8441" s="369" cm="1">
        <f t="array" ref="M8441">+_xlfn.IFS((C8441&gt;='Resultats - informe'!$D$26)*(C8441&lt;='Resultats - informe'!$E$26),0,(C8441&gt;='Resultats - informe'!$D$27)*(C8441&lt;='Resultats - informe'!$E$27),0,(C8441&gt;='Resultats - informe'!$D$28)*(C8441&lt;='Resultats - informe'!$E$28),0,(C8441&gt;='Resultats - informe'!$D$29)*(C8441&lt;='Resultats - informe'!$E$29),0,1,1)</f>
        <v>0</v>
      </c>
      <c r="N8441" s="366">
        <f>+VLOOKUP(D8441,'Resultats - informe'!$Y$18:$AG$42,'Introducció dades consum'!K8441+1,0)</f>
        <v>0</v>
      </c>
      <c r="O8441" s="370" cm="1">
        <f t="array" ref="O8441">+_xlfn.SWITCH(MONTH(C8441),1,1,2,1,3,1,4,2,5,2,6,3,7,3,8,3,9,3,10,2,11,2,12,1,2)</f>
        <v>1</v>
      </c>
      <c r="P8441" s="43"/>
    </row>
    <row r="8442" spans="1:16" ht="18" x14ac:dyDescent="0.35">
      <c r="A8442" s="9"/>
      <c r="C8442" s="393"/>
      <c r="E8442" s="394"/>
      <c r="F8442" s="394"/>
      <c r="G8442" s="394"/>
      <c r="I8442" s="368">
        <f t="shared" si="399"/>
        <v>0</v>
      </c>
      <c r="J8442" s="365">
        <f t="shared" si="400"/>
        <v>0</v>
      </c>
      <c r="K8442" s="369">
        <f t="shared" si="401"/>
        <v>6</v>
      </c>
      <c r="L8442" s="369">
        <f>+IF((C8442&gt;='Resultats - informe'!$E$16)*(C8442&lt;='Resultats - informe'!$G$16),1,0)</f>
        <v>1</v>
      </c>
      <c r="M8442" s="369" cm="1">
        <f t="array" ref="M8442">+_xlfn.IFS((C8442&gt;='Resultats - informe'!$D$26)*(C8442&lt;='Resultats - informe'!$E$26),0,(C8442&gt;='Resultats - informe'!$D$27)*(C8442&lt;='Resultats - informe'!$E$27),0,(C8442&gt;='Resultats - informe'!$D$28)*(C8442&lt;='Resultats - informe'!$E$28),0,(C8442&gt;='Resultats - informe'!$D$29)*(C8442&lt;='Resultats - informe'!$E$29),0,1,1)</f>
        <v>0</v>
      </c>
      <c r="N8442" s="366">
        <f>+VLOOKUP(D8442,'Resultats - informe'!$Y$18:$AG$42,'Introducció dades consum'!K8442+1,0)</f>
        <v>0</v>
      </c>
      <c r="O8442" s="370" cm="1">
        <f t="array" ref="O8442">+_xlfn.SWITCH(MONTH(C8442),1,1,2,1,3,1,4,2,5,2,6,3,7,3,8,3,9,3,10,2,11,2,12,1,2)</f>
        <v>1</v>
      </c>
      <c r="P8442" s="43"/>
    </row>
    <row r="8443" spans="1:16" ht="18" x14ac:dyDescent="0.35">
      <c r="A8443" s="9"/>
      <c r="C8443" s="393"/>
      <c r="E8443" s="394"/>
      <c r="F8443" s="394"/>
      <c r="G8443" s="394"/>
      <c r="I8443" s="368">
        <f t="shared" si="399"/>
        <v>0</v>
      </c>
      <c r="J8443" s="365">
        <f t="shared" si="400"/>
        <v>0</v>
      </c>
      <c r="K8443" s="369">
        <f t="shared" si="401"/>
        <v>6</v>
      </c>
      <c r="L8443" s="369">
        <f>+IF((C8443&gt;='Resultats - informe'!$E$16)*(C8443&lt;='Resultats - informe'!$G$16),1,0)</f>
        <v>1</v>
      </c>
      <c r="M8443" s="369" cm="1">
        <f t="array" ref="M8443">+_xlfn.IFS((C8443&gt;='Resultats - informe'!$D$26)*(C8443&lt;='Resultats - informe'!$E$26),0,(C8443&gt;='Resultats - informe'!$D$27)*(C8443&lt;='Resultats - informe'!$E$27),0,(C8443&gt;='Resultats - informe'!$D$28)*(C8443&lt;='Resultats - informe'!$E$28),0,(C8443&gt;='Resultats - informe'!$D$29)*(C8443&lt;='Resultats - informe'!$E$29),0,1,1)</f>
        <v>0</v>
      </c>
      <c r="N8443" s="366">
        <f>+VLOOKUP(D8443,'Resultats - informe'!$Y$18:$AG$42,'Introducció dades consum'!K8443+1,0)</f>
        <v>0</v>
      </c>
      <c r="O8443" s="370" cm="1">
        <f t="array" ref="O8443">+_xlfn.SWITCH(MONTH(C8443),1,1,2,1,3,1,4,2,5,2,6,3,7,3,8,3,9,3,10,2,11,2,12,1,2)</f>
        <v>1</v>
      </c>
      <c r="P8443" s="43"/>
    </row>
    <row r="8444" spans="1:16" ht="18" x14ac:dyDescent="0.35">
      <c r="A8444" s="9"/>
      <c r="C8444" s="393"/>
      <c r="E8444" s="394"/>
      <c r="F8444" s="394"/>
      <c r="G8444" s="394"/>
      <c r="I8444" s="368">
        <f t="shared" si="399"/>
        <v>0</v>
      </c>
      <c r="J8444" s="365">
        <f t="shared" si="400"/>
        <v>0</v>
      </c>
      <c r="K8444" s="369">
        <f t="shared" si="401"/>
        <v>6</v>
      </c>
      <c r="L8444" s="369">
        <f>+IF((C8444&gt;='Resultats - informe'!$E$16)*(C8444&lt;='Resultats - informe'!$G$16),1,0)</f>
        <v>1</v>
      </c>
      <c r="M8444" s="369" cm="1">
        <f t="array" ref="M8444">+_xlfn.IFS((C8444&gt;='Resultats - informe'!$D$26)*(C8444&lt;='Resultats - informe'!$E$26),0,(C8444&gt;='Resultats - informe'!$D$27)*(C8444&lt;='Resultats - informe'!$E$27),0,(C8444&gt;='Resultats - informe'!$D$28)*(C8444&lt;='Resultats - informe'!$E$28),0,(C8444&gt;='Resultats - informe'!$D$29)*(C8444&lt;='Resultats - informe'!$E$29),0,1,1)</f>
        <v>0</v>
      </c>
      <c r="N8444" s="366">
        <f>+VLOOKUP(D8444,'Resultats - informe'!$Y$18:$AG$42,'Introducció dades consum'!K8444+1,0)</f>
        <v>0</v>
      </c>
      <c r="O8444" s="370" cm="1">
        <f t="array" ref="O8444">+_xlfn.SWITCH(MONTH(C8444),1,1,2,1,3,1,4,2,5,2,6,3,7,3,8,3,9,3,10,2,11,2,12,1,2)</f>
        <v>1</v>
      </c>
      <c r="P8444" s="43"/>
    </row>
    <row r="8445" spans="1:16" ht="18" x14ac:dyDescent="0.35">
      <c r="A8445" s="9"/>
      <c r="C8445" s="393"/>
      <c r="E8445" s="394"/>
      <c r="F8445" s="394"/>
      <c r="G8445" s="394"/>
      <c r="I8445" s="368">
        <f t="shared" si="399"/>
        <v>0</v>
      </c>
      <c r="J8445" s="365">
        <f t="shared" si="400"/>
        <v>0</v>
      </c>
      <c r="K8445" s="369">
        <f t="shared" si="401"/>
        <v>6</v>
      </c>
      <c r="L8445" s="369">
        <f>+IF((C8445&gt;='Resultats - informe'!$E$16)*(C8445&lt;='Resultats - informe'!$G$16),1,0)</f>
        <v>1</v>
      </c>
      <c r="M8445" s="369" cm="1">
        <f t="array" ref="M8445">+_xlfn.IFS((C8445&gt;='Resultats - informe'!$D$26)*(C8445&lt;='Resultats - informe'!$E$26),0,(C8445&gt;='Resultats - informe'!$D$27)*(C8445&lt;='Resultats - informe'!$E$27),0,(C8445&gt;='Resultats - informe'!$D$28)*(C8445&lt;='Resultats - informe'!$E$28),0,(C8445&gt;='Resultats - informe'!$D$29)*(C8445&lt;='Resultats - informe'!$E$29),0,1,1)</f>
        <v>0</v>
      </c>
      <c r="N8445" s="366">
        <f>+VLOOKUP(D8445,'Resultats - informe'!$Y$18:$AG$42,'Introducció dades consum'!K8445+1,0)</f>
        <v>0</v>
      </c>
      <c r="O8445" s="370" cm="1">
        <f t="array" ref="O8445">+_xlfn.SWITCH(MONTH(C8445),1,1,2,1,3,1,4,2,5,2,6,3,7,3,8,3,9,3,10,2,11,2,12,1,2)</f>
        <v>1</v>
      </c>
      <c r="P8445" s="43"/>
    </row>
    <row r="8446" spans="1:16" ht="18" x14ac:dyDescent="0.35">
      <c r="A8446" s="9"/>
      <c r="C8446" s="393"/>
      <c r="E8446" s="394"/>
      <c r="F8446" s="394"/>
      <c r="G8446" s="394"/>
      <c r="I8446" s="368">
        <f t="shared" si="399"/>
        <v>0</v>
      </c>
      <c r="J8446" s="365">
        <f t="shared" si="400"/>
        <v>0</v>
      </c>
      <c r="K8446" s="369">
        <f t="shared" si="401"/>
        <v>6</v>
      </c>
      <c r="L8446" s="369">
        <f>+IF((C8446&gt;='Resultats - informe'!$E$16)*(C8446&lt;='Resultats - informe'!$G$16),1,0)</f>
        <v>1</v>
      </c>
      <c r="M8446" s="369" cm="1">
        <f t="array" ref="M8446">+_xlfn.IFS((C8446&gt;='Resultats - informe'!$D$26)*(C8446&lt;='Resultats - informe'!$E$26),0,(C8446&gt;='Resultats - informe'!$D$27)*(C8446&lt;='Resultats - informe'!$E$27),0,(C8446&gt;='Resultats - informe'!$D$28)*(C8446&lt;='Resultats - informe'!$E$28),0,(C8446&gt;='Resultats - informe'!$D$29)*(C8446&lt;='Resultats - informe'!$E$29),0,1,1)</f>
        <v>0</v>
      </c>
      <c r="N8446" s="366">
        <f>+VLOOKUP(D8446,'Resultats - informe'!$Y$18:$AG$42,'Introducció dades consum'!K8446+1,0)</f>
        <v>0</v>
      </c>
      <c r="O8446" s="370" cm="1">
        <f t="array" ref="O8446">+_xlfn.SWITCH(MONTH(C8446),1,1,2,1,3,1,4,2,5,2,6,3,7,3,8,3,9,3,10,2,11,2,12,1,2)</f>
        <v>1</v>
      </c>
      <c r="P8446" s="43"/>
    </row>
    <row r="8447" spans="1:16" ht="18" x14ac:dyDescent="0.35">
      <c r="A8447" s="9"/>
      <c r="C8447" s="393"/>
      <c r="E8447" s="394"/>
      <c r="F8447" s="394"/>
      <c r="G8447" s="394"/>
      <c r="I8447" s="368">
        <f t="shared" si="399"/>
        <v>0</v>
      </c>
      <c r="J8447" s="365">
        <f t="shared" si="400"/>
        <v>0</v>
      </c>
      <c r="K8447" s="369">
        <f t="shared" si="401"/>
        <v>6</v>
      </c>
      <c r="L8447" s="369">
        <f>+IF((C8447&gt;='Resultats - informe'!$E$16)*(C8447&lt;='Resultats - informe'!$G$16),1,0)</f>
        <v>1</v>
      </c>
      <c r="M8447" s="369" cm="1">
        <f t="array" ref="M8447">+_xlfn.IFS((C8447&gt;='Resultats - informe'!$D$26)*(C8447&lt;='Resultats - informe'!$E$26),0,(C8447&gt;='Resultats - informe'!$D$27)*(C8447&lt;='Resultats - informe'!$E$27),0,(C8447&gt;='Resultats - informe'!$D$28)*(C8447&lt;='Resultats - informe'!$E$28),0,(C8447&gt;='Resultats - informe'!$D$29)*(C8447&lt;='Resultats - informe'!$E$29),0,1,1)</f>
        <v>0</v>
      </c>
      <c r="N8447" s="366">
        <f>+VLOOKUP(D8447,'Resultats - informe'!$Y$18:$AG$42,'Introducció dades consum'!K8447+1,0)</f>
        <v>0</v>
      </c>
      <c r="O8447" s="370" cm="1">
        <f t="array" ref="O8447">+_xlfn.SWITCH(MONTH(C8447),1,1,2,1,3,1,4,2,5,2,6,3,7,3,8,3,9,3,10,2,11,2,12,1,2)</f>
        <v>1</v>
      </c>
      <c r="P8447" s="43"/>
    </row>
    <row r="8448" spans="1:16" ht="18" x14ac:dyDescent="0.35">
      <c r="A8448" s="9"/>
      <c r="C8448" s="393"/>
      <c r="E8448" s="394"/>
      <c r="F8448" s="394"/>
      <c r="G8448" s="394"/>
      <c r="I8448" s="368">
        <f t="shared" si="399"/>
        <v>0</v>
      </c>
      <c r="J8448" s="365">
        <f t="shared" si="400"/>
        <v>0</v>
      </c>
      <c r="K8448" s="369">
        <f t="shared" si="401"/>
        <v>6</v>
      </c>
      <c r="L8448" s="369">
        <f>+IF((C8448&gt;='Resultats - informe'!$E$16)*(C8448&lt;='Resultats - informe'!$G$16),1,0)</f>
        <v>1</v>
      </c>
      <c r="M8448" s="369" cm="1">
        <f t="array" ref="M8448">+_xlfn.IFS((C8448&gt;='Resultats - informe'!$D$26)*(C8448&lt;='Resultats - informe'!$E$26),0,(C8448&gt;='Resultats - informe'!$D$27)*(C8448&lt;='Resultats - informe'!$E$27),0,(C8448&gt;='Resultats - informe'!$D$28)*(C8448&lt;='Resultats - informe'!$E$28),0,(C8448&gt;='Resultats - informe'!$D$29)*(C8448&lt;='Resultats - informe'!$E$29),0,1,1)</f>
        <v>0</v>
      </c>
      <c r="N8448" s="366">
        <f>+VLOOKUP(D8448,'Resultats - informe'!$Y$18:$AG$42,'Introducció dades consum'!K8448+1,0)</f>
        <v>0</v>
      </c>
      <c r="O8448" s="370" cm="1">
        <f t="array" ref="O8448">+_xlfn.SWITCH(MONTH(C8448),1,1,2,1,3,1,4,2,5,2,6,3,7,3,8,3,9,3,10,2,11,2,12,1,2)</f>
        <v>1</v>
      </c>
      <c r="P8448" s="43"/>
    </row>
    <row r="8449" spans="1:16" ht="18" x14ac:dyDescent="0.35">
      <c r="A8449" s="9"/>
      <c r="C8449" s="393"/>
      <c r="E8449" s="394"/>
      <c r="F8449" s="394"/>
      <c r="G8449" s="394"/>
      <c r="I8449" s="368">
        <f t="shared" si="399"/>
        <v>0</v>
      </c>
      <c r="J8449" s="365">
        <f t="shared" si="400"/>
        <v>0</v>
      </c>
      <c r="K8449" s="369">
        <f t="shared" si="401"/>
        <v>6</v>
      </c>
      <c r="L8449" s="369">
        <f>+IF((C8449&gt;='Resultats - informe'!$E$16)*(C8449&lt;='Resultats - informe'!$G$16),1,0)</f>
        <v>1</v>
      </c>
      <c r="M8449" s="369" cm="1">
        <f t="array" ref="M8449">+_xlfn.IFS((C8449&gt;='Resultats - informe'!$D$26)*(C8449&lt;='Resultats - informe'!$E$26),0,(C8449&gt;='Resultats - informe'!$D$27)*(C8449&lt;='Resultats - informe'!$E$27),0,(C8449&gt;='Resultats - informe'!$D$28)*(C8449&lt;='Resultats - informe'!$E$28),0,(C8449&gt;='Resultats - informe'!$D$29)*(C8449&lt;='Resultats - informe'!$E$29),0,1,1)</f>
        <v>0</v>
      </c>
      <c r="N8449" s="366">
        <f>+VLOOKUP(D8449,'Resultats - informe'!$Y$18:$AG$42,'Introducció dades consum'!K8449+1,0)</f>
        <v>0</v>
      </c>
      <c r="O8449" s="370" cm="1">
        <f t="array" ref="O8449">+_xlfn.SWITCH(MONTH(C8449),1,1,2,1,3,1,4,2,5,2,6,3,7,3,8,3,9,3,10,2,11,2,12,1,2)</f>
        <v>1</v>
      </c>
      <c r="P8449" s="43"/>
    </row>
    <row r="8450" spans="1:16" ht="18" x14ac:dyDescent="0.35">
      <c r="A8450" s="9"/>
      <c r="C8450" s="393"/>
      <c r="E8450" s="394"/>
      <c r="F8450" s="394"/>
      <c r="G8450" s="394"/>
      <c r="I8450" s="368">
        <f t="shared" si="399"/>
        <v>0</v>
      </c>
      <c r="J8450" s="365">
        <f t="shared" si="400"/>
        <v>0</v>
      </c>
      <c r="K8450" s="369">
        <f t="shared" si="401"/>
        <v>6</v>
      </c>
      <c r="L8450" s="369">
        <f>+IF((C8450&gt;='Resultats - informe'!$E$16)*(C8450&lt;='Resultats - informe'!$G$16),1,0)</f>
        <v>1</v>
      </c>
      <c r="M8450" s="369" cm="1">
        <f t="array" ref="M8450">+_xlfn.IFS((C8450&gt;='Resultats - informe'!$D$26)*(C8450&lt;='Resultats - informe'!$E$26),0,(C8450&gt;='Resultats - informe'!$D$27)*(C8450&lt;='Resultats - informe'!$E$27),0,(C8450&gt;='Resultats - informe'!$D$28)*(C8450&lt;='Resultats - informe'!$E$28),0,(C8450&gt;='Resultats - informe'!$D$29)*(C8450&lt;='Resultats - informe'!$E$29),0,1,1)</f>
        <v>0</v>
      </c>
      <c r="N8450" s="366">
        <f>+VLOOKUP(D8450,'Resultats - informe'!$Y$18:$AG$42,'Introducció dades consum'!K8450+1,0)</f>
        <v>0</v>
      </c>
      <c r="O8450" s="370" cm="1">
        <f t="array" ref="O8450">+_xlfn.SWITCH(MONTH(C8450),1,1,2,1,3,1,4,2,5,2,6,3,7,3,8,3,9,3,10,2,11,2,12,1,2)</f>
        <v>1</v>
      </c>
      <c r="P8450" s="43"/>
    </row>
    <row r="8451" spans="1:16" ht="18" x14ac:dyDescent="0.35">
      <c r="A8451" s="9"/>
      <c r="C8451" s="393"/>
      <c r="E8451" s="394"/>
      <c r="F8451" s="394"/>
      <c r="G8451" s="394"/>
      <c r="I8451" s="368">
        <f t="shared" si="399"/>
        <v>0</v>
      </c>
      <c r="J8451" s="365">
        <f t="shared" si="400"/>
        <v>0</v>
      </c>
      <c r="K8451" s="369">
        <f t="shared" si="401"/>
        <v>6</v>
      </c>
      <c r="L8451" s="369">
        <f>+IF((C8451&gt;='Resultats - informe'!$E$16)*(C8451&lt;='Resultats - informe'!$G$16),1,0)</f>
        <v>1</v>
      </c>
      <c r="M8451" s="369" cm="1">
        <f t="array" ref="M8451">+_xlfn.IFS((C8451&gt;='Resultats - informe'!$D$26)*(C8451&lt;='Resultats - informe'!$E$26),0,(C8451&gt;='Resultats - informe'!$D$27)*(C8451&lt;='Resultats - informe'!$E$27),0,(C8451&gt;='Resultats - informe'!$D$28)*(C8451&lt;='Resultats - informe'!$E$28),0,(C8451&gt;='Resultats - informe'!$D$29)*(C8451&lt;='Resultats - informe'!$E$29),0,1,1)</f>
        <v>0</v>
      </c>
      <c r="N8451" s="366">
        <f>+VLOOKUP(D8451,'Resultats - informe'!$Y$18:$AG$42,'Introducció dades consum'!K8451+1,0)</f>
        <v>0</v>
      </c>
      <c r="O8451" s="370" cm="1">
        <f t="array" ref="O8451">+_xlfn.SWITCH(MONTH(C8451),1,1,2,1,3,1,4,2,5,2,6,3,7,3,8,3,9,3,10,2,11,2,12,1,2)</f>
        <v>1</v>
      </c>
      <c r="P8451" s="43"/>
    </row>
    <row r="8452" spans="1:16" ht="18" x14ac:dyDescent="0.35">
      <c r="A8452" s="9"/>
      <c r="C8452" s="393"/>
      <c r="E8452" s="394"/>
      <c r="F8452" s="394"/>
      <c r="G8452" s="394"/>
      <c r="I8452" s="368">
        <f t="shared" si="399"/>
        <v>0</v>
      </c>
      <c r="J8452" s="365">
        <f t="shared" si="400"/>
        <v>0</v>
      </c>
      <c r="K8452" s="369">
        <f t="shared" si="401"/>
        <v>6</v>
      </c>
      <c r="L8452" s="369">
        <f>+IF((C8452&gt;='Resultats - informe'!$E$16)*(C8452&lt;='Resultats - informe'!$G$16),1,0)</f>
        <v>1</v>
      </c>
      <c r="M8452" s="369" cm="1">
        <f t="array" ref="M8452">+_xlfn.IFS((C8452&gt;='Resultats - informe'!$D$26)*(C8452&lt;='Resultats - informe'!$E$26),0,(C8452&gt;='Resultats - informe'!$D$27)*(C8452&lt;='Resultats - informe'!$E$27),0,(C8452&gt;='Resultats - informe'!$D$28)*(C8452&lt;='Resultats - informe'!$E$28),0,(C8452&gt;='Resultats - informe'!$D$29)*(C8452&lt;='Resultats - informe'!$E$29),0,1,1)</f>
        <v>0</v>
      </c>
      <c r="N8452" s="366">
        <f>+VLOOKUP(D8452,'Resultats - informe'!$Y$18:$AG$42,'Introducció dades consum'!K8452+1,0)</f>
        <v>0</v>
      </c>
      <c r="O8452" s="370" cm="1">
        <f t="array" ref="O8452">+_xlfn.SWITCH(MONTH(C8452),1,1,2,1,3,1,4,2,5,2,6,3,7,3,8,3,9,3,10,2,11,2,12,1,2)</f>
        <v>1</v>
      </c>
      <c r="P8452" s="43"/>
    </row>
    <row r="8453" spans="1:16" ht="18" x14ac:dyDescent="0.35">
      <c r="A8453" s="9"/>
      <c r="C8453" s="393"/>
      <c r="E8453" s="394"/>
      <c r="F8453" s="394"/>
      <c r="G8453" s="394"/>
      <c r="I8453" s="368">
        <f t="shared" si="399"/>
        <v>0</v>
      </c>
      <c r="J8453" s="365">
        <f t="shared" si="400"/>
        <v>0</v>
      </c>
      <c r="K8453" s="369">
        <f t="shared" si="401"/>
        <v>6</v>
      </c>
      <c r="L8453" s="369">
        <f>+IF((C8453&gt;='Resultats - informe'!$E$16)*(C8453&lt;='Resultats - informe'!$G$16),1,0)</f>
        <v>1</v>
      </c>
      <c r="M8453" s="369" cm="1">
        <f t="array" ref="M8453">+_xlfn.IFS((C8453&gt;='Resultats - informe'!$D$26)*(C8453&lt;='Resultats - informe'!$E$26),0,(C8453&gt;='Resultats - informe'!$D$27)*(C8453&lt;='Resultats - informe'!$E$27),0,(C8453&gt;='Resultats - informe'!$D$28)*(C8453&lt;='Resultats - informe'!$E$28),0,(C8453&gt;='Resultats - informe'!$D$29)*(C8453&lt;='Resultats - informe'!$E$29),0,1,1)</f>
        <v>0</v>
      </c>
      <c r="N8453" s="366">
        <f>+VLOOKUP(D8453,'Resultats - informe'!$Y$18:$AG$42,'Introducció dades consum'!K8453+1,0)</f>
        <v>0</v>
      </c>
      <c r="O8453" s="370" cm="1">
        <f t="array" ref="O8453">+_xlfn.SWITCH(MONTH(C8453),1,1,2,1,3,1,4,2,5,2,6,3,7,3,8,3,9,3,10,2,11,2,12,1,2)</f>
        <v>1</v>
      </c>
      <c r="P8453" s="43"/>
    </row>
    <row r="8454" spans="1:16" ht="18" x14ac:dyDescent="0.35">
      <c r="A8454" s="9"/>
      <c r="C8454" s="393"/>
      <c r="E8454" s="394"/>
      <c r="F8454" s="394"/>
      <c r="G8454" s="394"/>
      <c r="I8454" s="368">
        <f t="shared" si="399"/>
        <v>0</v>
      </c>
      <c r="J8454" s="365">
        <f t="shared" si="400"/>
        <v>0</v>
      </c>
      <c r="K8454" s="369">
        <f t="shared" si="401"/>
        <v>6</v>
      </c>
      <c r="L8454" s="369">
        <f>+IF((C8454&gt;='Resultats - informe'!$E$16)*(C8454&lt;='Resultats - informe'!$G$16),1,0)</f>
        <v>1</v>
      </c>
      <c r="M8454" s="369" cm="1">
        <f t="array" ref="M8454">+_xlfn.IFS((C8454&gt;='Resultats - informe'!$D$26)*(C8454&lt;='Resultats - informe'!$E$26),0,(C8454&gt;='Resultats - informe'!$D$27)*(C8454&lt;='Resultats - informe'!$E$27),0,(C8454&gt;='Resultats - informe'!$D$28)*(C8454&lt;='Resultats - informe'!$E$28),0,(C8454&gt;='Resultats - informe'!$D$29)*(C8454&lt;='Resultats - informe'!$E$29),0,1,1)</f>
        <v>0</v>
      </c>
      <c r="N8454" s="366">
        <f>+VLOOKUP(D8454,'Resultats - informe'!$Y$18:$AG$42,'Introducció dades consum'!K8454+1,0)</f>
        <v>0</v>
      </c>
      <c r="O8454" s="370" cm="1">
        <f t="array" ref="O8454">+_xlfn.SWITCH(MONTH(C8454),1,1,2,1,3,1,4,2,5,2,6,3,7,3,8,3,9,3,10,2,11,2,12,1,2)</f>
        <v>1</v>
      </c>
      <c r="P8454" s="43"/>
    </row>
    <row r="8455" spans="1:16" ht="18" x14ac:dyDescent="0.35">
      <c r="A8455" s="9"/>
      <c r="C8455" s="393"/>
      <c r="E8455" s="394"/>
      <c r="F8455" s="394"/>
      <c r="G8455" s="394"/>
      <c r="I8455" s="368">
        <f t="shared" si="399"/>
        <v>0</v>
      </c>
      <c r="J8455" s="365">
        <f t="shared" si="400"/>
        <v>0</v>
      </c>
      <c r="K8455" s="369">
        <f t="shared" si="401"/>
        <v>6</v>
      </c>
      <c r="L8455" s="369">
        <f>+IF((C8455&gt;='Resultats - informe'!$E$16)*(C8455&lt;='Resultats - informe'!$G$16),1,0)</f>
        <v>1</v>
      </c>
      <c r="M8455" s="369" cm="1">
        <f t="array" ref="M8455">+_xlfn.IFS((C8455&gt;='Resultats - informe'!$D$26)*(C8455&lt;='Resultats - informe'!$E$26),0,(C8455&gt;='Resultats - informe'!$D$27)*(C8455&lt;='Resultats - informe'!$E$27),0,(C8455&gt;='Resultats - informe'!$D$28)*(C8455&lt;='Resultats - informe'!$E$28),0,(C8455&gt;='Resultats - informe'!$D$29)*(C8455&lt;='Resultats - informe'!$E$29),0,1,1)</f>
        <v>0</v>
      </c>
      <c r="N8455" s="366">
        <f>+VLOOKUP(D8455,'Resultats - informe'!$Y$18:$AG$42,'Introducció dades consum'!K8455+1,0)</f>
        <v>0</v>
      </c>
      <c r="O8455" s="370" cm="1">
        <f t="array" ref="O8455">+_xlfn.SWITCH(MONTH(C8455),1,1,2,1,3,1,4,2,5,2,6,3,7,3,8,3,9,3,10,2,11,2,12,1,2)</f>
        <v>1</v>
      </c>
      <c r="P8455" s="43"/>
    </row>
    <row r="8456" spans="1:16" ht="18" x14ac:dyDescent="0.35">
      <c r="A8456" s="9"/>
      <c r="C8456" s="393"/>
      <c r="E8456" s="394"/>
      <c r="F8456" s="394"/>
      <c r="G8456" s="394"/>
      <c r="I8456" s="368">
        <f t="shared" si="399"/>
        <v>0</v>
      </c>
      <c r="J8456" s="365">
        <f t="shared" si="400"/>
        <v>0</v>
      </c>
      <c r="K8456" s="369">
        <f t="shared" si="401"/>
        <v>6</v>
      </c>
      <c r="L8456" s="369">
        <f>+IF((C8456&gt;='Resultats - informe'!$E$16)*(C8456&lt;='Resultats - informe'!$G$16),1,0)</f>
        <v>1</v>
      </c>
      <c r="M8456" s="369" cm="1">
        <f t="array" ref="M8456">+_xlfn.IFS((C8456&gt;='Resultats - informe'!$D$26)*(C8456&lt;='Resultats - informe'!$E$26),0,(C8456&gt;='Resultats - informe'!$D$27)*(C8456&lt;='Resultats - informe'!$E$27),0,(C8456&gt;='Resultats - informe'!$D$28)*(C8456&lt;='Resultats - informe'!$E$28),0,(C8456&gt;='Resultats - informe'!$D$29)*(C8456&lt;='Resultats - informe'!$E$29),0,1,1)</f>
        <v>0</v>
      </c>
      <c r="N8456" s="366">
        <f>+VLOOKUP(D8456,'Resultats - informe'!$Y$18:$AG$42,'Introducció dades consum'!K8456+1,0)</f>
        <v>0</v>
      </c>
      <c r="O8456" s="370" cm="1">
        <f t="array" ref="O8456">+_xlfn.SWITCH(MONTH(C8456),1,1,2,1,3,1,4,2,5,2,6,3,7,3,8,3,9,3,10,2,11,2,12,1,2)</f>
        <v>1</v>
      </c>
      <c r="P8456" s="43"/>
    </row>
    <row r="8457" spans="1:16" ht="18" x14ac:dyDescent="0.35">
      <c r="A8457" s="9"/>
      <c r="C8457" s="393"/>
      <c r="E8457" s="394"/>
      <c r="F8457" s="394"/>
      <c r="G8457" s="394"/>
      <c r="I8457" s="368">
        <f t="shared" si="399"/>
        <v>0</v>
      </c>
      <c r="J8457" s="365">
        <f t="shared" si="400"/>
        <v>0</v>
      </c>
      <c r="K8457" s="369">
        <f t="shared" si="401"/>
        <v>6</v>
      </c>
      <c r="L8457" s="369">
        <f>+IF((C8457&gt;='Resultats - informe'!$E$16)*(C8457&lt;='Resultats - informe'!$G$16),1,0)</f>
        <v>1</v>
      </c>
      <c r="M8457" s="369" cm="1">
        <f t="array" ref="M8457">+_xlfn.IFS((C8457&gt;='Resultats - informe'!$D$26)*(C8457&lt;='Resultats - informe'!$E$26),0,(C8457&gt;='Resultats - informe'!$D$27)*(C8457&lt;='Resultats - informe'!$E$27),0,(C8457&gt;='Resultats - informe'!$D$28)*(C8457&lt;='Resultats - informe'!$E$28),0,(C8457&gt;='Resultats - informe'!$D$29)*(C8457&lt;='Resultats - informe'!$E$29),0,1,1)</f>
        <v>0</v>
      </c>
      <c r="N8457" s="366">
        <f>+VLOOKUP(D8457,'Resultats - informe'!$Y$18:$AG$42,'Introducció dades consum'!K8457+1,0)</f>
        <v>0</v>
      </c>
      <c r="O8457" s="370" cm="1">
        <f t="array" ref="O8457">+_xlfn.SWITCH(MONTH(C8457),1,1,2,1,3,1,4,2,5,2,6,3,7,3,8,3,9,3,10,2,11,2,12,1,2)</f>
        <v>1</v>
      </c>
      <c r="P8457" s="43"/>
    </row>
    <row r="8458" spans="1:16" ht="18" x14ac:dyDescent="0.35">
      <c r="A8458" s="9"/>
      <c r="C8458" s="393"/>
      <c r="E8458" s="394"/>
      <c r="F8458" s="394"/>
      <c r="G8458" s="394"/>
      <c r="I8458" s="368">
        <f t="shared" si="399"/>
        <v>0</v>
      </c>
      <c r="J8458" s="365">
        <f t="shared" si="400"/>
        <v>0</v>
      </c>
      <c r="K8458" s="369">
        <f t="shared" si="401"/>
        <v>6</v>
      </c>
      <c r="L8458" s="369">
        <f>+IF((C8458&gt;='Resultats - informe'!$E$16)*(C8458&lt;='Resultats - informe'!$G$16),1,0)</f>
        <v>1</v>
      </c>
      <c r="M8458" s="369" cm="1">
        <f t="array" ref="M8458">+_xlfn.IFS((C8458&gt;='Resultats - informe'!$D$26)*(C8458&lt;='Resultats - informe'!$E$26),0,(C8458&gt;='Resultats - informe'!$D$27)*(C8458&lt;='Resultats - informe'!$E$27),0,(C8458&gt;='Resultats - informe'!$D$28)*(C8458&lt;='Resultats - informe'!$E$28),0,(C8458&gt;='Resultats - informe'!$D$29)*(C8458&lt;='Resultats - informe'!$E$29),0,1,1)</f>
        <v>0</v>
      </c>
      <c r="N8458" s="366">
        <f>+VLOOKUP(D8458,'Resultats - informe'!$Y$18:$AG$42,'Introducció dades consum'!K8458+1,0)</f>
        <v>0</v>
      </c>
      <c r="O8458" s="370" cm="1">
        <f t="array" ref="O8458">+_xlfn.SWITCH(MONTH(C8458),1,1,2,1,3,1,4,2,5,2,6,3,7,3,8,3,9,3,10,2,11,2,12,1,2)</f>
        <v>1</v>
      </c>
      <c r="P8458" s="43"/>
    </row>
    <row r="8459" spans="1:16" ht="18" x14ac:dyDescent="0.35">
      <c r="A8459" s="9"/>
      <c r="C8459" s="393"/>
      <c r="E8459" s="394"/>
      <c r="F8459" s="394"/>
      <c r="G8459" s="394"/>
      <c r="I8459" s="368">
        <f t="shared" si="399"/>
        <v>0</v>
      </c>
      <c r="J8459" s="365">
        <f t="shared" si="400"/>
        <v>0</v>
      </c>
      <c r="K8459" s="369">
        <f t="shared" si="401"/>
        <v>6</v>
      </c>
      <c r="L8459" s="369">
        <f>+IF((C8459&gt;='Resultats - informe'!$E$16)*(C8459&lt;='Resultats - informe'!$G$16),1,0)</f>
        <v>1</v>
      </c>
      <c r="M8459" s="369" cm="1">
        <f t="array" ref="M8459">+_xlfn.IFS((C8459&gt;='Resultats - informe'!$D$26)*(C8459&lt;='Resultats - informe'!$E$26),0,(C8459&gt;='Resultats - informe'!$D$27)*(C8459&lt;='Resultats - informe'!$E$27),0,(C8459&gt;='Resultats - informe'!$D$28)*(C8459&lt;='Resultats - informe'!$E$28),0,(C8459&gt;='Resultats - informe'!$D$29)*(C8459&lt;='Resultats - informe'!$E$29),0,1,1)</f>
        <v>0</v>
      </c>
      <c r="N8459" s="366">
        <f>+VLOOKUP(D8459,'Resultats - informe'!$Y$18:$AG$42,'Introducció dades consum'!K8459+1,0)</f>
        <v>0</v>
      </c>
      <c r="O8459" s="370" cm="1">
        <f t="array" ref="O8459">+_xlfn.SWITCH(MONTH(C8459),1,1,2,1,3,1,4,2,5,2,6,3,7,3,8,3,9,3,10,2,11,2,12,1,2)</f>
        <v>1</v>
      </c>
      <c r="P8459" s="43"/>
    </row>
    <row r="8460" spans="1:16" ht="18" x14ac:dyDescent="0.35">
      <c r="A8460" s="9"/>
      <c r="C8460" s="393"/>
      <c r="E8460" s="394"/>
      <c r="F8460" s="394"/>
      <c r="G8460" s="394"/>
      <c r="I8460" s="368">
        <f t="shared" si="399"/>
        <v>0</v>
      </c>
      <c r="J8460" s="365">
        <f t="shared" si="400"/>
        <v>0</v>
      </c>
      <c r="K8460" s="369">
        <f t="shared" si="401"/>
        <v>6</v>
      </c>
      <c r="L8460" s="369">
        <f>+IF((C8460&gt;='Resultats - informe'!$E$16)*(C8460&lt;='Resultats - informe'!$G$16),1,0)</f>
        <v>1</v>
      </c>
      <c r="M8460" s="369" cm="1">
        <f t="array" ref="M8460">+_xlfn.IFS((C8460&gt;='Resultats - informe'!$D$26)*(C8460&lt;='Resultats - informe'!$E$26),0,(C8460&gt;='Resultats - informe'!$D$27)*(C8460&lt;='Resultats - informe'!$E$27),0,(C8460&gt;='Resultats - informe'!$D$28)*(C8460&lt;='Resultats - informe'!$E$28),0,(C8460&gt;='Resultats - informe'!$D$29)*(C8460&lt;='Resultats - informe'!$E$29),0,1,1)</f>
        <v>0</v>
      </c>
      <c r="N8460" s="366">
        <f>+VLOOKUP(D8460,'Resultats - informe'!$Y$18:$AG$42,'Introducció dades consum'!K8460+1,0)</f>
        <v>0</v>
      </c>
      <c r="O8460" s="370" cm="1">
        <f t="array" ref="O8460">+_xlfn.SWITCH(MONTH(C8460),1,1,2,1,3,1,4,2,5,2,6,3,7,3,8,3,9,3,10,2,11,2,12,1,2)</f>
        <v>1</v>
      </c>
      <c r="P8460" s="43"/>
    </row>
    <row r="8461" spans="1:16" ht="18" x14ac:dyDescent="0.35">
      <c r="A8461" s="9"/>
      <c r="C8461" s="393"/>
      <c r="E8461" s="394"/>
      <c r="F8461" s="394"/>
      <c r="G8461" s="394"/>
      <c r="I8461" s="368">
        <f t="shared" si="399"/>
        <v>0</v>
      </c>
      <c r="J8461" s="365">
        <f t="shared" si="400"/>
        <v>0</v>
      </c>
      <c r="K8461" s="369">
        <f t="shared" si="401"/>
        <v>6</v>
      </c>
      <c r="L8461" s="369">
        <f>+IF((C8461&gt;='Resultats - informe'!$E$16)*(C8461&lt;='Resultats - informe'!$G$16),1,0)</f>
        <v>1</v>
      </c>
      <c r="M8461" s="369" cm="1">
        <f t="array" ref="M8461">+_xlfn.IFS((C8461&gt;='Resultats - informe'!$D$26)*(C8461&lt;='Resultats - informe'!$E$26),0,(C8461&gt;='Resultats - informe'!$D$27)*(C8461&lt;='Resultats - informe'!$E$27),0,(C8461&gt;='Resultats - informe'!$D$28)*(C8461&lt;='Resultats - informe'!$E$28),0,(C8461&gt;='Resultats - informe'!$D$29)*(C8461&lt;='Resultats - informe'!$E$29),0,1,1)</f>
        <v>0</v>
      </c>
      <c r="N8461" s="366">
        <f>+VLOOKUP(D8461,'Resultats - informe'!$Y$18:$AG$42,'Introducció dades consum'!K8461+1,0)</f>
        <v>0</v>
      </c>
      <c r="O8461" s="370" cm="1">
        <f t="array" ref="O8461">+_xlfn.SWITCH(MONTH(C8461),1,1,2,1,3,1,4,2,5,2,6,3,7,3,8,3,9,3,10,2,11,2,12,1,2)</f>
        <v>1</v>
      </c>
      <c r="P8461" s="43"/>
    </row>
    <row r="8462" spans="1:16" ht="18" x14ac:dyDescent="0.35">
      <c r="A8462" s="9"/>
      <c r="C8462" s="393"/>
      <c r="E8462" s="394"/>
      <c r="F8462" s="394"/>
      <c r="G8462" s="394"/>
      <c r="I8462" s="368">
        <f t="shared" si="399"/>
        <v>0</v>
      </c>
      <c r="J8462" s="365">
        <f t="shared" si="400"/>
        <v>0</v>
      </c>
      <c r="K8462" s="369">
        <f t="shared" si="401"/>
        <v>6</v>
      </c>
      <c r="L8462" s="369">
        <f>+IF((C8462&gt;='Resultats - informe'!$E$16)*(C8462&lt;='Resultats - informe'!$G$16),1,0)</f>
        <v>1</v>
      </c>
      <c r="M8462" s="369" cm="1">
        <f t="array" ref="M8462">+_xlfn.IFS((C8462&gt;='Resultats - informe'!$D$26)*(C8462&lt;='Resultats - informe'!$E$26),0,(C8462&gt;='Resultats - informe'!$D$27)*(C8462&lt;='Resultats - informe'!$E$27),0,(C8462&gt;='Resultats - informe'!$D$28)*(C8462&lt;='Resultats - informe'!$E$28),0,(C8462&gt;='Resultats - informe'!$D$29)*(C8462&lt;='Resultats - informe'!$E$29),0,1,1)</f>
        <v>0</v>
      </c>
      <c r="N8462" s="366">
        <f>+VLOOKUP(D8462,'Resultats - informe'!$Y$18:$AG$42,'Introducció dades consum'!K8462+1,0)</f>
        <v>0</v>
      </c>
      <c r="O8462" s="370" cm="1">
        <f t="array" ref="O8462">+_xlfn.SWITCH(MONTH(C8462),1,1,2,1,3,1,4,2,5,2,6,3,7,3,8,3,9,3,10,2,11,2,12,1,2)</f>
        <v>1</v>
      </c>
      <c r="P8462" s="43"/>
    </row>
    <row r="8463" spans="1:16" ht="18" x14ac:dyDescent="0.35">
      <c r="A8463" s="9"/>
      <c r="C8463" s="393"/>
      <c r="E8463" s="394"/>
      <c r="F8463" s="394"/>
      <c r="G8463" s="394"/>
      <c r="I8463" s="368">
        <f t="shared" si="399"/>
        <v>0</v>
      </c>
      <c r="J8463" s="365">
        <f t="shared" si="400"/>
        <v>0</v>
      </c>
      <c r="K8463" s="369">
        <f t="shared" si="401"/>
        <v>6</v>
      </c>
      <c r="L8463" s="369">
        <f>+IF((C8463&gt;='Resultats - informe'!$E$16)*(C8463&lt;='Resultats - informe'!$G$16),1,0)</f>
        <v>1</v>
      </c>
      <c r="M8463" s="369" cm="1">
        <f t="array" ref="M8463">+_xlfn.IFS((C8463&gt;='Resultats - informe'!$D$26)*(C8463&lt;='Resultats - informe'!$E$26),0,(C8463&gt;='Resultats - informe'!$D$27)*(C8463&lt;='Resultats - informe'!$E$27),0,(C8463&gt;='Resultats - informe'!$D$28)*(C8463&lt;='Resultats - informe'!$E$28),0,(C8463&gt;='Resultats - informe'!$D$29)*(C8463&lt;='Resultats - informe'!$E$29),0,1,1)</f>
        <v>0</v>
      </c>
      <c r="N8463" s="366">
        <f>+VLOOKUP(D8463,'Resultats - informe'!$Y$18:$AG$42,'Introducció dades consum'!K8463+1,0)</f>
        <v>0</v>
      </c>
      <c r="O8463" s="370" cm="1">
        <f t="array" ref="O8463">+_xlfn.SWITCH(MONTH(C8463),1,1,2,1,3,1,4,2,5,2,6,3,7,3,8,3,9,3,10,2,11,2,12,1,2)</f>
        <v>1</v>
      </c>
      <c r="P8463" s="43"/>
    </row>
    <row r="8464" spans="1:16" ht="18" x14ac:dyDescent="0.35">
      <c r="A8464" s="9"/>
      <c r="C8464" s="393"/>
      <c r="E8464" s="394"/>
      <c r="F8464" s="394"/>
      <c r="G8464" s="394"/>
      <c r="I8464" s="368">
        <f t="shared" si="399"/>
        <v>0</v>
      </c>
      <c r="J8464" s="365">
        <f t="shared" si="400"/>
        <v>0</v>
      </c>
      <c r="K8464" s="369">
        <f t="shared" si="401"/>
        <v>6</v>
      </c>
      <c r="L8464" s="369">
        <f>+IF((C8464&gt;='Resultats - informe'!$E$16)*(C8464&lt;='Resultats - informe'!$G$16),1,0)</f>
        <v>1</v>
      </c>
      <c r="M8464" s="369" cm="1">
        <f t="array" ref="M8464">+_xlfn.IFS((C8464&gt;='Resultats - informe'!$D$26)*(C8464&lt;='Resultats - informe'!$E$26),0,(C8464&gt;='Resultats - informe'!$D$27)*(C8464&lt;='Resultats - informe'!$E$27),0,(C8464&gt;='Resultats - informe'!$D$28)*(C8464&lt;='Resultats - informe'!$E$28),0,(C8464&gt;='Resultats - informe'!$D$29)*(C8464&lt;='Resultats - informe'!$E$29),0,1,1)</f>
        <v>0</v>
      </c>
      <c r="N8464" s="366">
        <f>+VLOOKUP(D8464,'Resultats - informe'!$Y$18:$AG$42,'Introducció dades consum'!K8464+1,0)</f>
        <v>0</v>
      </c>
      <c r="O8464" s="370" cm="1">
        <f t="array" ref="O8464">+_xlfn.SWITCH(MONTH(C8464),1,1,2,1,3,1,4,2,5,2,6,3,7,3,8,3,9,3,10,2,11,2,12,1,2)</f>
        <v>1</v>
      </c>
      <c r="P8464" s="43"/>
    </row>
    <row r="8465" spans="1:16" ht="18" x14ac:dyDescent="0.35">
      <c r="A8465" s="9"/>
      <c r="C8465" s="393"/>
      <c r="E8465" s="394"/>
      <c r="F8465" s="394"/>
      <c r="G8465" s="394"/>
      <c r="I8465" s="368">
        <f t="shared" si="399"/>
        <v>0</v>
      </c>
      <c r="J8465" s="365">
        <f t="shared" si="400"/>
        <v>0</v>
      </c>
      <c r="K8465" s="369">
        <f t="shared" si="401"/>
        <v>6</v>
      </c>
      <c r="L8465" s="369">
        <f>+IF((C8465&gt;='Resultats - informe'!$E$16)*(C8465&lt;='Resultats - informe'!$G$16),1,0)</f>
        <v>1</v>
      </c>
      <c r="M8465" s="369" cm="1">
        <f t="array" ref="M8465">+_xlfn.IFS((C8465&gt;='Resultats - informe'!$D$26)*(C8465&lt;='Resultats - informe'!$E$26),0,(C8465&gt;='Resultats - informe'!$D$27)*(C8465&lt;='Resultats - informe'!$E$27),0,(C8465&gt;='Resultats - informe'!$D$28)*(C8465&lt;='Resultats - informe'!$E$28),0,(C8465&gt;='Resultats - informe'!$D$29)*(C8465&lt;='Resultats - informe'!$E$29),0,1,1)</f>
        <v>0</v>
      </c>
      <c r="N8465" s="366">
        <f>+VLOOKUP(D8465,'Resultats - informe'!$Y$18:$AG$42,'Introducció dades consum'!K8465+1,0)</f>
        <v>0</v>
      </c>
      <c r="O8465" s="370" cm="1">
        <f t="array" ref="O8465">+_xlfn.SWITCH(MONTH(C8465),1,1,2,1,3,1,4,2,5,2,6,3,7,3,8,3,9,3,10,2,11,2,12,1,2)</f>
        <v>1</v>
      </c>
      <c r="P8465" s="43"/>
    </row>
    <row r="8466" spans="1:16" ht="18" x14ac:dyDescent="0.35">
      <c r="A8466" s="9"/>
      <c r="C8466" s="393"/>
      <c r="E8466" s="394"/>
      <c r="F8466" s="394"/>
      <c r="G8466" s="394"/>
      <c r="I8466" s="368">
        <f t="shared" ref="I8466:I8529" si="402">+E8466+G8466</f>
        <v>0</v>
      </c>
      <c r="J8466" s="365">
        <f t="shared" ref="J8466:J8529" si="403">+C8466</f>
        <v>0</v>
      </c>
      <c r="K8466" s="369">
        <f t="shared" ref="K8466:K8529" si="404">+WEEKDAY(C8466,2)</f>
        <v>6</v>
      </c>
      <c r="L8466" s="369">
        <f>+IF((C8466&gt;='Resultats - informe'!$E$16)*(C8466&lt;='Resultats - informe'!$G$16),1,0)</f>
        <v>1</v>
      </c>
      <c r="M8466" s="369" cm="1">
        <f t="array" ref="M8466">+_xlfn.IFS((C8466&gt;='Resultats - informe'!$D$26)*(C8466&lt;='Resultats - informe'!$E$26),0,(C8466&gt;='Resultats - informe'!$D$27)*(C8466&lt;='Resultats - informe'!$E$27),0,(C8466&gt;='Resultats - informe'!$D$28)*(C8466&lt;='Resultats - informe'!$E$28),0,(C8466&gt;='Resultats - informe'!$D$29)*(C8466&lt;='Resultats - informe'!$E$29),0,1,1)</f>
        <v>0</v>
      </c>
      <c r="N8466" s="366">
        <f>+VLOOKUP(D8466,'Resultats - informe'!$Y$18:$AG$42,'Introducció dades consum'!K8466+1,0)</f>
        <v>0</v>
      </c>
      <c r="O8466" s="370" cm="1">
        <f t="array" ref="O8466">+_xlfn.SWITCH(MONTH(C8466),1,1,2,1,3,1,4,2,5,2,6,3,7,3,8,3,9,3,10,2,11,2,12,1,2)</f>
        <v>1</v>
      </c>
      <c r="P8466" s="43"/>
    </row>
    <row r="8467" spans="1:16" ht="18" x14ac:dyDescent="0.35">
      <c r="A8467" s="9"/>
      <c r="C8467" s="393"/>
      <c r="E8467" s="394"/>
      <c r="F8467" s="394"/>
      <c r="G8467" s="394"/>
      <c r="I8467" s="368">
        <f t="shared" si="402"/>
        <v>0</v>
      </c>
      <c r="J8467" s="365">
        <f t="shared" si="403"/>
        <v>0</v>
      </c>
      <c r="K8467" s="369">
        <f t="shared" si="404"/>
        <v>6</v>
      </c>
      <c r="L8467" s="369">
        <f>+IF((C8467&gt;='Resultats - informe'!$E$16)*(C8467&lt;='Resultats - informe'!$G$16),1,0)</f>
        <v>1</v>
      </c>
      <c r="M8467" s="369" cm="1">
        <f t="array" ref="M8467">+_xlfn.IFS((C8467&gt;='Resultats - informe'!$D$26)*(C8467&lt;='Resultats - informe'!$E$26),0,(C8467&gt;='Resultats - informe'!$D$27)*(C8467&lt;='Resultats - informe'!$E$27),0,(C8467&gt;='Resultats - informe'!$D$28)*(C8467&lt;='Resultats - informe'!$E$28),0,(C8467&gt;='Resultats - informe'!$D$29)*(C8467&lt;='Resultats - informe'!$E$29),0,1,1)</f>
        <v>0</v>
      </c>
      <c r="N8467" s="366">
        <f>+VLOOKUP(D8467,'Resultats - informe'!$Y$18:$AG$42,'Introducció dades consum'!K8467+1,0)</f>
        <v>0</v>
      </c>
      <c r="O8467" s="370" cm="1">
        <f t="array" ref="O8467">+_xlfn.SWITCH(MONTH(C8467),1,1,2,1,3,1,4,2,5,2,6,3,7,3,8,3,9,3,10,2,11,2,12,1,2)</f>
        <v>1</v>
      </c>
      <c r="P8467" s="43"/>
    </row>
    <row r="8468" spans="1:16" ht="18" x14ac:dyDescent="0.35">
      <c r="A8468" s="9"/>
      <c r="C8468" s="393"/>
      <c r="E8468" s="394"/>
      <c r="F8468" s="394"/>
      <c r="G8468" s="394"/>
      <c r="I8468" s="368">
        <f t="shared" si="402"/>
        <v>0</v>
      </c>
      <c r="J8468" s="365">
        <f t="shared" si="403"/>
        <v>0</v>
      </c>
      <c r="K8468" s="369">
        <f t="shared" si="404"/>
        <v>6</v>
      </c>
      <c r="L8468" s="369">
        <f>+IF((C8468&gt;='Resultats - informe'!$E$16)*(C8468&lt;='Resultats - informe'!$G$16),1,0)</f>
        <v>1</v>
      </c>
      <c r="M8468" s="369" cm="1">
        <f t="array" ref="M8468">+_xlfn.IFS((C8468&gt;='Resultats - informe'!$D$26)*(C8468&lt;='Resultats - informe'!$E$26),0,(C8468&gt;='Resultats - informe'!$D$27)*(C8468&lt;='Resultats - informe'!$E$27),0,(C8468&gt;='Resultats - informe'!$D$28)*(C8468&lt;='Resultats - informe'!$E$28),0,(C8468&gt;='Resultats - informe'!$D$29)*(C8468&lt;='Resultats - informe'!$E$29),0,1,1)</f>
        <v>0</v>
      </c>
      <c r="N8468" s="366">
        <f>+VLOOKUP(D8468,'Resultats - informe'!$Y$18:$AG$42,'Introducció dades consum'!K8468+1,0)</f>
        <v>0</v>
      </c>
      <c r="O8468" s="370" cm="1">
        <f t="array" ref="O8468">+_xlfn.SWITCH(MONTH(C8468),1,1,2,1,3,1,4,2,5,2,6,3,7,3,8,3,9,3,10,2,11,2,12,1,2)</f>
        <v>1</v>
      </c>
      <c r="P8468" s="43"/>
    </row>
    <row r="8469" spans="1:16" ht="18" x14ac:dyDescent="0.35">
      <c r="A8469" s="9"/>
      <c r="C8469" s="393"/>
      <c r="E8469" s="394"/>
      <c r="F8469" s="394"/>
      <c r="G8469" s="394"/>
      <c r="I8469" s="368">
        <f t="shared" si="402"/>
        <v>0</v>
      </c>
      <c r="J8469" s="365">
        <f t="shared" si="403"/>
        <v>0</v>
      </c>
      <c r="K8469" s="369">
        <f t="shared" si="404"/>
        <v>6</v>
      </c>
      <c r="L8469" s="369">
        <f>+IF((C8469&gt;='Resultats - informe'!$E$16)*(C8469&lt;='Resultats - informe'!$G$16),1,0)</f>
        <v>1</v>
      </c>
      <c r="M8469" s="369" cm="1">
        <f t="array" ref="M8469">+_xlfn.IFS((C8469&gt;='Resultats - informe'!$D$26)*(C8469&lt;='Resultats - informe'!$E$26),0,(C8469&gt;='Resultats - informe'!$D$27)*(C8469&lt;='Resultats - informe'!$E$27),0,(C8469&gt;='Resultats - informe'!$D$28)*(C8469&lt;='Resultats - informe'!$E$28),0,(C8469&gt;='Resultats - informe'!$D$29)*(C8469&lt;='Resultats - informe'!$E$29),0,1,1)</f>
        <v>0</v>
      </c>
      <c r="N8469" s="366">
        <f>+VLOOKUP(D8469,'Resultats - informe'!$Y$18:$AG$42,'Introducció dades consum'!K8469+1,0)</f>
        <v>0</v>
      </c>
      <c r="O8469" s="370" cm="1">
        <f t="array" ref="O8469">+_xlfn.SWITCH(MONTH(C8469),1,1,2,1,3,1,4,2,5,2,6,3,7,3,8,3,9,3,10,2,11,2,12,1,2)</f>
        <v>1</v>
      </c>
      <c r="P8469" s="43"/>
    </row>
    <row r="8470" spans="1:16" ht="18" x14ac:dyDescent="0.35">
      <c r="A8470" s="9"/>
      <c r="C8470" s="393"/>
      <c r="E8470" s="394"/>
      <c r="F8470" s="394"/>
      <c r="G8470" s="394"/>
      <c r="I8470" s="368">
        <f t="shared" si="402"/>
        <v>0</v>
      </c>
      <c r="J8470" s="365">
        <f t="shared" si="403"/>
        <v>0</v>
      </c>
      <c r="K8470" s="369">
        <f t="shared" si="404"/>
        <v>6</v>
      </c>
      <c r="L8470" s="369">
        <f>+IF((C8470&gt;='Resultats - informe'!$E$16)*(C8470&lt;='Resultats - informe'!$G$16),1,0)</f>
        <v>1</v>
      </c>
      <c r="M8470" s="369" cm="1">
        <f t="array" ref="M8470">+_xlfn.IFS((C8470&gt;='Resultats - informe'!$D$26)*(C8470&lt;='Resultats - informe'!$E$26),0,(C8470&gt;='Resultats - informe'!$D$27)*(C8470&lt;='Resultats - informe'!$E$27),0,(C8470&gt;='Resultats - informe'!$D$28)*(C8470&lt;='Resultats - informe'!$E$28),0,(C8470&gt;='Resultats - informe'!$D$29)*(C8470&lt;='Resultats - informe'!$E$29),0,1,1)</f>
        <v>0</v>
      </c>
      <c r="N8470" s="366">
        <f>+VLOOKUP(D8470,'Resultats - informe'!$Y$18:$AG$42,'Introducció dades consum'!K8470+1,0)</f>
        <v>0</v>
      </c>
      <c r="O8470" s="370" cm="1">
        <f t="array" ref="O8470">+_xlfn.SWITCH(MONTH(C8470),1,1,2,1,3,1,4,2,5,2,6,3,7,3,8,3,9,3,10,2,11,2,12,1,2)</f>
        <v>1</v>
      </c>
      <c r="P8470" s="43"/>
    </row>
    <row r="8471" spans="1:16" ht="18" x14ac:dyDescent="0.35">
      <c r="A8471" s="9"/>
      <c r="C8471" s="393"/>
      <c r="E8471" s="394"/>
      <c r="F8471" s="394"/>
      <c r="G8471" s="394"/>
      <c r="I8471" s="368">
        <f t="shared" si="402"/>
        <v>0</v>
      </c>
      <c r="J8471" s="365">
        <f t="shared" si="403"/>
        <v>0</v>
      </c>
      <c r="K8471" s="369">
        <f t="shared" si="404"/>
        <v>6</v>
      </c>
      <c r="L8471" s="369">
        <f>+IF((C8471&gt;='Resultats - informe'!$E$16)*(C8471&lt;='Resultats - informe'!$G$16),1,0)</f>
        <v>1</v>
      </c>
      <c r="M8471" s="369" cm="1">
        <f t="array" ref="M8471">+_xlfn.IFS((C8471&gt;='Resultats - informe'!$D$26)*(C8471&lt;='Resultats - informe'!$E$26),0,(C8471&gt;='Resultats - informe'!$D$27)*(C8471&lt;='Resultats - informe'!$E$27),0,(C8471&gt;='Resultats - informe'!$D$28)*(C8471&lt;='Resultats - informe'!$E$28),0,(C8471&gt;='Resultats - informe'!$D$29)*(C8471&lt;='Resultats - informe'!$E$29),0,1,1)</f>
        <v>0</v>
      </c>
      <c r="N8471" s="366">
        <f>+VLOOKUP(D8471,'Resultats - informe'!$Y$18:$AG$42,'Introducció dades consum'!K8471+1,0)</f>
        <v>0</v>
      </c>
      <c r="O8471" s="370" cm="1">
        <f t="array" ref="O8471">+_xlfn.SWITCH(MONTH(C8471),1,1,2,1,3,1,4,2,5,2,6,3,7,3,8,3,9,3,10,2,11,2,12,1,2)</f>
        <v>1</v>
      </c>
      <c r="P8471" s="43"/>
    </row>
    <row r="8472" spans="1:16" ht="18" x14ac:dyDescent="0.35">
      <c r="A8472" s="9"/>
      <c r="C8472" s="393"/>
      <c r="E8472" s="394"/>
      <c r="F8472" s="394"/>
      <c r="G8472" s="394"/>
      <c r="I8472" s="368">
        <f t="shared" si="402"/>
        <v>0</v>
      </c>
      <c r="J8472" s="365">
        <f t="shared" si="403"/>
        <v>0</v>
      </c>
      <c r="K8472" s="369">
        <f t="shared" si="404"/>
        <v>6</v>
      </c>
      <c r="L8472" s="369">
        <f>+IF((C8472&gt;='Resultats - informe'!$E$16)*(C8472&lt;='Resultats - informe'!$G$16),1,0)</f>
        <v>1</v>
      </c>
      <c r="M8472" s="369" cm="1">
        <f t="array" ref="M8472">+_xlfn.IFS((C8472&gt;='Resultats - informe'!$D$26)*(C8472&lt;='Resultats - informe'!$E$26),0,(C8472&gt;='Resultats - informe'!$D$27)*(C8472&lt;='Resultats - informe'!$E$27),0,(C8472&gt;='Resultats - informe'!$D$28)*(C8472&lt;='Resultats - informe'!$E$28),0,(C8472&gt;='Resultats - informe'!$D$29)*(C8472&lt;='Resultats - informe'!$E$29),0,1,1)</f>
        <v>0</v>
      </c>
      <c r="N8472" s="366">
        <f>+VLOOKUP(D8472,'Resultats - informe'!$Y$18:$AG$42,'Introducció dades consum'!K8472+1,0)</f>
        <v>0</v>
      </c>
      <c r="O8472" s="370" cm="1">
        <f t="array" ref="O8472">+_xlfn.SWITCH(MONTH(C8472),1,1,2,1,3,1,4,2,5,2,6,3,7,3,8,3,9,3,10,2,11,2,12,1,2)</f>
        <v>1</v>
      </c>
      <c r="P8472" s="43"/>
    </row>
    <row r="8473" spans="1:16" ht="18" x14ac:dyDescent="0.35">
      <c r="A8473" s="9"/>
      <c r="C8473" s="393"/>
      <c r="E8473" s="394"/>
      <c r="F8473" s="394"/>
      <c r="G8473" s="394"/>
      <c r="I8473" s="368">
        <f t="shared" si="402"/>
        <v>0</v>
      </c>
      <c r="J8473" s="365">
        <f t="shared" si="403"/>
        <v>0</v>
      </c>
      <c r="K8473" s="369">
        <f t="shared" si="404"/>
        <v>6</v>
      </c>
      <c r="L8473" s="369">
        <f>+IF((C8473&gt;='Resultats - informe'!$E$16)*(C8473&lt;='Resultats - informe'!$G$16),1,0)</f>
        <v>1</v>
      </c>
      <c r="M8473" s="369" cm="1">
        <f t="array" ref="M8473">+_xlfn.IFS((C8473&gt;='Resultats - informe'!$D$26)*(C8473&lt;='Resultats - informe'!$E$26),0,(C8473&gt;='Resultats - informe'!$D$27)*(C8473&lt;='Resultats - informe'!$E$27),0,(C8473&gt;='Resultats - informe'!$D$28)*(C8473&lt;='Resultats - informe'!$E$28),0,(C8473&gt;='Resultats - informe'!$D$29)*(C8473&lt;='Resultats - informe'!$E$29),0,1,1)</f>
        <v>0</v>
      </c>
      <c r="N8473" s="366">
        <f>+VLOOKUP(D8473,'Resultats - informe'!$Y$18:$AG$42,'Introducció dades consum'!K8473+1,0)</f>
        <v>0</v>
      </c>
      <c r="O8473" s="370" cm="1">
        <f t="array" ref="O8473">+_xlfn.SWITCH(MONTH(C8473),1,1,2,1,3,1,4,2,5,2,6,3,7,3,8,3,9,3,10,2,11,2,12,1,2)</f>
        <v>1</v>
      </c>
      <c r="P8473" s="43"/>
    </row>
    <row r="8474" spans="1:16" ht="18" x14ac:dyDescent="0.35">
      <c r="A8474" s="9"/>
      <c r="C8474" s="393"/>
      <c r="E8474" s="394"/>
      <c r="F8474" s="394"/>
      <c r="G8474" s="394"/>
      <c r="I8474" s="368">
        <f t="shared" si="402"/>
        <v>0</v>
      </c>
      <c r="J8474" s="365">
        <f t="shared" si="403"/>
        <v>0</v>
      </c>
      <c r="K8474" s="369">
        <f t="shared" si="404"/>
        <v>6</v>
      </c>
      <c r="L8474" s="369">
        <f>+IF((C8474&gt;='Resultats - informe'!$E$16)*(C8474&lt;='Resultats - informe'!$G$16),1,0)</f>
        <v>1</v>
      </c>
      <c r="M8474" s="369" cm="1">
        <f t="array" ref="M8474">+_xlfn.IFS((C8474&gt;='Resultats - informe'!$D$26)*(C8474&lt;='Resultats - informe'!$E$26),0,(C8474&gt;='Resultats - informe'!$D$27)*(C8474&lt;='Resultats - informe'!$E$27),0,(C8474&gt;='Resultats - informe'!$D$28)*(C8474&lt;='Resultats - informe'!$E$28),0,(C8474&gt;='Resultats - informe'!$D$29)*(C8474&lt;='Resultats - informe'!$E$29),0,1,1)</f>
        <v>0</v>
      </c>
      <c r="N8474" s="366">
        <f>+VLOOKUP(D8474,'Resultats - informe'!$Y$18:$AG$42,'Introducció dades consum'!K8474+1,0)</f>
        <v>0</v>
      </c>
      <c r="O8474" s="370" cm="1">
        <f t="array" ref="O8474">+_xlfn.SWITCH(MONTH(C8474),1,1,2,1,3,1,4,2,5,2,6,3,7,3,8,3,9,3,10,2,11,2,12,1,2)</f>
        <v>1</v>
      </c>
      <c r="P8474" s="43"/>
    </row>
    <row r="8475" spans="1:16" ht="18" x14ac:dyDescent="0.35">
      <c r="A8475" s="9"/>
      <c r="C8475" s="393"/>
      <c r="E8475" s="394"/>
      <c r="F8475" s="394"/>
      <c r="G8475" s="394"/>
      <c r="I8475" s="368">
        <f t="shared" si="402"/>
        <v>0</v>
      </c>
      <c r="J8475" s="365">
        <f t="shared" si="403"/>
        <v>0</v>
      </c>
      <c r="K8475" s="369">
        <f t="shared" si="404"/>
        <v>6</v>
      </c>
      <c r="L8475" s="369">
        <f>+IF((C8475&gt;='Resultats - informe'!$E$16)*(C8475&lt;='Resultats - informe'!$G$16),1,0)</f>
        <v>1</v>
      </c>
      <c r="M8475" s="369" cm="1">
        <f t="array" ref="M8475">+_xlfn.IFS((C8475&gt;='Resultats - informe'!$D$26)*(C8475&lt;='Resultats - informe'!$E$26),0,(C8475&gt;='Resultats - informe'!$D$27)*(C8475&lt;='Resultats - informe'!$E$27),0,(C8475&gt;='Resultats - informe'!$D$28)*(C8475&lt;='Resultats - informe'!$E$28),0,(C8475&gt;='Resultats - informe'!$D$29)*(C8475&lt;='Resultats - informe'!$E$29),0,1,1)</f>
        <v>0</v>
      </c>
      <c r="N8475" s="366">
        <f>+VLOOKUP(D8475,'Resultats - informe'!$Y$18:$AG$42,'Introducció dades consum'!K8475+1,0)</f>
        <v>0</v>
      </c>
      <c r="O8475" s="370" cm="1">
        <f t="array" ref="O8475">+_xlfn.SWITCH(MONTH(C8475),1,1,2,1,3,1,4,2,5,2,6,3,7,3,8,3,9,3,10,2,11,2,12,1,2)</f>
        <v>1</v>
      </c>
      <c r="P8475" s="43"/>
    </row>
    <row r="8476" spans="1:16" ht="18" x14ac:dyDescent="0.35">
      <c r="A8476" s="9"/>
      <c r="C8476" s="393"/>
      <c r="E8476" s="394"/>
      <c r="F8476" s="394"/>
      <c r="G8476" s="394"/>
      <c r="I8476" s="368">
        <f t="shared" si="402"/>
        <v>0</v>
      </c>
      <c r="J8476" s="365">
        <f t="shared" si="403"/>
        <v>0</v>
      </c>
      <c r="K8476" s="369">
        <f t="shared" si="404"/>
        <v>6</v>
      </c>
      <c r="L8476" s="369">
        <f>+IF((C8476&gt;='Resultats - informe'!$E$16)*(C8476&lt;='Resultats - informe'!$G$16),1,0)</f>
        <v>1</v>
      </c>
      <c r="M8476" s="369" cm="1">
        <f t="array" ref="M8476">+_xlfn.IFS((C8476&gt;='Resultats - informe'!$D$26)*(C8476&lt;='Resultats - informe'!$E$26),0,(C8476&gt;='Resultats - informe'!$D$27)*(C8476&lt;='Resultats - informe'!$E$27),0,(C8476&gt;='Resultats - informe'!$D$28)*(C8476&lt;='Resultats - informe'!$E$28),0,(C8476&gt;='Resultats - informe'!$D$29)*(C8476&lt;='Resultats - informe'!$E$29),0,1,1)</f>
        <v>0</v>
      </c>
      <c r="N8476" s="366">
        <f>+VLOOKUP(D8476,'Resultats - informe'!$Y$18:$AG$42,'Introducció dades consum'!K8476+1,0)</f>
        <v>0</v>
      </c>
      <c r="O8476" s="370" cm="1">
        <f t="array" ref="O8476">+_xlfn.SWITCH(MONTH(C8476),1,1,2,1,3,1,4,2,5,2,6,3,7,3,8,3,9,3,10,2,11,2,12,1,2)</f>
        <v>1</v>
      </c>
      <c r="P8476" s="43"/>
    </row>
    <row r="8477" spans="1:16" ht="18" x14ac:dyDescent="0.35">
      <c r="A8477" s="9"/>
      <c r="C8477" s="393"/>
      <c r="E8477" s="394"/>
      <c r="F8477" s="394"/>
      <c r="G8477" s="394"/>
      <c r="I8477" s="368">
        <f t="shared" si="402"/>
        <v>0</v>
      </c>
      <c r="J8477" s="365">
        <f t="shared" si="403"/>
        <v>0</v>
      </c>
      <c r="K8477" s="369">
        <f t="shared" si="404"/>
        <v>6</v>
      </c>
      <c r="L8477" s="369">
        <f>+IF((C8477&gt;='Resultats - informe'!$E$16)*(C8477&lt;='Resultats - informe'!$G$16),1,0)</f>
        <v>1</v>
      </c>
      <c r="M8477" s="369" cm="1">
        <f t="array" ref="M8477">+_xlfn.IFS((C8477&gt;='Resultats - informe'!$D$26)*(C8477&lt;='Resultats - informe'!$E$26),0,(C8477&gt;='Resultats - informe'!$D$27)*(C8477&lt;='Resultats - informe'!$E$27),0,(C8477&gt;='Resultats - informe'!$D$28)*(C8477&lt;='Resultats - informe'!$E$28),0,(C8477&gt;='Resultats - informe'!$D$29)*(C8477&lt;='Resultats - informe'!$E$29),0,1,1)</f>
        <v>0</v>
      </c>
      <c r="N8477" s="366">
        <f>+VLOOKUP(D8477,'Resultats - informe'!$Y$18:$AG$42,'Introducció dades consum'!K8477+1,0)</f>
        <v>0</v>
      </c>
      <c r="O8477" s="370" cm="1">
        <f t="array" ref="O8477">+_xlfn.SWITCH(MONTH(C8477),1,1,2,1,3,1,4,2,5,2,6,3,7,3,8,3,9,3,10,2,11,2,12,1,2)</f>
        <v>1</v>
      </c>
      <c r="P8477" s="43"/>
    </row>
    <row r="8478" spans="1:16" ht="18" x14ac:dyDescent="0.35">
      <c r="A8478" s="9"/>
      <c r="C8478" s="393"/>
      <c r="E8478" s="394"/>
      <c r="F8478" s="394"/>
      <c r="G8478" s="394"/>
      <c r="I8478" s="368">
        <f t="shared" si="402"/>
        <v>0</v>
      </c>
      <c r="J8478" s="365">
        <f t="shared" si="403"/>
        <v>0</v>
      </c>
      <c r="K8478" s="369">
        <f t="shared" si="404"/>
        <v>6</v>
      </c>
      <c r="L8478" s="369">
        <f>+IF((C8478&gt;='Resultats - informe'!$E$16)*(C8478&lt;='Resultats - informe'!$G$16),1,0)</f>
        <v>1</v>
      </c>
      <c r="M8478" s="369" cm="1">
        <f t="array" ref="M8478">+_xlfn.IFS((C8478&gt;='Resultats - informe'!$D$26)*(C8478&lt;='Resultats - informe'!$E$26),0,(C8478&gt;='Resultats - informe'!$D$27)*(C8478&lt;='Resultats - informe'!$E$27),0,(C8478&gt;='Resultats - informe'!$D$28)*(C8478&lt;='Resultats - informe'!$E$28),0,(C8478&gt;='Resultats - informe'!$D$29)*(C8478&lt;='Resultats - informe'!$E$29),0,1,1)</f>
        <v>0</v>
      </c>
      <c r="N8478" s="366">
        <f>+VLOOKUP(D8478,'Resultats - informe'!$Y$18:$AG$42,'Introducció dades consum'!K8478+1,0)</f>
        <v>0</v>
      </c>
      <c r="O8478" s="370" cm="1">
        <f t="array" ref="O8478">+_xlfn.SWITCH(MONTH(C8478),1,1,2,1,3,1,4,2,5,2,6,3,7,3,8,3,9,3,10,2,11,2,12,1,2)</f>
        <v>1</v>
      </c>
      <c r="P8478" s="43"/>
    </row>
    <row r="8479" spans="1:16" ht="18" x14ac:dyDescent="0.35">
      <c r="A8479" s="9"/>
      <c r="C8479" s="393"/>
      <c r="E8479" s="394"/>
      <c r="F8479" s="394"/>
      <c r="G8479" s="394"/>
      <c r="I8479" s="368">
        <f t="shared" si="402"/>
        <v>0</v>
      </c>
      <c r="J8479" s="365">
        <f t="shared" si="403"/>
        <v>0</v>
      </c>
      <c r="K8479" s="369">
        <f t="shared" si="404"/>
        <v>6</v>
      </c>
      <c r="L8479" s="369">
        <f>+IF((C8479&gt;='Resultats - informe'!$E$16)*(C8479&lt;='Resultats - informe'!$G$16),1,0)</f>
        <v>1</v>
      </c>
      <c r="M8479" s="369" cm="1">
        <f t="array" ref="M8479">+_xlfn.IFS((C8479&gt;='Resultats - informe'!$D$26)*(C8479&lt;='Resultats - informe'!$E$26),0,(C8479&gt;='Resultats - informe'!$D$27)*(C8479&lt;='Resultats - informe'!$E$27),0,(C8479&gt;='Resultats - informe'!$D$28)*(C8479&lt;='Resultats - informe'!$E$28),0,(C8479&gt;='Resultats - informe'!$D$29)*(C8479&lt;='Resultats - informe'!$E$29),0,1,1)</f>
        <v>0</v>
      </c>
      <c r="N8479" s="366">
        <f>+VLOOKUP(D8479,'Resultats - informe'!$Y$18:$AG$42,'Introducció dades consum'!K8479+1,0)</f>
        <v>0</v>
      </c>
      <c r="O8479" s="370" cm="1">
        <f t="array" ref="O8479">+_xlfn.SWITCH(MONTH(C8479),1,1,2,1,3,1,4,2,5,2,6,3,7,3,8,3,9,3,10,2,11,2,12,1,2)</f>
        <v>1</v>
      </c>
      <c r="P8479" s="43"/>
    </row>
    <row r="8480" spans="1:16" ht="18" x14ac:dyDescent="0.35">
      <c r="A8480" s="9"/>
      <c r="C8480" s="393"/>
      <c r="E8480" s="394"/>
      <c r="F8480" s="394"/>
      <c r="G8480" s="394"/>
      <c r="I8480" s="368">
        <f t="shared" si="402"/>
        <v>0</v>
      </c>
      <c r="J8480" s="365">
        <f t="shared" si="403"/>
        <v>0</v>
      </c>
      <c r="K8480" s="369">
        <f t="shared" si="404"/>
        <v>6</v>
      </c>
      <c r="L8480" s="369">
        <f>+IF((C8480&gt;='Resultats - informe'!$E$16)*(C8480&lt;='Resultats - informe'!$G$16),1,0)</f>
        <v>1</v>
      </c>
      <c r="M8480" s="369" cm="1">
        <f t="array" ref="M8480">+_xlfn.IFS((C8480&gt;='Resultats - informe'!$D$26)*(C8480&lt;='Resultats - informe'!$E$26),0,(C8480&gt;='Resultats - informe'!$D$27)*(C8480&lt;='Resultats - informe'!$E$27),0,(C8480&gt;='Resultats - informe'!$D$28)*(C8480&lt;='Resultats - informe'!$E$28),0,(C8480&gt;='Resultats - informe'!$D$29)*(C8480&lt;='Resultats - informe'!$E$29),0,1,1)</f>
        <v>0</v>
      </c>
      <c r="N8480" s="366">
        <f>+VLOOKUP(D8480,'Resultats - informe'!$Y$18:$AG$42,'Introducció dades consum'!K8480+1,0)</f>
        <v>0</v>
      </c>
      <c r="O8480" s="370" cm="1">
        <f t="array" ref="O8480">+_xlfn.SWITCH(MONTH(C8480),1,1,2,1,3,1,4,2,5,2,6,3,7,3,8,3,9,3,10,2,11,2,12,1,2)</f>
        <v>1</v>
      </c>
      <c r="P8480" s="43"/>
    </row>
    <row r="8481" spans="1:16" ht="18" x14ac:dyDescent="0.35">
      <c r="A8481" s="9"/>
      <c r="C8481" s="393"/>
      <c r="E8481" s="394"/>
      <c r="F8481" s="394"/>
      <c r="G8481" s="394"/>
      <c r="I8481" s="368">
        <f t="shared" si="402"/>
        <v>0</v>
      </c>
      <c r="J8481" s="365">
        <f t="shared" si="403"/>
        <v>0</v>
      </c>
      <c r="K8481" s="369">
        <f t="shared" si="404"/>
        <v>6</v>
      </c>
      <c r="L8481" s="369">
        <f>+IF((C8481&gt;='Resultats - informe'!$E$16)*(C8481&lt;='Resultats - informe'!$G$16),1,0)</f>
        <v>1</v>
      </c>
      <c r="M8481" s="369" cm="1">
        <f t="array" ref="M8481">+_xlfn.IFS((C8481&gt;='Resultats - informe'!$D$26)*(C8481&lt;='Resultats - informe'!$E$26),0,(C8481&gt;='Resultats - informe'!$D$27)*(C8481&lt;='Resultats - informe'!$E$27),0,(C8481&gt;='Resultats - informe'!$D$28)*(C8481&lt;='Resultats - informe'!$E$28),0,(C8481&gt;='Resultats - informe'!$D$29)*(C8481&lt;='Resultats - informe'!$E$29),0,1,1)</f>
        <v>0</v>
      </c>
      <c r="N8481" s="366">
        <f>+VLOOKUP(D8481,'Resultats - informe'!$Y$18:$AG$42,'Introducció dades consum'!K8481+1,0)</f>
        <v>0</v>
      </c>
      <c r="O8481" s="370" cm="1">
        <f t="array" ref="O8481">+_xlfn.SWITCH(MONTH(C8481),1,1,2,1,3,1,4,2,5,2,6,3,7,3,8,3,9,3,10,2,11,2,12,1,2)</f>
        <v>1</v>
      </c>
      <c r="P8481" s="43"/>
    </row>
    <row r="8482" spans="1:16" ht="18" x14ac:dyDescent="0.35">
      <c r="A8482" s="9"/>
      <c r="C8482" s="393"/>
      <c r="E8482" s="394"/>
      <c r="F8482" s="394"/>
      <c r="G8482" s="394"/>
      <c r="I8482" s="368">
        <f t="shared" si="402"/>
        <v>0</v>
      </c>
      <c r="J8482" s="365">
        <f t="shared" si="403"/>
        <v>0</v>
      </c>
      <c r="K8482" s="369">
        <f t="shared" si="404"/>
        <v>6</v>
      </c>
      <c r="L8482" s="369">
        <f>+IF((C8482&gt;='Resultats - informe'!$E$16)*(C8482&lt;='Resultats - informe'!$G$16),1,0)</f>
        <v>1</v>
      </c>
      <c r="M8482" s="369" cm="1">
        <f t="array" ref="M8482">+_xlfn.IFS((C8482&gt;='Resultats - informe'!$D$26)*(C8482&lt;='Resultats - informe'!$E$26),0,(C8482&gt;='Resultats - informe'!$D$27)*(C8482&lt;='Resultats - informe'!$E$27),0,(C8482&gt;='Resultats - informe'!$D$28)*(C8482&lt;='Resultats - informe'!$E$28),0,(C8482&gt;='Resultats - informe'!$D$29)*(C8482&lt;='Resultats - informe'!$E$29),0,1,1)</f>
        <v>0</v>
      </c>
      <c r="N8482" s="366">
        <f>+VLOOKUP(D8482,'Resultats - informe'!$Y$18:$AG$42,'Introducció dades consum'!K8482+1,0)</f>
        <v>0</v>
      </c>
      <c r="O8482" s="370" cm="1">
        <f t="array" ref="O8482">+_xlfn.SWITCH(MONTH(C8482),1,1,2,1,3,1,4,2,5,2,6,3,7,3,8,3,9,3,10,2,11,2,12,1,2)</f>
        <v>1</v>
      </c>
      <c r="P8482" s="43"/>
    </row>
    <row r="8483" spans="1:16" ht="18" x14ac:dyDescent="0.35">
      <c r="A8483" s="9"/>
      <c r="C8483" s="393"/>
      <c r="E8483" s="394"/>
      <c r="F8483" s="394"/>
      <c r="G8483" s="394"/>
      <c r="I8483" s="368">
        <f t="shared" si="402"/>
        <v>0</v>
      </c>
      <c r="J8483" s="365">
        <f t="shared" si="403"/>
        <v>0</v>
      </c>
      <c r="K8483" s="369">
        <f t="shared" si="404"/>
        <v>6</v>
      </c>
      <c r="L8483" s="369">
        <f>+IF((C8483&gt;='Resultats - informe'!$E$16)*(C8483&lt;='Resultats - informe'!$G$16),1,0)</f>
        <v>1</v>
      </c>
      <c r="M8483" s="369" cm="1">
        <f t="array" ref="M8483">+_xlfn.IFS((C8483&gt;='Resultats - informe'!$D$26)*(C8483&lt;='Resultats - informe'!$E$26),0,(C8483&gt;='Resultats - informe'!$D$27)*(C8483&lt;='Resultats - informe'!$E$27),0,(C8483&gt;='Resultats - informe'!$D$28)*(C8483&lt;='Resultats - informe'!$E$28),0,(C8483&gt;='Resultats - informe'!$D$29)*(C8483&lt;='Resultats - informe'!$E$29),0,1,1)</f>
        <v>0</v>
      </c>
      <c r="N8483" s="366">
        <f>+VLOOKUP(D8483,'Resultats - informe'!$Y$18:$AG$42,'Introducció dades consum'!K8483+1,0)</f>
        <v>0</v>
      </c>
      <c r="O8483" s="370" cm="1">
        <f t="array" ref="O8483">+_xlfn.SWITCH(MONTH(C8483),1,1,2,1,3,1,4,2,5,2,6,3,7,3,8,3,9,3,10,2,11,2,12,1,2)</f>
        <v>1</v>
      </c>
      <c r="P8483" s="43"/>
    </row>
    <row r="8484" spans="1:16" ht="18" x14ac:dyDescent="0.35">
      <c r="A8484" s="9"/>
      <c r="C8484" s="393"/>
      <c r="E8484" s="394"/>
      <c r="F8484" s="394"/>
      <c r="G8484" s="394"/>
      <c r="I8484" s="368">
        <f t="shared" si="402"/>
        <v>0</v>
      </c>
      <c r="J8484" s="365">
        <f t="shared" si="403"/>
        <v>0</v>
      </c>
      <c r="K8484" s="369">
        <f t="shared" si="404"/>
        <v>6</v>
      </c>
      <c r="L8484" s="369">
        <f>+IF((C8484&gt;='Resultats - informe'!$E$16)*(C8484&lt;='Resultats - informe'!$G$16),1,0)</f>
        <v>1</v>
      </c>
      <c r="M8484" s="369" cm="1">
        <f t="array" ref="M8484">+_xlfn.IFS((C8484&gt;='Resultats - informe'!$D$26)*(C8484&lt;='Resultats - informe'!$E$26),0,(C8484&gt;='Resultats - informe'!$D$27)*(C8484&lt;='Resultats - informe'!$E$27),0,(C8484&gt;='Resultats - informe'!$D$28)*(C8484&lt;='Resultats - informe'!$E$28),0,(C8484&gt;='Resultats - informe'!$D$29)*(C8484&lt;='Resultats - informe'!$E$29),0,1,1)</f>
        <v>0</v>
      </c>
      <c r="N8484" s="366">
        <f>+VLOOKUP(D8484,'Resultats - informe'!$Y$18:$AG$42,'Introducció dades consum'!K8484+1,0)</f>
        <v>0</v>
      </c>
      <c r="O8484" s="370" cm="1">
        <f t="array" ref="O8484">+_xlfn.SWITCH(MONTH(C8484),1,1,2,1,3,1,4,2,5,2,6,3,7,3,8,3,9,3,10,2,11,2,12,1,2)</f>
        <v>1</v>
      </c>
      <c r="P8484" s="43"/>
    </row>
    <row r="8485" spans="1:16" ht="18" x14ac:dyDescent="0.35">
      <c r="A8485" s="9"/>
      <c r="C8485" s="393"/>
      <c r="E8485" s="394"/>
      <c r="F8485" s="394"/>
      <c r="G8485" s="394"/>
      <c r="I8485" s="368">
        <f t="shared" si="402"/>
        <v>0</v>
      </c>
      <c r="J8485" s="365">
        <f t="shared" si="403"/>
        <v>0</v>
      </c>
      <c r="K8485" s="369">
        <f t="shared" si="404"/>
        <v>6</v>
      </c>
      <c r="L8485" s="369">
        <f>+IF((C8485&gt;='Resultats - informe'!$E$16)*(C8485&lt;='Resultats - informe'!$G$16),1,0)</f>
        <v>1</v>
      </c>
      <c r="M8485" s="369" cm="1">
        <f t="array" ref="M8485">+_xlfn.IFS((C8485&gt;='Resultats - informe'!$D$26)*(C8485&lt;='Resultats - informe'!$E$26),0,(C8485&gt;='Resultats - informe'!$D$27)*(C8485&lt;='Resultats - informe'!$E$27),0,(C8485&gt;='Resultats - informe'!$D$28)*(C8485&lt;='Resultats - informe'!$E$28),0,(C8485&gt;='Resultats - informe'!$D$29)*(C8485&lt;='Resultats - informe'!$E$29),0,1,1)</f>
        <v>0</v>
      </c>
      <c r="N8485" s="366">
        <f>+VLOOKUP(D8485,'Resultats - informe'!$Y$18:$AG$42,'Introducció dades consum'!K8485+1,0)</f>
        <v>0</v>
      </c>
      <c r="O8485" s="370" cm="1">
        <f t="array" ref="O8485">+_xlfn.SWITCH(MONTH(C8485),1,1,2,1,3,1,4,2,5,2,6,3,7,3,8,3,9,3,10,2,11,2,12,1,2)</f>
        <v>1</v>
      </c>
      <c r="P8485" s="43"/>
    </row>
    <row r="8486" spans="1:16" ht="18" x14ac:dyDescent="0.35">
      <c r="A8486" s="9"/>
      <c r="C8486" s="393"/>
      <c r="E8486" s="394"/>
      <c r="F8486" s="394"/>
      <c r="G8486" s="394"/>
      <c r="I8486" s="368">
        <f t="shared" si="402"/>
        <v>0</v>
      </c>
      <c r="J8486" s="365">
        <f t="shared" si="403"/>
        <v>0</v>
      </c>
      <c r="K8486" s="369">
        <f t="shared" si="404"/>
        <v>6</v>
      </c>
      <c r="L8486" s="369">
        <f>+IF((C8486&gt;='Resultats - informe'!$E$16)*(C8486&lt;='Resultats - informe'!$G$16),1,0)</f>
        <v>1</v>
      </c>
      <c r="M8486" s="369" cm="1">
        <f t="array" ref="M8486">+_xlfn.IFS((C8486&gt;='Resultats - informe'!$D$26)*(C8486&lt;='Resultats - informe'!$E$26),0,(C8486&gt;='Resultats - informe'!$D$27)*(C8486&lt;='Resultats - informe'!$E$27),0,(C8486&gt;='Resultats - informe'!$D$28)*(C8486&lt;='Resultats - informe'!$E$28),0,(C8486&gt;='Resultats - informe'!$D$29)*(C8486&lt;='Resultats - informe'!$E$29),0,1,1)</f>
        <v>0</v>
      </c>
      <c r="N8486" s="366">
        <f>+VLOOKUP(D8486,'Resultats - informe'!$Y$18:$AG$42,'Introducció dades consum'!K8486+1,0)</f>
        <v>0</v>
      </c>
      <c r="O8486" s="370" cm="1">
        <f t="array" ref="O8486">+_xlfn.SWITCH(MONTH(C8486),1,1,2,1,3,1,4,2,5,2,6,3,7,3,8,3,9,3,10,2,11,2,12,1,2)</f>
        <v>1</v>
      </c>
      <c r="P8486" s="43"/>
    </row>
    <row r="8487" spans="1:16" ht="18" x14ac:dyDescent="0.35">
      <c r="A8487" s="9"/>
      <c r="C8487" s="393"/>
      <c r="E8487" s="394"/>
      <c r="F8487" s="394"/>
      <c r="G8487" s="394"/>
      <c r="I8487" s="368">
        <f t="shared" si="402"/>
        <v>0</v>
      </c>
      <c r="J8487" s="365">
        <f t="shared" si="403"/>
        <v>0</v>
      </c>
      <c r="K8487" s="369">
        <f t="shared" si="404"/>
        <v>6</v>
      </c>
      <c r="L8487" s="369">
        <f>+IF((C8487&gt;='Resultats - informe'!$E$16)*(C8487&lt;='Resultats - informe'!$G$16),1,0)</f>
        <v>1</v>
      </c>
      <c r="M8487" s="369" cm="1">
        <f t="array" ref="M8487">+_xlfn.IFS((C8487&gt;='Resultats - informe'!$D$26)*(C8487&lt;='Resultats - informe'!$E$26),0,(C8487&gt;='Resultats - informe'!$D$27)*(C8487&lt;='Resultats - informe'!$E$27),0,(C8487&gt;='Resultats - informe'!$D$28)*(C8487&lt;='Resultats - informe'!$E$28),0,(C8487&gt;='Resultats - informe'!$D$29)*(C8487&lt;='Resultats - informe'!$E$29),0,1,1)</f>
        <v>0</v>
      </c>
      <c r="N8487" s="366">
        <f>+VLOOKUP(D8487,'Resultats - informe'!$Y$18:$AG$42,'Introducció dades consum'!K8487+1,0)</f>
        <v>0</v>
      </c>
      <c r="O8487" s="370" cm="1">
        <f t="array" ref="O8487">+_xlfn.SWITCH(MONTH(C8487),1,1,2,1,3,1,4,2,5,2,6,3,7,3,8,3,9,3,10,2,11,2,12,1,2)</f>
        <v>1</v>
      </c>
      <c r="P8487" s="43"/>
    </row>
    <row r="8488" spans="1:16" ht="18" x14ac:dyDescent="0.35">
      <c r="A8488" s="9"/>
      <c r="C8488" s="393"/>
      <c r="E8488" s="394"/>
      <c r="F8488" s="394"/>
      <c r="G8488" s="394"/>
      <c r="I8488" s="368">
        <f t="shared" si="402"/>
        <v>0</v>
      </c>
      <c r="J8488" s="365">
        <f t="shared" si="403"/>
        <v>0</v>
      </c>
      <c r="K8488" s="369">
        <f t="shared" si="404"/>
        <v>6</v>
      </c>
      <c r="L8488" s="369">
        <f>+IF((C8488&gt;='Resultats - informe'!$E$16)*(C8488&lt;='Resultats - informe'!$G$16),1,0)</f>
        <v>1</v>
      </c>
      <c r="M8488" s="369" cm="1">
        <f t="array" ref="M8488">+_xlfn.IFS((C8488&gt;='Resultats - informe'!$D$26)*(C8488&lt;='Resultats - informe'!$E$26),0,(C8488&gt;='Resultats - informe'!$D$27)*(C8488&lt;='Resultats - informe'!$E$27),0,(C8488&gt;='Resultats - informe'!$D$28)*(C8488&lt;='Resultats - informe'!$E$28),0,(C8488&gt;='Resultats - informe'!$D$29)*(C8488&lt;='Resultats - informe'!$E$29),0,1,1)</f>
        <v>0</v>
      </c>
      <c r="N8488" s="366">
        <f>+VLOOKUP(D8488,'Resultats - informe'!$Y$18:$AG$42,'Introducció dades consum'!K8488+1,0)</f>
        <v>0</v>
      </c>
      <c r="O8488" s="370" cm="1">
        <f t="array" ref="O8488">+_xlfn.SWITCH(MONTH(C8488),1,1,2,1,3,1,4,2,5,2,6,3,7,3,8,3,9,3,10,2,11,2,12,1,2)</f>
        <v>1</v>
      </c>
      <c r="P8488" s="43"/>
    </row>
    <row r="8489" spans="1:16" ht="18" x14ac:dyDescent="0.35">
      <c r="A8489" s="9"/>
      <c r="C8489" s="393"/>
      <c r="E8489" s="394"/>
      <c r="F8489" s="394"/>
      <c r="G8489" s="394"/>
      <c r="I8489" s="368">
        <f t="shared" si="402"/>
        <v>0</v>
      </c>
      <c r="J8489" s="365">
        <f t="shared" si="403"/>
        <v>0</v>
      </c>
      <c r="K8489" s="369">
        <f t="shared" si="404"/>
        <v>6</v>
      </c>
      <c r="L8489" s="369">
        <f>+IF((C8489&gt;='Resultats - informe'!$E$16)*(C8489&lt;='Resultats - informe'!$G$16),1,0)</f>
        <v>1</v>
      </c>
      <c r="M8489" s="369" cm="1">
        <f t="array" ref="M8489">+_xlfn.IFS((C8489&gt;='Resultats - informe'!$D$26)*(C8489&lt;='Resultats - informe'!$E$26),0,(C8489&gt;='Resultats - informe'!$D$27)*(C8489&lt;='Resultats - informe'!$E$27),0,(C8489&gt;='Resultats - informe'!$D$28)*(C8489&lt;='Resultats - informe'!$E$28),0,(C8489&gt;='Resultats - informe'!$D$29)*(C8489&lt;='Resultats - informe'!$E$29),0,1,1)</f>
        <v>0</v>
      </c>
      <c r="N8489" s="366">
        <f>+VLOOKUP(D8489,'Resultats - informe'!$Y$18:$AG$42,'Introducció dades consum'!K8489+1,0)</f>
        <v>0</v>
      </c>
      <c r="O8489" s="370" cm="1">
        <f t="array" ref="O8489">+_xlfn.SWITCH(MONTH(C8489),1,1,2,1,3,1,4,2,5,2,6,3,7,3,8,3,9,3,10,2,11,2,12,1,2)</f>
        <v>1</v>
      </c>
      <c r="P8489" s="43"/>
    </row>
    <row r="8490" spans="1:16" ht="18" x14ac:dyDescent="0.35">
      <c r="A8490" s="9"/>
      <c r="C8490" s="393"/>
      <c r="E8490" s="394"/>
      <c r="F8490" s="394"/>
      <c r="G8490" s="394"/>
      <c r="I8490" s="368">
        <f t="shared" si="402"/>
        <v>0</v>
      </c>
      <c r="J8490" s="365">
        <f t="shared" si="403"/>
        <v>0</v>
      </c>
      <c r="K8490" s="369">
        <f t="shared" si="404"/>
        <v>6</v>
      </c>
      <c r="L8490" s="369">
        <f>+IF((C8490&gt;='Resultats - informe'!$E$16)*(C8490&lt;='Resultats - informe'!$G$16),1,0)</f>
        <v>1</v>
      </c>
      <c r="M8490" s="369" cm="1">
        <f t="array" ref="M8490">+_xlfn.IFS((C8490&gt;='Resultats - informe'!$D$26)*(C8490&lt;='Resultats - informe'!$E$26),0,(C8490&gt;='Resultats - informe'!$D$27)*(C8490&lt;='Resultats - informe'!$E$27),0,(C8490&gt;='Resultats - informe'!$D$28)*(C8490&lt;='Resultats - informe'!$E$28),0,(C8490&gt;='Resultats - informe'!$D$29)*(C8490&lt;='Resultats - informe'!$E$29),0,1,1)</f>
        <v>0</v>
      </c>
      <c r="N8490" s="366">
        <f>+VLOOKUP(D8490,'Resultats - informe'!$Y$18:$AG$42,'Introducció dades consum'!K8490+1,0)</f>
        <v>0</v>
      </c>
      <c r="O8490" s="370" cm="1">
        <f t="array" ref="O8490">+_xlfn.SWITCH(MONTH(C8490),1,1,2,1,3,1,4,2,5,2,6,3,7,3,8,3,9,3,10,2,11,2,12,1,2)</f>
        <v>1</v>
      </c>
      <c r="P8490" s="43"/>
    </row>
    <row r="8491" spans="1:16" ht="18" x14ac:dyDescent="0.35">
      <c r="A8491" s="9"/>
      <c r="C8491" s="393"/>
      <c r="E8491" s="394"/>
      <c r="F8491" s="394"/>
      <c r="G8491" s="394"/>
      <c r="I8491" s="368">
        <f t="shared" si="402"/>
        <v>0</v>
      </c>
      <c r="J8491" s="365">
        <f t="shared" si="403"/>
        <v>0</v>
      </c>
      <c r="K8491" s="369">
        <f t="shared" si="404"/>
        <v>6</v>
      </c>
      <c r="L8491" s="369">
        <f>+IF((C8491&gt;='Resultats - informe'!$E$16)*(C8491&lt;='Resultats - informe'!$G$16),1,0)</f>
        <v>1</v>
      </c>
      <c r="M8491" s="369" cm="1">
        <f t="array" ref="M8491">+_xlfn.IFS((C8491&gt;='Resultats - informe'!$D$26)*(C8491&lt;='Resultats - informe'!$E$26),0,(C8491&gt;='Resultats - informe'!$D$27)*(C8491&lt;='Resultats - informe'!$E$27),0,(C8491&gt;='Resultats - informe'!$D$28)*(C8491&lt;='Resultats - informe'!$E$28),0,(C8491&gt;='Resultats - informe'!$D$29)*(C8491&lt;='Resultats - informe'!$E$29),0,1,1)</f>
        <v>0</v>
      </c>
      <c r="N8491" s="366">
        <f>+VLOOKUP(D8491,'Resultats - informe'!$Y$18:$AG$42,'Introducció dades consum'!K8491+1,0)</f>
        <v>0</v>
      </c>
      <c r="O8491" s="370" cm="1">
        <f t="array" ref="O8491">+_xlfn.SWITCH(MONTH(C8491),1,1,2,1,3,1,4,2,5,2,6,3,7,3,8,3,9,3,10,2,11,2,12,1,2)</f>
        <v>1</v>
      </c>
      <c r="P8491" s="43"/>
    </row>
    <row r="8492" spans="1:16" ht="18" x14ac:dyDescent="0.35">
      <c r="A8492" s="9"/>
      <c r="C8492" s="393"/>
      <c r="E8492" s="394"/>
      <c r="F8492" s="394"/>
      <c r="G8492" s="394"/>
      <c r="I8492" s="368">
        <f t="shared" si="402"/>
        <v>0</v>
      </c>
      <c r="J8492" s="365">
        <f t="shared" si="403"/>
        <v>0</v>
      </c>
      <c r="K8492" s="369">
        <f t="shared" si="404"/>
        <v>6</v>
      </c>
      <c r="L8492" s="369">
        <f>+IF((C8492&gt;='Resultats - informe'!$E$16)*(C8492&lt;='Resultats - informe'!$G$16),1,0)</f>
        <v>1</v>
      </c>
      <c r="M8492" s="369" cm="1">
        <f t="array" ref="M8492">+_xlfn.IFS((C8492&gt;='Resultats - informe'!$D$26)*(C8492&lt;='Resultats - informe'!$E$26),0,(C8492&gt;='Resultats - informe'!$D$27)*(C8492&lt;='Resultats - informe'!$E$27),0,(C8492&gt;='Resultats - informe'!$D$28)*(C8492&lt;='Resultats - informe'!$E$28),0,(C8492&gt;='Resultats - informe'!$D$29)*(C8492&lt;='Resultats - informe'!$E$29),0,1,1)</f>
        <v>0</v>
      </c>
      <c r="N8492" s="366">
        <f>+VLOOKUP(D8492,'Resultats - informe'!$Y$18:$AG$42,'Introducció dades consum'!K8492+1,0)</f>
        <v>0</v>
      </c>
      <c r="O8492" s="370" cm="1">
        <f t="array" ref="O8492">+_xlfn.SWITCH(MONTH(C8492),1,1,2,1,3,1,4,2,5,2,6,3,7,3,8,3,9,3,10,2,11,2,12,1,2)</f>
        <v>1</v>
      </c>
      <c r="P8492" s="43"/>
    </row>
    <row r="8493" spans="1:16" ht="18" x14ac:dyDescent="0.35">
      <c r="A8493" s="9"/>
      <c r="C8493" s="393"/>
      <c r="E8493" s="394"/>
      <c r="F8493" s="394"/>
      <c r="G8493" s="394"/>
      <c r="I8493" s="368">
        <f t="shared" si="402"/>
        <v>0</v>
      </c>
      <c r="J8493" s="365">
        <f t="shared" si="403"/>
        <v>0</v>
      </c>
      <c r="K8493" s="369">
        <f t="shared" si="404"/>
        <v>6</v>
      </c>
      <c r="L8493" s="369">
        <f>+IF((C8493&gt;='Resultats - informe'!$E$16)*(C8493&lt;='Resultats - informe'!$G$16),1,0)</f>
        <v>1</v>
      </c>
      <c r="M8493" s="369" cm="1">
        <f t="array" ref="M8493">+_xlfn.IFS((C8493&gt;='Resultats - informe'!$D$26)*(C8493&lt;='Resultats - informe'!$E$26),0,(C8493&gt;='Resultats - informe'!$D$27)*(C8493&lt;='Resultats - informe'!$E$27),0,(C8493&gt;='Resultats - informe'!$D$28)*(C8493&lt;='Resultats - informe'!$E$28),0,(C8493&gt;='Resultats - informe'!$D$29)*(C8493&lt;='Resultats - informe'!$E$29),0,1,1)</f>
        <v>0</v>
      </c>
      <c r="N8493" s="366">
        <f>+VLOOKUP(D8493,'Resultats - informe'!$Y$18:$AG$42,'Introducció dades consum'!K8493+1,0)</f>
        <v>0</v>
      </c>
      <c r="O8493" s="370" cm="1">
        <f t="array" ref="O8493">+_xlfn.SWITCH(MONTH(C8493),1,1,2,1,3,1,4,2,5,2,6,3,7,3,8,3,9,3,10,2,11,2,12,1,2)</f>
        <v>1</v>
      </c>
      <c r="P8493" s="43"/>
    </row>
    <row r="8494" spans="1:16" ht="18" x14ac:dyDescent="0.35">
      <c r="A8494" s="9"/>
      <c r="C8494" s="393"/>
      <c r="E8494" s="394"/>
      <c r="F8494" s="394"/>
      <c r="G8494" s="394"/>
      <c r="I8494" s="368">
        <f t="shared" si="402"/>
        <v>0</v>
      </c>
      <c r="J8494" s="365">
        <f t="shared" si="403"/>
        <v>0</v>
      </c>
      <c r="K8494" s="369">
        <f t="shared" si="404"/>
        <v>6</v>
      </c>
      <c r="L8494" s="369">
        <f>+IF((C8494&gt;='Resultats - informe'!$E$16)*(C8494&lt;='Resultats - informe'!$G$16),1,0)</f>
        <v>1</v>
      </c>
      <c r="M8494" s="369" cm="1">
        <f t="array" ref="M8494">+_xlfn.IFS((C8494&gt;='Resultats - informe'!$D$26)*(C8494&lt;='Resultats - informe'!$E$26),0,(C8494&gt;='Resultats - informe'!$D$27)*(C8494&lt;='Resultats - informe'!$E$27),0,(C8494&gt;='Resultats - informe'!$D$28)*(C8494&lt;='Resultats - informe'!$E$28),0,(C8494&gt;='Resultats - informe'!$D$29)*(C8494&lt;='Resultats - informe'!$E$29),0,1,1)</f>
        <v>0</v>
      </c>
      <c r="N8494" s="366">
        <f>+VLOOKUP(D8494,'Resultats - informe'!$Y$18:$AG$42,'Introducció dades consum'!K8494+1,0)</f>
        <v>0</v>
      </c>
      <c r="O8494" s="370" cm="1">
        <f t="array" ref="O8494">+_xlfn.SWITCH(MONTH(C8494),1,1,2,1,3,1,4,2,5,2,6,3,7,3,8,3,9,3,10,2,11,2,12,1,2)</f>
        <v>1</v>
      </c>
      <c r="P8494" s="43"/>
    </row>
    <row r="8495" spans="1:16" ht="18" x14ac:dyDescent="0.35">
      <c r="A8495" s="9"/>
      <c r="C8495" s="393"/>
      <c r="E8495" s="394"/>
      <c r="F8495" s="394"/>
      <c r="G8495" s="394"/>
      <c r="I8495" s="368">
        <f t="shared" si="402"/>
        <v>0</v>
      </c>
      <c r="J8495" s="365">
        <f t="shared" si="403"/>
        <v>0</v>
      </c>
      <c r="K8495" s="369">
        <f t="shared" si="404"/>
        <v>6</v>
      </c>
      <c r="L8495" s="369">
        <f>+IF((C8495&gt;='Resultats - informe'!$E$16)*(C8495&lt;='Resultats - informe'!$G$16),1,0)</f>
        <v>1</v>
      </c>
      <c r="M8495" s="369" cm="1">
        <f t="array" ref="M8495">+_xlfn.IFS((C8495&gt;='Resultats - informe'!$D$26)*(C8495&lt;='Resultats - informe'!$E$26),0,(C8495&gt;='Resultats - informe'!$D$27)*(C8495&lt;='Resultats - informe'!$E$27),0,(C8495&gt;='Resultats - informe'!$D$28)*(C8495&lt;='Resultats - informe'!$E$28),0,(C8495&gt;='Resultats - informe'!$D$29)*(C8495&lt;='Resultats - informe'!$E$29),0,1,1)</f>
        <v>0</v>
      </c>
      <c r="N8495" s="366">
        <f>+VLOOKUP(D8495,'Resultats - informe'!$Y$18:$AG$42,'Introducció dades consum'!K8495+1,0)</f>
        <v>0</v>
      </c>
      <c r="O8495" s="370" cm="1">
        <f t="array" ref="O8495">+_xlfn.SWITCH(MONTH(C8495),1,1,2,1,3,1,4,2,5,2,6,3,7,3,8,3,9,3,10,2,11,2,12,1,2)</f>
        <v>1</v>
      </c>
      <c r="P8495" s="43"/>
    </row>
    <row r="8496" spans="1:16" ht="18" x14ac:dyDescent="0.35">
      <c r="A8496" s="9"/>
      <c r="C8496" s="393"/>
      <c r="E8496" s="394"/>
      <c r="F8496" s="394"/>
      <c r="G8496" s="394"/>
      <c r="I8496" s="368">
        <f t="shared" si="402"/>
        <v>0</v>
      </c>
      <c r="J8496" s="365">
        <f t="shared" si="403"/>
        <v>0</v>
      </c>
      <c r="K8496" s="369">
        <f t="shared" si="404"/>
        <v>6</v>
      </c>
      <c r="L8496" s="369">
        <f>+IF((C8496&gt;='Resultats - informe'!$E$16)*(C8496&lt;='Resultats - informe'!$G$16),1,0)</f>
        <v>1</v>
      </c>
      <c r="M8496" s="369" cm="1">
        <f t="array" ref="M8496">+_xlfn.IFS((C8496&gt;='Resultats - informe'!$D$26)*(C8496&lt;='Resultats - informe'!$E$26),0,(C8496&gt;='Resultats - informe'!$D$27)*(C8496&lt;='Resultats - informe'!$E$27),0,(C8496&gt;='Resultats - informe'!$D$28)*(C8496&lt;='Resultats - informe'!$E$28),0,(C8496&gt;='Resultats - informe'!$D$29)*(C8496&lt;='Resultats - informe'!$E$29),0,1,1)</f>
        <v>0</v>
      </c>
      <c r="N8496" s="366">
        <f>+VLOOKUP(D8496,'Resultats - informe'!$Y$18:$AG$42,'Introducció dades consum'!K8496+1,0)</f>
        <v>0</v>
      </c>
      <c r="O8496" s="370" cm="1">
        <f t="array" ref="O8496">+_xlfn.SWITCH(MONTH(C8496),1,1,2,1,3,1,4,2,5,2,6,3,7,3,8,3,9,3,10,2,11,2,12,1,2)</f>
        <v>1</v>
      </c>
      <c r="P8496" s="43"/>
    </row>
    <row r="8497" spans="1:16" ht="18" x14ac:dyDescent="0.35">
      <c r="A8497" s="9"/>
      <c r="C8497" s="393"/>
      <c r="E8497" s="394"/>
      <c r="F8497" s="394"/>
      <c r="G8497" s="394"/>
      <c r="I8497" s="368">
        <f t="shared" si="402"/>
        <v>0</v>
      </c>
      <c r="J8497" s="365">
        <f t="shared" si="403"/>
        <v>0</v>
      </c>
      <c r="K8497" s="369">
        <f t="shared" si="404"/>
        <v>6</v>
      </c>
      <c r="L8497" s="369">
        <f>+IF((C8497&gt;='Resultats - informe'!$E$16)*(C8497&lt;='Resultats - informe'!$G$16),1,0)</f>
        <v>1</v>
      </c>
      <c r="M8497" s="369" cm="1">
        <f t="array" ref="M8497">+_xlfn.IFS((C8497&gt;='Resultats - informe'!$D$26)*(C8497&lt;='Resultats - informe'!$E$26),0,(C8497&gt;='Resultats - informe'!$D$27)*(C8497&lt;='Resultats - informe'!$E$27),0,(C8497&gt;='Resultats - informe'!$D$28)*(C8497&lt;='Resultats - informe'!$E$28),0,(C8497&gt;='Resultats - informe'!$D$29)*(C8497&lt;='Resultats - informe'!$E$29),0,1,1)</f>
        <v>0</v>
      </c>
      <c r="N8497" s="366">
        <f>+VLOOKUP(D8497,'Resultats - informe'!$Y$18:$AG$42,'Introducció dades consum'!K8497+1,0)</f>
        <v>0</v>
      </c>
      <c r="O8497" s="370" cm="1">
        <f t="array" ref="O8497">+_xlfn.SWITCH(MONTH(C8497),1,1,2,1,3,1,4,2,5,2,6,3,7,3,8,3,9,3,10,2,11,2,12,1,2)</f>
        <v>1</v>
      </c>
      <c r="P8497" s="43"/>
    </row>
    <row r="8498" spans="1:16" ht="18" x14ac:dyDescent="0.35">
      <c r="A8498" s="9"/>
      <c r="C8498" s="393"/>
      <c r="E8498" s="394"/>
      <c r="F8498" s="394"/>
      <c r="G8498" s="394"/>
      <c r="I8498" s="368">
        <f t="shared" si="402"/>
        <v>0</v>
      </c>
      <c r="J8498" s="365">
        <f t="shared" si="403"/>
        <v>0</v>
      </c>
      <c r="K8498" s="369">
        <f t="shared" si="404"/>
        <v>6</v>
      </c>
      <c r="L8498" s="369">
        <f>+IF((C8498&gt;='Resultats - informe'!$E$16)*(C8498&lt;='Resultats - informe'!$G$16),1,0)</f>
        <v>1</v>
      </c>
      <c r="M8498" s="369" cm="1">
        <f t="array" ref="M8498">+_xlfn.IFS((C8498&gt;='Resultats - informe'!$D$26)*(C8498&lt;='Resultats - informe'!$E$26),0,(C8498&gt;='Resultats - informe'!$D$27)*(C8498&lt;='Resultats - informe'!$E$27),0,(C8498&gt;='Resultats - informe'!$D$28)*(C8498&lt;='Resultats - informe'!$E$28),0,(C8498&gt;='Resultats - informe'!$D$29)*(C8498&lt;='Resultats - informe'!$E$29),0,1,1)</f>
        <v>0</v>
      </c>
      <c r="N8498" s="366">
        <f>+VLOOKUP(D8498,'Resultats - informe'!$Y$18:$AG$42,'Introducció dades consum'!K8498+1,0)</f>
        <v>0</v>
      </c>
      <c r="O8498" s="370" cm="1">
        <f t="array" ref="O8498">+_xlfn.SWITCH(MONTH(C8498),1,1,2,1,3,1,4,2,5,2,6,3,7,3,8,3,9,3,10,2,11,2,12,1,2)</f>
        <v>1</v>
      </c>
      <c r="P8498" s="43"/>
    </row>
    <row r="8499" spans="1:16" ht="18" x14ac:dyDescent="0.35">
      <c r="A8499" s="9"/>
      <c r="C8499" s="393"/>
      <c r="E8499" s="394"/>
      <c r="F8499" s="394"/>
      <c r="G8499" s="394"/>
      <c r="I8499" s="368">
        <f t="shared" si="402"/>
        <v>0</v>
      </c>
      <c r="J8499" s="365">
        <f t="shared" si="403"/>
        <v>0</v>
      </c>
      <c r="K8499" s="369">
        <f t="shared" si="404"/>
        <v>6</v>
      </c>
      <c r="L8499" s="369">
        <f>+IF((C8499&gt;='Resultats - informe'!$E$16)*(C8499&lt;='Resultats - informe'!$G$16),1,0)</f>
        <v>1</v>
      </c>
      <c r="M8499" s="369" cm="1">
        <f t="array" ref="M8499">+_xlfn.IFS((C8499&gt;='Resultats - informe'!$D$26)*(C8499&lt;='Resultats - informe'!$E$26),0,(C8499&gt;='Resultats - informe'!$D$27)*(C8499&lt;='Resultats - informe'!$E$27),0,(C8499&gt;='Resultats - informe'!$D$28)*(C8499&lt;='Resultats - informe'!$E$28),0,(C8499&gt;='Resultats - informe'!$D$29)*(C8499&lt;='Resultats - informe'!$E$29),0,1,1)</f>
        <v>0</v>
      </c>
      <c r="N8499" s="366">
        <f>+VLOOKUP(D8499,'Resultats - informe'!$Y$18:$AG$42,'Introducció dades consum'!K8499+1,0)</f>
        <v>0</v>
      </c>
      <c r="O8499" s="370" cm="1">
        <f t="array" ref="O8499">+_xlfn.SWITCH(MONTH(C8499),1,1,2,1,3,1,4,2,5,2,6,3,7,3,8,3,9,3,10,2,11,2,12,1,2)</f>
        <v>1</v>
      </c>
      <c r="P8499" s="43"/>
    </row>
    <row r="8500" spans="1:16" ht="18" x14ac:dyDescent="0.35">
      <c r="A8500" s="9"/>
      <c r="C8500" s="393"/>
      <c r="E8500" s="394"/>
      <c r="F8500" s="394"/>
      <c r="G8500" s="394"/>
      <c r="I8500" s="368">
        <f t="shared" si="402"/>
        <v>0</v>
      </c>
      <c r="J8500" s="365">
        <f t="shared" si="403"/>
        <v>0</v>
      </c>
      <c r="K8500" s="369">
        <f t="shared" si="404"/>
        <v>6</v>
      </c>
      <c r="L8500" s="369">
        <f>+IF((C8500&gt;='Resultats - informe'!$E$16)*(C8500&lt;='Resultats - informe'!$G$16),1,0)</f>
        <v>1</v>
      </c>
      <c r="M8500" s="369" cm="1">
        <f t="array" ref="M8500">+_xlfn.IFS((C8500&gt;='Resultats - informe'!$D$26)*(C8500&lt;='Resultats - informe'!$E$26),0,(C8500&gt;='Resultats - informe'!$D$27)*(C8500&lt;='Resultats - informe'!$E$27),0,(C8500&gt;='Resultats - informe'!$D$28)*(C8500&lt;='Resultats - informe'!$E$28),0,(C8500&gt;='Resultats - informe'!$D$29)*(C8500&lt;='Resultats - informe'!$E$29),0,1,1)</f>
        <v>0</v>
      </c>
      <c r="N8500" s="366">
        <f>+VLOOKUP(D8500,'Resultats - informe'!$Y$18:$AG$42,'Introducció dades consum'!K8500+1,0)</f>
        <v>0</v>
      </c>
      <c r="O8500" s="370" cm="1">
        <f t="array" ref="O8500">+_xlfn.SWITCH(MONTH(C8500),1,1,2,1,3,1,4,2,5,2,6,3,7,3,8,3,9,3,10,2,11,2,12,1,2)</f>
        <v>1</v>
      </c>
      <c r="P8500" s="43"/>
    </row>
    <row r="8501" spans="1:16" ht="18" x14ac:dyDescent="0.35">
      <c r="A8501" s="9"/>
      <c r="C8501" s="393"/>
      <c r="E8501" s="394"/>
      <c r="F8501" s="394"/>
      <c r="G8501" s="394"/>
      <c r="I8501" s="368">
        <f t="shared" si="402"/>
        <v>0</v>
      </c>
      <c r="J8501" s="365">
        <f t="shared" si="403"/>
        <v>0</v>
      </c>
      <c r="K8501" s="369">
        <f t="shared" si="404"/>
        <v>6</v>
      </c>
      <c r="L8501" s="369">
        <f>+IF((C8501&gt;='Resultats - informe'!$E$16)*(C8501&lt;='Resultats - informe'!$G$16),1,0)</f>
        <v>1</v>
      </c>
      <c r="M8501" s="369" cm="1">
        <f t="array" ref="M8501">+_xlfn.IFS((C8501&gt;='Resultats - informe'!$D$26)*(C8501&lt;='Resultats - informe'!$E$26),0,(C8501&gt;='Resultats - informe'!$D$27)*(C8501&lt;='Resultats - informe'!$E$27),0,(C8501&gt;='Resultats - informe'!$D$28)*(C8501&lt;='Resultats - informe'!$E$28),0,(C8501&gt;='Resultats - informe'!$D$29)*(C8501&lt;='Resultats - informe'!$E$29),0,1,1)</f>
        <v>0</v>
      </c>
      <c r="N8501" s="366">
        <f>+VLOOKUP(D8501,'Resultats - informe'!$Y$18:$AG$42,'Introducció dades consum'!K8501+1,0)</f>
        <v>0</v>
      </c>
      <c r="O8501" s="370" cm="1">
        <f t="array" ref="O8501">+_xlfn.SWITCH(MONTH(C8501),1,1,2,1,3,1,4,2,5,2,6,3,7,3,8,3,9,3,10,2,11,2,12,1,2)</f>
        <v>1</v>
      </c>
      <c r="P8501" s="43"/>
    </row>
    <row r="8502" spans="1:16" ht="18" x14ac:dyDescent="0.35">
      <c r="A8502" s="43"/>
      <c r="C8502" s="393"/>
      <c r="E8502" s="394"/>
      <c r="F8502" s="394"/>
      <c r="G8502" s="394"/>
      <c r="I8502" s="368">
        <f t="shared" si="402"/>
        <v>0</v>
      </c>
      <c r="J8502" s="365">
        <f t="shared" si="403"/>
        <v>0</v>
      </c>
      <c r="K8502" s="369">
        <f t="shared" si="404"/>
        <v>6</v>
      </c>
      <c r="L8502" s="369">
        <f>+IF((C8502&gt;='Resultats - informe'!$E$16)*(C8502&lt;='Resultats - informe'!$G$16),1,0)</f>
        <v>1</v>
      </c>
      <c r="M8502" s="369" cm="1">
        <f t="array" ref="M8502">+_xlfn.IFS((C8502&gt;='Resultats - informe'!$D$26)*(C8502&lt;='Resultats - informe'!$E$26),0,(C8502&gt;='Resultats - informe'!$D$27)*(C8502&lt;='Resultats - informe'!$E$27),0,(C8502&gt;='Resultats - informe'!$D$28)*(C8502&lt;='Resultats - informe'!$E$28),0,(C8502&gt;='Resultats - informe'!$D$29)*(C8502&lt;='Resultats - informe'!$E$29),0,1,1)</f>
        <v>0</v>
      </c>
      <c r="N8502" s="366">
        <f>+VLOOKUP(D8502,'Resultats - informe'!$Y$18:$AG$42,'Introducció dades consum'!K8502+1,0)</f>
        <v>0</v>
      </c>
      <c r="O8502" s="370" cm="1">
        <f t="array" ref="O8502">+_xlfn.SWITCH(MONTH(C8502),1,1,2,1,3,1,4,2,5,2,6,3,7,3,8,3,9,3,10,2,11,2,12,1,2)</f>
        <v>1</v>
      </c>
      <c r="P8502" s="43"/>
    </row>
    <row r="8503" spans="1:16" ht="18" x14ac:dyDescent="0.35">
      <c r="A8503" s="43"/>
      <c r="C8503" s="393"/>
      <c r="E8503" s="394"/>
      <c r="F8503" s="394"/>
      <c r="G8503" s="394"/>
      <c r="I8503" s="368">
        <f t="shared" si="402"/>
        <v>0</v>
      </c>
      <c r="J8503" s="365">
        <f t="shared" si="403"/>
        <v>0</v>
      </c>
      <c r="K8503" s="369">
        <f t="shared" si="404"/>
        <v>6</v>
      </c>
      <c r="L8503" s="369">
        <f>+IF((C8503&gt;='Resultats - informe'!$E$16)*(C8503&lt;='Resultats - informe'!$G$16),1,0)</f>
        <v>1</v>
      </c>
      <c r="M8503" s="369" cm="1">
        <f t="array" ref="M8503">+_xlfn.IFS((C8503&gt;='Resultats - informe'!$D$26)*(C8503&lt;='Resultats - informe'!$E$26),0,(C8503&gt;='Resultats - informe'!$D$27)*(C8503&lt;='Resultats - informe'!$E$27),0,(C8503&gt;='Resultats - informe'!$D$28)*(C8503&lt;='Resultats - informe'!$E$28),0,(C8503&gt;='Resultats - informe'!$D$29)*(C8503&lt;='Resultats - informe'!$E$29),0,1,1)</f>
        <v>0</v>
      </c>
      <c r="N8503" s="366">
        <f>+VLOOKUP(D8503,'Resultats - informe'!$Y$18:$AG$42,'Introducció dades consum'!K8503+1,0)</f>
        <v>0</v>
      </c>
      <c r="O8503" s="370" cm="1">
        <f t="array" ref="O8503">+_xlfn.SWITCH(MONTH(C8503),1,1,2,1,3,1,4,2,5,2,6,3,7,3,8,3,9,3,10,2,11,2,12,1,2)</f>
        <v>1</v>
      </c>
      <c r="P8503" s="43"/>
    </row>
    <row r="8504" spans="1:16" ht="18" x14ac:dyDescent="0.35">
      <c r="A8504" s="43"/>
      <c r="C8504" s="393"/>
      <c r="E8504" s="394"/>
      <c r="F8504" s="394"/>
      <c r="G8504" s="394"/>
      <c r="I8504" s="368">
        <f t="shared" si="402"/>
        <v>0</v>
      </c>
      <c r="J8504" s="365">
        <f t="shared" si="403"/>
        <v>0</v>
      </c>
      <c r="K8504" s="369">
        <f t="shared" si="404"/>
        <v>6</v>
      </c>
      <c r="L8504" s="369">
        <f>+IF((C8504&gt;='Resultats - informe'!$E$16)*(C8504&lt;='Resultats - informe'!$G$16),1,0)</f>
        <v>1</v>
      </c>
      <c r="M8504" s="369" cm="1">
        <f t="array" ref="M8504">+_xlfn.IFS((C8504&gt;='Resultats - informe'!$D$26)*(C8504&lt;='Resultats - informe'!$E$26),0,(C8504&gt;='Resultats - informe'!$D$27)*(C8504&lt;='Resultats - informe'!$E$27),0,(C8504&gt;='Resultats - informe'!$D$28)*(C8504&lt;='Resultats - informe'!$E$28),0,(C8504&gt;='Resultats - informe'!$D$29)*(C8504&lt;='Resultats - informe'!$E$29),0,1,1)</f>
        <v>0</v>
      </c>
      <c r="N8504" s="366">
        <f>+VLOOKUP(D8504,'Resultats - informe'!$Y$18:$AG$42,'Introducció dades consum'!K8504+1,0)</f>
        <v>0</v>
      </c>
      <c r="O8504" s="370" cm="1">
        <f t="array" ref="O8504">+_xlfn.SWITCH(MONTH(C8504),1,1,2,1,3,1,4,2,5,2,6,3,7,3,8,3,9,3,10,2,11,2,12,1,2)</f>
        <v>1</v>
      </c>
      <c r="P8504" s="43"/>
    </row>
    <row r="8505" spans="1:16" ht="18" x14ac:dyDescent="0.35">
      <c r="A8505" s="43"/>
      <c r="C8505" s="393"/>
      <c r="E8505" s="394"/>
      <c r="F8505" s="394"/>
      <c r="G8505" s="394"/>
      <c r="I8505" s="368">
        <f t="shared" si="402"/>
        <v>0</v>
      </c>
      <c r="J8505" s="365">
        <f t="shared" si="403"/>
        <v>0</v>
      </c>
      <c r="K8505" s="369">
        <f t="shared" si="404"/>
        <v>6</v>
      </c>
      <c r="L8505" s="369">
        <f>+IF((C8505&gt;='Resultats - informe'!$E$16)*(C8505&lt;='Resultats - informe'!$G$16),1,0)</f>
        <v>1</v>
      </c>
      <c r="M8505" s="369" cm="1">
        <f t="array" ref="M8505">+_xlfn.IFS((C8505&gt;='Resultats - informe'!$D$26)*(C8505&lt;='Resultats - informe'!$E$26),0,(C8505&gt;='Resultats - informe'!$D$27)*(C8505&lt;='Resultats - informe'!$E$27),0,(C8505&gt;='Resultats - informe'!$D$28)*(C8505&lt;='Resultats - informe'!$E$28),0,(C8505&gt;='Resultats - informe'!$D$29)*(C8505&lt;='Resultats - informe'!$E$29),0,1,1)</f>
        <v>0</v>
      </c>
      <c r="N8505" s="366">
        <f>+VLOOKUP(D8505,'Resultats - informe'!$Y$18:$AG$42,'Introducció dades consum'!K8505+1,0)</f>
        <v>0</v>
      </c>
      <c r="O8505" s="370" cm="1">
        <f t="array" ref="O8505">+_xlfn.SWITCH(MONTH(C8505),1,1,2,1,3,1,4,2,5,2,6,3,7,3,8,3,9,3,10,2,11,2,12,1,2)</f>
        <v>1</v>
      </c>
      <c r="P8505" s="43"/>
    </row>
    <row r="8506" spans="1:16" ht="18" x14ac:dyDescent="0.35">
      <c r="A8506" s="43"/>
      <c r="C8506" s="393"/>
      <c r="E8506" s="394"/>
      <c r="F8506" s="394"/>
      <c r="G8506" s="394"/>
      <c r="I8506" s="368">
        <f t="shared" si="402"/>
        <v>0</v>
      </c>
      <c r="J8506" s="365">
        <f t="shared" si="403"/>
        <v>0</v>
      </c>
      <c r="K8506" s="369">
        <f t="shared" si="404"/>
        <v>6</v>
      </c>
      <c r="L8506" s="369">
        <f>+IF((C8506&gt;='Resultats - informe'!$E$16)*(C8506&lt;='Resultats - informe'!$G$16),1,0)</f>
        <v>1</v>
      </c>
      <c r="M8506" s="369" cm="1">
        <f t="array" ref="M8506">+_xlfn.IFS((C8506&gt;='Resultats - informe'!$D$26)*(C8506&lt;='Resultats - informe'!$E$26),0,(C8506&gt;='Resultats - informe'!$D$27)*(C8506&lt;='Resultats - informe'!$E$27),0,(C8506&gt;='Resultats - informe'!$D$28)*(C8506&lt;='Resultats - informe'!$E$28),0,(C8506&gt;='Resultats - informe'!$D$29)*(C8506&lt;='Resultats - informe'!$E$29),0,1,1)</f>
        <v>0</v>
      </c>
      <c r="N8506" s="366">
        <f>+VLOOKUP(D8506,'Resultats - informe'!$Y$18:$AG$42,'Introducció dades consum'!K8506+1,0)</f>
        <v>0</v>
      </c>
      <c r="O8506" s="370" cm="1">
        <f t="array" ref="O8506">+_xlfn.SWITCH(MONTH(C8506),1,1,2,1,3,1,4,2,5,2,6,3,7,3,8,3,9,3,10,2,11,2,12,1,2)</f>
        <v>1</v>
      </c>
      <c r="P8506" s="43"/>
    </row>
    <row r="8507" spans="1:16" ht="18" x14ac:dyDescent="0.35">
      <c r="A8507" s="43"/>
      <c r="C8507" s="393"/>
      <c r="E8507" s="394"/>
      <c r="F8507" s="394"/>
      <c r="G8507" s="394"/>
      <c r="I8507" s="368">
        <f t="shared" si="402"/>
        <v>0</v>
      </c>
      <c r="J8507" s="365">
        <f t="shared" si="403"/>
        <v>0</v>
      </c>
      <c r="K8507" s="369">
        <f t="shared" si="404"/>
        <v>6</v>
      </c>
      <c r="L8507" s="369">
        <f>+IF((C8507&gt;='Resultats - informe'!$E$16)*(C8507&lt;='Resultats - informe'!$G$16),1,0)</f>
        <v>1</v>
      </c>
      <c r="M8507" s="369" cm="1">
        <f t="array" ref="M8507">+_xlfn.IFS((C8507&gt;='Resultats - informe'!$D$26)*(C8507&lt;='Resultats - informe'!$E$26),0,(C8507&gt;='Resultats - informe'!$D$27)*(C8507&lt;='Resultats - informe'!$E$27),0,(C8507&gt;='Resultats - informe'!$D$28)*(C8507&lt;='Resultats - informe'!$E$28),0,(C8507&gt;='Resultats - informe'!$D$29)*(C8507&lt;='Resultats - informe'!$E$29),0,1,1)</f>
        <v>0</v>
      </c>
      <c r="N8507" s="366">
        <f>+VLOOKUP(D8507,'Resultats - informe'!$Y$18:$AG$42,'Introducció dades consum'!K8507+1,0)</f>
        <v>0</v>
      </c>
      <c r="O8507" s="370" cm="1">
        <f t="array" ref="O8507">+_xlfn.SWITCH(MONTH(C8507),1,1,2,1,3,1,4,2,5,2,6,3,7,3,8,3,9,3,10,2,11,2,12,1,2)</f>
        <v>1</v>
      </c>
      <c r="P8507" s="43"/>
    </row>
    <row r="8508" spans="1:16" ht="18" x14ac:dyDescent="0.35">
      <c r="A8508" s="43"/>
      <c r="C8508" s="393"/>
      <c r="E8508" s="394"/>
      <c r="F8508" s="394"/>
      <c r="G8508" s="394"/>
      <c r="I8508" s="368">
        <f t="shared" si="402"/>
        <v>0</v>
      </c>
      <c r="J8508" s="365">
        <f t="shared" si="403"/>
        <v>0</v>
      </c>
      <c r="K8508" s="369">
        <f t="shared" si="404"/>
        <v>6</v>
      </c>
      <c r="L8508" s="369">
        <f>+IF((C8508&gt;='Resultats - informe'!$E$16)*(C8508&lt;='Resultats - informe'!$G$16),1,0)</f>
        <v>1</v>
      </c>
      <c r="M8508" s="369" cm="1">
        <f t="array" ref="M8508">+_xlfn.IFS((C8508&gt;='Resultats - informe'!$D$26)*(C8508&lt;='Resultats - informe'!$E$26),0,(C8508&gt;='Resultats - informe'!$D$27)*(C8508&lt;='Resultats - informe'!$E$27),0,(C8508&gt;='Resultats - informe'!$D$28)*(C8508&lt;='Resultats - informe'!$E$28),0,(C8508&gt;='Resultats - informe'!$D$29)*(C8508&lt;='Resultats - informe'!$E$29),0,1,1)</f>
        <v>0</v>
      </c>
      <c r="N8508" s="366">
        <f>+VLOOKUP(D8508,'Resultats - informe'!$Y$18:$AG$42,'Introducció dades consum'!K8508+1,0)</f>
        <v>0</v>
      </c>
      <c r="O8508" s="370" cm="1">
        <f t="array" ref="O8508">+_xlfn.SWITCH(MONTH(C8508),1,1,2,1,3,1,4,2,5,2,6,3,7,3,8,3,9,3,10,2,11,2,12,1,2)</f>
        <v>1</v>
      </c>
      <c r="P8508" s="43"/>
    </row>
    <row r="8509" spans="1:16" ht="18" x14ac:dyDescent="0.35">
      <c r="A8509" s="43"/>
      <c r="C8509" s="393"/>
      <c r="E8509" s="394"/>
      <c r="F8509" s="394"/>
      <c r="G8509" s="394"/>
      <c r="I8509" s="368">
        <f t="shared" si="402"/>
        <v>0</v>
      </c>
      <c r="J8509" s="365">
        <f t="shared" si="403"/>
        <v>0</v>
      </c>
      <c r="K8509" s="369">
        <f t="shared" si="404"/>
        <v>6</v>
      </c>
      <c r="L8509" s="369">
        <f>+IF((C8509&gt;='Resultats - informe'!$E$16)*(C8509&lt;='Resultats - informe'!$G$16),1,0)</f>
        <v>1</v>
      </c>
      <c r="M8509" s="369" cm="1">
        <f t="array" ref="M8509">+_xlfn.IFS((C8509&gt;='Resultats - informe'!$D$26)*(C8509&lt;='Resultats - informe'!$E$26),0,(C8509&gt;='Resultats - informe'!$D$27)*(C8509&lt;='Resultats - informe'!$E$27),0,(C8509&gt;='Resultats - informe'!$D$28)*(C8509&lt;='Resultats - informe'!$E$28),0,(C8509&gt;='Resultats - informe'!$D$29)*(C8509&lt;='Resultats - informe'!$E$29),0,1,1)</f>
        <v>0</v>
      </c>
      <c r="N8509" s="366">
        <f>+VLOOKUP(D8509,'Resultats - informe'!$Y$18:$AG$42,'Introducció dades consum'!K8509+1,0)</f>
        <v>0</v>
      </c>
      <c r="O8509" s="370" cm="1">
        <f t="array" ref="O8509">+_xlfn.SWITCH(MONTH(C8509),1,1,2,1,3,1,4,2,5,2,6,3,7,3,8,3,9,3,10,2,11,2,12,1,2)</f>
        <v>1</v>
      </c>
      <c r="P8509" s="43"/>
    </row>
    <row r="8510" spans="1:16" ht="18" x14ac:dyDescent="0.35">
      <c r="A8510" s="43"/>
      <c r="C8510" s="393"/>
      <c r="E8510" s="394"/>
      <c r="F8510" s="394"/>
      <c r="G8510" s="394"/>
      <c r="I8510" s="368">
        <f t="shared" si="402"/>
        <v>0</v>
      </c>
      <c r="J8510" s="365">
        <f t="shared" si="403"/>
        <v>0</v>
      </c>
      <c r="K8510" s="369">
        <f t="shared" si="404"/>
        <v>6</v>
      </c>
      <c r="L8510" s="369">
        <f>+IF((C8510&gt;='Resultats - informe'!$E$16)*(C8510&lt;='Resultats - informe'!$G$16),1,0)</f>
        <v>1</v>
      </c>
      <c r="M8510" s="369" cm="1">
        <f t="array" ref="M8510">+_xlfn.IFS((C8510&gt;='Resultats - informe'!$D$26)*(C8510&lt;='Resultats - informe'!$E$26),0,(C8510&gt;='Resultats - informe'!$D$27)*(C8510&lt;='Resultats - informe'!$E$27),0,(C8510&gt;='Resultats - informe'!$D$28)*(C8510&lt;='Resultats - informe'!$E$28),0,(C8510&gt;='Resultats - informe'!$D$29)*(C8510&lt;='Resultats - informe'!$E$29),0,1,1)</f>
        <v>0</v>
      </c>
      <c r="N8510" s="366">
        <f>+VLOOKUP(D8510,'Resultats - informe'!$Y$18:$AG$42,'Introducció dades consum'!K8510+1,0)</f>
        <v>0</v>
      </c>
      <c r="O8510" s="370" cm="1">
        <f t="array" ref="O8510">+_xlfn.SWITCH(MONTH(C8510),1,1,2,1,3,1,4,2,5,2,6,3,7,3,8,3,9,3,10,2,11,2,12,1,2)</f>
        <v>1</v>
      </c>
      <c r="P8510" s="43"/>
    </row>
    <row r="8511" spans="1:16" ht="18" x14ac:dyDescent="0.35">
      <c r="A8511" s="43"/>
      <c r="C8511" s="393"/>
      <c r="E8511" s="394"/>
      <c r="F8511" s="394"/>
      <c r="G8511" s="394"/>
      <c r="I8511" s="368">
        <f t="shared" si="402"/>
        <v>0</v>
      </c>
      <c r="J8511" s="365">
        <f t="shared" si="403"/>
        <v>0</v>
      </c>
      <c r="K8511" s="369">
        <f t="shared" si="404"/>
        <v>6</v>
      </c>
      <c r="L8511" s="369">
        <f>+IF((C8511&gt;='Resultats - informe'!$E$16)*(C8511&lt;='Resultats - informe'!$G$16),1,0)</f>
        <v>1</v>
      </c>
      <c r="M8511" s="369" cm="1">
        <f t="array" ref="M8511">+_xlfn.IFS((C8511&gt;='Resultats - informe'!$D$26)*(C8511&lt;='Resultats - informe'!$E$26),0,(C8511&gt;='Resultats - informe'!$D$27)*(C8511&lt;='Resultats - informe'!$E$27),0,(C8511&gt;='Resultats - informe'!$D$28)*(C8511&lt;='Resultats - informe'!$E$28),0,(C8511&gt;='Resultats - informe'!$D$29)*(C8511&lt;='Resultats - informe'!$E$29),0,1,1)</f>
        <v>0</v>
      </c>
      <c r="N8511" s="366">
        <f>+VLOOKUP(D8511,'Resultats - informe'!$Y$18:$AG$42,'Introducció dades consum'!K8511+1,0)</f>
        <v>0</v>
      </c>
      <c r="O8511" s="370" cm="1">
        <f t="array" ref="O8511">+_xlfn.SWITCH(MONTH(C8511),1,1,2,1,3,1,4,2,5,2,6,3,7,3,8,3,9,3,10,2,11,2,12,1,2)</f>
        <v>1</v>
      </c>
      <c r="P8511" s="43"/>
    </row>
    <row r="8512" spans="1:16" ht="18" x14ac:dyDescent="0.35">
      <c r="A8512" s="43"/>
      <c r="C8512" s="393"/>
      <c r="E8512" s="394"/>
      <c r="F8512" s="394"/>
      <c r="G8512" s="394"/>
      <c r="I8512" s="368">
        <f t="shared" si="402"/>
        <v>0</v>
      </c>
      <c r="J8512" s="365">
        <f t="shared" si="403"/>
        <v>0</v>
      </c>
      <c r="K8512" s="369">
        <f t="shared" si="404"/>
        <v>6</v>
      </c>
      <c r="L8512" s="369">
        <f>+IF((C8512&gt;='Resultats - informe'!$E$16)*(C8512&lt;='Resultats - informe'!$G$16),1,0)</f>
        <v>1</v>
      </c>
      <c r="M8512" s="369" cm="1">
        <f t="array" ref="M8512">+_xlfn.IFS((C8512&gt;='Resultats - informe'!$D$26)*(C8512&lt;='Resultats - informe'!$E$26),0,(C8512&gt;='Resultats - informe'!$D$27)*(C8512&lt;='Resultats - informe'!$E$27),0,(C8512&gt;='Resultats - informe'!$D$28)*(C8512&lt;='Resultats - informe'!$E$28),0,(C8512&gt;='Resultats - informe'!$D$29)*(C8512&lt;='Resultats - informe'!$E$29),0,1,1)</f>
        <v>0</v>
      </c>
      <c r="N8512" s="366">
        <f>+VLOOKUP(D8512,'Resultats - informe'!$Y$18:$AG$42,'Introducció dades consum'!K8512+1,0)</f>
        <v>0</v>
      </c>
      <c r="O8512" s="370" cm="1">
        <f t="array" ref="O8512">+_xlfn.SWITCH(MONTH(C8512),1,1,2,1,3,1,4,2,5,2,6,3,7,3,8,3,9,3,10,2,11,2,12,1,2)</f>
        <v>1</v>
      </c>
      <c r="P8512" s="43"/>
    </row>
    <row r="8513" spans="1:16" ht="18" x14ac:dyDescent="0.35">
      <c r="A8513" s="43"/>
      <c r="C8513" s="393"/>
      <c r="E8513" s="394"/>
      <c r="F8513" s="394"/>
      <c r="G8513" s="394"/>
      <c r="I8513" s="368">
        <f t="shared" si="402"/>
        <v>0</v>
      </c>
      <c r="J8513" s="365">
        <f t="shared" si="403"/>
        <v>0</v>
      </c>
      <c r="K8513" s="369">
        <f t="shared" si="404"/>
        <v>6</v>
      </c>
      <c r="L8513" s="369">
        <f>+IF((C8513&gt;='Resultats - informe'!$E$16)*(C8513&lt;='Resultats - informe'!$G$16),1,0)</f>
        <v>1</v>
      </c>
      <c r="M8513" s="369" cm="1">
        <f t="array" ref="M8513">+_xlfn.IFS((C8513&gt;='Resultats - informe'!$D$26)*(C8513&lt;='Resultats - informe'!$E$26),0,(C8513&gt;='Resultats - informe'!$D$27)*(C8513&lt;='Resultats - informe'!$E$27),0,(C8513&gt;='Resultats - informe'!$D$28)*(C8513&lt;='Resultats - informe'!$E$28),0,(C8513&gt;='Resultats - informe'!$D$29)*(C8513&lt;='Resultats - informe'!$E$29),0,1,1)</f>
        <v>0</v>
      </c>
      <c r="N8513" s="366">
        <f>+VLOOKUP(D8513,'Resultats - informe'!$Y$18:$AG$42,'Introducció dades consum'!K8513+1,0)</f>
        <v>0</v>
      </c>
      <c r="O8513" s="370" cm="1">
        <f t="array" ref="O8513">+_xlfn.SWITCH(MONTH(C8513),1,1,2,1,3,1,4,2,5,2,6,3,7,3,8,3,9,3,10,2,11,2,12,1,2)</f>
        <v>1</v>
      </c>
      <c r="P8513" s="43"/>
    </row>
    <row r="8514" spans="1:16" ht="18" x14ac:dyDescent="0.35">
      <c r="A8514" s="43"/>
      <c r="C8514" s="393"/>
      <c r="E8514" s="394"/>
      <c r="F8514" s="394"/>
      <c r="G8514" s="394"/>
      <c r="I8514" s="368">
        <f t="shared" si="402"/>
        <v>0</v>
      </c>
      <c r="J8514" s="365">
        <f t="shared" si="403"/>
        <v>0</v>
      </c>
      <c r="K8514" s="369">
        <f t="shared" si="404"/>
        <v>6</v>
      </c>
      <c r="L8514" s="369">
        <f>+IF((C8514&gt;='Resultats - informe'!$E$16)*(C8514&lt;='Resultats - informe'!$G$16),1,0)</f>
        <v>1</v>
      </c>
      <c r="M8514" s="369" cm="1">
        <f t="array" ref="M8514">+_xlfn.IFS((C8514&gt;='Resultats - informe'!$D$26)*(C8514&lt;='Resultats - informe'!$E$26),0,(C8514&gt;='Resultats - informe'!$D$27)*(C8514&lt;='Resultats - informe'!$E$27),0,(C8514&gt;='Resultats - informe'!$D$28)*(C8514&lt;='Resultats - informe'!$E$28),0,(C8514&gt;='Resultats - informe'!$D$29)*(C8514&lt;='Resultats - informe'!$E$29),0,1,1)</f>
        <v>0</v>
      </c>
      <c r="N8514" s="366">
        <f>+VLOOKUP(D8514,'Resultats - informe'!$Y$18:$AG$42,'Introducció dades consum'!K8514+1,0)</f>
        <v>0</v>
      </c>
      <c r="O8514" s="370" cm="1">
        <f t="array" ref="O8514">+_xlfn.SWITCH(MONTH(C8514),1,1,2,1,3,1,4,2,5,2,6,3,7,3,8,3,9,3,10,2,11,2,12,1,2)</f>
        <v>1</v>
      </c>
      <c r="P8514" s="43"/>
    </row>
    <row r="8515" spans="1:16" ht="18" x14ac:dyDescent="0.35">
      <c r="A8515" s="43"/>
      <c r="C8515" s="393"/>
      <c r="E8515" s="394"/>
      <c r="F8515" s="394"/>
      <c r="G8515" s="394"/>
      <c r="I8515" s="368">
        <f t="shared" si="402"/>
        <v>0</v>
      </c>
      <c r="J8515" s="365">
        <f t="shared" si="403"/>
        <v>0</v>
      </c>
      <c r="K8515" s="369">
        <f t="shared" si="404"/>
        <v>6</v>
      </c>
      <c r="L8515" s="369">
        <f>+IF((C8515&gt;='Resultats - informe'!$E$16)*(C8515&lt;='Resultats - informe'!$G$16),1,0)</f>
        <v>1</v>
      </c>
      <c r="M8515" s="369" cm="1">
        <f t="array" ref="M8515">+_xlfn.IFS((C8515&gt;='Resultats - informe'!$D$26)*(C8515&lt;='Resultats - informe'!$E$26),0,(C8515&gt;='Resultats - informe'!$D$27)*(C8515&lt;='Resultats - informe'!$E$27),0,(C8515&gt;='Resultats - informe'!$D$28)*(C8515&lt;='Resultats - informe'!$E$28),0,(C8515&gt;='Resultats - informe'!$D$29)*(C8515&lt;='Resultats - informe'!$E$29),0,1,1)</f>
        <v>0</v>
      </c>
      <c r="N8515" s="366">
        <f>+VLOOKUP(D8515,'Resultats - informe'!$Y$18:$AG$42,'Introducció dades consum'!K8515+1,0)</f>
        <v>0</v>
      </c>
      <c r="O8515" s="370" cm="1">
        <f t="array" ref="O8515">+_xlfn.SWITCH(MONTH(C8515),1,1,2,1,3,1,4,2,5,2,6,3,7,3,8,3,9,3,10,2,11,2,12,1,2)</f>
        <v>1</v>
      </c>
      <c r="P8515" s="43"/>
    </row>
    <row r="8516" spans="1:16" ht="18" x14ac:dyDescent="0.35">
      <c r="A8516" s="43"/>
      <c r="C8516" s="393"/>
      <c r="E8516" s="394"/>
      <c r="F8516" s="394"/>
      <c r="G8516" s="394"/>
      <c r="I8516" s="368">
        <f t="shared" si="402"/>
        <v>0</v>
      </c>
      <c r="J8516" s="365">
        <f t="shared" si="403"/>
        <v>0</v>
      </c>
      <c r="K8516" s="369">
        <f t="shared" si="404"/>
        <v>6</v>
      </c>
      <c r="L8516" s="369">
        <f>+IF((C8516&gt;='Resultats - informe'!$E$16)*(C8516&lt;='Resultats - informe'!$G$16),1,0)</f>
        <v>1</v>
      </c>
      <c r="M8516" s="369" cm="1">
        <f t="array" ref="M8516">+_xlfn.IFS((C8516&gt;='Resultats - informe'!$D$26)*(C8516&lt;='Resultats - informe'!$E$26),0,(C8516&gt;='Resultats - informe'!$D$27)*(C8516&lt;='Resultats - informe'!$E$27),0,(C8516&gt;='Resultats - informe'!$D$28)*(C8516&lt;='Resultats - informe'!$E$28),0,(C8516&gt;='Resultats - informe'!$D$29)*(C8516&lt;='Resultats - informe'!$E$29),0,1,1)</f>
        <v>0</v>
      </c>
      <c r="N8516" s="366">
        <f>+VLOOKUP(D8516,'Resultats - informe'!$Y$18:$AG$42,'Introducció dades consum'!K8516+1,0)</f>
        <v>0</v>
      </c>
      <c r="O8516" s="370" cm="1">
        <f t="array" ref="O8516">+_xlfn.SWITCH(MONTH(C8516),1,1,2,1,3,1,4,2,5,2,6,3,7,3,8,3,9,3,10,2,11,2,12,1,2)</f>
        <v>1</v>
      </c>
      <c r="P8516" s="43"/>
    </row>
    <row r="8517" spans="1:16" ht="18" x14ac:dyDescent="0.35">
      <c r="A8517" s="43"/>
      <c r="C8517" s="393"/>
      <c r="E8517" s="394"/>
      <c r="F8517" s="394"/>
      <c r="G8517" s="394"/>
      <c r="I8517" s="368">
        <f t="shared" si="402"/>
        <v>0</v>
      </c>
      <c r="J8517" s="365">
        <f t="shared" si="403"/>
        <v>0</v>
      </c>
      <c r="K8517" s="369">
        <f t="shared" si="404"/>
        <v>6</v>
      </c>
      <c r="L8517" s="369">
        <f>+IF((C8517&gt;='Resultats - informe'!$E$16)*(C8517&lt;='Resultats - informe'!$G$16),1,0)</f>
        <v>1</v>
      </c>
      <c r="M8517" s="369" cm="1">
        <f t="array" ref="M8517">+_xlfn.IFS((C8517&gt;='Resultats - informe'!$D$26)*(C8517&lt;='Resultats - informe'!$E$26),0,(C8517&gt;='Resultats - informe'!$D$27)*(C8517&lt;='Resultats - informe'!$E$27),0,(C8517&gt;='Resultats - informe'!$D$28)*(C8517&lt;='Resultats - informe'!$E$28),0,(C8517&gt;='Resultats - informe'!$D$29)*(C8517&lt;='Resultats - informe'!$E$29),0,1,1)</f>
        <v>0</v>
      </c>
      <c r="N8517" s="366">
        <f>+VLOOKUP(D8517,'Resultats - informe'!$Y$18:$AG$42,'Introducció dades consum'!K8517+1,0)</f>
        <v>0</v>
      </c>
      <c r="O8517" s="370" cm="1">
        <f t="array" ref="O8517">+_xlfn.SWITCH(MONTH(C8517),1,1,2,1,3,1,4,2,5,2,6,3,7,3,8,3,9,3,10,2,11,2,12,1,2)</f>
        <v>1</v>
      </c>
      <c r="P8517" s="43"/>
    </row>
    <row r="8518" spans="1:16" ht="18" x14ac:dyDescent="0.35">
      <c r="A8518" s="43"/>
      <c r="C8518" s="393"/>
      <c r="E8518" s="394"/>
      <c r="F8518" s="394"/>
      <c r="G8518" s="394"/>
      <c r="I8518" s="368">
        <f t="shared" si="402"/>
        <v>0</v>
      </c>
      <c r="J8518" s="365">
        <f t="shared" si="403"/>
        <v>0</v>
      </c>
      <c r="K8518" s="369">
        <f t="shared" si="404"/>
        <v>6</v>
      </c>
      <c r="L8518" s="369">
        <f>+IF((C8518&gt;='Resultats - informe'!$E$16)*(C8518&lt;='Resultats - informe'!$G$16),1,0)</f>
        <v>1</v>
      </c>
      <c r="M8518" s="369" cm="1">
        <f t="array" ref="M8518">+_xlfn.IFS((C8518&gt;='Resultats - informe'!$D$26)*(C8518&lt;='Resultats - informe'!$E$26),0,(C8518&gt;='Resultats - informe'!$D$27)*(C8518&lt;='Resultats - informe'!$E$27),0,(C8518&gt;='Resultats - informe'!$D$28)*(C8518&lt;='Resultats - informe'!$E$28),0,(C8518&gt;='Resultats - informe'!$D$29)*(C8518&lt;='Resultats - informe'!$E$29),0,1,1)</f>
        <v>0</v>
      </c>
      <c r="N8518" s="366">
        <f>+VLOOKUP(D8518,'Resultats - informe'!$Y$18:$AG$42,'Introducció dades consum'!K8518+1,0)</f>
        <v>0</v>
      </c>
      <c r="O8518" s="370" cm="1">
        <f t="array" ref="O8518">+_xlfn.SWITCH(MONTH(C8518),1,1,2,1,3,1,4,2,5,2,6,3,7,3,8,3,9,3,10,2,11,2,12,1,2)</f>
        <v>1</v>
      </c>
      <c r="P8518" s="43"/>
    </row>
    <row r="8519" spans="1:16" ht="18" x14ac:dyDescent="0.35">
      <c r="A8519" s="43"/>
      <c r="C8519" s="393"/>
      <c r="E8519" s="394"/>
      <c r="F8519" s="394"/>
      <c r="G8519" s="394"/>
      <c r="I8519" s="368">
        <f t="shared" si="402"/>
        <v>0</v>
      </c>
      <c r="J8519" s="365">
        <f t="shared" si="403"/>
        <v>0</v>
      </c>
      <c r="K8519" s="369">
        <f t="shared" si="404"/>
        <v>6</v>
      </c>
      <c r="L8519" s="369">
        <f>+IF((C8519&gt;='Resultats - informe'!$E$16)*(C8519&lt;='Resultats - informe'!$G$16),1,0)</f>
        <v>1</v>
      </c>
      <c r="M8519" s="369" cm="1">
        <f t="array" ref="M8519">+_xlfn.IFS((C8519&gt;='Resultats - informe'!$D$26)*(C8519&lt;='Resultats - informe'!$E$26),0,(C8519&gt;='Resultats - informe'!$D$27)*(C8519&lt;='Resultats - informe'!$E$27),0,(C8519&gt;='Resultats - informe'!$D$28)*(C8519&lt;='Resultats - informe'!$E$28),0,(C8519&gt;='Resultats - informe'!$D$29)*(C8519&lt;='Resultats - informe'!$E$29),0,1,1)</f>
        <v>0</v>
      </c>
      <c r="N8519" s="366">
        <f>+VLOOKUP(D8519,'Resultats - informe'!$Y$18:$AG$42,'Introducció dades consum'!K8519+1,0)</f>
        <v>0</v>
      </c>
      <c r="O8519" s="370" cm="1">
        <f t="array" ref="O8519">+_xlfn.SWITCH(MONTH(C8519),1,1,2,1,3,1,4,2,5,2,6,3,7,3,8,3,9,3,10,2,11,2,12,1,2)</f>
        <v>1</v>
      </c>
      <c r="P8519" s="43"/>
    </row>
    <row r="8520" spans="1:16" ht="18" x14ac:dyDescent="0.35">
      <c r="A8520" s="43"/>
      <c r="C8520" s="393"/>
      <c r="E8520" s="394"/>
      <c r="F8520" s="394"/>
      <c r="G8520" s="394"/>
      <c r="I8520" s="368">
        <f t="shared" si="402"/>
        <v>0</v>
      </c>
      <c r="J8520" s="365">
        <f t="shared" si="403"/>
        <v>0</v>
      </c>
      <c r="K8520" s="369">
        <f t="shared" si="404"/>
        <v>6</v>
      </c>
      <c r="L8520" s="369">
        <f>+IF((C8520&gt;='Resultats - informe'!$E$16)*(C8520&lt;='Resultats - informe'!$G$16),1,0)</f>
        <v>1</v>
      </c>
      <c r="M8520" s="369" cm="1">
        <f t="array" ref="M8520">+_xlfn.IFS((C8520&gt;='Resultats - informe'!$D$26)*(C8520&lt;='Resultats - informe'!$E$26),0,(C8520&gt;='Resultats - informe'!$D$27)*(C8520&lt;='Resultats - informe'!$E$27),0,(C8520&gt;='Resultats - informe'!$D$28)*(C8520&lt;='Resultats - informe'!$E$28),0,(C8520&gt;='Resultats - informe'!$D$29)*(C8520&lt;='Resultats - informe'!$E$29),0,1,1)</f>
        <v>0</v>
      </c>
      <c r="N8520" s="366">
        <f>+VLOOKUP(D8520,'Resultats - informe'!$Y$18:$AG$42,'Introducció dades consum'!K8520+1,0)</f>
        <v>0</v>
      </c>
      <c r="O8520" s="370" cm="1">
        <f t="array" ref="O8520">+_xlfn.SWITCH(MONTH(C8520),1,1,2,1,3,1,4,2,5,2,6,3,7,3,8,3,9,3,10,2,11,2,12,1,2)</f>
        <v>1</v>
      </c>
      <c r="P8520" s="43"/>
    </row>
    <row r="8521" spans="1:16" ht="18" x14ac:dyDescent="0.35">
      <c r="A8521" s="43"/>
      <c r="C8521" s="393"/>
      <c r="E8521" s="394"/>
      <c r="F8521" s="394"/>
      <c r="G8521" s="394"/>
      <c r="I8521" s="368">
        <f t="shared" si="402"/>
        <v>0</v>
      </c>
      <c r="J8521" s="365">
        <f t="shared" si="403"/>
        <v>0</v>
      </c>
      <c r="K8521" s="369">
        <f t="shared" si="404"/>
        <v>6</v>
      </c>
      <c r="L8521" s="369">
        <f>+IF((C8521&gt;='Resultats - informe'!$E$16)*(C8521&lt;='Resultats - informe'!$G$16),1,0)</f>
        <v>1</v>
      </c>
      <c r="M8521" s="369" cm="1">
        <f t="array" ref="M8521">+_xlfn.IFS((C8521&gt;='Resultats - informe'!$D$26)*(C8521&lt;='Resultats - informe'!$E$26),0,(C8521&gt;='Resultats - informe'!$D$27)*(C8521&lt;='Resultats - informe'!$E$27),0,(C8521&gt;='Resultats - informe'!$D$28)*(C8521&lt;='Resultats - informe'!$E$28),0,(C8521&gt;='Resultats - informe'!$D$29)*(C8521&lt;='Resultats - informe'!$E$29),0,1,1)</f>
        <v>0</v>
      </c>
      <c r="N8521" s="366">
        <f>+VLOOKUP(D8521,'Resultats - informe'!$Y$18:$AG$42,'Introducció dades consum'!K8521+1,0)</f>
        <v>0</v>
      </c>
      <c r="O8521" s="370" cm="1">
        <f t="array" ref="O8521">+_xlfn.SWITCH(MONTH(C8521),1,1,2,1,3,1,4,2,5,2,6,3,7,3,8,3,9,3,10,2,11,2,12,1,2)</f>
        <v>1</v>
      </c>
      <c r="P8521" s="43"/>
    </row>
    <row r="8522" spans="1:16" ht="18" x14ac:dyDescent="0.35">
      <c r="A8522" s="43"/>
      <c r="C8522" s="393"/>
      <c r="E8522" s="394"/>
      <c r="F8522" s="394"/>
      <c r="G8522" s="394"/>
      <c r="I8522" s="368">
        <f t="shared" si="402"/>
        <v>0</v>
      </c>
      <c r="J8522" s="365">
        <f t="shared" si="403"/>
        <v>0</v>
      </c>
      <c r="K8522" s="369">
        <f t="shared" si="404"/>
        <v>6</v>
      </c>
      <c r="L8522" s="369">
        <f>+IF((C8522&gt;='Resultats - informe'!$E$16)*(C8522&lt;='Resultats - informe'!$G$16),1,0)</f>
        <v>1</v>
      </c>
      <c r="M8522" s="369" cm="1">
        <f t="array" ref="M8522">+_xlfn.IFS((C8522&gt;='Resultats - informe'!$D$26)*(C8522&lt;='Resultats - informe'!$E$26),0,(C8522&gt;='Resultats - informe'!$D$27)*(C8522&lt;='Resultats - informe'!$E$27),0,(C8522&gt;='Resultats - informe'!$D$28)*(C8522&lt;='Resultats - informe'!$E$28),0,(C8522&gt;='Resultats - informe'!$D$29)*(C8522&lt;='Resultats - informe'!$E$29),0,1,1)</f>
        <v>0</v>
      </c>
      <c r="N8522" s="366">
        <f>+VLOOKUP(D8522,'Resultats - informe'!$Y$18:$AG$42,'Introducció dades consum'!K8522+1,0)</f>
        <v>0</v>
      </c>
      <c r="O8522" s="370" cm="1">
        <f t="array" ref="O8522">+_xlfn.SWITCH(MONTH(C8522),1,1,2,1,3,1,4,2,5,2,6,3,7,3,8,3,9,3,10,2,11,2,12,1,2)</f>
        <v>1</v>
      </c>
      <c r="P8522" s="43"/>
    </row>
    <row r="8523" spans="1:16" ht="18" x14ac:dyDescent="0.35">
      <c r="A8523" s="43"/>
      <c r="C8523" s="393"/>
      <c r="E8523" s="394"/>
      <c r="F8523" s="394"/>
      <c r="G8523" s="394"/>
      <c r="I8523" s="368">
        <f t="shared" si="402"/>
        <v>0</v>
      </c>
      <c r="J8523" s="365">
        <f t="shared" si="403"/>
        <v>0</v>
      </c>
      <c r="K8523" s="369">
        <f t="shared" si="404"/>
        <v>6</v>
      </c>
      <c r="L8523" s="369">
        <f>+IF((C8523&gt;='Resultats - informe'!$E$16)*(C8523&lt;='Resultats - informe'!$G$16),1,0)</f>
        <v>1</v>
      </c>
      <c r="M8523" s="369" cm="1">
        <f t="array" ref="M8523">+_xlfn.IFS((C8523&gt;='Resultats - informe'!$D$26)*(C8523&lt;='Resultats - informe'!$E$26),0,(C8523&gt;='Resultats - informe'!$D$27)*(C8523&lt;='Resultats - informe'!$E$27),0,(C8523&gt;='Resultats - informe'!$D$28)*(C8523&lt;='Resultats - informe'!$E$28),0,(C8523&gt;='Resultats - informe'!$D$29)*(C8523&lt;='Resultats - informe'!$E$29),0,1,1)</f>
        <v>0</v>
      </c>
      <c r="N8523" s="366">
        <f>+VLOOKUP(D8523,'Resultats - informe'!$Y$18:$AG$42,'Introducció dades consum'!K8523+1,0)</f>
        <v>0</v>
      </c>
      <c r="O8523" s="370" cm="1">
        <f t="array" ref="O8523">+_xlfn.SWITCH(MONTH(C8523),1,1,2,1,3,1,4,2,5,2,6,3,7,3,8,3,9,3,10,2,11,2,12,1,2)</f>
        <v>1</v>
      </c>
      <c r="P8523" s="43"/>
    </row>
    <row r="8524" spans="1:16" ht="18" x14ac:dyDescent="0.35">
      <c r="A8524" s="43"/>
      <c r="C8524" s="393"/>
      <c r="E8524" s="394"/>
      <c r="F8524" s="394"/>
      <c r="G8524" s="394"/>
      <c r="I8524" s="368">
        <f t="shared" si="402"/>
        <v>0</v>
      </c>
      <c r="J8524" s="365">
        <f t="shared" si="403"/>
        <v>0</v>
      </c>
      <c r="K8524" s="369">
        <f t="shared" si="404"/>
        <v>6</v>
      </c>
      <c r="L8524" s="369">
        <f>+IF((C8524&gt;='Resultats - informe'!$E$16)*(C8524&lt;='Resultats - informe'!$G$16),1,0)</f>
        <v>1</v>
      </c>
      <c r="M8524" s="369" cm="1">
        <f t="array" ref="M8524">+_xlfn.IFS((C8524&gt;='Resultats - informe'!$D$26)*(C8524&lt;='Resultats - informe'!$E$26),0,(C8524&gt;='Resultats - informe'!$D$27)*(C8524&lt;='Resultats - informe'!$E$27),0,(C8524&gt;='Resultats - informe'!$D$28)*(C8524&lt;='Resultats - informe'!$E$28),0,(C8524&gt;='Resultats - informe'!$D$29)*(C8524&lt;='Resultats - informe'!$E$29),0,1,1)</f>
        <v>0</v>
      </c>
      <c r="N8524" s="366">
        <f>+VLOOKUP(D8524,'Resultats - informe'!$Y$18:$AG$42,'Introducció dades consum'!K8524+1,0)</f>
        <v>0</v>
      </c>
      <c r="O8524" s="370" cm="1">
        <f t="array" ref="O8524">+_xlfn.SWITCH(MONTH(C8524),1,1,2,1,3,1,4,2,5,2,6,3,7,3,8,3,9,3,10,2,11,2,12,1,2)</f>
        <v>1</v>
      </c>
      <c r="P8524" s="43"/>
    </row>
    <row r="8525" spans="1:16" ht="18" x14ac:dyDescent="0.35">
      <c r="A8525" s="43"/>
      <c r="C8525" s="393"/>
      <c r="E8525" s="394"/>
      <c r="F8525" s="394"/>
      <c r="G8525" s="394"/>
      <c r="I8525" s="368">
        <f t="shared" si="402"/>
        <v>0</v>
      </c>
      <c r="J8525" s="365">
        <f t="shared" si="403"/>
        <v>0</v>
      </c>
      <c r="K8525" s="369">
        <f t="shared" si="404"/>
        <v>6</v>
      </c>
      <c r="L8525" s="369">
        <f>+IF((C8525&gt;='Resultats - informe'!$E$16)*(C8525&lt;='Resultats - informe'!$G$16),1,0)</f>
        <v>1</v>
      </c>
      <c r="M8525" s="369" cm="1">
        <f t="array" ref="M8525">+_xlfn.IFS((C8525&gt;='Resultats - informe'!$D$26)*(C8525&lt;='Resultats - informe'!$E$26),0,(C8525&gt;='Resultats - informe'!$D$27)*(C8525&lt;='Resultats - informe'!$E$27),0,(C8525&gt;='Resultats - informe'!$D$28)*(C8525&lt;='Resultats - informe'!$E$28),0,(C8525&gt;='Resultats - informe'!$D$29)*(C8525&lt;='Resultats - informe'!$E$29),0,1,1)</f>
        <v>0</v>
      </c>
      <c r="N8525" s="366">
        <f>+VLOOKUP(D8525,'Resultats - informe'!$Y$18:$AG$42,'Introducció dades consum'!K8525+1,0)</f>
        <v>0</v>
      </c>
      <c r="O8525" s="370" cm="1">
        <f t="array" ref="O8525">+_xlfn.SWITCH(MONTH(C8525),1,1,2,1,3,1,4,2,5,2,6,3,7,3,8,3,9,3,10,2,11,2,12,1,2)</f>
        <v>1</v>
      </c>
      <c r="P8525" s="43"/>
    </row>
    <row r="8526" spans="1:16" ht="18" x14ac:dyDescent="0.35">
      <c r="A8526" s="43"/>
      <c r="C8526" s="393"/>
      <c r="E8526" s="394"/>
      <c r="F8526" s="394"/>
      <c r="G8526" s="394"/>
      <c r="I8526" s="368">
        <f t="shared" si="402"/>
        <v>0</v>
      </c>
      <c r="J8526" s="365">
        <f t="shared" si="403"/>
        <v>0</v>
      </c>
      <c r="K8526" s="369">
        <f t="shared" si="404"/>
        <v>6</v>
      </c>
      <c r="L8526" s="369">
        <f>+IF((C8526&gt;='Resultats - informe'!$E$16)*(C8526&lt;='Resultats - informe'!$G$16),1,0)</f>
        <v>1</v>
      </c>
      <c r="M8526" s="369" cm="1">
        <f t="array" ref="M8526">+_xlfn.IFS((C8526&gt;='Resultats - informe'!$D$26)*(C8526&lt;='Resultats - informe'!$E$26),0,(C8526&gt;='Resultats - informe'!$D$27)*(C8526&lt;='Resultats - informe'!$E$27),0,(C8526&gt;='Resultats - informe'!$D$28)*(C8526&lt;='Resultats - informe'!$E$28),0,(C8526&gt;='Resultats - informe'!$D$29)*(C8526&lt;='Resultats - informe'!$E$29),0,1,1)</f>
        <v>0</v>
      </c>
      <c r="N8526" s="366">
        <f>+VLOOKUP(D8526,'Resultats - informe'!$Y$18:$AG$42,'Introducció dades consum'!K8526+1,0)</f>
        <v>0</v>
      </c>
      <c r="O8526" s="370" cm="1">
        <f t="array" ref="O8526">+_xlfn.SWITCH(MONTH(C8526),1,1,2,1,3,1,4,2,5,2,6,3,7,3,8,3,9,3,10,2,11,2,12,1,2)</f>
        <v>1</v>
      </c>
      <c r="P8526" s="43"/>
    </row>
    <row r="8527" spans="1:16" ht="18" x14ac:dyDescent="0.35">
      <c r="A8527" s="43"/>
      <c r="C8527" s="393"/>
      <c r="E8527" s="394"/>
      <c r="F8527" s="394"/>
      <c r="G8527" s="394"/>
      <c r="I8527" s="368">
        <f t="shared" si="402"/>
        <v>0</v>
      </c>
      <c r="J8527" s="365">
        <f t="shared" si="403"/>
        <v>0</v>
      </c>
      <c r="K8527" s="369">
        <f t="shared" si="404"/>
        <v>6</v>
      </c>
      <c r="L8527" s="369">
        <f>+IF((C8527&gt;='Resultats - informe'!$E$16)*(C8527&lt;='Resultats - informe'!$G$16),1,0)</f>
        <v>1</v>
      </c>
      <c r="M8527" s="369" cm="1">
        <f t="array" ref="M8527">+_xlfn.IFS((C8527&gt;='Resultats - informe'!$D$26)*(C8527&lt;='Resultats - informe'!$E$26),0,(C8527&gt;='Resultats - informe'!$D$27)*(C8527&lt;='Resultats - informe'!$E$27),0,(C8527&gt;='Resultats - informe'!$D$28)*(C8527&lt;='Resultats - informe'!$E$28),0,(C8527&gt;='Resultats - informe'!$D$29)*(C8527&lt;='Resultats - informe'!$E$29),0,1,1)</f>
        <v>0</v>
      </c>
      <c r="N8527" s="366">
        <f>+VLOOKUP(D8527,'Resultats - informe'!$Y$18:$AG$42,'Introducció dades consum'!K8527+1,0)</f>
        <v>0</v>
      </c>
      <c r="O8527" s="370" cm="1">
        <f t="array" ref="O8527">+_xlfn.SWITCH(MONTH(C8527),1,1,2,1,3,1,4,2,5,2,6,3,7,3,8,3,9,3,10,2,11,2,12,1,2)</f>
        <v>1</v>
      </c>
      <c r="P8527" s="43"/>
    </row>
    <row r="8528" spans="1:16" ht="18" x14ac:dyDescent="0.35">
      <c r="A8528" s="43"/>
      <c r="C8528" s="393"/>
      <c r="E8528" s="394"/>
      <c r="F8528" s="394"/>
      <c r="G8528" s="394"/>
      <c r="I8528" s="368">
        <f t="shared" si="402"/>
        <v>0</v>
      </c>
      <c r="J8528" s="365">
        <f t="shared" si="403"/>
        <v>0</v>
      </c>
      <c r="K8528" s="369">
        <f t="shared" si="404"/>
        <v>6</v>
      </c>
      <c r="L8528" s="369">
        <f>+IF((C8528&gt;='Resultats - informe'!$E$16)*(C8528&lt;='Resultats - informe'!$G$16),1,0)</f>
        <v>1</v>
      </c>
      <c r="M8528" s="369" cm="1">
        <f t="array" ref="M8528">+_xlfn.IFS((C8528&gt;='Resultats - informe'!$D$26)*(C8528&lt;='Resultats - informe'!$E$26),0,(C8528&gt;='Resultats - informe'!$D$27)*(C8528&lt;='Resultats - informe'!$E$27),0,(C8528&gt;='Resultats - informe'!$D$28)*(C8528&lt;='Resultats - informe'!$E$28),0,(C8528&gt;='Resultats - informe'!$D$29)*(C8528&lt;='Resultats - informe'!$E$29),0,1,1)</f>
        <v>0</v>
      </c>
      <c r="N8528" s="366">
        <f>+VLOOKUP(D8528,'Resultats - informe'!$Y$18:$AG$42,'Introducció dades consum'!K8528+1,0)</f>
        <v>0</v>
      </c>
      <c r="O8528" s="370" cm="1">
        <f t="array" ref="O8528">+_xlfn.SWITCH(MONTH(C8528),1,1,2,1,3,1,4,2,5,2,6,3,7,3,8,3,9,3,10,2,11,2,12,1,2)</f>
        <v>1</v>
      </c>
      <c r="P8528" s="43"/>
    </row>
    <row r="8529" spans="1:16" ht="18" x14ac:dyDescent="0.35">
      <c r="A8529" s="43"/>
      <c r="C8529" s="393"/>
      <c r="E8529" s="394"/>
      <c r="F8529" s="394"/>
      <c r="G8529" s="394"/>
      <c r="I8529" s="368">
        <f t="shared" si="402"/>
        <v>0</v>
      </c>
      <c r="J8529" s="365">
        <f t="shared" si="403"/>
        <v>0</v>
      </c>
      <c r="K8529" s="369">
        <f t="shared" si="404"/>
        <v>6</v>
      </c>
      <c r="L8529" s="369">
        <f>+IF((C8529&gt;='Resultats - informe'!$E$16)*(C8529&lt;='Resultats - informe'!$G$16),1,0)</f>
        <v>1</v>
      </c>
      <c r="M8529" s="369" cm="1">
        <f t="array" ref="M8529">+_xlfn.IFS((C8529&gt;='Resultats - informe'!$D$26)*(C8529&lt;='Resultats - informe'!$E$26),0,(C8529&gt;='Resultats - informe'!$D$27)*(C8529&lt;='Resultats - informe'!$E$27),0,(C8529&gt;='Resultats - informe'!$D$28)*(C8529&lt;='Resultats - informe'!$E$28),0,(C8529&gt;='Resultats - informe'!$D$29)*(C8529&lt;='Resultats - informe'!$E$29),0,1,1)</f>
        <v>0</v>
      </c>
      <c r="N8529" s="366">
        <f>+VLOOKUP(D8529,'Resultats - informe'!$Y$18:$AG$42,'Introducció dades consum'!K8529+1,0)</f>
        <v>0</v>
      </c>
      <c r="O8529" s="370" cm="1">
        <f t="array" ref="O8529">+_xlfn.SWITCH(MONTH(C8529),1,1,2,1,3,1,4,2,5,2,6,3,7,3,8,3,9,3,10,2,11,2,12,1,2)</f>
        <v>1</v>
      </c>
      <c r="P8529" s="43"/>
    </row>
    <row r="8530" spans="1:16" ht="18" x14ac:dyDescent="0.35">
      <c r="A8530" s="43"/>
      <c r="C8530" s="393"/>
      <c r="E8530" s="394"/>
      <c r="F8530" s="394"/>
      <c r="G8530" s="394"/>
      <c r="I8530" s="368">
        <f t="shared" ref="I8530:I8593" si="405">+E8530+G8530</f>
        <v>0</v>
      </c>
      <c r="J8530" s="365">
        <f t="shared" ref="J8530:J8593" si="406">+C8530</f>
        <v>0</v>
      </c>
      <c r="K8530" s="369">
        <f t="shared" ref="K8530:K8593" si="407">+WEEKDAY(C8530,2)</f>
        <v>6</v>
      </c>
      <c r="L8530" s="369">
        <f>+IF((C8530&gt;='Resultats - informe'!$E$16)*(C8530&lt;='Resultats - informe'!$G$16),1,0)</f>
        <v>1</v>
      </c>
      <c r="M8530" s="369" cm="1">
        <f t="array" ref="M8530">+_xlfn.IFS((C8530&gt;='Resultats - informe'!$D$26)*(C8530&lt;='Resultats - informe'!$E$26),0,(C8530&gt;='Resultats - informe'!$D$27)*(C8530&lt;='Resultats - informe'!$E$27),0,(C8530&gt;='Resultats - informe'!$D$28)*(C8530&lt;='Resultats - informe'!$E$28),0,(C8530&gt;='Resultats - informe'!$D$29)*(C8530&lt;='Resultats - informe'!$E$29),0,1,1)</f>
        <v>0</v>
      </c>
      <c r="N8530" s="366">
        <f>+VLOOKUP(D8530,'Resultats - informe'!$Y$18:$AG$42,'Introducció dades consum'!K8530+1,0)</f>
        <v>0</v>
      </c>
      <c r="O8530" s="370" cm="1">
        <f t="array" ref="O8530">+_xlfn.SWITCH(MONTH(C8530),1,1,2,1,3,1,4,2,5,2,6,3,7,3,8,3,9,3,10,2,11,2,12,1,2)</f>
        <v>1</v>
      </c>
      <c r="P8530" s="43"/>
    </row>
    <row r="8531" spans="1:16" ht="18" x14ac:dyDescent="0.35">
      <c r="A8531" s="43"/>
      <c r="C8531" s="393"/>
      <c r="E8531" s="394"/>
      <c r="F8531" s="394"/>
      <c r="G8531" s="394"/>
      <c r="I8531" s="368">
        <f t="shared" si="405"/>
        <v>0</v>
      </c>
      <c r="J8531" s="365">
        <f t="shared" si="406"/>
        <v>0</v>
      </c>
      <c r="K8531" s="369">
        <f t="shared" si="407"/>
        <v>6</v>
      </c>
      <c r="L8531" s="369">
        <f>+IF((C8531&gt;='Resultats - informe'!$E$16)*(C8531&lt;='Resultats - informe'!$G$16),1,0)</f>
        <v>1</v>
      </c>
      <c r="M8531" s="369" cm="1">
        <f t="array" ref="M8531">+_xlfn.IFS((C8531&gt;='Resultats - informe'!$D$26)*(C8531&lt;='Resultats - informe'!$E$26),0,(C8531&gt;='Resultats - informe'!$D$27)*(C8531&lt;='Resultats - informe'!$E$27),0,(C8531&gt;='Resultats - informe'!$D$28)*(C8531&lt;='Resultats - informe'!$E$28),0,(C8531&gt;='Resultats - informe'!$D$29)*(C8531&lt;='Resultats - informe'!$E$29),0,1,1)</f>
        <v>0</v>
      </c>
      <c r="N8531" s="366">
        <f>+VLOOKUP(D8531,'Resultats - informe'!$Y$18:$AG$42,'Introducció dades consum'!K8531+1,0)</f>
        <v>0</v>
      </c>
      <c r="O8531" s="370" cm="1">
        <f t="array" ref="O8531">+_xlfn.SWITCH(MONTH(C8531),1,1,2,1,3,1,4,2,5,2,6,3,7,3,8,3,9,3,10,2,11,2,12,1,2)</f>
        <v>1</v>
      </c>
      <c r="P8531" s="43"/>
    </row>
    <row r="8532" spans="1:16" ht="18" x14ac:dyDescent="0.35">
      <c r="A8532" s="43"/>
      <c r="C8532" s="393"/>
      <c r="E8532" s="394"/>
      <c r="F8532" s="394"/>
      <c r="G8532" s="394"/>
      <c r="I8532" s="368">
        <f t="shared" si="405"/>
        <v>0</v>
      </c>
      <c r="J8532" s="365">
        <f t="shared" si="406"/>
        <v>0</v>
      </c>
      <c r="K8532" s="369">
        <f t="shared" si="407"/>
        <v>6</v>
      </c>
      <c r="L8532" s="369">
        <f>+IF((C8532&gt;='Resultats - informe'!$E$16)*(C8532&lt;='Resultats - informe'!$G$16),1,0)</f>
        <v>1</v>
      </c>
      <c r="M8532" s="369" cm="1">
        <f t="array" ref="M8532">+_xlfn.IFS((C8532&gt;='Resultats - informe'!$D$26)*(C8532&lt;='Resultats - informe'!$E$26),0,(C8532&gt;='Resultats - informe'!$D$27)*(C8532&lt;='Resultats - informe'!$E$27),0,(C8532&gt;='Resultats - informe'!$D$28)*(C8532&lt;='Resultats - informe'!$E$28),0,(C8532&gt;='Resultats - informe'!$D$29)*(C8532&lt;='Resultats - informe'!$E$29),0,1,1)</f>
        <v>0</v>
      </c>
      <c r="N8532" s="366">
        <f>+VLOOKUP(D8532,'Resultats - informe'!$Y$18:$AG$42,'Introducció dades consum'!K8532+1,0)</f>
        <v>0</v>
      </c>
      <c r="O8532" s="370" cm="1">
        <f t="array" ref="O8532">+_xlfn.SWITCH(MONTH(C8532),1,1,2,1,3,1,4,2,5,2,6,3,7,3,8,3,9,3,10,2,11,2,12,1,2)</f>
        <v>1</v>
      </c>
      <c r="P8532" s="43"/>
    </row>
    <row r="8533" spans="1:16" ht="18" x14ac:dyDescent="0.35">
      <c r="A8533" s="43"/>
      <c r="C8533" s="393"/>
      <c r="E8533" s="394"/>
      <c r="F8533" s="394"/>
      <c r="G8533" s="394"/>
      <c r="I8533" s="368">
        <f t="shared" si="405"/>
        <v>0</v>
      </c>
      <c r="J8533" s="365">
        <f t="shared" si="406"/>
        <v>0</v>
      </c>
      <c r="K8533" s="369">
        <f t="shared" si="407"/>
        <v>6</v>
      </c>
      <c r="L8533" s="369">
        <f>+IF((C8533&gt;='Resultats - informe'!$E$16)*(C8533&lt;='Resultats - informe'!$G$16),1,0)</f>
        <v>1</v>
      </c>
      <c r="M8533" s="369" cm="1">
        <f t="array" ref="M8533">+_xlfn.IFS((C8533&gt;='Resultats - informe'!$D$26)*(C8533&lt;='Resultats - informe'!$E$26),0,(C8533&gt;='Resultats - informe'!$D$27)*(C8533&lt;='Resultats - informe'!$E$27),0,(C8533&gt;='Resultats - informe'!$D$28)*(C8533&lt;='Resultats - informe'!$E$28),0,(C8533&gt;='Resultats - informe'!$D$29)*(C8533&lt;='Resultats - informe'!$E$29),0,1,1)</f>
        <v>0</v>
      </c>
      <c r="N8533" s="366">
        <f>+VLOOKUP(D8533,'Resultats - informe'!$Y$18:$AG$42,'Introducció dades consum'!K8533+1,0)</f>
        <v>0</v>
      </c>
      <c r="O8533" s="370" cm="1">
        <f t="array" ref="O8533">+_xlfn.SWITCH(MONTH(C8533),1,1,2,1,3,1,4,2,5,2,6,3,7,3,8,3,9,3,10,2,11,2,12,1,2)</f>
        <v>1</v>
      </c>
      <c r="P8533" s="43"/>
    </row>
    <row r="8534" spans="1:16" ht="18" x14ac:dyDescent="0.35">
      <c r="A8534" s="43"/>
      <c r="C8534" s="393"/>
      <c r="E8534" s="394"/>
      <c r="F8534" s="394"/>
      <c r="G8534" s="394"/>
      <c r="I8534" s="368">
        <f t="shared" si="405"/>
        <v>0</v>
      </c>
      <c r="J8534" s="365">
        <f t="shared" si="406"/>
        <v>0</v>
      </c>
      <c r="K8534" s="369">
        <f t="shared" si="407"/>
        <v>6</v>
      </c>
      <c r="L8534" s="369">
        <f>+IF((C8534&gt;='Resultats - informe'!$E$16)*(C8534&lt;='Resultats - informe'!$G$16),1,0)</f>
        <v>1</v>
      </c>
      <c r="M8534" s="369" cm="1">
        <f t="array" ref="M8534">+_xlfn.IFS((C8534&gt;='Resultats - informe'!$D$26)*(C8534&lt;='Resultats - informe'!$E$26),0,(C8534&gt;='Resultats - informe'!$D$27)*(C8534&lt;='Resultats - informe'!$E$27),0,(C8534&gt;='Resultats - informe'!$D$28)*(C8534&lt;='Resultats - informe'!$E$28),0,(C8534&gt;='Resultats - informe'!$D$29)*(C8534&lt;='Resultats - informe'!$E$29),0,1,1)</f>
        <v>0</v>
      </c>
      <c r="N8534" s="366">
        <f>+VLOOKUP(D8534,'Resultats - informe'!$Y$18:$AG$42,'Introducció dades consum'!K8534+1,0)</f>
        <v>0</v>
      </c>
      <c r="O8534" s="370" cm="1">
        <f t="array" ref="O8534">+_xlfn.SWITCH(MONTH(C8534),1,1,2,1,3,1,4,2,5,2,6,3,7,3,8,3,9,3,10,2,11,2,12,1,2)</f>
        <v>1</v>
      </c>
      <c r="P8534" s="43"/>
    </row>
    <row r="8535" spans="1:16" ht="18" x14ac:dyDescent="0.35">
      <c r="A8535" s="43"/>
      <c r="C8535" s="393"/>
      <c r="E8535" s="394"/>
      <c r="F8535" s="394"/>
      <c r="G8535" s="394"/>
      <c r="I8535" s="368">
        <f t="shared" si="405"/>
        <v>0</v>
      </c>
      <c r="J8535" s="365">
        <f t="shared" si="406"/>
        <v>0</v>
      </c>
      <c r="K8535" s="369">
        <f t="shared" si="407"/>
        <v>6</v>
      </c>
      <c r="L8535" s="369">
        <f>+IF((C8535&gt;='Resultats - informe'!$E$16)*(C8535&lt;='Resultats - informe'!$G$16),1,0)</f>
        <v>1</v>
      </c>
      <c r="M8535" s="369" cm="1">
        <f t="array" ref="M8535">+_xlfn.IFS((C8535&gt;='Resultats - informe'!$D$26)*(C8535&lt;='Resultats - informe'!$E$26),0,(C8535&gt;='Resultats - informe'!$D$27)*(C8535&lt;='Resultats - informe'!$E$27),0,(C8535&gt;='Resultats - informe'!$D$28)*(C8535&lt;='Resultats - informe'!$E$28),0,(C8535&gt;='Resultats - informe'!$D$29)*(C8535&lt;='Resultats - informe'!$E$29),0,1,1)</f>
        <v>0</v>
      </c>
      <c r="N8535" s="366">
        <f>+VLOOKUP(D8535,'Resultats - informe'!$Y$18:$AG$42,'Introducció dades consum'!K8535+1,0)</f>
        <v>0</v>
      </c>
      <c r="O8535" s="370" cm="1">
        <f t="array" ref="O8535">+_xlfn.SWITCH(MONTH(C8535),1,1,2,1,3,1,4,2,5,2,6,3,7,3,8,3,9,3,10,2,11,2,12,1,2)</f>
        <v>1</v>
      </c>
      <c r="P8535" s="43"/>
    </row>
    <row r="8536" spans="1:16" ht="18" x14ac:dyDescent="0.35">
      <c r="A8536" s="43"/>
      <c r="C8536" s="393"/>
      <c r="E8536" s="394"/>
      <c r="F8536" s="394"/>
      <c r="G8536" s="394"/>
      <c r="I8536" s="368">
        <f t="shared" si="405"/>
        <v>0</v>
      </c>
      <c r="J8536" s="365">
        <f t="shared" si="406"/>
        <v>0</v>
      </c>
      <c r="K8536" s="369">
        <f t="shared" si="407"/>
        <v>6</v>
      </c>
      <c r="L8536" s="369">
        <f>+IF((C8536&gt;='Resultats - informe'!$E$16)*(C8536&lt;='Resultats - informe'!$G$16),1,0)</f>
        <v>1</v>
      </c>
      <c r="M8536" s="369" cm="1">
        <f t="array" ref="M8536">+_xlfn.IFS((C8536&gt;='Resultats - informe'!$D$26)*(C8536&lt;='Resultats - informe'!$E$26),0,(C8536&gt;='Resultats - informe'!$D$27)*(C8536&lt;='Resultats - informe'!$E$27),0,(C8536&gt;='Resultats - informe'!$D$28)*(C8536&lt;='Resultats - informe'!$E$28),0,(C8536&gt;='Resultats - informe'!$D$29)*(C8536&lt;='Resultats - informe'!$E$29),0,1,1)</f>
        <v>0</v>
      </c>
      <c r="N8536" s="366">
        <f>+VLOOKUP(D8536,'Resultats - informe'!$Y$18:$AG$42,'Introducció dades consum'!K8536+1,0)</f>
        <v>0</v>
      </c>
      <c r="O8536" s="370" cm="1">
        <f t="array" ref="O8536">+_xlfn.SWITCH(MONTH(C8536),1,1,2,1,3,1,4,2,5,2,6,3,7,3,8,3,9,3,10,2,11,2,12,1,2)</f>
        <v>1</v>
      </c>
      <c r="P8536" s="43"/>
    </row>
    <row r="8537" spans="1:16" ht="18" x14ac:dyDescent="0.35">
      <c r="A8537" s="43"/>
      <c r="C8537" s="393"/>
      <c r="E8537" s="394"/>
      <c r="F8537" s="394"/>
      <c r="G8537" s="394"/>
      <c r="I8537" s="368">
        <f t="shared" si="405"/>
        <v>0</v>
      </c>
      <c r="J8537" s="365">
        <f t="shared" si="406"/>
        <v>0</v>
      </c>
      <c r="K8537" s="369">
        <f t="shared" si="407"/>
        <v>6</v>
      </c>
      <c r="L8537" s="369">
        <f>+IF((C8537&gt;='Resultats - informe'!$E$16)*(C8537&lt;='Resultats - informe'!$G$16),1,0)</f>
        <v>1</v>
      </c>
      <c r="M8537" s="369" cm="1">
        <f t="array" ref="M8537">+_xlfn.IFS((C8537&gt;='Resultats - informe'!$D$26)*(C8537&lt;='Resultats - informe'!$E$26),0,(C8537&gt;='Resultats - informe'!$D$27)*(C8537&lt;='Resultats - informe'!$E$27),0,(C8537&gt;='Resultats - informe'!$D$28)*(C8537&lt;='Resultats - informe'!$E$28),0,(C8537&gt;='Resultats - informe'!$D$29)*(C8537&lt;='Resultats - informe'!$E$29),0,1,1)</f>
        <v>0</v>
      </c>
      <c r="N8537" s="366">
        <f>+VLOOKUP(D8537,'Resultats - informe'!$Y$18:$AG$42,'Introducció dades consum'!K8537+1,0)</f>
        <v>0</v>
      </c>
      <c r="O8537" s="370" cm="1">
        <f t="array" ref="O8537">+_xlfn.SWITCH(MONTH(C8537),1,1,2,1,3,1,4,2,5,2,6,3,7,3,8,3,9,3,10,2,11,2,12,1,2)</f>
        <v>1</v>
      </c>
      <c r="P8537" s="43"/>
    </row>
    <row r="8538" spans="1:16" ht="18" x14ac:dyDescent="0.35">
      <c r="A8538" s="43"/>
      <c r="C8538" s="393"/>
      <c r="E8538" s="394"/>
      <c r="F8538" s="394"/>
      <c r="G8538" s="394"/>
      <c r="I8538" s="368">
        <f t="shared" si="405"/>
        <v>0</v>
      </c>
      <c r="J8538" s="365">
        <f t="shared" si="406"/>
        <v>0</v>
      </c>
      <c r="K8538" s="369">
        <f t="shared" si="407"/>
        <v>6</v>
      </c>
      <c r="L8538" s="369">
        <f>+IF((C8538&gt;='Resultats - informe'!$E$16)*(C8538&lt;='Resultats - informe'!$G$16),1,0)</f>
        <v>1</v>
      </c>
      <c r="M8538" s="369" cm="1">
        <f t="array" ref="M8538">+_xlfn.IFS((C8538&gt;='Resultats - informe'!$D$26)*(C8538&lt;='Resultats - informe'!$E$26),0,(C8538&gt;='Resultats - informe'!$D$27)*(C8538&lt;='Resultats - informe'!$E$27),0,(C8538&gt;='Resultats - informe'!$D$28)*(C8538&lt;='Resultats - informe'!$E$28),0,(C8538&gt;='Resultats - informe'!$D$29)*(C8538&lt;='Resultats - informe'!$E$29),0,1,1)</f>
        <v>0</v>
      </c>
      <c r="N8538" s="366">
        <f>+VLOOKUP(D8538,'Resultats - informe'!$Y$18:$AG$42,'Introducció dades consum'!K8538+1,0)</f>
        <v>0</v>
      </c>
      <c r="O8538" s="370" cm="1">
        <f t="array" ref="O8538">+_xlfn.SWITCH(MONTH(C8538),1,1,2,1,3,1,4,2,5,2,6,3,7,3,8,3,9,3,10,2,11,2,12,1,2)</f>
        <v>1</v>
      </c>
      <c r="P8538" s="43"/>
    </row>
    <row r="8539" spans="1:16" ht="18" x14ac:dyDescent="0.35">
      <c r="A8539" s="43"/>
      <c r="C8539" s="393"/>
      <c r="E8539" s="394"/>
      <c r="F8539" s="394"/>
      <c r="G8539" s="394"/>
      <c r="I8539" s="368">
        <f t="shared" si="405"/>
        <v>0</v>
      </c>
      <c r="J8539" s="365">
        <f t="shared" si="406"/>
        <v>0</v>
      </c>
      <c r="K8539" s="369">
        <f t="shared" si="407"/>
        <v>6</v>
      </c>
      <c r="L8539" s="369">
        <f>+IF((C8539&gt;='Resultats - informe'!$E$16)*(C8539&lt;='Resultats - informe'!$G$16),1,0)</f>
        <v>1</v>
      </c>
      <c r="M8539" s="369" cm="1">
        <f t="array" ref="M8539">+_xlfn.IFS((C8539&gt;='Resultats - informe'!$D$26)*(C8539&lt;='Resultats - informe'!$E$26),0,(C8539&gt;='Resultats - informe'!$D$27)*(C8539&lt;='Resultats - informe'!$E$27),0,(C8539&gt;='Resultats - informe'!$D$28)*(C8539&lt;='Resultats - informe'!$E$28),0,(C8539&gt;='Resultats - informe'!$D$29)*(C8539&lt;='Resultats - informe'!$E$29),0,1,1)</f>
        <v>0</v>
      </c>
      <c r="N8539" s="366">
        <f>+VLOOKUP(D8539,'Resultats - informe'!$Y$18:$AG$42,'Introducció dades consum'!K8539+1,0)</f>
        <v>0</v>
      </c>
      <c r="O8539" s="370" cm="1">
        <f t="array" ref="O8539">+_xlfn.SWITCH(MONTH(C8539),1,1,2,1,3,1,4,2,5,2,6,3,7,3,8,3,9,3,10,2,11,2,12,1,2)</f>
        <v>1</v>
      </c>
      <c r="P8539" s="43"/>
    </row>
    <row r="8540" spans="1:16" ht="18" x14ac:dyDescent="0.35">
      <c r="A8540" s="43"/>
      <c r="C8540" s="393"/>
      <c r="E8540" s="394"/>
      <c r="F8540" s="394"/>
      <c r="G8540" s="394"/>
      <c r="I8540" s="368">
        <f t="shared" si="405"/>
        <v>0</v>
      </c>
      <c r="J8540" s="365">
        <f t="shared" si="406"/>
        <v>0</v>
      </c>
      <c r="K8540" s="369">
        <f t="shared" si="407"/>
        <v>6</v>
      </c>
      <c r="L8540" s="369">
        <f>+IF((C8540&gt;='Resultats - informe'!$E$16)*(C8540&lt;='Resultats - informe'!$G$16),1,0)</f>
        <v>1</v>
      </c>
      <c r="M8540" s="369" cm="1">
        <f t="array" ref="M8540">+_xlfn.IFS((C8540&gt;='Resultats - informe'!$D$26)*(C8540&lt;='Resultats - informe'!$E$26),0,(C8540&gt;='Resultats - informe'!$D$27)*(C8540&lt;='Resultats - informe'!$E$27),0,(C8540&gt;='Resultats - informe'!$D$28)*(C8540&lt;='Resultats - informe'!$E$28),0,(C8540&gt;='Resultats - informe'!$D$29)*(C8540&lt;='Resultats - informe'!$E$29),0,1,1)</f>
        <v>0</v>
      </c>
      <c r="N8540" s="366">
        <f>+VLOOKUP(D8540,'Resultats - informe'!$Y$18:$AG$42,'Introducció dades consum'!K8540+1,0)</f>
        <v>0</v>
      </c>
      <c r="O8540" s="370" cm="1">
        <f t="array" ref="O8540">+_xlfn.SWITCH(MONTH(C8540),1,1,2,1,3,1,4,2,5,2,6,3,7,3,8,3,9,3,10,2,11,2,12,1,2)</f>
        <v>1</v>
      </c>
      <c r="P8540" s="43"/>
    </row>
    <row r="8541" spans="1:16" ht="18" x14ac:dyDescent="0.35">
      <c r="A8541" s="43"/>
      <c r="C8541" s="393"/>
      <c r="E8541" s="394"/>
      <c r="F8541" s="394"/>
      <c r="G8541" s="394"/>
      <c r="I8541" s="368">
        <f t="shared" si="405"/>
        <v>0</v>
      </c>
      <c r="J8541" s="365">
        <f t="shared" si="406"/>
        <v>0</v>
      </c>
      <c r="K8541" s="369">
        <f t="shared" si="407"/>
        <v>6</v>
      </c>
      <c r="L8541" s="369">
        <f>+IF((C8541&gt;='Resultats - informe'!$E$16)*(C8541&lt;='Resultats - informe'!$G$16),1,0)</f>
        <v>1</v>
      </c>
      <c r="M8541" s="369" cm="1">
        <f t="array" ref="M8541">+_xlfn.IFS((C8541&gt;='Resultats - informe'!$D$26)*(C8541&lt;='Resultats - informe'!$E$26),0,(C8541&gt;='Resultats - informe'!$D$27)*(C8541&lt;='Resultats - informe'!$E$27),0,(C8541&gt;='Resultats - informe'!$D$28)*(C8541&lt;='Resultats - informe'!$E$28),0,(C8541&gt;='Resultats - informe'!$D$29)*(C8541&lt;='Resultats - informe'!$E$29),0,1,1)</f>
        <v>0</v>
      </c>
      <c r="N8541" s="366">
        <f>+VLOOKUP(D8541,'Resultats - informe'!$Y$18:$AG$42,'Introducció dades consum'!K8541+1,0)</f>
        <v>0</v>
      </c>
      <c r="O8541" s="370" cm="1">
        <f t="array" ref="O8541">+_xlfn.SWITCH(MONTH(C8541),1,1,2,1,3,1,4,2,5,2,6,3,7,3,8,3,9,3,10,2,11,2,12,1,2)</f>
        <v>1</v>
      </c>
      <c r="P8541" s="43"/>
    </row>
    <row r="8542" spans="1:16" ht="18" x14ac:dyDescent="0.35">
      <c r="A8542" s="43"/>
      <c r="C8542" s="393"/>
      <c r="E8542" s="394"/>
      <c r="F8542" s="394"/>
      <c r="G8542" s="394"/>
      <c r="I8542" s="368">
        <f t="shared" si="405"/>
        <v>0</v>
      </c>
      <c r="J8542" s="365">
        <f t="shared" si="406"/>
        <v>0</v>
      </c>
      <c r="K8542" s="369">
        <f t="shared" si="407"/>
        <v>6</v>
      </c>
      <c r="L8542" s="369">
        <f>+IF((C8542&gt;='Resultats - informe'!$E$16)*(C8542&lt;='Resultats - informe'!$G$16),1,0)</f>
        <v>1</v>
      </c>
      <c r="M8542" s="369" cm="1">
        <f t="array" ref="M8542">+_xlfn.IFS((C8542&gt;='Resultats - informe'!$D$26)*(C8542&lt;='Resultats - informe'!$E$26),0,(C8542&gt;='Resultats - informe'!$D$27)*(C8542&lt;='Resultats - informe'!$E$27),0,(C8542&gt;='Resultats - informe'!$D$28)*(C8542&lt;='Resultats - informe'!$E$28),0,(C8542&gt;='Resultats - informe'!$D$29)*(C8542&lt;='Resultats - informe'!$E$29),0,1,1)</f>
        <v>0</v>
      </c>
      <c r="N8542" s="366">
        <f>+VLOOKUP(D8542,'Resultats - informe'!$Y$18:$AG$42,'Introducció dades consum'!K8542+1,0)</f>
        <v>0</v>
      </c>
      <c r="O8542" s="370" cm="1">
        <f t="array" ref="O8542">+_xlfn.SWITCH(MONTH(C8542),1,1,2,1,3,1,4,2,5,2,6,3,7,3,8,3,9,3,10,2,11,2,12,1,2)</f>
        <v>1</v>
      </c>
      <c r="P8542" s="43"/>
    </row>
    <row r="8543" spans="1:16" ht="18" x14ac:dyDescent="0.35">
      <c r="A8543" s="43"/>
      <c r="C8543" s="393"/>
      <c r="E8543" s="394"/>
      <c r="F8543" s="394"/>
      <c r="G8543" s="394"/>
      <c r="I8543" s="368">
        <f t="shared" si="405"/>
        <v>0</v>
      </c>
      <c r="J8543" s="365">
        <f t="shared" si="406"/>
        <v>0</v>
      </c>
      <c r="K8543" s="369">
        <f t="shared" si="407"/>
        <v>6</v>
      </c>
      <c r="L8543" s="369">
        <f>+IF((C8543&gt;='Resultats - informe'!$E$16)*(C8543&lt;='Resultats - informe'!$G$16),1,0)</f>
        <v>1</v>
      </c>
      <c r="M8543" s="369" cm="1">
        <f t="array" ref="M8543">+_xlfn.IFS((C8543&gt;='Resultats - informe'!$D$26)*(C8543&lt;='Resultats - informe'!$E$26),0,(C8543&gt;='Resultats - informe'!$D$27)*(C8543&lt;='Resultats - informe'!$E$27),0,(C8543&gt;='Resultats - informe'!$D$28)*(C8543&lt;='Resultats - informe'!$E$28),0,(C8543&gt;='Resultats - informe'!$D$29)*(C8543&lt;='Resultats - informe'!$E$29),0,1,1)</f>
        <v>0</v>
      </c>
      <c r="N8543" s="366">
        <f>+VLOOKUP(D8543,'Resultats - informe'!$Y$18:$AG$42,'Introducció dades consum'!K8543+1,0)</f>
        <v>0</v>
      </c>
      <c r="O8543" s="370" cm="1">
        <f t="array" ref="O8543">+_xlfn.SWITCH(MONTH(C8543),1,1,2,1,3,1,4,2,5,2,6,3,7,3,8,3,9,3,10,2,11,2,12,1,2)</f>
        <v>1</v>
      </c>
      <c r="P8543" s="43"/>
    </row>
    <row r="8544" spans="1:16" ht="18" x14ac:dyDescent="0.35">
      <c r="A8544" s="43"/>
      <c r="C8544" s="393"/>
      <c r="E8544" s="394"/>
      <c r="F8544" s="394"/>
      <c r="G8544" s="394"/>
      <c r="I8544" s="368">
        <f t="shared" si="405"/>
        <v>0</v>
      </c>
      <c r="J8544" s="365">
        <f t="shared" si="406"/>
        <v>0</v>
      </c>
      <c r="K8544" s="369">
        <f t="shared" si="407"/>
        <v>6</v>
      </c>
      <c r="L8544" s="369">
        <f>+IF((C8544&gt;='Resultats - informe'!$E$16)*(C8544&lt;='Resultats - informe'!$G$16),1,0)</f>
        <v>1</v>
      </c>
      <c r="M8544" s="369" cm="1">
        <f t="array" ref="M8544">+_xlfn.IFS((C8544&gt;='Resultats - informe'!$D$26)*(C8544&lt;='Resultats - informe'!$E$26),0,(C8544&gt;='Resultats - informe'!$D$27)*(C8544&lt;='Resultats - informe'!$E$27),0,(C8544&gt;='Resultats - informe'!$D$28)*(C8544&lt;='Resultats - informe'!$E$28),0,(C8544&gt;='Resultats - informe'!$D$29)*(C8544&lt;='Resultats - informe'!$E$29),0,1,1)</f>
        <v>0</v>
      </c>
      <c r="N8544" s="366">
        <f>+VLOOKUP(D8544,'Resultats - informe'!$Y$18:$AG$42,'Introducció dades consum'!K8544+1,0)</f>
        <v>0</v>
      </c>
      <c r="O8544" s="370" cm="1">
        <f t="array" ref="O8544">+_xlfn.SWITCH(MONTH(C8544),1,1,2,1,3,1,4,2,5,2,6,3,7,3,8,3,9,3,10,2,11,2,12,1,2)</f>
        <v>1</v>
      </c>
      <c r="P8544" s="43"/>
    </row>
    <row r="8545" spans="1:16" ht="18" x14ac:dyDescent="0.35">
      <c r="A8545" s="43"/>
      <c r="C8545" s="393"/>
      <c r="E8545" s="394"/>
      <c r="F8545" s="394"/>
      <c r="G8545" s="394"/>
      <c r="I8545" s="368">
        <f t="shared" si="405"/>
        <v>0</v>
      </c>
      <c r="J8545" s="365">
        <f t="shared" si="406"/>
        <v>0</v>
      </c>
      <c r="K8545" s="369">
        <f t="shared" si="407"/>
        <v>6</v>
      </c>
      <c r="L8545" s="369">
        <f>+IF((C8545&gt;='Resultats - informe'!$E$16)*(C8545&lt;='Resultats - informe'!$G$16),1,0)</f>
        <v>1</v>
      </c>
      <c r="M8545" s="369" cm="1">
        <f t="array" ref="M8545">+_xlfn.IFS((C8545&gt;='Resultats - informe'!$D$26)*(C8545&lt;='Resultats - informe'!$E$26),0,(C8545&gt;='Resultats - informe'!$D$27)*(C8545&lt;='Resultats - informe'!$E$27),0,(C8545&gt;='Resultats - informe'!$D$28)*(C8545&lt;='Resultats - informe'!$E$28),0,(C8545&gt;='Resultats - informe'!$D$29)*(C8545&lt;='Resultats - informe'!$E$29),0,1,1)</f>
        <v>0</v>
      </c>
      <c r="N8545" s="366">
        <f>+VLOOKUP(D8545,'Resultats - informe'!$Y$18:$AG$42,'Introducció dades consum'!K8545+1,0)</f>
        <v>0</v>
      </c>
      <c r="O8545" s="370" cm="1">
        <f t="array" ref="O8545">+_xlfn.SWITCH(MONTH(C8545),1,1,2,1,3,1,4,2,5,2,6,3,7,3,8,3,9,3,10,2,11,2,12,1,2)</f>
        <v>1</v>
      </c>
      <c r="P8545" s="43"/>
    </row>
    <row r="8546" spans="1:16" ht="18" x14ac:dyDescent="0.35">
      <c r="A8546" s="43"/>
      <c r="C8546" s="393"/>
      <c r="E8546" s="394"/>
      <c r="F8546" s="394"/>
      <c r="G8546" s="394"/>
      <c r="I8546" s="368">
        <f t="shared" si="405"/>
        <v>0</v>
      </c>
      <c r="J8546" s="365">
        <f t="shared" si="406"/>
        <v>0</v>
      </c>
      <c r="K8546" s="369">
        <f t="shared" si="407"/>
        <v>6</v>
      </c>
      <c r="L8546" s="369">
        <f>+IF((C8546&gt;='Resultats - informe'!$E$16)*(C8546&lt;='Resultats - informe'!$G$16),1,0)</f>
        <v>1</v>
      </c>
      <c r="M8546" s="369" cm="1">
        <f t="array" ref="M8546">+_xlfn.IFS((C8546&gt;='Resultats - informe'!$D$26)*(C8546&lt;='Resultats - informe'!$E$26),0,(C8546&gt;='Resultats - informe'!$D$27)*(C8546&lt;='Resultats - informe'!$E$27),0,(C8546&gt;='Resultats - informe'!$D$28)*(C8546&lt;='Resultats - informe'!$E$28),0,(C8546&gt;='Resultats - informe'!$D$29)*(C8546&lt;='Resultats - informe'!$E$29),0,1,1)</f>
        <v>0</v>
      </c>
      <c r="N8546" s="366">
        <f>+VLOOKUP(D8546,'Resultats - informe'!$Y$18:$AG$42,'Introducció dades consum'!K8546+1,0)</f>
        <v>0</v>
      </c>
      <c r="O8546" s="370" cm="1">
        <f t="array" ref="O8546">+_xlfn.SWITCH(MONTH(C8546),1,1,2,1,3,1,4,2,5,2,6,3,7,3,8,3,9,3,10,2,11,2,12,1,2)</f>
        <v>1</v>
      </c>
      <c r="P8546" s="43"/>
    </row>
    <row r="8547" spans="1:16" ht="18" x14ac:dyDescent="0.35">
      <c r="A8547" s="43"/>
      <c r="C8547" s="393"/>
      <c r="E8547" s="394"/>
      <c r="F8547" s="394"/>
      <c r="G8547" s="394"/>
      <c r="I8547" s="368">
        <f t="shared" si="405"/>
        <v>0</v>
      </c>
      <c r="J8547" s="365">
        <f t="shared" si="406"/>
        <v>0</v>
      </c>
      <c r="K8547" s="369">
        <f t="shared" si="407"/>
        <v>6</v>
      </c>
      <c r="L8547" s="369">
        <f>+IF((C8547&gt;='Resultats - informe'!$E$16)*(C8547&lt;='Resultats - informe'!$G$16),1,0)</f>
        <v>1</v>
      </c>
      <c r="M8547" s="369" cm="1">
        <f t="array" ref="M8547">+_xlfn.IFS((C8547&gt;='Resultats - informe'!$D$26)*(C8547&lt;='Resultats - informe'!$E$26),0,(C8547&gt;='Resultats - informe'!$D$27)*(C8547&lt;='Resultats - informe'!$E$27),0,(C8547&gt;='Resultats - informe'!$D$28)*(C8547&lt;='Resultats - informe'!$E$28),0,(C8547&gt;='Resultats - informe'!$D$29)*(C8547&lt;='Resultats - informe'!$E$29),0,1,1)</f>
        <v>0</v>
      </c>
      <c r="N8547" s="366">
        <f>+VLOOKUP(D8547,'Resultats - informe'!$Y$18:$AG$42,'Introducció dades consum'!K8547+1,0)</f>
        <v>0</v>
      </c>
      <c r="O8547" s="370" cm="1">
        <f t="array" ref="O8547">+_xlfn.SWITCH(MONTH(C8547),1,1,2,1,3,1,4,2,5,2,6,3,7,3,8,3,9,3,10,2,11,2,12,1,2)</f>
        <v>1</v>
      </c>
      <c r="P8547" s="43"/>
    </row>
    <row r="8548" spans="1:16" ht="18" x14ac:dyDescent="0.35">
      <c r="A8548" s="43"/>
      <c r="C8548" s="393"/>
      <c r="E8548" s="394"/>
      <c r="F8548" s="394"/>
      <c r="G8548" s="394"/>
      <c r="I8548" s="368">
        <f t="shared" si="405"/>
        <v>0</v>
      </c>
      <c r="J8548" s="365">
        <f t="shared" si="406"/>
        <v>0</v>
      </c>
      <c r="K8548" s="369">
        <f t="shared" si="407"/>
        <v>6</v>
      </c>
      <c r="L8548" s="369">
        <f>+IF((C8548&gt;='Resultats - informe'!$E$16)*(C8548&lt;='Resultats - informe'!$G$16),1,0)</f>
        <v>1</v>
      </c>
      <c r="M8548" s="369" cm="1">
        <f t="array" ref="M8548">+_xlfn.IFS((C8548&gt;='Resultats - informe'!$D$26)*(C8548&lt;='Resultats - informe'!$E$26),0,(C8548&gt;='Resultats - informe'!$D$27)*(C8548&lt;='Resultats - informe'!$E$27),0,(C8548&gt;='Resultats - informe'!$D$28)*(C8548&lt;='Resultats - informe'!$E$28),0,(C8548&gt;='Resultats - informe'!$D$29)*(C8548&lt;='Resultats - informe'!$E$29),0,1,1)</f>
        <v>0</v>
      </c>
      <c r="N8548" s="366">
        <f>+VLOOKUP(D8548,'Resultats - informe'!$Y$18:$AG$42,'Introducció dades consum'!K8548+1,0)</f>
        <v>0</v>
      </c>
      <c r="O8548" s="370" cm="1">
        <f t="array" ref="O8548">+_xlfn.SWITCH(MONTH(C8548),1,1,2,1,3,1,4,2,5,2,6,3,7,3,8,3,9,3,10,2,11,2,12,1,2)</f>
        <v>1</v>
      </c>
      <c r="P8548" s="43"/>
    </row>
    <row r="8549" spans="1:16" ht="18" x14ac:dyDescent="0.35">
      <c r="A8549" s="43"/>
      <c r="C8549" s="393"/>
      <c r="E8549" s="394"/>
      <c r="F8549" s="394"/>
      <c r="G8549" s="394"/>
      <c r="I8549" s="368">
        <f t="shared" si="405"/>
        <v>0</v>
      </c>
      <c r="J8549" s="365">
        <f t="shared" si="406"/>
        <v>0</v>
      </c>
      <c r="K8549" s="369">
        <f t="shared" si="407"/>
        <v>6</v>
      </c>
      <c r="L8549" s="369">
        <f>+IF((C8549&gt;='Resultats - informe'!$E$16)*(C8549&lt;='Resultats - informe'!$G$16),1,0)</f>
        <v>1</v>
      </c>
      <c r="M8549" s="369" cm="1">
        <f t="array" ref="M8549">+_xlfn.IFS((C8549&gt;='Resultats - informe'!$D$26)*(C8549&lt;='Resultats - informe'!$E$26),0,(C8549&gt;='Resultats - informe'!$D$27)*(C8549&lt;='Resultats - informe'!$E$27),0,(C8549&gt;='Resultats - informe'!$D$28)*(C8549&lt;='Resultats - informe'!$E$28),0,(C8549&gt;='Resultats - informe'!$D$29)*(C8549&lt;='Resultats - informe'!$E$29),0,1,1)</f>
        <v>0</v>
      </c>
      <c r="N8549" s="366">
        <f>+VLOOKUP(D8549,'Resultats - informe'!$Y$18:$AG$42,'Introducció dades consum'!K8549+1,0)</f>
        <v>0</v>
      </c>
      <c r="O8549" s="370" cm="1">
        <f t="array" ref="O8549">+_xlfn.SWITCH(MONTH(C8549),1,1,2,1,3,1,4,2,5,2,6,3,7,3,8,3,9,3,10,2,11,2,12,1,2)</f>
        <v>1</v>
      </c>
      <c r="P8549" s="43"/>
    </row>
    <row r="8550" spans="1:16" ht="18" x14ac:dyDescent="0.35">
      <c r="A8550" s="43"/>
      <c r="C8550" s="393"/>
      <c r="E8550" s="394"/>
      <c r="F8550" s="394"/>
      <c r="G8550" s="394"/>
      <c r="I8550" s="368">
        <f t="shared" si="405"/>
        <v>0</v>
      </c>
      <c r="J8550" s="365">
        <f t="shared" si="406"/>
        <v>0</v>
      </c>
      <c r="K8550" s="369">
        <f t="shared" si="407"/>
        <v>6</v>
      </c>
      <c r="L8550" s="369">
        <f>+IF((C8550&gt;='Resultats - informe'!$E$16)*(C8550&lt;='Resultats - informe'!$G$16),1,0)</f>
        <v>1</v>
      </c>
      <c r="M8550" s="369" cm="1">
        <f t="array" ref="M8550">+_xlfn.IFS((C8550&gt;='Resultats - informe'!$D$26)*(C8550&lt;='Resultats - informe'!$E$26),0,(C8550&gt;='Resultats - informe'!$D$27)*(C8550&lt;='Resultats - informe'!$E$27),0,(C8550&gt;='Resultats - informe'!$D$28)*(C8550&lt;='Resultats - informe'!$E$28),0,(C8550&gt;='Resultats - informe'!$D$29)*(C8550&lt;='Resultats - informe'!$E$29),0,1,1)</f>
        <v>0</v>
      </c>
      <c r="N8550" s="366">
        <f>+VLOOKUP(D8550,'Resultats - informe'!$Y$18:$AG$42,'Introducció dades consum'!K8550+1,0)</f>
        <v>0</v>
      </c>
      <c r="O8550" s="370" cm="1">
        <f t="array" ref="O8550">+_xlfn.SWITCH(MONTH(C8550),1,1,2,1,3,1,4,2,5,2,6,3,7,3,8,3,9,3,10,2,11,2,12,1,2)</f>
        <v>1</v>
      </c>
      <c r="P8550" s="43"/>
    </row>
    <row r="8551" spans="1:16" ht="18" x14ac:dyDescent="0.35">
      <c r="A8551" s="43"/>
      <c r="C8551" s="393"/>
      <c r="E8551" s="394"/>
      <c r="F8551" s="394"/>
      <c r="G8551" s="394"/>
      <c r="I8551" s="368">
        <f t="shared" si="405"/>
        <v>0</v>
      </c>
      <c r="J8551" s="365">
        <f t="shared" si="406"/>
        <v>0</v>
      </c>
      <c r="K8551" s="369">
        <f t="shared" si="407"/>
        <v>6</v>
      </c>
      <c r="L8551" s="369">
        <f>+IF((C8551&gt;='Resultats - informe'!$E$16)*(C8551&lt;='Resultats - informe'!$G$16),1,0)</f>
        <v>1</v>
      </c>
      <c r="M8551" s="369" cm="1">
        <f t="array" ref="M8551">+_xlfn.IFS((C8551&gt;='Resultats - informe'!$D$26)*(C8551&lt;='Resultats - informe'!$E$26),0,(C8551&gt;='Resultats - informe'!$D$27)*(C8551&lt;='Resultats - informe'!$E$27),0,(C8551&gt;='Resultats - informe'!$D$28)*(C8551&lt;='Resultats - informe'!$E$28),0,(C8551&gt;='Resultats - informe'!$D$29)*(C8551&lt;='Resultats - informe'!$E$29),0,1,1)</f>
        <v>0</v>
      </c>
      <c r="N8551" s="366">
        <f>+VLOOKUP(D8551,'Resultats - informe'!$Y$18:$AG$42,'Introducció dades consum'!K8551+1,0)</f>
        <v>0</v>
      </c>
      <c r="O8551" s="370" cm="1">
        <f t="array" ref="O8551">+_xlfn.SWITCH(MONTH(C8551),1,1,2,1,3,1,4,2,5,2,6,3,7,3,8,3,9,3,10,2,11,2,12,1,2)</f>
        <v>1</v>
      </c>
      <c r="P8551" s="43"/>
    </row>
    <row r="8552" spans="1:16" ht="18" x14ac:dyDescent="0.35">
      <c r="A8552" s="43"/>
      <c r="C8552" s="393"/>
      <c r="E8552" s="394"/>
      <c r="F8552" s="394"/>
      <c r="G8552" s="394"/>
      <c r="I8552" s="368">
        <f t="shared" si="405"/>
        <v>0</v>
      </c>
      <c r="J8552" s="365">
        <f t="shared" si="406"/>
        <v>0</v>
      </c>
      <c r="K8552" s="369">
        <f t="shared" si="407"/>
        <v>6</v>
      </c>
      <c r="L8552" s="369">
        <f>+IF((C8552&gt;='Resultats - informe'!$E$16)*(C8552&lt;='Resultats - informe'!$G$16),1,0)</f>
        <v>1</v>
      </c>
      <c r="M8552" s="369" cm="1">
        <f t="array" ref="M8552">+_xlfn.IFS((C8552&gt;='Resultats - informe'!$D$26)*(C8552&lt;='Resultats - informe'!$E$26),0,(C8552&gt;='Resultats - informe'!$D$27)*(C8552&lt;='Resultats - informe'!$E$27),0,(C8552&gt;='Resultats - informe'!$D$28)*(C8552&lt;='Resultats - informe'!$E$28),0,(C8552&gt;='Resultats - informe'!$D$29)*(C8552&lt;='Resultats - informe'!$E$29),0,1,1)</f>
        <v>0</v>
      </c>
      <c r="N8552" s="366">
        <f>+VLOOKUP(D8552,'Resultats - informe'!$Y$18:$AG$42,'Introducció dades consum'!K8552+1,0)</f>
        <v>0</v>
      </c>
      <c r="O8552" s="370" cm="1">
        <f t="array" ref="O8552">+_xlfn.SWITCH(MONTH(C8552),1,1,2,1,3,1,4,2,5,2,6,3,7,3,8,3,9,3,10,2,11,2,12,1,2)</f>
        <v>1</v>
      </c>
      <c r="P8552" s="43"/>
    </row>
    <row r="8553" spans="1:16" ht="18" x14ac:dyDescent="0.35">
      <c r="A8553" s="43"/>
      <c r="C8553" s="393"/>
      <c r="E8553" s="394"/>
      <c r="F8553" s="394"/>
      <c r="G8553" s="394"/>
      <c r="I8553" s="368">
        <f t="shared" si="405"/>
        <v>0</v>
      </c>
      <c r="J8553" s="365">
        <f t="shared" si="406"/>
        <v>0</v>
      </c>
      <c r="K8553" s="369">
        <f t="shared" si="407"/>
        <v>6</v>
      </c>
      <c r="L8553" s="369">
        <f>+IF((C8553&gt;='Resultats - informe'!$E$16)*(C8553&lt;='Resultats - informe'!$G$16),1,0)</f>
        <v>1</v>
      </c>
      <c r="M8553" s="369" cm="1">
        <f t="array" ref="M8553">+_xlfn.IFS((C8553&gt;='Resultats - informe'!$D$26)*(C8553&lt;='Resultats - informe'!$E$26),0,(C8553&gt;='Resultats - informe'!$D$27)*(C8553&lt;='Resultats - informe'!$E$27),0,(C8553&gt;='Resultats - informe'!$D$28)*(C8553&lt;='Resultats - informe'!$E$28),0,(C8553&gt;='Resultats - informe'!$D$29)*(C8553&lt;='Resultats - informe'!$E$29),0,1,1)</f>
        <v>0</v>
      </c>
      <c r="N8553" s="366">
        <f>+VLOOKUP(D8553,'Resultats - informe'!$Y$18:$AG$42,'Introducció dades consum'!K8553+1,0)</f>
        <v>0</v>
      </c>
      <c r="O8553" s="370" cm="1">
        <f t="array" ref="O8553">+_xlfn.SWITCH(MONTH(C8553),1,1,2,1,3,1,4,2,5,2,6,3,7,3,8,3,9,3,10,2,11,2,12,1,2)</f>
        <v>1</v>
      </c>
      <c r="P8553" s="43"/>
    </row>
    <row r="8554" spans="1:16" ht="18" x14ac:dyDescent="0.35">
      <c r="A8554" s="43"/>
      <c r="C8554" s="393"/>
      <c r="E8554" s="394"/>
      <c r="F8554" s="394"/>
      <c r="G8554" s="394"/>
      <c r="I8554" s="368">
        <f t="shared" si="405"/>
        <v>0</v>
      </c>
      <c r="J8554" s="365">
        <f t="shared" si="406"/>
        <v>0</v>
      </c>
      <c r="K8554" s="369">
        <f t="shared" si="407"/>
        <v>6</v>
      </c>
      <c r="L8554" s="369">
        <f>+IF((C8554&gt;='Resultats - informe'!$E$16)*(C8554&lt;='Resultats - informe'!$G$16),1,0)</f>
        <v>1</v>
      </c>
      <c r="M8554" s="369" cm="1">
        <f t="array" ref="M8554">+_xlfn.IFS((C8554&gt;='Resultats - informe'!$D$26)*(C8554&lt;='Resultats - informe'!$E$26),0,(C8554&gt;='Resultats - informe'!$D$27)*(C8554&lt;='Resultats - informe'!$E$27),0,(C8554&gt;='Resultats - informe'!$D$28)*(C8554&lt;='Resultats - informe'!$E$28),0,(C8554&gt;='Resultats - informe'!$D$29)*(C8554&lt;='Resultats - informe'!$E$29),0,1,1)</f>
        <v>0</v>
      </c>
      <c r="N8554" s="366">
        <f>+VLOOKUP(D8554,'Resultats - informe'!$Y$18:$AG$42,'Introducció dades consum'!K8554+1,0)</f>
        <v>0</v>
      </c>
      <c r="O8554" s="370" cm="1">
        <f t="array" ref="O8554">+_xlfn.SWITCH(MONTH(C8554),1,1,2,1,3,1,4,2,5,2,6,3,7,3,8,3,9,3,10,2,11,2,12,1,2)</f>
        <v>1</v>
      </c>
      <c r="P8554" s="43"/>
    </row>
    <row r="8555" spans="1:16" ht="18" x14ac:dyDescent="0.35">
      <c r="A8555" s="43"/>
      <c r="C8555" s="393"/>
      <c r="E8555" s="394"/>
      <c r="F8555" s="394"/>
      <c r="G8555" s="394"/>
      <c r="I8555" s="368">
        <f t="shared" si="405"/>
        <v>0</v>
      </c>
      <c r="J8555" s="365">
        <f t="shared" si="406"/>
        <v>0</v>
      </c>
      <c r="K8555" s="369">
        <f t="shared" si="407"/>
        <v>6</v>
      </c>
      <c r="L8555" s="369">
        <f>+IF((C8555&gt;='Resultats - informe'!$E$16)*(C8555&lt;='Resultats - informe'!$G$16),1,0)</f>
        <v>1</v>
      </c>
      <c r="M8555" s="369" cm="1">
        <f t="array" ref="M8555">+_xlfn.IFS((C8555&gt;='Resultats - informe'!$D$26)*(C8555&lt;='Resultats - informe'!$E$26),0,(C8555&gt;='Resultats - informe'!$D$27)*(C8555&lt;='Resultats - informe'!$E$27),0,(C8555&gt;='Resultats - informe'!$D$28)*(C8555&lt;='Resultats - informe'!$E$28),0,(C8555&gt;='Resultats - informe'!$D$29)*(C8555&lt;='Resultats - informe'!$E$29),0,1,1)</f>
        <v>0</v>
      </c>
      <c r="N8555" s="366">
        <f>+VLOOKUP(D8555,'Resultats - informe'!$Y$18:$AG$42,'Introducció dades consum'!K8555+1,0)</f>
        <v>0</v>
      </c>
      <c r="O8555" s="370" cm="1">
        <f t="array" ref="O8555">+_xlfn.SWITCH(MONTH(C8555),1,1,2,1,3,1,4,2,5,2,6,3,7,3,8,3,9,3,10,2,11,2,12,1,2)</f>
        <v>1</v>
      </c>
      <c r="P8555" s="43"/>
    </row>
    <row r="8556" spans="1:16" ht="18" x14ac:dyDescent="0.35">
      <c r="A8556" s="43"/>
      <c r="C8556" s="393"/>
      <c r="E8556" s="394"/>
      <c r="F8556" s="394"/>
      <c r="G8556" s="394"/>
      <c r="I8556" s="368">
        <f t="shared" si="405"/>
        <v>0</v>
      </c>
      <c r="J8556" s="365">
        <f t="shared" si="406"/>
        <v>0</v>
      </c>
      <c r="K8556" s="369">
        <f t="shared" si="407"/>
        <v>6</v>
      </c>
      <c r="L8556" s="369">
        <f>+IF((C8556&gt;='Resultats - informe'!$E$16)*(C8556&lt;='Resultats - informe'!$G$16),1,0)</f>
        <v>1</v>
      </c>
      <c r="M8556" s="369" cm="1">
        <f t="array" ref="M8556">+_xlfn.IFS((C8556&gt;='Resultats - informe'!$D$26)*(C8556&lt;='Resultats - informe'!$E$26),0,(C8556&gt;='Resultats - informe'!$D$27)*(C8556&lt;='Resultats - informe'!$E$27),0,(C8556&gt;='Resultats - informe'!$D$28)*(C8556&lt;='Resultats - informe'!$E$28),0,(C8556&gt;='Resultats - informe'!$D$29)*(C8556&lt;='Resultats - informe'!$E$29),0,1,1)</f>
        <v>0</v>
      </c>
      <c r="N8556" s="366">
        <f>+VLOOKUP(D8556,'Resultats - informe'!$Y$18:$AG$42,'Introducció dades consum'!K8556+1,0)</f>
        <v>0</v>
      </c>
      <c r="O8556" s="370" cm="1">
        <f t="array" ref="O8556">+_xlfn.SWITCH(MONTH(C8556),1,1,2,1,3,1,4,2,5,2,6,3,7,3,8,3,9,3,10,2,11,2,12,1,2)</f>
        <v>1</v>
      </c>
      <c r="P8556" s="43"/>
    </row>
    <row r="8557" spans="1:16" ht="18" x14ac:dyDescent="0.35">
      <c r="A8557" s="43"/>
      <c r="C8557" s="393"/>
      <c r="E8557" s="394"/>
      <c r="F8557" s="394"/>
      <c r="G8557" s="394"/>
      <c r="I8557" s="368">
        <f t="shared" si="405"/>
        <v>0</v>
      </c>
      <c r="J8557" s="365">
        <f t="shared" si="406"/>
        <v>0</v>
      </c>
      <c r="K8557" s="369">
        <f t="shared" si="407"/>
        <v>6</v>
      </c>
      <c r="L8557" s="369">
        <f>+IF((C8557&gt;='Resultats - informe'!$E$16)*(C8557&lt;='Resultats - informe'!$G$16),1,0)</f>
        <v>1</v>
      </c>
      <c r="M8557" s="369" cm="1">
        <f t="array" ref="M8557">+_xlfn.IFS((C8557&gt;='Resultats - informe'!$D$26)*(C8557&lt;='Resultats - informe'!$E$26),0,(C8557&gt;='Resultats - informe'!$D$27)*(C8557&lt;='Resultats - informe'!$E$27),0,(C8557&gt;='Resultats - informe'!$D$28)*(C8557&lt;='Resultats - informe'!$E$28),0,(C8557&gt;='Resultats - informe'!$D$29)*(C8557&lt;='Resultats - informe'!$E$29),0,1,1)</f>
        <v>0</v>
      </c>
      <c r="N8557" s="366">
        <f>+VLOOKUP(D8557,'Resultats - informe'!$Y$18:$AG$42,'Introducció dades consum'!K8557+1,0)</f>
        <v>0</v>
      </c>
      <c r="O8557" s="370" cm="1">
        <f t="array" ref="O8557">+_xlfn.SWITCH(MONTH(C8557),1,1,2,1,3,1,4,2,5,2,6,3,7,3,8,3,9,3,10,2,11,2,12,1,2)</f>
        <v>1</v>
      </c>
      <c r="P8557" s="43"/>
    </row>
    <row r="8558" spans="1:16" ht="18" x14ac:dyDescent="0.35">
      <c r="A8558" s="43"/>
      <c r="C8558" s="393"/>
      <c r="E8558" s="394"/>
      <c r="F8558" s="394"/>
      <c r="G8558" s="394"/>
      <c r="I8558" s="368">
        <f t="shared" si="405"/>
        <v>0</v>
      </c>
      <c r="J8558" s="365">
        <f t="shared" si="406"/>
        <v>0</v>
      </c>
      <c r="K8558" s="369">
        <f t="shared" si="407"/>
        <v>6</v>
      </c>
      <c r="L8558" s="369">
        <f>+IF((C8558&gt;='Resultats - informe'!$E$16)*(C8558&lt;='Resultats - informe'!$G$16),1,0)</f>
        <v>1</v>
      </c>
      <c r="M8558" s="369" cm="1">
        <f t="array" ref="M8558">+_xlfn.IFS((C8558&gt;='Resultats - informe'!$D$26)*(C8558&lt;='Resultats - informe'!$E$26),0,(C8558&gt;='Resultats - informe'!$D$27)*(C8558&lt;='Resultats - informe'!$E$27),0,(C8558&gt;='Resultats - informe'!$D$28)*(C8558&lt;='Resultats - informe'!$E$28),0,(C8558&gt;='Resultats - informe'!$D$29)*(C8558&lt;='Resultats - informe'!$E$29),0,1,1)</f>
        <v>0</v>
      </c>
      <c r="N8558" s="366">
        <f>+VLOOKUP(D8558,'Resultats - informe'!$Y$18:$AG$42,'Introducció dades consum'!K8558+1,0)</f>
        <v>0</v>
      </c>
      <c r="O8558" s="370" cm="1">
        <f t="array" ref="O8558">+_xlfn.SWITCH(MONTH(C8558),1,1,2,1,3,1,4,2,5,2,6,3,7,3,8,3,9,3,10,2,11,2,12,1,2)</f>
        <v>1</v>
      </c>
      <c r="P8558" s="43"/>
    </row>
    <row r="8559" spans="1:16" ht="18" x14ac:dyDescent="0.35">
      <c r="A8559" s="43"/>
      <c r="C8559" s="393"/>
      <c r="E8559" s="394"/>
      <c r="F8559" s="394"/>
      <c r="G8559" s="394"/>
      <c r="I8559" s="368">
        <f t="shared" si="405"/>
        <v>0</v>
      </c>
      <c r="J8559" s="365">
        <f t="shared" si="406"/>
        <v>0</v>
      </c>
      <c r="K8559" s="369">
        <f t="shared" si="407"/>
        <v>6</v>
      </c>
      <c r="L8559" s="369">
        <f>+IF((C8559&gt;='Resultats - informe'!$E$16)*(C8559&lt;='Resultats - informe'!$G$16),1,0)</f>
        <v>1</v>
      </c>
      <c r="M8559" s="369" cm="1">
        <f t="array" ref="M8559">+_xlfn.IFS((C8559&gt;='Resultats - informe'!$D$26)*(C8559&lt;='Resultats - informe'!$E$26),0,(C8559&gt;='Resultats - informe'!$D$27)*(C8559&lt;='Resultats - informe'!$E$27),0,(C8559&gt;='Resultats - informe'!$D$28)*(C8559&lt;='Resultats - informe'!$E$28),0,(C8559&gt;='Resultats - informe'!$D$29)*(C8559&lt;='Resultats - informe'!$E$29),0,1,1)</f>
        <v>0</v>
      </c>
      <c r="N8559" s="366">
        <f>+VLOOKUP(D8559,'Resultats - informe'!$Y$18:$AG$42,'Introducció dades consum'!K8559+1,0)</f>
        <v>0</v>
      </c>
      <c r="O8559" s="370" cm="1">
        <f t="array" ref="O8559">+_xlfn.SWITCH(MONTH(C8559),1,1,2,1,3,1,4,2,5,2,6,3,7,3,8,3,9,3,10,2,11,2,12,1,2)</f>
        <v>1</v>
      </c>
      <c r="P8559" s="43"/>
    </row>
    <row r="8560" spans="1:16" ht="18" x14ac:dyDescent="0.35">
      <c r="A8560" s="43"/>
      <c r="C8560" s="393"/>
      <c r="E8560" s="394"/>
      <c r="F8560" s="394"/>
      <c r="G8560" s="394"/>
      <c r="I8560" s="368">
        <f t="shared" si="405"/>
        <v>0</v>
      </c>
      <c r="J8560" s="365">
        <f t="shared" si="406"/>
        <v>0</v>
      </c>
      <c r="K8560" s="369">
        <f t="shared" si="407"/>
        <v>6</v>
      </c>
      <c r="L8560" s="369">
        <f>+IF((C8560&gt;='Resultats - informe'!$E$16)*(C8560&lt;='Resultats - informe'!$G$16),1,0)</f>
        <v>1</v>
      </c>
      <c r="M8560" s="369" cm="1">
        <f t="array" ref="M8560">+_xlfn.IFS((C8560&gt;='Resultats - informe'!$D$26)*(C8560&lt;='Resultats - informe'!$E$26),0,(C8560&gt;='Resultats - informe'!$D$27)*(C8560&lt;='Resultats - informe'!$E$27),0,(C8560&gt;='Resultats - informe'!$D$28)*(C8560&lt;='Resultats - informe'!$E$28),0,(C8560&gt;='Resultats - informe'!$D$29)*(C8560&lt;='Resultats - informe'!$E$29),0,1,1)</f>
        <v>0</v>
      </c>
      <c r="N8560" s="366">
        <f>+VLOOKUP(D8560,'Resultats - informe'!$Y$18:$AG$42,'Introducció dades consum'!K8560+1,0)</f>
        <v>0</v>
      </c>
      <c r="O8560" s="370" cm="1">
        <f t="array" ref="O8560">+_xlfn.SWITCH(MONTH(C8560),1,1,2,1,3,1,4,2,5,2,6,3,7,3,8,3,9,3,10,2,11,2,12,1,2)</f>
        <v>1</v>
      </c>
      <c r="P8560" s="43"/>
    </row>
    <row r="8561" spans="1:16" ht="18" x14ac:dyDescent="0.35">
      <c r="A8561" s="43"/>
      <c r="C8561" s="393"/>
      <c r="E8561" s="394"/>
      <c r="F8561" s="394"/>
      <c r="G8561" s="394"/>
      <c r="I8561" s="368">
        <f t="shared" si="405"/>
        <v>0</v>
      </c>
      <c r="J8561" s="365">
        <f t="shared" si="406"/>
        <v>0</v>
      </c>
      <c r="K8561" s="369">
        <f t="shared" si="407"/>
        <v>6</v>
      </c>
      <c r="L8561" s="369">
        <f>+IF((C8561&gt;='Resultats - informe'!$E$16)*(C8561&lt;='Resultats - informe'!$G$16),1,0)</f>
        <v>1</v>
      </c>
      <c r="M8561" s="369" cm="1">
        <f t="array" ref="M8561">+_xlfn.IFS((C8561&gt;='Resultats - informe'!$D$26)*(C8561&lt;='Resultats - informe'!$E$26),0,(C8561&gt;='Resultats - informe'!$D$27)*(C8561&lt;='Resultats - informe'!$E$27),0,(C8561&gt;='Resultats - informe'!$D$28)*(C8561&lt;='Resultats - informe'!$E$28),0,(C8561&gt;='Resultats - informe'!$D$29)*(C8561&lt;='Resultats - informe'!$E$29),0,1,1)</f>
        <v>0</v>
      </c>
      <c r="N8561" s="366">
        <f>+VLOOKUP(D8561,'Resultats - informe'!$Y$18:$AG$42,'Introducció dades consum'!K8561+1,0)</f>
        <v>0</v>
      </c>
      <c r="O8561" s="370" cm="1">
        <f t="array" ref="O8561">+_xlfn.SWITCH(MONTH(C8561),1,1,2,1,3,1,4,2,5,2,6,3,7,3,8,3,9,3,10,2,11,2,12,1,2)</f>
        <v>1</v>
      </c>
      <c r="P8561" s="43"/>
    </row>
    <row r="8562" spans="1:16" ht="18" x14ac:dyDescent="0.35">
      <c r="A8562" s="43"/>
      <c r="C8562" s="393"/>
      <c r="E8562" s="394"/>
      <c r="F8562" s="394"/>
      <c r="G8562" s="394"/>
      <c r="I8562" s="368">
        <f t="shared" si="405"/>
        <v>0</v>
      </c>
      <c r="J8562" s="365">
        <f t="shared" si="406"/>
        <v>0</v>
      </c>
      <c r="K8562" s="369">
        <f t="shared" si="407"/>
        <v>6</v>
      </c>
      <c r="L8562" s="369">
        <f>+IF((C8562&gt;='Resultats - informe'!$E$16)*(C8562&lt;='Resultats - informe'!$G$16),1,0)</f>
        <v>1</v>
      </c>
      <c r="M8562" s="369" cm="1">
        <f t="array" ref="M8562">+_xlfn.IFS((C8562&gt;='Resultats - informe'!$D$26)*(C8562&lt;='Resultats - informe'!$E$26),0,(C8562&gt;='Resultats - informe'!$D$27)*(C8562&lt;='Resultats - informe'!$E$27),0,(C8562&gt;='Resultats - informe'!$D$28)*(C8562&lt;='Resultats - informe'!$E$28),0,(C8562&gt;='Resultats - informe'!$D$29)*(C8562&lt;='Resultats - informe'!$E$29),0,1,1)</f>
        <v>0</v>
      </c>
      <c r="N8562" s="366">
        <f>+VLOOKUP(D8562,'Resultats - informe'!$Y$18:$AG$42,'Introducció dades consum'!K8562+1,0)</f>
        <v>0</v>
      </c>
      <c r="O8562" s="370" cm="1">
        <f t="array" ref="O8562">+_xlfn.SWITCH(MONTH(C8562),1,1,2,1,3,1,4,2,5,2,6,3,7,3,8,3,9,3,10,2,11,2,12,1,2)</f>
        <v>1</v>
      </c>
      <c r="P8562" s="43"/>
    </row>
    <row r="8563" spans="1:16" ht="18" x14ac:dyDescent="0.35">
      <c r="A8563" s="43"/>
      <c r="C8563" s="393"/>
      <c r="E8563" s="394"/>
      <c r="F8563" s="394"/>
      <c r="G8563" s="394"/>
      <c r="I8563" s="368">
        <f t="shared" si="405"/>
        <v>0</v>
      </c>
      <c r="J8563" s="365">
        <f t="shared" si="406"/>
        <v>0</v>
      </c>
      <c r="K8563" s="369">
        <f t="shared" si="407"/>
        <v>6</v>
      </c>
      <c r="L8563" s="369">
        <f>+IF((C8563&gt;='Resultats - informe'!$E$16)*(C8563&lt;='Resultats - informe'!$G$16),1,0)</f>
        <v>1</v>
      </c>
      <c r="M8563" s="369" cm="1">
        <f t="array" ref="M8563">+_xlfn.IFS((C8563&gt;='Resultats - informe'!$D$26)*(C8563&lt;='Resultats - informe'!$E$26),0,(C8563&gt;='Resultats - informe'!$D$27)*(C8563&lt;='Resultats - informe'!$E$27),0,(C8563&gt;='Resultats - informe'!$D$28)*(C8563&lt;='Resultats - informe'!$E$28),0,(C8563&gt;='Resultats - informe'!$D$29)*(C8563&lt;='Resultats - informe'!$E$29),0,1,1)</f>
        <v>0</v>
      </c>
      <c r="N8563" s="366">
        <f>+VLOOKUP(D8563,'Resultats - informe'!$Y$18:$AG$42,'Introducció dades consum'!K8563+1,0)</f>
        <v>0</v>
      </c>
      <c r="O8563" s="370" cm="1">
        <f t="array" ref="O8563">+_xlfn.SWITCH(MONTH(C8563),1,1,2,1,3,1,4,2,5,2,6,3,7,3,8,3,9,3,10,2,11,2,12,1,2)</f>
        <v>1</v>
      </c>
      <c r="P8563" s="43"/>
    </row>
    <row r="8564" spans="1:16" ht="18" x14ac:dyDescent="0.35">
      <c r="A8564" s="43"/>
      <c r="C8564" s="393"/>
      <c r="E8564" s="394"/>
      <c r="F8564" s="394"/>
      <c r="G8564" s="394"/>
      <c r="I8564" s="368">
        <f t="shared" si="405"/>
        <v>0</v>
      </c>
      <c r="J8564" s="365">
        <f t="shared" si="406"/>
        <v>0</v>
      </c>
      <c r="K8564" s="369">
        <f t="shared" si="407"/>
        <v>6</v>
      </c>
      <c r="L8564" s="369">
        <f>+IF((C8564&gt;='Resultats - informe'!$E$16)*(C8564&lt;='Resultats - informe'!$G$16),1,0)</f>
        <v>1</v>
      </c>
      <c r="M8564" s="369" cm="1">
        <f t="array" ref="M8564">+_xlfn.IFS((C8564&gt;='Resultats - informe'!$D$26)*(C8564&lt;='Resultats - informe'!$E$26),0,(C8564&gt;='Resultats - informe'!$D$27)*(C8564&lt;='Resultats - informe'!$E$27),0,(C8564&gt;='Resultats - informe'!$D$28)*(C8564&lt;='Resultats - informe'!$E$28),0,(C8564&gt;='Resultats - informe'!$D$29)*(C8564&lt;='Resultats - informe'!$E$29),0,1,1)</f>
        <v>0</v>
      </c>
      <c r="N8564" s="366">
        <f>+VLOOKUP(D8564,'Resultats - informe'!$Y$18:$AG$42,'Introducció dades consum'!K8564+1,0)</f>
        <v>0</v>
      </c>
      <c r="O8564" s="370" cm="1">
        <f t="array" ref="O8564">+_xlfn.SWITCH(MONTH(C8564),1,1,2,1,3,1,4,2,5,2,6,3,7,3,8,3,9,3,10,2,11,2,12,1,2)</f>
        <v>1</v>
      </c>
      <c r="P8564" s="43"/>
    </row>
    <row r="8565" spans="1:16" ht="18" x14ac:dyDescent="0.35">
      <c r="A8565" s="43"/>
      <c r="C8565" s="393"/>
      <c r="E8565" s="394"/>
      <c r="F8565" s="394"/>
      <c r="G8565" s="394"/>
      <c r="I8565" s="368">
        <f t="shared" si="405"/>
        <v>0</v>
      </c>
      <c r="J8565" s="365">
        <f t="shared" si="406"/>
        <v>0</v>
      </c>
      <c r="K8565" s="369">
        <f t="shared" si="407"/>
        <v>6</v>
      </c>
      <c r="L8565" s="369">
        <f>+IF((C8565&gt;='Resultats - informe'!$E$16)*(C8565&lt;='Resultats - informe'!$G$16),1,0)</f>
        <v>1</v>
      </c>
      <c r="M8565" s="369" cm="1">
        <f t="array" ref="M8565">+_xlfn.IFS((C8565&gt;='Resultats - informe'!$D$26)*(C8565&lt;='Resultats - informe'!$E$26),0,(C8565&gt;='Resultats - informe'!$D$27)*(C8565&lt;='Resultats - informe'!$E$27),0,(C8565&gt;='Resultats - informe'!$D$28)*(C8565&lt;='Resultats - informe'!$E$28),0,(C8565&gt;='Resultats - informe'!$D$29)*(C8565&lt;='Resultats - informe'!$E$29),0,1,1)</f>
        <v>0</v>
      </c>
      <c r="N8565" s="366">
        <f>+VLOOKUP(D8565,'Resultats - informe'!$Y$18:$AG$42,'Introducció dades consum'!K8565+1,0)</f>
        <v>0</v>
      </c>
      <c r="O8565" s="370" cm="1">
        <f t="array" ref="O8565">+_xlfn.SWITCH(MONTH(C8565),1,1,2,1,3,1,4,2,5,2,6,3,7,3,8,3,9,3,10,2,11,2,12,1,2)</f>
        <v>1</v>
      </c>
      <c r="P8565" s="43"/>
    </row>
    <row r="8566" spans="1:16" ht="18" x14ac:dyDescent="0.35">
      <c r="A8566" s="43"/>
      <c r="C8566" s="393"/>
      <c r="E8566" s="394"/>
      <c r="F8566" s="394"/>
      <c r="G8566" s="394"/>
      <c r="I8566" s="368">
        <f t="shared" si="405"/>
        <v>0</v>
      </c>
      <c r="J8566" s="365">
        <f t="shared" si="406"/>
        <v>0</v>
      </c>
      <c r="K8566" s="369">
        <f t="shared" si="407"/>
        <v>6</v>
      </c>
      <c r="L8566" s="369">
        <f>+IF((C8566&gt;='Resultats - informe'!$E$16)*(C8566&lt;='Resultats - informe'!$G$16),1,0)</f>
        <v>1</v>
      </c>
      <c r="M8566" s="369" cm="1">
        <f t="array" ref="M8566">+_xlfn.IFS((C8566&gt;='Resultats - informe'!$D$26)*(C8566&lt;='Resultats - informe'!$E$26),0,(C8566&gt;='Resultats - informe'!$D$27)*(C8566&lt;='Resultats - informe'!$E$27),0,(C8566&gt;='Resultats - informe'!$D$28)*(C8566&lt;='Resultats - informe'!$E$28),0,(C8566&gt;='Resultats - informe'!$D$29)*(C8566&lt;='Resultats - informe'!$E$29),0,1,1)</f>
        <v>0</v>
      </c>
      <c r="N8566" s="366">
        <f>+VLOOKUP(D8566,'Resultats - informe'!$Y$18:$AG$42,'Introducció dades consum'!K8566+1,0)</f>
        <v>0</v>
      </c>
      <c r="O8566" s="370" cm="1">
        <f t="array" ref="O8566">+_xlfn.SWITCH(MONTH(C8566),1,1,2,1,3,1,4,2,5,2,6,3,7,3,8,3,9,3,10,2,11,2,12,1,2)</f>
        <v>1</v>
      </c>
      <c r="P8566" s="43"/>
    </row>
    <row r="8567" spans="1:16" ht="18" x14ac:dyDescent="0.35">
      <c r="A8567" s="43"/>
      <c r="C8567" s="393"/>
      <c r="E8567" s="394"/>
      <c r="F8567" s="394"/>
      <c r="G8567" s="394"/>
      <c r="I8567" s="368">
        <f t="shared" si="405"/>
        <v>0</v>
      </c>
      <c r="J8567" s="365">
        <f t="shared" si="406"/>
        <v>0</v>
      </c>
      <c r="K8567" s="369">
        <f t="shared" si="407"/>
        <v>6</v>
      </c>
      <c r="L8567" s="369">
        <f>+IF((C8567&gt;='Resultats - informe'!$E$16)*(C8567&lt;='Resultats - informe'!$G$16),1,0)</f>
        <v>1</v>
      </c>
      <c r="M8567" s="369" cm="1">
        <f t="array" ref="M8567">+_xlfn.IFS((C8567&gt;='Resultats - informe'!$D$26)*(C8567&lt;='Resultats - informe'!$E$26),0,(C8567&gt;='Resultats - informe'!$D$27)*(C8567&lt;='Resultats - informe'!$E$27),0,(C8567&gt;='Resultats - informe'!$D$28)*(C8567&lt;='Resultats - informe'!$E$28),0,(C8567&gt;='Resultats - informe'!$D$29)*(C8567&lt;='Resultats - informe'!$E$29),0,1,1)</f>
        <v>0</v>
      </c>
      <c r="N8567" s="366">
        <f>+VLOOKUP(D8567,'Resultats - informe'!$Y$18:$AG$42,'Introducció dades consum'!K8567+1,0)</f>
        <v>0</v>
      </c>
      <c r="O8567" s="370" cm="1">
        <f t="array" ref="O8567">+_xlfn.SWITCH(MONTH(C8567),1,1,2,1,3,1,4,2,5,2,6,3,7,3,8,3,9,3,10,2,11,2,12,1,2)</f>
        <v>1</v>
      </c>
      <c r="P8567" s="43"/>
    </row>
    <row r="8568" spans="1:16" ht="18" x14ac:dyDescent="0.35">
      <c r="A8568" s="43"/>
      <c r="C8568" s="393"/>
      <c r="E8568" s="394"/>
      <c r="F8568" s="394"/>
      <c r="G8568" s="394"/>
      <c r="I8568" s="368">
        <f t="shared" si="405"/>
        <v>0</v>
      </c>
      <c r="J8568" s="365">
        <f t="shared" si="406"/>
        <v>0</v>
      </c>
      <c r="K8568" s="369">
        <f t="shared" si="407"/>
        <v>6</v>
      </c>
      <c r="L8568" s="369">
        <f>+IF((C8568&gt;='Resultats - informe'!$E$16)*(C8568&lt;='Resultats - informe'!$G$16),1,0)</f>
        <v>1</v>
      </c>
      <c r="M8568" s="369" cm="1">
        <f t="array" ref="M8568">+_xlfn.IFS((C8568&gt;='Resultats - informe'!$D$26)*(C8568&lt;='Resultats - informe'!$E$26),0,(C8568&gt;='Resultats - informe'!$D$27)*(C8568&lt;='Resultats - informe'!$E$27),0,(C8568&gt;='Resultats - informe'!$D$28)*(C8568&lt;='Resultats - informe'!$E$28),0,(C8568&gt;='Resultats - informe'!$D$29)*(C8568&lt;='Resultats - informe'!$E$29),0,1,1)</f>
        <v>0</v>
      </c>
      <c r="N8568" s="366">
        <f>+VLOOKUP(D8568,'Resultats - informe'!$Y$18:$AG$42,'Introducció dades consum'!K8568+1,0)</f>
        <v>0</v>
      </c>
      <c r="O8568" s="370" cm="1">
        <f t="array" ref="O8568">+_xlfn.SWITCH(MONTH(C8568),1,1,2,1,3,1,4,2,5,2,6,3,7,3,8,3,9,3,10,2,11,2,12,1,2)</f>
        <v>1</v>
      </c>
      <c r="P8568" s="43"/>
    </row>
    <row r="8569" spans="1:16" ht="18" x14ac:dyDescent="0.35">
      <c r="A8569" s="43"/>
      <c r="C8569" s="393"/>
      <c r="E8569" s="394"/>
      <c r="F8569" s="394"/>
      <c r="G8569" s="394"/>
      <c r="I8569" s="368">
        <f t="shared" si="405"/>
        <v>0</v>
      </c>
      <c r="J8569" s="365">
        <f t="shared" si="406"/>
        <v>0</v>
      </c>
      <c r="K8569" s="369">
        <f t="shared" si="407"/>
        <v>6</v>
      </c>
      <c r="L8569" s="369">
        <f>+IF((C8569&gt;='Resultats - informe'!$E$16)*(C8569&lt;='Resultats - informe'!$G$16),1,0)</f>
        <v>1</v>
      </c>
      <c r="M8569" s="369" cm="1">
        <f t="array" ref="M8569">+_xlfn.IFS((C8569&gt;='Resultats - informe'!$D$26)*(C8569&lt;='Resultats - informe'!$E$26),0,(C8569&gt;='Resultats - informe'!$D$27)*(C8569&lt;='Resultats - informe'!$E$27),0,(C8569&gt;='Resultats - informe'!$D$28)*(C8569&lt;='Resultats - informe'!$E$28),0,(C8569&gt;='Resultats - informe'!$D$29)*(C8569&lt;='Resultats - informe'!$E$29),0,1,1)</f>
        <v>0</v>
      </c>
      <c r="N8569" s="366">
        <f>+VLOOKUP(D8569,'Resultats - informe'!$Y$18:$AG$42,'Introducció dades consum'!K8569+1,0)</f>
        <v>0</v>
      </c>
      <c r="O8569" s="370" cm="1">
        <f t="array" ref="O8569">+_xlfn.SWITCH(MONTH(C8569),1,1,2,1,3,1,4,2,5,2,6,3,7,3,8,3,9,3,10,2,11,2,12,1,2)</f>
        <v>1</v>
      </c>
      <c r="P8569" s="43"/>
    </row>
    <row r="8570" spans="1:16" ht="18" x14ac:dyDescent="0.35">
      <c r="A8570" s="43"/>
      <c r="C8570" s="393"/>
      <c r="E8570" s="394"/>
      <c r="F8570" s="394"/>
      <c r="G8570" s="394"/>
      <c r="I8570" s="368">
        <f t="shared" si="405"/>
        <v>0</v>
      </c>
      <c r="J8570" s="365">
        <f t="shared" si="406"/>
        <v>0</v>
      </c>
      <c r="K8570" s="369">
        <f t="shared" si="407"/>
        <v>6</v>
      </c>
      <c r="L8570" s="369">
        <f>+IF((C8570&gt;='Resultats - informe'!$E$16)*(C8570&lt;='Resultats - informe'!$G$16),1,0)</f>
        <v>1</v>
      </c>
      <c r="M8570" s="369" cm="1">
        <f t="array" ref="M8570">+_xlfn.IFS((C8570&gt;='Resultats - informe'!$D$26)*(C8570&lt;='Resultats - informe'!$E$26),0,(C8570&gt;='Resultats - informe'!$D$27)*(C8570&lt;='Resultats - informe'!$E$27),0,(C8570&gt;='Resultats - informe'!$D$28)*(C8570&lt;='Resultats - informe'!$E$28),0,(C8570&gt;='Resultats - informe'!$D$29)*(C8570&lt;='Resultats - informe'!$E$29),0,1,1)</f>
        <v>0</v>
      </c>
      <c r="N8570" s="366">
        <f>+VLOOKUP(D8570,'Resultats - informe'!$Y$18:$AG$42,'Introducció dades consum'!K8570+1,0)</f>
        <v>0</v>
      </c>
      <c r="O8570" s="370" cm="1">
        <f t="array" ref="O8570">+_xlfn.SWITCH(MONTH(C8570),1,1,2,1,3,1,4,2,5,2,6,3,7,3,8,3,9,3,10,2,11,2,12,1,2)</f>
        <v>1</v>
      </c>
      <c r="P8570" s="43"/>
    </row>
    <row r="8571" spans="1:16" ht="18" x14ac:dyDescent="0.35">
      <c r="A8571" s="43"/>
      <c r="C8571" s="393"/>
      <c r="E8571" s="394"/>
      <c r="F8571" s="394"/>
      <c r="G8571" s="394"/>
      <c r="I8571" s="368">
        <f t="shared" si="405"/>
        <v>0</v>
      </c>
      <c r="J8571" s="365">
        <f t="shared" si="406"/>
        <v>0</v>
      </c>
      <c r="K8571" s="369">
        <f t="shared" si="407"/>
        <v>6</v>
      </c>
      <c r="L8571" s="369">
        <f>+IF((C8571&gt;='Resultats - informe'!$E$16)*(C8571&lt;='Resultats - informe'!$G$16),1,0)</f>
        <v>1</v>
      </c>
      <c r="M8571" s="369" cm="1">
        <f t="array" ref="M8571">+_xlfn.IFS((C8571&gt;='Resultats - informe'!$D$26)*(C8571&lt;='Resultats - informe'!$E$26),0,(C8571&gt;='Resultats - informe'!$D$27)*(C8571&lt;='Resultats - informe'!$E$27),0,(C8571&gt;='Resultats - informe'!$D$28)*(C8571&lt;='Resultats - informe'!$E$28),0,(C8571&gt;='Resultats - informe'!$D$29)*(C8571&lt;='Resultats - informe'!$E$29),0,1,1)</f>
        <v>0</v>
      </c>
      <c r="N8571" s="366">
        <f>+VLOOKUP(D8571,'Resultats - informe'!$Y$18:$AG$42,'Introducció dades consum'!K8571+1,0)</f>
        <v>0</v>
      </c>
      <c r="O8571" s="370" cm="1">
        <f t="array" ref="O8571">+_xlfn.SWITCH(MONTH(C8571),1,1,2,1,3,1,4,2,5,2,6,3,7,3,8,3,9,3,10,2,11,2,12,1,2)</f>
        <v>1</v>
      </c>
      <c r="P8571" s="43"/>
    </row>
    <row r="8572" spans="1:16" ht="18" x14ac:dyDescent="0.35">
      <c r="A8572" s="43"/>
      <c r="C8572" s="393"/>
      <c r="E8572" s="394"/>
      <c r="F8572" s="394"/>
      <c r="G8572" s="394"/>
      <c r="I8572" s="368">
        <f t="shared" si="405"/>
        <v>0</v>
      </c>
      <c r="J8572" s="365">
        <f t="shared" si="406"/>
        <v>0</v>
      </c>
      <c r="K8572" s="369">
        <f t="shared" si="407"/>
        <v>6</v>
      </c>
      <c r="L8572" s="369">
        <f>+IF((C8572&gt;='Resultats - informe'!$E$16)*(C8572&lt;='Resultats - informe'!$G$16),1,0)</f>
        <v>1</v>
      </c>
      <c r="M8572" s="369" cm="1">
        <f t="array" ref="M8572">+_xlfn.IFS((C8572&gt;='Resultats - informe'!$D$26)*(C8572&lt;='Resultats - informe'!$E$26),0,(C8572&gt;='Resultats - informe'!$D$27)*(C8572&lt;='Resultats - informe'!$E$27),0,(C8572&gt;='Resultats - informe'!$D$28)*(C8572&lt;='Resultats - informe'!$E$28),0,(C8572&gt;='Resultats - informe'!$D$29)*(C8572&lt;='Resultats - informe'!$E$29),0,1,1)</f>
        <v>0</v>
      </c>
      <c r="N8572" s="366">
        <f>+VLOOKUP(D8572,'Resultats - informe'!$Y$18:$AG$42,'Introducció dades consum'!K8572+1,0)</f>
        <v>0</v>
      </c>
      <c r="O8572" s="370" cm="1">
        <f t="array" ref="O8572">+_xlfn.SWITCH(MONTH(C8572),1,1,2,1,3,1,4,2,5,2,6,3,7,3,8,3,9,3,10,2,11,2,12,1,2)</f>
        <v>1</v>
      </c>
      <c r="P8572" s="43"/>
    </row>
    <row r="8573" spans="1:16" ht="18" x14ac:dyDescent="0.35">
      <c r="A8573" s="43"/>
      <c r="C8573" s="393"/>
      <c r="E8573" s="394"/>
      <c r="F8573" s="394"/>
      <c r="G8573" s="394"/>
      <c r="I8573" s="368">
        <f t="shared" si="405"/>
        <v>0</v>
      </c>
      <c r="J8573" s="365">
        <f t="shared" si="406"/>
        <v>0</v>
      </c>
      <c r="K8573" s="369">
        <f t="shared" si="407"/>
        <v>6</v>
      </c>
      <c r="L8573" s="369">
        <f>+IF((C8573&gt;='Resultats - informe'!$E$16)*(C8573&lt;='Resultats - informe'!$G$16),1,0)</f>
        <v>1</v>
      </c>
      <c r="M8573" s="369" cm="1">
        <f t="array" ref="M8573">+_xlfn.IFS((C8573&gt;='Resultats - informe'!$D$26)*(C8573&lt;='Resultats - informe'!$E$26),0,(C8573&gt;='Resultats - informe'!$D$27)*(C8573&lt;='Resultats - informe'!$E$27),0,(C8573&gt;='Resultats - informe'!$D$28)*(C8573&lt;='Resultats - informe'!$E$28),0,(C8573&gt;='Resultats - informe'!$D$29)*(C8573&lt;='Resultats - informe'!$E$29),0,1,1)</f>
        <v>0</v>
      </c>
      <c r="N8573" s="366">
        <f>+VLOOKUP(D8573,'Resultats - informe'!$Y$18:$AG$42,'Introducció dades consum'!K8573+1,0)</f>
        <v>0</v>
      </c>
      <c r="O8573" s="370" cm="1">
        <f t="array" ref="O8573">+_xlfn.SWITCH(MONTH(C8573),1,1,2,1,3,1,4,2,5,2,6,3,7,3,8,3,9,3,10,2,11,2,12,1,2)</f>
        <v>1</v>
      </c>
      <c r="P8573" s="43"/>
    </row>
    <row r="8574" spans="1:16" ht="18" x14ac:dyDescent="0.35">
      <c r="A8574" s="43"/>
      <c r="C8574" s="393"/>
      <c r="E8574" s="394"/>
      <c r="F8574" s="394"/>
      <c r="G8574" s="394"/>
      <c r="I8574" s="368">
        <f t="shared" si="405"/>
        <v>0</v>
      </c>
      <c r="J8574" s="365">
        <f t="shared" si="406"/>
        <v>0</v>
      </c>
      <c r="K8574" s="369">
        <f t="shared" si="407"/>
        <v>6</v>
      </c>
      <c r="L8574" s="369">
        <f>+IF((C8574&gt;='Resultats - informe'!$E$16)*(C8574&lt;='Resultats - informe'!$G$16),1,0)</f>
        <v>1</v>
      </c>
      <c r="M8574" s="369" cm="1">
        <f t="array" ref="M8574">+_xlfn.IFS((C8574&gt;='Resultats - informe'!$D$26)*(C8574&lt;='Resultats - informe'!$E$26),0,(C8574&gt;='Resultats - informe'!$D$27)*(C8574&lt;='Resultats - informe'!$E$27),0,(C8574&gt;='Resultats - informe'!$D$28)*(C8574&lt;='Resultats - informe'!$E$28),0,(C8574&gt;='Resultats - informe'!$D$29)*(C8574&lt;='Resultats - informe'!$E$29),0,1,1)</f>
        <v>0</v>
      </c>
      <c r="N8574" s="366">
        <f>+VLOOKUP(D8574,'Resultats - informe'!$Y$18:$AG$42,'Introducció dades consum'!K8574+1,0)</f>
        <v>0</v>
      </c>
      <c r="O8574" s="370" cm="1">
        <f t="array" ref="O8574">+_xlfn.SWITCH(MONTH(C8574),1,1,2,1,3,1,4,2,5,2,6,3,7,3,8,3,9,3,10,2,11,2,12,1,2)</f>
        <v>1</v>
      </c>
      <c r="P8574" s="43"/>
    </row>
    <row r="8575" spans="1:16" ht="18" x14ac:dyDescent="0.35">
      <c r="A8575" s="43"/>
      <c r="C8575" s="393"/>
      <c r="E8575" s="394"/>
      <c r="F8575" s="394"/>
      <c r="G8575" s="394"/>
      <c r="I8575" s="368">
        <f t="shared" si="405"/>
        <v>0</v>
      </c>
      <c r="J8575" s="365">
        <f t="shared" si="406"/>
        <v>0</v>
      </c>
      <c r="K8575" s="369">
        <f t="shared" si="407"/>
        <v>6</v>
      </c>
      <c r="L8575" s="369">
        <f>+IF((C8575&gt;='Resultats - informe'!$E$16)*(C8575&lt;='Resultats - informe'!$G$16),1,0)</f>
        <v>1</v>
      </c>
      <c r="M8575" s="369" cm="1">
        <f t="array" ref="M8575">+_xlfn.IFS((C8575&gt;='Resultats - informe'!$D$26)*(C8575&lt;='Resultats - informe'!$E$26),0,(C8575&gt;='Resultats - informe'!$D$27)*(C8575&lt;='Resultats - informe'!$E$27),0,(C8575&gt;='Resultats - informe'!$D$28)*(C8575&lt;='Resultats - informe'!$E$28),0,(C8575&gt;='Resultats - informe'!$D$29)*(C8575&lt;='Resultats - informe'!$E$29),0,1,1)</f>
        <v>0</v>
      </c>
      <c r="N8575" s="366">
        <f>+VLOOKUP(D8575,'Resultats - informe'!$Y$18:$AG$42,'Introducció dades consum'!K8575+1,0)</f>
        <v>0</v>
      </c>
      <c r="O8575" s="370" cm="1">
        <f t="array" ref="O8575">+_xlfn.SWITCH(MONTH(C8575),1,1,2,1,3,1,4,2,5,2,6,3,7,3,8,3,9,3,10,2,11,2,12,1,2)</f>
        <v>1</v>
      </c>
      <c r="P8575" s="43"/>
    </row>
    <row r="8576" spans="1:16" ht="18" x14ac:dyDescent="0.35">
      <c r="A8576" s="43"/>
      <c r="C8576" s="393"/>
      <c r="E8576" s="394"/>
      <c r="F8576" s="394"/>
      <c r="G8576" s="394"/>
      <c r="I8576" s="368">
        <f t="shared" si="405"/>
        <v>0</v>
      </c>
      <c r="J8576" s="365">
        <f t="shared" si="406"/>
        <v>0</v>
      </c>
      <c r="K8576" s="369">
        <f t="shared" si="407"/>
        <v>6</v>
      </c>
      <c r="L8576" s="369">
        <f>+IF((C8576&gt;='Resultats - informe'!$E$16)*(C8576&lt;='Resultats - informe'!$G$16),1,0)</f>
        <v>1</v>
      </c>
      <c r="M8576" s="369" cm="1">
        <f t="array" ref="M8576">+_xlfn.IFS((C8576&gt;='Resultats - informe'!$D$26)*(C8576&lt;='Resultats - informe'!$E$26),0,(C8576&gt;='Resultats - informe'!$D$27)*(C8576&lt;='Resultats - informe'!$E$27),0,(C8576&gt;='Resultats - informe'!$D$28)*(C8576&lt;='Resultats - informe'!$E$28),0,(C8576&gt;='Resultats - informe'!$D$29)*(C8576&lt;='Resultats - informe'!$E$29),0,1,1)</f>
        <v>0</v>
      </c>
      <c r="N8576" s="366">
        <f>+VLOOKUP(D8576,'Resultats - informe'!$Y$18:$AG$42,'Introducció dades consum'!K8576+1,0)</f>
        <v>0</v>
      </c>
      <c r="O8576" s="370" cm="1">
        <f t="array" ref="O8576">+_xlfn.SWITCH(MONTH(C8576),1,1,2,1,3,1,4,2,5,2,6,3,7,3,8,3,9,3,10,2,11,2,12,1,2)</f>
        <v>1</v>
      </c>
      <c r="P8576" s="43"/>
    </row>
    <row r="8577" spans="1:16" ht="18" x14ac:dyDescent="0.35">
      <c r="A8577" s="43"/>
      <c r="C8577" s="393"/>
      <c r="E8577" s="394"/>
      <c r="F8577" s="394"/>
      <c r="G8577" s="394"/>
      <c r="I8577" s="368">
        <f t="shared" si="405"/>
        <v>0</v>
      </c>
      <c r="J8577" s="365">
        <f t="shared" si="406"/>
        <v>0</v>
      </c>
      <c r="K8577" s="369">
        <f t="shared" si="407"/>
        <v>6</v>
      </c>
      <c r="L8577" s="369">
        <f>+IF((C8577&gt;='Resultats - informe'!$E$16)*(C8577&lt;='Resultats - informe'!$G$16),1,0)</f>
        <v>1</v>
      </c>
      <c r="M8577" s="369" cm="1">
        <f t="array" ref="M8577">+_xlfn.IFS((C8577&gt;='Resultats - informe'!$D$26)*(C8577&lt;='Resultats - informe'!$E$26),0,(C8577&gt;='Resultats - informe'!$D$27)*(C8577&lt;='Resultats - informe'!$E$27),0,(C8577&gt;='Resultats - informe'!$D$28)*(C8577&lt;='Resultats - informe'!$E$28),0,(C8577&gt;='Resultats - informe'!$D$29)*(C8577&lt;='Resultats - informe'!$E$29),0,1,1)</f>
        <v>0</v>
      </c>
      <c r="N8577" s="366">
        <f>+VLOOKUP(D8577,'Resultats - informe'!$Y$18:$AG$42,'Introducció dades consum'!K8577+1,0)</f>
        <v>0</v>
      </c>
      <c r="O8577" s="370" cm="1">
        <f t="array" ref="O8577">+_xlfn.SWITCH(MONTH(C8577),1,1,2,1,3,1,4,2,5,2,6,3,7,3,8,3,9,3,10,2,11,2,12,1,2)</f>
        <v>1</v>
      </c>
      <c r="P8577" s="43"/>
    </row>
    <row r="8578" spans="1:16" ht="18" x14ac:dyDescent="0.35">
      <c r="A8578" s="43"/>
      <c r="C8578" s="393"/>
      <c r="E8578" s="394"/>
      <c r="F8578" s="394"/>
      <c r="G8578" s="394"/>
      <c r="I8578" s="368">
        <f t="shared" si="405"/>
        <v>0</v>
      </c>
      <c r="J8578" s="365">
        <f t="shared" si="406"/>
        <v>0</v>
      </c>
      <c r="K8578" s="369">
        <f t="shared" si="407"/>
        <v>6</v>
      </c>
      <c r="L8578" s="369">
        <f>+IF((C8578&gt;='Resultats - informe'!$E$16)*(C8578&lt;='Resultats - informe'!$G$16),1,0)</f>
        <v>1</v>
      </c>
      <c r="M8578" s="369" cm="1">
        <f t="array" ref="M8578">+_xlfn.IFS((C8578&gt;='Resultats - informe'!$D$26)*(C8578&lt;='Resultats - informe'!$E$26),0,(C8578&gt;='Resultats - informe'!$D$27)*(C8578&lt;='Resultats - informe'!$E$27),0,(C8578&gt;='Resultats - informe'!$D$28)*(C8578&lt;='Resultats - informe'!$E$28),0,(C8578&gt;='Resultats - informe'!$D$29)*(C8578&lt;='Resultats - informe'!$E$29),0,1,1)</f>
        <v>0</v>
      </c>
      <c r="N8578" s="366">
        <f>+VLOOKUP(D8578,'Resultats - informe'!$Y$18:$AG$42,'Introducció dades consum'!K8578+1,0)</f>
        <v>0</v>
      </c>
      <c r="O8578" s="370" cm="1">
        <f t="array" ref="O8578">+_xlfn.SWITCH(MONTH(C8578),1,1,2,1,3,1,4,2,5,2,6,3,7,3,8,3,9,3,10,2,11,2,12,1,2)</f>
        <v>1</v>
      </c>
      <c r="P8578" s="43"/>
    </row>
    <row r="8579" spans="1:16" ht="18" x14ac:dyDescent="0.35">
      <c r="A8579" s="43"/>
      <c r="C8579" s="393"/>
      <c r="E8579" s="394"/>
      <c r="F8579" s="394"/>
      <c r="G8579" s="394"/>
      <c r="I8579" s="368">
        <f t="shared" si="405"/>
        <v>0</v>
      </c>
      <c r="J8579" s="365">
        <f t="shared" si="406"/>
        <v>0</v>
      </c>
      <c r="K8579" s="369">
        <f t="shared" si="407"/>
        <v>6</v>
      </c>
      <c r="L8579" s="369">
        <f>+IF((C8579&gt;='Resultats - informe'!$E$16)*(C8579&lt;='Resultats - informe'!$G$16),1,0)</f>
        <v>1</v>
      </c>
      <c r="M8579" s="369" cm="1">
        <f t="array" ref="M8579">+_xlfn.IFS((C8579&gt;='Resultats - informe'!$D$26)*(C8579&lt;='Resultats - informe'!$E$26),0,(C8579&gt;='Resultats - informe'!$D$27)*(C8579&lt;='Resultats - informe'!$E$27),0,(C8579&gt;='Resultats - informe'!$D$28)*(C8579&lt;='Resultats - informe'!$E$28),0,(C8579&gt;='Resultats - informe'!$D$29)*(C8579&lt;='Resultats - informe'!$E$29),0,1,1)</f>
        <v>0</v>
      </c>
      <c r="N8579" s="366">
        <f>+VLOOKUP(D8579,'Resultats - informe'!$Y$18:$AG$42,'Introducció dades consum'!K8579+1,0)</f>
        <v>0</v>
      </c>
      <c r="O8579" s="370" cm="1">
        <f t="array" ref="O8579">+_xlfn.SWITCH(MONTH(C8579),1,1,2,1,3,1,4,2,5,2,6,3,7,3,8,3,9,3,10,2,11,2,12,1,2)</f>
        <v>1</v>
      </c>
      <c r="P8579" s="43"/>
    </row>
    <row r="8580" spans="1:16" ht="18" x14ac:dyDescent="0.35">
      <c r="A8580" s="43"/>
      <c r="C8580" s="393"/>
      <c r="E8580" s="394"/>
      <c r="F8580" s="394"/>
      <c r="G8580" s="394"/>
      <c r="I8580" s="368">
        <f t="shared" si="405"/>
        <v>0</v>
      </c>
      <c r="J8580" s="365">
        <f t="shared" si="406"/>
        <v>0</v>
      </c>
      <c r="K8580" s="369">
        <f t="shared" si="407"/>
        <v>6</v>
      </c>
      <c r="L8580" s="369">
        <f>+IF((C8580&gt;='Resultats - informe'!$E$16)*(C8580&lt;='Resultats - informe'!$G$16),1,0)</f>
        <v>1</v>
      </c>
      <c r="M8580" s="369" cm="1">
        <f t="array" ref="M8580">+_xlfn.IFS((C8580&gt;='Resultats - informe'!$D$26)*(C8580&lt;='Resultats - informe'!$E$26),0,(C8580&gt;='Resultats - informe'!$D$27)*(C8580&lt;='Resultats - informe'!$E$27),0,(C8580&gt;='Resultats - informe'!$D$28)*(C8580&lt;='Resultats - informe'!$E$28),0,(C8580&gt;='Resultats - informe'!$D$29)*(C8580&lt;='Resultats - informe'!$E$29),0,1,1)</f>
        <v>0</v>
      </c>
      <c r="N8580" s="366">
        <f>+VLOOKUP(D8580,'Resultats - informe'!$Y$18:$AG$42,'Introducció dades consum'!K8580+1,0)</f>
        <v>0</v>
      </c>
      <c r="O8580" s="370" cm="1">
        <f t="array" ref="O8580">+_xlfn.SWITCH(MONTH(C8580),1,1,2,1,3,1,4,2,5,2,6,3,7,3,8,3,9,3,10,2,11,2,12,1,2)</f>
        <v>1</v>
      </c>
      <c r="P8580" s="43"/>
    </row>
    <row r="8581" spans="1:16" ht="18" x14ac:dyDescent="0.35">
      <c r="A8581" s="43"/>
      <c r="C8581" s="393"/>
      <c r="E8581" s="394"/>
      <c r="F8581" s="394"/>
      <c r="G8581" s="394"/>
      <c r="I8581" s="368">
        <f t="shared" si="405"/>
        <v>0</v>
      </c>
      <c r="J8581" s="365">
        <f t="shared" si="406"/>
        <v>0</v>
      </c>
      <c r="K8581" s="369">
        <f t="shared" si="407"/>
        <v>6</v>
      </c>
      <c r="L8581" s="369">
        <f>+IF((C8581&gt;='Resultats - informe'!$E$16)*(C8581&lt;='Resultats - informe'!$G$16),1,0)</f>
        <v>1</v>
      </c>
      <c r="M8581" s="369" cm="1">
        <f t="array" ref="M8581">+_xlfn.IFS((C8581&gt;='Resultats - informe'!$D$26)*(C8581&lt;='Resultats - informe'!$E$26),0,(C8581&gt;='Resultats - informe'!$D$27)*(C8581&lt;='Resultats - informe'!$E$27),0,(C8581&gt;='Resultats - informe'!$D$28)*(C8581&lt;='Resultats - informe'!$E$28),0,(C8581&gt;='Resultats - informe'!$D$29)*(C8581&lt;='Resultats - informe'!$E$29),0,1,1)</f>
        <v>0</v>
      </c>
      <c r="N8581" s="366">
        <f>+VLOOKUP(D8581,'Resultats - informe'!$Y$18:$AG$42,'Introducció dades consum'!K8581+1,0)</f>
        <v>0</v>
      </c>
      <c r="O8581" s="370" cm="1">
        <f t="array" ref="O8581">+_xlfn.SWITCH(MONTH(C8581),1,1,2,1,3,1,4,2,5,2,6,3,7,3,8,3,9,3,10,2,11,2,12,1,2)</f>
        <v>1</v>
      </c>
      <c r="P8581" s="43"/>
    </row>
    <row r="8582" spans="1:16" ht="18" x14ac:dyDescent="0.35">
      <c r="A8582" s="43"/>
      <c r="C8582" s="393"/>
      <c r="E8582" s="394"/>
      <c r="F8582" s="394"/>
      <c r="G8582" s="394"/>
      <c r="I8582" s="368">
        <f t="shared" si="405"/>
        <v>0</v>
      </c>
      <c r="J8582" s="365">
        <f t="shared" si="406"/>
        <v>0</v>
      </c>
      <c r="K8582" s="369">
        <f t="shared" si="407"/>
        <v>6</v>
      </c>
      <c r="L8582" s="369">
        <f>+IF((C8582&gt;='Resultats - informe'!$E$16)*(C8582&lt;='Resultats - informe'!$G$16),1,0)</f>
        <v>1</v>
      </c>
      <c r="M8582" s="369" cm="1">
        <f t="array" ref="M8582">+_xlfn.IFS((C8582&gt;='Resultats - informe'!$D$26)*(C8582&lt;='Resultats - informe'!$E$26),0,(C8582&gt;='Resultats - informe'!$D$27)*(C8582&lt;='Resultats - informe'!$E$27),0,(C8582&gt;='Resultats - informe'!$D$28)*(C8582&lt;='Resultats - informe'!$E$28),0,(C8582&gt;='Resultats - informe'!$D$29)*(C8582&lt;='Resultats - informe'!$E$29),0,1,1)</f>
        <v>0</v>
      </c>
      <c r="N8582" s="366">
        <f>+VLOOKUP(D8582,'Resultats - informe'!$Y$18:$AG$42,'Introducció dades consum'!K8582+1,0)</f>
        <v>0</v>
      </c>
      <c r="O8582" s="370" cm="1">
        <f t="array" ref="O8582">+_xlfn.SWITCH(MONTH(C8582),1,1,2,1,3,1,4,2,5,2,6,3,7,3,8,3,9,3,10,2,11,2,12,1,2)</f>
        <v>1</v>
      </c>
      <c r="P8582" s="43"/>
    </row>
    <row r="8583" spans="1:16" ht="18" x14ac:dyDescent="0.35">
      <c r="A8583" s="43"/>
      <c r="C8583" s="393"/>
      <c r="E8583" s="394"/>
      <c r="F8583" s="394"/>
      <c r="G8583" s="394"/>
      <c r="I8583" s="368">
        <f t="shared" si="405"/>
        <v>0</v>
      </c>
      <c r="J8583" s="365">
        <f t="shared" si="406"/>
        <v>0</v>
      </c>
      <c r="K8583" s="369">
        <f t="shared" si="407"/>
        <v>6</v>
      </c>
      <c r="L8583" s="369">
        <f>+IF((C8583&gt;='Resultats - informe'!$E$16)*(C8583&lt;='Resultats - informe'!$G$16),1,0)</f>
        <v>1</v>
      </c>
      <c r="M8583" s="369" cm="1">
        <f t="array" ref="M8583">+_xlfn.IFS((C8583&gt;='Resultats - informe'!$D$26)*(C8583&lt;='Resultats - informe'!$E$26),0,(C8583&gt;='Resultats - informe'!$D$27)*(C8583&lt;='Resultats - informe'!$E$27),0,(C8583&gt;='Resultats - informe'!$D$28)*(C8583&lt;='Resultats - informe'!$E$28),0,(C8583&gt;='Resultats - informe'!$D$29)*(C8583&lt;='Resultats - informe'!$E$29),0,1,1)</f>
        <v>0</v>
      </c>
      <c r="N8583" s="366">
        <f>+VLOOKUP(D8583,'Resultats - informe'!$Y$18:$AG$42,'Introducció dades consum'!K8583+1,0)</f>
        <v>0</v>
      </c>
      <c r="O8583" s="370" cm="1">
        <f t="array" ref="O8583">+_xlfn.SWITCH(MONTH(C8583),1,1,2,1,3,1,4,2,5,2,6,3,7,3,8,3,9,3,10,2,11,2,12,1,2)</f>
        <v>1</v>
      </c>
      <c r="P8583" s="43"/>
    </row>
    <row r="8584" spans="1:16" ht="18" x14ac:dyDescent="0.35">
      <c r="A8584" s="43"/>
      <c r="C8584" s="393"/>
      <c r="E8584" s="394"/>
      <c r="F8584" s="394"/>
      <c r="G8584" s="394"/>
      <c r="I8584" s="368">
        <f t="shared" si="405"/>
        <v>0</v>
      </c>
      <c r="J8584" s="365">
        <f t="shared" si="406"/>
        <v>0</v>
      </c>
      <c r="K8584" s="369">
        <f t="shared" si="407"/>
        <v>6</v>
      </c>
      <c r="L8584" s="369">
        <f>+IF((C8584&gt;='Resultats - informe'!$E$16)*(C8584&lt;='Resultats - informe'!$G$16),1,0)</f>
        <v>1</v>
      </c>
      <c r="M8584" s="369" cm="1">
        <f t="array" ref="M8584">+_xlfn.IFS((C8584&gt;='Resultats - informe'!$D$26)*(C8584&lt;='Resultats - informe'!$E$26),0,(C8584&gt;='Resultats - informe'!$D$27)*(C8584&lt;='Resultats - informe'!$E$27),0,(C8584&gt;='Resultats - informe'!$D$28)*(C8584&lt;='Resultats - informe'!$E$28),0,(C8584&gt;='Resultats - informe'!$D$29)*(C8584&lt;='Resultats - informe'!$E$29),0,1,1)</f>
        <v>0</v>
      </c>
      <c r="N8584" s="366">
        <f>+VLOOKUP(D8584,'Resultats - informe'!$Y$18:$AG$42,'Introducció dades consum'!K8584+1,0)</f>
        <v>0</v>
      </c>
      <c r="O8584" s="370" cm="1">
        <f t="array" ref="O8584">+_xlfn.SWITCH(MONTH(C8584),1,1,2,1,3,1,4,2,5,2,6,3,7,3,8,3,9,3,10,2,11,2,12,1,2)</f>
        <v>1</v>
      </c>
      <c r="P8584" s="43"/>
    </row>
    <row r="8585" spans="1:16" ht="18" x14ac:dyDescent="0.35">
      <c r="A8585" s="43"/>
      <c r="C8585" s="393"/>
      <c r="E8585" s="394"/>
      <c r="F8585" s="394"/>
      <c r="G8585" s="394"/>
      <c r="I8585" s="368">
        <f t="shared" si="405"/>
        <v>0</v>
      </c>
      <c r="J8585" s="365">
        <f t="shared" si="406"/>
        <v>0</v>
      </c>
      <c r="K8585" s="369">
        <f t="shared" si="407"/>
        <v>6</v>
      </c>
      <c r="L8585" s="369">
        <f>+IF((C8585&gt;='Resultats - informe'!$E$16)*(C8585&lt;='Resultats - informe'!$G$16),1,0)</f>
        <v>1</v>
      </c>
      <c r="M8585" s="369" cm="1">
        <f t="array" ref="M8585">+_xlfn.IFS((C8585&gt;='Resultats - informe'!$D$26)*(C8585&lt;='Resultats - informe'!$E$26),0,(C8585&gt;='Resultats - informe'!$D$27)*(C8585&lt;='Resultats - informe'!$E$27),0,(C8585&gt;='Resultats - informe'!$D$28)*(C8585&lt;='Resultats - informe'!$E$28),0,(C8585&gt;='Resultats - informe'!$D$29)*(C8585&lt;='Resultats - informe'!$E$29),0,1,1)</f>
        <v>0</v>
      </c>
      <c r="N8585" s="366">
        <f>+VLOOKUP(D8585,'Resultats - informe'!$Y$18:$AG$42,'Introducció dades consum'!K8585+1,0)</f>
        <v>0</v>
      </c>
      <c r="O8585" s="370" cm="1">
        <f t="array" ref="O8585">+_xlfn.SWITCH(MONTH(C8585),1,1,2,1,3,1,4,2,5,2,6,3,7,3,8,3,9,3,10,2,11,2,12,1,2)</f>
        <v>1</v>
      </c>
      <c r="P8585" s="43"/>
    </row>
    <row r="8586" spans="1:16" ht="18" x14ac:dyDescent="0.35">
      <c r="A8586" s="43"/>
      <c r="C8586" s="393"/>
      <c r="E8586" s="394"/>
      <c r="F8586" s="394"/>
      <c r="G8586" s="394"/>
      <c r="I8586" s="368">
        <f t="shared" si="405"/>
        <v>0</v>
      </c>
      <c r="J8586" s="365">
        <f t="shared" si="406"/>
        <v>0</v>
      </c>
      <c r="K8586" s="369">
        <f t="shared" si="407"/>
        <v>6</v>
      </c>
      <c r="L8586" s="369">
        <f>+IF((C8586&gt;='Resultats - informe'!$E$16)*(C8586&lt;='Resultats - informe'!$G$16),1,0)</f>
        <v>1</v>
      </c>
      <c r="M8586" s="369" cm="1">
        <f t="array" ref="M8586">+_xlfn.IFS((C8586&gt;='Resultats - informe'!$D$26)*(C8586&lt;='Resultats - informe'!$E$26),0,(C8586&gt;='Resultats - informe'!$D$27)*(C8586&lt;='Resultats - informe'!$E$27),0,(C8586&gt;='Resultats - informe'!$D$28)*(C8586&lt;='Resultats - informe'!$E$28),0,(C8586&gt;='Resultats - informe'!$D$29)*(C8586&lt;='Resultats - informe'!$E$29),0,1,1)</f>
        <v>0</v>
      </c>
      <c r="N8586" s="366">
        <f>+VLOOKUP(D8586,'Resultats - informe'!$Y$18:$AG$42,'Introducció dades consum'!K8586+1,0)</f>
        <v>0</v>
      </c>
      <c r="O8586" s="370" cm="1">
        <f t="array" ref="O8586">+_xlfn.SWITCH(MONTH(C8586),1,1,2,1,3,1,4,2,5,2,6,3,7,3,8,3,9,3,10,2,11,2,12,1,2)</f>
        <v>1</v>
      </c>
      <c r="P8586" s="43"/>
    </row>
    <row r="8587" spans="1:16" ht="18" x14ac:dyDescent="0.35">
      <c r="A8587" s="43"/>
      <c r="C8587" s="393"/>
      <c r="E8587" s="394"/>
      <c r="F8587" s="394"/>
      <c r="G8587" s="394"/>
      <c r="I8587" s="368">
        <f t="shared" si="405"/>
        <v>0</v>
      </c>
      <c r="J8587" s="365">
        <f t="shared" si="406"/>
        <v>0</v>
      </c>
      <c r="K8587" s="369">
        <f t="shared" si="407"/>
        <v>6</v>
      </c>
      <c r="L8587" s="369">
        <f>+IF((C8587&gt;='Resultats - informe'!$E$16)*(C8587&lt;='Resultats - informe'!$G$16),1,0)</f>
        <v>1</v>
      </c>
      <c r="M8587" s="369" cm="1">
        <f t="array" ref="M8587">+_xlfn.IFS((C8587&gt;='Resultats - informe'!$D$26)*(C8587&lt;='Resultats - informe'!$E$26),0,(C8587&gt;='Resultats - informe'!$D$27)*(C8587&lt;='Resultats - informe'!$E$27),0,(C8587&gt;='Resultats - informe'!$D$28)*(C8587&lt;='Resultats - informe'!$E$28),0,(C8587&gt;='Resultats - informe'!$D$29)*(C8587&lt;='Resultats - informe'!$E$29),0,1,1)</f>
        <v>0</v>
      </c>
      <c r="N8587" s="366">
        <f>+VLOOKUP(D8587,'Resultats - informe'!$Y$18:$AG$42,'Introducció dades consum'!K8587+1,0)</f>
        <v>0</v>
      </c>
      <c r="O8587" s="370" cm="1">
        <f t="array" ref="O8587">+_xlfn.SWITCH(MONTH(C8587),1,1,2,1,3,1,4,2,5,2,6,3,7,3,8,3,9,3,10,2,11,2,12,1,2)</f>
        <v>1</v>
      </c>
      <c r="P8587" s="43"/>
    </row>
    <row r="8588" spans="1:16" ht="18" x14ac:dyDescent="0.35">
      <c r="A8588" s="43"/>
      <c r="C8588" s="393"/>
      <c r="E8588" s="394"/>
      <c r="F8588" s="394"/>
      <c r="G8588" s="394"/>
      <c r="I8588" s="368">
        <f t="shared" si="405"/>
        <v>0</v>
      </c>
      <c r="J8588" s="365">
        <f t="shared" si="406"/>
        <v>0</v>
      </c>
      <c r="K8588" s="369">
        <f t="shared" si="407"/>
        <v>6</v>
      </c>
      <c r="L8588" s="369">
        <f>+IF((C8588&gt;='Resultats - informe'!$E$16)*(C8588&lt;='Resultats - informe'!$G$16),1,0)</f>
        <v>1</v>
      </c>
      <c r="M8588" s="369" cm="1">
        <f t="array" ref="M8588">+_xlfn.IFS((C8588&gt;='Resultats - informe'!$D$26)*(C8588&lt;='Resultats - informe'!$E$26),0,(C8588&gt;='Resultats - informe'!$D$27)*(C8588&lt;='Resultats - informe'!$E$27),0,(C8588&gt;='Resultats - informe'!$D$28)*(C8588&lt;='Resultats - informe'!$E$28),0,(C8588&gt;='Resultats - informe'!$D$29)*(C8588&lt;='Resultats - informe'!$E$29),0,1,1)</f>
        <v>0</v>
      </c>
      <c r="N8588" s="366">
        <f>+VLOOKUP(D8588,'Resultats - informe'!$Y$18:$AG$42,'Introducció dades consum'!K8588+1,0)</f>
        <v>0</v>
      </c>
      <c r="O8588" s="370" cm="1">
        <f t="array" ref="O8588">+_xlfn.SWITCH(MONTH(C8588),1,1,2,1,3,1,4,2,5,2,6,3,7,3,8,3,9,3,10,2,11,2,12,1,2)</f>
        <v>1</v>
      </c>
      <c r="P8588" s="43"/>
    </row>
    <row r="8589" spans="1:16" ht="18" x14ac:dyDescent="0.35">
      <c r="A8589" s="43"/>
      <c r="C8589" s="393"/>
      <c r="E8589" s="394"/>
      <c r="F8589" s="394"/>
      <c r="G8589" s="394"/>
      <c r="I8589" s="368">
        <f t="shared" si="405"/>
        <v>0</v>
      </c>
      <c r="J8589" s="365">
        <f t="shared" si="406"/>
        <v>0</v>
      </c>
      <c r="K8589" s="369">
        <f t="shared" si="407"/>
        <v>6</v>
      </c>
      <c r="L8589" s="369">
        <f>+IF((C8589&gt;='Resultats - informe'!$E$16)*(C8589&lt;='Resultats - informe'!$G$16),1,0)</f>
        <v>1</v>
      </c>
      <c r="M8589" s="369" cm="1">
        <f t="array" ref="M8589">+_xlfn.IFS((C8589&gt;='Resultats - informe'!$D$26)*(C8589&lt;='Resultats - informe'!$E$26),0,(C8589&gt;='Resultats - informe'!$D$27)*(C8589&lt;='Resultats - informe'!$E$27),0,(C8589&gt;='Resultats - informe'!$D$28)*(C8589&lt;='Resultats - informe'!$E$28),0,(C8589&gt;='Resultats - informe'!$D$29)*(C8589&lt;='Resultats - informe'!$E$29),0,1,1)</f>
        <v>0</v>
      </c>
      <c r="N8589" s="366">
        <f>+VLOOKUP(D8589,'Resultats - informe'!$Y$18:$AG$42,'Introducció dades consum'!K8589+1,0)</f>
        <v>0</v>
      </c>
      <c r="O8589" s="370" cm="1">
        <f t="array" ref="O8589">+_xlfn.SWITCH(MONTH(C8589),1,1,2,1,3,1,4,2,5,2,6,3,7,3,8,3,9,3,10,2,11,2,12,1,2)</f>
        <v>1</v>
      </c>
      <c r="P8589" s="43"/>
    </row>
    <row r="8590" spans="1:16" ht="18" x14ac:dyDescent="0.35">
      <c r="A8590" s="43"/>
      <c r="C8590" s="393"/>
      <c r="E8590" s="394"/>
      <c r="F8590" s="394"/>
      <c r="G8590" s="394"/>
      <c r="I8590" s="368">
        <f t="shared" si="405"/>
        <v>0</v>
      </c>
      <c r="J8590" s="365">
        <f t="shared" si="406"/>
        <v>0</v>
      </c>
      <c r="K8590" s="369">
        <f t="shared" si="407"/>
        <v>6</v>
      </c>
      <c r="L8590" s="369">
        <f>+IF((C8590&gt;='Resultats - informe'!$E$16)*(C8590&lt;='Resultats - informe'!$G$16),1,0)</f>
        <v>1</v>
      </c>
      <c r="M8590" s="369" cm="1">
        <f t="array" ref="M8590">+_xlfn.IFS((C8590&gt;='Resultats - informe'!$D$26)*(C8590&lt;='Resultats - informe'!$E$26),0,(C8590&gt;='Resultats - informe'!$D$27)*(C8590&lt;='Resultats - informe'!$E$27),0,(C8590&gt;='Resultats - informe'!$D$28)*(C8590&lt;='Resultats - informe'!$E$28),0,(C8590&gt;='Resultats - informe'!$D$29)*(C8590&lt;='Resultats - informe'!$E$29),0,1,1)</f>
        <v>0</v>
      </c>
      <c r="N8590" s="366">
        <f>+VLOOKUP(D8590,'Resultats - informe'!$Y$18:$AG$42,'Introducció dades consum'!K8590+1,0)</f>
        <v>0</v>
      </c>
      <c r="O8590" s="370" cm="1">
        <f t="array" ref="O8590">+_xlfn.SWITCH(MONTH(C8590),1,1,2,1,3,1,4,2,5,2,6,3,7,3,8,3,9,3,10,2,11,2,12,1,2)</f>
        <v>1</v>
      </c>
      <c r="P8590" s="43"/>
    </row>
    <row r="8591" spans="1:16" ht="18" x14ac:dyDescent="0.35">
      <c r="A8591" s="43"/>
      <c r="C8591" s="393"/>
      <c r="E8591" s="394"/>
      <c r="F8591" s="394"/>
      <c r="G8591" s="394"/>
      <c r="I8591" s="368">
        <f t="shared" si="405"/>
        <v>0</v>
      </c>
      <c r="J8591" s="365">
        <f t="shared" si="406"/>
        <v>0</v>
      </c>
      <c r="K8591" s="369">
        <f t="shared" si="407"/>
        <v>6</v>
      </c>
      <c r="L8591" s="369">
        <f>+IF((C8591&gt;='Resultats - informe'!$E$16)*(C8591&lt;='Resultats - informe'!$G$16),1,0)</f>
        <v>1</v>
      </c>
      <c r="M8591" s="369" cm="1">
        <f t="array" ref="M8591">+_xlfn.IFS((C8591&gt;='Resultats - informe'!$D$26)*(C8591&lt;='Resultats - informe'!$E$26),0,(C8591&gt;='Resultats - informe'!$D$27)*(C8591&lt;='Resultats - informe'!$E$27),0,(C8591&gt;='Resultats - informe'!$D$28)*(C8591&lt;='Resultats - informe'!$E$28),0,(C8591&gt;='Resultats - informe'!$D$29)*(C8591&lt;='Resultats - informe'!$E$29),0,1,1)</f>
        <v>0</v>
      </c>
      <c r="N8591" s="366">
        <f>+VLOOKUP(D8591,'Resultats - informe'!$Y$18:$AG$42,'Introducció dades consum'!K8591+1,0)</f>
        <v>0</v>
      </c>
      <c r="O8591" s="370" cm="1">
        <f t="array" ref="O8591">+_xlfn.SWITCH(MONTH(C8591),1,1,2,1,3,1,4,2,5,2,6,3,7,3,8,3,9,3,10,2,11,2,12,1,2)</f>
        <v>1</v>
      </c>
      <c r="P8591" s="43"/>
    </row>
    <row r="8592" spans="1:16" ht="18" x14ac:dyDescent="0.35">
      <c r="A8592" s="43"/>
      <c r="C8592" s="393"/>
      <c r="E8592" s="394"/>
      <c r="F8592" s="394"/>
      <c r="G8592" s="394"/>
      <c r="I8592" s="368">
        <f t="shared" si="405"/>
        <v>0</v>
      </c>
      <c r="J8592" s="365">
        <f t="shared" si="406"/>
        <v>0</v>
      </c>
      <c r="K8592" s="369">
        <f t="shared" si="407"/>
        <v>6</v>
      </c>
      <c r="L8592" s="369">
        <f>+IF((C8592&gt;='Resultats - informe'!$E$16)*(C8592&lt;='Resultats - informe'!$G$16),1,0)</f>
        <v>1</v>
      </c>
      <c r="M8592" s="369" cm="1">
        <f t="array" ref="M8592">+_xlfn.IFS((C8592&gt;='Resultats - informe'!$D$26)*(C8592&lt;='Resultats - informe'!$E$26),0,(C8592&gt;='Resultats - informe'!$D$27)*(C8592&lt;='Resultats - informe'!$E$27),0,(C8592&gt;='Resultats - informe'!$D$28)*(C8592&lt;='Resultats - informe'!$E$28),0,(C8592&gt;='Resultats - informe'!$D$29)*(C8592&lt;='Resultats - informe'!$E$29),0,1,1)</f>
        <v>0</v>
      </c>
      <c r="N8592" s="366">
        <f>+VLOOKUP(D8592,'Resultats - informe'!$Y$18:$AG$42,'Introducció dades consum'!K8592+1,0)</f>
        <v>0</v>
      </c>
      <c r="O8592" s="370" cm="1">
        <f t="array" ref="O8592">+_xlfn.SWITCH(MONTH(C8592),1,1,2,1,3,1,4,2,5,2,6,3,7,3,8,3,9,3,10,2,11,2,12,1,2)</f>
        <v>1</v>
      </c>
      <c r="P8592" s="43"/>
    </row>
    <row r="8593" spans="1:16" ht="18" x14ac:dyDescent="0.35">
      <c r="A8593" s="43"/>
      <c r="C8593" s="393"/>
      <c r="E8593" s="394"/>
      <c r="F8593" s="394"/>
      <c r="G8593" s="394"/>
      <c r="I8593" s="368">
        <f t="shared" si="405"/>
        <v>0</v>
      </c>
      <c r="J8593" s="365">
        <f t="shared" si="406"/>
        <v>0</v>
      </c>
      <c r="K8593" s="369">
        <f t="shared" si="407"/>
        <v>6</v>
      </c>
      <c r="L8593" s="369">
        <f>+IF((C8593&gt;='Resultats - informe'!$E$16)*(C8593&lt;='Resultats - informe'!$G$16),1,0)</f>
        <v>1</v>
      </c>
      <c r="M8593" s="369" cm="1">
        <f t="array" ref="M8593">+_xlfn.IFS((C8593&gt;='Resultats - informe'!$D$26)*(C8593&lt;='Resultats - informe'!$E$26),0,(C8593&gt;='Resultats - informe'!$D$27)*(C8593&lt;='Resultats - informe'!$E$27),0,(C8593&gt;='Resultats - informe'!$D$28)*(C8593&lt;='Resultats - informe'!$E$28),0,(C8593&gt;='Resultats - informe'!$D$29)*(C8593&lt;='Resultats - informe'!$E$29),0,1,1)</f>
        <v>0</v>
      </c>
      <c r="N8593" s="366">
        <f>+VLOOKUP(D8593,'Resultats - informe'!$Y$18:$AG$42,'Introducció dades consum'!K8593+1,0)</f>
        <v>0</v>
      </c>
      <c r="O8593" s="370" cm="1">
        <f t="array" ref="O8593">+_xlfn.SWITCH(MONTH(C8593),1,1,2,1,3,1,4,2,5,2,6,3,7,3,8,3,9,3,10,2,11,2,12,1,2)</f>
        <v>1</v>
      </c>
      <c r="P8593" s="43"/>
    </row>
    <row r="8594" spans="1:16" ht="18" x14ac:dyDescent="0.35">
      <c r="A8594" s="43"/>
      <c r="C8594" s="393"/>
      <c r="E8594" s="394"/>
      <c r="F8594" s="394"/>
      <c r="G8594" s="394"/>
      <c r="I8594" s="368">
        <f t="shared" ref="I8594:I8657" si="408">+E8594+G8594</f>
        <v>0</v>
      </c>
      <c r="J8594" s="365">
        <f t="shared" ref="J8594:J8657" si="409">+C8594</f>
        <v>0</v>
      </c>
      <c r="K8594" s="369">
        <f t="shared" ref="K8594:K8657" si="410">+WEEKDAY(C8594,2)</f>
        <v>6</v>
      </c>
      <c r="L8594" s="369">
        <f>+IF((C8594&gt;='Resultats - informe'!$E$16)*(C8594&lt;='Resultats - informe'!$G$16),1,0)</f>
        <v>1</v>
      </c>
      <c r="M8594" s="369" cm="1">
        <f t="array" ref="M8594">+_xlfn.IFS((C8594&gt;='Resultats - informe'!$D$26)*(C8594&lt;='Resultats - informe'!$E$26),0,(C8594&gt;='Resultats - informe'!$D$27)*(C8594&lt;='Resultats - informe'!$E$27),0,(C8594&gt;='Resultats - informe'!$D$28)*(C8594&lt;='Resultats - informe'!$E$28),0,(C8594&gt;='Resultats - informe'!$D$29)*(C8594&lt;='Resultats - informe'!$E$29),0,1,1)</f>
        <v>0</v>
      </c>
      <c r="N8594" s="366">
        <f>+VLOOKUP(D8594,'Resultats - informe'!$Y$18:$AG$42,'Introducció dades consum'!K8594+1,0)</f>
        <v>0</v>
      </c>
      <c r="O8594" s="370" cm="1">
        <f t="array" ref="O8594">+_xlfn.SWITCH(MONTH(C8594),1,1,2,1,3,1,4,2,5,2,6,3,7,3,8,3,9,3,10,2,11,2,12,1,2)</f>
        <v>1</v>
      </c>
      <c r="P8594" s="43"/>
    </row>
    <row r="8595" spans="1:16" ht="18" x14ac:dyDescent="0.35">
      <c r="A8595" s="43"/>
      <c r="C8595" s="393"/>
      <c r="E8595" s="394"/>
      <c r="F8595" s="394"/>
      <c r="G8595" s="394"/>
      <c r="I8595" s="368">
        <f t="shared" si="408"/>
        <v>0</v>
      </c>
      <c r="J8595" s="365">
        <f t="shared" si="409"/>
        <v>0</v>
      </c>
      <c r="K8595" s="369">
        <f t="shared" si="410"/>
        <v>6</v>
      </c>
      <c r="L8595" s="369">
        <f>+IF((C8595&gt;='Resultats - informe'!$E$16)*(C8595&lt;='Resultats - informe'!$G$16),1,0)</f>
        <v>1</v>
      </c>
      <c r="M8595" s="369" cm="1">
        <f t="array" ref="M8595">+_xlfn.IFS((C8595&gt;='Resultats - informe'!$D$26)*(C8595&lt;='Resultats - informe'!$E$26),0,(C8595&gt;='Resultats - informe'!$D$27)*(C8595&lt;='Resultats - informe'!$E$27),0,(C8595&gt;='Resultats - informe'!$D$28)*(C8595&lt;='Resultats - informe'!$E$28),0,(C8595&gt;='Resultats - informe'!$D$29)*(C8595&lt;='Resultats - informe'!$E$29),0,1,1)</f>
        <v>0</v>
      </c>
      <c r="N8595" s="366">
        <f>+VLOOKUP(D8595,'Resultats - informe'!$Y$18:$AG$42,'Introducció dades consum'!K8595+1,0)</f>
        <v>0</v>
      </c>
      <c r="O8595" s="370" cm="1">
        <f t="array" ref="O8595">+_xlfn.SWITCH(MONTH(C8595),1,1,2,1,3,1,4,2,5,2,6,3,7,3,8,3,9,3,10,2,11,2,12,1,2)</f>
        <v>1</v>
      </c>
      <c r="P8595" s="43"/>
    </row>
    <row r="8596" spans="1:16" ht="18" x14ac:dyDescent="0.35">
      <c r="A8596" s="43"/>
      <c r="C8596" s="393"/>
      <c r="E8596" s="394"/>
      <c r="F8596" s="394"/>
      <c r="G8596" s="394"/>
      <c r="I8596" s="368">
        <f t="shared" si="408"/>
        <v>0</v>
      </c>
      <c r="J8596" s="365">
        <f t="shared" si="409"/>
        <v>0</v>
      </c>
      <c r="K8596" s="369">
        <f t="shared" si="410"/>
        <v>6</v>
      </c>
      <c r="L8596" s="369">
        <f>+IF((C8596&gt;='Resultats - informe'!$E$16)*(C8596&lt;='Resultats - informe'!$G$16),1,0)</f>
        <v>1</v>
      </c>
      <c r="M8596" s="369" cm="1">
        <f t="array" ref="M8596">+_xlfn.IFS((C8596&gt;='Resultats - informe'!$D$26)*(C8596&lt;='Resultats - informe'!$E$26),0,(C8596&gt;='Resultats - informe'!$D$27)*(C8596&lt;='Resultats - informe'!$E$27),0,(C8596&gt;='Resultats - informe'!$D$28)*(C8596&lt;='Resultats - informe'!$E$28),0,(C8596&gt;='Resultats - informe'!$D$29)*(C8596&lt;='Resultats - informe'!$E$29),0,1,1)</f>
        <v>0</v>
      </c>
      <c r="N8596" s="366">
        <f>+VLOOKUP(D8596,'Resultats - informe'!$Y$18:$AG$42,'Introducció dades consum'!K8596+1,0)</f>
        <v>0</v>
      </c>
      <c r="O8596" s="370" cm="1">
        <f t="array" ref="O8596">+_xlfn.SWITCH(MONTH(C8596),1,1,2,1,3,1,4,2,5,2,6,3,7,3,8,3,9,3,10,2,11,2,12,1,2)</f>
        <v>1</v>
      </c>
      <c r="P8596" s="43"/>
    </row>
    <row r="8597" spans="1:16" ht="18" x14ac:dyDescent="0.35">
      <c r="A8597" s="43"/>
      <c r="C8597" s="393"/>
      <c r="E8597" s="394"/>
      <c r="F8597" s="394"/>
      <c r="G8597" s="394"/>
      <c r="I8597" s="368">
        <f t="shared" si="408"/>
        <v>0</v>
      </c>
      <c r="J8597" s="365">
        <f t="shared" si="409"/>
        <v>0</v>
      </c>
      <c r="K8597" s="369">
        <f t="shared" si="410"/>
        <v>6</v>
      </c>
      <c r="L8597" s="369">
        <f>+IF((C8597&gt;='Resultats - informe'!$E$16)*(C8597&lt;='Resultats - informe'!$G$16),1,0)</f>
        <v>1</v>
      </c>
      <c r="M8597" s="369" cm="1">
        <f t="array" ref="M8597">+_xlfn.IFS((C8597&gt;='Resultats - informe'!$D$26)*(C8597&lt;='Resultats - informe'!$E$26),0,(C8597&gt;='Resultats - informe'!$D$27)*(C8597&lt;='Resultats - informe'!$E$27),0,(C8597&gt;='Resultats - informe'!$D$28)*(C8597&lt;='Resultats - informe'!$E$28),0,(C8597&gt;='Resultats - informe'!$D$29)*(C8597&lt;='Resultats - informe'!$E$29),0,1,1)</f>
        <v>0</v>
      </c>
      <c r="N8597" s="366">
        <f>+VLOOKUP(D8597,'Resultats - informe'!$Y$18:$AG$42,'Introducció dades consum'!K8597+1,0)</f>
        <v>0</v>
      </c>
      <c r="O8597" s="370" cm="1">
        <f t="array" ref="O8597">+_xlfn.SWITCH(MONTH(C8597),1,1,2,1,3,1,4,2,5,2,6,3,7,3,8,3,9,3,10,2,11,2,12,1,2)</f>
        <v>1</v>
      </c>
      <c r="P8597" s="43"/>
    </row>
    <row r="8598" spans="1:16" ht="18" x14ac:dyDescent="0.35">
      <c r="A8598" s="43"/>
      <c r="C8598" s="393"/>
      <c r="E8598" s="394"/>
      <c r="F8598" s="394"/>
      <c r="G8598" s="394"/>
      <c r="I8598" s="368">
        <f t="shared" si="408"/>
        <v>0</v>
      </c>
      <c r="J8598" s="365">
        <f t="shared" si="409"/>
        <v>0</v>
      </c>
      <c r="K8598" s="369">
        <f t="shared" si="410"/>
        <v>6</v>
      </c>
      <c r="L8598" s="369">
        <f>+IF((C8598&gt;='Resultats - informe'!$E$16)*(C8598&lt;='Resultats - informe'!$G$16),1,0)</f>
        <v>1</v>
      </c>
      <c r="M8598" s="369" cm="1">
        <f t="array" ref="M8598">+_xlfn.IFS((C8598&gt;='Resultats - informe'!$D$26)*(C8598&lt;='Resultats - informe'!$E$26),0,(C8598&gt;='Resultats - informe'!$D$27)*(C8598&lt;='Resultats - informe'!$E$27),0,(C8598&gt;='Resultats - informe'!$D$28)*(C8598&lt;='Resultats - informe'!$E$28),0,(C8598&gt;='Resultats - informe'!$D$29)*(C8598&lt;='Resultats - informe'!$E$29),0,1,1)</f>
        <v>0</v>
      </c>
      <c r="N8598" s="366">
        <f>+VLOOKUP(D8598,'Resultats - informe'!$Y$18:$AG$42,'Introducció dades consum'!K8598+1,0)</f>
        <v>0</v>
      </c>
      <c r="O8598" s="370" cm="1">
        <f t="array" ref="O8598">+_xlfn.SWITCH(MONTH(C8598),1,1,2,1,3,1,4,2,5,2,6,3,7,3,8,3,9,3,10,2,11,2,12,1,2)</f>
        <v>1</v>
      </c>
      <c r="P8598" s="43"/>
    </row>
    <row r="8599" spans="1:16" ht="18" x14ac:dyDescent="0.35">
      <c r="A8599" s="43"/>
      <c r="C8599" s="393"/>
      <c r="E8599" s="394"/>
      <c r="F8599" s="394"/>
      <c r="G8599" s="394"/>
      <c r="I8599" s="368">
        <f t="shared" si="408"/>
        <v>0</v>
      </c>
      <c r="J8599" s="365">
        <f t="shared" si="409"/>
        <v>0</v>
      </c>
      <c r="K8599" s="369">
        <f t="shared" si="410"/>
        <v>6</v>
      </c>
      <c r="L8599" s="369">
        <f>+IF((C8599&gt;='Resultats - informe'!$E$16)*(C8599&lt;='Resultats - informe'!$G$16),1,0)</f>
        <v>1</v>
      </c>
      <c r="M8599" s="369" cm="1">
        <f t="array" ref="M8599">+_xlfn.IFS((C8599&gt;='Resultats - informe'!$D$26)*(C8599&lt;='Resultats - informe'!$E$26),0,(C8599&gt;='Resultats - informe'!$D$27)*(C8599&lt;='Resultats - informe'!$E$27),0,(C8599&gt;='Resultats - informe'!$D$28)*(C8599&lt;='Resultats - informe'!$E$28),0,(C8599&gt;='Resultats - informe'!$D$29)*(C8599&lt;='Resultats - informe'!$E$29),0,1,1)</f>
        <v>0</v>
      </c>
      <c r="N8599" s="366">
        <f>+VLOOKUP(D8599,'Resultats - informe'!$Y$18:$AG$42,'Introducció dades consum'!K8599+1,0)</f>
        <v>0</v>
      </c>
      <c r="O8599" s="370" cm="1">
        <f t="array" ref="O8599">+_xlfn.SWITCH(MONTH(C8599),1,1,2,1,3,1,4,2,5,2,6,3,7,3,8,3,9,3,10,2,11,2,12,1,2)</f>
        <v>1</v>
      </c>
      <c r="P8599" s="43"/>
    </row>
    <row r="8600" spans="1:16" ht="18" x14ac:dyDescent="0.35">
      <c r="A8600" s="43"/>
      <c r="C8600" s="393"/>
      <c r="E8600" s="394"/>
      <c r="F8600" s="394"/>
      <c r="G8600" s="394"/>
      <c r="I8600" s="368">
        <f t="shared" si="408"/>
        <v>0</v>
      </c>
      <c r="J8600" s="365">
        <f t="shared" si="409"/>
        <v>0</v>
      </c>
      <c r="K8600" s="369">
        <f t="shared" si="410"/>
        <v>6</v>
      </c>
      <c r="L8600" s="369">
        <f>+IF((C8600&gt;='Resultats - informe'!$E$16)*(C8600&lt;='Resultats - informe'!$G$16),1,0)</f>
        <v>1</v>
      </c>
      <c r="M8600" s="369" cm="1">
        <f t="array" ref="M8600">+_xlfn.IFS((C8600&gt;='Resultats - informe'!$D$26)*(C8600&lt;='Resultats - informe'!$E$26),0,(C8600&gt;='Resultats - informe'!$D$27)*(C8600&lt;='Resultats - informe'!$E$27),0,(C8600&gt;='Resultats - informe'!$D$28)*(C8600&lt;='Resultats - informe'!$E$28),0,(C8600&gt;='Resultats - informe'!$D$29)*(C8600&lt;='Resultats - informe'!$E$29),0,1,1)</f>
        <v>0</v>
      </c>
      <c r="N8600" s="366">
        <f>+VLOOKUP(D8600,'Resultats - informe'!$Y$18:$AG$42,'Introducció dades consum'!K8600+1,0)</f>
        <v>0</v>
      </c>
      <c r="O8600" s="370" cm="1">
        <f t="array" ref="O8600">+_xlfn.SWITCH(MONTH(C8600),1,1,2,1,3,1,4,2,5,2,6,3,7,3,8,3,9,3,10,2,11,2,12,1,2)</f>
        <v>1</v>
      </c>
      <c r="P8600" s="43"/>
    </row>
    <row r="8601" spans="1:16" ht="18" x14ac:dyDescent="0.35">
      <c r="A8601" s="43"/>
      <c r="C8601" s="393"/>
      <c r="E8601" s="394"/>
      <c r="F8601" s="394"/>
      <c r="G8601" s="394"/>
      <c r="I8601" s="368">
        <f t="shared" si="408"/>
        <v>0</v>
      </c>
      <c r="J8601" s="365">
        <f t="shared" si="409"/>
        <v>0</v>
      </c>
      <c r="K8601" s="369">
        <f t="shared" si="410"/>
        <v>6</v>
      </c>
      <c r="L8601" s="369">
        <f>+IF((C8601&gt;='Resultats - informe'!$E$16)*(C8601&lt;='Resultats - informe'!$G$16),1,0)</f>
        <v>1</v>
      </c>
      <c r="M8601" s="369" cm="1">
        <f t="array" ref="M8601">+_xlfn.IFS((C8601&gt;='Resultats - informe'!$D$26)*(C8601&lt;='Resultats - informe'!$E$26),0,(C8601&gt;='Resultats - informe'!$D$27)*(C8601&lt;='Resultats - informe'!$E$27),0,(C8601&gt;='Resultats - informe'!$D$28)*(C8601&lt;='Resultats - informe'!$E$28),0,(C8601&gt;='Resultats - informe'!$D$29)*(C8601&lt;='Resultats - informe'!$E$29),0,1,1)</f>
        <v>0</v>
      </c>
      <c r="N8601" s="366">
        <f>+VLOOKUP(D8601,'Resultats - informe'!$Y$18:$AG$42,'Introducció dades consum'!K8601+1,0)</f>
        <v>0</v>
      </c>
      <c r="O8601" s="370" cm="1">
        <f t="array" ref="O8601">+_xlfn.SWITCH(MONTH(C8601),1,1,2,1,3,1,4,2,5,2,6,3,7,3,8,3,9,3,10,2,11,2,12,1,2)</f>
        <v>1</v>
      </c>
      <c r="P8601" s="43"/>
    </row>
    <row r="8602" spans="1:16" ht="18" x14ac:dyDescent="0.35">
      <c r="A8602" s="43"/>
      <c r="C8602" s="393"/>
      <c r="E8602" s="394"/>
      <c r="F8602" s="394"/>
      <c r="G8602" s="394"/>
      <c r="I8602" s="368">
        <f t="shared" si="408"/>
        <v>0</v>
      </c>
      <c r="J8602" s="365">
        <f t="shared" si="409"/>
        <v>0</v>
      </c>
      <c r="K8602" s="369">
        <f t="shared" si="410"/>
        <v>6</v>
      </c>
      <c r="L8602" s="369">
        <f>+IF((C8602&gt;='Resultats - informe'!$E$16)*(C8602&lt;='Resultats - informe'!$G$16),1,0)</f>
        <v>1</v>
      </c>
      <c r="M8602" s="369" cm="1">
        <f t="array" ref="M8602">+_xlfn.IFS((C8602&gt;='Resultats - informe'!$D$26)*(C8602&lt;='Resultats - informe'!$E$26),0,(C8602&gt;='Resultats - informe'!$D$27)*(C8602&lt;='Resultats - informe'!$E$27),0,(C8602&gt;='Resultats - informe'!$D$28)*(C8602&lt;='Resultats - informe'!$E$28),0,(C8602&gt;='Resultats - informe'!$D$29)*(C8602&lt;='Resultats - informe'!$E$29),0,1,1)</f>
        <v>0</v>
      </c>
      <c r="N8602" s="366">
        <f>+VLOOKUP(D8602,'Resultats - informe'!$Y$18:$AG$42,'Introducció dades consum'!K8602+1,0)</f>
        <v>0</v>
      </c>
      <c r="O8602" s="370" cm="1">
        <f t="array" ref="O8602">+_xlfn.SWITCH(MONTH(C8602),1,1,2,1,3,1,4,2,5,2,6,3,7,3,8,3,9,3,10,2,11,2,12,1,2)</f>
        <v>1</v>
      </c>
      <c r="P8602" s="43"/>
    </row>
    <row r="8603" spans="1:16" ht="18" x14ac:dyDescent="0.35">
      <c r="A8603" s="43"/>
      <c r="C8603" s="393"/>
      <c r="E8603" s="394"/>
      <c r="F8603" s="394"/>
      <c r="G8603" s="394"/>
      <c r="I8603" s="368">
        <f t="shared" si="408"/>
        <v>0</v>
      </c>
      <c r="J8603" s="365">
        <f t="shared" si="409"/>
        <v>0</v>
      </c>
      <c r="K8603" s="369">
        <f t="shared" si="410"/>
        <v>6</v>
      </c>
      <c r="L8603" s="369">
        <f>+IF((C8603&gt;='Resultats - informe'!$E$16)*(C8603&lt;='Resultats - informe'!$G$16),1,0)</f>
        <v>1</v>
      </c>
      <c r="M8603" s="369" cm="1">
        <f t="array" ref="M8603">+_xlfn.IFS((C8603&gt;='Resultats - informe'!$D$26)*(C8603&lt;='Resultats - informe'!$E$26),0,(C8603&gt;='Resultats - informe'!$D$27)*(C8603&lt;='Resultats - informe'!$E$27),0,(C8603&gt;='Resultats - informe'!$D$28)*(C8603&lt;='Resultats - informe'!$E$28),0,(C8603&gt;='Resultats - informe'!$D$29)*(C8603&lt;='Resultats - informe'!$E$29),0,1,1)</f>
        <v>0</v>
      </c>
      <c r="N8603" s="366">
        <f>+VLOOKUP(D8603,'Resultats - informe'!$Y$18:$AG$42,'Introducció dades consum'!K8603+1,0)</f>
        <v>0</v>
      </c>
      <c r="O8603" s="370" cm="1">
        <f t="array" ref="O8603">+_xlfn.SWITCH(MONTH(C8603),1,1,2,1,3,1,4,2,5,2,6,3,7,3,8,3,9,3,10,2,11,2,12,1,2)</f>
        <v>1</v>
      </c>
      <c r="P8603" s="43"/>
    </row>
    <row r="8604" spans="1:16" ht="18" x14ac:dyDescent="0.35">
      <c r="A8604" s="43"/>
      <c r="C8604" s="393"/>
      <c r="E8604" s="394"/>
      <c r="F8604" s="394"/>
      <c r="G8604" s="394"/>
      <c r="I8604" s="368">
        <f t="shared" si="408"/>
        <v>0</v>
      </c>
      <c r="J8604" s="365">
        <f t="shared" si="409"/>
        <v>0</v>
      </c>
      <c r="K8604" s="369">
        <f t="shared" si="410"/>
        <v>6</v>
      </c>
      <c r="L8604" s="369">
        <f>+IF((C8604&gt;='Resultats - informe'!$E$16)*(C8604&lt;='Resultats - informe'!$G$16),1,0)</f>
        <v>1</v>
      </c>
      <c r="M8604" s="369" cm="1">
        <f t="array" ref="M8604">+_xlfn.IFS((C8604&gt;='Resultats - informe'!$D$26)*(C8604&lt;='Resultats - informe'!$E$26),0,(C8604&gt;='Resultats - informe'!$D$27)*(C8604&lt;='Resultats - informe'!$E$27),0,(C8604&gt;='Resultats - informe'!$D$28)*(C8604&lt;='Resultats - informe'!$E$28),0,(C8604&gt;='Resultats - informe'!$D$29)*(C8604&lt;='Resultats - informe'!$E$29),0,1,1)</f>
        <v>0</v>
      </c>
      <c r="N8604" s="366">
        <f>+VLOOKUP(D8604,'Resultats - informe'!$Y$18:$AG$42,'Introducció dades consum'!K8604+1,0)</f>
        <v>0</v>
      </c>
      <c r="O8604" s="370" cm="1">
        <f t="array" ref="O8604">+_xlfn.SWITCH(MONTH(C8604),1,1,2,1,3,1,4,2,5,2,6,3,7,3,8,3,9,3,10,2,11,2,12,1,2)</f>
        <v>1</v>
      </c>
      <c r="P8604" s="43"/>
    </row>
    <row r="8605" spans="1:16" ht="18" x14ac:dyDescent="0.35">
      <c r="A8605" s="43"/>
      <c r="C8605" s="393"/>
      <c r="E8605" s="394"/>
      <c r="F8605" s="394"/>
      <c r="G8605" s="394"/>
      <c r="I8605" s="368">
        <f t="shared" si="408"/>
        <v>0</v>
      </c>
      <c r="J8605" s="365">
        <f t="shared" si="409"/>
        <v>0</v>
      </c>
      <c r="K8605" s="369">
        <f t="shared" si="410"/>
        <v>6</v>
      </c>
      <c r="L8605" s="369">
        <f>+IF((C8605&gt;='Resultats - informe'!$E$16)*(C8605&lt;='Resultats - informe'!$G$16),1,0)</f>
        <v>1</v>
      </c>
      <c r="M8605" s="369" cm="1">
        <f t="array" ref="M8605">+_xlfn.IFS((C8605&gt;='Resultats - informe'!$D$26)*(C8605&lt;='Resultats - informe'!$E$26),0,(C8605&gt;='Resultats - informe'!$D$27)*(C8605&lt;='Resultats - informe'!$E$27),0,(C8605&gt;='Resultats - informe'!$D$28)*(C8605&lt;='Resultats - informe'!$E$28),0,(C8605&gt;='Resultats - informe'!$D$29)*(C8605&lt;='Resultats - informe'!$E$29),0,1,1)</f>
        <v>0</v>
      </c>
      <c r="N8605" s="366">
        <f>+VLOOKUP(D8605,'Resultats - informe'!$Y$18:$AG$42,'Introducció dades consum'!K8605+1,0)</f>
        <v>0</v>
      </c>
      <c r="O8605" s="370" cm="1">
        <f t="array" ref="O8605">+_xlfn.SWITCH(MONTH(C8605),1,1,2,1,3,1,4,2,5,2,6,3,7,3,8,3,9,3,10,2,11,2,12,1,2)</f>
        <v>1</v>
      </c>
      <c r="P8605" s="43"/>
    </row>
    <row r="8606" spans="1:16" ht="18" x14ac:dyDescent="0.35">
      <c r="A8606" s="43"/>
      <c r="C8606" s="393"/>
      <c r="E8606" s="394"/>
      <c r="F8606" s="394"/>
      <c r="G8606" s="394"/>
      <c r="I8606" s="368">
        <f t="shared" si="408"/>
        <v>0</v>
      </c>
      <c r="J8606" s="365">
        <f t="shared" si="409"/>
        <v>0</v>
      </c>
      <c r="K8606" s="369">
        <f t="shared" si="410"/>
        <v>6</v>
      </c>
      <c r="L8606" s="369">
        <f>+IF((C8606&gt;='Resultats - informe'!$E$16)*(C8606&lt;='Resultats - informe'!$G$16),1,0)</f>
        <v>1</v>
      </c>
      <c r="M8606" s="369" cm="1">
        <f t="array" ref="M8606">+_xlfn.IFS((C8606&gt;='Resultats - informe'!$D$26)*(C8606&lt;='Resultats - informe'!$E$26),0,(C8606&gt;='Resultats - informe'!$D$27)*(C8606&lt;='Resultats - informe'!$E$27),0,(C8606&gt;='Resultats - informe'!$D$28)*(C8606&lt;='Resultats - informe'!$E$28),0,(C8606&gt;='Resultats - informe'!$D$29)*(C8606&lt;='Resultats - informe'!$E$29),0,1,1)</f>
        <v>0</v>
      </c>
      <c r="N8606" s="366">
        <f>+VLOOKUP(D8606,'Resultats - informe'!$Y$18:$AG$42,'Introducció dades consum'!K8606+1,0)</f>
        <v>0</v>
      </c>
      <c r="O8606" s="370" cm="1">
        <f t="array" ref="O8606">+_xlfn.SWITCH(MONTH(C8606),1,1,2,1,3,1,4,2,5,2,6,3,7,3,8,3,9,3,10,2,11,2,12,1,2)</f>
        <v>1</v>
      </c>
      <c r="P8606" s="43"/>
    </row>
    <row r="8607" spans="1:16" ht="18" x14ac:dyDescent="0.35">
      <c r="A8607" s="43"/>
      <c r="C8607" s="393"/>
      <c r="E8607" s="394"/>
      <c r="F8607" s="394"/>
      <c r="G8607" s="394"/>
      <c r="I8607" s="368">
        <f t="shared" si="408"/>
        <v>0</v>
      </c>
      <c r="J8607" s="365">
        <f t="shared" si="409"/>
        <v>0</v>
      </c>
      <c r="K8607" s="369">
        <f t="shared" si="410"/>
        <v>6</v>
      </c>
      <c r="L8607" s="369">
        <f>+IF((C8607&gt;='Resultats - informe'!$E$16)*(C8607&lt;='Resultats - informe'!$G$16),1,0)</f>
        <v>1</v>
      </c>
      <c r="M8607" s="369" cm="1">
        <f t="array" ref="M8607">+_xlfn.IFS((C8607&gt;='Resultats - informe'!$D$26)*(C8607&lt;='Resultats - informe'!$E$26),0,(C8607&gt;='Resultats - informe'!$D$27)*(C8607&lt;='Resultats - informe'!$E$27),0,(C8607&gt;='Resultats - informe'!$D$28)*(C8607&lt;='Resultats - informe'!$E$28),0,(C8607&gt;='Resultats - informe'!$D$29)*(C8607&lt;='Resultats - informe'!$E$29),0,1,1)</f>
        <v>0</v>
      </c>
      <c r="N8607" s="366">
        <f>+VLOOKUP(D8607,'Resultats - informe'!$Y$18:$AG$42,'Introducció dades consum'!K8607+1,0)</f>
        <v>0</v>
      </c>
      <c r="O8607" s="370" cm="1">
        <f t="array" ref="O8607">+_xlfn.SWITCH(MONTH(C8607),1,1,2,1,3,1,4,2,5,2,6,3,7,3,8,3,9,3,10,2,11,2,12,1,2)</f>
        <v>1</v>
      </c>
      <c r="P8607" s="43"/>
    </row>
    <row r="8608" spans="1:16" ht="18" x14ac:dyDescent="0.35">
      <c r="A8608" s="43"/>
      <c r="C8608" s="393"/>
      <c r="E8608" s="394"/>
      <c r="F8608" s="394"/>
      <c r="G8608" s="394"/>
      <c r="I8608" s="368">
        <f t="shared" si="408"/>
        <v>0</v>
      </c>
      <c r="J8608" s="365">
        <f t="shared" si="409"/>
        <v>0</v>
      </c>
      <c r="K8608" s="369">
        <f t="shared" si="410"/>
        <v>6</v>
      </c>
      <c r="L8608" s="369">
        <f>+IF((C8608&gt;='Resultats - informe'!$E$16)*(C8608&lt;='Resultats - informe'!$G$16),1,0)</f>
        <v>1</v>
      </c>
      <c r="M8608" s="369" cm="1">
        <f t="array" ref="M8608">+_xlfn.IFS((C8608&gt;='Resultats - informe'!$D$26)*(C8608&lt;='Resultats - informe'!$E$26),0,(C8608&gt;='Resultats - informe'!$D$27)*(C8608&lt;='Resultats - informe'!$E$27),0,(C8608&gt;='Resultats - informe'!$D$28)*(C8608&lt;='Resultats - informe'!$E$28),0,(C8608&gt;='Resultats - informe'!$D$29)*(C8608&lt;='Resultats - informe'!$E$29),0,1,1)</f>
        <v>0</v>
      </c>
      <c r="N8608" s="366">
        <f>+VLOOKUP(D8608,'Resultats - informe'!$Y$18:$AG$42,'Introducció dades consum'!K8608+1,0)</f>
        <v>0</v>
      </c>
      <c r="O8608" s="370" cm="1">
        <f t="array" ref="O8608">+_xlfn.SWITCH(MONTH(C8608),1,1,2,1,3,1,4,2,5,2,6,3,7,3,8,3,9,3,10,2,11,2,12,1,2)</f>
        <v>1</v>
      </c>
      <c r="P8608" s="43"/>
    </row>
    <row r="8609" spans="1:16" ht="18" x14ac:dyDescent="0.35">
      <c r="A8609" s="43"/>
      <c r="C8609" s="393"/>
      <c r="E8609" s="394"/>
      <c r="F8609" s="394"/>
      <c r="G8609" s="394"/>
      <c r="I8609" s="368">
        <f t="shared" si="408"/>
        <v>0</v>
      </c>
      <c r="J8609" s="365">
        <f t="shared" si="409"/>
        <v>0</v>
      </c>
      <c r="K8609" s="369">
        <f t="shared" si="410"/>
        <v>6</v>
      </c>
      <c r="L8609" s="369">
        <f>+IF((C8609&gt;='Resultats - informe'!$E$16)*(C8609&lt;='Resultats - informe'!$G$16),1,0)</f>
        <v>1</v>
      </c>
      <c r="M8609" s="369" cm="1">
        <f t="array" ref="M8609">+_xlfn.IFS((C8609&gt;='Resultats - informe'!$D$26)*(C8609&lt;='Resultats - informe'!$E$26),0,(C8609&gt;='Resultats - informe'!$D$27)*(C8609&lt;='Resultats - informe'!$E$27),0,(C8609&gt;='Resultats - informe'!$D$28)*(C8609&lt;='Resultats - informe'!$E$28),0,(C8609&gt;='Resultats - informe'!$D$29)*(C8609&lt;='Resultats - informe'!$E$29),0,1,1)</f>
        <v>0</v>
      </c>
      <c r="N8609" s="366">
        <f>+VLOOKUP(D8609,'Resultats - informe'!$Y$18:$AG$42,'Introducció dades consum'!K8609+1,0)</f>
        <v>0</v>
      </c>
      <c r="O8609" s="370" cm="1">
        <f t="array" ref="O8609">+_xlfn.SWITCH(MONTH(C8609),1,1,2,1,3,1,4,2,5,2,6,3,7,3,8,3,9,3,10,2,11,2,12,1,2)</f>
        <v>1</v>
      </c>
      <c r="P8609" s="43"/>
    </row>
    <row r="8610" spans="1:16" ht="18" x14ac:dyDescent="0.35">
      <c r="A8610" s="43"/>
      <c r="C8610" s="393"/>
      <c r="E8610" s="394"/>
      <c r="F8610" s="394"/>
      <c r="G8610" s="394"/>
      <c r="I8610" s="368">
        <f t="shared" si="408"/>
        <v>0</v>
      </c>
      <c r="J8610" s="365">
        <f t="shared" si="409"/>
        <v>0</v>
      </c>
      <c r="K8610" s="369">
        <f t="shared" si="410"/>
        <v>6</v>
      </c>
      <c r="L8610" s="369">
        <f>+IF((C8610&gt;='Resultats - informe'!$E$16)*(C8610&lt;='Resultats - informe'!$G$16),1,0)</f>
        <v>1</v>
      </c>
      <c r="M8610" s="369" cm="1">
        <f t="array" ref="M8610">+_xlfn.IFS((C8610&gt;='Resultats - informe'!$D$26)*(C8610&lt;='Resultats - informe'!$E$26),0,(C8610&gt;='Resultats - informe'!$D$27)*(C8610&lt;='Resultats - informe'!$E$27),0,(C8610&gt;='Resultats - informe'!$D$28)*(C8610&lt;='Resultats - informe'!$E$28),0,(C8610&gt;='Resultats - informe'!$D$29)*(C8610&lt;='Resultats - informe'!$E$29),0,1,1)</f>
        <v>0</v>
      </c>
      <c r="N8610" s="366">
        <f>+VLOOKUP(D8610,'Resultats - informe'!$Y$18:$AG$42,'Introducció dades consum'!K8610+1,0)</f>
        <v>0</v>
      </c>
      <c r="O8610" s="370" cm="1">
        <f t="array" ref="O8610">+_xlfn.SWITCH(MONTH(C8610),1,1,2,1,3,1,4,2,5,2,6,3,7,3,8,3,9,3,10,2,11,2,12,1,2)</f>
        <v>1</v>
      </c>
      <c r="P8610" s="43"/>
    </row>
    <row r="8611" spans="1:16" ht="18" x14ac:dyDescent="0.35">
      <c r="A8611" s="43"/>
      <c r="C8611" s="393"/>
      <c r="E8611" s="394"/>
      <c r="F8611" s="394"/>
      <c r="G8611" s="394"/>
      <c r="I8611" s="368">
        <f t="shared" si="408"/>
        <v>0</v>
      </c>
      <c r="J8611" s="365">
        <f t="shared" si="409"/>
        <v>0</v>
      </c>
      <c r="K8611" s="369">
        <f t="shared" si="410"/>
        <v>6</v>
      </c>
      <c r="L8611" s="369">
        <f>+IF((C8611&gt;='Resultats - informe'!$E$16)*(C8611&lt;='Resultats - informe'!$G$16),1,0)</f>
        <v>1</v>
      </c>
      <c r="M8611" s="369" cm="1">
        <f t="array" ref="M8611">+_xlfn.IFS((C8611&gt;='Resultats - informe'!$D$26)*(C8611&lt;='Resultats - informe'!$E$26),0,(C8611&gt;='Resultats - informe'!$D$27)*(C8611&lt;='Resultats - informe'!$E$27),0,(C8611&gt;='Resultats - informe'!$D$28)*(C8611&lt;='Resultats - informe'!$E$28),0,(C8611&gt;='Resultats - informe'!$D$29)*(C8611&lt;='Resultats - informe'!$E$29),0,1,1)</f>
        <v>0</v>
      </c>
      <c r="N8611" s="366">
        <f>+VLOOKUP(D8611,'Resultats - informe'!$Y$18:$AG$42,'Introducció dades consum'!K8611+1,0)</f>
        <v>0</v>
      </c>
      <c r="O8611" s="370" cm="1">
        <f t="array" ref="O8611">+_xlfn.SWITCH(MONTH(C8611),1,1,2,1,3,1,4,2,5,2,6,3,7,3,8,3,9,3,10,2,11,2,12,1,2)</f>
        <v>1</v>
      </c>
      <c r="P8611" s="43"/>
    </row>
    <row r="8612" spans="1:16" ht="18" x14ac:dyDescent="0.35">
      <c r="A8612" s="43"/>
      <c r="C8612" s="393"/>
      <c r="E8612" s="394"/>
      <c r="F8612" s="394"/>
      <c r="G8612" s="394"/>
      <c r="I8612" s="368">
        <f t="shared" si="408"/>
        <v>0</v>
      </c>
      <c r="J8612" s="365">
        <f t="shared" si="409"/>
        <v>0</v>
      </c>
      <c r="K8612" s="369">
        <f t="shared" si="410"/>
        <v>6</v>
      </c>
      <c r="L8612" s="369">
        <f>+IF((C8612&gt;='Resultats - informe'!$E$16)*(C8612&lt;='Resultats - informe'!$G$16),1,0)</f>
        <v>1</v>
      </c>
      <c r="M8612" s="369" cm="1">
        <f t="array" ref="M8612">+_xlfn.IFS((C8612&gt;='Resultats - informe'!$D$26)*(C8612&lt;='Resultats - informe'!$E$26),0,(C8612&gt;='Resultats - informe'!$D$27)*(C8612&lt;='Resultats - informe'!$E$27),0,(C8612&gt;='Resultats - informe'!$D$28)*(C8612&lt;='Resultats - informe'!$E$28),0,(C8612&gt;='Resultats - informe'!$D$29)*(C8612&lt;='Resultats - informe'!$E$29),0,1,1)</f>
        <v>0</v>
      </c>
      <c r="N8612" s="366">
        <f>+VLOOKUP(D8612,'Resultats - informe'!$Y$18:$AG$42,'Introducció dades consum'!K8612+1,0)</f>
        <v>0</v>
      </c>
      <c r="O8612" s="370" cm="1">
        <f t="array" ref="O8612">+_xlfn.SWITCH(MONTH(C8612),1,1,2,1,3,1,4,2,5,2,6,3,7,3,8,3,9,3,10,2,11,2,12,1,2)</f>
        <v>1</v>
      </c>
      <c r="P8612" s="43"/>
    </row>
    <row r="8613" spans="1:16" ht="18" x14ac:dyDescent="0.35">
      <c r="A8613" s="43"/>
      <c r="C8613" s="393"/>
      <c r="E8613" s="394"/>
      <c r="F8613" s="394"/>
      <c r="G8613" s="394"/>
      <c r="I8613" s="368">
        <f t="shared" si="408"/>
        <v>0</v>
      </c>
      <c r="J8613" s="365">
        <f t="shared" si="409"/>
        <v>0</v>
      </c>
      <c r="K8613" s="369">
        <f t="shared" si="410"/>
        <v>6</v>
      </c>
      <c r="L8613" s="369">
        <f>+IF((C8613&gt;='Resultats - informe'!$E$16)*(C8613&lt;='Resultats - informe'!$G$16),1,0)</f>
        <v>1</v>
      </c>
      <c r="M8613" s="369" cm="1">
        <f t="array" ref="M8613">+_xlfn.IFS((C8613&gt;='Resultats - informe'!$D$26)*(C8613&lt;='Resultats - informe'!$E$26),0,(C8613&gt;='Resultats - informe'!$D$27)*(C8613&lt;='Resultats - informe'!$E$27),0,(C8613&gt;='Resultats - informe'!$D$28)*(C8613&lt;='Resultats - informe'!$E$28),0,(C8613&gt;='Resultats - informe'!$D$29)*(C8613&lt;='Resultats - informe'!$E$29),0,1,1)</f>
        <v>0</v>
      </c>
      <c r="N8613" s="366">
        <f>+VLOOKUP(D8613,'Resultats - informe'!$Y$18:$AG$42,'Introducció dades consum'!K8613+1,0)</f>
        <v>0</v>
      </c>
      <c r="O8613" s="370" cm="1">
        <f t="array" ref="O8613">+_xlfn.SWITCH(MONTH(C8613),1,1,2,1,3,1,4,2,5,2,6,3,7,3,8,3,9,3,10,2,11,2,12,1,2)</f>
        <v>1</v>
      </c>
      <c r="P8613" s="43"/>
    </row>
    <row r="8614" spans="1:16" ht="18" x14ac:dyDescent="0.35">
      <c r="A8614" s="43"/>
      <c r="C8614" s="393"/>
      <c r="E8614" s="394"/>
      <c r="F8614" s="394"/>
      <c r="G8614" s="394"/>
      <c r="I8614" s="368">
        <f t="shared" si="408"/>
        <v>0</v>
      </c>
      <c r="J8614" s="365">
        <f t="shared" si="409"/>
        <v>0</v>
      </c>
      <c r="K8614" s="369">
        <f t="shared" si="410"/>
        <v>6</v>
      </c>
      <c r="L8614" s="369">
        <f>+IF((C8614&gt;='Resultats - informe'!$E$16)*(C8614&lt;='Resultats - informe'!$G$16),1,0)</f>
        <v>1</v>
      </c>
      <c r="M8614" s="369" cm="1">
        <f t="array" ref="M8614">+_xlfn.IFS((C8614&gt;='Resultats - informe'!$D$26)*(C8614&lt;='Resultats - informe'!$E$26),0,(C8614&gt;='Resultats - informe'!$D$27)*(C8614&lt;='Resultats - informe'!$E$27),0,(C8614&gt;='Resultats - informe'!$D$28)*(C8614&lt;='Resultats - informe'!$E$28),0,(C8614&gt;='Resultats - informe'!$D$29)*(C8614&lt;='Resultats - informe'!$E$29),0,1,1)</f>
        <v>0</v>
      </c>
      <c r="N8614" s="366">
        <f>+VLOOKUP(D8614,'Resultats - informe'!$Y$18:$AG$42,'Introducció dades consum'!K8614+1,0)</f>
        <v>0</v>
      </c>
      <c r="O8614" s="370" cm="1">
        <f t="array" ref="O8614">+_xlfn.SWITCH(MONTH(C8614),1,1,2,1,3,1,4,2,5,2,6,3,7,3,8,3,9,3,10,2,11,2,12,1,2)</f>
        <v>1</v>
      </c>
      <c r="P8614" s="43"/>
    </row>
    <row r="8615" spans="1:16" ht="18" x14ac:dyDescent="0.35">
      <c r="A8615" s="43"/>
      <c r="C8615" s="393"/>
      <c r="E8615" s="394"/>
      <c r="F8615" s="394"/>
      <c r="G8615" s="394"/>
      <c r="I8615" s="368">
        <f t="shared" si="408"/>
        <v>0</v>
      </c>
      <c r="J8615" s="365">
        <f t="shared" si="409"/>
        <v>0</v>
      </c>
      <c r="K8615" s="369">
        <f t="shared" si="410"/>
        <v>6</v>
      </c>
      <c r="L8615" s="369">
        <f>+IF((C8615&gt;='Resultats - informe'!$E$16)*(C8615&lt;='Resultats - informe'!$G$16),1,0)</f>
        <v>1</v>
      </c>
      <c r="M8615" s="369" cm="1">
        <f t="array" ref="M8615">+_xlfn.IFS((C8615&gt;='Resultats - informe'!$D$26)*(C8615&lt;='Resultats - informe'!$E$26),0,(C8615&gt;='Resultats - informe'!$D$27)*(C8615&lt;='Resultats - informe'!$E$27),0,(C8615&gt;='Resultats - informe'!$D$28)*(C8615&lt;='Resultats - informe'!$E$28),0,(C8615&gt;='Resultats - informe'!$D$29)*(C8615&lt;='Resultats - informe'!$E$29),0,1,1)</f>
        <v>0</v>
      </c>
      <c r="N8615" s="366">
        <f>+VLOOKUP(D8615,'Resultats - informe'!$Y$18:$AG$42,'Introducció dades consum'!K8615+1,0)</f>
        <v>0</v>
      </c>
      <c r="O8615" s="370" cm="1">
        <f t="array" ref="O8615">+_xlfn.SWITCH(MONTH(C8615),1,1,2,1,3,1,4,2,5,2,6,3,7,3,8,3,9,3,10,2,11,2,12,1,2)</f>
        <v>1</v>
      </c>
      <c r="P8615" s="43"/>
    </row>
    <row r="8616" spans="1:16" ht="18" x14ac:dyDescent="0.35">
      <c r="A8616" s="43"/>
      <c r="C8616" s="393"/>
      <c r="E8616" s="394"/>
      <c r="F8616" s="394"/>
      <c r="G8616" s="394"/>
      <c r="I8616" s="368">
        <f t="shared" si="408"/>
        <v>0</v>
      </c>
      <c r="J8616" s="365">
        <f t="shared" si="409"/>
        <v>0</v>
      </c>
      <c r="K8616" s="369">
        <f t="shared" si="410"/>
        <v>6</v>
      </c>
      <c r="L8616" s="369">
        <f>+IF((C8616&gt;='Resultats - informe'!$E$16)*(C8616&lt;='Resultats - informe'!$G$16),1,0)</f>
        <v>1</v>
      </c>
      <c r="M8616" s="369" cm="1">
        <f t="array" ref="M8616">+_xlfn.IFS((C8616&gt;='Resultats - informe'!$D$26)*(C8616&lt;='Resultats - informe'!$E$26),0,(C8616&gt;='Resultats - informe'!$D$27)*(C8616&lt;='Resultats - informe'!$E$27),0,(C8616&gt;='Resultats - informe'!$D$28)*(C8616&lt;='Resultats - informe'!$E$28),0,(C8616&gt;='Resultats - informe'!$D$29)*(C8616&lt;='Resultats - informe'!$E$29),0,1,1)</f>
        <v>0</v>
      </c>
      <c r="N8616" s="366">
        <f>+VLOOKUP(D8616,'Resultats - informe'!$Y$18:$AG$42,'Introducció dades consum'!K8616+1,0)</f>
        <v>0</v>
      </c>
      <c r="O8616" s="370" cm="1">
        <f t="array" ref="O8616">+_xlfn.SWITCH(MONTH(C8616),1,1,2,1,3,1,4,2,5,2,6,3,7,3,8,3,9,3,10,2,11,2,12,1,2)</f>
        <v>1</v>
      </c>
      <c r="P8616" s="43"/>
    </row>
    <row r="8617" spans="1:16" ht="18" x14ac:dyDescent="0.35">
      <c r="A8617" s="43"/>
      <c r="C8617" s="393"/>
      <c r="E8617" s="394"/>
      <c r="F8617" s="394"/>
      <c r="G8617" s="394"/>
      <c r="I8617" s="368">
        <f t="shared" si="408"/>
        <v>0</v>
      </c>
      <c r="J8617" s="365">
        <f t="shared" si="409"/>
        <v>0</v>
      </c>
      <c r="K8617" s="369">
        <f t="shared" si="410"/>
        <v>6</v>
      </c>
      <c r="L8617" s="369">
        <f>+IF((C8617&gt;='Resultats - informe'!$E$16)*(C8617&lt;='Resultats - informe'!$G$16),1,0)</f>
        <v>1</v>
      </c>
      <c r="M8617" s="369" cm="1">
        <f t="array" ref="M8617">+_xlfn.IFS((C8617&gt;='Resultats - informe'!$D$26)*(C8617&lt;='Resultats - informe'!$E$26),0,(C8617&gt;='Resultats - informe'!$D$27)*(C8617&lt;='Resultats - informe'!$E$27),0,(C8617&gt;='Resultats - informe'!$D$28)*(C8617&lt;='Resultats - informe'!$E$28),0,(C8617&gt;='Resultats - informe'!$D$29)*(C8617&lt;='Resultats - informe'!$E$29),0,1,1)</f>
        <v>0</v>
      </c>
      <c r="N8617" s="366">
        <f>+VLOOKUP(D8617,'Resultats - informe'!$Y$18:$AG$42,'Introducció dades consum'!K8617+1,0)</f>
        <v>0</v>
      </c>
      <c r="O8617" s="370" cm="1">
        <f t="array" ref="O8617">+_xlfn.SWITCH(MONTH(C8617),1,1,2,1,3,1,4,2,5,2,6,3,7,3,8,3,9,3,10,2,11,2,12,1,2)</f>
        <v>1</v>
      </c>
      <c r="P8617" s="43"/>
    </row>
    <row r="8618" spans="1:16" ht="18" x14ac:dyDescent="0.35">
      <c r="A8618" s="43"/>
      <c r="C8618" s="393"/>
      <c r="E8618" s="394"/>
      <c r="F8618" s="394"/>
      <c r="G8618" s="394"/>
      <c r="I8618" s="368">
        <f t="shared" si="408"/>
        <v>0</v>
      </c>
      <c r="J8618" s="365">
        <f t="shared" si="409"/>
        <v>0</v>
      </c>
      <c r="K8618" s="369">
        <f t="shared" si="410"/>
        <v>6</v>
      </c>
      <c r="L8618" s="369">
        <f>+IF((C8618&gt;='Resultats - informe'!$E$16)*(C8618&lt;='Resultats - informe'!$G$16),1,0)</f>
        <v>1</v>
      </c>
      <c r="M8618" s="369" cm="1">
        <f t="array" ref="M8618">+_xlfn.IFS((C8618&gt;='Resultats - informe'!$D$26)*(C8618&lt;='Resultats - informe'!$E$26),0,(C8618&gt;='Resultats - informe'!$D$27)*(C8618&lt;='Resultats - informe'!$E$27),0,(C8618&gt;='Resultats - informe'!$D$28)*(C8618&lt;='Resultats - informe'!$E$28),0,(C8618&gt;='Resultats - informe'!$D$29)*(C8618&lt;='Resultats - informe'!$E$29),0,1,1)</f>
        <v>0</v>
      </c>
      <c r="N8618" s="366">
        <f>+VLOOKUP(D8618,'Resultats - informe'!$Y$18:$AG$42,'Introducció dades consum'!K8618+1,0)</f>
        <v>0</v>
      </c>
      <c r="O8618" s="370" cm="1">
        <f t="array" ref="O8618">+_xlfn.SWITCH(MONTH(C8618),1,1,2,1,3,1,4,2,5,2,6,3,7,3,8,3,9,3,10,2,11,2,12,1,2)</f>
        <v>1</v>
      </c>
      <c r="P8618" s="43"/>
    </row>
    <row r="8619" spans="1:16" ht="18" x14ac:dyDescent="0.35">
      <c r="A8619" s="43"/>
      <c r="C8619" s="393"/>
      <c r="E8619" s="394"/>
      <c r="F8619" s="394"/>
      <c r="G8619" s="394"/>
      <c r="I8619" s="368">
        <f t="shared" si="408"/>
        <v>0</v>
      </c>
      <c r="J8619" s="365">
        <f t="shared" si="409"/>
        <v>0</v>
      </c>
      <c r="K8619" s="369">
        <f t="shared" si="410"/>
        <v>6</v>
      </c>
      <c r="L8619" s="369">
        <f>+IF((C8619&gt;='Resultats - informe'!$E$16)*(C8619&lt;='Resultats - informe'!$G$16),1,0)</f>
        <v>1</v>
      </c>
      <c r="M8619" s="369" cm="1">
        <f t="array" ref="M8619">+_xlfn.IFS((C8619&gt;='Resultats - informe'!$D$26)*(C8619&lt;='Resultats - informe'!$E$26),0,(C8619&gt;='Resultats - informe'!$D$27)*(C8619&lt;='Resultats - informe'!$E$27),0,(C8619&gt;='Resultats - informe'!$D$28)*(C8619&lt;='Resultats - informe'!$E$28),0,(C8619&gt;='Resultats - informe'!$D$29)*(C8619&lt;='Resultats - informe'!$E$29),0,1,1)</f>
        <v>0</v>
      </c>
      <c r="N8619" s="366">
        <f>+VLOOKUP(D8619,'Resultats - informe'!$Y$18:$AG$42,'Introducció dades consum'!K8619+1,0)</f>
        <v>0</v>
      </c>
      <c r="O8619" s="370" cm="1">
        <f t="array" ref="O8619">+_xlfn.SWITCH(MONTH(C8619),1,1,2,1,3,1,4,2,5,2,6,3,7,3,8,3,9,3,10,2,11,2,12,1,2)</f>
        <v>1</v>
      </c>
      <c r="P8619" s="43"/>
    </row>
    <row r="8620" spans="1:16" ht="18" x14ac:dyDescent="0.35">
      <c r="A8620" s="43"/>
      <c r="C8620" s="393"/>
      <c r="E8620" s="394"/>
      <c r="F8620" s="394"/>
      <c r="G8620" s="394"/>
      <c r="I8620" s="368">
        <f t="shared" si="408"/>
        <v>0</v>
      </c>
      <c r="J8620" s="365">
        <f t="shared" si="409"/>
        <v>0</v>
      </c>
      <c r="K8620" s="369">
        <f t="shared" si="410"/>
        <v>6</v>
      </c>
      <c r="L8620" s="369">
        <f>+IF((C8620&gt;='Resultats - informe'!$E$16)*(C8620&lt;='Resultats - informe'!$G$16),1,0)</f>
        <v>1</v>
      </c>
      <c r="M8620" s="369" cm="1">
        <f t="array" ref="M8620">+_xlfn.IFS((C8620&gt;='Resultats - informe'!$D$26)*(C8620&lt;='Resultats - informe'!$E$26),0,(C8620&gt;='Resultats - informe'!$D$27)*(C8620&lt;='Resultats - informe'!$E$27),0,(C8620&gt;='Resultats - informe'!$D$28)*(C8620&lt;='Resultats - informe'!$E$28),0,(C8620&gt;='Resultats - informe'!$D$29)*(C8620&lt;='Resultats - informe'!$E$29),0,1,1)</f>
        <v>0</v>
      </c>
      <c r="N8620" s="366">
        <f>+VLOOKUP(D8620,'Resultats - informe'!$Y$18:$AG$42,'Introducció dades consum'!K8620+1,0)</f>
        <v>0</v>
      </c>
      <c r="O8620" s="370" cm="1">
        <f t="array" ref="O8620">+_xlfn.SWITCH(MONTH(C8620),1,1,2,1,3,1,4,2,5,2,6,3,7,3,8,3,9,3,10,2,11,2,12,1,2)</f>
        <v>1</v>
      </c>
      <c r="P8620" s="43"/>
    </row>
    <row r="8621" spans="1:16" ht="18" x14ac:dyDescent="0.35">
      <c r="A8621" s="43"/>
      <c r="C8621" s="393"/>
      <c r="E8621" s="394"/>
      <c r="F8621" s="394"/>
      <c r="G8621" s="394"/>
      <c r="I8621" s="368">
        <f t="shared" si="408"/>
        <v>0</v>
      </c>
      <c r="J8621" s="365">
        <f t="shared" si="409"/>
        <v>0</v>
      </c>
      <c r="K8621" s="369">
        <f t="shared" si="410"/>
        <v>6</v>
      </c>
      <c r="L8621" s="369">
        <f>+IF((C8621&gt;='Resultats - informe'!$E$16)*(C8621&lt;='Resultats - informe'!$G$16),1,0)</f>
        <v>1</v>
      </c>
      <c r="M8621" s="369" cm="1">
        <f t="array" ref="M8621">+_xlfn.IFS((C8621&gt;='Resultats - informe'!$D$26)*(C8621&lt;='Resultats - informe'!$E$26),0,(C8621&gt;='Resultats - informe'!$D$27)*(C8621&lt;='Resultats - informe'!$E$27),0,(C8621&gt;='Resultats - informe'!$D$28)*(C8621&lt;='Resultats - informe'!$E$28),0,(C8621&gt;='Resultats - informe'!$D$29)*(C8621&lt;='Resultats - informe'!$E$29),0,1,1)</f>
        <v>0</v>
      </c>
      <c r="N8621" s="366">
        <f>+VLOOKUP(D8621,'Resultats - informe'!$Y$18:$AG$42,'Introducció dades consum'!K8621+1,0)</f>
        <v>0</v>
      </c>
      <c r="O8621" s="370" cm="1">
        <f t="array" ref="O8621">+_xlfn.SWITCH(MONTH(C8621),1,1,2,1,3,1,4,2,5,2,6,3,7,3,8,3,9,3,10,2,11,2,12,1,2)</f>
        <v>1</v>
      </c>
      <c r="P8621" s="43"/>
    </row>
    <row r="8622" spans="1:16" ht="18" x14ac:dyDescent="0.35">
      <c r="A8622" s="43"/>
      <c r="C8622" s="393"/>
      <c r="E8622" s="394"/>
      <c r="F8622" s="394"/>
      <c r="G8622" s="394"/>
      <c r="I8622" s="368">
        <f t="shared" si="408"/>
        <v>0</v>
      </c>
      <c r="J8622" s="365">
        <f t="shared" si="409"/>
        <v>0</v>
      </c>
      <c r="K8622" s="369">
        <f t="shared" si="410"/>
        <v>6</v>
      </c>
      <c r="L8622" s="369">
        <f>+IF((C8622&gt;='Resultats - informe'!$E$16)*(C8622&lt;='Resultats - informe'!$G$16),1,0)</f>
        <v>1</v>
      </c>
      <c r="M8622" s="369" cm="1">
        <f t="array" ref="M8622">+_xlfn.IFS((C8622&gt;='Resultats - informe'!$D$26)*(C8622&lt;='Resultats - informe'!$E$26),0,(C8622&gt;='Resultats - informe'!$D$27)*(C8622&lt;='Resultats - informe'!$E$27),0,(C8622&gt;='Resultats - informe'!$D$28)*(C8622&lt;='Resultats - informe'!$E$28),0,(C8622&gt;='Resultats - informe'!$D$29)*(C8622&lt;='Resultats - informe'!$E$29),0,1,1)</f>
        <v>0</v>
      </c>
      <c r="N8622" s="366">
        <f>+VLOOKUP(D8622,'Resultats - informe'!$Y$18:$AG$42,'Introducció dades consum'!K8622+1,0)</f>
        <v>0</v>
      </c>
      <c r="O8622" s="370" cm="1">
        <f t="array" ref="O8622">+_xlfn.SWITCH(MONTH(C8622),1,1,2,1,3,1,4,2,5,2,6,3,7,3,8,3,9,3,10,2,11,2,12,1,2)</f>
        <v>1</v>
      </c>
      <c r="P8622" s="43"/>
    </row>
    <row r="8623" spans="1:16" ht="18" x14ac:dyDescent="0.35">
      <c r="A8623" s="43"/>
      <c r="C8623" s="393"/>
      <c r="E8623" s="394"/>
      <c r="F8623" s="394"/>
      <c r="G8623" s="394"/>
      <c r="I8623" s="368">
        <f t="shared" si="408"/>
        <v>0</v>
      </c>
      <c r="J8623" s="365">
        <f t="shared" si="409"/>
        <v>0</v>
      </c>
      <c r="K8623" s="369">
        <f t="shared" si="410"/>
        <v>6</v>
      </c>
      <c r="L8623" s="369">
        <f>+IF((C8623&gt;='Resultats - informe'!$E$16)*(C8623&lt;='Resultats - informe'!$G$16),1,0)</f>
        <v>1</v>
      </c>
      <c r="M8623" s="369" cm="1">
        <f t="array" ref="M8623">+_xlfn.IFS((C8623&gt;='Resultats - informe'!$D$26)*(C8623&lt;='Resultats - informe'!$E$26),0,(C8623&gt;='Resultats - informe'!$D$27)*(C8623&lt;='Resultats - informe'!$E$27),0,(C8623&gt;='Resultats - informe'!$D$28)*(C8623&lt;='Resultats - informe'!$E$28),0,(C8623&gt;='Resultats - informe'!$D$29)*(C8623&lt;='Resultats - informe'!$E$29),0,1,1)</f>
        <v>0</v>
      </c>
      <c r="N8623" s="366">
        <f>+VLOOKUP(D8623,'Resultats - informe'!$Y$18:$AG$42,'Introducció dades consum'!K8623+1,0)</f>
        <v>0</v>
      </c>
      <c r="O8623" s="370" cm="1">
        <f t="array" ref="O8623">+_xlfn.SWITCH(MONTH(C8623),1,1,2,1,3,1,4,2,5,2,6,3,7,3,8,3,9,3,10,2,11,2,12,1,2)</f>
        <v>1</v>
      </c>
      <c r="P8623" s="43"/>
    </row>
    <row r="8624" spans="1:16" ht="18" x14ac:dyDescent="0.35">
      <c r="A8624" s="43"/>
      <c r="C8624" s="393"/>
      <c r="E8624" s="394"/>
      <c r="F8624" s="394"/>
      <c r="G8624" s="394"/>
      <c r="I8624" s="368">
        <f t="shared" si="408"/>
        <v>0</v>
      </c>
      <c r="J8624" s="365">
        <f t="shared" si="409"/>
        <v>0</v>
      </c>
      <c r="K8624" s="369">
        <f t="shared" si="410"/>
        <v>6</v>
      </c>
      <c r="L8624" s="369">
        <f>+IF((C8624&gt;='Resultats - informe'!$E$16)*(C8624&lt;='Resultats - informe'!$G$16),1,0)</f>
        <v>1</v>
      </c>
      <c r="M8624" s="369" cm="1">
        <f t="array" ref="M8624">+_xlfn.IFS((C8624&gt;='Resultats - informe'!$D$26)*(C8624&lt;='Resultats - informe'!$E$26),0,(C8624&gt;='Resultats - informe'!$D$27)*(C8624&lt;='Resultats - informe'!$E$27),0,(C8624&gt;='Resultats - informe'!$D$28)*(C8624&lt;='Resultats - informe'!$E$28),0,(C8624&gt;='Resultats - informe'!$D$29)*(C8624&lt;='Resultats - informe'!$E$29),0,1,1)</f>
        <v>0</v>
      </c>
      <c r="N8624" s="366">
        <f>+VLOOKUP(D8624,'Resultats - informe'!$Y$18:$AG$42,'Introducció dades consum'!K8624+1,0)</f>
        <v>0</v>
      </c>
      <c r="O8624" s="370" cm="1">
        <f t="array" ref="O8624">+_xlfn.SWITCH(MONTH(C8624),1,1,2,1,3,1,4,2,5,2,6,3,7,3,8,3,9,3,10,2,11,2,12,1,2)</f>
        <v>1</v>
      </c>
      <c r="P8624" s="43"/>
    </row>
    <row r="8625" spans="1:16" ht="18" x14ac:dyDescent="0.35">
      <c r="A8625" s="43"/>
      <c r="C8625" s="393"/>
      <c r="E8625" s="394"/>
      <c r="F8625" s="394"/>
      <c r="G8625" s="394"/>
      <c r="I8625" s="368">
        <f t="shared" si="408"/>
        <v>0</v>
      </c>
      <c r="J8625" s="365">
        <f t="shared" si="409"/>
        <v>0</v>
      </c>
      <c r="K8625" s="369">
        <f t="shared" si="410"/>
        <v>6</v>
      </c>
      <c r="L8625" s="369">
        <f>+IF((C8625&gt;='Resultats - informe'!$E$16)*(C8625&lt;='Resultats - informe'!$G$16),1,0)</f>
        <v>1</v>
      </c>
      <c r="M8625" s="369" cm="1">
        <f t="array" ref="M8625">+_xlfn.IFS((C8625&gt;='Resultats - informe'!$D$26)*(C8625&lt;='Resultats - informe'!$E$26),0,(C8625&gt;='Resultats - informe'!$D$27)*(C8625&lt;='Resultats - informe'!$E$27),0,(C8625&gt;='Resultats - informe'!$D$28)*(C8625&lt;='Resultats - informe'!$E$28),0,(C8625&gt;='Resultats - informe'!$D$29)*(C8625&lt;='Resultats - informe'!$E$29),0,1,1)</f>
        <v>0</v>
      </c>
      <c r="N8625" s="366">
        <f>+VLOOKUP(D8625,'Resultats - informe'!$Y$18:$AG$42,'Introducció dades consum'!K8625+1,0)</f>
        <v>0</v>
      </c>
      <c r="O8625" s="370" cm="1">
        <f t="array" ref="O8625">+_xlfn.SWITCH(MONTH(C8625),1,1,2,1,3,1,4,2,5,2,6,3,7,3,8,3,9,3,10,2,11,2,12,1,2)</f>
        <v>1</v>
      </c>
      <c r="P8625" s="43"/>
    </row>
    <row r="8626" spans="1:16" ht="18" x14ac:dyDescent="0.35">
      <c r="A8626" s="43"/>
      <c r="C8626" s="393"/>
      <c r="E8626" s="394"/>
      <c r="F8626" s="394"/>
      <c r="G8626" s="394"/>
      <c r="I8626" s="368">
        <f t="shared" si="408"/>
        <v>0</v>
      </c>
      <c r="J8626" s="365">
        <f t="shared" si="409"/>
        <v>0</v>
      </c>
      <c r="K8626" s="369">
        <f t="shared" si="410"/>
        <v>6</v>
      </c>
      <c r="L8626" s="369">
        <f>+IF((C8626&gt;='Resultats - informe'!$E$16)*(C8626&lt;='Resultats - informe'!$G$16),1,0)</f>
        <v>1</v>
      </c>
      <c r="M8626" s="369" cm="1">
        <f t="array" ref="M8626">+_xlfn.IFS((C8626&gt;='Resultats - informe'!$D$26)*(C8626&lt;='Resultats - informe'!$E$26),0,(C8626&gt;='Resultats - informe'!$D$27)*(C8626&lt;='Resultats - informe'!$E$27),0,(C8626&gt;='Resultats - informe'!$D$28)*(C8626&lt;='Resultats - informe'!$E$28),0,(C8626&gt;='Resultats - informe'!$D$29)*(C8626&lt;='Resultats - informe'!$E$29),0,1,1)</f>
        <v>0</v>
      </c>
      <c r="N8626" s="366">
        <f>+VLOOKUP(D8626,'Resultats - informe'!$Y$18:$AG$42,'Introducció dades consum'!K8626+1,0)</f>
        <v>0</v>
      </c>
      <c r="O8626" s="370" cm="1">
        <f t="array" ref="O8626">+_xlfn.SWITCH(MONTH(C8626),1,1,2,1,3,1,4,2,5,2,6,3,7,3,8,3,9,3,10,2,11,2,12,1,2)</f>
        <v>1</v>
      </c>
      <c r="P8626" s="43"/>
    </row>
    <row r="8627" spans="1:16" ht="18" x14ac:dyDescent="0.35">
      <c r="A8627" s="43"/>
      <c r="C8627" s="393"/>
      <c r="E8627" s="394"/>
      <c r="F8627" s="394"/>
      <c r="G8627" s="394"/>
      <c r="I8627" s="368">
        <f t="shared" si="408"/>
        <v>0</v>
      </c>
      <c r="J8627" s="365">
        <f t="shared" si="409"/>
        <v>0</v>
      </c>
      <c r="K8627" s="369">
        <f t="shared" si="410"/>
        <v>6</v>
      </c>
      <c r="L8627" s="369">
        <f>+IF((C8627&gt;='Resultats - informe'!$E$16)*(C8627&lt;='Resultats - informe'!$G$16),1,0)</f>
        <v>1</v>
      </c>
      <c r="M8627" s="369" cm="1">
        <f t="array" ref="M8627">+_xlfn.IFS((C8627&gt;='Resultats - informe'!$D$26)*(C8627&lt;='Resultats - informe'!$E$26),0,(C8627&gt;='Resultats - informe'!$D$27)*(C8627&lt;='Resultats - informe'!$E$27),0,(C8627&gt;='Resultats - informe'!$D$28)*(C8627&lt;='Resultats - informe'!$E$28),0,(C8627&gt;='Resultats - informe'!$D$29)*(C8627&lt;='Resultats - informe'!$E$29),0,1,1)</f>
        <v>0</v>
      </c>
      <c r="N8627" s="366">
        <f>+VLOOKUP(D8627,'Resultats - informe'!$Y$18:$AG$42,'Introducció dades consum'!K8627+1,0)</f>
        <v>0</v>
      </c>
      <c r="O8627" s="370" cm="1">
        <f t="array" ref="O8627">+_xlfn.SWITCH(MONTH(C8627),1,1,2,1,3,1,4,2,5,2,6,3,7,3,8,3,9,3,10,2,11,2,12,1,2)</f>
        <v>1</v>
      </c>
      <c r="P8627" s="43"/>
    </row>
    <row r="8628" spans="1:16" ht="18" x14ac:dyDescent="0.35">
      <c r="A8628" s="43"/>
      <c r="C8628" s="393"/>
      <c r="E8628" s="394"/>
      <c r="F8628" s="394"/>
      <c r="G8628" s="394"/>
      <c r="I8628" s="368">
        <f t="shared" si="408"/>
        <v>0</v>
      </c>
      <c r="J8628" s="365">
        <f t="shared" si="409"/>
        <v>0</v>
      </c>
      <c r="K8628" s="369">
        <f t="shared" si="410"/>
        <v>6</v>
      </c>
      <c r="L8628" s="369">
        <f>+IF((C8628&gt;='Resultats - informe'!$E$16)*(C8628&lt;='Resultats - informe'!$G$16),1,0)</f>
        <v>1</v>
      </c>
      <c r="M8628" s="369" cm="1">
        <f t="array" ref="M8628">+_xlfn.IFS((C8628&gt;='Resultats - informe'!$D$26)*(C8628&lt;='Resultats - informe'!$E$26),0,(C8628&gt;='Resultats - informe'!$D$27)*(C8628&lt;='Resultats - informe'!$E$27),0,(C8628&gt;='Resultats - informe'!$D$28)*(C8628&lt;='Resultats - informe'!$E$28),0,(C8628&gt;='Resultats - informe'!$D$29)*(C8628&lt;='Resultats - informe'!$E$29),0,1,1)</f>
        <v>0</v>
      </c>
      <c r="N8628" s="366">
        <f>+VLOOKUP(D8628,'Resultats - informe'!$Y$18:$AG$42,'Introducció dades consum'!K8628+1,0)</f>
        <v>0</v>
      </c>
      <c r="O8628" s="370" cm="1">
        <f t="array" ref="O8628">+_xlfn.SWITCH(MONTH(C8628),1,1,2,1,3,1,4,2,5,2,6,3,7,3,8,3,9,3,10,2,11,2,12,1,2)</f>
        <v>1</v>
      </c>
      <c r="P8628" s="43"/>
    </row>
    <row r="8629" spans="1:16" ht="18" x14ac:dyDescent="0.35">
      <c r="A8629" s="43"/>
      <c r="C8629" s="393"/>
      <c r="E8629" s="394"/>
      <c r="F8629" s="394"/>
      <c r="G8629" s="394"/>
      <c r="I8629" s="368">
        <f t="shared" si="408"/>
        <v>0</v>
      </c>
      <c r="J8629" s="365">
        <f t="shared" si="409"/>
        <v>0</v>
      </c>
      <c r="K8629" s="369">
        <f t="shared" si="410"/>
        <v>6</v>
      </c>
      <c r="L8629" s="369">
        <f>+IF((C8629&gt;='Resultats - informe'!$E$16)*(C8629&lt;='Resultats - informe'!$G$16),1,0)</f>
        <v>1</v>
      </c>
      <c r="M8629" s="369" cm="1">
        <f t="array" ref="M8629">+_xlfn.IFS((C8629&gt;='Resultats - informe'!$D$26)*(C8629&lt;='Resultats - informe'!$E$26),0,(C8629&gt;='Resultats - informe'!$D$27)*(C8629&lt;='Resultats - informe'!$E$27),0,(C8629&gt;='Resultats - informe'!$D$28)*(C8629&lt;='Resultats - informe'!$E$28),0,(C8629&gt;='Resultats - informe'!$D$29)*(C8629&lt;='Resultats - informe'!$E$29),0,1,1)</f>
        <v>0</v>
      </c>
      <c r="N8629" s="366">
        <f>+VLOOKUP(D8629,'Resultats - informe'!$Y$18:$AG$42,'Introducció dades consum'!K8629+1,0)</f>
        <v>0</v>
      </c>
      <c r="O8629" s="370" cm="1">
        <f t="array" ref="O8629">+_xlfn.SWITCH(MONTH(C8629),1,1,2,1,3,1,4,2,5,2,6,3,7,3,8,3,9,3,10,2,11,2,12,1,2)</f>
        <v>1</v>
      </c>
      <c r="P8629" s="43"/>
    </row>
    <row r="8630" spans="1:16" ht="18" x14ac:dyDescent="0.35">
      <c r="A8630" s="43"/>
      <c r="C8630" s="393"/>
      <c r="E8630" s="394"/>
      <c r="F8630" s="394"/>
      <c r="G8630" s="394"/>
      <c r="I8630" s="368">
        <f t="shared" si="408"/>
        <v>0</v>
      </c>
      <c r="J8630" s="365">
        <f t="shared" si="409"/>
        <v>0</v>
      </c>
      <c r="K8630" s="369">
        <f t="shared" si="410"/>
        <v>6</v>
      </c>
      <c r="L8630" s="369">
        <f>+IF((C8630&gt;='Resultats - informe'!$E$16)*(C8630&lt;='Resultats - informe'!$G$16),1,0)</f>
        <v>1</v>
      </c>
      <c r="M8630" s="369" cm="1">
        <f t="array" ref="M8630">+_xlfn.IFS((C8630&gt;='Resultats - informe'!$D$26)*(C8630&lt;='Resultats - informe'!$E$26),0,(C8630&gt;='Resultats - informe'!$D$27)*(C8630&lt;='Resultats - informe'!$E$27),0,(C8630&gt;='Resultats - informe'!$D$28)*(C8630&lt;='Resultats - informe'!$E$28),0,(C8630&gt;='Resultats - informe'!$D$29)*(C8630&lt;='Resultats - informe'!$E$29),0,1,1)</f>
        <v>0</v>
      </c>
      <c r="N8630" s="366">
        <f>+VLOOKUP(D8630,'Resultats - informe'!$Y$18:$AG$42,'Introducció dades consum'!K8630+1,0)</f>
        <v>0</v>
      </c>
      <c r="O8630" s="370" cm="1">
        <f t="array" ref="O8630">+_xlfn.SWITCH(MONTH(C8630),1,1,2,1,3,1,4,2,5,2,6,3,7,3,8,3,9,3,10,2,11,2,12,1,2)</f>
        <v>1</v>
      </c>
      <c r="P8630" s="43"/>
    </row>
    <row r="8631" spans="1:16" ht="18" x14ac:dyDescent="0.35">
      <c r="A8631" s="43"/>
      <c r="C8631" s="393"/>
      <c r="E8631" s="394"/>
      <c r="F8631" s="394"/>
      <c r="G8631" s="394"/>
      <c r="I8631" s="368">
        <f t="shared" si="408"/>
        <v>0</v>
      </c>
      <c r="J8631" s="365">
        <f t="shared" si="409"/>
        <v>0</v>
      </c>
      <c r="K8631" s="369">
        <f t="shared" si="410"/>
        <v>6</v>
      </c>
      <c r="L8631" s="369">
        <f>+IF((C8631&gt;='Resultats - informe'!$E$16)*(C8631&lt;='Resultats - informe'!$G$16),1,0)</f>
        <v>1</v>
      </c>
      <c r="M8631" s="369" cm="1">
        <f t="array" ref="M8631">+_xlfn.IFS((C8631&gt;='Resultats - informe'!$D$26)*(C8631&lt;='Resultats - informe'!$E$26),0,(C8631&gt;='Resultats - informe'!$D$27)*(C8631&lt;='Resultats - informe'!$E$27),0,(C8631&gt;='Resultats - informe'!$D$28)*(C8631&lt;='Resultats - informe'!$E$28),0,(C8631&gt;='Resultats - informe'!$D$29)*(C8631&lt;='Resultats - informe'!$E$29),0,1,1)</f>
        <v>0</v>
      </c>
      <c r="N8631" s="366">
        <f>+VLOOKUP(D8631,'Resultats - informe'!$Y$18:$AG$42,'Introducció dades consum'!K8631+1,0)</f>
        <v>0</v>
      </c>
      <c r="O8631" s="370" cm="1">
        <f t="array" ref="O8631">+_xlfn.SWITCH(MONTH(C8631),1,1,2,1,3,1,4,2,5,2,6,3,7,3,8,3,9,3,10,2,11,2,12,1,2)</f>
        <v>1</v>
      </c>
      <c r="P8631" s="43"/>
    </row>
    <row r="8632" spans="1:16" ht="18" x14ac:dyDescent="0.35">
      <c r="A8632" s="43"/>
      <c r="C8632" s="393"/>
      <c r="E8632" s="394"/>
      <c r="F8632" s="394"/>
      <c r="G8632" s="394"/>
      <c r="I8632" s="368">
        <f t="shared" si="408"/>
        <v>0</v>
      </c>
      <c r="J8632" s="365">
        <f t="shared" si="409"/>
        <v>0</v>
      </c>
      <c r="K8632" s="369">
        <f t="shared" si="410"/>
        <v>6</v>
      </c>
      <c r="L8632" s="369">
        <f>+IF((C8632&gt;='Resultats - informe'!$E$16)*(C8632&lt;='Resultats - informe'!$G$16),1,0)</f>
        <v>1</v>
      </c>
      <c r="M8632" s="369" cm="1">
        <f t="array" ref="M8632">+_xlfn.IFS((C8632&gt;='Resultats - informe'!$D$26)*(C8632&lt;='Resultats - informe'!$E$26),0,(C8632&gt;='Resultats - informe'!$D$27)*(C8632&lt;='Resultats - informe'!$E$27),0,(C8632&gt;='Resultats - informe'!$D$28)*(C8632&lt;='Resultats - informe'!$E$28),0,(C8632&gt;='Resultats - informe'!$D$29)*(C8632&lt;='Resultats - informe'!$E$29),0,1,1)</f>
        <v>0</v>
      </c>
      <c r="N8632" s="366">
        <f>+VLOOKUP(D8632,'Resultats - informe'!$Y$18:$AG$42,'Introducció dades consum'!K8632+1,0)</f>
        <v>0</v>
      </c>
      <c r="O8632" s="370" cm="1">
        <f t="array" ref="O8632">+_xlfn.SWITCH(MONTH(C8632),1,1,2,1,3,1,4,2,5,2,6,3,7,3,8,3,9,3,10,2,11,2,12,1,2)</f>
        <v>1</v>
      </c>
      <c r="P8632" s="43"/>
    </row>
    <row r="8633" spans="1:16" ht="18" x14ac:dyDescent="0.35">
      <c r="A8633" s="43"/>
      <c r="C8633" s="393"/>
      <c r="E8633" s="394"/>
      <c r="F8633" s="394"/>
      <c r="G8633" s="394"/>
      <c r="I8633" s="368">
        <f t="shared" si="408"/>
        <v>0</v>
      </c>
      <c r="J8633" s="365">
        <f t="shared" si="409"/>
        <v>0</v>
      </c>
      <c r="K8633" s="369">
        <f t="shared" si="410"/>
        <v>6</v>
      </c>
      <c r="L8633" s="369">
        <f>+IF((C8633&gt;='Resultats - informe'!$E$16)*(C8633&lt;='Resultats - informe'!$G$16),1,0)</f>
        <v>1</v>
      </c>
      <c r="M8633" s="369" cm="1">
        <f t="array" ref="M8633">+_xlfn.IFS((C8633&gt;='Resultats - informe'!$D$26)*(C8633&lt;='Resultats - informe'!$E$26),0,(C8633&gt;='Resultats - informe'!$D$27)*(C8633&lt;='Resultats - informe'!$E$27),0,(C8633&gt;='Resultats - informe'!$D$28)*(C8633&lt;='Resultats - informe'!$E$28),0,(C8633&gt;='Resultats - informe'!$D$29)*(C8633&lt;='Resultats - informe'!$E$29),0,1,1)</f>
        <v>0</v>
      </c>
      <c r="N8633" s="366">
        <f>+VLOOKUP(D8633,'Resultats - informe'!$Y$18:$AG$42,'Introducció dades consum'!K8633+1,0)</f>
        <v>0</v>
      </c>
      <c r="O8633" s="370" cm="1">
        <f t="array" ref="O8633">+_xlfn.SWITCH(MONTH(C8633),1,1,2,1,3,1,4,2,5,2,6,3,7,3,8,3,9,3,10,2,11,2,12,1,2)</f>
        <v>1</v>
      </c>
      <c r="P8633" s="43"/>
    </row>
    <row r="8634" spans="1:16" ht="18" x14ac:dyDescent="0.35">
      <c r="A8634" s="43"/>
      <c r="C8634" s="393"/>
      <c r="E8634" s="394"/>
      <c r="F8634" s="394"/>
      <c r="G8634" s="394"/>
      <c r="I8634" s="368">
        <f t="shared" si="408"/>
        <v>0</v>
      </c>
      <c r="J8634" s="365">
        <f t="shared" si="409"/>
        <v>0</v>
      </c>
      <c r="K8634" s="369">
        <f t="shared" si="410"/>
        <v>6</v>
      </c>
      <c r="L8634" s="369">
        <f>+IF((C8634&gt;='Resultats - informe'!$E$16)*(C8634&lt;='Resultats - informe'!$G$16),1,0)</f>
        <v>1</v>
      </c>
      <c r="M8634" s="369" cm="1">
        <f t="array" ref="M8634">+_xlfn.IFS((C8634&gt;='Resultats - informe'!$D$26)*(C8634&lt;='Resultats - informe'!$E$26),0,(C8634&gt;='Resultats - informe'!$D$27)*(C8634&lt;='Resultats - informe'!$E$27),0,(C8634&gt;='Resultats - informe'!$D$28)*(C8634&lt;='Resultats - informe'!$E$28),0,(C8634&gt;='Resultats - informe'!$D$29)*(C8634&lt;='Resultats - informe'!$E$29),0,1,1)</f>
        <v>0</v>
      </c>
      <c r="N8634" s="366">
        <f>+VLOOKUP(D8634,'Resultats - informe'!$Y$18:$AG$42,'Introducció dades consum'!K8634+1,0)</f>
        <v>0</v>
      </c>
      <c r="O8634" s="370" cm="1">
        <f t="array" ref="O8634">+_xlfn.SWITCH(MONTH(C8634),1,1,2,1,3,1,4,2,5,2,6,3,7,3,8,3,9,3,10,2,11,2,12,1,2)</f>
        <v>1</v>
      </c>
      <c r="P8634" s="43"/>
    </row>
    <row r="8635" spans="1:16" ht="18" x14ac:dyDescent="0.35">
      <c r="A8635" s="43"/>
      <c r="C8635" s="393"/>
      <c r="E8635" s="394"/>
      <c r="F8635" s="394"/>
      <c r="G8635" s="394"/>
      <c r="I8635" s="368">
        <f t="shared" si="408"/>
        <v>0</v>
      </c>
      <c r="J8635" s="365">
        <f t="shared" si="409"/>
        <v>0</v>
      </c>
      <c r="K8635" s="369">
        <f t="shared" si="410"/>
        <v>6</v>
      </c>
      <c r="L8635" s="369">
        <f>+IF((C8635&gt;='Resultats - informe'!$E$16)*(C8635&lt;='Resultats - informe'!$G$16),1,0)</f>
        <v>1</v>
      </c>
      <c r="M8635" s="369" cm="1">
        <f t="array" ref="M8635">+_xlfn.IFS((C8635&gt;='Resultats - informe'!$D$26)*(C8635&lt;='Resultats - informe'!$E$26),0,(C8635&gt;='Resultats - informe'!$D$27)*(C8635&lt;='Resultats - informe'!$E$27),0,(C8635&gt;='Resultats - informe'!$D$28)*(C8635&lt;='Resultats - informe'!$E$28),0,(C8635&gt;='Resultats - informe'!$D$29)*(C8635&lt;='Resultats - informe'!$E$29),0,1,1)</f>
        <v>0</v>
      </c>
      <c r="N8635" s="366">
        <f>+VLOOKUP(D8635,'Resultats - informe'!$Y$18:$AG$42,'Introducció dades consum'!K8635+1,0)</f>
        <v>0</v>
      </c>
      <c r="O8635" s="370" cm="1">
        <f t="array" ref="O8635">+_xlfn.SWITCH(MONTH(C8635),1,1,2,1,3,1,4,2,5,2,6,3,7,3,8,3,9,3,10,2,11,2,12,1,2)</f>
        <v>1</v>
      </c>
      <c r="P8635" s="43"/>
    </row>
    <row r="8636" spans="1:16" ht="18" x14ac:dyDescent="0.35">
      <c r="A8636" s="43"/>
      <c r="C8636" s="393"/>
      <c r="E8636" s="394"/>
      <c r="F8636" s="394"/>
      <c r="G8636" s="394"/>
      <c r="I8636" s="368">
        <f t="shared" si="408"/>
        <v>0</v>
      </c>
      <c r="J8636" s="365">
        <f t="shared" si="409"/>
        <v>0</v>
      </c>
      <c r="K8636" s="369">
        <f t="shared" si="410"/>
        <v>6</v>
      </c>
      <c r="L8636" s="369">
        <f>+IF((C8636&gt;='Resultats - informe'!$E$16)*(C8636&lt;='Resultats - informe'!$G$16),1,0)</f>
        <v>1</v>
      </c>
      <c r="M8636" s="369" cm="1">
        <f t="array" ref="M8636">+_xlfn.IFS((C8636&gt;='Resultats - informe'!$D$26)*(C8636&lt;='Resultats - informe'!$E$26),0,(C8636&gt;='Resultats - informe'!$D$27)*(C8636&lt;='Resultats - informe'!$E$27),0,(C8636&gt;='Resultats - informe'!$D$28)*(C8636&lt;='Resultats - informe'!$E$28),0,(C8636&gt;='Resultats - informe'!$D$29)*(C8636&lt;='Resultats - informe'!$E$29),0,1,1)</f>
        <v>0</v>
      </c>
      <c r="N8636" s="366">
        <f>+VLOOKUP(D8636,'Resultats - informe'!$Y$18:$AG$42,'Introducció dades consum'!K8636+1,0)</f>
        <v>0</v>
      </c>
      <c r="O8636" s="370" cm="1">
        <f t="array" ref="O8636">+_xlfn.SWITCH(MONTH(C8636),1,1,2,1,3,1,4,2,5,2,6,3,7,3,8,3,9,3,10,2,11,2,12,1,2)</f>
        <v>1</v>
      </c>
      <c r="P8636" s="43"/>
    </row>
    <row r="8637" spans="1:16" ht="18" x14ac:dyDescent="0.35">
      <c r="A8637" s="43"/>
      <c r="C8637" s="393"/>
      <c r="E8637" s="394"/>
      <c r="F8637" s="394"/>
      <c r="G8637" s="394"/>
      <c r="I8637" s="368">
        <f t="shared" si="408"/>
        <v>0</v>
      </c>
      <c r="J8637" s="365">
        <f t="shared" si="409"/>
        <v>0</v>
      </c>
      <c r="K8637" s="369">
        <f t="shared" si="410"/>
        <v>6</v>
      </c>
      <c r="L8637" s="369">
        <f>+IF((C8637&gt;='Resultats - informe'!$E$16)*(C8637&lt;='Resultats - informe'!$G$16),1,0)</f>
        <v>1</v>
      </c>
      <c r="M8637" s="369" cm="1">
        <f t="array" ref="M8637">+_xlfn.IFS((C8637&gt;='Resultats - informe'!$D$26)*(C8637&lt;='Resultats - informe'!$E$26),0,(C8637&gt;='Resultats - informe'!$D$27)*(C8637&lt;='Resultats - informe'!$E$27),0,(C8637&gt;='Resultats - informe'!$D$28)*(C8637&lt;='Resultats - informe'!$E$28),0,(C8637&gt;='Resultats - informe'!$D$29)*(C8637&lt;='Resultats - informe'!$E$29),0,1,1)</f>
        <v>0</v>
      </c>
      <c r="N8637" s="366">
        <f>+VLOOKUP(D8637,'Resultats - informe'!$Y$18:$AG$42,'Introducció dades consum'!K8637+1,0)</f>
        <v>0</v>
      </c>
      <c r="O8637" s="370" cm="1">
        <f t="array" ref="O8637">+_xlfn.SWITCH(MONTH(C8637),1,1,2,1,3,1,4,2,5,2,6,3,7,3,8,3,9,3,10,2,11,2,12,1,2)</f>
        <v>1</v>
      </c>
      <c r="P8637" s="43"/>
    </row>
    <row r="8638" spans="1:16" ht="18" x14ac:dyDescent="0.35">
      <c r="A8638" s="43"/>
      <c r="C8638" s="393"/>
      <c r="E8638" s="394"/>
      <c r="F8638" s="394"/>
      <c r="G8638" s="394"/>
      <c r="I8638" s="368">
        <f t="shared" si="408"/>
        <v>0</v>
      </c>
      <c r="J8638" s="365">
        <f t="shared" si="409"/>
        <v>0</v>
      </c>
      <c r="K8638" s="369">
        <f t="shared" si="410"/>
        <v>6</v>
      </c>
      <c r="L8638" s="369">
        <f>+IF((C8638&gt;='Resultats - informe'!$E$16)*(C8638&lt;='Resultats - informe'!$G$16),1,0)</f>
        <v>1</v>
      </c>
      <c r="M8638" s="369" cm="1">
        <f t="array" ref="M8638">+_xlfn.IFS((C8638&gt;='Resultats - informe'!$D$26)*(C8638&lt;='Resultats - informe'!$E$26),0,(C8638&gt;='Resultats - informe'!$D$27)*(C8638&lt;='Resultats - informe'!$E$27),0,(C8638&gt;='Resultats - informe'!$D$28)*(C8638&lt;='Resultats - informe'!$E$28),0,(C8638&gt;='Resultats - informe'!$D$29)*(C8638&lt;='Resultats - informe'!$E$29),0,1,1)</f>
        <v>0</v>
      </c>
      <c r="N8638" s="366">
        <f>+VLOOKUP(D8638,'Resultats - informe'!$Y$18:$AG$42,'Introducció dades consum'!K8638+1,0)</f>
        <v>0</v>
      </c>
      <c r="O8638" s="370" cm="1">
        <f t="array" ref="O8638">+_xlfn.SWITCH(MONTH(C8638),1,1,2,1,3,1,4,2,5,2,6,3,7,3,8,3,9,3,10,2,11,2,12,1,2)</f>
        <v>1</v>
      </c>
      <c r="P8638" s="43"/>
    </row>
    <row r="8639" spans="1:16" ht="18" x14ac:dyDescent="0.35">
      <c r="A8639" s="43"/>
      <c r="C8639" s="393"/>
      <c r="E8639" s="394"/>
      <c r="F8639" s="394"/>
      <c r="G8639" s="394"/>
      <c r="I8639" s="368">
        <f t="shared" si="408"/>
        <v>0</v>
      </c>
      <c r="J8639" s="365">
        <f t="shared" si="409"/>
        <v>0</v>
      </c>
      <c r="K8639" s="369">
        <f t="shared" si="410"/>
        <v>6</v>
      </c>
      <c r="L8639" s="369">
        <f>+IF((C8639&gt;='Resultats - informe'!$E$16)*(C8639&lt;='Resultats - informe'!$G$16),1,0)</f>
        <v>1</v>
      </c>
      <c r="M8639" s="369" cm="1">
        <f t="array" ref="M8639">+_xlfn.IFS((C8639&gt;='Resultats - informe'!$D$26)*(C8639&lt;='Resultats - informe'!$E$26),0,(C8639&gt;='Resultats - informe'!$D$27)*(C8639&lt;='Resultats - informe'!$E$27),0,(C8639&gt;='Resultats - informe'!$D$28)*(C8639&lt;='Resultats - informe'!$E$28),0,(C8639&gt;='Resultats - informe'!$D$29)*(C8639&lt;='Resultats - informe'!$E$29),0,1,1)</f>
        <v>0</v>
      </c>
      <c r="N8639" s="366">
        <f>+VLOOKUP(D8639,'Resultats - informe'!$Y$18:$AG$42,'Introducció dades consum'!K8639+1,0)</f>
        <v>0</v>
      </c>
      <c r="O8639" s="370" cm="1">
        <f t="array" ref="O8639">+_xlfn.SWITCH(MONTH(C8639),1,1,2,1,3,1,4,2,5,2,6,3,7,3,8,3,9,3,10,2,11,2,12,1,2)</f>
        <v>1</v>
      </c>
      <c r="P8639" s="43"/>
    </row>
    <row r="8640" spans="1:16" ht="18" x14ac:dyDescent="0.35">
      <c r="A8640" s="43"/>
      <c r="C8640" s="393"/>
      <c r="E8640" s="394"/>
      <c r="F8640" s="394"/>
      <c r="G8640" s="394"/>
      <c r="I8640" s="368">
        <f t="shared" si="408"/>
        <v>0</v>
      </c>
      <c r="J8640" s="365">
        <f t="shared" si="409"/>
        <v>0</v>
      </c>
      <c r="K8640" s="369">
        <f t="shared" si="410"/>
        <v>6</v>
      </c>
      <c r="L8640" s="369">
        <f>+IF((C8640&gt;='Resultats - informe'!$E$16)*(C8640&lt;='Resultats - informe'!$G$16),1,0)</f>
        <v>1</v>
      </c>
      <c r="M8640" s="369" cm="1">
        <f t="array" ref="M8640">+_xlfn.IFS((C8640&gt;='Resultats - informe'!$D$26)*(C8640&lt;='Resultats - informe'!$E$26),0,(C8640&gt;='Resultats - informe'!$D$27)*(C8640&lt;='Resultats - informe'!$E$27),0,(C8640&gt;='Resultats - informe'!$D$28)*(C8640&lt;='Resultats - informe'!$E$28),0,(C8640&gt;='Resultats - informe'!$D$29)*(C8640&lt;='Resultats - informe'!$E$29),0,1,1)</f>
        <v>0</v>
      </c>
      <c r="N8640" s="366">
        <f>+VLOOKUP(D8640,'Resultats - informe'!$Y$18:$AG$42,'Introducció dades consum'!K8640+1,0)</f>
        <v>0</v>
      </c>
      <c r="O8640" s="370" cm="1">
        <f t="array" ref="O8640">+_xlfn.SWITCH(MONTH(C8640),1,1,2,1,3,1,4,2,5,2,6,3,7,3,8,3,9,3,10,2,11,2,12,1,2)</f>
        <v>1</v>
      </c>
      <c r="P8640" s="43"/>
    </row>
    <row r="8641" spans="1:16" ht="18" x14ac:dyDescent="0.35">
      <c r="A8641" s="43"/>
      <c r="C8641" s="393"/>
      <c r="E8641" s="394"/>
      <c r="F8641" s="394"/>
      <c r="G8641" s="394"/>
      <c r="I8641" s="368">
        <f t="shared" si="408"/>
        <v>0</v>
      </c>
      <c r="J8641" s="365">
        <f t="shared" si="409"/>
        <v>0</v>
      </c>
      <c r="K8641" s="369">
        <f t="shared" si="410"/>
        <v>6</v>
      </c>
      <c r="L8641" s="369">
        <f>+IF((C8641&gt;='Resultats - informe'!$E$16)*(C8641&lt;='Resultats - informe'!$G$16),1,0)</f>
        <v>1</v>
      </c>
      <c r="M8641" s="369" cm="1">
        <f t="array" ref="M8641">+_xlfn.IFS((C8641&gt;='Resultats - informe'!$D$26)*(C8641&lt;='Resultats - informe'!$E$26),0,(C8641&gt;='Resultats - informe'!$D$27)*(C8641&lt;='Resultats - informe'!$E$27),0,(C8641&gt;='Resultats - informe'!$D$28)*(C8641&lt;='Resultats - informe'!$E$28),0,(C8641&gt;='Resultats - informe'!$D$29)*(C8641&lt;='Resultats - informe'!$E$29),0,1,1)</f>
        <v>0</v>
      </c>
      <c r="N8641" s="366">
        <f>+VLOOKUP(D8641,'Resultats - informe'!$Y$18:$AG$42,'Introducció dades consum'!K8641+1,0)</f>
        <v>0</v>
      </c>
      <c r="O8641" s="370" cm="1">
        <f t="array" ref="O8641">+_xlfn.SWITCH(MONTH(C8641),1,1,2,1,3,1,4,2,5,2,6,3,7,3,8,3,9,3,10,2,11,2,12,1,2)</f>
        <v>1</v>
      </c>
      <c r="P8641" s="43"/>
    </row>
    <row r="8642" spans="1:16" ht="18" x14ac:dyDescent="0.35">
      <c r="A8642" s="43"/>
      <c r="C8642" s="393"/>
      <c r="E8642" s="394"/>
      <c r="F8642" s="394"/>
      <c r="G8642" s="394"/>
      <c r="I8642" s="368">
        <f t="shared" si="408"/>
        <v>0</v>
      </c>
      <c r="J8642" s="365">
        <f t="shared" si="409"/>
        <v>0</v>
      </c>
      <c r="K8642" s="369">
        <f t="shared" si="410"/>
        <v>6</v>
      </c>
      <c r="L8642" s="369">
        <f>+IF((C8642&gt;='Resultats - informe'!$E$16)*(C8642&lt;='Resultats - informe'!$G$16),1,0)</f>
        <v>1</v>
      </c>
      <c r="M8642" s="369" cm="1">
        <f t="array" ref="M8642">+_xlfn.IFS((C8642&gt;='Resultats - informe'!$D$26)*(C8642&lt;='Resultats - informe'!$E$26),0,(C8642&gt;='Resultats - informe'!$D$27)*(C8642&lt;='Resultats - informe'!$E$27),0,(C8642&gt;='Resultats - informe'!$D$28)*(C8642&lt;='Resultats - informe'!$E$28),0,(C8642&gt;='Resultats - informe'!$D$29)*(C8642&lt;='Resultats - informe'!$E$29),0,1,1)</f>
        <v>0</v>
      </c>
      <c r="N8642" s="366">
        <f>+VLOOKUP(D8642,'Resultats - informe'!$Y$18:$AG$42,'Introducció dades consum'!K8642+1,0)</f>
        <v>0</v>
      </c>
      <c r="O8642" s="370" cm="1">
        <f t="array" ref="O8642">+_xlfn.SWITCH(MONTH(C8642),1,1,2,1,3,1,4,2,5,2,6,3,7,3,8,3,9,3,10,2,11,2,12,1,2)</f>
        <v>1</v>
      </c>
      <c r="P8642" s="43"/>
    </row>
    <row r="8643" spans="1:16" ht="18" x14ac:dyDescent="0.35">
      <c r="A8643" s="43"/>
      <c r="C8643" s="393"/>
      <c r="E8643" s="394"/>
      <c r="F8643" s="394"/>
      <c r="G8643" s="394"/>
      <c r="I8643" s="368">
        <f t="shared" si="408"/>
        <v>0</v>
      </c>
      <c r="J8643" s="365">
        <f t="shared" si="409"/>
        <v>0</v>
      </c>
      <c r="K8643" s="369">
        <f t="shared" si="410"/>
        <v>6</v>
      </c>
      <c r="L8643" s="369">
        <f>+IF((C8643&gt;='Resultats - informe'!$E$16)*(C8643&lt;='Resultats - informe'!$G$16),1,0)</f>
        <v>1</v>
      </c>
      <c r="M8643" s="369" cm="1">
        <f t="array" ref="M8643">+_xlfn.IFS((C8643&gt;='Resultats - informe'!$D$26)*(C8643&lt;='Resultats - informe'!$E$26),0,(C8643&gt;='Resultats - informe'!$D$27)*(C8643&lt;='Resultats - informe'!$E$27),0,(C8643&gt;='Resultats - informe'!$D$28)*(C8643&lt;='Resultats - informe'!$E$28),0,(C8643&gt;='Resultats - informe'!$D$29)*(C8643&lt;='Resultats - informe'!$E$29),0,1,1)</f>
        <v>0</v>
      </c>
      <c r="N8643" s="366">
        <f>+VLOOKUP(D8643,'Resultats - informe'!$Y$18:$AG$42,'Introducció dades consum'!K8643+1,0)</f>
        <v>0</v>
      </c>
      <c r="O8643" s="370" cm="1">
        <f t="array" ref="O8643">+_xlfn.SWITCH(MONTH(C8643),1,1,2,1,3,1,4,2,5,2,6,3,7,3,8,3,9,3,10,2,11,2,12,1,2)</f>
        <v>1</v>
      </c>
      <c r="P8643" s="43"/>
    </row>
    <row r="8644" spans="1:16" ht="18" x14ac:dyDescent="0.35">
      <c r="A8644" s="43"/>
      <c r="C8644" s="393"/>
      <c r="E8644" s="394"/>
      <c r="F8644" s="394"/>
      <c r="G8644" s="394"/>
      <c r="I8644" s="368">
        <f t="shared" si="408"/>
        <v>0</v>
      </c>
      <c r="J8644" s="365">
        <f t="shared" si="409"/>
        <v>0</v>
      </c>
      <c r="K8644" s="369">
        <f t="shared" si="410"/>
        <v>6</v>
      </c>
      <c r="L8644" s="369">
        <f>+IF((C8644&gt;='Resultats - informe'!$E$16)*(C8644&lt;='Resultats - informe'!$G$16),1,0)</f>
        <v>1</v>
      </c>
      <c r="M8644" s="369" cm="1">
        <f t="array" ref="M8644">+_xlfn.IFS((C8644&gt;='Resultats - informe'!$D$26)*(C8644&lt;='Resultats - informe'!$E$26),0,(C8644&gt;='Resultats - informe'!$D$27)*(C8644&lt;='Resultats - informe'!$E$27),0,(C8644&gt;='Resultats - informe'!$D$28)*(C8644&lt;='Resultats - informe'!$E$28),0,(C8644&gt;='Resultats - informe'!$D$29)*(C8644&lt;='Resultats - informe'!$E$29),0,1,1)</f>
        <v>0</v>
      </c>
      <c r="N8644" s="366">
        <f>+VLOOKUP(D8644,'Resultats - informe'!$Y$18:$AG$42,'Introducció dades consum'!K8644+1,0)</f>
        <v>0</v>
      </c>
      <c r="O8644" s="370" cm="1">
        <f t="array" ref="O8644">+_xlfn.SWITCH(MONTH(C8644),1,1,2,1,3,1,4,2,5,2,6,3,7,3,8,3,9,3,10,2,11,2,12,1,2)</f>
        <v>1</v>
      </c>
      <c r="P8644" s="43"/>
    </row>
    <row r="8645" spans="1:16" ht="18" x14ac:dyDescent="0.35">
      <c r="A8645" s="43"/>
      <c r="C8645" s="393"/>
      <c r="E8645" s="394"/>
      <c r="F8645" s="394"/>
      <c r="G8645" s="394"/>
      <c r="I8645" s="368">
        <f t="shared" si="408"/>
        <v>0</v>
      </c>
      <c r="J8645" s="365">
        <f t="shared" si="409"/>
        <v>0</v>
      </c>
      <c r="K8645" s="369">
        <f t="shared" si="410"/>
        <v>6</v>
      </c>
      <c r="L8645" s="369">
        <f>+IF((C8645&gt;='Resultats - informe'!$E$16)*(C8645&lt;='Resultats - informe'!$G$16),1,0)</f>
        <v>1</v>
      </c>
      <c r="M8645" s="369" cm="1">
        <f t="array" ref="M8645">+_xlfn.IFS((C8645&gt;='Resultats - informe'!$D$26)*(C8645&lt;='Resultats - informe'!$E$26),0,(C8645&gt;='Resultats - informe'!$D$27)*(C8645&lt;='Resultats - informe'!$E$27),0,(C8645&gt;='Resultats - informe'!$D$28)*(C8645&lt;='Resultats - informe'!$E$28),0,(C8645&gt;='Resultats - informe'!$D$29)*(C8645&lt;='Resultats - informe'!$E$29),0,1,1)</f>
        <v>0</v>
      </c>
      <c r="N8645" s="366">
        <f>+VLOOKUP(D8645,'Resultats - informe'!$Y$18:$AG$42,'Introducció dades consum'!K8645+1,0)</f>
        <v>0</v>
      </c>
      <c r="O8645" s="370" cm="1">
        <f t="array" ref="O8645">+_xlfn.SWITCH(MONTH(C8645),1,1,2,1,3,1,4,2,5,2,6,3,7,3,8,3,9,3,10,2,11,2,12,1,2)</f>
        <v>1</v>
      </c>
      <c r="P8645" s="43"/>
    </row>
    <row r="8646" spans="1:16" ht="18" x14ac:dyDescent="0.35">
      <c r="A8646" s="43"/>
      <c r="C8646" s="393"/>
      <c r="E8646" s="394"/>
      <c r="F8646" s="394"/>
      <c r="G8646" s="394"/>
      <c r="I8646" s="368">
        <f t="shared" si="408"/>
        <v>0</v>
      </c>
      <c r="J8646" s="365">
        <f t="shared" si="409"/>
        <v>0</v>
      </c>
      <c r="K8646" s="369">
        <f t="shared" si="410"/>
        <v>6</v>
      </c>
      <c r="L8646" s="369">
        <f>+IF((C8646&gt;='Resultats - informe'!$E$16)*(C8646&lt;='Resultats - informe'!$G$16),1,0)</f>
        <v>1</v>
      </c>
      <c r="M8646" s="369" cm="1">
        <f t="array" ref="M8646">+_xlfn.IFS((C8646&gt;='Resultats - informe'!$D$26)*(C8646&lt;='Resultats - informe'!$E$26),0,(C8646&gt;='Resultats - informe'!$D$27)*(C8646&lt;='Resultats - informe'!$E$27),0,(C8646&gt;='Resultats - informe'!$D$28)*(C8646&lt;='Resultats - informe'!$E$28),0,(C8646&gt;='Resultats - informe'!$D$29)*(C8646&lt;='Resultats - informe'!$E$29),0,1,1)</f>
        <v>0</v>
      </c>
      <c r="N8646" s="366">
        <f>+VLOOKUP(D8646,'Resultats - informe'!$Y$18:$AG$42,'Introducció dades consum'!K8646+1,0)</f>
        <v>0</v>
      </c>
      <c r="O8646" s="370" cm="1">
        <f t="array" ref="O8646">+_xlfn.SWITCH(MONTH(C8646),1,1,2,1,3,1,4,2,5,2,6,3,7,3,8,3,9,3,10,2,11,2,12,1,2)</f>
        <v>1</v>
      </c>
      <c r="P8646" s="43"/>
    </row>
    <row r="8647" spans="1:16" ht="18" x14ac:dyDescent="0.35">
      <c r="A8647" s="43"/>
      <c r="C8647" s="393"/>
      <c r="E8647" s="394"/>
      <c r="F8647" s="394"/>
      <c r="G8647" s="394"/>
      <c r="I8647" s="368">
        <f t="shared" si="408"/>
        <v>0</v>
      </c>
      <c r="J8647" s="365">
        <f t="shared" si="409"/>
        <v>0</v>
      </c>
      <c r="K8647" s="369">
        <f t="shared" si="410"/>
        <v>6</v>
      </c>
      <c r="L8647" s="369">
        <f>+IF((C8647&gt;='Resultats - informe'!$E$16)*(C8647&lt;='Resultats - informe'!$G$16),1,0)</f>
        <v>1</v>
      </c>
      <c r="M8647" s="369" cm="1">
        <f t="array" ref="M8647">+_xlfn.IFS((C8647&gt;='Resultats - informe'!$D$26)*(C8647&lt;='Resultats - informe'!$E$26),0,(C8647&gt;='Resultats - informe'!$D$27)*(C8647&lt;='Resultats - informe'!$E$27),0,(C8647&gt;='Resultats - informe'!$D$28)*(C8647&lt;='Resultats - informe'!$E$28),0,(C8647&gt;='Resultats - informe'!$D$29)*(C8647&lt;='Resultats - informe'!$E$29),0,1,1)</f>
        <v>0</v>
      </c>
      <c r="N8647" s="366">
        <f>+VLOOKUP(D8647,'Resultats - informe'!$Y$18:$AG$42,'Introducció dades consum'!K8647+1,0)</f>
        <v>0</v>
      </c>
      <c r="O8647" s="370" cm="1">
        <f t="array" ref="O8647">+_xlfn.SWITCH(MONTH(C8647),1,1,2,1,3,1,4,2,5,2,6,3,7,3,8,3,9,3,10,2,11,2,12,1,2)</f>
        <v>1</v>
      </c>
      <c r="P8647" s="43"/>
    </row>
    <row r="8648" spans="1:16" ht="18" x14ac:dyDescent="0.35">
      <c r="A8648" s="43"/>
      <c r="C8648" s="393"/>
      <c r="E8648" s="394"/>
      <c r="F8648" s="394"/>
      <c r="G8648" s="394"/>
      <c r="I8648" s="368">
        <f t="shared" si="408"/>
        <v>0</v>
      </c>
      <c r="J8648" s="365">
        <f t="shared" si="409"/>
        <v>0</v>
      </c>
      <c r="K8648" s="369">
        <f t="shared" si="410"/>
        <v>6</v>
      </c>
      <c r="L8648" s="369">
        <f>+IF((C8648&gt;='Resultats - informe'!$E$16)*(C8648&lt;='Resultats - informe'!$G$16),1,0)</f>
        <v>1</v>
      </c>
      <c r="M8648" s="369" cm="1">
        <f t="array" ref="M8648">+_xlfn.IFS((C8648&gt;='Resultats - informe'!$D$26)*(C8648&lt;='Resultats - informe'!$E$26),0,(C8648&gt;='Resultats - informe'!$D$27)*(C8648&lt;='Resultats - informe'!$E$27),0,(C8648&gt;='Resultats - informe'!$D$28)*(C8648&lt;='Resultats - informe'!$E$28),0,(C8648&gt;='Resultats - informe'!$D$29)*(C8648&lt;='Resultats - informe'!$E$29),0,1,1)</f>
        <v>0</v>
      </c>
      <c r="N8648" s="366">
        <f>+VLOOKUP(D8648,'Resultats - informe'!$Y$18:$AG$42,'Introducció dades consum'!K8648+1,0)</f>
        <v>0</v>
      </c>
      <c r="O8648" s="370" cm="1">
        <f t="array" ref="O8648">+_xlfn.SWITCH(MONTH(C8648),1,1,2,1,3,1,4,2,5,2,6,3,7,3,8,3,9,3,10,2,11,2,12,1,2)</f>
        <v>1</v>
      </c>
      <c r="P8648" s="43"/>
    </row>
    <row r="8649" spans="1:16" ht="18" x14ac:dyDescent="0.35">
      <c r="A8649" s="43"/>
      <c r="C8649" s="393"/>
      <c r="E8649" s="394"/>
      <c r="F8649" s="394"/>
      <c r="G8649" s="394"/>
      <c r="I8649" s="368">
        <f t="shared" si="408"/>
        <v>0</v>
      </c>
      <c r="J8649" s="365">
        <f t="shared" si="409"/>
        <v>0</v>
      </c>
      <c r="K8649" s="369">
        <f t="shared" si="410"/>
        <v>6</v>
      </c>
      <c r="L8649" s="369">
        <f>+IF((C8649&gt;='Resultats - informe'!$E$16)*(C8649&lt;='Resultats - informe'!$G$16),1,0)</f>
        <v>1</v>
      </c>
      <c r="M8649" s="369" cm="1">
        <f t="array" ref="M8649">+_xlfn.IFS((C8649&gt;='Resultats - informe'!$D$26)*(C8649&lt;='Resultats - informe'!$E$26),0,(C8649&gt;='Resultats - informe'!$D$27)*(C8649&lt;='Resultats - informe'!$E$27),0,(C8649&gt;='Resultats - informe'!$D$28)*(C8649&lt;='Resultats - informe'!$E$28),0,(C8649&gt;='Resultats - informe'!$D$29)*(C8649&lt;='Resultats - informe'!$E$29),0,1,1)</f>
        <v>0</v>
      </c>
      <c r="N8649" s="366">
        <f>+VLOOKUP(D8649,'Resultats - informe'!$Y$18:$AG$42,'Introducció dades consum'!K8649+1,0)</f>
        <v>0</v>
      </c>
      <c r="O8649" s="370" cm="1">
        <f t="array" ref="O8649">+_xlfn.SWITCH(MONTH(C8649),1,1,2,1,3,1,4,2,5,2,6,3,7,3,8,3,9,3,10,2,11,2,12,1,2)</f>
        <v>1</v>
      </c>
      <c r="P8649" s="43"/>
    </row>
    <row r="8650" spans="1:16" ht="18" x14ac:dyDescent="0.35">
      <c r="A8650" s="43"/>
      <c r="C8650" s="393"/>
      <c r="E8650" s="394"/>
      <c r="F8650" s="394"/>
      <c r="G8650" s="394"/>
      <c r="I8650" s="368">
        <f t="shared" si="408"/>
        <v>0</v>
      </c>
      <c r="J8650" s="365">
        <f t="shared" si="409"/>
        <v>0</v>
      </c>
      <c r="K8650" s="369">
        <f t="shared" si="410"/>
        <v>6</v>
      </c>
      <c r="L8650" s="369">
        <f>+IF((C8650&gt;='Resultats - informe'!$E$16)*(C8650&lt;='Resultats - informe'!$G$16),1,0)</f>
        <v>1</v>
      </c>
      <c r="M8650" s="369" cm="1">
        <f t="array" ref="M8650">+_xlfn.IFS((C8650&gt;='Resultats - informe'!$D$26)*(C8650&lt;='Resultats - informe'!$E$26),0,(C8650&gt;='Resultats - informe'!$D$27)*(C8650&lt;='Resultats - informe'!$E$27),0,(C8650&gt;='Resultats - informe'!$D$28)*(C8650&lt;='Resultats - informe'!$E$28),0,(C8650&gt;='Resultats - informe'!$D$29)*(C8650&lt;='Resultats - informe'!$E$29),0,1,1)</f>
        <v>0</v>
      </c>
      <c r="N8650" s="366">
        <f>+VLOOKUP(D8650,'Resultats - informe'!$Y$18:$AG$42,'Introducció dades consum'!K8650+1,0)</f>
        <v>0</v>
      </c>
      <c r="O8650" s="370" cm="1">
        <f t="array" ref="O8650">+_xlfn.SWITCH(MONTH(C8650),1,1,2,1,3,1,4,2,5,2,6,3,7,3,8,3,9,3,10,2,11,2,12,1,2)</f>
        <v>1</v>
      </c>
      <c r="P8650" s="43"/>
    </row>
    <row r="8651" spans="1:16" ht="18" x14ac:dyDescent="0.35">
      <c r="A8651" s="43"/>
      <c r="C8651" s="393"/>
      <c r="E8651" s="394"/>
      <c r="F8651" s="394"/>
      <c r="G8651" s="394"/>
      <c r="I8651" s="368">
        <f t="shared" si="408"/>
        <v>0</v>
      </c>
      <c r="J8651" s="365">
        <f t="shared" si="409"/>
        <v>0</v>
      </c>
      <c r="K8651" s="369">
        <f t="shared" si="410"/>
        <v>6</v>
      </c>
      <c r="L8651" s="369">
        <f>+IF((C8651&gt;='Resultats - informe'!$E$16)*(C8651&lt;='Resultats - informe'!$G$16),1,0)</f>
        <v>1</v>
      </c>
      <c r="M8651" s="369" cm="1">
        <f t="array" ref="M8651">+_xlfn.IFS((C8651&gt;='Resultats - informe'!$D$26)*(C8651&lt;='Resultats - informe'!$E$26),0,(C8651&gt;='Resultats - informe'!$D$27)*(C8651&lt;='Resultats - informe'!$E$27),0,(C8651&gt;='Resultats - informe'!$D$28)*(C8651&lt;='Resultats - informe'!$E$28),0,(C8651&gt;='Resultats - informe'!$D$29)*(C8651&lt;='Resultats - informe'!$E$29),0,1,1)</f>
        <v>0</v>
      </c>
      <c r="N8651" s="366">
        <f>+VLOOKUP(D8651,'Resultats - informe'!$Y$18:$AG$42,'Introducció dades consum'!K8651+1,0)</f>
        <v>0</v>
      </c>
      <c r="O8651" s="370" cm="1">
        <f t="array" ref="O8651">+_xlfn.SWITCH(MONTH(C8651),1,1,2,1,3,1,4,2,5,2,6,3,7,3,8,3,9,3,10,2,11,2,12,1,2)</f>
        <v>1</v>
      </c>
      <c r="P8651" s="43"/>
    </row>
    <row r="8652" spans="1:16" ht="18" x14ac:dyDescent="0.35">
      <c r="A8652" s="43"/>
      <c r="C8652" s="393"/>
      <c r="E8652" s="394"/>
      <c r="F8652" s="394"/>
      <c r="G8652" s="394"/>
      <c r="I8652" s="368">
        <f t="shared" si="408"/>
        <v>0</v>
      </c>
      <c r="J8652" s="365">
        <f t="shared" si="409"/>
        <v>0</v>
      </c>
      <c r="K8652" s="369">
        <f t="shared" si="410"/>
        <v>6</v>
      </c>
      <c r="L8652" s="369">
        <f>+IF((C8652&gt;='Resultats - informe'!$E$16)*(C8652&lt;='Resultats - informe'!$G$16),1,0)</f>
        <v>1</v>
      </c>
      <c r="M8652" s="369" cm="1">
        <f t="array" ref="M8652">+_xlfn.IFS((C8652&gt;='Resultats - informe'!$D$26)*(C8652&lt;='Resultats - informe'!$E$26),0,(C8652&gt;='Resultats - informe'!$D$27)*(C8652&lt;='Resultats - informe'!$E$27),0,(C8652&gt;='Resultats - informe'!$D$28)*(C8652&lt;='Resultats - informe'!$E$28),0,(C8652&gt;='Resultats - informe'!$D$29)*(C8652&lt;='Resultats - informe'!$E$29),0,1,1)</f>
        <v>0</v>
      </c>
      <c r="N8652" s="366">
        <f>+VLOOKUP(D8652,'Resultats - informe'!$Y$18:$AG$42,'Introducció dades consum'!K8652+1,0)</f>
        <v>0</v>
      </c>
      <c r="O8652" s="370" cm="1">
        <f t="array" ref="O8652">+_xlfn.SWITCH(MONTH(C8652),1,1,2,1,3,1,4,2,5,2,6,3,7,3,8,3,9,3,10,2,11,2,12,1,2)</f>
        <v>1</v>
      </c>
      <c r="P8652" s="43"/>
    </row>
    <row r="8653" spans="1:16" ht="18" x14ac:dyDescent="0.35">
      <c r="A8653" s="43"/>
      <c r="C8653" s="393"/>
      <c r="E8653" s="394"/>
      <c r="F8653" s="394"/>
      <c r="G8653" s="394"/>
      <c r="I8653" s="368">
        <f t="shared" si="408"/>
        <v>0</v>
      </c>
      <c r="J8653" s="365">
        <f t="shared" si="409"/>
        <v>0</v>
      </c>
      <c r="K8653" s="369">
        <f t="shared" si="410"/>
        <v>6</v>
      </c>
      <c r="L8653" s="369">
        <f>+IF((C8653&gt;='Resultats - informe'!$E$16)*(C8653&lt;='Resultats - informe'!$G$16),1,0)</f>
        <v>1</v>
      </c>
      <c r="M8653" s="369" cm="1">
        <f t="array" ref="M8653">+_xlfn.IFS((C8653&gt;='Resultats - informe'!$D$26)*(C8653&lt;='Resultats - informe'!$E$26),0,(C8653&gt;='Resultats - informe'!$D$27)*(C8653&lt;='Resultats - informe'!$E$27),0,(C8653&gt;='Resultats - informe'!$D$28)*(C8653&lt;='Resultats - informe'!$E$28),0,(C8653&gt;='Resultats - informe'!$D$29)*(C8653&lt;='Resultats - informe'!$E$29),0,1,1)</f>
        <v>0</v>
      </c>
      <c r="N8653" s="366">
        <f>+VLOOKUP(D8653,'Resultats - informe'!$Y$18:$AG$42,'Introducció dades consum'!K8653+1,0)</f>
        <v>0</v>
      </c>
      <c r="O8653" s="370" cm="1">
        <f t="array" ref="O8653">+_xlfn.SWITCH(MONTH(C8653),1,1,2,1,3,1,4,2,5,2,6,3,7,3,8,3,9,3,10,2,11,2,12,1,2)</f>
        <v>1</v>
      </c>
      <c r="P8653" s="43"/>
    </row>
    <row r="8654" spans="1:16" ht="18" x14ac:dyDescent="0.35">
      <c r="A8654" s="43"/>
      <c r="C8654" s="393"/>
      <c r="E8654" s="394"/>
      <c r="F8654" s="394"/>
      <c r="G8654" s="394"/>
      <c r="I8654" s="368">
        <f t="shared" si="408"/>
        <v>0</v>
      </c>
      <c r="J8654" s="365">
        <f t="shared" si="409"/>
        <v>0</v>
      </c>
      <c r="K8654" s="369">
        <f t="shared" si="410"/>
        <v>6</v>
      </c>
      <c r="L8654" s="369">
        <f>+IF((C8654&gt;='Resultats - informe'!$E$16)*(C8654&lt;='Resultats - informe'!$G$16),1,0)</f>
        <v>1</v>
      </c>
      <c r="M8654" s="369" cm="1">
        <f t="array" ref="M8654">+_xlfn.IFS((C8654&gt;='Resultats - informe'!$D$26)*(C8654&lt;='Resultats - informe'!$E$26),0,(C8654&gt;='Resultats - informe'!$D$27)*(C8654&lt;='Resultats - informe'!$E$27),0,(C8654&gt;='Resultats - informe'!$D$28)*(C8654&lt;='Resultats - informe'!$E$28),0,(C8654&gt;='Resultats - informe'!$D$29)*(C8654&lt;='Resultats - informe'!$E$29),0,1,1)</f>
        <v>0</v>
      </c>
      <c r="N8654" s="366">
        <f>+VLOOKUP(D8654,'Resultats - informe'!$Y$18:$AG$42,'Introducció dades consum'!K8654+1,0)</f>
        <v>0</v>
      </c>
      <c r="O8654" s="370" cm="1">
        <f t="array" ref="O8654">+_xlfn.SWITCH(MONTH(C8654),1,1,2,1,3,1,4,2,5,2,6,3,7,3,8,3,9,3,10,2,11,2,12,1,2)</f>
        <v>1</v>
      </c>
      <c r="P8654" s="43"/>
    </row>
    <row r="8655" spans="1:16" ht="18" x14ac:dyDescent="0.35">
      <c r="A8655" s="43"/>
      <c r="C8655" s="393"/>
      <c r="E8655" s="394"/>
      <c r="F8655" s="394"/>
      <c r="G8655" s="394"/>
      <c r="I8655" s="368">
        <f t="shared" si="408"/>
        <v>0</v>
      </c>
      <c r="J8655" s="365">
        <f t="shared" si="409"/>
        <v>0</v>
      </c>
      <c r="K8655" s="369">
        <f t="shared" si="410"/>
        <v>6</v>
      </c>
      <c r="L8655" s="369">
        <f>+IF((C8655&gt;='Resultats - informe'!$E$16)*(C8655&lt;='Resultats - informe'!$G$16),1,0)</f>
        <v>1</v>
      </c>
      <c r="M8655" s="369" cm="1">
        <f t="array" ref="M8655">+_xlfn.IFS((C8655&gt;='Resultats - informe'!$D$26)*(C8655&lt;='Resultats - informe'!$E$26),0,(C8655&gt;='Resultats - informe'!$D$27)*(C8655&lt;='Resultats - informe'!$E$27),0,(C8655&gt;='Resultats - informe'!$D$28)*(C8655&lt;='Resultats - informe'!$E$28),0,(C8655&gt;='Resultats - informe'!$D$29)*(C8655&lt;='Resultats - informe'!$E$29),0,1,1)</f>
        <v>0</v>
      </c>
      <c r="N8655" s="366">
        <f>+VLOOKUP(D8655,'Resultats - informe'!$Y$18:$AG$42,'Introducció dades consum'!K8655+1,0)</f>
        <v>0</v>
      </c>
      <c r="O8655" s="370" cm="1">
        <f t="array" ref="O8655">+_xlfn.SWITCH(MONTH(C8655),1,1,2,1,3,1,4,2,5,2,6,3,7,3,8,3,9,3,10,2,11,2,12,1,2)</f>
        <v>1</v>
      </c>
      <c r="P8655" s="43"/>
    </row>
    <row r="8656" spans="1:16" ht="18" x14ac:dyDescent="0.35">
      <c r="A8656" s="43"/>
      <c r="C8656" s="393"/>
      <c r="E8656" s="394"/>
      <c r="F8656" s="394"/>
      <c r="G8656" s="394"/>
      <c r="I8656" s="368">
        <f t="shared" si="408"/>
        <v>0</v>
      </c>
      <c r="J8656" s="365">
        <f t="shared" si="409"/>
        <v>0</v>
      </c>
      <c r="K8656" s="369">
        <f t="shared" si="410"/>
        <v>6</v>
      </c>
      <c r="L8656" s="369">
        <f>+IF((C8656&gt;='Resultats - informe'!$E$16)*(C8656&lt;='Resultats - informe'!$G$16),1,0)</f>
        <v>1</v>
      </c>
      <c r="M8656" s="369" cm="1">
        <f t="array" ref="M8656">+_xlfn.IFS((C8656&gt;='Resultats - informe'!$D$26)*(C8656&lt;='Resultats - informe'!$E$26),0,(C8656&gt;='Resultats - informe'!$D$27)*(C8656&lt;='Resultats - informe'!$E$27),0,(C8656&gt;='Resultats - informe'!$D$28)*(C8656&lt;='Resultats - informe'!$E$28),0,(C8656&gt;='Resultats - informe'!$D$29)*(C8656&lt;='Resultats - informe'!$E$29),0,1,1)</f>
        <v>0</v>
      </c>
      <c r="N8656" s="366">
        <f>+VLOOKUP(D8656,'Resultats - informe'!$Y$18:$AG$42,'Introducció dades consum'!K8656+1,0)</f>
        <v>0</v>
      </c>
      <c r="O8656" s="370" cm="1">
        <f t="array" ref="O8656">+_xlfn.SWITCH(MONTH(C8656),1,1,2,1,3,1,4,2,5,2,6,3,7,3,8,3,9,3,10,2,11,2,12,1,2)</f>
        <v>1</v>
      </c>
      <c r="P8656" s="43"/>
    </row>
    <row r="8657" spans="1:16" ht="18" x14ac:dyDescent="0.35">
      <c r="A8657" s="43"/>
      <c r="C8657" s="393"/>
      <c r="E8657" s="394"/>
      <c r="F8657" s="394"/>
      <c r="G8657" s="394"/>
      <c r="I8657" s="368">
        <f t="shared" si="408"/>
        <v>0</v>
      </c>
      <c r="J8657" s="365">
        <f t="shared" si="409"/>
        <v>0</v>
      </c>
      <c r="K8657" s="369">
        <f t="shared" si="410"/>
        <v>6</v>
      </c>
      <c r="L8657" s="369">
        <f>+IF((C8657&gt;='Resultats - informe'!$E$16)*(C8657&lt;='Resultats - informe'!$G$16),1,0)</f>
        <v>1</v>
      </c>
      <c r="M8657" s="369" cm="1">
        <f t="array" ref="M8657">+_xlfn.IFS((C8657&gt;='Resultats - informe'!$D$26)*(C8657&lt;='Resultats - informe'!$E$26),0,(C8657&gt;='Resultats - informe'!$D$27)*(C8657&lt;='Resultats - informe'!$E$27),0,(C8657&gt;='Resultats - informe'!$D$28)*(C8657&lt;='Resultats - informe'!$E$28),0,(C8657&gt;='Resultats - informe'!$D$29)*(C8657&lt;='Resultats - informe'!$E$29),0,1,1)</f>
        <v>0</v>
      </c>
      <c r="N8657" s="366">
        <f>+VLOOKUP(D8657,'Resultats - informe'!$Y$18:$AG$42,'Introducció dades consum'!K8657+1,0)</f>
        <v>0</v>
      </c>
      <c r="O8657" s="370" cm="1">
        <f t="array" ref="O8657">+_xlfn.SWITCH(MONTH(C8657),1,1,2,1,3,1,4,2,5,2,6,3,7,3,8,3,9,3,10,2,11,2,12,1,2)</f>
        <v>1</v>
      </c>
      <c r="P8657" s="43"/>
    </row>
    <row r="8658" spans="1:16" ht="18" x14ac:dyDescent="0.35">
      <c r="A8658" s="43"/>
      <c r="C8658" s="393"/>
      <c r="E8658" s="394"/>
      <c r="F8658" s="394"/>
      <c r="G8658" s="394"/>
      <c r="I8658" s="368">
        <f t="shared" ref="I8658:I8721" si="411">+E8658+G8658</f>
        <v>0</v>
      </c>
      <c r="J8658" s="365">
        <f t="shared" ref="J8658:J8721" si="412">+C8658</f>
        <v>0</v>
      </c>
      <c r="K8658" s="369">
        <f t="shared" ref="K8658:K8721" si="413">+WEEKDAY(C8658,2)</f>
        <v>6</v>
      </c>
      <c r="L8658" s="369">
        <f>+IF((C8658&gt;='Resultats - informe'!$E$16)*(C8658&lt;='Resultats - informe'!$G$16),1,0)</f>
        <v>1</v>
      </c>
      <c r="M8658" s="369" cm="1">
        <f t="array" ref="M8658">+_xlfn.IFS((C8658&gt;='Resultats - informe'!$D$26)*(C8658&lt;='Resultats - informe'!$E$26),0,(C8658&gt;='Resultats - informe'!$D$27)*(C8658&lt;='Resultats - informe'!$E$27),0,(C8658&gt;='Resultats - informe'!$D$28)*(C8658&lt;='Resultats - informe'!$E$28),0,(C8658&gt;='Resultats - informe'!$D$29)*(C8658&lt;='Resultats - informe'!$E$29),0,1,1)</f>
        <v>0</v>
      </c>
      <c r="N8658" s="366">
        <f>+VLOOKUP(D8658,'Resultats - informe'!$Y$18:$AG$42,'Introducció dades consum'!K8658+1,0)</f>
        <v>0</v>
      </c>
      <c r="O8658" s="370" cm="1">
        <f t="array" ref="O8658">+_xlfn.SWITCH(MONTH(C8658),1,1,2,1,3,1,4,2,5,2,6,3,7,3,8,3,9,3,10,2,11,2,12,1,2)</f>
        <v>1</v>
      </c>
      <c r="P8658" s="43"/>
    </row>
    <row r="8659" spans="1:16" ht="18" x14ac:dyDescent="0.35">
      <c r="A8659" s="43"/>
      <c r="C8659" s="393"/>
      <c r="E8659" s="394"/>
      <c r="F8659" s="394"/>
      <c r="G8659" s="394"/>
      <c r="I8659" s="368">
        <f t="shared" si="411"/>
        <v>0</v>
      </c>
      <c r="J8659" s="365">
        <f t="shared" si="412"/>
        <v>0</v>
      </c>
      <c r="K8659" s="369">
        <f t="shared" si="413"/>
        <v>6</v>
      </c>
      <c r="L8659" s="369">
        <f>+IF((C8659&gt;='Resultats - informe'!$E$16)*(C8659&lt;='Resultats - informe'!$G$16),1,0)</f>
        <v>1</v>
      </c>
      <c r="M8659" s="369" cm="1">
        <f t="array" ref="M8659">+_xlfn.IFS((C8659&gt;='Resultats - informe'!$D$26)*(C8659&lt;='Resultats - informe'!$E$26),0,(C8659&gt;='Resultats - informe'!$D$27)*(C8659&lt;='Resultats - informe'!$E$27),0,(C8659&gt;='Resultats - informe'!$D$28)*(C8659&lt;='Resultats - informe'!$E$28),0,(C8659&gt;='Resultats - informe'!$D$29)*(C8659&lt;='Resultats - informe'!$E$29),0,1,1)</f>
        <v>0</v>
      </c>
      <c r="N8659" s="366">
        <f>+VLOOKUP(D8659,'Resultats - informe'!$Y$18:$AG$42,'Introducció dades consum'!K8659+1,0)</f>
        <v>0</v>
      </c>
      <c r="O8659" s="370" cm="1">
        <f t="array" ref="O8659">+_xlfn.SWITCH(MONTH(C8659),1,1,2,1,3,1,4,2,5,2,6,3,7,3,8,3,9,3,10,2,11,2,12,1,2)</f>
        <v>1</v>
      </c>
      <c r="P8659" s="43"/>
    </row>
    <row r="8660" spans="1:16" ht="18" x14ac:dyDescent="0.35">
      <c r="A8660" s="43"/>
      <c r="C8660" s="393"/>
      <c r="E8660" s="394"/>
      <c r="F8660" s="394"/>
      <c r="G8660" s="394"/>
      <c r="I8660" s="368">
        <f t="shared" si="411"/>
        <v>0</v>
      </c>
      <c r="J8660" s="365">
        <f t="shared" si="412"/>
        <v>0</v>
      </c>
      <c r="K8660" s="369">
        <f t="shared" si="413"/>
        <v>6</v>
      </c>
      <c r="L8660" s="369">
        <f>+IF((C8660&gt;='Resultats - informe'!$E$16)*(C8660&lt;='Resultats - informe'!$G$16),1,0)</f>
        <v>1</v>
      </c>
      <c r="M8660" s="369" cm="1">
        <f t="array" ref="M8660">+_xlfn.IFS((C8660&gt;='Resultats - informe'!$D$26)*(C8660&lt;='Resultats - informe'!$E$26),0,(C8660&gt;='Resultats - informe'!$D$27)*(C8660&lt;='Resultats - informe'!$E$27),0,(C8660&gt;='Resultats - informe'!$D$28)*(C8660&lt;='Resultats - informe'!$E$28),0,(C8660&gt;='Resultats - informe'!$D$29)*(C8660&lt;='Resultats - informe'!$E$29),0,1,1)</f>
        <v>0</v>
      </c>
      <c r="N8660" s="366">
        <f>+VLOOKUP(D8660,'Resultats - informe'!$Y$18:$AG$42,'Introducció dades consum'!K8660+1,0)</f>
        <v>0</v>
      </c>
      <c r="O8660" s="370" cm="1">
        <f t="array" ref="O8660">+_xlfn.SWITCH(MONTH(C8660),1,1,2,1,3,1,4,2,5,2,6,3,7,3,8,3,9,3,10,2,11,2,12,1,2)</f>
        <v>1</v>
      </c>
      <c r="P8660" s="43"/>
    </row>
    <row r="8661" spans="1:16" ht="18" x14ac:dyDescent="0.35">
      <c r="A8661" s="43"/>
      <c r="C8661" s="393"/>
      <c r="E8661" s="394"/>
      <c r="F8661" s="394"/>
      <c r="G8661" s="394"/>
      <c r="I8661" s="368">
        <f t="shared" si="411"/>
        <v>0</v>
      </c>
      <c r="J8661" s="365">
        <f t="shared" si="412"/>
        <v>0</v>
      </c>
      <c r="K8661" s="369">
        <f t="shared" si="413"/>
        <v>6</v>
      </c>
      <c r="L8661" s="369">
        <f>+IF((C8661&gt;='Resultats - informe'!$E$16)*(C8661&lt;='Resultats - informe'!$G$16),1,0)</f>
        <v>1</v>
      </c>
      <c r="M8661" s="369" cm="1">
        <f t="array" ref="M8661">+_xlfn.IFS((C8661&gt;='Resultats - informe'!$D$26)*(C8661&lt;='Resultats - informe'!$E$26),0,(C8661&gt;='Resultats - informe'!$D$27)*(C8661&lt;='Resultats - informe'!$E$27),0,(C8661&gt;='Resultats - informe'!$D$28)*(C8661&lt;='Resultats - informe'!$E$28),0,(C8661&gt;='Resultats - informe'!$D$29)*(C8661&lt;='Resultats - informe'!$E$29),0,1,1)</f>
        <v>0</v>
      </c>
      <c r="N8661" s="366">
        <f>+VLOOKUP(D8661,'Resultats - informe'!$Y$18:$AG$42,'Introducció dades consum'!K8661+1,0)</f>
        <v>0</v>
      </c>
      <c r="O8661" s="370" cm="1">
        <f t="array" ref="O8661">+_xlfn.SWITCH(MONTH(C8661),1,1,2,1,3,1,4,2,5,2,6,3,7,3,8,3,9,3,10,2,11,2,12,1,2)</f>
        <v>1</v>
      </c>
      <c r="P8661" s="43"/>
    </row>
    <row r="8662" spans="1:16" ht="18" x14ac:dyDescent="0.35">
      <c r="A8662" s="43"/>
      <c r="C8662" s="393"/>
      <c r="E8662" s="394"/>
      <c r="F8662" s="394"/>
      <c r="G8662" s="394"/>
      <c r="I8662" s="368">
        <f t="shared" si="411"/>
        <v>0</v>
      </c>
      <c r="J8662" s="365">
        <f t="shared" si="412"/>
        <v>0</v>
      </c>
      <c r="K8662" s="369">
        <f t="shared" si="413"/>
        <v>6</v>
      </c>
      <c r="L8662" s="369">
        <f>+IF((C8662&gt;='Resultats - informe'!$E$16)*(C8662&lt;='Resultats - informe'!$G$16),1,0)</f>
        <v>1</v>
      </c>
      <c r="M8662" s="369" cm="1">
        <f t="array" ref="M8662">+_xlfn.IFS((C8662&gt;='Resultats - informe'!$D$26)*(C8662&lt;='Resultats - informe'!$E$26),0,(C8662&gt;='Resultats - informe'!$D$27)*(C8662&lt;='Resultats - informe'!$E$27),0,(C8662&gt;='Resultats - informe'!$D$28)*(C8662&lt;='Resultats - informe'!$E$28),0,(C8662&gt;='Resultats - informe'!$D$29)*(C8662&lt;='Resultats - informe'!$E$29),0,1,1)</f>
        <v>0</v>
      </c>
      <c r="N8662" s="366">
        <f>+VLOOKUP(D8662,'Resultats - informe'!$Y$18:$AG$42,'Introducció dades consum'!K8662+1,0)</f>
        <v>0</v>
      </c>
      <c r="O8662" s="370" cm="1">
        <f t="array" ref="O8662">+_xlfn.SWITCH(MONTH(C8662),1,1,2,1,3,1,4,2,5,2,6,3,7,3,8,3,9,3,10,2,11,2,12,1,2)</f>
        <v>1</v>
      </c>
      <c r="P8662" s="43"/>
    </row>
    <row r="8663" spans="1:16" ht="18" x14ac:dyDescent="0.35">
      <c r="A8663" s="43"/>
      <c r="C8663" s="393"/>
      <c r="E8663" s="394"/>
      <c r="F8663" s="394"/>
      <c r="G8663" s="394"/>
      <c r="I8663" s="368">
        <f t="shared" si="411"/>
        <v>0</v>
      </c>
      <c r="J8663" s="365">
        <f t="shared" si="412"/>
        <v>0</v>
      </c>
      <c r="K8663" s="369">
        <f t="shared" si="413"/>
        <v>6</v>
      </c>
      <c r="L8663" s="369">
        <f>+IF((C8663&gt;='Resultats - informe'!$E$16)*(C8663&lt;='Resultats - informe'!$G$16),1,0)</f>
        <v>1</v>
      </c>
      <c r="M8663" s="369" cm="1">
        <f t="array" ref="M8663">+_xlfn.IFS((C8663&gt;='Resultats - informe'!$D$26)*(C8663&lt;='Resultats - informe'!$E$26),0,(C8663&gt;='Resultats - informe'!$D$27)*(C8663&lt;='Resultats - informe'!$E$27),0,(C8663&gt;='Resultats - informe'!$D$28)*(C8663&lt;='Resultats - informe'!$E$28),0,(C8663&gt;='Resultats - informe'!$D$29)*(C8663&lt;='Resultats - informe'!$E$29),0,1,1)</f>
        <v>0</v>
      </c>
      <c r="N8663" s="366">
        <f>+VLOOKUP(D8663,'Resultats - informe'!$Y$18:$AG$42,'Introducció dades consum'!K8663+1,0)</f>
        <v>0</v>
      </c>
      <c r="O8663" s="370" cm="1">
        <f t="array" ref="O8663">+_xlfn.SWITCH(MONTH(C8663),1,1,2,1,3,1,4,2,5,2,6,3,7,3,8,3,9,3,10,2,11,2,12,1,2)</f>
        <v>1</v>
      </c>
      <c r="P8663" s="43"/>
    </row>
    <row r="8664" spans="1:16" ht="18" x14ac:dyDescent="0.35">
      <c r="A8664" s="43"/>
      <c r="C8664" s="393"/>
      <c r="E8664" s="394"/>
      <c r="F8664" s="394"/>
      <c r="G8664" s="394"/>
      <c r="I8664" s="368">
        <f t="shared" si="411"/>
        <v>0</v>
      </c>
      <c r="J8664" s="365">
        <f t="shared" si="412"/>
        <v>0</v>
      </c>
      <c r="K8664" s="369">
        <f t="shared" si="413"/>
        <v>6</v>
      </c>
      <c r="L8664" s="369">
        <f>+IF((C8664&gt;='Resultats - informe'!$E$16)*(C8664&lt;='Resultats - informe'!$G$16),1,0)</f>
        <v>1</v>
      </c>
      <c r="M8664" s="369" cm="1">
        <f t="array" ref="M8664">+_xlfn.IFS((C8664&gt;='Resultats - informe'!$D$26)*(C8664&lt;='Resultats - informe'!$E$26),0,(C8664&gt;='Resultats - informe'!$D$27)*(C8664&lt;='Resultats - informe'!$E$27),0,(C8664&gt;='Resultats - informe'!$D$28)*(C8664&lt;='Resultats - informe'!$E$28),0,(C8664&gt;='Resultats - informe'!$D$29)*(C8664&lt;='Resultats - informe'!$E$29),0,1,1)</f>
        <v>0</v>
      </c>
      <c r="N8664" s="366">
        <f>+VLOOKUP(D8664,'Resultats - informe'!$Y$18:$AG$42,'Introducció dades consum'!K8664+1,0)</f>
        <v>0</v>
      </c>
      <c r="O8664" s="370" cm="1">
        <f t="array" ref="O8664">+_xlfn.SWITCH(MONTH(C8664),1,1,2,1,3,1,4,2,5,2,6,3,7,3,8,3,9,3,10,2,11,2,12,1,2)</f>
        <v>1</v>
      </c>
      <c r="P8664" s="43"/>
    </row>
    <row r="8665" spans="1:16" ht="18" x14ac:dyDescent="0.35">
      <c r="A8665" s="43"/>
      <c r="C8665" s="393"/>
      <c r="E8665" s="394"/>
      <c r="F8665" s="394"/>
      <c r="G8665" s="394"/>
      <c r="I8665" s="368">
        <f t="shared" si="411"/>
        <v>0</v>
      </c>
      <c r="J8665" s="365">
        <f t="shared" si="412"/>
        <v>0</v>
      </c>
      <c r="K8665" s="369">
        <f t="shared" si="413"/>
        <v>6</v>
      </c>
      <c r="L8665" s="369">
        <f>+IF((C8665&gt;='Resultats - informe'!$E$16)*(C8665&lt;='Resultats - informe'!$G$16),1,0)</f>
        <v>1</v>
      </c>
      <c r="M8665" s="369" cm="1">
        <f t="array" ref="M8665">+_xlfn.IFS((C8665&gt;='Resultats - informe'!$D$26)*(C8665&lt;='Resultats - informe'!$E$26),0,(C8665&gt;='Resultats - informe'!$D$27)*(C8665&lt;='Resultats - informe'!$E$27),0,(C8665&gt;='Resultats - informe'!$D$28)*(C8665&lt;='Resultats - informe'!$E$28),0,(C8665&gt;='Resultats - informe'!$D$29)*(C8665&lt;='Resultats - informe'!$E$29),0,1,1)</f>
        <v>0</v>
      </c>
      <c r="N8665" s="366">
        <f>+VLOOKUP(D8665,'Resultats - informe'!$Y$18:$AG$42,'Introducció dades consum'!K8665+1,0)</f>
        <v>0</v>
      </c>
      <c r="O8665" s="370" cm="1">
        <f t="array" ref="O8665">+_xlfn.SWITCH(MONTH(C8665),1,1,2,1,3,1,4,2,5,2,6,3,7,3,8,3,9,3,10,2,11,2,12,1,2)</f>
        <v>1</v>
      </c>
      <c r="P8665" s="43"/>
    </row>
    <row r="8666" spans="1:16" ht="18" x14ac:dyDescent="0.35">
      <c r="A8666" s="43"/>
      <c r="C8666" s="393"/>
      <c r="E8666" s="394"/>
      <c r="F8666" s="394"/>
      <c r="G8666" s="394"/>
      <c r="I8666" s="368">
        <f t="shared" si="411"/>
        <v>0</v>
      </c>
      <c r="J8666" s="365">
        <f t="shared" si="412"/>
        <v>0</v>
      </c>
      <c r="K8666" s="369">
        <f t="shared" si="413"/>
        <v>6</v>
      </c>
      <c r="L8666" s="369">
        <f>+IF((C8666&gt;='Resultats - informe'!$E$16)*(C8666&lt;='Resultats - informe'!$G$16),1,0)</f>
        <v>1</v>
      </c>
      <c r="M8666" s="369" cm="1">
        <f t="array" ref="M8666">+_xlfn.IFS((C8666&gt;='Resultats - informe'!$D$26)*(C8666&lt;='Resultats - informe'!$E$26),0,(C8666&gt;='Resultats - informe'!$D$27)*(C8666&lt;='Resultats - informe'!$E$27),0,(C8666&gt;='Resultats - informe'!$D$28)*(C8666&lt;='Resultats - informe'!$E$28),0,(C8666&gt;='Resultats - informe'!$D$29)*(C8666&lt;='Resultats - informe'!$E$29),0,1,1)</f>
        <v>0</v>
      </c>
      <c r="N8666" s="366">
        <f>+VLOOKUP(D8666,'Resultats - informe'!$Y$18:$AG$42,'Introducció dades consum'!K8666+1,0)</f>
        <v>0</v>
      </c>
      <c r="O8666" s="370" cm="1">
        <f t="array" ref="O8666">+_xlfn.SWITCH(MONTH(C8666),1,1,2,1,3,1,4,2,5,2,6,3,7,3,8,3,9,3,10,2,11,2,12,1,2)</f>
        <v>1</v>
      </c>
      <c r="P8666" s="43"/>
    </row>
    <row r="8667" spans="1:16" ht="18" x14ac:dyDescent="0.35">
      <c r="A8667" s="43"/>
      <c r="C8667" s="393"/>
      <c r="E8667" s="394"/>
      <c r="F8667" s="394"/>
      <c r="G8667" s="394"/>
      <c r="I8667" s="368">
        <f t="shared" si="411"/>
        <v>0</v>
      </c>
      <c r="J8667" s="365">
        <f t="shared" si="412"/>
        <v>0</v>
      </c>
      <c r="K8667" s="369">
        <f t="shared" si="413"/>
        <v>6</v>
      </c>
      <c r="L8667" s="369">
        <f>+IF((C8667&gt;='Resultats - informe'!$E$16)*(C8667&lt;='Resultats - informe'!$G$16),1,0)</f>
        <v>1</v>
      </c>
      <c r="M8667" s="369" cm="1">
        <f t="array" ref="M8667">+_xlfn.IFS((C8667&gt;='Resultats - informe'!$D$26)*(C8667&lt;='Resultats - informe'!$E$26),0,(C8667&gt;='Resultats - informe'!$D$27)*(C8667&lt;='Resultats - informe'!$E$27),0,(C8667&gt;='Resultats - informe'!$D$28)*(C8667&lt;='Resultats - informe'!$E$28),0,(C8667&gt;='Resultats - informe'!$D$29)*(C8667&lt;='Resultats - informe'!$E$29),0,1,1)</f>
        <v>0</v>
      </c>
      <c r="N8667" s="366">
        <f>+VLOOKUP(D8667,'Resultats - informe'!$Y$18:$AG$42,'Introducció dades consum'!K8667+1,0)</f>
        <v>0</v>
      </c>
      <c r="O8667" s="370" cm="1">
        <f t="array" ref="O8667">+_xlfn.SWITCH(MONTH(C8667),1,1,2,1,3,1,4,2,5,2,6,3,7,3,8,3,9,3,10,2,11,2,12,1,2)</f>
        <v>1</v>
      </c>
      <c r="P8667" s="43"/>
    </row>
    <row r="8668" spans="1:16" ht="18" x14ac:dyDescent="0.35">
      <c r="A8668" s="43"/>
      <c r="C8668" s="393"/>
      <c r="E8668" s="394"/>
      <c r="F8668" s="394"/>
      <c r="G8668" s="394"/>
      <c r="I8668" s="368">
        <f t="shared" si="411"/>
        <v>0</v>
      </c>
      <c r="J8668" s="365">
        <f t="shared" si="412"/>
        <v>0</v>
      </c>
      <c r="K8668" s="369">
        <f t="shared" si="413"/>
        <v>6</v>
      </c>
      <c r="L8668" s="369">
        <f>+IF((C8668&gt;='Resultats - informe'!$E$16)*(C8668&lt;='Resultats - informe'!$G$16),1,0)</f>
        <v>1</v>
      </c>
      <c r="M8668" s="369" cm="1">
        <f t="array" ref="M8668">+_xlfn.IFS((C8668&gt;='Resultats - informe'!$D$26)*(C8668&lt;='Resultats - informe'!$E$26),0,(C8668&gt;='Resultats - informe'!$D$27)*(C8668&lt;='Resultats - informe'!$E$27),0,(C8668&gt;='Resultats - informe'!$D$28)*(C8668&lt;='Resultats - informe'!$E$28),0,(C8668&gt;='Resultats - informe'!$D$29)*(C8668&lt;='Resultats - informe'!$E$29),0,1,1)</f>
        <v>0</v>
      </c>
      <c r="N8668" s="366">
        <f>+VLOOKUP(D8668,'Resultats - informe'!$Y$18:$AG$42,'Introducció dades consum'!K8668+1,0)</f>
        <v>0</v>
      </c>
      <c r="O8668" s="370" cm="1">
        <f t="array" ref="O8668">+_xlfn.SWITCH(MONTH(C8668),1,1,2,1,3,1,4,2,5,2,6,3,7,3,8,3,9,3,10,2,11,2,12,1,2)</f>
        <v>1</v>
      </c>
      <c r="P8668" s="43"/>
    </row>
    <row r="8669" spans="1:16" ht="18" x14ac:dyDescent="0.35">
      <c r="A8669" s="43"/>
      <c r="C8669" s="393"/>
      <c r="E8669" s="394"/>
      <c r="F8669" s="394"/>
      <c r="G8669" s="394"/>
      <c r="I8669" s="368">
        <f t="shared" si="411"/>
        <v>0</v>
      </c>
      <c r="J8669" s="365">
        <f t="shared" si="412"/>
        <v>0</v>
      </c>
      <c r="K8669" s="369">
        <f t="shared" si="413"/>
        <v>6</v>
      </c>
      <c r="L8669" s="369">
        <f>+IF((C8669&gt;='Resultats - informe'!$E$16)*(C8669&lt;='Resultats - informe'!$G$16),1,0)</f>
        <v>1</v>
      </c>
      <c r="M8669" s="369" cm="1">
        <f t="array" ref="M8669">+_xlfn.IFS((C8669&gt;='Resultats - informe'!$D$26)*(C8669&lt;='Resultats - informe'!$E$26),0,(C8669&gt;='Resultats - informe'!$D$27)*(C8669&lt;='Resultats - informe'!$E$27),0,(C8669&gt;='Resultats - informe'!$D$28)*(C8669&lt;='Resultats - informe'!$E$28),0,(C8669&gt;='Resultats - informe'!$D$29)*(C8669&lt;='Resultats - informe'!$E$29),0,1,1)</f>
        <v>0</v>
      </c>
      <c r="N8669" s="366">
        <f>+VLOOKUP(D8669,'Resultats - informe'!$Y$18:$AG$42,'Introducció dades consum'!K8669+1,0)</f>
        <v>0</v>
      </c>
      <c r="O8669" s="370" cm="1">
        <f t="array" ref="O8669">+_xlfn.SWITCH(MONTH(C8669),1,1,2,1,3,1,4,2,5,2,6,3,7,3,8,3,9,3,10,2,11,2,12,1,2)</f>
        <v>1</v>
      </c>
      <c r="P8669" s="43"/>
    </row>
    <row r="8670" spans="1:16" ht="18" x14ac:dyDescent="0.35">
      <c r="A8670" s="43"/>
      <c r="C8670" s="393"/>
      <c r="E8670" s="394"/>
      <c r="F8670" s="394"/>
      <c r="G8670" s="394"/>
      <c r="I8670" s="368">
        <f t="shared" si="411"/>
        <v>0</v>
      </c>
      <c r="J8670" s="365">
        <f t="shared" si="412"/>
        <v>0</v>
      </c>
      <c r="K8670" s="369">
        <f t="shared" si="413"/>
        <v>6</v>
      </c>
      <c r="L8670" s="369">
        <f>+IF((C8670&gt;='Resultats - informe'!$E$16)*(C8670&lt;='Resultats - informe'!$G$16),1,0)</f>
        <v>1</v>
      </c>
      <c r="M8670" s="369" cm="1">
        <f t="array" ref="M8670">+_xlfn.IFS((C8670&gt;='Resultats - informe'!$D$26)*(C8670&lt;='Resultats - informe'!$E$26),0,(C8670&gt;='Resultats - informe'!$D$27)*(C8670&lt;='Resultats - informe'!$E$27),0,(C8670&gt;='Resultats - informe'!$D$28)*(C8670&lt;='Resultats - informe'!$E$28),0,(C8670&gt;='Resultats - informe'!$D$29)*(C8670&lt;='Resultats - informe'!$E$29),0,1,1)</f>
        <v>0</v>
      </c>
      <c r="N8670" s="366">
        <f>+VLOOKUP(D8670,'Resultats - informe'!$Y$18:$AG$42,'Introducció dades consum'!K8670+1,0)</f>
        <v>0</v>
      </c>
      <c r="O8670" s="370" cm="1">
        <f t="array" ref="O8670">+_xlfn.SWITCH(MONTH(C8670),1,1,2,1,3,1,4,2,5,2,6,3,7,3,8,3,9,3,10,2,11,2,12,1,2)</f>
        <v>1</v>
      </c>
      <c r="P8670" s="43"/>
    </row>
    <row r="8671" spans="1:16" ht="18" x14ac:dyDescent="0.35">
      <c r="A8671" s="43"/>
      <c r="C8671" s="393"/>
      <c r="E8671" s="394"/>
      <c r="F8671" s="394"/>
      <c r="G8671" s="394"/>
      <c r="I8671" s="368">
        <f t="shared" si="411"/>
        <v>0</v>
      </c>
      <c r="J8671" s="365">
        <f t="shared" si="412"/>
        <v>0</v>
      </c>
      <c r="K8671" s="369">
        <f t="shared" si="413"/>
        <v>6</v>
      </c>
      <c r="L8671" s="369">
        <f>+IF((C8671&gt;='Resultats - informe'!$E$16)*(C8671&lt;='Resultats - informe'!$G$16),1,0)</f>
        <v>1</v>
      </c>
      <c r="M8671" s="369" cm="1">
        <f t="array" ref="M8671">+_xlfn.IFS((C8671&gt;='Resultats - informe'!$D$26)*(C8671&lt;='Resultats - informe'!$E$26),0,(C8671&gt;='Resultats - informe'!$D$27)*(C8671&lt;='Resultats - informe'!$E$27),0,(C8671&gt;='Resultats - informe'!$D$28)*(C8671&lt;='Resultats - informe'!$E$28),0,(C8671&gt;='Resultats - informe'!$D$29)*(C8671&lt;='Resultats - informe'!$E$29),0,1,1)</f>
        <v>0</v>
      </c>
      <c r="N8671" s="366">
        <f>+VLOOKUP(D8671,'Resultats - informe'!$Y$18:$AG$42,'Introducció dades consum'!K8671+1,0)</f>
        <v>0</v>
      </c>
      <c r="O8671" s="370" cm="1">
        <f t="array" ref="O8671">+_xlfn.SWITCH(MONTH(C8671),1,1,2,1,3,1,4,2,5,2,6,3,7,3,8,3,9,3,10,2,11,2,12,1,2)</f>
        <v>1</v>
      </c>
      <c r="P8671" s="43"/>
    </row>
    <row r="8672" spans="1:16" ht="18" x14ac:dyDescent="0.35">
      <c r="A8672" s="43"/>
      <c r="C8672" s="393"/>
      <c r="E8672" s="394"/>
      <c r="F8672" s="394"/>
      <c r="G8672" s="394"/>
      <c r="I8672" s="368">
        <f t="shared" si="411"/>
        <v>0</v>
      </c>
      <c r="J8672" s="365">
        <f t="shared" si="412"/>
        <v>0</v>
      </c>
      <c r="K8672" s="369">
        <f t="shared" si="413"/>
        <v>6</v>
      </c>
      <c r="L8672" s="369">
        <f>+IF((C8672&gt;='Resultats - informe'!$E$16)*(C8672&lt;='Resultats - informe'!$G$16),1,0)</f>
        <v>1</v>
      </c>
      <c r="M8672" s="369" cm="1">
        <f t="array" ref="M8672">+_xlfn.IFS((C8672&gt;='Resultats - informe'!$D$26)*(C8672&lt;='Resultats - informe'!$E$26),0,(C8672&gt;='Resultats - informe'!$D$27)*(C8672&lt;='Resultats - informe'!$E$27),0,(C8672&gt;='Resultats - informe'!$D$28)*(C8672&lt;='Resultats - informe'!$E$28),0,(C8672&gt;='Resultats - informe'!$D$29)*(C8672&lt;='Resultats - informe'!$E$29),0,1,1)</f>
        <v>0</v>
      </c>
      <c r="N8672" s="366">
        <f>+VLOOKUP(D8672,'Resultats - informe'!$Y$18:$AG$42,'Introducció dades consum'!K8672+1,0)</f>
        <v>0</v>
      </c>
      <c r="O8672" s="370" cm="1">
        <f t="array" ref="O8672">+_xlfn.SWITCH(MONTH(C8672),1,1,2,1,3,1,4,2,5,2,6,3,7,3,8,3,9,3,10,2,11,2,12,1,2)</f>
        <v>1</v>
      </c>
      <c r="P8672" s="43"/>
    </row>
    <row r="8673" spans="1:16" ht="18" x14ac:dyDescent="0.35">
      <c r="A8673" s="43"/>
      <c r="C8673" s="393"/>
      <c r="E8673" s="394"/>
      <c r="F8673" s="394"/>
      <c r="G8673" s="394"/>
      <c r="I8673" s="368">
        <f t="shared" si="411"/>
        <v>0</v>
      </c>
      <c r="J8673" s="365">
        <f t="shared" si="412"/>
        <v>0</v>
      </c>
      <c r="K8673" s="369">
        <f t="shared" si="413"/>
        <v>6</v>
      </c>
      <c r="L8673" s="369">
        <f>+IF((C8673&gt;='Resultats - informe'!$E$16)*(C8673&lt;='Resultats - informe'!$G$16),1,0)</f>
        <v>1</v>
      </c>
      <c r="M8673" s="369" cm="1">
        <f t="array" ref="M8673">+_xlfn.IFS((C8673&gt;='Resultats - informe'!$D$26)*(C8673&lt;='Resultats - informe'!$E$26),0,(C8673&gt;='Resultats - informe'!$D$27)*(C8673&lt;='Resultats - informe'!$E$27),0,(C8673&gt;='Resultats - informe'!$D$28)*(C8673&lt;='Resultats - informe'!$E$28),0,(C8673&gt;='Resultats - informe'!$D$29)*(C8673&lt;='Resultats - informe'!$E$29),0,1,1)</f>
        <v>0</v>
      </c>
      <c r="N8673" s="366">
        <f>+VLOOKUP(D8673,'Resultats - informe'!$Y$18:$AG$42,'Introducció dades consum'!K8673+1,0)</f>
        <v>0</v>
      </c>
      <c r="O8673" s="370" cm="1">
        <f t="array" ref="O8673">+_xlfn.SWITCH(MONTH(C8673),1,1,2,1,3,1,4,2,5,2,6,3,7,3,8,3,9,3,10,2,11,2,12,1,2)</f>
        <v>1</v>
      </c>
      <c r="P8673" s="43"/>
    </row>
    <row r="8674" spans="1:16" ht="18" x14ac:dyDescent="0.35">
      <c r="A8674" s="43"/>
      <c r="C8674" s="393"/>
      <c r="E8674" s="394"/>
      <c r="F8674" s="394"/>
      <c r="G8674" s="394"/>
      <c r="I8674" s="368">
        <f t="shared" si="411"/>
        <v>0</v>
      </c>
      <c r="J8674" s="365">
        <f t="shared" si="412"/>
        <v>0</v>
      </c>
      <c r="K8674" s="369">
        <f t="shared" si="413"/>
        <v>6</v>
      </c>
      <c r="L8674" s="369">
        <f>+IF((C8674&gt;='Resultats - informe'!$E$16)*(C8674&lt;='Resultats - informe'!$G$16),1,0)</f>
        <v>1</v>
      </c>
      <c r="M8674" s="369" cm="1">
        <f t="array" ref="M8674">+_xlfn.IFS((C8674&gt;='Resultats - informe'!$D$26)*(C8674&lt;='Resultats - informe'!$E$26),0,(C8674&gt;='Resultats - informe'!$D$27)*(C8674&lt;='Resultats - informe'!$E$27),0,(C8674&gt;='Resultats - informe'!$D$28)*(C8674&lt;='Resultats - informe'!$E$28),0,(C8674&gt;='Resultats - informe'!$D$29)*(C8674&lt;='Resultats - informe'!$E$29),0,1,1)</f>
        <v>0</v>
      </c>
      <c r="N8674" s="366">
        <f>+VLOOKUP(D8674,'Resultats - informe'!$Y$18:$AG$42,'Introducció dades consum'!K8674+1,0)</f>
        <v>0</v>
      </c>
      <c r="O8674" s="370" cm="1">
        <f t="array" ref="O8674">+_xlfn.SWITCH(MONTH(C8674),1,1,2,1,3,1,4,2,5,2,6,3,7,3,8,3,9,3,10,2,11,2,12,1,2)</f>
        <v>1</v>
      </c>
      <c r="P8674" s="43"/>
    </row>
    <row r="8675" spans="1:16" ht="18" x14ac:dyDescent="0.35">
      <c r="A8675" s="43"/>
      <c r="C8675" s="393"/>
      <c r="E8675" s="394"/>
      <c r="F8675" s="394"/>
      <c r="G8675" s="394"/>
      <c r="I8675" s="368">
        <f t="shared" si="411"/>
        <v>0</v>
      </c>
      <c r="J8675" s="365">
        <f t="shared" si="412"/>
        <v>0</v>
      </c>
      <c r="K8675" s="369">
        <f t="shared" si="413"/>
        <v>6</v>
      </c>
      <c r="L8675" s="369">
        <f>+IF((C8675&gt;='Resultats - informe'!$E$16)*(C8675&lt;='Resultats - informe'!$G$16),1,0)</f>
        <v>1</v>
      </c>
      <c r="M8675" s="369" cm="1">
        <f t="array" ref="M8675">+_xlfn.IFS((C8675&gt;='Resultats - informe'!$D$26)*(C8675&lt;='Resultats - informe'!$E$26),0,(C8675&gt;='Resultats - informe'!$D$27)*(C8675&lt;='Resultats - informe'!$E$27),0,(C8675&gt;='Resultats - informe'!$D$28)*(C8675&lt;='Resultats - informe'!$E$28),0,(C8675&gt;='Resultats - informe'!$D$29)*(C8675&lt;='Resultats - informe'!$E$29),0,1,1)</f>
        <v>0</v>
      </c>
      <c r="N8675" s="366">
        <f>+VLOOKUP(D8675,'Resultats - informe'!$Y$18:$AG$42,'Introducció dades consum'!K8675+1,0)</f>
        <v>0</v>
      </c>
      <c r="O8675" s="370" cm="1">
        <f t="array" ref="O8675">+_xlfn.SWITCH(MONTH(C8675),1,1,2,1,3,1,4,2,5,2,6,3,7,3,8,3,9,3,10,2,11,2,12,1,2)</f>
        <v>1</v>
      </c>
      <c r="P8675" s="43"/>
    </row>
    <row r="8676" spans="1:16" ht="18" x14ac:dyDescent="0.35">
      <c r="A8676" s="43"/>
      <c r="C8676" s="393"/>
      <c r="E8676" s="394"/>
      <c r="F8676" s="394"/>
      <c r="G8676" s="394"/>
      <c r="I8676" s="368">
        <f t="shared" si="411"/>
        <v>0</v>
      </c>
      <c r="J8676" s="365">
        <f t="shared" si="412"/>
        <v>0</v>
      </c>
      <c r="K8676" s="369">
        <f t="shared" si="413"/>
        <v>6</v>
      </c>
      <c r="L8676" s="369">
        <f>+IF((C8676&gt;='Resultats - informe'!$E$16)*(C8676&lt;='Resultats - informe'!$G$16),1,0)</f>
        <v>1</v>
      </c>
      <c r="M8676" s="369" cm="1">
        <f t="array" ref="M8676">+_xlfn.IFS((C8676&gt;='Resultats - informe'!$D$26)*(C8676&lt;='Resultats - informe'!$E$26),0,(C8676&gt;='Resultats - informe'!$D$27)*(C8676&lt;='Resultats - informe'!$E$27),0,(C8676&gt;='Resultats - informe'!$D$28)*(C8676&lt;='Resultats - informe'!$E$28),0,(C8676&gt;='Resultats - informe'!$D$29)*(C8676&lt;='Resultats - informe'!$E$29),0,1,1)</f>
        <v>0</v>
      </c>
      <c r="N8676" s="366">
        <f>+VLOOKUP(D8676,'Resultats - informe'!$Y$18:$AG$42,'Introducció dades consum'!K8676+1,0)</f>
        <v>0</v>
      </c>
      <c r="O8676" s="370" cm="1">
        <f t="array" ref="O8676">+_xlfn.SWITCH(MONTH(C8676),1,1,2,1,3,1,4,2,5,2,6,3,7,3,8,3,9,3,10,2,11,2,12,1,2)</f>
        <v>1</v>
      </c>
      <c r="P8676" s="43"/>
    </row>
    <row r="8677" spans="1:16" ht="18" x14ac:dyDescent="0.35">
      <c r="A8677" s="43"/>
      <c r="C8677" s="393"/>
      <c r="E8677" s="394"/>
      <c r="F8677" s="394"/>
      <c r="G8677" s="394"/>
      <c r="I8677" s="368">
        <f t="shared" si="411"/>
        <v>0</v>
      </c>
      <c r="J8677" s="365">
        <f t="shared" si="412"/>
        <v>0</v>
      </c>
      <c r="K8677" s="369">
        <f t="shared" si="413"/>
        <v>6</v>
      </c>
      <c r="L8677" s="369">
        <f>+IF((C8677&gt;='Resultats - informe'!$E$16)*(C8677&lt;='Resultats - informe'!$G$16),1,0)</f>
        <v>1</v>
      </c>
      <c r="M8677" s="369" cm="1">
        <f t="array" ref="M8677">+_xlfn.IFS((C8677&gt;='Resultats - informe'!$D$26)*(C8677&lt;='Resultats - informe'!$E$26),0,(C8677&gt;='Resultats - informe'!$D$27)*(C8677&lt;='Resultats - informe'!$E$27),0,(C8677&gt;='Resultats - informe'!$D$28)*(C8677&lt;='Resultats - informe'!$E$28),0,(C8677&gt;='Resultats - informe'!$D$29)*(C8677&lt;='Resultats - informe'!$E$29),0,1,1)</f>
        <v>0</v>
      </c>
      <c r="N8677" s="366">
        <f>+VLOOKUP(D8677,'Resultats - informe'!$Y$18:$AG$42,'Introducció dades consum'!K8677+1,0)</f>
        <v>0</v>
      </c>
      <c r="O8677" s="370" cm="1">
        <f t="array" ref="O8677">+_xlfn.SWITCH(MONTH(C8677),1,1,2,1,3,1,4,2,5,2,6,3,7,3,8,3,9,3,10,2,11,2,12,1,2)</f>
        <v>1</v>
      </c>
      <c r="P8677" s="43"/>
    </row>
    <row r="8678" spans="1:16" ht="18" x14ac:dyDescent="0.35">
      <c r="A8678" s="43"/>
      <c r="C8678" s="393"/>
      <c r="E8678" s="394"/>
      <c r="F8678" s="394"/>
      <c r="G8678" s="394"/>
      <c r="I8678" s="368">
        <f t="shared" si="411"/>
        <v>0</v>
      </c>
      <c r="J8678" s="365">
        <f t="shared" si="412"/>
        <v>0</v>
      </c>
      <c r="K8678" s="369">
        <f t="shared" si="413"/>
        <v>6</v>
      </c>
      <c r="L8678" s="369">
        <f>+IF((C8678&gt;='Resultats - informe'!$E$16)*(C8678&lt;='Resultats - informe'!$G$16),1,0)</f>
        <v>1</v>
      </c>
      <c r="M8678" s="369" cm="1">
        <f t="array" ref="M8678">+_xlfn.IFS((C8678&gt;='Resultats - informe'!$D$26)*(C8678&lt;='Resultats - informe'!$E$26),0,(C8678&gt;='Resultats - informe'!$D$27)*(C8678&lt;='Resultats - informe'!$E$27),0,(C8678&gt;='Resultats - informe'!$D$28)*(C8678&lt;='Resultats - informe'!$E$28),0,(C8678&gt;='Resultats - informe'!$D$29)*(C8678&lt;='Resultats - informe'!$E$29),0,1,1)</f>
        <v>0</v>
      </c>
      <c r="N8678" s="366">
        <f>+VLOOKUP(D8678,'Resultats - informe'!$Y$18:$AG$42,'Introducció dades consum'!K8678+1,0)</f>
        <v>0</v>
      </c>
      <c r="O8678" s="370" cm="1">
        <f t="array" ref="O8678">+_xlfn.SWITCH(MONTH(C8678),1,1,2,1,3,1,4,2,5,2,6,3,7,3,8,3,9,3,10,2,11,2,12,1,2)</f>
        <v>1</v>
      </c>
      <c r="P8678" s="43"/>
    </row>
    <row r="8679" spans="1:16" ht="18" x14ac:dyDescent="0.35">
      <c r="A8679" s="43"/>
      <c r="C8679" s="393"/>
      <c r="E8679" s="394"/>
      <c r="F8679" s="394"/>
      <c r="G8679" s="394"/>
      <c r="I8679" s="368">
        <f t="shared" si="411"/>
        <v>0</v>
      </c>
      <c r="J8679" s="365">
        <f t="shared" si="412"/>
        <v>0</v>
      </c>
      <c r="K8679" s="369">
        <f t="shared" si="413"/>
        <v>6</v>
      </c>
      <c r="L8679" s="369">
        <f>+IF((C8679&gt;='Resultats - informe'!$E$16)*(C8679&lt;='Resultats - informe'!$G$16),1,0)</f>
        <v>1</v>
      </c>
      <c r="M8679" s="369" cm="1">
        <f t="array" ref="M8679">+_xlfn.IFS((C8679&gt;='Resultats - informe'!$D$26)*(C8679&lt;='Resultats - informe'!$E$26),0,(C8679&gt;='Resultats - informe'!$D$27)*(C8679&lt;='Resultats - informe'!$E$27),0,(C8679&gt;='Resultats - informe'!$D$28)*(C8679&lt;='Resultats - informe'!$E$28),0,(C8679&gt;='Resultats - informe'!$D$29)*(C8679&lt;='Resultats - informe'!$E$29),0,1,1)</f>
        <v>0</v>
      </c>
      <c r="N8679" s="366">
        <f>+VLOOKUP(D8679,'Resultats - informe'!$Y$18:$AG$42,'Introducció dades consum'!K8679+1,0)</f>
        <v>0</v>
      </c>
      <c r="O8679" s="370" cm="1">
        <f t="array" ref="O8679">+_xlfn.SWITCH(MONTH(C8679),1,1,2,1,3,1,4,2,5,2,6,3,7,3,8,3,9,3,10,2,11,2,12,1,2)</f>
        <v>1</v>
      </c>
      <c r="P8679" s="43"/>
    </row>
    <row r="8680" spans="1:16" ht="18" x14ac:dyDescent="0.35">
      <c r="A8680" s="43"/>
      <c r="C8680" s="393"/>
      <c r="E8680" s="394"/>
      <c r="F8680" s="394"/>
      <c r="G8680" s="394"/>
      <c r="I8680" s="368">
        <f t="shared" si="411"/>
        <v>0</v>
      </c>
      <c r="J8680" s="365">
        <f t="shared" si="412"/>
        <v>0</v>
      </c>
      <c r="K8680" s="369">
        <f t="shared" si="413"/>
        <v>6</v>
      </c>
      <c r="L8680" s="369">
        <f>+IF((C8680&gt;='Resultats - informe'!$E$16)*(C8680&lt;='Resultats - informe'!$G$16),1,0)</f>
        <v>1</v>
      </c>
      <c r="M8680" s="369" cm="1">
        <f t="array" ref="M8680">+_xlfn.IFS((C8680&gt;='Resultats - informe'!$D$26)*(C8680&lt;='Resultats - informe'!$E$26),0,(C8680&gt;='Resultats - informe'!$D$27)*(C8680&lt;='Resultats - informe'!$E$27),0,(C8680&gt;='Resultats - informe'!$D$28)*(C8680&lt;='Resultats - informe'!$E$28),0,(C8680&gt;='Resultats - informe'!$D$29)*(C8680&lt;='Resultats - informe'!$E$29),0,1,1)</f>
        <v>0</v>
      </c>
      <c r="N8680" s="366">
        <f>+VLOOKUP(D8680,'Resultats - informe'!$Y$18:$AG$42,'Introducció dades consum'!K8680+1,0)</f>
        <v>0</v>
      </c>
      <c r="O8680" s="370" cm="1">
        <f t="array" ref="O8680">+_xlfn.SWITCH(MONTH(C8680),1,1,2,1,3,1,4,2,5,2,6,3,7,3,8,3,9,3,10,2,11,2,12,1,2)</f>
        <v>1</v>
      </c>
      <c r="P8680" s="43"/>
    </row>
    <row r="8681" spans="1:16" ht="18" x14ac:dyDescent="0.35">
      <c r="A8681" s="43"/>
      <c r="C8681" s="393"/>
      <c r="E8681" s="394"/>
      <c r="F8681" s="394"/>
      <c r="G8681" s="394"/>
      <c r="I8681" s="368">
        <f t="shared" si="411"/>
        <v>0</v>
      </c>
      <c r="J8681" s="365">
        <f t="shared" si="412"/>
        <v>0</v>
      </c>
      <c r="K8681" s="369">
        <f t="shared" si="413"/>
        <v>6</v>
      </c>
      <c r="L8681" s="369">
        <f>+IF((C8681&gt;='Resultats - informe'!$E$16)*(C8681&lt;='Resultats - informe'!$G$16),1,0)</f>
        <v>1</v>
      </c>
      <c r="M8681" s="369" cm="1">
        <f t="array" ref="M8681">+_xlfn.IFS((C8681&gt;='Resultats - informe'!$D$26)*(C8681&lt;='Resultats - informe'!$E$26),0,(C8681&gt;='Resultats - informe'!$D$27)*(C8681&lt;='Resultats - informe'!$E$27),0,(C8681&gt;='Resultats - informe'!$D$28)*(C8681&lt;='Resultats - informe'!$E$28),0,(C8681&gt;='Resultats - informe'!$D$29)*(C8681&lt;='Resultats - informe'!$E$29),0,1,1)</f>
        <v>0</v>
      </c>
      <c r="N8681" s="366">
        <f>+VLOOKUP(D8681,'Resultats - informe'!$Y$18:$AG$42,'Introducció dades consum'!K8681+1,0)</f>
        <v>0</v>
      </c>
      <c r="O8681" s="370" cm="1">
        <f t="array" ref="O8681">+_xlfn.SWITCH(MONTH(C8681),1,1,2,1,3,1,4,2,5,2,6,3,7,3,8,3,9,3,10,2,11,2,12,1,2)</f>
        <v>1</v>
      </c>
      <c r="P8681" s="43"/>
    </row>
    <row r="8682" spans="1:16" ht="18" x14ac:dyDescent="0.35">
      <c r="A8682" s="43"/>
      <c r="C8682" s="393"/>
      <c r="E8682" s="394"/>
      <c r="F8682" s="394"/>
      <c r="G8682" s="394"/>
      <c r="I8682" s="368">
        <f t="shared" si="411"/>
        <v>0</v>
      </c>
      <c r="J8682" s="365">
        <f t="shared" si="412"/>
        <v>0</v>
      </c>
      <c r="K8682" s="369">
        <f t="shared" si="413"/>
        <v>6</v>
      </c>
      <c r="L8682" s="369">
        <f>+IF((C8682&gt;='Resultats - informe'!$E$16)*(C8682&lt;='Resultats - informe'!$G$16),1,0)</f>
        <v>1</v>
      </c>
      <c r="M8682" s="369" cm="1">
        <f t="array" ref="M8682">+_xlfn.IFS((C8682&gt;='Resultats - informe'!$D$26)*(C8682&lt;='Resultats - informe'!$E$26),0,(C8682&gt;='Resultats - informe'!$D$27)*(C8682&lt;='Resultats - informe'!$E$27),0,(C8682&gt;='Resultats - informe'!$D$28)*(C8682&lt;='Resultats - informe'!$E$28),0,(C8682&gt;='Resultats - informe'!$D$29)*(C8682&lt;='Resultats - informe'!$E$29),0,1,1)</f>
        <v>0</v>
      </c>
      <c r="N8682" s="366">
        <f>+VLOOKUP(D8682,'Resultats - informe'!$Y$18:$AG$42,'Introducció dades consum'!K8682+1,0)</f>
        <v>0</v>
      </c>
      <c r="O8682" s="370" cm="1">
        <f t="array" ref="O8682">+_xlfn.SWITCH(MONTH(C8682),1,1,2,1,3,1,4,2,5,2,6,3,7,3,8,3,9,3,10,2,11,2,12,1,2)</f>
        <v>1</v>
      </c>
      <c r="P8682" s="43"/>
    </row>
    <row r="8683" spans="1:16" ht="18" x14ac:dyDescent="0.35">
      <c r="A8683" s="43"/>
      <c r="C8683" s="393"/>
      <c r="E8683" s="394"/>
      <c r="F8683" s="394"/>
      <c r="G8683" s="394"/>
      <c r="I8683" s="368">
        <f t="shared" si="411"/>
        <v>0</v>
      </c>
      <c r="J8683" s="365">
        <f t="shared" si="412"/>
        <v>0</v>
      </c>
      <c r="K8683" s="369">
        <f t="shared" si="413"/>
        <v>6</v>
      </c>
      <c r="L8683" s="369">
        <f>+IF((C8683&gt;='Resultats - informe'!$E$16)*(C8683&lt;='Resultats - informe'!$G$16),1,0)</f>
        <v>1</v>
      </c>
      <c r="M8683" s="369" cm="1">
        <f t="array" ref="M8683">+_xlfn.IFS((C8683&gt;='Resultats - informe'!$D$26)*(C8683&lt;='Resultats - informe'!$E$26),0,(C8683&gt;='Resultats - informe'!$D$27)*(C8683&lt;='Resultats - informe'!$E$27),0,(C8683&gt;='Resultats - informe'!$D$28)*(C8683&lt;='Resultats - informe'!$E$28),0,(C8683&gt;='Resultats - informe'!$D$29)*(C8683&lt;='Resultats - informe'!$E$29),0,1,1)</f>
        <v>0</v>
      </c>
      <c r="N8683" s="366">
        <f>+VLOOKUP(D8683,'Resultats - informe'!$Y$18:$AG$42,'Introducció dades consum'!K8683+1,0)</f>
        <v>0</v>
      </c>
      <c r="O8683" s="370" cm="1">
        <f t="array" ref="O8683">+_xlfn.SWITCH(MONTH(C8683),1,1,2,1,3,1,4,2,5,2,6,3,7,3,8,3,9,3,10,2,11,2,12,1,2)</f>
        <v>1</v>
      </c>
      <c r="P8683" s="43"/>
    </row>
    <row r="8684" spans="1:16" ht="18" x14ac:dyDescent="0.35">
      <c r="A8684" s="43"/>
      <c r="C8684" s="393"/>
      <c r="E8684" s="394"/>
      <c r="F8684" s="394"/>
      <c r="G8684" s="394"/>
      <c r="I8684" s="368">
        <f t="shared" si="411"/>
        <v>0</v>
      </c>
      <c r="J8684" s="365">
        <f t="shared" si="412"/>
        <v>0</v>
      </c>
      <c r="K8684" s="369">
        <f t="shared" si="413"/>
        <v>6</v>
      </c>
      <c r="L8684" s="369">
        <f>+IF((C8684&gt;='Resultats - informe'!$E$16)*(C8684&lt;='Resultats - informe'!$G$16),1,0)</f>
        <v>1</v>
      </c>
      <c r="M8684" s="369" cm="1">
        <f t="array" ref="M8684">+_xlfn.IFS((C8684&gt;='Resultats - informe'!$D$26)*(C8684&lt;='Resultats - informe'!$E$26),0,(C8684&gt;='Resultats - informe'!$D$27)*(C8684&lt;='Resultats - informe'!$E$27),0,(C8684&gt;='Resultats - informe'!$D$28)*(C8684&lt;='Resultats - informe'!$E$28),0,(C8684&gt;='Resultats - informe'!$D$29)*(C8684&lt;='Resultats - informe'!$E$29),0,1,1)</f>
        <v>0</v>
      </c>
      <c r="N8684" s="366">
        <f>+VLOOKUP(D8684,'Resultats - informe'!$Y$18:$AG$42,'Introducció dades consum'!K8684+1,0)</f>
        <v>0</v>
      </c>
      <c r="O8684" s="370" cm="1">
        <f t="array" ref="O8684">+_xlfn.SWITCH(MONTH(C8684),1,1,2,1,3,1,4,2,5,2,6,3,7,3,8,3,9,3,10,2,11,2,12,1,2)</f>
        <v>1</v>
      </c>
      <c r="P8684" s="43"/>
    </row>
    <row r="8685" spans="1:16" ht="18" x14ac:dyDescent="0.35">
      <c r="A8685" s="43"/>
      <c r="C8685" s="393"/>
      <c r="E8685" s="394"/>
      <c r="F8685" s="394"/>
      <c r="G8685" s="394"/>
      <c r="I8685" s="368">
        <f t="shared" si="411"/>
        <v>0</v>
      </c>
      <c r="J8685" s="365">
        <f t="shared" si="412"/>
        <v>0</v>
      </c>
      <c r="K8685" s="369">
        <f t="shared" si="413"/>
        <v>6</v>
      </c>
      <c r="L8685" s="369">
        <f>+IF((C8685&gt;='Resultats - informe'!$E$16)*(C8685&lt;='Resultats - informe'!$G$16),1,0)</f>
        <v>1</v>
      </c>
      <c r="M8685" s="369" cm="1">
        <f t="array" ref="M8685">+_xlfn.IFS((C8685&gt;='Resultats - informe'!$D$26)*(C8685&lt;='Resultats - informe'!$E$26),0,(C8685&gt;='Resultats - informe'!$D$27)*(C8685&lt;='Resultats - informe'!$E$27),0,(C8685&gt;='Resultats - informe'!$D$28)*(C8685&lt;='Resultats - informe'!$E$28),0,(C8685&gt;='Resultats - informe'!$D$29)*(C8685&lt;='Resultats - informe'!$E$29),0,1,1)</f>
        <v>0</v>
      </c>
      <c r="N8685" s="366">
        <f>+VLOOKUP(D8685,'Resultats - informe'!$Y$18:$AG$42,'Introducció dades consum'!K8685+1,0)</f>
        <v>0</v>
      </c>
      <c r="O8685" s="370" cm="1">
        <f t="array" ref="O8685">+_xlfn.SWITCH(MONTH(C8685),1,1,2,1,3,1,4,2,5,2,6,3,7,3,8,3,9,3,10,2,11,2,12,1,2)</f>
        <v>1</v>
      </c>
      <c r="P8685" s="43"/>
    </row>
    <row r="8686" spans="1:16" ht="18" x14ac:dyDescent="0.35">
      <c r="A8686" s="43"/>
      <c r="C8686" s="393"/>
      <c r="E8686" s="394"/>
      <c r="F8686" s="394"/>
      <c r="G8686" s="394"/>
      <c r="I8686" s="368">
        <f t="shared" si="411"/>
        <v>0</v>
      </c>
      <c r="J8686" s="365">
        <f t="shared" si="412"/>
        <v>0</v>
      </c>
      <c r="K8686" s="369">
        <f t="shared" si="413"/>
        <v>6</v>
      </c>
      <c r="L8686" s="369">
        <f>+IF((C8686&gt;='Resultats - informe'!$E$16)*(C8686&lt;='Resultats - informe'!$G$16),1,0)</f>
        <v>1</v>
      </c>
      <c r="M8686" s="369" cm="1">
        <f t="array" ref="M8686">+_xlfn.IFS((C8686&gt;='Resultats - informe'!$D$26)*(C8686&lt;='Resultats - informe'!$E$26),0,(C8686&gt;='Resultats - informe'!$D$27)*(C8686&lt;='Resultats - informe'!$E$27),0,(C8686&gt;='Resultats - informe'!$D$28)*(C8686&lt;='Resultats - informe'!$E$28),0,(C8686&gt;='Resultats - informe'!$D$29)*(C8686&lt;='Resultats - informe'!$E$29),0,1,1)</f>
        <v>0</v>
      </c>
      <c r="N8686" s="366">
        <f>+VLOOKUP(D8686,'Resultats - informe'!$Y$18:$AG$42,'Introducció dades consum'!K8686+1,0)</f>
        <v>0</v>
      </c>
      <c r="O8686" s="370" cm="1">
        <f t="array" ref="O8686">+_xlfn.SWITCH(MONTH(C8686),1,1,2,1,3,1,4,2,5,2,6,3,7,3,8,3,9,3,10,2,11,2,12,1,2)</f>
        <v>1</v>
      </c>
      <c r="P8686" s="43"/>
    </row>
    <row r="8687" spans="1:16" ht="18" x14ac:dyDescent="0.35">
      <c r="A8687" s="43"/>
      <c r="C8687" s="393"/>
      <c r="E8687" s="394"/>
      <c r="F8687" s="394"/>
      <c r="G8687" s="394"/>
      <c r="I8687" s="368">
        <f t="shared" si="411"/>
        <v>0</v>
      </c>
      <c r="J8687" s="365">
        <f t="shared" si="412"/>
        <v>0</v>
      </c>
      <c r="K8687" s="369">
        <f t="shared" si="413"/>
        <v>6</v>
      </c>
      <c r="L8687" s="369">
        <f>+IF((C8687&gt;='Resultats - informe'!$E$16)*(C8687&lt;='Resultats - informe'!$G$16),1,0)</f>
        <v>1</v>
      </c>
      <c r="M8687" s="369" cm="1">
        <f t="array" ref="M8687">+_xlfn.IFS((C8687&gt;='Resultats - informe'!$D$26)*(C8687&lt;='Resultats - informe'!$E$26),0,(C8687&gt;='Resultats - informe'!$D$27)*(C8687&lt;='Resultats - informe'!$E$27),0,(C8687&gt;='Resultats - informe'!$D$28)*(C8687&lt;='Resultats - informe'!$E$28),0,(C8687&gt;='Resultats - informe'!$D$29)*(C8687&lt;='Resultats - informe'!$E$29),0,1,1)</f>
        <v>0</v>
      </c>
      <c r="N8687" s="366">
        <f>+VLOOKUP(D8687,'Resultats - informe'!$Y$18:$AG$42,'Introducció dades consum'!K8687+1,0)</f>
        <v>0</v>
      </c>
      <c r="O8687" s="370" cm="1">
        <f t="array" ref="O8687">+_xlfn.SWITCH(MONTH(C8687),1,1,2,1,3,1,4,2,5,2,6,3,7,3,8,3,9,3,10,2,11,2,12,1,2)</f>
        <v>1</v>
      </c>
      <c r="P8687" s="43"/>
    </row>
    <row r="8688" spans="1:16" ht="18" x14ac:dyDescent="0.35">
      <c r="A8688" s="43"/>
      <c r="C8688" s="393"/>
      <c r="E8688" s="394"/>
      <c r="F8688" s="394"/>
      <c r="G8688" s="394"/>
      <c r="I8688" s="368">
        <f t="shared" si="411"/>
        <v>0</v>
      </c>
      <c r="J8688" s="365">
        <f t="shared" si="412"/>
        <v>0</v>
      </c>
      <c r="K8688" s="369">
        <f t="shared" si="413"/>
        <v>6</v>
      </c>
      <c r="L8688" s="369">
        <f>+IF((C8688&gt;='Resultats - informe'!$E$16)*(C8688&lt;='Resultats - informe'!$G$16),1,0)</f>
        <v>1</v>
      </c>
      <c r="M8688" s="369" cm="1">
        <f t="array" ref="M8688">+_xlfn.IFS((C8688&gt;='Resultats - informe'!$D$26)*(C8688&lt;='Resultats - informe'!$E$26),0,(C8688&gt;='Resultats - informe'!$D$27)*(C8688&lt;='Resultats - informe'!$E$27),0,(C8688&gt;='Resultats - informe'!$D$28)*(C8688&lt;='Resultats - informe'!$E$28),0,(C8688&gt;='Resultats - informe'!$D$29)*(C8688&lt;='Resultats - informe'!$E$29),0,1,1)</f>
        <v>0</v>
      </c>
      <c r="N8688" s="366">
        <f>+VLOOKUP(D8688,'Resultats - informe'!$Y$18:$AG$42,'Introducció dades consum'!K8688+1,0)</f>
        <v>0</v>
      </c>
      <c r="O8688" s="370" cm="1">
        <f t="array" ref="O8688">+_xlfn.SWITCH(MONTH(C8688),1,1,2,1,3,1,4,2,5,2,6,3,7,3,8,3,9,3,10,2,11,2,12,1,2)</f>
        <v>1</v>
      </c>
      <c r="P8688" s="43"/>
    </row>
    <row r="8689" spans="1:16" ht="18" x14ac:dyDescent="0.35">
      <c r="A8689" s="43"/>
      <c r="C8689" s="393"/>
      <c r="E8689" s="394"/>
      <c r="F8689" s="394"/>
      <c r="G8689" s="394"/>
      <c r="I8689" s="368">
        <f t="shared" si="411"/>
        <v>0</v>
      </c>
      <c r="J8689" s="365">
        <f t="shared" si="412"/>
        <v>0</v>
      </c>
      <c r="K8689" s="369">
        <f t="shared" si="413"/>
        <v>6</v>
      </c>
      <c r="L8689" s="369">
        <f>+IF((C8689&gt;='Resultats - informe'!$E$16)*(C8689&lt;='Resultats - informe'!$G$16),1,0)</f>
        <v>1</v>
      </c>
      <c r="M8689" s="369" cm="1">
        <f t="array" ref="M8689">+_xlfn.IFS((C8689&gt;='Resultats - informe'!$D$26)*(C8689&lt;='Resultats - informe'!$E$26),0,(C8689&gt;='Resultats - informe'!$D$27)*(C8689&lt;='Resultats - informe'!$E$27),0,(C8689&gt;='Resultats - informe'!$D$28)*(C8689&lt;='Resultats - informe'!$E$28),0,(C8689&gt;='Resultats - informe'!$D$29)*(C8689&lt;='Resultats - informe'!$E$29),0,1,1)</f>
        <v>0</v>
      </c>
      <c r="N8689" s="366">
        <f>+VLOOKUP(D8689,'Resultats - informe'!$Y$18:$AG$42,'Introducció dades consum'!K8689+1,0)</f>
        <v>0</v>
      </c>
      <c r="O8689" s="370" cm="1">
        <f t="array" ref="O8689">+_xlfn.SWITCH(MONTH(C8689),1,1,2,1,3,1,4,2,5,2,6,3,7,3,8,3,9,3,10,2,11,2,12,1,2)</f>
        <v>1</v>
      </c>
      <c r="P8689" s="43"/>
    </row>
    <row r="8690" spans="1:16" ht="18" x14ac:dyDescent="0.35">
      <c r="A8690" s="43"/>
      <c r="C8690" s="393"/>
      <c r="E8690" s="394"/>
      <c r="F8690" s="394"/>
      <c r="G8690" s="394"/>
      <c r="I8690" s="368">
        <f t="shared" si="411"/>
        <v>0</v>
      </c>
      <c r="J8690" s="365">
        <f t="shared" si="412"/>
        <v>0</v>
      </c>
      <c r="K8690" s="369">
        <f t="shared" si="413"/>
        <v>6</v>
      </c>
      <c r="L8690" s="369">
        <f>+IF((C8690&gt;='Resultats - informe'!$E$16)*(C8690&lt;='Resultats - informe'!$G$16),1,0)</f>
        <v>1</v>
      </c>
      <c r="M8690" s="369" cm="1">
        <f t="array" ref="M8690">+_xlfn.IFS((C8690&gt;='Resultats - informe'!$D$26)*(C8690&lt;='Resultats - informe'!$E$26),0,(C8690&gt;='Resultats - informe'!$D$27)*(C8690&lt;='Resultats - informe'!$E$27),0,(C8690&gt;='Resultats - informe'!$D$28)*(C8690&lt;='Resultats - informe'!$E$28),0,(C8690&gt;='Resultats - informe'!$D$29)*(C8690&lt;='Resultats - informe'!$E$29),0,1,1)</f>
        <v>0</v>
      </c>
      <c r="N8690" s="366">
        <f>+VLOOKUP(D8690,'Resultats - informe'!$Y$18:$AG$42,'Introducció dades consum'!K8690+1,0)</f>
        <v>0</v>
      </c>
      <c r="O8690" s="370" cm="1">
        <f t="array" ref="O8690">+_xlfn.SWITCH(MONTH(C8690),1,1,2,1,3,1,4,2,5,2,6,3,7,3,8,3,9,3,10,2,11,2,12,1,2)</f>
        <v>1</v>
      </c>
      <c r="P8690" s="43"/>
    </row>
    <row r="8691" spans="1:16" ht="18" x14ac:dyDescent="0.35">
      <c r="A8691" s="43"/>
      <c r="C8691" s="393"/>
      <c r="E8691" s="394"/>
      <c r="F8691" s="394"/>
      <c r="G8691" s="394"/>
      <c r="I8691" s="368">
        <f t="shared" si="411"/>
        <v>0</v>
      </c>
      <c r="J8691" s="365">
        <f t="shared" si="412"/>
        <v>0</v>
      </c>
      <c r="K8691" s="369">
        <f t="shared" si="413"/>
        <v>6</v>
      </c>
      <c r="L8691" s="369">
        <f>+IF((C8691&gt;='Resultats - informe'!$E$16)*(C8691&lt;='Resultats - informe'!$G$16),1,0)</f>
        <v>1</v>
      </c>
      <c r="M8691" s="369" cm="1">
        <f t="array" ref="M8691">+_xlfn.IFS((C8691&gt;='Resultats - informe'!$D$26)*(C8691&lt;='Resultats - informe'!$E$26),0,(C8691&gt;='Resultats - informe'!$D$27)*(C8691&lt;='Resultats - informe'!$E$27),0,(C8691&gt;='Resultats - informe'!$D$28)*(C8691&lt;='Resultats - informe'!$E$28),0,(C8691&gt;='Resultats - informe'!$D$29)*(C8691&lt;='Resultats - informe'!$E$29),0,1,1)</f>
        <v>0</v>
      </c>
      <c r="N8691" s="366">
        <f>+VLOOKUP(D8691,'Resultats - informe'!$Y$18:$AG$42,'Introducció dades consum'!K8691+1,0)</f>
        <v>0</v>
      </c>
      <c r="O8691" s="370" cm="1">
        <f t="array" ref="O8691">+_xlfn.SWITCH(MONTH(C8691),1,1,2,1,3,1,4,2,5,2,6,3,7,3,8,3,9,3,10,2,11,2,12,1,2)</f>
        <v>1</v>
      </c>
      <c r="P8691" s="43"/>
    </row>
    <row r="8692" spans="1:16" ht="18" x14ac:dyDescent="0.35">
      <c r="A8692" s="43"/>
      <c r="C8692" s="393"/>
      <c r="E8692" s="394"/>
      <c r="F8692" s="394"/>
      <c r="G8692" s="394"/>
      <c r="I8692" s="368">
        <f t="shared" si="411"/>
        <v>0</v>
      </c>
      <c r="J8692" s="365">
        <f t="shared" si="412"/>
        <v>0</v>
      </c>
      <c r="K8692" s="369">
        <f t="shared" si="413"/>
        <v>6</v>
      </c>
      <c r="L8692" s="369">
        <f>+IF((C8692&gt;='Resultats - informe'!$E$16)*(C8692&lt;='Resultats - informe'!$G$16),1,0)</f>
        <v>1</v>
      </c>
      <c r="M8692" s="369" cm="1">
        <f t="array" ref="M8692">+_xlfn.IFS((C8692&gt;='Resultats - informe'!$D$26)*(C8692&lt;='Resultats - informe'!$E$26),0,(C8692&gt;='Resultats - informe'!$D$27)*(C8692&lt;='Resultats - informe'!$E$27),0,(C8692&gt;='Resultats - informe'!$D$28)*(C8692&lt;='Resultats - informe'!$E$28),0,(C8692&gt;='Resultats - informe'!$D$29)*(C8692&lt;='Resultats - informe'!$E$29),0,1,1)</f>
        <v>0</v>
      </c>
      <c r="N8692" s="366">
        <f>+VLOOKUP(D8692,'Resultats - informe'!$Y$18:$AG$42,'Introducció dades consum'!K8692+1,0)</f>
        <v>0</v>
      </c>
      <c r="O8692" s="370" cm="1">
        <f t="array" ref="O8692">+_xlfn.SWITCH(MONTH(C8692),1,1,2,1,3,1,4,2,5,2,6,3,7,3,8,3,9,3,10,2,11,2,12,1,2)</f>
        <v>1</v>
      </c>
      <c r="P8692" s="43"/>
    </row>
    <row r="8693" spans="1:16" ht="18" x14ac:dyDescent="0.35">
      <c r="A8693" s="43"/>
      <c r="C8693" s="393"/>
      <c r="E8693" s="394"/>
      <c r="F8693" s="394"/>
      <c r="G8693" s="394"/>
      <c r="I8693" s="368">
        <f t="shared" si="411"/>
        <v>0</v>
      </c>
      <c r="J8693" s="365">
        <f t="shared" si="412"/>
        <v>0</v>
      </c>
      <c r="K8693" s="369">
        <f t="shared" si="413"/>
        <v>6</v>
      </c>
      <c r="L8693" s="369">
        <f>+IF((C8693&gt;='Resultats - informe'!$E$16)*(C8693&lt;='Resultats - informe'!$G$16),1,0)</f>
        <v>1</v>
      </c>
      <c r="M8693" s="369" cm="1">
        <f t="array" ref="M8693">+_xlfn.IFS((C8693&gt;='Resultats - informe'!$D$26)*(C8693&lt;='Resultats - informe'!$E$26),0,(C8693&gt;='Resultats - informe'!$D$27)*(C8693&lt;='Resultats - informe'!$E$27),0,(C8693&gt;='Resultats - informe'!$D$28)*(C8693&lt;='Resultats - informe'!$E$28),0,(C8693&gt;='Resultats - informe'!$D$29)*(C8693&lt;='Resultats - informe'!$E$29),0,1,1)</f>
        <v>0</v>
      </c>
      <c r="N8693" s="366">
        <f>+VLOOKUP(D8693,'Resultats - informe'!$Y$18:$AG$42,'Introducció dades consum'!K8693+1,0)</f>
        <v>0</v>
      </c>
      <c r="O8693" s="370" cm="1">
        <f t="array" ref="O8693">+_xlfn.SWITCH(MONTH(C8693),1,1,2,1,3,1,4,2,5,2,6,3,7,3,8,3,9,3,10,2,11,2,12,1,2)</f>
        <v>1</v>
      </c>
      <c r="P8693" s="43"/>
    </row>
    <row r="8694" spans="1:16" ht="18" x14ac:dyDescent="0.35">
      <c r="A8694" s="43"/>
      <c r="C8694" s="393"/>
      <c r="E8694" s="394"/>
      <c r="F8694" s="394"/>
      <c r="G8694" s="394"/>
      <c r="I8694" s="368">
        <f t="shared" si="411"/>
        <v>0</v>
      </c>
      <c r="J8694" s="365">
        <f t="shared" si="412"/>
        <v>0</v>
      </c>
      <c r="K8694" s="369">
        <f t="shared" si="413"/>
        <v>6</v>
      </c>
      <c r="L8694" s="369">
        <f>+IF((C8694&gt;='Resultats - informe'!$E$16)*(C8694&lt;='Resultats - informe'!$G$16),1,0)</f>
        <v>1</v>
      </c>
      <c r="M8694" s="369" cm="1">
        <f t="array" ref="M8694">+_xlfn.IFS((C8694&gt;='Resultats - informe'!$D$26)*(C8694&lt;='Resultats - informe'!$E$26),0,(C8694&gt;='Resultats - informe'!$D$27)*(C8694&lt;='Resultats - informe'!$E$27),0,(C8694&gt;='Resultats - informe'!$D$28)*(C8694&lt;='Resultats - informe'!$E$28),0,(C8694&gt;='Resultats - informe'!$D$29)*(C8694&lt;='Resultats - informe'!$E$29),0,1,1)</f>
        <v>0</v>
      </c>
      <c r="N8694" s="366">
        <f>+VLOOKUP(D8694,'Resultats - informe'!$Y$18:$AG$42,'Introducció dades consum'!K8694+1,0)</f>
        <v>0</v>
      </c>
      <c r="O8694" s="370" cm="1">
        <f t="array" ref="O8694">+_xlfn.SWITCH(MONTH(C8694),1,1,2,1,3,1,4,2,5,2,6,3,7,3,8,3,9,3,10,2,11,2,12,1,2)</f>
        <v>1</v>
      </c>
      <c r="P8694" s="43"/>
    </row>
    <row r="8695" spans="1:16" ht="18" x14ac:dyDescent="0.35">
      <c r="A8695" s="43"/>
      <c r="C8695" s="393"/>
      <c r="E8695" s="394"/>
      <c r="F8695" s="394"/>
      <c r="G8695" s="394"/>
      <c r="I8695" s="368">
        <f t="shared" si="411"/>
        <v>0</v>
      </c>
      <c r="J8695" s="365">
        <f t="shared" si="412"/>
        <v>0</v>
      </c>
      <c r="K8695" s="369">
        <f t="shared" si="413"/>
        <v>6</v>
      </c>
      <c r="L8695" s="369">
        <f>+IF((C8695&gt;='Resultats - informe'!$E$16)*(C8695&lt;='Resultats - informe'!$G$16),1,0)</f>
        <v>1</v>
      </c>
      <c r="M8695" s="369" cm="1">
        <f t="array" ref="M8695">+_xlfn.IFS((C8695&gt;='Resultats - informe'!$D$26)*(C8695&lt;='Resultats - informe'!$E$26),0,(C8695&gt;='Resultats - informe'!$D$27)*(C8695&lt;='Resultats - informe'!$E$27),0,(C8695&gt;='Resultats - informe'!$D$28)*(C8695&lt;='Resultats - informe'!$E$28),0,(C8695&gt;='Resultats - informe'!$D$29)*(C8695&lt;='Resultats - informe'!$E$29),0,1,1)</f>
        <v>0</v>
      </c>
      <c r="N8695" s="366">
        <f>+VLOOKUP(D8695,'Resultats - informe'!$Y$18:$AG$42,'Introducció dades consum'!K8695+1,0)</f>
        <v>0</v>
      </c>
      <c r="O8695" s="370" cm="1">
        <f t="array" ref="O8695">+_xlfn.SWITCH(MONTH(C8695),1,1,2,1,3,1,4,2,5,2,6,3,7,3,8,3,9,3,10,2,11,2,12,1,2)</f>
        <v>1</v>
      </c>
      <c r="P8695" s="43"/>
    </row>
    <row r="8696" spans="1:16" ht="18" x14ac:dyDescent="0.35">
      <c r="A8696" s="43"/>
      <c r="C8696" s="393"/>
      <c r="E8696" s="394"/>
      <c r="F8696" s="394"/>
      <c r="G8696" s="394"/>
      <c r="I8696" s="368">
        <f t="shared" si="411"/>
        <v>0</v>
      </c>
      <c r="J8696" s="365">
        <f t="shared" si="412"/>
        <v>0</v>
      </c>
      <c r="K8696" s="369">
        <f t="shared" si="413"/>
        <v>6</v>
      </c>
      <c r="L8696" s="369">
        <f>+IF((C8696&gt;='Resultats - informe'!$E$16)*(C8696&lt;='Resultats - informe'!$G$16),1,0)</f>
        <v>1</v>
      </c>
      <c r="M8696" s="369" cm="1">
        <f t="array" ref="M8696">+_xlfn.IFS((C8696&gt;='Resultats - informe'!$D$26)*(C8696&lt;='Resultats - informe'!$E$26),0,(C8696&gt;='Resultats - informe'!$D$27)*(C8696&lt;='Resultats - informe'!$E$27),0,(C8696&gt;='Resultats - informe'!$D$28)*(C8696&lt;='Resultats - informe'!$E$28),0,(C8696&gt;='Resultats - informe'!$D$29)*(C8696&lt;='Resultats - informe'!$E$29),0,1,1)</f>
        <v>0</v>
      </c>
      <c r="N8696" s="366">
        <f>+VLOOKUP(D8696,'Resultats - informe'!$Y$18:$AG$42,'Introducció dades consum'!K8696+1,0)</f>
        <v>0</v>
      </c>
      <c r="O8696" s="370" cm="1">
        <f t="array" ref="O8696">+_xlfn.SWITCH(MONTH(C8696),1,1,2,1,3,1,4,2,5,2,6,3,7,3,8,3,9,3,10,2,11,2,12,1,2)</f>
        <v>1</v>
      </c>
      <c r="P8696" s="43"/>
    </row>
    <row r="8697" spans="1:16" ht="18" x14ac:dyDescent="0.35">
      <c r="A8697" s="43"/>
      <c r="C8697" s="393"/>
      <c r="E8697" s="394"/>
      <c r="F8697" s="394"/>
      <c r="G8697" s="394"/>
      <c r="I8697" s="368">
        <f t="shared" si="411"/>
        <v>0</v>
      </c>
      <c r="J8697" s="365">
        <f t="shared" si="412"/>
        <v>0</v>
      </c>
      <c r="K8697" s="369">
        <f t="shared" si="413"/>
        <v>6</v>
      </c>
      <c r="L8697" s="369">
        <f>+IF((C8697&gt;='Resultats - informe'!$E$16)*(C8697&lt;='Resultats - informe'!$G$16),1,0)</f>
        <v>1</v>
      </c>
      <c r="M8697" s="369" cm="1">
        <f t="array" ref="M8697">+_xlfn.IFS((C8697&gt;='Resultats - informe'!$D$26)*(C8697&lt;='Resultats - informe'!$E$26),0,(C8697&gt;='Resultats - informe'!$D$27)*(C8697&lt;='Resultats - informe'!$E$27),0,(C8697&gt;='Resultats - informe'!$D$28)*(C8697&lt;='Resultats - informe'!$E$28),0,(C8697&gt;='Resultats - informe'!$D$29)*(C8697&lt;='Resultats - informe'!$E$29),0,1,1)</f>
        <v>0</v>
      </c>
      <c r="N8697" s="366">
        <f>+VLOOKUP(D8697,'Resultats - informe'!$Y$18:$AG$42,'Introducció dades consum'!K8697+1,0)</f>
        <v>0</v>
      </c>
      <c r="O8697" s="370" cm="1">
        <f t="array" ref="O8697">+_xlfn.SWITCH(MONTH(C8697),1,1,2,1,3,1,4,2,5,2,6,3,7,3,8,3,9,3,10,2,11,2,12,1,2)</f>
        <v>1</v>
      </c>
      <c r="P8697" s="43"/>
    </row>
    <row r="8698" spans="1:16" ht="18" x14ac:dyDescent="0.35">
      <c r="A8698" s="43"/>
      <c r="C8698" s="393"/>
      <c r="E8698" s="394"/>
      <c r="F8698" s="394"/>
      <c r="G8698" s="394"/>
      <c r="I8698" s="368">
        <f t="shared" si="411"/>
        <v>0</v>
      </c>
      <c r="J8698" s="365">
        <f t="shared" si="412"/>
        <v>0</v>
      </c>
      <c r="K8698" s="369">
        <f t="shared" si="413"/>
        <v>6</v>
      </c>
      <c r="L8698" s="369">
        <f>+IF((C8698&gt;='Resultats - informe'!$E$16)*(C8698&lt;='Resultats - informe'!$G$16),1,0)</f>
        <v>1</v>
      </c>
      <c r="M8698" s="369" cm="1">
        <f t="array" ref="M8698">+_xlfn.IFS((C8698&gt;='Resultats - informe'!$D$26)*(C8698&lt;='Resultats - informe'!$E$26),0,(C8698&gt;='Resultats - informe'!$D$27)*(C8698&lt;='Resultats - informe'!$E$27),0,(C8698&gt;='Resultats - informe'!$D$28)*(C8698&lt;='Resultats - informe'!$E$28),0,(C8698&gt;='Resultats - informe'!$D$29)*(C8698&lt;='Resultats - informe'!$E$29),0,1,1)</f>
        <v>0</v>
      </c>
      <c r="N8698" s="366">
        <f>+VLOOKUP(D8698,'Resultats - informe'!$Y$18:$AG$42,'Introducció dades consum'!K8698+1,0)</f>
        <v>0</v>
      </c>
      <c r="O8698" s="370" cm="1">
        <f t="array" ref="O8698">+_xlfn.SWITCH(MONTH(C8698),1,1,2,1,3,1,4,2,5,2,6,3,7,3,8,3,9,3,10,2,11,2,12,1,2)</f>
        <v>1</v>
      </c>
      <c r="P8698" s="43"/>
    </row>
    <row r="8699" spans="1:16" ht="18" x14ac:dyDescent="0.35">
      <c r="A8699" s="43"/>
      <c r="C8699" s="393"/>
      <c r="E8699" s="394"/>
      <c r="F8699" s="394"/>
      <c r="G8699" s="394"/>
      <c r="I8699" s="368">
        <f t="shared" si="411"/>
        <v>0</v>
      </c>
      <c r="J8699" s="365">
        <f t="shared" si="412"/>
        <v>0</v>
      </c>
      <c r="K8699" s="369">
        <f t="shared" si="413"/>
        <v>6</v>
      </c>
      <c r="L8699" s="369">
        <f>+IF((C8699&gt;='Resultats - informe'!$E$16)*(C8699&lt;='Resultats - informe'!$G$16),1,0)</f>
        <v>1</v>
      </c>
      <c r="M8699" s="369" cm="1">
        <f t="array" ref="M8699">+_xlfn.IFS((C8699&gt;='Resultats - informe'!$D$26)*(C8699&lt;='Resultats - informe'!$E$26),0,(C8699&gt;='Resultats - informe'!$D$27)*(C8699&lt;='Resultats - informe'!$E$27),0,(C8699&gt;='Resultats - informe'!$D$28)*(C8699&lt;='Resultats - informe'!$E$28),0,(C8699&gt;='Resultats - informe'!$D$29)*(C8699&lt;='Resultats - informe'!$E$29),0,1,1)</f>
        <v>0</v>
      </c>
      <c r="N8699" s="366">
        <f>+VLOOKUP(D8699,'Resultats - informe'!$Y$18:$AG$42,'Introducció dades consum'!K8699+1,0)</f>
        <v>0</v>
      </c>
      <c r="O8699" s="370" cm="1">
        <f t="array" ref="O8699">+_xlfn.SWITCH(MONTH(C8699),1,1,2,1,3,1,4,2,5,2,6,3,7,3,8,3,9,3,10,2,11,2,12,1,2)</f>
        <v>1</v>
      </c>
      <c r="P8699" s="43"/>
    </row>
    <row r="8700" spans="1:16" ht="18" x14ac:dyDescent="0.35">
      <c r="A8700" s="43"/>
      <c r="C8700" s="393"/>
      <c r="E8700" s="394"/>
      <c r="F8700" s="394"/>
      <c r="G8700" s="394"/>
      <c r="I8700" s="368">
        <f t="shared" si="411"/>
        <v>0</v>
      </c>
      <c r="J8700" s="365">
        <f t="shared" si="412"/>
        <v>0</v>
      </c>
      <c r="K8700" s="369">
        <f t="shared" si="413"/>
        <v>6</v>
      </c>
      <c r="L8700" s="369">
        <f>+IF((C8700&gt;='Resultats - informe'!$E$16)*(C8700&lt;='Resultats - informe'!$G$16),1,0)</f>
        <v>1</v>
      </c>
      <c r="M8700" s="369" cm="1">
        <f t="array" ref="M8700">+_xlfn.IFS((C8700&gt;='Resultats - informe'!$D$26)*(C8700&lt;='Resultats - informe'!$E$26),0,(C8700&gt;='Resultats - informe'!$D$27)*(C8700&lt;='Resultats - informe'!$E$27),0,(C8700&gt;='Resultats - informe'!$D$28)*(C8700&lt;='Resultats - informe'!$E$28),0,(C8700&gt;='Resultats - informe'!$D$29)*(C8700&lt;='Resultats - informe'!$E$29),0,1,1)</f>
        <v>0</v>
      </c>
      <c r="N8700" s="366">
        <f>+VLOOKUP(D8700,'Resultats - informe'!$Y$18:$AG$42,'Introducció dades consum'!K8700+1,0)</f>
        <v>0</v>
      </c>
      <c r="O8700" s="370" cm="1">
        <f t="array" ref="O8700">+_xlfn.SWITCH(MONTH(C8700),1,1,2,1,3,1,4,2,5,2,6,3,7,3,8,3,9,3,10,2,11,2,12,1,2)</f>
        <v>1</v>
      </c>
      <c r="P8700" s="43"/>
    </row>
    <row r="8701" spans="1:16" ht="18" x14ac:dyDescent="0.35">
      <c r="A8701" s="43"/>
      <c r="C8701" s="393"/>
      <c r="E8701" s="394"/>
      <c r="F8701" s="394"/>
      <c r="G8701" s="394"/>
      <c r="I8701" s="368">
        <f t="shared" si="411"/>
        <v>0</v>
      </c>
      <c r="J8701" s="365">
        <f t="shared" si="412"/>
        <v>0</v>
      </c>
      <c r="K8701" s="369">
        <f t="shared" si="413"/>
        <v>6</v>
      </c>
      <c r="L8701" s="369">
        <f>+IF((C8701&gt;='Resultats - informe'!$E$16)*(C8701&lt;='Resultats - informe'!$G$16),1,0)</f>
        <v>1</v>
      </c>
      <c r="M8701" s="369" cm="1">
        <f t="array" ref="M8701">+_xlfn.IFS((C8701&gt;='Resultats - informe'!$D$26)*(C8701&lt;='Resultats - informe'!$E$26),0,(C8701&gt;='Resultats - informe'!$D$27)*(C8701&lt;='Resultats - informe'!$E$27),0,(C8701&gt;='Resultats - informe'!$D$28)*(C8701&lt;='Resultats - informe'!$E$28),0,(C8701&gt;='Resultats - informe'!$D$29)*(C8701&lt;='Resultats - informe'!$E$29),0,1,1)</f>
        <v>0</v>
      </c>
      <c r="N8701" s="366">
        <f>+VLOOKUP(D8701,'Resultats - informe'!$Y$18:$AG$42,'Introducció dades consum'!K8701+1,0)</f>
        <v>0</v>
      </c>
      <c r="O8701" s="370" cm="1">
        <f t="array" ref="O8701">+_xlfn.SWITCH(MONTH(C8701),1,1,2,1,3,1,4,2,5,2,6,3,7,3,8,3,9,3,10,2,11,2,12,1,2)</f>
        <v>1</v>
      </c>
      <c r="P8701" s="43"/>
    </row>
    <row r="8702" spans="1:16" ht="18" x14ac:dyDescent="0.35">
      <c r="A8702" s="43"/>
      <c r="C8702" s="393"/>
      <c r="E8702" s="394"/>
      <c r="F8702" s="394"/>
      <c r="G8702" s="394"/>
      <c r="I8702" s="368">
        <f t="shared" si="411"/>
        <v>0</v>
      </c>
      <c r="J8702" s="365">
        <f t="shared" si="412"/>
        <v>0</v>
      </c>
      <c r="K8702" s="369">
        <f t="shared" si="413"/>
        <v>6</v>
      </c>
      <c r="L8702" s="369">
        <f>+IF((C8702&gt;='Resultats - informe'!$E$16)*(C8702&lt;='Resultats - informe'!$G$16),1,0)</f>
        <v>1</v>
      </c>
      <c r="M8702" s="369" cm="1">
        <f t="array" ref="M8702">+_xlfn.IFS((C8702&gt;='Resultats - informe'!$D$26)*(C8702&lt;='Resultats - informe'!$E$26),0,(C8702&gt;='Resultats - informe'!$D$27)*(C8702&lt;='Resultats - informe'!$E$27),0,(C8702&gt;='Resultats - informe'!$D$28)*(C8702&lt;='Resultats - informe'!$E$28),0,(C8702&gt;='Resultats - informe'!$D$29)*(C8702&lt;='Resultats - informe'!$E$29),0,1,1)</f>
        <v>0</v>
      </c>
      <c r="N8702" s="366">
        <f>+VLOOKUP(D8702,'Resultats - informe'!$Y$18:$AG$42,'Introducció dades consum'!K8702+1,0)</f>
        <v>0</v>
      </c>
      <c r="O8702" s="370" cm="1">
        <f t="array" ref="O8702">+_xlfn.SWITCH(MONTH(C8702),1,1,2,1,3,1,4,2,5,2,6,3,7,3,8,3,9,3,10,2,11,2,12,1,2)</f>
        <v>1</v>
      </c>
      <c r="P8702" s="43"/>
    </row>
    <row r="8703" spans="1:16" ht="18" x14ac:dyDescent="0.35">
      <c r="A8703" s="43"/>
      <c r="C8703" s="393"/>
      <c r="E8703" s="394"/>
      <c r="F8703" s="394"/>
      <c r="G8703" s="394"/>
      <c r="I8703" s="368">
        <f t="shared" si="411"/>
        <v>0</v>
      </c>
      <c r="J8703" s="365">
        <f t="shared" si="412"/>
        <v>0</v>
      </c>
      <c r="K8703" s="369">
        <f t="shared" si="413"/>
        <v>6</v>
      </c>
      <c r="L8703" s="369">
        <f>+IF((C8703&gt;='Resultats - informe'!$E$16)*(C8703&lt;='Resultats - informe'!$G$16),1,0)</f>
        <v>1</v>
      </c>
      <c r="M8703" s="369" cm="1">
        <f t="array" ref="M8703">+_xlfn.IFS((C8703&gt;='Resultats - informe'!$D$26)*(C8703&lt;='Resultats - informe'!$E$26),0,(C8703&gt;='Resultats - informe'!$D$27)*(C8703&lt;='Resultats - informe'!$E$27),0,(C8703&gt;='Resultats - informe'!$D$28)*(C8703&lt;='Resultats - informe'!$E$28),0,(C8703&gt;='Resultats - informe'!$D$29)*(C8703&lt;='Resultats - informe'!$E$29),0,1,1)</f>
        <v>0</v>
      </c>
      <c r="N8703" s="366">
        <f>+VLOOKUP(D8703,'Resultats - informe'!$Y$18:$AG$42,'Introducció dades consum'!K8703+1,0)</f>
        <v>0</v>
      </c>
      <c r="O8703" s="370" cm="1">
        <f t="array" ref="O8703">+_xlfn.SWITCH(MONTH(C8703),1,1,2,1,3,1,4,2,5,2,6,3,7,3,8,3,9,3,10,2,11,2,12,1,2)</f>
        <v>1</v>
      </c>
      <c r="P8703" s="43"/>
    </row>
    <row r="8704" spans="1:16" ht="18" x14ac:dyDescent="0.35">
      <c r="A8704" s="43"/>
      <c r="C8704" s="393"/>
      <c r="E8704" s="394"/>
      <c r="F8704" s="394"/>
      <c r="G8704" s="394"/>
      <c r="I8704" s="368">
        <f t="shared" si="411"/>
        <v>0</v>
      </c>
      <c r="J8704" s="365">
        <f t="shared" si="412"/>
        <v>0</v>
      </c>
      <c r="K8704" s="369">
        <f t="shared" si="413"/>
        <v>6</v>
      </c>
      <c r="L8704" s="369">
        <f>+IF((C8704&gt;='Resultats - informe'!$E$16)*(C8704&lt;='Resultats - informe'!$G$16),1,0)</f>
        <v>1</v>
      </c>
      <c r="M8704" s="369" cm="1">
        <f t="array" ref="M8704">+_xlfn.IFS((C8704&gt;='Resultats - informe'!$D$26)*(C8704&lt;='Resultats - informe'!$E$26),0,(C8704&gt;='Resultats - informe'!$D$27)*(C8704&lt;='Resultats - informe'!$E$27),0,(C8704&gt;='Resultats - informe'!$D$28)*(C8704&lt;='Resultats - informe'!$E$28),0,(C8704&gt;='Resultats - informe'!$D$29)*(C8704&lt;='Resultats - informe'!$E$29),0,1,1)</f>
        <v>0</v>
      </c>
      <c r="N8704" s="366">
        <f>+VLOOKUP(D8704,'Resultats - informe'!$Y$18:$AG$42,'Introducció dades consum'!K8704+1,0)</f>
        <v>0</v>
      </c>
      <c r="O8704" s="370" cm="1">
        <f t="array" ref="O8704">+_xlfn.SWITCH(MONTH(C8704),1,1,2,1,3,1,4,2,5,2,6,3,7,3,8,3,9,3,10,2,11,2,12,1,2)</f>
        <v>1</v>
      </c>
      <c r="P8704" s="43"/>
    </row>
    <row r="8705" spans="1:16" ht="18" x14ac:dyDescent="0.35">
      <c r="A8705" s="43"/>
      <c r="C8705" s="393"/>
      <c r="E8705" s="394"/>
      <c r="F8705" s="394"/>
      <c r="G8705" s="394"/>
      <c r="I8705" s="368">
        <f t="shared" si="411"/>
        <v>0</v>
      </c>
      <c r="J8705" s="365">
        <f t="shared" si="412"/>
        <v>0</v>
      </c>
      <c r="K8705" s="369">
        <f t="shared" si="413"/>
        <v>6</v>
      </c>
      <c r="L8705" s="369">
        <f>+IF((C8705&gt;='Resultats - informe'!$E$16)*(C8705&lt;='Resultats - informe'!$G$16),1,0)</f>
        <v>1</v>
      </c>
      <c r="M8705" s="369" cm="1">
        <f t="array" ref="M8705">+_xlfn.IFS((C8705&gt;='Resultats - informe'!$D$26)*(C8705&lt;='Resultats - informe'!$E$26),0,(C8705&gt;='Resultats - informe'!$D$27)*(C8705&lt;='Resultats - informe'!$E$27),0,(C8705&gt;='Resultats - informe'!$D$28)*(C8705&lt;='Resultats - informe'!$E$28),0,(C8705&gt;='Resultats - informe'!$D$29)*(C8705&lt;='Resultats - informe'!$E$29),0,1,1)</f>
        <v>0</v>
      </c>
      <c r="N8705" s="366">
        <f>+VLOOKUP(D8705,'Resultats - informe'!$Y$18:$AG$42,'Introducció dades consum'!K8705+1,0)</f>
        <v>0</v>
      </c>
      <c r="O8705" s="370" cm="1">
        <f t="array" ref="O8705">+_xlfn.SWITCH(MONTH(C8705),1,1,2,1,3,1,4,2,5,2,6,3,7,3,8,3,9,3,10,2,11,2,12,1,2)</f>
        <v>1</v>
      </c>
      <c r="P8705" s="43"/>
    </row>
    <row r="8706" spans="1:16" ht="18" x14ac:dyDescent="0.35">
      <c r="A8706" s="43"/>
      <c r="C8706" s="393"/>
      <c r="E8706" s="394"/>
      <c r="F8706" s="394"/>
      <c r="G8706" s="394"/>
      <c r="I8706" s="368">
        <f t="shared" si="411"/>
        <v>0</v>
      </c>
      <c r="J8706" s="365">
        <f t="shared" si="412"/>
        <v>0</v>
      </c>
      <c r="K8706" s="369">
        <f t="shared" si="413"/>
        <v>6</v>
      </c>
      <c r="L8706" s="369">
        <f>+IF((C8706&gt;='Resultats - informe'!$E$16)*(C8706&lt;='Resultats - informe'!$G$16),1,0)</f>
        <v>1</v>
      </c>
      <c r="M8706" s="369" cm="1">
        <f t="array" ref="M8706">+_xlfn.IFS((C8706&gt;='Resultats - informe'!$D$26)*(C8706&lt;='Resultats - informe'!$E$26),0,(C8706&gt;='Resultats - informe'!$D$27)*(C8706&lt;='Resultats - informe'!$E$27),0,(C8706&gt;='Resultats - informe'!$D$28)*(C8706&lt;='Resultats - informe'!$E$28),0,(C8706&gt;='Resultats - informe'!$D$29)*(C8706&lt;='Resultats - informe'!$E$29),0,1,1)</f>
        <v>0</v>
      </c>
      <c r="N8706" s="366">
        <f>+VLOOKUP(D8706,'Resultats - informe'!$Y$18:$AG$42,'Introducció dades consum'!K8706+1,0)</f>
        <v>0</v>
      </c>
      <c r="O8706" s="370" cm="1">
        <f t="array" ref="O8706">+_xlfn.SWITCH(MONTH(C8706),1,1,2,1,3,1,4,2,5,2,6,3,7,3,8,3,9,3,10,2,11,2,12,1,2)</f>
        <v>1</v>
      </c>
      <c r="P8706" s="43"/>
    </row>
    <row r="8707" spans="1:16" ht="18" x14ac:dyDescent="0.35">
      <c r="A8707" s="43"/>
      <c r="C8707" s="393"/>
      <c r="E8707" s="394"/>
      <c r="F8707" s="394"/>
      <c r="G8707" s="394"/>
      <c r="I8707" s="368">
        <f t="shared" si="411"/>
        <v>0</v>
      </c>
      <c r="J8707" s="365">
        <f t="shared" si="412"/>
        <v>0</v>
      </c>
      <c r="K8707" s="369">
        <f t="shared" si="413"/>
        <v>6</v>
      </c>
      <c r="L8707" s="369">
        <f>+IF((C8707&gt;='Resultats - informe'!$E$16)*(C8707&lt;='Resultats - informe'!$G$16),1,0)</f>
        <v>1</v>
      </c>
      <c r="M8707" s="369" cm="1">
        <f t="array" ref="M8707">+_xlfn.IFS((C8707&gt;='Resultats - informe'!$D$26)*(C8707&lt;='Resultats - informe'!$E$26),0,(C8707&gt;='Resultats - informe'!$D$27)*(C8707&lt;='Resultats - informe'!$E$27),0,(C8707&gt;='Resultats - informe'!$D$28)*(C8707&lt;='Resultats - informe'!$E$28),0,(C8707&gt;='Resultats - informe'!$D$29)*(C8707&lt;='Resultats - informe'!$E$29),0,1,1)</f>
        <v>0</v>
      </c>
      <c r="N8707" s="366">
        <f>+VLOOKUP(D8707,'Resultats - informe'!$Y$18:$AG$42,'Introducció dades consum'!K8707+1,0)</f>
        <v>0</v>
      </c>
      <c r="O8707" s="370" cm="1">
        <f t="array" ref="O8707">+_xlfn.SWITCH(MONTH(C8707),1,1,2,1,3,1,4,2,5,2,6,3,7,3,8,3,9,3,10,2,11,2,12,1,2)</f>
        <v>1</v>
      </c>
      <c r="P8707" s="43"/>
    </row>
    <row r="8708" spans="1:16" ht="18" x14ac:dyDescent="0.35">
      <c r="A8708" s="43"/>
      <c r="C8708" s="393"/>
      <c r="E8708" s="394"/>
      <c r="F8708" s="394"/>
      <c r="G8708" s="394"/>
      <c r="I8708" s="368">
        <f t="shared" si="411"/>
        <v>0</v>
      </c>
      <c r="J8708" s="365">
        <f t="shared" si="412"/>
        <v>0</v>
      </c>
      <c r="K8708" s="369">
        <f t="shared" si="413"/>
        <v>6</v>
      </c>
      <c r="L8708" s="369">
        <f>+IF((C8708&gt;='Resultats - informe'!$E$16)*(C8708&lt;='Resultats - informe'!$G$16),1,0)</f>
        <v>1</v>
      </c>
      <c r="M8708" s="369" cm="1">
        <f t="array" ref="M8708">+_xlfn.IFS((C8708&gt;='Resultats - informe'!$D$26)*(C8708&lt;='Resultats - informe'!$E$26),0,(C8708&gt;='Resultats - informe'!$D$27)*(C8708&lt;='Resultats - informe'!$E$27),0,(C8708&gt;='Resultats - informe'!$D$28)*(C8708&lt;='Resultats - informe'!$E$28),0,(C8708&gt;='Resultats - informe'!$D$29)*(C8708&lt;='Resultats - informe'!$E$29),0,1,1)</f>
        <v>0</v>
      </c>
      <c r="N8708" s="366">
        <f>+VLOOKUP(D8708,'Resultats - informe'!$Y$18:$AG$42,'Introducció dades consum'!K8708+1,0)</f>
        <v>0</v>
      </c>
      <c r="O8708" s="370" cm="1">
        <f t="array" ref="O8708">+_xlfn.SWITCH(MONTH(C8708),1,1,2,1,3,1,4,2,5,2,6,3,7,3,8,3,9,3,10,2,11,2,12,1,2)</f>
        <v>1</v>
      </c>
      <c r="P8708" s="43"/>
    </row>
    <row r="8709" spans="1:16" ht="18" x14ac:dyDescent="0.35">
      <c r="A8709" s="43"/>
      <c r="C8709" s="393"/>
      <c r="E8709" s="394"/>
      <c r="F8709" s="394"/>
      <c r="G8709" s="394"/>
      <c r="I8709" s="368">
        <f t="shared" si="411"/>
        <v>0</v>
      </c>
      <c r="J8709" s="365">
        <f t="shared" si="412"/>
        <v>0</v>
      </c>
      <c r="K8709" s="369">
        <f t="shared" si="413"/>
        <v>6</v>
      </c>
      <c r="L8709" s="369">
        <f>+IF((C8709&gt;='Resultats - informe'!$E$16)*(C8709&lt;='Resultats - informe'!$G$16),1,0)</f>
        <v>1</v>
      </c>
      <c r="M8709" s="369" cm="1">
        <f t="array" ref="M8709">+_xlfn.IFS((C8709&gt;='Resultats - informe'!$D$26)*(C8709&lt;='Resultats - informe'!$E$26),0,(C8709&gt;='Resultats - informe'!$D$27)*(C8709&lt;='Resultats - informe'!$E$27),0,(C8709&gt;='Resultats - informe'!$D$28)*(C8709&lt;='Resultats - informe'!$E$28),0,(C8709&gt;='Resultats - informe'!$D$29)*(C8709&lt;='Resultats - informe'!$E$29),0,1,1)</f>
        <v>0</v>
      </c>
      <c r="N8709" s="366">
        <f>+VLOOKUP(D8709,'Resultats - informe'!$Y$18:$AG$42,'Introducció dades consum'!K8709+1,0)</f>
        <v>0</v>
      </c>
      <c r="O8709" s="370" cm="1">
        <f t="array" ref="O8709">+_xlfn.SWITCH(MONTH(C8709),1,1,2,1,3,1,4,2,5,2,6,3,7,3,8,3,9,3,10,2,11,2,12,1,2)</f>
        <v>1</v>
      </c>
      <c r="P8709" s="43"/>
    </row>
    <row r="8710" spans="1:16" ht="18" x14ac:dyDescent="0.35">
      <c r="A8710" s="43"/>
      <c r="C8710" s="393"/>
      <c r="E8710" s="394"/>
      <c r="F8710" s="394"/>
      <c r="G8710" s="394"/>
      <c r="I8710" s="368">
        <f t="shared" si="411"/>
        <v>0</v>
      </c>
      <c r="J8710" s="365">
        <f t="shared" si="412"/>
        <v>0</v>
      </c>
      <c r="K8710" s="369">
        <f t="shared" si="413"/>
        <v>6</v>
      </c>
      <c r="L8710" s="369">
        <f>+IF((C8710&gt;='Resultats - informe'!$E$16)*(C8710&lt;='Resultats - informe'!$G$16),1,0)</f>
        <v>1</v>
      </c>
      <c r="M8710" s="369" cm="1">
        <f t="array" ref="M8710">+_xlfn.IFS((C8710&gt;='Resultats - informe'!$D$26)*(C8710&lt;='Resultats - informe'!$E$26),0,(C8710&gt;='Resultats - informe'!$D$27)*(C8710&lt;='Resultats - informe'!$E$27),0,(C8710&gt;='Resultats - informe'!$D$28)*(C8710&lt;='Resultats - informe'!$E$28),0,(C8710&gt;='Resultats - informe'!$D$29)*(C8710&lt;='Resultats - informe'!$E$29),0,1,1)</f>
        <v>0</v>
      </c>
      <c r="N8710" s="366">
        <f>+VLOOKUP(D8710,'Resultats - informe'!$Y$18:$AG$42,'Introducció dades consum'!K8710+1,0)</f>
        <v>0</v>
      </c>
      <c r="O8710" s="370" cm="1">
        <f t="array" ref="O8710">+_xlfn.SWITCH(MONTH(C8710),1,1,2,1,3,1,4,2,5,2,6,3,7,3,8,3,9,3,10,2,11,2,12,1,2)</f>
        <v>1</v>
      </c>
      <c r="P8710" s="43"/>
    </row>
    <row r="8711" spans="1:16" ht="18" x14ac:dyDescent="0.35">
      <c r="A8711" s="43"/>
      <c r="C8711" s="393"/>
      <c r="E8711" s="394"/>
      <c r="F8711" s="394"/>
      <c r="G8711" s="394"/>
      <c r="I8711" s="368">
        <f t="shared" si="411"/>
        <v>0</v>
      </c>
      <c r="J8711" s="365">
        <f t="shared" si="412"/>
        <v>0</v>
      </c>
      <c r="K8711" s="369">
        <f t="shared" si="413"/>
        <v>6</v>
      </c>
      <c r="L8711" s="369">
        <f>+IF((C8711&gt;='Resultats - informe'!$E$16)*(C8711&lt;='Resultats - informe'!$G$16),1,0)</f>
        <v>1</v>
      </c>
      <c r="M8711" s="369" cm="1">
        <f t="array" ref="M8711">+_xlfn.IFS((C8711&gt;='Resultats - informe'!$D$26)*(C8711&lt;='Resultats - informe'!$E$26),0,(C8711&gt;='Resultats - informe'!$D$27)*(C8711&lt;='Resultats - informe'!$E$27),0,(C8711&gt;='Resultats - informe'!$D$28)*(C8711&lt;='Resultats - informe'!$E$28),0,(C8711&gt;='Resultats - informe'!$D$29)*(C8711&lt;='Resultats - informe'!$E$29),0,1,1)</f>
        <v>0</v>
      </c>
      <c r="N8711" s="366">
        <f>+VLOOKUP(D8711,'Resultats - informe'!$Y$18:$AG$42,'Introducció dades consum'!K8711+1,0)</f>
        <v>0</v>
      </c>
      <c r="O8711" s="370" cm="1">
        <f t="array" ref="O8711">+_xlfn.SWITCH(MONTH(C8711),1,1,2,1,3,1,4,2,5,2,6,3,7,3,8,3,9,3,10,2,11,2,12,1,2)</f>
        <v>1</v>
      </c>
      <c r="P8711" s="43"/>
    </row>
    <row r="8712" spans="1:16" ht="18" x14ac:dyDescent="0.35">
      <c r="A8712" s="43"/>
      <c r="C8712" s="393"/>
      <c r="E8712" s="394"/>
      <c r="F8712" s="394"/>
      <c r="G8712" s="394"/>
      <c r="I8712" s="368">
        <f t="shared" si="411"/>
        <v>0</v>
      </c>
      <c r="J8712" s="365">
        <f t="shared" si="412"/>
        <v>0</v>
      </c>
      <c r="K8712" s="369">
        <f t="shared" si="413"/>
        <v>6</v>
      </c>
      <c r="L8712" s="369">
        <f>+IF((C8712&gt;='Resultats - informe'!$E$16)*(C8712&lt;='Resultats - informe'!$G$16),1,0)</f>
        <v>1</v>
      </c>
      <c r="M8712" s="369" cm="1">
        <f t="array" ref="M8712">+_xlfn.IFS((C8712&gt;='Resultats - informe'!$D$26)*(C8712&lt;='Resultats - informe'!$E$26),0,(C8712&gt;='Resultats - informe'!$D$27)*(C8712&lt;='Resultats - informe'!$E$27),0,(C8712&gt;='Resultats - informe'!$D$28)*(C8712&lt;='Resultats - informe'!$E$28),0,(C8712&gt;='Resultats - informe'!$D$29)*(C8712&lt;='Resultats - informe'!$E$29),0,1,1)</f>
        <v>0</v>
      </c>
      <c r="N8712" s="366">
        <f>+VLOOKUP(D8712,'Resultats - informe'!$Y$18:$AG$42,'Introducció dades consum'!K8712+1,0)</f>
        <v>0</v>
      </c>
      <c r="O8712" s="370" cm="1">
        <f t="array" ref="O8712">+_xlfn.SWITCH(MONTH(C8712),1,1,2,1,3,1,4,2,5,2,6,3,7,3,8,3,9,3,10,2,11,2,12,1,2)</f>
        <v>1</v>
      </c>
      <c r="P8712" s="43"/>
    </row>
    <row r="8713" spans="1:16" ht="18" x14ac:dyDescent="0.35">
      <c r="A8713" s="43"/>
      <c r="C8713" s="393"/>
      <c r="E8713" s="394"/>
      <c r="F8713" s="394"/>
      <c r="G8713" s="394"/>
      <c r="I8713" s="368">
        <f t="shared" si="411"/>
        <v>0</v>
      </c>
      <c r="J8713" s="365">
        <f t="shared" si="412"/>
        <v>0</v>
      </c>
      <c r="K8713" s="369">
        <f t="shared" si="413"/>
        <v>6</v>
      </c>
      <c r="L8713" s="369">
        <f>+IF((C8713&gt;='Resultats - informe'!$E$16)*(C8713&lt;='Resultats - informe'!$G$16),1,0)</f>
        <v>1</v>
      </c>
      <c r="M8713" s="369" cm="1">
        <f t="array" ref="M8713">+_xlfn.IFS((C8713&gt;='Resultats - informe'!$D$26)*(C8713&lt;='Resultats - informe'!$E$26),0,(C8713&gt;='Resultats - informe'!$D$27)*(C8713&lt;='Resultats - informe'!$E$27),0,(C8713&gt;='Resultats - informe'!$D$28)*(C8713&lt;='Resultats - informe'!$E$28),0,(C8713&gt;='Resultats - informe'!$D$29)*(C8713&lt;='Resultats - informe'!$E$29),0,1,1)</f>
        <v>0</v>
      </c>
      <c r="N8713" s="366">
        <f>+VLOOKUP(D8713,'Resultats - informe'!$Y$18:$AG$42,'Introducció dades consum'!K8713+1,0)</f>
        <v>0</v>
      </c>
      <c r="O8713" s="370" cm="1">
        <f t="array" ref="O8713">+_xlfn.SWITCH(MONTH(C8713),1,1,2,1,3,1,4,2,5,2,6,3,7,3,8,3,9,3,10,2,11,2,12,1,2)</f>
        <v>1</v>
      </c>
      <c r="P8713" s="43"/>
    </row>
    <row r="8714" spans="1:16" ht="18" x14ac:dyDescent="0.35">
      <c r="A8714" s="43"/>
      <c r="C8714" s="393"/>
      <c r="E8714" s="394"/>
      <c r="F8714" s="394"/>
      <c r="G8714" s="394"/>
      <c r="I8714" s="368">
        <f t="shared" si="411"/>
        <v>0</v>
      </c>
      <c r="J8714" s="365">
        <f t="shared" si="412"/>
        <v>0</v>
      </c>
      <c r="K8714" s="369">
        <f t="shared" si="413"/>
        <v>6</v>
      </c>
      <c r="L8714" s="369">
        <f>+IF((C8714&gt;='Resultats - informe'!$E$16)*(C8714&lt;='Resultats - informe'!$G$16),1,0)</f>
        <v>1</v>
      </c>
      <c r="M8714" s="369" cm="1">
        <f t="array" ref="M8714">+_xlfn.IFS((C8714&gt;='Resultats - informe'!$D$26)*(C8714&lt;='Resultats - informe'!$E$26),0,(C8714&gt;='Resultats - informe'!$D$27)*(C8714&lt;='Resultats - informe'!$E$27),0,(C8714&gt;='Resultats - informe'!$D$28)*(C8714&lt;='Resultats - informe'!$E$28),0,(C8714&gt;='Resultats - informe'!$D$29)*(C8714&lt;='Resultats - informe'!$E$29),0,1,1)</f>
        <v>0</v>
      </c>
      <c r="N8714" s="366">
        <f>+VLOOKUP(D8714,'Resultats - informe'!$Y$18:$AG$42,'Introducció dades consum'!K8714+1,0)</f>
        <v>0</v>
      </c>
      <c r="O8714" s="370" cm="1">
        <f t="array" ref="O8714">+_xlfn.SWITCH(MONTH(C8714),1,1,2,1,3,1,4,2,5,2,6,3,7,3,8,3,9,3,10,2,11,2,12,1,2)</f>
        <v>1</v>
      </c>
      <c r="P8714" s="43"/>
    </row>
    <row r="8715" spans="1:16" ht="18" x14ac:dyDescent="0.35">
      <c r="A8715" s="43"/>
      <c r="C8715" s="393"/>
      <c r="E8715" s="394"/>
      <c r="F8715" s="394"/>
      <c r="G8715" s="394"/>
      <c r="I8715" s="368">
        <f t="shared" si="411"/>
        <v>0</v>
      </c>
      <c r="J8715" s="365">
        <f t="shared" si="412"/>
        <v>0</v>
      </c>
      <c r="K8715" s="369">
        <f t="shared" si="413"/>
        <v>6</v>
      </c>
      <c r="L8715" s="369">
        <f>+IF((C8715&gt;='Resultats - informe'!$E$16)*(C8715&lt;='Resultats - informe'!$G$16),1,0)</f>
        <v>1</v>
      </c>
      <c r="M8715" s="369" cm="1">
        <f t="array" ref="M8715">+_xlfn.IFS((C8715&gt;='Resultats - informe'!$D$26)*(C8715&lt;='Resultats - informe'!$E$26),0,(C8715&gt;='Resultats - informe'!$D$27)*(C8715&lt;='Resultats - informe'!$E$27),0,(C8715&gt;='Resultats - informe'!$D$28)*(C8715&lt;='Resultats - informe'!$E$28),0,(C8715&gt;='Resultats - informe'!$D$29)*(C8715&lt;='Resultats - informe'!$E$29),0,1,1)</f>
        <v>0</v>
      </c>
      <c r="N8715" s="366">
        <f>+VLOOKUP(D8715,'Resultats - informe'!$Y$18:$AG$42,'Introducció dades consum'!K8715+1,0)</f>
        <v>0</v>
      </c>
      <c r="O8715" s="370" cm="1">
        <f t="array" ref="O8715">+_xlfn.SWITCH(MONTH(C8715),1,1,2,1,3,1,4,2,5,2,6,3,7,3,8,3,9,3,10,2,11,2,12,1,2)</f>
        <v>1</v>
      </c>
      <c r="P8715" s="43"/>
    </row>
    <row r="8716" spans="1:16" ht="18" x14ac:dyDescent="0.35">
      <c r="A8716" s="43"/>
      <c r="C8716" s="393"/>
      <c r="E8716" s="394"/>
      <c r="F8716" s="394"/>
      <c r="G8716" s="394"/>
      <c r="I8716" s="368">
        <f t="shared" si="411"/>
        <v>0</v>
      </c>
      <c r="J8716" s="365">
        <f t="shared" si="412"/>
        <v>0</v>
      </c>
      <c r="K8716" s="369">
        <f t="shared" si="413"/>
        <v>6</v>
      </c>
      <c r="L8716" s="369">
        <f>+IF((C8716&gt;='Resultats - informe'!$E$16)*(C8716&lt;='Resultats - informe'!$G$16),1,0)</f>
        <v>1</v>
      </c>
      <c r="M8716" s="369" cm="1">
        <f t="array" ref="M8716">+_xlfn.IFS((C8716&gt;='Resultats - informe'!$D$26)*(C8716&lt;='Resultats - informe'!$E$26),0,(C8716&gt;='Resultats - informe'!$D$27)*(C8716&lt;='Resultats - informe'!$E$27),0,(C8716&gt;='Resultats - informe'!$D$28)*(C8716&lt;='Resultats - informe'!$E$28),0,(C8716&gt;='Resultats - informe'!$D$29)*(C8716&lt;='Resultats - informe'!$E$29),0,1,1)</f>
        <v>0</v>
      </c>
      <c r="N8716" s="366">
        <f>+VLOOKUP(D8716,'Resultats - informe'!$Y$18:$AG$42,'Introducció dades consum'!K8716+1,0)</f>
        <v>0</v>
      </c>
      <c r="O8716" s="370" cm="1">
        <f t="array" ref="O8716">+_xlfn.SWITCH(MONTH(C8716),1,1,2,1,3,1,4,2,5,2,6,3,7,3,8,3,9,3,10,2,11,2,12,1,2)</f>
        <v>1</v>
      </c>
      <c r="P8716" s="43"/>
    </row>
    <row r="8717" spans="1:16" ht="18" x14ac:dyDescent="0.35">
      <c r="A8717" s="43"/>
      <c r="C8717" s="393"/>
      <c r="E8717" s="394"/>
      <c r="F8717" s="394"/>
      <c r="G8717" s="394"/>
      <c r="I8717" s="368">
        <f t="shared" si="411"/>
        <v>0</v>
      </c>
      <c r="J8717" s="365">
        <f t="shared" si="412"/>
        <v>0</v>
      </c>
      <c r="K8717" s="369">
        <f t="shared" si="413"/>
        <v>6</v>
      </c>
      <c r="L8717" s="369">
        <f>+IF((C8717&gt;='Resultats - informe'!$E$16)*(C8717&lt;='Resultats - informe'!$G$16),1,0)</f>
        <v>1</v>
      </c>
      <c r="M8717" s="369" cm="1">
        <f t="array" ref="M8717">+_xlfn.IFS((C8717&gt;='Resultats - informe'!$D$26)*(C8717&lt;='Resultats - informe'!$E$26),0,(C8717&gt;='Resultats - informe'!$D$27)*(C8717&lt;='Resultats - informe'!$E$27),0,(C8717&gt;='Resultats - informe'!$D$28)*(C8717&lt;='Resultats - informe'!$E$28),0,(C8717&gt;='Resultats - informe'!$D$29)*(C8717&lt;='Resultats - informe'!$E$29),0,1,1)</f>
        <v>0</v>
      </c>
      <c r="N8717" s="366">
        <f>+VLOOKUP(D8717,'Resultats - informe'!$Y$18:$AG$42,'Introducció dades consum'!K8717+1,0)</f>
        <v>0</v>
      </c>
      <c r="O8717" s="370" cm="1">
        <f t="array" ref="O8717">+_xlfn.SWITCH(MONTH(C8717),1,1,2,1,3,1,4,2,5,2,6,3,7,3,8,3,9,3,10,2,11,2,12,1,2)</f>
        <v>1</v>
      </c>
      <c r="P8717" s="43"/>
    </row>
    <row r="8718" spans="1:16" ht="18" x14ac:dyDescent="0.35">
      <c r="A8718" s="43"/>
      <c r="C8718" s="393"/>
      <c r="E8718" s="394"/>
      <c r="F8718" s="394"/>
      <c r="G8718" s="394"/>
      <c r="I8718" s="368">
        <f t="shared" si="411"/>
        <v>0</v>
      </c>
      <c r="J8718" s="365">
        <f t="shared" si="412"/>
        <v>0</v>
      </c>
      <c r="K8718" s="369">
        <f t="shared" si="413"/>
        <v>6</v>
      </c>
      <c r="L8718" s="369">
        <f>+IF((C8718&gt;='Resultats - informe'!$E$16)*(C8718&lt;='Resultats - informe'!$G$16),1,0)</f>
        <v>1</v>
      </c>
      <c r="M8718" s="369" cm="1">
        <f t="array" ref="M8718">+_xlfn.IFS((C8718&gt;='Resultats - informe'!$D$26)*(C8718&lt;='Resultats - informe'!$E$26),0,(C8718&gt;='Resultats - informe'!$D$27)*(C8718&lt;='Resultats - informe'!$E$27),0,(C8718&gt;='Resultats - informe'!$D$28)*(C8718&lt;='Resultats - informe'!$E$28),0,(C8718&gt;='Resultats - informe'!$D$29)*(C8718&lt;='Resultats - informe'!$E$29),0,1,1)</f>
        <v>0</v>
      </c>
      <c r="N8718" s="366">
        <f>+VLOOKUP(D8718,'Resultats - informe'!$Y$18:$AG$42,'Introducció dades consum'!K8718+1,0)</f>
        <v>0</v>
      </c>
      <c r="O8718" s="370" cm="1">
        <f t="array" ref="O8718">+_xlfn.SWITCH(MONTH(C8718),1,1,2,1,3,1,4,2,5,2,6,3,7,3,8,3,9,3,10,2,11,2,12,1,2)</f>
        <v>1</v>
      </c>
      <c r="P8718" s="43"/>
    </row>
    <row r="8719" spans="1:16" ht="18" x14ac:dyDescent="0.35">
      <c r="A8719" s="43"/>
      <c r="C8719" s="393"/>
      <c r="E8719" s="394"/>
      <c r="F8719" s="394"/>
      <c r="G8719" s="394"/>
      <c r="I8719" s="368">
        <f t="shared" si="411"/>
        <v>0</v>
      </c>
      <c r="J8719" s="365">
        <f t="shared" si="412"/>
        <v>0</v>
      </c>
      <c r="K8719" s="369">
        <f t="shared" si="413"/>
        <v>6</v>
      </c>
      <c r="L8719" s="369">
        <f>+IF((C8719&gt;='Resultats - informe'!$E$16)*(C8719&lt;='Resultats - informe'!$G$16),1,0)</f>
        <v>1</v>
      </c>
      <c r="M8719" s="369" cm="1">
        <f t="array" ref="M8719">+_xlfn.IFS((C8719&gt;='Resultats - informe'!$D$26)*(C8719&lt;='Resultats - informe'!$E$26),0,(C8719&gt;='Resultats - informe'!$D$27)*(C8719&lt;='Resultats - informe'!$E$27),0,(C8719&gt;='Resultats - informe'!$D$28)*(C8719&lt;='Resultats - informe'!$E$28),0,(C8719&gt;='Resultats - informe'!$D$29)*(C8719&lt;='Resultats - informe'!$E$29),0,1,1)</f>
        <v>0</v>
      </c>
      <c r="N8719" s="366">
        <f>+VLOOKUP(D8719,'Resultats - informe'!$Y$18:$AG$42,'Introducció dades consum'!K8719+1,0)</f>
        <v>0</v>
      </c>
      <c r="O8719" s="370" cm="1">
        <f t="array" ref="O8719">+_xlfn.SWITCH(MONTH(C8719),1,1,2,1,3,1,4,2,5,2,6,3,7,3,8,3,9,3,10,2,11,2,12,1,2)</f>
        <v>1</v>
      </c>
      <c r="P8719" s="43"/>
    </row>
    <row r="8720" spans="1:16" ht="18" x14ac:dyDescent="0.35">
      <c r="A8720" s="43"/>
      <c r="C8720" s="393"/>
      <c r="E8720" s="394"/>
      <c r="F8720" s="394"/>
      <c r="G8720" s="394"/>
      <c r="I8720" s="368">
        <f t="shared" si="411"/>
        <v>0</v>
      </c>
      <c r="J8720" s="365">
        <f t="shared" si="412"/>
        <v>0</v>
      </c>
      <c r="K8720" s="369">
        <f t="shared" si="413"/>
        <v>6</v>
      </c>
      <c r="L8720" s="369">
        <f>+IF((C8720&gt;='Resultats - informe'!$E$16)*(C8720&lt;='Resultats - informe'!$G$16),1,0)</f>
        <v>1</v>
      </c>
      <c r="M8720" s="369" cm="1">
        <f t="array" ref="M8720">+_xlfn.IFS((C8720&gt;='Resultats - informe'!$D$26)*(C8720&lt;='Resultats - informe'!$E$26),0,(C8720&gt;='Resultats - informe'!$D$27)*(C8720&lt;='Resultats - informe'!$E$27),0,(C8720&gt;='Resultats - informe'!$D$28)*(C8720&lt;='Resultats - informe'!$E$28),0,(C8720&gt;='Resultats - informe'!$D$29)*(C8720&lt;='Resultats - informe'!$E$29),0,1,1)</f>
        <v>0</v>
      </c>
      <c r="N8720" s="366">
        <f>+VLOOKUP(D8720,'Resultats - informe'!$Y$18:$AG$42,'Introducció dades consum'!K8720+1,0)</f>
        <v>0</v>
      </c>
      <c r="O8720" s="370" cm="1">
        <f t="array" ref="O8720">+_xlfn.SWITCH(MONTH(C8720),1,1,2,1,3,1,4,2,5,2,6,3,7,3,8,3,9,3,10,2,11,2,12,1,2)</f>
        <v>1</v>
      </c>
      <c r="P8720" s="43"/>
    </row>
    <row r="8721" spans="1:16" ht="18" x14ac:dyDescent="0.35">
      <c r="A8721" s="43"/>
      <c r="C8721" s="393"/>
      <c r="E8721" s="394"/>
      <c r="F8721" s="394"/>
      <c r="G8721" s="394"/>
      <c r="I8721" s="368">
        <f t="shared" si="411"/>
        <v>0</v>
      </c>
      <c r="J8721" s="365">
        <f t="shared" si="412"/>
        <v>0</v>
      </c>
      <c r="K8721" s="369">
        <f t="shared" si="413"/>
        <v>6</v>
      </c>
      <c r="L8721" s="369">
        <f>+IF((C8721&gt;='Resultats - informe'!$E$16)*(C8721&lt;='Resultats - informe'!$G$16),1,0)</f>
        <v>1</v>
      </c>
      <c r="M8721" s="369" cm="1">
        <f t="array" ref="M8721">+_xlfn.IFS((C8721&gt;='Resultats - informe'!$D$26)*(C8721&lt;='Resultats - informe'!$E$26),0,(C8721&gt;='Resultats - informe'!$D$27)*(C8721&lt;='Resultats - informe'!$E$27),0,(C8721&gt;='Resultats - informe'!$D$28)*(C8721&lt;='Resultats - informe'!$E$28),0,(C8721&gt;='Resultats - informe'!$D$29)*(C8721&lt;='Resultats - informe'!$E$29),0,1,1)</f>
        <v>0</v>
      </c>
      <c r="N8721" s="366">
        <f>+VLOOKUP(D8721,'Resultats - informe'!$Y$18:$AG$42,'Introducció dades consum'!K8721+1,0)</f>
        <v>0</v>
      </c>
      <c r="O8721" s="370" cm="1">
        <f t="array" ref="O8721">+_xlfn.SWITCH(MONTH(C8721),1,1,2,1,3,1,4,2,5,2,6,3,7,3,8,3,9,3,10,2,11,2,12,1,2)</f>
        <v>1</v>
      </c>
      <c r="P8721" s="43"/>
    </row>
    <row r="8722" spans="1:16" ht="18" x14ac:dyDescent="0.35">
      <c r="A8722" s="43"/>
      <c r="C8722" s="393"/>
      <c r="E8722" s="394"/>
      <c r="F8722" s="394"/>
      <c r="G8722" s="394"/>
      <c r="I8722" s="368">
        <f t="shared" ref="I8722:I8785" si="414">+E8722+G8722</f>
        <v>0</v>
      </c>
      <c r="J8722" s="365">
        <f t="shared" ref="J8722:J8785" si="415">+C8722</f>
        <v>0</v>
      </c>
      <c r="K8722" s="369">
        <f t="shared" ref="K8722:K8785" si="416">+WEEKDAY(C8722,2)</f>
        <v>6</v>
      </c>
      <c r="L8722" s="369">
        <f>+IF((C8722&gt;='Resultats - informe'!$E$16)*(C8722&lt;='Resultats - informe'!$G$16),1,0)</f>
        <v>1</v>
      </c>
      <c r="M8722" s="369" cm="1">
        <f t="array" ref="M8722">+_xlfn.IFS((C8722&gt;='Resultats - informe'!$D$26)*(C8722&lt;='Resultats - informe'!$E$26),0,(C8722&gt;='Resultats - informe'!$D$27)*(C8722&lt;='Resultats - informe'!$E$27),0,(C8722&gt;='Resultats - informe'!$D$28)*(C8722&lt;='Resultats - informe'!$E$28),0,(C8722&gt;='Resultats - informe'!$D$29)*(C8722&lt;='Resultats - informe'!$E$29),0,1,1)</f>
        <v>0</v>
      </c>
      <c r="N8722" s="366">
        <f>+VLOOKUP(D8722,'Resultats - informe'!$Y$18:$AG$42,'Introducció dades consum'!K8722+1,0)</f>
        <v>0</v>
      </c>
      <c r="O8722" s="370" cm="1">
        <f t="array" ref="O8722">+_xlfn.SWITCH(MONTH(C8722),1,1,2,1,3,1,4,2,5,2,6,3,7,3,8,3,9,3,10,2,11,2,12,1,2)</f>
        <v>1</v>
      </c>
      <c r="P8722" s="43"/>
    </row>
    <row r="8723" spans="1:16" ht="18" x14ac:dyDescent="0.35">
      <c r="A8723" s="43"/>
      <c r="C8723" s="393"/>
      <c r="E8723" s="394"/>
      <c r="F8723" s="394"/>
      <c r="G8723" s="394"/>
      <c r="I8723" s="368">
        <f t="shared" si="414"/>
        <v>0</v>
      </c>
      <c r="J8723" s="365">
        <f t="shared" si="415"/>
        <v>0</v>
      </c>
      <c r="K8723" s="369">
        <f t="shared" si="416"/>
        <v>6</v>
      </c>
      <c r="L8723" s="369">
        <f>+IF((C8723&gt;='Resultats - informe'!$E$16)*(C8723&lt;='Resultats - informe'!$G$16),1,0)</f>
        <v>1</v>
      </c>
      <c r="M8723" s="369" cm="1">
        <f t="array" ref="M8723">+_xlfn.IFS((C8723&gt;='Resultats - informe'!$D$26)*(C8723&lt;='Resultats - informe'!$E$26),0,(C8723&gt;='Resultats - informe'!$D$27)*(C8723&lt;='Resultats - informe'!$E$27),0,(C8723&gt;='Resultats - informe'!$D$28)*(C8723&lt;='Resultats - informe'!$E$28),0,(C8723&gt;='Resultats - informe'!$D$29)*(C8723&lt;='Resultats - informe'!$E$29),0,1,1)</f>
        <v>0</v>
      </c>
      <c r="N8723" s="366">
        <f>+VLOOKUP(D8723,'Resultats - informe'!$Y$18:$AG$42,'Introducció dades consum'!K8723+1,0)</f>
        <v>0</v>
      </c>
      <c r="O8723" s="370" cm="1">
        <f t="array" ref="O8723">+_xlfn.SWITCH(MONTH(C8723),1,1,2,1,3,1,4,2,5,2,6,3,7,3,8,3,9,3,10,2,11,2,12,1,2)</f>
        <v>1</v>
      </c>
      <c r="P8723" s="43"/>
    </row>
    <row r="8724" spans="1:16" ht="18" x14ac:dyDescent="0.35">
      <c r="A8724" s="43"/>
      <c r="C8724" s="393"/>
      <c r="E8724" s="394"/>
      <c r="F8724" s="394"/>
      <c r="G8724" s="394"/>
      <c r="I8724" s="368">
        <f t="shared" si="414"/>
        <v>0</v>
      </c>
      <c r="J8724" s="365">
        <f t="shared" si="415"/>
        <v>0</v>
      </c>
      <c r="K8724" s="369">
        <f t="shared" si="416"/>
        <v>6</v>
      </c>
      <c r="L8724" s="369">
        <f>+IF((C8724&gt;='Resultats - informe'!$E$16)*(C8724&lt;='Resultats - informe'!$G$16),1,0)</f>
        <v>1</v>
      </c>
      <c r="M8724" s="369" cm="1">
        <f t="array" ref="M8724">+_xlfn.IFS((C8724&gt;='Resultats - informe'!$D$26)*(C8724&lt;='Resultats - informe'!$E$26),0,(C8724&gt;='Resultats - informe'!$D$27)*(C8724&lt;='Resultats - informe'!$E$27),0,(C8724&gt;='Resultats - informe'!$D$28)*(C8724&lt;='Resultats - informe'!$E$28),0,(C8724&gt;='Resultats - informe'!$D$29)*(C8724&lt;='Resultats - informe'!$E$29),0,1,1)</f>
        <v>0</v>
      </c>
      <c r="N8724" s="366">
        <f>+VLOOKUP(D8724,'Resultats - informe'!$Y$18:$AG$42,'Introducció dades consum'!K8724+1,0)</f>
        <v>0</v>
      </c>
      <c r="O8724" s="370" cm="1">
        <f t="array" ref="O8724">+_xlfn.SWITCH(MONTH(C8724),1,1,2,1,3,1,4,2,5,2,6,3,7,3,8,3,9,3,10,2,11,2,12,1,2)</f>
        <v>1</v>
      </c>
      <c r="P8724" s="43"/>
    </row>
    <row r="8725" spans="1:16" ht="18" x14ac:dyDescent="0.35">
      <c r="A8725" s="43"/>
      <c r="C8725" s="393"/>
      <c r="E8725" s="394"/>
      <c r="F8725" s="394"/>
      <c r="G8725" s="394"/>
      <c r="I8725" s="368">
        <f t="shared" si="414"/>
        <v>0</v>
      </c>
      <c r="J8725" s="365">
        <f t="shared" si="415"/>
        <v>0</v>
      </c>
      <c r="K8725" s="369">
        <f t="shared" si="416"/>
        <v>6</v>
      </c>
      <c r="L8725" s="369">
        <f>+IF((C8725&gt;='Resultats - informe'!$E$16)*(C8725&lt;='Resultats - informe'!$G$16),1,0)</f>
        <v>1</v>
      </c>
      <c r="M8725" s="369" cm="1">
        <f t="array" ref="M8725">+_xlfn.IFS((C8725&gt;='Resultats - informe'!$D$26)*(C8725&lt;='Resultats - informe'!$E$26),0,(C8725&gt;='Resultats - informe'!$D$27)*(C8725&lt;='Resultats - informe'!$E$27),0,(C8725&gt;='Resultats - informe'!$D$28)*(C8725&lt;='Resultats - informe'!$E$28),0,(C8725&gt;='Resultats - informe'!$D$29)*(C8725&lt;='Resultats - informe'!$E$29),0,1,1)</f>
        <v>0</v>
      </c>
      <c r="N8725" s="366">
        <f>+VLOOKUP(D8725,'Resultats - informe'!$Y$18:$AG$42,'Introducció dades consum'!K8725+1,0)</f>
        <v>0</v>
      </c>
      <c r="O8725" s="370" cm="1">
        <f t="array" ref="O8725">+_xlfn.SWITCH(MONTH(C8725),1,1,2,1,3,1,4,2,5,2,6,3,7,3,8,3,9,3,10,2,11,2,12,1,2)</f>
        <v>1</v>
      </c>
      <c r="P8725" s="43"/>
    </row>
    <row r="8726" spans="1:16" ht="18" x14ac:dyDescent="0.35">
      <c r="A8726" s="43"/>
      <c r="C8726" s="393"/>
      <c r="E8726" s="394"/>
      <c r="F8726" s="394"/>
      <c r="G8726" s="394"/>
      <c r="I8726" s="368">
        <f t="shared" si="414"/>
        <v>0</v>
      </c>
      <c r="J8726" s="365">
        <f t="shared" si="415"/>
        <v>0</v>
      </c>
      <c r="K8726" s="369">
        <f t="shared" si="416"/>
        <v>6</v>
      </c>
      <c r="L8726" s="369">
        <f>+IF((C8726&gt;='Resultats - informe'!$E$16)*(C8726&lt;='Resultats - informe'!$G$16),1,0)</f>
        <v>1</v>
      </c>
      <c r="M8726" s="369" cm="1">
        <f t="array" ref="M8726">+_xlfn.IFS((C8726&gt;='Resultats - informe'!$D$26)*(C8726&lt;='Resultats - informe'!$E$26),0,(C8726&gt;='Resultats - informe'!$D$27)*(C8726&lt;='Resultats - informe'!$E$27),0,(C8726&gt;='Resultats - informe'!$D$28)*(C8726&lt;='Resultats - informe'!$E$28),0,(C8726&gt;='Resultats - informe'!$D$29)*(C8726&lt;='Resultats - informe'!$E$29),0,1,1)</f>
        <v>0</v>
      </c>
      <c r="N8726" s="366">
        <f>+VLOOKUP(D8726,'Resultats - informe'!$Y$18:$AG$42,'Introducció dades consum'!K8726+1,0)</f>
        <v>0</v>
      </c>
      <c r="O8726" s="370" cm="1">
        <f t="array" ref="O8726">+_xlfn.SWITCH(MONTH(C8726),1,1,2,1,3,1,4,2,5,2,6,3,7,3,8,3,9,3,10,2,11,2,12,1,2)</f>
        <v>1</v>
      </c>
      <c r="P8726" s="43"/>
    </row>
    <row r="8727" spans="1:16" ht="18" x14ac:dyDescent="0.35">
      <c r="A8727" s="43"/>
      <c r="C8727" s="393"/>
      <c r="E8727" s="394"/>
      <c r="F8727" s="394"/>
      <c r="G8727" s="394"/>
      <c r="I8727" s="368">
        <f t="shared" si="414"/>
        <v>0</v>
      </c>
      <c r="J8727" s="365">
        <f t="shared" si="415"/>
        <v>0</v>
      </c>
      <c r="K8727" s="369">
        <f t="shared" si="416"/>
        <v>6</v>
      </c>
      <c r="L8727" s="369">
        <f>+IF((C8727&gt;='Resultats - informe'!$E$16)*(C8727&lt;='Resultats - informe'!$G$16),1,0)</f>
        <v>1</v>
      </c>
      <c r="M8727" s="369" cm="1">
        <f t="array" ref="M8727">+_xlfn.IFS((C8727&gt;='Resultats - informe'!$D$26)*(C8727&lt;='Resultats - informe'!$E$26),0,(C8727&gt;='Resultats - informe'!$D$27)*(C8727&lt;='Resultats - informe'!$E$27),0,(C8727&gt;='Resultats - informe'!$D$28)*(C8727&lt;='Resultats - informe'!$E$28),0,(C8727&gt;='Resultats - informe'!$D$29)*(C8727&lt;='Resultats - informe'!$E$29),0,1,1)</f>
        <v>0</v>
      </c>
      <c r="N8727" s="366">
        <f>+VLOOKUP(D8727,'Resultats - informe'!$Y$18:$AG$42,'Introducció dades consum'!K8727+1,0)</f>
        <v>0</v>
      </c>
      <c r="O8727" s="370" cm="1">
        <f t="array" ref="O8727">+_xlfn.SWITCH(MONTH(C8727),1,1,2,1,3,1,4,2,5,2,6,3,7,3,8,3,9,3,10,2,11,2,12,1,2)</f>
        <v>1</v>
      </c>
      <c r="P8727" s="43"/>
    </row>
    <row r="8728" spans="1:16" ht="18" x14ac:dyDescent="0.35">
      <c r="A8728" s="43"/>
      <c r="C8728" s="393"/>
      <c r="E8728" s="394"/>
      <c r="F8728" s="394"/>
      <c r="G8728" s="394"/>
      <c r="I8728" s="368">
        <f t="shared" si="414"/>
        <v>0</v>
      </c>
      <c r="J8728" s="365">
        <f t="shared" si="415"/>
        <v>0</v>
      </c>
      <c r="K8728" s="369">
        <f t="shared" si="416"/>
        <v>6</v>
      </c>
      <c r="L8728" s="369">
        <f>+IF((C8728&gt;='Resultats - informe'!$E$16)*(C8728&lt;='Resultats - informe'!$G$16),1,0)</f>
        <v>1</v>
      </c>
      <c r="M8728" s="369" cm="1">
        <f t="array" ref="M8728">+_xlfn.IFS((C8728&gt;='Resultats - informe'!$D$26)*(C8728&lt;='Resultats - informe'!$E$26),0,(C8728&gt;='Resultats - informe'!$D$27)*(C8728&lt;='Resultats - informe'!$E$27),0,(C8728&gt;='Resultats - informe'!$D$28)*(C8728&lt;='Resultats - informe'!$E$28),0,(C8728&gt;='Resultats - informe'!$D$29)*(C8728&lt;='Resultats - informe'!$E$29),0,1,1)</f>
        <v>0</v>
      </c>
      <c r="N8728" s="366">
        <f>+VLOOKUP(D8728,'Resultats - informe'!$Y$18:$AG$42,'Introducció dades consum'!K8728+1,0)</f>
        <v>0</v>
      </c>
      <c r="O8728" s="370" cm="1">
        <f t="array" ref="O8728">+_xlfn.SWITCH(MONTH(C8728),1,1,2,1,3,1,4,2,5,2,6,3,7,3,8,3,9,3,10,2,11,2,12,1,2)</f>
        <v>1</v>
      </c>
      <c r="P8728" s="43"/>
    </row>
    <row r="8729" spans="1:16" ht="18" x14ac:dyDescent="0.35">
      <c r="A8729" s="43"/>
      <c r="C8729" s="393"/>
      <c r="E8729" s="394"/>
      <c r="F8729" s="394"/>
      <c r="G8729" s="394"/>
      <c r="I8729" s="368">
        <f t="shared" si="414"/>
        <v>0</v>
      </c>
      <c r="J8729" s="365">
        <f t="shared" si="415"/>
        <v>0</v>
      </c>
      <c r="K8729" s="369">
        <f t="shared" si="416"/>
        <v>6</v>
      </c>
      <c r="L8729" s="369">
        <f>+IF((C8729&gt;='Resultats - informe'!$E$16)*(C8729&lt;='Resultats - informe'!$G$16),1,0)</f>
        <v>1</v>
      </c>
      <c r="M8729" s="369" cm="1">
        <f t="array" ref="M8729">+_xlfn.IFS((C8729&gt;='Resultats - informe'!$D$26)*(C8729&lt;='Resultats - informe'!$E$26),0,(C8729&gt;='Resultats - informe'!$D$27)*(C8729&lt;='Resultats - informe'!$E$27),0,(C8729&gt;='Resultats - informe'!$D$28)*(C8729&lt;='Resultats - informe'!$E$28),0,(C8729&gt;='Resultats - informe'!$D$29)*(C8729&lt;='Resultats - informe'!$E$29),0,1,1)</f>
        <v>0</v>
      </c>
      <c r="N8729" s="366">
        <f>+VLOOKUP(D8729,'Resultats - informe'!$Y$18:$AG$42,'Introducció dades consum'!K8729+1,0)</f>
        <v>0</v>
      </c>
      <c r="O8729" s="370" cm="1">
        <f t="array" ref="O8729">+_xlfn.SWITCH(MONTH(C8729),1,1,2,1,3,1,4,2,5,2,6,3,7,3,8,3,9,3,10,2,11,2,12,1,2)</f>
        <v>1</v>
      </c>
      <c r="P8729" s="43"/>
    </row>
    <row r="8730" spans="1:16" ht="18" x14ac:dyDescent="0.35">
      <c r="A8730" s="43"/>
      <c r="C8730" s="393"/>
      <c r="E8730" s="394"/>
      <c r="F8730" s="394"/>
      <c r="G8730" s="394"/>
      <c r="I8730" s="368">
        <f t="shared" si="414"/>
        <v>0</v>
      </c>
      <c r="J8730" s="365">
        <f t="shared" si="415"/>
        <v>0</v>
      </c>
      <c r="K8730" s="369">
        <f t="shared" si="416"/>
        <v>6</v>
      </c>
      <c r="L8730" s="369">
        <f>+IF((C8730&gt;='Resultats - informe'!$E$16)*(C8730&lt;='Resultats - informe'!$G$16),1,0)</f>
        <v>1</v>
      </c>
      <c r="M8730" s="369" cm="1">
        <f t="array" ref="M8730">+_xlfn.IFS((C8730&gt;='Resultats - informe'!$D$26)*(C8730&lt;='Resultats - informe'!$E$26),0,(C8730&gt;='Resultats - informe'!$D$27)*(C8730&lt;='Resultats - informe'!$E$27),0,(C8730&gt;='Resultats - informe'!$D$28)*(C8730&lt;='Resultats - informe'!$E$28),0,(C8730&gt;='Resultats - informe'!$D$29)*(C8730&lt;='Resultats - informe'!$E$29),0,1,1)</f>
        <v>0</v>
      </c>
      <c r="N8730" s="366">
        <f>+VLOOKUP(D8730,'Resultats - informe'!$Y$18:$AG$42,'Introducció dades consum'!K8730+1,0)</f>
        <v>0</v>
      </c>
      <c r="O8730" s="370" cm="1">
        <f t="array" ref="O8730">+_xlfn.SWITCH(MONTH(C8730),1,1,2,1,3,1,4,2,5,2,6,3,7,3,8,3,9,3,10,2,11,2,12,1,2)</f>
        <v>1</v>
      </c>
      <c r="P8730" s="43"/>
    </row>
    <row r="8731" spans="1:16" ht="18" x14ac:dyDescent="0.35">
      <c r="A8731" s="43"/>
      <c r="C8731" s="393"/>
      <c r="E8731" s="394"/>
      <c r="F8731" s="394"/>
      <c r="G8731" s="394"/>
      <c r="I8731" s="368">
        <f t="shared" si="414"/>
        <v>0</v>
      </c>
      <c r="J8731" s="365">
        <f t="shared" si="415"/>
        <v>0</v>
      </c>
      <c r="K8731" s="369">
        <f t="shared" si="416"/>
        <v>6</v>
      </c>
      <c r="L8731" s="369">
        <f>+IF((C8731&gt;='Resultats - informe'!$E$16)*(C8731&lt;='Resultats - informe'!$G$16),1,0)</f>
        <v>1</v>
      </c>
      <c r="M8731" s="369" cm="1">
        <f t="array" ref="M8731">+_xlfn.IFS((C8731&gt;='Resultats - informe'!$D$26)*(C8731&lt;='Resultats - informe'!$E$26),0,(C8731&gt;='Resultats - informe'!$D$27)*(C8731&lt;='Resultats - informe'!$E$27),0,(C8731&gt;='Resultats - informe'!$D$28)*(C8731&lt;='Resultats - informe'!$E$28),0,(C8731&gt;='Resultats - informe'!$D$29)*(C8731&lt;='Resultats - informe'!$E$29),0,1,1)</f>
        <v>0</v>
      </c>
      <c r="N8731" s="366">
        <f>+VLOOKUP(D8731,'Resultats - informe'!$Y$18:$AG$42,'Introducció dades consum'!K8731+1,0)</f>
        <v>0</v>
      </c>
      <c r="O8731" s="370" cm="1">
        <f t="array" ref="O8731">+_xlfn.SWITCH(MONTH(C8731),1,1,2,1,3,1,4,2,5,2,6,3,7,3,8,3,9,3,10,2,11,2,12,1,2)</f>
        <v>1</v>
      </c>
      <c r="P8731" s="43"/>
    </row>
    <row r="8732" spans="1:16" ht="18" x14ac:dyDescent="0.35">
      <c r="A8732" s="43"/>
      <c r="C8732" s="393"/>
      <c r="E8732" s="394"/>
      <c r="F8732" s="394"/>
      <c r="G8732" s="394"/>
      <c r="I8732" s="368">
        <f t="shared" si="414"/>
        <v>0</v>
      </c>
      <c r="J8732" s="365">
        <f t="shared" si="415"/>
        <v>0</v>
      </c>
      <c r="K8732" s="369">
        <f t="shared" si="416"/>
        <v>6</v>
      </c>
      <c r="L8732" s="369">
        <f>+IF((C8732&gt;='Resultats - informe'!$E$16)*(C8732&lt;='Resultats - informe'!$G$16),1,0)</f>
        <v>1</v>
      </c>
      <c r="M8732" s="369" cm="1">
        <f t="array" ref="M8732">+_xlfn.IFS((C8732&gt;='Resultats - informe'!$D$26)*(C8732&lt;='Resultats - informe'!$E$26),0,(C8732&gt;='Resultats - informe'!$D$27)*(C8732&lt;='Resultats - informe'!$E$27),0,(C8732&gt;='Resultats - informe'!$D$28)*(C8732&lt;='Resultats - informe'!$E$28),0,(C8732&gt;='Resultats - informe'!$D$29)*(C8732&lt;='Resultats - informe'!$E$29),0,1,1)</f>
        <v>0</v>
      </c>
      <c r="N8732" s="366">
        <f>+VLOOKUP(D8732,'Resultats - informe'!$Y$18:$AG$42,'Introducció dades consum'!K8732+1,0)</f>
        <v>0</v>
      </c>
      <c r="O8732" s="370" cm="1">
        <f t="array" ref="O8732">+_xlfn.SWITCH(MONTH(C8732),1,1,2,1,3,1,4,2,5,2,6,3,7,3,8,3,9,3,10,2,11,2,12,1,2)</f>
        <v>1</v>
      </c>
      <c r="P8732" s="43"/>
    </row>
    <row r="8733" spans="1:16" ht="18" x14ac:dyDescent="0.35">
      <c r="A8733" s="43"/>
      <c r="C8733" s="393"/>
      <c r="E8733" s="394"/>
      <c r="F8733" s="394"/>
      <c r="G8733" s="394"/>
      <c r="I8733" s="368">
        <f t="shared" si="414"/>
        <v>0</v>
      </c>
      <c r="J8733" s="365">
        <f t="shared" si="415"/>
        <v>0</v>
      </c>
      <c r="K8733" s="369">
        <f t="shared" si="416"/>
        <v>6</v>
      </c>
      <c r="L8733" s="369">
        <f>+IF((C8733&gt;='Resultats - informe'!$E$16)*(C8733&lt;='Resultats - informe'!$G$16),1,0)</f>
        <v>1</v>
      </c>
      <c r="M8733" s="369" cm="1">
        <f t="array" ref="M8733">+_xlfn.IFS((C8733&gt;='Resultats - informe'!$D$26)*(C8733&lt;='Resultats - informe'!$E$26),0,(C8733&gt;='Resultats - informe'!$D$27)*(C8733&lt;='Resultats - informe'!$E$27),0,(C8733&gt;='Resultats - informe'!$D$28)*(C8733&lt;='Resultats - informe'!$E$28),0,(C8733&gt;='Resultats - informe'!$D$29)*(C8733&lt;='Resultats - informe'!$E$29),0,1,1)</f>
        <v>0</v>
      </c>
      <c r="N8733" s="366">
        <f>+VLOOKUP(D8733,'Resultats - informe'!$Y$18:$AG$42,'Introducció dades consum'!K8733+1,0)</f>
        <v>0</v>
      </c>
      <c r="O8733" s="370" cm="1">
        <f t="array" ref="O8733">+_xlfn.SWITCH(MONTH(C8733),1,1,2,1,3,1,4,2,5,2,6,3,7,3,8,3,9,3,10,2,11,2,12,1,2)</f>
        <v>1</v>
      </c>
      <c r="P8733" s="43"/>
    </row>
    <row r="8734" spans="1:16" ht="18" x14ac:dyDescent="0.35">
      <c r="A8734" s="43"/>
      <c r="C8734" s="393"/>
      <c r="E8734" s="394"/>
      <c r="F8734" s="394"/>
      <c r="G8734" s="394"/>
      <c r="I8734" s="368">
        <f t="shared" si="414"/>
        <v>0</v>
      </c>
      <c r="J8734" s="365">
        <f t="shared" si="415"/>
        <v>0</v>
      </c>
      <c r="K8734" s="369">
        <f t="shared" si="416"/>
        <v>6</v>
      </c>
      <c r="L8734" s="369">
        <f>+IF((C8734&gt;='Resultats - informe'!$E$16)*(C8734&lt;='Resultats - informe'!$G$16),1,0)</f>
        <v>1</v>
      </c>
      <c r="M8734" s="369" cm="1">
        <f t="array" ref="M8734">+_xlfn.IFS((C8734&gt;='Resultats - informe'!$D$26)*(C8734&lt;='Resultats - informe'!$E$26),0,(C8734&gt;='Resultats - informe'!$D$27)*(C8734&lt;='Resultats - informe'!$E$27),0,(C8734&gt;='Resultats - informe'!$D$28)*(C8734&lt;='Resultats - informe'!$E$28),0,(C8734&gt;='Resultats - informe'!$D$29)*(C8734&lt;='Resultats - informe'!$E$29),0,1,1)</f>
        <v>0</v>
      </c>
      <c r="N8734" s="366">
        <f>+VLOOKUP(D8734,'Resultats - informe'!$Y$18:$AG$42,'Introducció dades consum'!K8734+1,0)</f>
        <v>0</v>
      </c>
      <c r="O8734" s="370" cm="1">
        <f t="array" ref="O8734">+_xlfn.SWITCH(MONTH(C8734),1,1,2,1,3,1,4,2,5,2,6,3,7,3,8,3,9,3,10,2,11,2,12,1,2)</f>
        <v>1</v>
      </c>
      <c r="P8734" s="43"/>
    </row>
    <row r="8735" spans="1:16" ht="18" x14ac:dyDescent="0.35">
      <c r="A8735" s="43"/>
      <c r="C8735" s="393"/>
      <c r="E8735" s="394"/>
      <c r="F8735" s="394"/>
      <c r="G8735" s="394"/>
      <c r="I8735" s="368">
        <f t="shared" si="414"/>
        <v>0</v>
      </c>
      <c r="J8735" s="365">
        <f t="shared" si="415"/>
        <v>0</v>
      </c>
      <c r="K8735" s="369">
        <f t="shared" si="416"/>
        <v>6</v>
      </c>
      <c r="L8735" s="369">
        <f>+IF((C8735&gt;='Resultats - informe'!$E$16)*(C8735&lt;='Resultats - informe'!$G$16),1,0)</f>
        <v>1</v>
      </c>
      <c r="M8735" s="369" cm="1">
        <f t="array" ref="M8735">+_xlfn.IFS((C8735&gt;='Resultats - informe'!$D$26)*(C8735&lt;='Resultats - informe'!$E$26),0,(C8735&gt;='Resultats - informe'!$D$27)*(C8735&lt;='Resultats - informe'!$E$27),0,(C8735&gt;='Resultats - informe'!$D$28)*(C8735&lt;='Resultats - informe'!$E$28),0,(C8735&gt;='Resultats - informe'!$D$29)*(C8735&lt;='Resultats - informe'!$E$29),0,1,1)</f>
        <v>0</v>
      </c>
      <c r="N8735" s="366">
        <f>+VLOOKUP(D8735,'Resultats - informe'!$Y$18:$AG$42,'Introducció dades consum'!K8735+1,0)</f>
        <v>0</v>
      </c>
      <c r="O8735" s="370" cm="1">
        <f t="array" ref="O8735">+_xlfn.SWITCH(MONTH(C8735),1,1,2,1,3,1,4,2,5,2,6,3,7,3,8,3,9,3,10,2,11,2,12,1,2)</f>
        <v>1</v>
      </c>
      <c r="P8735" s="43"/>
    </row>
    <row r="8736" spans="1:16" ht="18" x14ac:dyDescent="0.35">
      <c r="A8736" s="43"/>
      <c r="C8736" s="393"/>
      <c r="E8736" s="394"/>
      <c r="F8736" s="394"/>
      <c r="G8736" s="394"/>
      <c r="I8736" s="368">
        <f t="shared" si="414"/>
        <v>0</v>
      </c>
      <c r="J8736" s="365">
        <f t="shared" si="415"/>
        <v>0</v>
      </c>
      <c r="K8736" s="369">
        <f t="shared" si="416"/>
        <v>6</v>
      </c>
      <c r="L8736" s="369">
        <f>+IF((C8736&gt;='Resultats - informe'!$E$16)*(C8736&lt;='Resultats - informe'!$G$16),1,0)</f>
        <v>1</v>
      </c>
      <c r="M8736" s="369" cm="1">
        <f t="array" ref="M8736">+_xlfn.IFS((C8736&gt;='Resultats - informe'!$D$26)*(C8736&lt;='Resultats - informe'!$E$26),0,(C8736&gt;='Resultats - informe'!$D$27)*(C8736&lt;='Resultats - informe'!$E$27),0,(C8736&gt;='Resultats - informe'!$D$28)*(C8736&lt;='Resultats - informe'!$E$28),0,(C8736&gt;='Resultats - informe'!$D$29)*(C8736&lt;='Resultats - informe'!$E$29),0,1,1)</f>
        <v>0</v>
      </c>
      <c r="N8736" s="366">
        <f>+VLOOKUP(D8736,'Resultats - informe'!$Y$18:$AG$42,'Introducció dades consum'!K8736+1,0)</f>
        <v>0</v>
      </c>
      <c r="O8736" s="370" cm="1">
        <f t="array" ref="O8736">+_xlfn.SWITCH(MONTH(C8736),1,1,2,1,3,1,4,2,5,2,6,3,7,3,8,3,9,3,10,2,11,2,12,1,2)</f>
        <v>1</v>
      </c>
      <c r="P8736" s="43"/>
    </row>
    <row r="8737" spans="1:16" ht="18" x14ac:dyDescent="0.35">
      <c r="A8737" s="43"/>
      <c r="C8737" s="393"/>
      <c r="E8737" s="394"/>
      <c r="F8737" s="394"/>
      <c r="G8737" s="394"/>
      <c r="I8737" s="368">
        <f t="shared" si="414"/>
        <v>0</v>
      </c>
      <c r="J8737" s="365">
        <f t="shared" si="415"/>
        <v>0</v>
      </c>
      <c r="K8737" s="369">
        <f t="shared" si="416"/>
        <v>6</v>
      </c>
      <c r="L8737" s="369">
        <f>+IF((C8737&gt;='Resultats - informe'!$E$16)*(C8737&lt;='Resultats - informe'!$G$16),1,0)</f>
        <v>1</v>
      </c>
      <c r="M8737" s="369" cm="1">
        <f t="array" ref="M8737">+_xlfn.IFS((C8737&gt;='Resultats - informe'!$D$26)*(C8737&lt;='Resultats - informe'!$E$26),0,(C8737&gt;='Resultats - informe'!$D$27)*(C8737&lt;='Resultats - informe'!$E$27),0,(C8737&gt;='Resultats - informe'!$D$28)*(C8737&lt;='Resultats - informe'!$E$28),0,(C8737&gt;='Resultats - informe'!$D$29)*(C8737&lt;='Resultats - informe'!$E$29),0,1,1)</f>
        <v>0</v>
      </c>
      <c r="N8737" s="366">
        <f>+VLOOKUP(D8737,'Resultats - informe'!$Y$18:$AG$42,'Introducció dades consum'!K8737+1,0)</f>
        <v>0</v>
      </c>
      <c r="O8737" s="370" cm="1">
        <f t="array" ref="O8737">+_xlfn.SWITCH(MONTH(C8737),1,1,2,1,3,1,4,2,5,2,6,3,7,3,8,3,9,3,10,2,11,2,12,1,2)</f>
        <v>1</v>
      </c>
      <c r="P8737" s="43"/>
    </row>
    <row r="8738" spans="1:16" ht="18" x14ac:dyDescent="0.35">
      <c r="A8738" s="43"/>
      <c r="C8738" s="393"/>
      <c r="E8738" s="394"/>
      <c r="F8738" s="394"/>
      <c r="G8738" s="394"/>
      <c r="I8738" s="368">
        <f t="shared" si="414"/>
        <v>0</v>
      </c>
      <c r="J8738" s="365">
        <f t="shared" si="415"/>
        <v>0</v>
      </c>
      <c r="K8738" s="369">
        <f t="shared" si="416"/>
        <v>6</v>
      </c>
      <c r="L8738" s="369">
        <f>+IF((C8738&gt;='Resultats - informe'!$E$16)*(C8738&lt;='Resultats - informe'!$G$16),1,0)</f>
        <v>1</v>
      </c>
      <c r="M8738" s="369" cm="1">
        <f t="array" ref="M8738">+_xlfn.IFS((C8738&gt;='Resultats - informe'!$D$26)*(C8738&lt;='Resultats - informe'!$E$26),0,(C8738&gt;='Resultats - informe'!$D$27)*(C8738&lt;='Resultats - informe'!$E$27),0,(C8738&gt;='Resultats - informe'!$D$28)*(C8738&lt;='Resultats - informe'!$E$28),0,(C8738&gt;='Resultats - informe'!$D$29)*(C8738&lt;='Resultats - informe'!$E$29),0,1,1)</f>
        <v>0</v>
      </c>
      <c r="N8738" s="366">
        <f>+VLOOKUP(D8738,'Resultats - informe'!$Y$18:$AG$42,'Introducció dades consum'!K8738+1,0)</f>
        <v>0</v>
      </c>
      <c r="O8738" s="370" cm="1">
        <f t="array" ref="O8738">+_xlfn.SWITCH(MONTH(C8738),1,1,2,1,3,1,4,2,5,2,6,3,7,3,8,3,9,3,10,2,11,2,12,1,2)</f>
        <v>1</v>
      </c>
      <c r="P8738" s="43"/>
    </row>
    <row r="8739" spans="1:16" ht="18" x14ac:dyDescent="0.35">
      <c r="A8739" s="43"/>
      <c r="C8739" s="393"/>
      <c r="E8739" s="394"/>
      <c r="F8739" s="394"/>
      <c r="G8739" s="394"/>
      <c r="I8739" s="368">
        <f t="shared" si="414"/>
        <v>0</v>
      </c>
      <c r="J8739" s="365">
        <f t="shared" si="415"/>
        <v>0</v>
      </c>
      <c r="K8739" s="369">
        <f t="shared" si="416"/>
        <v>6</v>
      </c>
      <c r="L8739" s="369">
        <f>+IF((C8739&gt;='Resultats - informe'!$E$16)*(C8739&lt;='Resultats - informe'!$G$16),1,0)</f>
        <v>1</v>
      </c>
      <c r="M8739" s="369" cm="1">
        <f t="array" ref="M8739">+_xlfn.IFS((C8739&gt;='Resultats - informe'!$D$26)*(C8739&lt;='Resultats - informe'!$E$26),0,(C8739&gt;='Resultats - informe'!$D$27)*(C8739&lt;='Resultats - informe'!$E$27),0,(C8739&gt;='Resultats - informe'!$D$28)*(C8739&lt;='Resultats - informe'!$E$28),0,(C8739&gt;='Resultats - informe'!$D$29)*(C8739&lt;='Resultats - informe'!$E$29),0,1,1)</f>
        <v>0</v>
      </c>
      <c r="N8739" s="366">
        <f>+VLOOKUP(D8739,'Resultats - informe'!$Y$18:$AG$42,'Introducció dades consum'!K8739+1,0)</f>
        <v>0</v>
      </c>
      <c r="O8739" s="370" cm="1">
        <f t="array" ref="O8739">+_xlfn.SWITCH(MONTH(C8739),1,1,2,1,3,1,4,2,5,2,6,3,7,3,8,3,9,3,10,2,11,2,12,1,2)</f>
        <v>1</v>
      </c>
      <c r="P8739" s="43"/>
    </row>
    <row r="8740" spans="1:16" ht="18" x14ac:dyDescent="0.35">
      <c r="A8740" s="43"/>
      <c r="C8740" s="393"/>
      <c r="E8740" s="394"/>
      <c r="F8740" s="394"/>
      <c r="G8740" s="394"/>
      <c r="I8740" s="368">
        <f t="shared" si="414"/>
        <v>0</v>
      </c>
      <c r="J8740" s="365">
        <f t="shared" si="415"/>
        <v>0</v>
      </c>
      <c r="K8740" s="369">
        <f t="shared" si="416"/>
        <v>6</v>
      </c>
      <c r="L8740" s="369">
        <f>+IF((C8740&gt;='Resultats - informe'!$E$16)*(C8740&lt;='Resultats - informe'!$G$16),1,0)</f>
        <v>1</v>
      </c>
      <c r="M8740" s="369" cm="1">
        <f t="array" ref="M8740">+_xlfn.IFS((C8740&gt;='Resultats - informe'!$D$26)*(C8740&lt;='Resultats - informe'!$E$26),0,(C8740&gt;='Resultats - informe'!$D$27)*(C8740&lt;='Resultats - informe'!$E$27),0,(C8740&gt;='Resultats - informe'!$D$28)*(C8740&lt;='Resultats - informe'!$E$28),0,(C8740&gt;='Resultats - informe'!$D$29)*(C8740&lt;='Resultats - informe'!$E$29),0,1,1)</f>
        <v>0</v>
      </c>
      <c r="N8740" s="366">
        <f>+VLOOKUP(D8740,'Resultats - informe'!$Y$18:$AG$42,'Introducció dades consum'!K8740+1,0)</f>
        <v>0</v>
      </c>
      <c r="O8740" s="370" cm="1">
        <f t="array" ref="O8740">+_xlfn.SWITCH(MONTH(C8740),1,1,2,1,3,1,4,2,5,2,6,3,7,3,8,3,9,3,10,2,11,2,12,1,2)</f>
        <v>1</v>
      </c>
      <c r="P8740" s="43"/>
    </row>
    <row r="8741" spans="1:16" ht="18" x14ac:dyDescent="0.35">
      <c r="A8741" s="43"/>
      <c r="C8741" s="393"/>
      <c r="E8741" s="394"/>
      <c r="F8741" s="394"/>
      <c r="G8741" s="394"/>
      <c r="I8741" s="368">
        <f t="shared" si="414"/>
        <v>0</v>
      </c>
      <c r="J8741" s="365">
        <f t="shared" si="415"/>
        <v>0</v>
      </c>
      <c r="K8741" s="369">
        <f t="shared" si="416"/>
        <v>6</v>
      </c>
      <c r="L8741" s="369">
        <f>+IF((C8741&gt;='Resultats - informe'!$E$16)*(C8741&lt;='Resultats - informe'!$G$16),1,0)</f>
        <v>1</v>
      </c>
      <c r="M8741" s="369" cm="1">
        <f t="array" ref="M8741">+_xlfn.IFS((C8741&gt;='Resultats - informe'!$D$26)*(C8741&lt;='Resultats - informe'!$E$26),0,(C8741&gt;='Resultats - informe'!$D$27)*(C8741&lt;='Resultats - informe'!$E$27),0,(C8741&gt;='Resultats - informe'!$D$28)*(C8741&lt;='Resultats - informe'!$E$28),0,(C8741&gt;='Resultats - informe'!$D$29)*(C8741&lt;='Resultats - informe'!$E$29),0,1,1)</f>
        <v>0</v>
      </c>
      <c r="N8741" s="366">
        <f>+VLOOKUP(D8741,'Resultats - informe'!$Y$18:$AG$42,'Introducció dades consum'!K8741+1,0)</f>
        <v>0</v>
      </c>
      <c r="O8741" s="370" cm="1">
        <f t="array" ref="O8741">+_xlfn.SWITCH(MONTH(C8741),1,1,2,1,3,1,4,2,5,2,6,3,7,3,8,3,9,3,10,2,11,2,12,1,2)</f>
        <v>1</v>
      </c>
      <c r="P8741" s="43"/>
    </row>
    <row r="8742" spans="1:16" ht="18" x14ac:dyDescent="0.35">
      <c r="A8742" s="43"/>
      <c r="C8742" s="393"/>
      <c r="E8742" s="394"/>
      <c r="F8742" s="394"/>
      <c r="G8742" s="394"/>
      <c r="I8742" s="368">
        <f t="shared" si="414"/>
        <v>0</v>
      </c>
      <c r="J8742" s="365">
        <f t="shared" si="415"/>
        <v>0</v>
      </c>
      <c r="K8742" s="369">
        <f t="shared" si="416"/>
        <v>6</v>
      </c>
      <c r="L8742" s="369">
        <f>+IF((C8742&gt;='Resultats - informe'!$E$16)*(C8742&lt;='Resultats - informe'!$G$16),1,0)</f>
        <v>1</v>
      </c>
      <c r="M8742" s="369" cm="1">
        <f t="array" ref="M8742">+_xlfn.IFS((C8742&gt;='Resultats - informe'!$D$26)*(C8742&lt;='Resultats - informe'!$E$26),0,(C8742&gt;='Resultats - informe'!$D$27)*(C8742&lt;='Resultats - informe'!$E$27),0,(C8742&gt;='Resultats - informe'!$D$28)*(C8742&lt;='Resultats - informe'!$E$28),0,(C8742&gt;='Resultats - informe'!$D$29)*(C8742&lt;='Resultats - informe'!$E$29),0,1,1)</f>
        <v>0</v>
      </c>
      <c r="N8742" s="366">
        <f>+VLOOKUP(D8742,'Resultats - informe'!$Y$18:$AG$42,'Introducció dades consum'!K8742+1,0)</f>
        <v>0</v>
      </c>
      <c r="O8742" s="370" cm="1">
        <f t="array" ref="O8742">+_xlfn.SWITCH(MONTH(C8742),1,1,2,1,3,1,4,2,5,2,6,3,7,3,8,3,9,3,10,2,11,2,12,1,2)</f>
        <v>1</v>
      </c>
      <c r="P8742" s="43"/>
    </row>
    <row r="8743" spans="1:16" ht="18" x14ac:dyDescent="0.35">
      <c r="A8743" s="43"/>
      <c r="C8743" s="393"/>
      <c r="E8743" s="394"/>
      <c r="F8743" s="394"/>
      <c r="G8743" s="394"/>
      <c r="I8743" s="368">
        <f t="shared" si="414"/>
        <v>0</v>
      </c>
      <c r="J8743" s="365">
        <f t="shared" si="415"/>
        <v>0</v>
      </c>
      <c r="K8743" s="369">
        <f t="shared" si="416"/>
        <v>6</v>
      </c>
      <c r="L8743" s="369">
        <f>+IF((C8743&gt;='Resultats - informe'!$E$16)*(C8743&lt;='Resultats - informe'!$G$16),1,0)</f>
        <v>1</v>
      </c>
      <c r="M8743" s="369" cm="1">
        <f t="array" ref="M8743">+_xlfn.IFS((C8743&gt;='Resultats - informe'!$D$26)*(C8743&lt;='Resultats - informe'!$E$26),0,(C8743&gt;='Resultats - informe'!$D$27)*(C8743&lt;='Resultats - informe'!$E$27),0,(C8743&gt;='Resultats - informe'!$D$28)*(C8743&lt;='Resultats - informe'!$E$28),0,(C8743&gt;='Resultats - informe'!$D$29)*(C8743&lt;='Resultats - informe'!$E$29),0,1,1)</f>
        <v>0</v>
      </c>
      <c r="N8743" s="366">
        <f>+VLOOKUP(D8743,'Resultats - informe'!$Y$18:$AG$42,'Introducció dades consum'!K8743+1,0)</f>
        <v>0</v>
      </c>
      <c r="O8743" s="370" cm="1">
        <f t="array" ref="O8743">+_xlfn.SWITCH(MONTH(C8743),1,1,2,1,3,1,4,2,5,2,6,3,7,3,8,3,9,3,10,2,11,2,12,1,2)</f>
        <v>1</v>
      </c>
      <c r="P8743" s="43"/>
    </row>
    <row r="8744" spans="1:16" ht="18" x14ac:dyDescent="0.35">
      <c r="A8744" s="43"/>
      <c r="C8744" s="393"/>
      <c r="E8744" s="394"/>
      <c r="F8744" s="394"/>
      <c r="G8744" s="394"/>
      <c r="I8744" s="368">
        <f t="shared" si="414"/>
        <v>0</v>
      </c>
      <c r="J8744" s="365">
        <f t="shared" si="415"/>
        <v>0</v>
      </c>
      <c r="K8744" s="369">
        <f t="shared" si="416"/>
        <v>6</v>
      </c>
      <c r="L8744" s="369">
        <f>+IF((C8744&gt;='Resultats - informe'!$E$16)*(C8744&lt;='Resultats - informe'!$G$16),1,0)</f>
        <v>1</v>
      </c>
      <c r="M8744" s="369" cm="1">
        <f t="array" ref="M8744">+_xlfn.IFS((C8744&gt;='Resultats - informe'!$D$26)*(C8744&lt;='Resultats - informe'!$E$26),0,(C8744&gt;='Resultats - informe'!$D$27)*(C8744&lt;='Resultats - informe'!$E$27),0,(C8744&gt;='Resultats - informe'!$D$28)*(C8744&lt;='Resultats - informe'!$E$28),0,(C8744&gt;='Resultats - informe'!$D$29)*(C8744&lt;='Resultats - informe'!$E$29),0,1,1)</f>
        <v>0</v>
      </c>
      <c r="N8744" s="366">
        <f>+VLOOKUP(D8744,'Resultats - informe'!$Y$18:$AG$42,'Introducció dades consum'!K8744+1,0)</f>
        <v>0</v>
      </c>
      <c r="O8744" s="370" cm="1">
        <f t="array" ref="O8744">+_xlfn.SWITCH(MONTH(C8744),1,1,2,1,3,1,4,2,5,2,6,3,7,3,8,3,9,3,10,2,11,2,12,1,2)</f>
        <v>1</v>
      </c>
      <c r="P8744" s="43"/>
    </row>
    <row r="8745" spans="1:16" ht="18" x14ac:dyDescent="0.35">
      <c r="A8745" s="43"/>
      <c r="C8745" s="393"/>
      <c r="E8745" s="394"/>
      <c r="F8745" s="394"/>
      <c r="G8745" s="394"/>
      <c r="I8745" s="368">
        <f t="shared" si="414"/>
        <v>0</v>
      </c>
      <c r="J8745" s="365">
        <f t="shared" si="415"/>
        <v>0</v>
      </c>
      <c r="K8745" s="369">
        <f t="shared" si="416"/>
        <v>6</v>
      </c>
      <c r="L8745" s="369">
        <f>+IF((C8745&gt;='Resultats - informe'!$E$16)*(C8745&lt;='Resultats - informe'!$G$16),1,0)</f>
        <v>1</v>
      </c>
      <c r="M8745" s="369" cm="1">
        <f t="array" ref="M8745">+_xlfn.IFS((C8745&gt;='Resultats - informe'!$D$26)*(C8745&lt;='Resultats - informe'!$E$26),0,(C8745&gt;='Resultats - informe'!$D$27)*(C8745&lt;='Resultats - informe'!$E$27),0,(C8745&gt;='Resultats - informe'!$D$28)*(C8745&lt;='Resultats - informe'!$E$28),0,(C8745&gt;='Resultats - informe'!$D$29)*(C8745&lt;='Resultats - informe'!$E$29),0,1,1)</f>
        <v>0</v>
      </c>
      <c r="N8745" s="366">
        <f>+VLOOKUP(D8745,'Resultats - informe'!$Y$18:$AG$42,'Introducció dades consum'!K8745+1,0)</f>
        <v>0</v>
      </c>
      <c r="O8745" s="370" cm="1">
        <f t="array" ref="O8745">+_xlfn.SWITCH(MONTH(C8745),1,1,2,1,3,1,4,2,5,2,6,3,7,3,8,3,9,3,10,2,11,2,12,1,2)</f>
        <v>1</v>
      </c>
      <c r="P8745" s="43"/>
    </row>
    <row r="8746" spans="1:16" ht="18" x14ac:dyDescent="0.35">
      <c r="A8746" s="43"/>
      <c r="C8746" s="393"/>
      <c r="E8746" s="394"/>
      <c r="F8746" s="394"/>
      <c r="G8746" s="394"/>
      <c r="I8746" s="368">
        <f t="shared" si="414"/>
        <v>0</v>
      </c>
      <c r="J8746" s="365">
        <f t="shared" si="415"/>
        <v>0</v>
      </c>
      <c r="K8746" s="369">
        <f t="shared" si="416"/>
        <v>6</v>
      </c>
      <c r="L8746" s="369">
        <f>+IF((C8746&gt;='Resultats - informe'!$E$16)*(C8746&lt;='Resultats - informe'!$G$16),1,0)</f>
        <v>1</v>
      </c>
      <c r="M8746" s="369" cm="1">
        <f t="array" ref="M8746">+_xlfn.IFS((C8746&gt;='Resultats - informe'!$D$26)*(C8746&lt;='Resultats - informe'!$E$26),0,(C8746&gt;='Resultats - informe'!$D$27)*(C8746&lt;='Resultats - informe'!$E$27),0,(C8746&gt;='Resultats - informe'!$D$28)*(C8746&lt;='Resultats - informe'!$E$28),0,(C8746&gt;='Resultats - informe'!$D$29)*(C8746&lt;='Resultats - informe'!$E$29),0,1,1)</f>
        <v>0</v>
      </c>
      <c r="N8746" s="366">
        <f>+VLOOKUP(D8746,'Resultats - informe'!$Y$18:$AG$42,'Introducció dades consum'!K8746+1,0)</f>
        <v>0</v>
      </c>
      <c r="O8746" s="370" cm="1">
        <f t="array" ref="O8746">+_xlfn.SWITCH(MONTH(C8746),1,1,2,1,3,1,4,2,5,2,6,3,7,3,8,3,9,3,10,2,11,2,12,1,2)</f>
        <v>1</v>
      </c>
      <c r="P8746" s="43"/>
    </row>
    <row r="8747" spans="1:16" ht="18" x14ac:dyDescent="0.35">
      <c r="A8747" s="43"/>
      <c r="C8747" s="393"/>
      <c r="E8747" s="394"/>
      <c r="F8747" s="394"/>
      <c r="G8747" s="394"/>
      <c r="I8747" s="368">
        <f t="shared" si="414"/>
        <v>0</v>
      </c>
      <c r="J8747" s="365">
        <f t="shared" si="415"/>
        <v>0</v>
      </c>
      <c r="K8747" s="369">
        <f t="shared" si="416"/>
        <v>6</v>
      </c>
      <c r="L8747" s="369">
        <f>+IF((C8747&gt;='Resultats - informe'!$E$16)*(C8747&lt;='Resultats - informe'!$G$16),1,0)</f>
        <v>1</v>
      </c>
      <c r="M8747" s="369" cm="1">
        <f t="array" ref="M8747">+_xlfn.IFS((C8747&gt;='Resultats - informe'!$D$26)*(C8747&lt;='Resultats - informe'!$E$26),0,(C8747&gt;='Resultats - informe'!$D$27)*(C8747&lt;='Resultats - informe'!$E$27),0,(C8747&gt;='Resultats - informe'!$D$28)*(C8747&lt;='Resultats - informe'!$E$28),0,(C8747&gt;='Resultats - informe'!$D$29)*(C8747&lt;='Resultats - informe'!$E$29),0,1,1)</f>
        <v>0</v>
      </c>
      <c r="N8747" s="366">
        <f>+VLOOKUP(D8747,'Resultats - informe'!$Y$18:$AG$42,'Introducció dades consum'!K8747+1,0)</f>
        <v>0</v>
      </c>
      <c r="O8747" s="370" cm="1">
        <f t="array" ref="O8747">+_xlfn.SWITCH(MONTH(C8747),1,1,2,1,3,1,4,2,5,2,6,3,7,3,8,3,9,3,10,2,11,2,12,1,2)</f>
        <v>1</v>
      </c>
      <c r="P8747" s="43"/>
    </row>
    <row r="8748" spans="1:16" ht="18" x14ac:dyDescent="0.35">
      <c r="A8748" s="43"/>
      <c r="C8748" s="393"/>
      <c r="E8748" s="394"/>
      <c r="F8748" s="394"/>
      <c r="G8748" s="394"/>
      <c r="I8748" s="368">
        <f t="shared" si="414"/>
        <v>0</v>
      </c>
      <c r="J8748" s="365">
        <f t="shared" si="415"/>
        <v>0</v>
      </c>
      <c r="K8748" s="369">
        <f t="shared" si="416"/>
        <v>6</v>
      </c>
      <c r="L8748" s="369">
        <f>+IF((C8748&gt;='Resultats - informe'!$E$16)*(C8748&lt;='Resultats - informe'!$G$16),1,0)</f>
        <v>1</v>
      </c>
      <c r="M8748" s="369" cm="1">
        <f t="array" ref="M8748">+_xlfn.IFS((C8748&gt;='Resultats - informe'!$D$26)*(C8748&lt;='Resultats - informe'!$E$26),0,(C8748&gt;='Resultats - informe'!$D$27)*(C8748&lt;='Resultats - informe'!$E$27),0,(C8748&gt;='Resultats - informe'!$D$28)*(C8748&lt;='Resultats - informe'!$E$28),0,(C8748&gt;='Resultats - informe'!$D$29)*(C8748&lt;='Resultats - informe'!$E$29),0,1,1)</f>
        <v>0</v>
      </c>
      <c r="N8748" s="366">
        <f>+VLOOKUP(D8748,'Resultats - informe'!$Y$18:$AG$42,'Introducció dades consum'!K8748+1,0)</f>
        <v>0</v>
      </c>
      <c r="O8748" s="370" cm="1">
        <f t="array" ref="O8748">+_xlfn.SWITCH(MONTH(C8748),1,1,2,1,3,1,4,2,5,2,6,3,7,3,8,3,9,3,10,2,11,2,12,1,2)</f>
        <v>1</v>
      </c>
      <c r="P8748" s="43"/>
    </row>
    <row r="8749" spans="1:16" ht="18" x14ac:dyDescent="0.35">
      <c r="A8749" s="43"/>
      <c r="C8749" s="393"/>
      <c r="E8749" s="394"/>
      <c r="F8749" s="394"/>
      <c r="G8749" s="394"/>
      <c r="I8749" s="368">
        <f t="shared" si="414"/>
        <v>0</v>
      </c>
      <c r="J8749" s="365">
        <f t="shared" si="415"/>
        <v>0</v>
      </c>
      <c r="K8749" s="369">
        <f t="shared" si="416"/>
        <v>6</v>
      </c>
      <c r="L8749" s="369">
        <f>+IF((C8749&gt;='Resultats - informe'!$E$16)*(C8749&lt;='Resultats - informe'!$G$16),1,0)</f>
        <v>1</v>
      </c>
      <c r="M8749" s="369" cm="1">
        <f t="array" ref="M8749">+_xlfn.IFS((C8749&gt;='Resultats - informe'!$D$26)*(C8749&lt;='Resultats - informe'!$E$26),0,(C8749&gt;='Resultats - informe'!$D$27)*(C8749&lt;='Resultats - informe'!$E$27),0,(C8749&gt;='Resultats - informe'!$D$28)*(C8749&lt;='Resultats - informe'!$E$28),0,(C8749&gt;='Resultats - informe'!$D$29)*(C8749&lt;='Resultats - informe'!$E$29),0,1,1)</f>
        <v>0</v>
      </c>
      <c r="N8749" s="366">
        <f>+VLOOKUP(D8749,'Resultats - informe'!$Y$18:$AG$42,'Introducció dades consum'!K8749+1,0)</f>
        <v>0</v>
      </c>
      <c r="O8749" s="370" cm="1">
        <f t="array" ref="O8749">+_xlfn.SWITCH(MONTH(C8749),1,1,2,1,3,1,4,2,5,2,6,3,7,3,8,3,9,3,10,2,11,2,12,1,2)</f>
        <v>1</v>
      </c>
      <c r="P8749" s="43"/>
    </row>
    <row r="8750" spans="1:16" ht="18" x14ac:dyDescent="0.35">
      <c r="A8750" s="43"/>
      <c r="C8750" s="393"/>
      <c r="E8750" s="394"/>
      <c r="F8750" s="394"/>
      <c r="G8750" s="394"/>
      <c r="I8750" s="368">
        <f t="shared" si="414"/>
        <v>0</v>
      </c>
      <c r="J8750" s="365">
        <f t="shared" si="415"/>
        <v>0</v>
      </c>
      <c r="K8750" s="369">
        <f t="shared" si="416"/>
        <v>6</v>
      </c>
      <c r="L8750" s="369">
        <f>+IF((C8750&gt;='Resultats - informe'!$E$16)*(C8750&lt;='Resultats - informe'!$G$16),1,0)</f>
        <v>1</v>
      </c>
      <c r="M8750" s="369" cm="1">
        <f t="array" ref="M8750">+_xlfn.IFS((C8750&gt;='Resultats - informe'!$D$26)*(C8750&lt;='Resultats - informe'!$E$26),0,(C8750&gt;='Resultats - informe'!$D$27)*(C8750&lt;='Resultats - informe'!$E$27),0,(C8750&gt;='Resultats - informe'!$D$28)*(C8750&lt;='Resultats - informe'!$E$28),0,(C8750&gt;='Resultats - informe'!$D$29)*(C8750&lt;='Resultats - informe'!$E$29),0,1,1)</f>
        <v>0</v>
      </c>
      <c r="N8750" s="366">
        <f>+VLOOKUP(D8750,'Resultats - informe'!$Y$18:$AG$42,'Introducció dades consum'!K8750+1,0)</f>
        <v>0</v>
      </c>
      <c r="O8750" s="370" cm="1">
        <f t="array" ref="O8750">+_xlfn.SWITCH(MONTH(C8750),1,1,2,1,3,1,4,2,5,2,6,3,7,3,8,3,9,3,10,2,11,2,12,1,2)</f>
        <v>1</v>
      </c>
      <c r="P8750" s="43"/>
    </row>
    <row r="8751" spans="1:16" ht="18" x14ac:dyDescent="0.35">
      <c r="A8751" s="43"/>
      <c r="C8751" s="393"/>
      <c r="E8751" s="394"/>
      <c r="F8751" s="394"/>
      <c r="G8751" s="394"/>
      <c r="I8751" s="368">
        <f t="shared" si="414"/>
        <v>0</v>
      </c>
      <c r="J8751" s="365">
        <f t="shared" si="415"/>
        <v>0</v>
      </c>
      <c r="K8751" s="369">
        <f t="shared" si="416"/>
        <v>6</v>
      </c>
      <c r="L8751" s="369">
        <f>+IF((C8751&gt;='Resultats - informe'!$E$16)*(C8751&lt;='Resultats - informe'!$G$16),1,0)</f>
        <v>1</v>
      </c>
      <c r="M8751" s="369" cm="1">
        <f t="array" ref="M8751">+_xlfn.IFS((C8751&gt;='Resultats - informe'!$D$26)*(C8751&lt;='Resultats - informe'!$E$26),0,(C8751&gt;='Resultats - informe'!$D$27)*(C8751&lt;='Resultats - informe'!$E$27),0,(C8751&gt;='Resultats - informe'!$D$28)*(C8751&lt;='Resultats - informe'!$E$28),0,(C8751&gt;='Resultats - informe'!$D$29)*(C8751&lt;='Resultats - informe'!$E$29),0,1,1)</f>
        <v>0</v>
      </c>
      <c r="N8751" s="366">
        <f>+VLOOKUP(D8751,'Resultats - informe'!$Y$18:$AG$42,'Introducció dades consum'!K8751+1,0)</f>
        <v>0</v>
      </c>
      <c r="O8751" s="370" cm="1">
        <f t="array" ref="O8751">+_xlfn.SWITCH(MONTH(C8751),1,1,2,1,3,1,4,2,5,2,6,3,7,3,8,3,9,3,10,2,11,2,12,1,2)</f>
        <v>1</v>
      </c>
      <c r="P8751" s="43"/>
    </row>
    <row r="8752" spans="1:16" ht="18" x14ac:dyDescent="0.35">
      <c r="A8752" s="43"/>
      <c r="C8752" s="393"/>
      <c r="E8752" s="394"/>
      <c r="F8752" s="394"/>
      <c r="G8752" s="394"/>
      <c r="I8752" s="368">
        <f t="shared" si="414"/>
        <v>0</v>
      </c>
      <c r="J8752" s="365">
        <f t="shared" si="415"/>
        <v>0</v>
      </c>
      <c r="K8752" s="369">
        <f t="shared" si="416"/>
        <v>6</v>
      </c>
      <c r="L8752" s="369">
        <f>+IF((C8752&gt;='Resultats - informe'!$E$16)*(C8752&lt;='Resultats - informe'!$G$16),1,0)</f>
        <v>1</v>
      </c>
      <c r="M8752" s="369" cm="1">
        <f t="array" ref="M8752">+_xlfn.IFS((C8752&gt;='Resultats - informe'!$D$26)*(C8752&lt;='Resultats - informe'!$E$26),0,(C8752&gt;='Resultats - informe'!$D$27)*(C8752&lt;='Resultats - informe'!$E$27),0,(C8752&gt;='Resultats - informe'!$D$28)*(C8752&lt;='Resultats - informe'!$E$28),0,(C8752&gt;='Resultats - informe'!$D$29)*(C8752&lt;='Resultats - informe'!$E$29),0,1,1)</f>
        <v>0</v>
      </c>
      <c r="N8752" s="366">
        <f>+VLOOKUP(D8752,'Resultats - informe'!$Y$18:$AG$42,'Introducció dades consum'!K8752+1,0)</f>
        <v>0</v>
      </c>
      <c r="O8752" s="370" cm="1">
        <f t="array" ref="O8752">+_xlfn.SWITCH(MONTH(C8752),1,1,2,1,3,1,4,2,5,2,6,3,7,3,8,3,9,3,10,2,11,2,12,1,2)</f>
        <v>1</v>
      </c>
      <c r="P8752" s="43"/>
    </row>
    <row r="8753" spans="1:16" ht="18" x14ac:dyDescent="0.35">
      <c r="A8753" s="43"/>
      <c r="C8753" s="393"/>
      <c r="E8753" s="394"/>
      <c r="F8753" s="394"/>
      <c r="G8753" s="394"/>
      <c r="I8753" s="368">
        <f t="shared" si="414"/>
        <v>0</v>
      </c>
      <c r="J8753" s="365">
        <f t="shared" si="415"/>
        <v>0</v>
      </c>
      <c r="K8753" s="369">
        <f t="shared" si="416"/>
        <v>6</v>
      </c>
      <c r="L8753" s="369">
        <f>+IF((C8753&gt;='Resultats - informe'!$E$16)*(C8753&lt;='Resultats - informe'!$G$16),1,0)</f>
        <v>1</v>
      </c>
      <c r="M8753" s="369" cm="1">
        <f t="array" ref="M8753">+_xlfn.IFS((C8753&gt;='Resultats - informe'!$D$26)*(C8753&lt;='Resultats - informe'!$E$26),0,(C8753&gt;='Resultats - informe'!$D$27)*(C8753&lt;='Resultats - informe'!$E$27),0,(C8753&gt;='Resultats - informe'!$D$28)*(C8753&lt;='Resultats - informe'!$E$28),0,(C8753&gt;='Resultats - informe'!$D$29)*(C8753&lt;='Resultats - informe'!$E$29),0,1,1)</f>
        <v>0</v>
      </c>
      <c r="N8753" s="366">
        <f>+VLOOKUP(D8753,'Resultats - informe'!$Y$18:$AG$42,'Introducció dades consum'!K8753+1,0)</f>
        <v>0</v>
      </c>
      <c r="O8753" s="370" cm="1">
        <f t="array" ref="O8753">+_xlfn.SWITCH(MONTH(C8753),1,1,2,1,3,1,4,2,5,2,6,3,7,3,8,3,9,3,10,2,11,2,12,1,2)</f>
        <v>1</v>
      </c>
      <c r="P8753" s="43"/>
    </row>
    <row r="8754" spans="1:16" ht="18" x14ac:dyDescent="0.35">
      <c r="A8754" s="43"/>
      <c r="C8754" s="393"/>
      <c r="E8754" s="394"/>
      <c r="F8754" s="394"/>
      <c r="G8754" s="394"/>
      <c r="I8754" s="368">
        <f t="shared" si="414"/>
        <v>0</v>
      </c>
      <c r="J8754" s="365">
        <f t="shared" si="415"/>
        <v>0</v>
      </c>
      <c r="K8754" s="369">
        <f t="shared" si="416"/>
        <v>6</v>
      </c>
      <c r="L8754" s="369">
        <f>+IF((C8754&gt;='Resultats - informe'!$E$16)*(C8754&lt;='Resultats - informe'!$G$16),1,0)</f>
        <v>1</v>
      </c>
      <c r="M8754" s="369" cm="1">
        <f t="array" ref="M8754">+_xlfn.IFS((C8754&gt;='Resultats - informe'!$D$26)*(C8754&lt;='Resultats - informe'!$E$26),0,(C8754&gt;='Resultats - informe'!$D$27)*(C8754&lt;='Resultats - informe'!$E$27),0,(C8754&gt;='Resultats - informe'!$D$28)*(C8754&lt;='Resultats - informe'!$E$28),0,(C8754&gt;='Resultats - informe'!$D$29)*(C8754&lt;='Resultats - informe'!$E$29),0,1,1)</f>
        <v>0</v>
      </c>
      <c r="N8754" s="366">
        <f>+VLOOKUP(D8754,'Resultats - informe'!$Y$18:$AG$42,'Introducció dades consum'!K8754+1,0)</f>
        <v>0</v>
      </c>
      <c r="O8754" s="370" cm="1">
        <f t="array" ref="O8754">+_xlfn.SWITCH(MONTH(C8754),1,1,2,1,3,1,4,2,5,2,6,3,7,3,8,3,9,3,10,2,11,2,12,1,2)</f>
        <v>1</v>
      </c>
      <c r="P8754" s="43"/>
    </row>
    <row r="8755" spans="1:16" ht="18" x14ac:dyDescent="0.35">
      <c r="A8755" s="43"/>
      <c r="C8755" s="393"/>
      <c r="E8755" s="394"/>
      <c r="F8755" s="394"/>
      <c r="G8755" s="394"/>
      <c r="I8755" s="368">
        <f t="shared" si="414"/>
        <v>0</v>
      </c>
      <c r="J8755" s="365">
        <f t="shared" si="415"/>
        <v>0</v>
      </c>
      <c r="K8755" s="369">
        <f t="shared" si="416"/>
        <v>6</v>
      </c>
      <c r="L8755" s="369">
        <f>+IF((C8755&gt;='Resultats - informe'!$E$16)*(C8755&lt;='Resultats - informe'!$G$16),1,0)</f>
        <v>1</v>
      </c>
      <c r="M8755" s="369" cm="1">
        <f t="array" ref="M8755">+_xlfn.IFS((C8755&gt;='Resultats - informe'!$D$26)*(C8755&lt;='Resultats - informe'!$E$26),0,(C8755&gt;='Resultats - informe'!$D$27)*(C8755&lt;='Resultats - informe'!$E$27),0,(C8755&gt;='Resultats - informe'!$D$28)*(C8755&lt;='Resultats - informe'!$E$28),0,(C8755&gt;='Resultats - informe'!$D$29)*(C8755&lt;='Resultats - informe'!$E$29),0,1,1)</f>
        <v>0</v>
      </c>
      <c r="N8755" s="366">
        <f>+VLOOKUP(D8755,'Resultats - informe'!$Y$18:$AG$42,'Introducció dades consum'!K8755+1,0)</f>
        <v>0</v>
      </c>
      <c r="O8755" s="370" cm="1">
        <f t="array" ref="O8755">+_xlfn.SWITCH(MONTH(C8755),1,1,2,1,3,1,4,2,5,2,6,3,7,3,8,3,9,3,10,2,11,2,12,1,2)</f>
        <v>1</v>
      </c>
      <c r="P8755" s="43"/>
    </row>
    <row r="8756" spans="1:16" ht="18" x14ac:dyDescent="0.35">
      <c r="A8756" s="43"/>
      <c r="C8756" s="393"/>
      <c r="E8756" s="394"/>
      <c r="F8756" s="394"/>
      <c r="G8756" s="394"/>
      <c r="I8756" s="368">
        <f t="shared" si="414"/>
        <v>0</v>
      </c>
      <c r="J8756" s="365">
        <f t="shared" si="415"/>
        <v>0</v>
      </c>
      <c r="K8756" s="369">
        <f t="shared" si="416"/>
        <v>6</v>
      </c>
      <c r="L8756" s="369">
        <f>+IF((C8756&gt;='Resultats - informe'!$E$16)*(C8756&lt;='Resultats - informe'!$G$16),1,0)</f>
        <v>1</v>
      </c>
      <c r="M8756" s="369" cm="1">
        <f t="array" ref="M8756">+_xlfn.IFS((C8756&gt;='Resultats - informe'!$D$26)*(C8756&lt;='Resultats - informe'!$E$26),0,(C8756&gt;='Resultats - informe'!$D$27)*(C8756&lt;='Resultats - informe'!$E$27),0,(C8756&gt;='Resultats - informe'!$D$28)*(C8756&lt;='Resultats - informe'!$E$28),0,(C8756&gt;='Resultats - informe'!$D$29)*(C8756&lt;='Resultats - informe'!$E$29),0,1,1)</f>
        <v>0</v>
      </c>
      <c r="N8756" s="366">
        <f>+VLOOKUP(D8756,'Resultats - informe'!$Y$18:$AG$42,'Introducció dades consum'!K8756+1,0)</f>
        <v>0</v>
      </c>
      <c r="O8756" s="370" cm="1">
        <f t="array" ref="O8756">+_xlfn.SWITCH(MONTH(C8756),1,1,2,1,3,1,4,2,5,2,6,3,7,3,8,3,9,3,10,2,11,2,12,1,2)</f>
        <v>1</v>
      </c>
      <c r="P8756" s="43"/>
    </row>
    <row r="8757" spans="1:16" ht="18" x14ac:dyDescent="0.35">
      <c r="A8757" s="43"/>
      <c r="C8757" s="393"/>
      <c r="E8757" s="394"/>
      <c r="F8757" s="394"/>
      <c r="G8757" s="394"/>
      <c r="I8757" s="368">
        <f t="shared" si="414"/>
        <v>0</v>
      </c>
      <c r="J8757" s="365">
        <f t="shared" si="415"/>
        <v>0</v>
      </c>
      <c r="K8757" s="369">
        <f t="shared" si="416"/>
        <v>6</v>
      </c>
      <c r="L8757" s="369">
        <f>+IF((C8757&gt;='Resultats - informe'!$E$16)*(C8757&lt;='Resultats - informe'!$G$16),1,0)</f>
        <v>1</v>
      </c>
      <c r="M8757" s="369" cm="1">
        <f t="array" ref="M8757">+_xlfn.IFS((C8757&gt;='Resultats - informe'!$D$26)*(C8757&lt;='Resultats - informe'!$E$26),0,(C8757&gt;='Resultats - informe'!$D$27)*(C8757&lt;='Resultats - informe'!$E$27),0,(C8757&gt;='Resultats - informe'!$D$28)*(C8757&lt;='Resultats - informe'!$E$28),0,(C8757&gt;='Resultats - informe'!$D$29)*(C8757&lt;='Resultats - informe'!$E$29),0,1,1)</f>
        <v>0</v>
      </c>
      <c r="N8757" s="366">
        <f>+VLOOKUP(D8757,'Resultats - informe'!$Y$18:$AG$42,'Introducció dades consum'!K8757+1,0)</f>
        <v>0</v>
      </c>
      <c r="O8757" s="370" cm="1">
        <f t="array" ref="O8757">+_xlfn.SWITCH(MONTH(C8757),1,1,2,1,3,1,4,2,5,2,6,3,7,3,8,3,9,3,10,2,11,2,12,1,2)</f>
        <v>1</v>
      </c>
      <c r="P8757" s="43"/>
    </row>
    <row r="8758" spans="1:16" ht="18" x14ac:dyDescent="0.35">
      <c r="A8758" s="43"/>
      <c r="C8758" s="393"/>
      <c r="E8758" s="394"/>
      <c r="F8758" s="394"/>
      <c r="G8758" s="394"/>
      <c r="I8758" s="368">
        <f t="shared" si="414"/>
        <v>0</v>
      </c>
      <c r="J8758" s="365">
        <f t="shared" si="415"/>
        <v>0</v>
      </c>
      <c r="K8758" s="369">
        <f t="shared" si="416"/>
        <v>6</v>
      </c>
      <c r="L8758" s="369">
        <f>+IF((C8758&gt;='Resultats - informe'!$E$16)*(C8758&lt;='Resultats - informe'!$G$16),1,0)</f>
        <v>1</v>
      </c>
      <c r="M8758" s="369" cm="1">
        <f t="array" ref="M8758">+_xlfn.IFS((C8758&gt;='Resultats - informe'!$D$26)*(C8758&lt;='Resultats - informe'!$E$26),0,(C8758&gt;='Resultats - informe'!$D$27)*(C8758&lt;='Resultats - informe'!$E$27),0,(C8758&gt;='Resultats - informe'!$D$28)*(C8758&lt;='Resultats - informe'!$E$28),0,(C8758&gt;='Resultats - informe'!$D$29)*(C8758&lt;='Resultats - informe'!$E$29),0,1,1)</f>
        <v>0</v>
      </c>
      <c r="N8758" s="366">
        <f>+VLOOKUP(D8758,'Resultats - informe'!$Y$18:$AG$42,'Introducció dades consum'!K8758+1,0)</f>
        <v>0</v>
      </c>
      <c r="O8758" s="370" cm="1">
        <f t="array" ref="O8758">+_xlfn.SWITCH(MONTH(C8758),1,1,2,1,3,1,4,2,5,2,6,3,7,3,8,3,9,3,10,2,11,2,12,1,2)</f>
        <v>1</v>
      </c>
      <c r="P8758" s="43"/>
    </row>
    <row r="8759" spans="1:16" ht="18" x14ac:dyDescent="0.35">
      <c r="A8759" s="43"/>
      <c r="C8759" s="393"/>
      <c r="E8759" s="394"/>
      <c r="F8759" s="394"/>
      <c r="G8759" s="394"/>
      <c r="I8759" s="368">
        <f t="shared" si="414"/>
        <v>0</v>
      </c>
      <c r="J8759" s="365">
        <f t="shared" si="415"/>
        <v>0</v>
      </c>
      <c r="K8759" s="369">
        <f t="shared" si="416"/>
        <v>6</v>
      </c>
      <c r="L8759" s="369">
        <f>+IF((C8759&gt;='Resultats - informe'!$E$16)*(C8759&lt;='Resultats - informe'!$G$16),1,0)</f>
        <v>1</v>
      </c>
      <c r="M8759" s="369" cm="1">
        <f t="array" ref="M8759">+_xlfn.IFS((C8759&gt;='Resultats - informe'!$D$26)*(C8759&lt;='Resultats - informe'!$E$26),0,(C8759&gt;='Resultats - informe'!$D$27)*(C8759&lt;='Resultats - informe'!$E$27),0,(C8759&gt;='Resultats - informe'!$D$28)*(C8759&lt;='Resultats - informe'!$E$28),0,(C8759&gt;='Resultats - informe'!$D$29)*(C8759&lt;='Resultats - informe'!$E$29),0,1,1)</f>
        <v>0</v>
      </c>
      <c r="N8759" s="366">
        <f>+VLOOKUP(D8759,'Resultats - informe'!$Y$18:$AG$42,'Introducció dades consum'!K8759+1,0)</f>
        <v>0</v>
      </c>
      <c r="O8759" s="370" cm="1">
        <f t="array" ref="O8759">+_xlfn.SWITCH(MONTH(C8759),1,1,2,1,3,1,4,2,5,2,6,3,7,3,8,3,9,3,10,2,11,2,12,1,2)</f>
        <v>1</v>
      </c>
      <c r="P8759" s="43"/>
    </row>
    <row r="8760" spans="1:16" ht="18" x14ac:dyDescent="0.35">
      <c r="A8760" s="43"/>
      <c r="C8760" s="393"/>
      <c r="E8760" s="394"/>
      <c r="F8760" s="394"/>
      <c r="G8760" s="394"/>
      <c r="I8760" s="368">
        <f t="shared" si="414"/>
        <v>0</v>
      </c>
      <c r="J8760" s="365">
        <f t="shared" si="415"/>
        <v>0</v>
      </c>
      <c r="K8760" s="369">
        <f t="shared" si="416"/>
        <v>6</v>
      </c>
      <c r="L8760" s="369">
        <f>+IF((C8760&gt;='Resultats - informe'!$E$16)*(C8760&lt;='Resultats - informe'!$G$16),1,0)</f>
        <v>1</v>
      </c>
      <c r="M8760" s="369" cm="1">
        <f t="array" ref="M8760">+_xlfn.IFS((C8760&gt;='Resultats - informe'!$D$26)*(C8760&lt;='Resultats - informe'!$E$26),0,(C8760&gt;='Resultats - informe'!$D$27)*(C8760&lt;='Resultats - informe'!$E$27),0,(C8760&gt;='Resultats - informe'!$D$28)*(C8760&lt;='Resultats - informe'!$E$28),0,(C8760&gt;='Resultats - informe'!$D$29)*(C8760&lt;='Resultats - informe'!$E$29),0,1,1)</f>
        <v>0</v>
      </c>
      <c r="N8760" s="366">
        <f>+VLOOKUP(D8760,'Resultats - informe'!$Y$18:$AG$42,'Introducció dades consum'!K8760+1,0)</f>
        <v>0</v>
      </c>
      <c r="O8760" s="370" cm="1">
        <f t="array" ref="O8760">+_xlfn.SWITCH(MONTH(C8760),1,1,2,1,3,1,4,2,5,2,6,3,7,3,8,3,9,3,10,2,11,2,12,1,2)</f>
        <v>1</v>
      </c>
      <c r="P8760" s="43"/>
    </row>
    <row r="8761" spans="1:16" ht="18" x14ac:dyDescent="0.35">
      <c r="A8761" s="43"/>
      <c r="C8761" s="393"/>
      <c r="E8761" s="394"/>
      <c r="F8761" s="394"/>
      <c r="G8761" s="394"/>
      <c r="I8761" s="368">
        <f t="shared" si="414"/>
        <v>0</v>
      </c>
      <c r="J8761" s="365">
        <f t="shared" si="415"/>
        <v>0</v>
      </c>
      <c r="K8761" s="369">
        <f t="shared" si="416"/>
        <v>6</v>
      </c>
      <c r="L8761" s="369">
        <f>+IF((C8761&gt;='Resultats - informe'!$E$16)*(C8761&lt;='Resultats - informe'!$G$16),1,0)</f>
        <v>1</v>
      </c>
      <c r="M8761" s="369" cm="1">
        <f t="array" ref="M8761">+_xlfn.IFS((C8761&gt;='Resultats - informe'!$D$26)*(C8761&lt;='Resultats - informe'!$E$26),0,(C8761&gt;='Resultats - informe'!$D$27)*(C8761&lt;='Resultats - informe'!$E$27),0,(C8761&gt;='Resultats - informe'!$D$28)*(C8761&lt;='Resultats - informe'!$E$28),0,(C8761&gt;='Resultats - informe'!$D$29)*(C8761&lt;='Resultats - informe'!$E$29),0,1,1)</f>
        <v>0</v>
      </c>
      <c r="N8761" s="366">
        <f>+VLOOKUP(D8761,'Resultats - informe'!$Y$18:$AG$42,'Introducció dades consum'!K8761+1,0)</f>
        <v>0</v>
      </c>
      <c r="O8761" s="370" cm="1">
        <f t="array" ref="O8761">+_xlfn.SWITCH(MONTH(C8761),1,1,2,1,3,1,4,2,5,2,6,3,7,3,8,3,9,3,10,2,11,2,12,1,2)</f>
        <v>1</v>
      </c>
      <c r="P8761" s="43"/>
    </row>
    <row r="8762" spans="1:16" ht="18" x14ac:dyDescent="0.35">
      <c r="A8762" s="43"/>
      <c r="C8762" s="393"/>
      <c r="E8762" s="394"/>
      <c r="F8762" s="394"/>
      <c r="G8762" s="394"/>
      <c r="I8762" s="368">
        <f t="shared" si="414"/>
        <v>0</v>
      </c>
      <c r="J8762" s="365">
        <f t="shared" si="415"/>
        <v>0</v>
      </c>
      <c r="K8762" s="369">
        <f t="shared" si="416"/>
        <v>6</v>
      </c>
      <c r="L8762" s="369">
        <f>+IF((C8762&gt;='Resultats - informe'!$E$16)*(C8762&lt;='Resultats - informe'!$G$16),1,0)</f>
        <v>1</v>
      </c>
      <c r="M8762" s="369" cm="1">
        <f t="array" ref="M8762">+_xlfn.IFS((C8762&gt;='Resultats - informe'!$D$26)*(C8762&lt;='Resultats - informe'!$E$26),0,(C8762&gt;='Resultats - informe'!$D$27)*(C8762&lt;='Resultats - informe'!$E$27),0,(C8762&gt;='Resultats - informe'!$D$28)*(C8762&lt;='Resultats - informe'!$E$28),0,(C8762&gt;='Resultats - informe'!$D$29)*(C8762&lt;='Resultats - informe'!$E$29),0,1,1)</f>
        <v>0</v>
      </c>
      <c r="N8762" s="366">
        <f>+VLOOKUP(D8762,'Resultats - informe'!$Y$18:$AG$42,'Introducció dades consum'!K8762+1,0)</f>
        <v>0</v>
      </c>
      <c r="O8762" s="370" cm="1">
        <f t="array" ref="O8762">+_xlfn.SWITCH(MONTH(C8762),1,1,2,1,3,1,4,2,5,2,6,3,7,3,8,3,9,3,10,2,11,2,12,1,2)</f>
        <v>1</v>
      </c>
      <c r="P8762" s="43"/>
    </row>
    <row r="8763" spans="1:16" ht="18" x14ac:dyDescent="0.35">
      <c r="A8763" s="43"/>
      <c r="C8763" s="393"/>
      <c r="E8763" s="394"/>
      <c r="F8763" s="394"/>
      <c r="G8763" s="394"/>
      <c r="I8763" s="368">
        <f t="shared" si="414"/>
        <v>0</v>
      </c>
      <c r="J8763" s="365">
        <f t="shared" si="415"/>
        <v>0</v>
      </c>
      <c r="K8763" s="369">
        <f t="shared" si="416"/>
        <v>6</v>
      </c>
      <c r="L8763" s="369">
        <f>+IF((C8763&gt;='Resultats - informe'!$E$16)*(C8763&lt;='Resultats - informe'!$G$16),1,0)</f>
        <v>1</v>
      </c>
      <c r="M8763" s="369" cm="1">
        <f t="array" ref="M8763">+_xlfn.IFS((C8763&gt;='Resultats - informe'!$D$26)*(C8763&lt;='Resultats - informe'!$E$26),0,(C8763&gt;='Resultats - informe'!$D$27)*(C8763&lt;='Resultats - informe'!$E$27),0,(C8763&gt;='Resultats - informe'!$D$28)*(C8763&lt;='Resultats - informe'!$E$28),0,(C8763&gt;='Resultats - informe'!$D$29)*(C8763&lt;='Resultats - informe'!$E$29),0,1,1)</f>
        <v>0</v>
      </c>
      <c r="N8763" s="366">
        <f>+VLOOKUP(D8763,'Resultats - informe'!$Y$18:$AG$42,'Introducció dades consum'!K8763+1,0)</f>
        <v>0</v>
      </c>
      <c r="O8763" s="370" cm="1">
        <f t="array" ref="O8763">+_xlfn.SWITCH(MONTH(C8763),1,1,2,1,3,1,4,2,5,2,6,3,7,3,8,3,9,3,10,2,11,2,12,1,2)</f>
        <v>1</v>
      </c>
      <c r="P8763" s="43"/>
    </row>
    <row r="8764" spans="1:16" ht="18" x14ac:dyDescent="0.35">
      <c r="A8764" s="43"/>
      <c r="C8764" s="393"/>
      <c r="E8764" s="394"/>
      <c r="F8764" s="394"/>
      <c r="G8764" s="394"/>
      <c r="I8764" s="368">
        <f t="shared" si="414"/>
        <v>0</v>
      </c>
      <c r="J8764" s="365">
        <f t="shared" si="415"/>
        <v>0</v>
      </c>
      <c r="K8764" s="369">
        <f t="shared" si="416"/>
        <v>6</v>
      </c>
      <c r="L8764" s="369">
        <f>+IF((C8764&gt;='Resultats - informe'!$E$16)*(C8764&lt;='Resultats - informe'!$G$16),1,0)</f>
        <v>1</v>
      </c>
      <c r="M8764" s="369" cm="1">
        <f t="array" ref="M8764">+_xlfn.IFS((C8764&gt;='Resultats - informe'!$D$26)*(C8764&lt;='Resultats - informe'!$E$26),0,(C8764&gt;='Resultats - informe'!$D$27)*(C8764&lt;='Resultats - informe'!$E$27),0,(C8764&gt;='Resultats - informe'!$D$28)*(C8764&lt;='Resultats - informe'!$E$28),0,(C8764&gt;='Resultats - informe'!$D$29)*(C8764&lt;='Resultats - informe'!$E$29),0,1,1)</f>
        <v>0</v>
      </c>
      <c r="N8764" s="366">
        <f>+VLOOKUP(D8764,'Resultats - informe'!$Y$18:$AG$42,'Introducció dades consum'!K8764+1,0)</f>
        <v>0</v>
      </c>
      <c r="O8764" s="370" cm="1">
        <f t="array" ref="O8764">+_xlfn.SWITCH(MONTH(C8764),1,1,2,1,3,1,4,2,5,2,6,3,7,3,8,3,9,3,10,2,11,2,12,1,2)</f>
        <v>1</v>
      </c>
      <c r="P8764" s="43"/>
    </row>
    <row r="8765" spans="1:16" ht="18" x14ac:dyDescent="0.35">
      <c r="A8765" s="43"/>
      <c r="C8765" s="393"/>
      <c r="E8765" s="394"/>
      <c r="F8765" s="394"/>
      <c r="G8765" s="394"/>
      <c r="I8765" s="368">
        <f t="shared" si="414"/>
        <v>0</v>
      </c>
      <c r="J8765" s="365">
        <f t="shared" si="415"/>
        <v>0</v>
      </c>
      <c r="K8765" s="369">
        <f t="shared" si="416"/>
        <v>6</v>
      </c>
      <c r="L8765" s="369">
        <f>+IF((C8765&gt;='Resultats - informe'!$E$16)*(C8765&lt;='Resultats - informe'!$G$16),1,0)</f>
        <v>1</v>
      </c>
      <c r="M8765" s="369" cm="1">
        <f t="array" ref="M8765">+_xlfn.IFS((C8765&gt;='Resultats - informe'!$D$26)*(C8765&lt;='Resultats - informe'!$E$26),0,(C8765&gt;='Resultats - informe'!$D$27)*(C8765&lt;='Resultats - informe'!$E$27),0,(C8765&gt;='Resultats - informe'!$D$28)*(C8765&lt;='Resultats - informe'!$E$28),0,(C8765&gt;='Resultats - informe'!$D$29)*(C8765&lt;='Resultats - informe'!$E$29),0,1,1)</f>
        <v>0</v>
      </c>
      <c r="N8765" s="366">
        <f>+VLOOKUP(D8765,'Resultats - informe'!$Y$18:$AG$42,'Introducció dades consum'!K8765+1,0)</f>
        <v>0</v>
      </c>
      <c r="O8765" s="370" cm="1">
        <f t="array" ref="O8765">+_xlfn.SWITCH(MONTH(C8765),1,1,2,1,3,1,4,2,5,2,6,3,7,3,8,3,9,3,10,2,11,2,12,1,2)</f>
        <v>1</v>
      </c>
      <c r="P8765" s="43"/>
    </row>
    <row r="8766" spans="1:16" ht="18" x14ac:dyDescent="0.35">
      <c r="A8766" s="43"/>
      <c r="C8766" s="393"/>
      <c r="E8766" s="394"/>
      <c r="F8766" s="394"/>
      <c r="G8766" s="394"/>
      <c r="I8766" s="368">
        <f t="shared" si="414"/>
        <v>0</v>
      </c>
      <c r="J8766" s="365">
        <f t="shared" si="415"/>
        <v>0</v>
      </c>
      <c r="K8766" s="369">
        <f t="shared" si="416"/>
        <v>6</v>
      </c>
      <c r="L8766" s="369">
        <f>+IF((C8766&gt;='Resultats - informe'!$E$16)*(C8766&lt;='Resultats - informe'!$G$16),1,0)</f>
        <v>1</v>
      </c>
      <c r="M8766" s="369" cm="1">
        <f t="array" ref="M8766">+_xlfn.IFS((C8766&gt;='Resultats - informe'!$D$26)*(C8766&lt;='Resultats - informe'!$E$26),0,(C8766&gt;='Resultats - informe'!$D$27)*(C8766&lt;='Resultats - informe'!$E$27),0,(C8766&gt;='Resultats - informe'!$D$28)*(C8766&lt;='Resultats - informe'!$E$28),0,(C8766&gt;='Resultats - informe'!$D$29)*(C8766&lt;='Resultats - informe'!$E$29),0,1,1)</f>
        <v>0</v>
      </c>
      <c r="N8766" s="366">
        <f>+VLOOKUP(D8766,'Resultats - informe'!$Y$18:$AG$42,'Introducció dades consum'!K8766+1,0)</f>
        <v>0</v>
      </c>
      <c r="O8766" s="370" cm="1">
        <f t="array" ref="O8766">+_xlfn.SWITCH(MONTH(C8766),1,1,2,1,3,1,4,2,5,2,6,3,7,3,8,3,9,3,10,2,11,2,12,1,2)</f>
        <v>1</v>
      </c>
      <c r="P8766" s="43"/>
    </row>
    <row r="8767" spans="1:16" ht="18" x14ac:dyDescent="0.35">
      <c r="A8767" s="43"/>
      <c r="C8767" s="393"/>
      <c r="E8767" s="394"/>
      <c r="F8767" s="394"/>
      <c r="G8767" s="394"/>
      <c r="I8767" s="368">
        <f t="shared" si="414"/>
        <v>0</v>
      </c>
      <c r="J8767" s="365">
        <f t="shared" si="415"/>
        <v>0</v>
      </c>
      <c r="K8767" s="369">
        <f t="shared" si="416"/>
        <v>6</v>
      </c>
      <c r="L8767" s="369">
        <f>+IF((C8767&gt;='Resultats - informe'!$E$16)*(C8767&lt;='Resultats - informe'!$G$16),1,0)</f>
        <v>1</v>
      </c>
      <c r="M8767" s="369" cm="1">
        <f t="array" ref="M8767">+_xlfn.IFS((C8767&gt;='Resultats - informe'!$D$26)*(C8767&lt;='Resultats - informe'!$E$26),0,(C8767&gt;='Resultats - informe'!$D$27)*(C8767&lt;='Resultats - informe'!$E$27),0,(C8767&gt;='Resultats - informe'!$D$28)*(C8767&lt;='Resultats - informe'!$E$28),0,(C8767&gt;='Resultats - informe'!$D$29)*(C8767&lt;='Resultats - informe'!$E$29),0,1,1)</f>
        <v>0</v>
      </c>
      <c r="N8767" s="366">
        <f>+VLOOKUP(D8767,'Resultats - informe'!$Y$18:$AG$42,'Introducció dades consum'!K8767+1,0)</f>
        <v>0</v>
      </c>
      <c r="O8767" s="370" cm="1">
        <f t="array" ref="O8767">+_xlfn.SWITCH(MONTH(C8767),1,1,2,1,3,1,4,2,5,2,6,3,7,3,8,3,9,3,10,2,11,2,12,1,2)</f>
        <v>1</v>
      </c>
      <c r="P8767" s="43"/>
    </row>
    <row r="8768" spans="1:16" ht="18" x14ac:dyDescent="0.35">
      <c r="A8768" s="43"/>
      <c r="C8768" s="393"/>
      <c r="E8768" s="394"/>
      <c r="F8768" s="394"/>
      <c r="G8768" s="394"/>
      <c r="I8768" s="368">
        <f t="shared" si="414"/>
        <v>0</v>
      </c>
      <c r="J8768" s="365">
        <f t="shared" si="415"/>
        <v>0</v>
      </c>
      <c r="K8768" s="369">
        <f t="shared" si="416"/>
        <v>6</v>
      </c>
      <c r="L8768" s="369">
        <f>+IF((C8768&gt;='Resultats - informe'!$E$16)*(C8768&lt;='Resultats - informe'!$G$16),1,0)</f>
        <v>1</v>
      </c>
      <c r="M8768" s="369" cm="1">
        <f t="array" ref="M8768">+_xlfn.IFS((C8768&gt;='Resultats - informe'!$D$26)*(C8768&lt;='Resultats - informe'!$E$26),0,(C8768&gt;='Resultats - informe'!$D$27)*(C8768&lt;='Resultats - informe'!$E$27),0,(C8768&gt;='Resultats - informe'!$D$28)*(C8768&lt;='Resultats - informe'!$E$28),0,(C8768&gt;='Resultats - informe'!$D$29)*(C8768&lt;='Resultats - informe'!$E$29),0,1,1)</f>
        <v>0</v>
      </c>
      <c r="N8768" s="366">
        <f>+VLOOKUP(D8768,'Resultats - informe'!$Y$18:$AG$42,'Introducció dades consum'!K8768+1,0)</f>
        <v>0</v>
      </c>
      <c r="O8768" s="370" cm="1">
        <f t="array" ref="O8768">+_xlfn.SWITCH(MONTH(C8768),1,1,2,1,3,1,4,2,5,2,6,3,7,3,8,3,9,3,10,2,11,2,12,1,2)</f>
        <v>1</v>
      </c>
      <c r="P8768" s="43"/>
    </row>
    <row r="8769" spans="1:16" ht="18" x14ac:dyDescent="0.35">
      <c r="A8769" s="43"/>
      <c r="C8769" s="393"/>
      <c r="E8769" s="394"/>
      <c r="F8769" s="394"/>
      <c r="G8769" s="394"/>
      <c r="I8769" s="368">
        <f t="shared" si="414"/>
        <v>0</v>
      </c>
      <c r="J8769" s="365">
        <f t="shared" si="415"/>
        <v>0</v>
      </c>
      <c r="K8769" s="369">
        <f t="shared" si="416"/>
        <v>6</v>
      </c>
      <c r="L8769" s="369">
        <f>+IF((C8769&gt;='Resultats - informe'!$E$16)*(C8769&lt;='Resultats - informe'!$G$16),1,0)</f>
        <v>1</v>
      </c>
      <c r="M8769" s="369" cm="1">
        <f t="array" ref="M8769">+_xlfn.IFS((C8769&gt;='Resultats - informe'!$D$26)*(C8769&lt;='Resultats - informe'!$E$26),0,(C8769&gt;='Resultats - informe'!$D$27)*(C8769&lt;='Resultats - informe'!$E$27),0,(C8769&gt;='Resultats - informe'!$D$28)*(C8769&lt;='Resultats - informe'!$E$28),0,(C8769&gt;='Resultats - informe'!$D$29)*(C8769&lt;='Resultats - informe'!$E$29),0,1,1)</f>
        <v>0</v>
      </c>
      <c r="N8769" s="366">
        <f>+VLOOKUP(D8769,'Resultats - informe'!$Y$18:$AG$42,'Introducció dades consum'!K8769+1,0)</f>
        <v>0</v>
      </c>
      <c r="O8769" s="370" cm="1">
        <f t="array" ref="O8769">+_xlfn.SWITCH(MONTH(C8769),1,1,2,1,3,1,4,2,5,2,6,3,7,3,8,3,9,3,10,2,11,2,12,1,2)</f>
        <v>1</v>
      </c>
      <c r="P8769" s="43"/>
    </row>
    <row r="8770" spans="1:16" ht="18" x14ac:dyDescent="0.35">
      <c r="A8770" s="43"/>
      <c r="C8770" s="393"/>
      <c r="E8770" s="394"/>
      <c r="F8770" s="394"/>
      <c r="G8770" s="394"/>
      <c r="I8770" s="368">
        <f t="shared" si="414"/>
        <v>0</v>
      </c>
      <c r="J8770" s="365">
        <f t="shared" si="415"/>
        <v>0</v>
      </c>
      <c r="K8770" s="369">
        <f t="shared" si="416"/>
        <v>6</v>
      </c>
      <c r="L8770" s="369">
        <f>+IF((C8770&gt;='Resultats - informe'!$E$16)*(C8770&lt;='Resultats - informe'!$G$16),1,0)</f>
        <v>1</v>
      </c>
      <c r="M8770" s="369" cm="1">
        <f t="array" ref="M8770">+_xlfn.IFS((C8770&gt;='Resultats - informe'!$D$26)*(C8770&lt;='Resultats - informe'!$E$26),0,(C8770&gt;='Resultats - informe'!$D$27)*(C8770&lt;='Resultats - informe'!$E$27),0,(C8770&gt;='Resultats - informe'!$D$28)*(C8770&lt;='Resultats - informe'!$E$28),0,(C8770&gt;='Resultats - informe'!$D$29)*(C8770&lt;='Resultats - informe'!$E$29),0,1,1)</f>
        <v>0</v>
      </c>
      <c r="N8770" s="366">
        <f>+VLOOKUP(D8770,'Resultats - informe'!$Y$18:$AG$42,'Introducció dades consum'!K8770+1,0)</f>
        <v>0</v>
      </c>
      <c r="O8770" s="370" cm="1">
        <f t="array" ref="O8770">+_xlfn.SWITCH(MONTH(C8770),1,1,2,1,3,1,4,2,5,2,6,3,7,3,8,3,9,3,10,2,11,2,12,1,2)</f>
        <v>1</v>
      </c>
      <c r="P8770" s="43"/>
    </row>
    <row r="8771" spans="1:16" ht="18" x14ac:dyDescent="0.35">
      <c r="A8771" s="43"/>
      <c r="C8771" s="393"/>
      <c r="E8771" s="394"/>
      <c r="F8771" s="394"/>
      <c r="G8771" s="394"/>
      <c r="I8771" s="368">
        <f t="shared" si="414"/>
        <v>0</v>
      </c>
      <c r="J8771" s="365">
        <f t="shared" si="415"/>
        <v>0</v>
      </c>
      <c r="K8771" s="369">
        <f t="shared" si="416"/>
        <v>6</v>
      </c>
      <c r="L8771" s="369">
        <f>+IF((C8771&gt;='Resultats - informe'!$E$16)*(C8771&lt;='Resultats - informe'!$G$16),1,0)</f>
        <v>1</v>
      </c>
      <c r="M8771" s="369" cm="1">
        <f t="array" ref="M8771">+_xlfn.IFS((C8771&gt;='Resultats - informe'!$D$26)*(C8771&lt;='Resultats - informe'!$E$26),0,(C8771&gt;='Resultats - informe'!$D$27)*(C8771&lt;='Resultats - informe'!$E$27),0,(C8771&gt;='Resultats - informe'!$D$28)*(C8771&lt;='Resultats - informe'!$E$28),0,(C8771&gt;='Resultats - informe'!$D$29)*(C8771&lt;='Resultats - informe'!$E$29),0,1,1)</f>
        <v>0</v>
      </c>
      <c r="N8771" s="366">
        <f>+VLOOKUP(D8771,'Resultats - informe'!$Y$18:$AG$42,'Introducció dades consum'!K8771+1,0)</f>
        <v>0</v>
      </c>
      <c r="O8771" s="370" cm="1">
        <f t="array" ref="O8771">+_xlfn.SWITCH(MONTH(C8771),1,1,2,1,3,1,4,2,5,2,6,3,7,3,8,3,9,3,10,2,11,2,12,1,2)</f>
        <v>1</v>
      </c>
      <c r="P8771" s="43"/>
    </row>
    <row r="8772" spans="1:16" ht="18" x14ac:dyDescent="0.35">
      <c r="A8772" s="43"/>
      <c r="C8772" s="393"/>
      <c r="E8772" s="394"/>
      <c r="F8772" s="394"/>
      <c r="G8772" s="394"/>
      <c r="I8772" s="368">
        <f t="shared" si="414"/>
        <v>0</v>
      </c>
      <c r="J8772" s="365">
        <f t="shared" si="415"/>
        <v>0</v>
      </c>
      <c r="K8772" s="369">
        <f t="shared" si="416"/>
        <v>6</v>
      </c>
      <c r="L8772" s="369">
        <f>+IF((C8772&gt;='Resultats - informe'!$E$16)*(C8772&lt;='Resultats - informe'!$G$16),1,0)</f>
        <v>1</v>
      </c>
      <c r="M8772" s="369" cm="1">
        <f t="array" ref="M8772">+_xlfn.IFS((C8772&gt;='Resultats - informe'!$D$26)*(C8772&lt;='Resultats - informe'!$E$26),0,(C8772&gt;='Resultats - informe'!$D$27)*(C8772&lt;='Resultats - informe'!$E$27),0,(C8772&gt;='Resultats - informe'!$D$28)*(C8772&lt;='Resultats - informe'!$E$28),0,(C8772&gt;='Resultats - informe'!$D$29)*(C8772&lt;='Resultats - informe'!$E$29),0,1,1)</f>
        <v>0</v>
      </c>
      <c r="N8772" s="366">
        <f>+VLOOKUP(D8772,'Resultats - informe'!$Y$18:$AG$42,'Introducció dades consum'!K8772+1,0)</f>
        <v>0</v>
      </c>
      <c r="O8772" s="370" cm="1">
        <f t="array" ref="O8772">+_xlfn.SWITCH(MONTH(C8772),1,1,2,1,3,1,4,2,5,2,6,3,7,3,8,3,9,3,10,2,11,2,12,1,2)</f>
        <v>1</v>
      </c>
      <c r="P8772" s="43"/>
    </row>
    <row r="8773" spans="1:16" ht="18" x14ac:dyDescent="0.35">
      <c r="A8773" s="43"/>
      <c r="C8773" s="393"/>
      <c r="E8773" s="394"/>
      <c r="F8773" s="394"/>
      <c r="G8773" s="394"/>
      <c r="I8773" s="368">
        <f t="shared" si="414"/>
        <v>0</v>
      </c>
      <c r="J8773" s="365">
        <f t="shared" si="415"/>
        <v>0</v>
      </c>
      <c r="K8773" s="369">
        <f t="shared" si="416"/>
        <v>6</v>
      </c>
      <c r="L8773" s="369">
        <f>+IF((C8773&gt;='Resultats - informe'!$E$16)*(C8773&lt;='Resultats - informe'!$G$16),1,0)</f>
        <v>1</v>
      </c>
      <c r="M8773" s="369" cm="1">
        <f t="array" ref="M8773">+_xlfn.IFS((C8773&gt;='Resultats - informe'!$D$26)*(C8773&lt;='Resultats - informe'!$E$26),0,(C8773&gt;='Resultats - informe'!$D$27)*(C8773&lt;='Resultats - informe'!$E$27),0,(C8773&gt;='Resultats - informe'!$D$28)*(C8773&lt;='Resultats - informe'!$E$28),0,(C8773&gt;='Resultats - informe'!$D$29)*(C8773&lt;='Resultats - informe'!$E$29),0,1,1)</f>
        <v>0</v>
      </c>
      <c r="N8773" s="366">
        <f>+VLOOKUP(D8773,'Resultats - informe'!$Y$18:$AG$42,'Introducció dades consum'!K8773+1,0)</f>
        <v>0</v>
      </c>
      <c r="O8773" s="370" cm="1">
        <f t="array" ref="O8773">+_xlfn.SWITCH(MONTH(C8773),1,1,2,1,3,1,4,2,5,2,6,3,7,3,8,3,9,3,10,2,11,2,12,1,2)</f>
        <v>1</v>
      </c>
      <c r="P8773" s="43"/>
    </row>
    <row r="8774" spans="1:16" ht="18" x14ac:dyDescent="0.35">
      <c r="A8774" s="43"/>
      <c r="C8774" s="393"/>
      <c r="E8774" s="394"/>
      <c r="F8774" s="394"/>
      <c r="G8774" s="394"/>
      <c r="I8774" s="368">
        <f t="shared" si="414"/>
        <v>0</v>
      </c>
      <c r="J8774" s="365">
        <f t="shared" si="415"/>
        <v>0</v>
      </c>
      <c r="K8774" s="369">
        <f t="shared" si="416"/>
        <v>6</v>
      </c>
      <c r="L8774" s="369">
        <f>+IF((C8774&gt;='Resultats - informe'!$E$16)*(C8774&lt;='Resultats - informe'!$G$16),1,0)</f>
        <v>1</v>
      </c>
      <c r="M8774" s="369" cm="1">
        <f t="array" ref="M8774">+_xlfn.IFS((C8774&gt;='Resultats - informe'!$D$26)*(C8774&lt;='Resultats - informe'!$E$26),0,(C8774&gt;='Resultats - informe'!$D$27)*(C8774&lt;='Resultats - informe'!$E$27),0,(C8774&gt;='Resultats - informe'!$D$28)*(C8774&lt;='Resultats - informe'!$E$28),0,(C8774&gt;='Resultats - informe'!$D$29)*(C8774&lt;='Resultats - informe'!$E$29),0,1,1)</f>
        <v>0</v>
      </c>
      <c r="N8774" s="366">
        <f>+VLOOKUP(D8774,'Resultats - informe'!$Y$18:$AG$42,'Introducció dades consum'!K8774+1,0)</f>
        <v>0</v>
      </c>
      <c r="O8774" s="370" cm="1">
        <f t="array" ref="O8774">+_xlfn.SWITCH(MONTH(C8774),1,1,2,1,3,1,4,2,5,2,6,3,7,3,8,3,9,3,10,2,11,2,12,1,2)</f>
        <v>1</v>
      </c>
      <c r="P8774" s="43"/>
    </row>
    <row r="8775" spans="1:16" ht="18" x14ac:dyDescent="0.35">
      <c r="A8775" s="43"/>
      <c r="C8775" s="393"/>
      <c r="E8775" s="394"/>
      <c r="F8775" s="394"/>
      <c r="G8775" s="394"/>
      <c r="I8775" s="368">
        <f t="shared" si="414"/>
        <v>0</v>
      </c>
      <c r="J8775" s="365">
        <f t="shared" si="415"/>
        <v>0</v>
      </c>
      <c r="K8775" s="369">
        <f t="shared" si="416"/>
        <v>6</v>
      </c>
      <c r="L8775" s="369">
        <f>+IF((C8775&gt;='Resultats - informe'!$E$16)*(C8775&lt;='Resultats - informe'!$G$16),1,0)</f>
        <v>1</v>
      </c>
      <c r="M8775" s="369" cm="1">
        <f t="array" ref="M8775">+_xlfn.IFS((C8775&gt;='Resultats - informe'!$D$26)*(C8775&lt;='Resultats - informe'!$E$26),0,(C8775&gt;='Resultats - informe'!$D$27)*(C8775&lt;='Resultats - informe'!$E$27),0,(C8775&gt;='Resultats - informe'!$D$28)*(C8775&lt;='Resultats - informe'!$E$28),0,(C8775&gt;='Resultats - informe'!$D$29)*(C8775&lt;='Resultats - informe'!$E$29),0,1,1)</f>
        <v>0</v>
      </c>
      <c r="N8775" s="366">
        <f>+VLOOKUP(D8775,'Resultats - informe'!$Y$18:$AG$42,'Introducció dades consum'!K8775+1,0)</f>
        <v>0</v>
      </c>
      <c r="O8775" s="370" cm="1">
        <f t="array" ref="O8775">+_xlfn.SWITCH(MONTH(C8775),1,1,2,1,3,1,4,2,5,2,6,3,7,3,8,3,9,3,10,2,11,2,12,1,2)</f>
        <v>1</v>
      </c>
      <c r="P8775" s="43"/>
    </row>
    <row r="8776" spans="1:16" ht="18" x14ac:dyDescent="0.35">
      <c r="A8776" s="43"/>
      <c r="C8776" s="393"/>
      <c r="E8776" s="394"/>
      <c r="F8776" s="394"/>
      <c r="G8776" s="394"/>
      <c r="I8776" s="368">
        <f t="shared" si="414"/>
        <v>0</v>
      </c>
      <c r="J8776" s="365">
        <f t="shared" si="415"/>
        <v>0</v>
      </c>
      <c r="K8776" s="369">
        <f t="shared" si="416"/>
        <v>6</v>
      </c>
      <c r="L8776" s="369">
        <f>+IF((C8776&gt;='Resultats - informe'!$E$16)*(C8776&lt;='Resultats - informe'!$G$16),1,0)</f>
        <v>1</v>
      </c>
      <c r="M8776" s="369" cm="1">
        <f t="array" ref="M8776">+_xlfn.IFS((C8776&gt;='Resultats - informe'!$D$26)*(C8776&lt;='Resultats - informe'!$E$26),0,(C8776&gt;='Resultats - informe'!$D$27)*(C8776&lt;='Resultats - informe'!$E$27),0,(C8776&gt;='Resultats - informe'!$D$28)*(C8776&lt;='Resultats - informe'!$E$28),0,(C8776&gt;='Resultats - informe'!$D$29)*(C8776&lt;='Resultats - informe'!$E$29),0,1,1)</f>
        <v>0</v>
      </c>
      <c r="N8776" s="366">
        <f>+VLOOKUP(D8776,'Resultats - informe'!$Y$18:$AG$42,'Introducció dades consum'!K8776+1,0)</f>
        <v>0</v>
      </c>
      <c r="O8776" s="370" cm="1">
        <f t="array" ref="O8776">+_xlfn.SWITCH(MONTH(C8776),1,1,2,1,3,1,4,2,5,2,6,3,7,3,8,3,9,3,10,2,11,2,12,1,2)</f>
        <v>1</v>
      </c>
      <c r="P8776" s="43"/>
    </row>
    <row r="8777" spans="1:16" ht="18" x14ac:dyDescent="0.35">
      <c r="A8777" s="43"/>
      <c r="C8777" s="393"/>
      <c r="E8777" s="394"/>
      <c r="F8777" s="394"/>
      <c r="G8777" s="394"/>
      <c r="I8777" s="368">
        <f t="shared" si="414"/>
        <v>0</v>
      </c>
      <c r="J8777" s="365">
        <f t="shared" si="415"/>
        <v>0</v>
      </c>
      <c r="K8777" s="369">
        <f t="shared" si="416"/>
        <v>6</v>
      </c>
      <c r="L8777" s="369">
        <f>+IF((C8777&gt;='Resultats - informe'!$E$16)*(C8777&lt;='Resultats - informe'!$G$16),1,0)</f>
        <v>1</v>
      </c>
      <c r="M8777" s="369" cm="1">
        <f t="array" ref="M8777">+_xlfn.IFS((C8777&gt;='Resultats - informe'!$D$26)*(C8777&lt;='Resultats - informe'!$E$26),0,(C8777&gt;='Resultats - informe'!$D$27)*(C8777&lt;='Resultats - informe'!$E$27),0,(C8777&gt;='Resultats - informe'!$D$28)*(C8777&lt;='Resultats - informe'!$E$28),0,(C8777&gt;='Resultats - informe'!$D$29)*(C8777&lt;='Resultats - informe'!$E$29),0,1,1)</f>
        <v>0</v>
      </c>
      <c r="N8777" s="366">
        <f>+VLOOKUP(D8777,'Resultats - informe'!$Y$18:$AG$42,'Introducció dades consum'!K8777+1,0)</f>
        <v>0</v>
      </c>
      <c r="O8777" s="370" cm="1">
        <f t="array" ref="O8777">+_xlfn.SWITCH(MONTH(C8777),1,1,2,1,3,1,4,2,5,2,6,3,7,3,8,3,9,3,10,2,11,2,12,1,2)</f>
        <v>1</v>
      </c>
      <c r="P8777" s="43"/>
    </row>
    <row r="8778" spans="1:16" ht="18" x14ac:dyDescent="0.35">
      <c r="A8778" s="43"/>
      <c r="C8778" s="393"/>
      <c r="E8778" s="394"/>
      <c r="F8778" s="394"/>
      <c r="G8778" s="394"/>
      <c r="I8778" s="368">
        <f t="shared" si="414"/>
        <v>0</v>
      </c>
      <c r="J8778" s="365">
        <f t="shared" si="415"/>
        <v>0</v>
      </c>
      <c r="K8778" s="369">
        <f t="shared" si="416"/>
        <v>6</v>
      </c>
      <c r="L8778" s="369">
        <f>+IF((C8778&gt;='Resultats - informe'!$E$16)*(C8778&lt;='Resultats - informe'!$G$16),1,0)</f>
        <v>1</v>
      </c>
      <c r="M8778" s="369" cm="1">
        <f t="array" ref="M8778">+_xlfn.IFS((C8778&gt;='Resultats - informe'!$D$26)*(C8778&lt;='Resultats - informe'!$E$26),0,(C8778&gt;='Resultats - informe'!$D$27)*(C8778&lt;='Resultats - informe'!$E$27),0,(C8778&gt;='Resultats - informe'!$D$28)*(C8778&lt;='Resultats - informe'!$E$28),0,(C8778&gt;='Resultats - informe'!$D$29)*(C8778&lt;='Resultats - informe'!$E$29),0,1,1)</f>
        <v>0</v>
      </c>
      <c r="N8778" s="366">
        <f>+VLOOKUP(D8778,'Resultats - informe'!$Y$18:$AG$42,'Introducció dades consum'!K8778+1,0)</f>
        <v>0</v>
      </c>
      <c r="O8778" s="370" cm="1">
        <f t="array" ref="O8778">+_xlfn.SWITCH(MONTH(C8778),1,1,2,1,3,1,4,2,5,2,6,3,7,3,8,3,9,3,10,2,11,2,12,1,2)</f>
        <v>1</v>
      </c>
      <c r="P8778" s="43"/>
    </row>
    <row r="8779" spans="1:16" ht="18" x14ac:dyDescent="0.35">
      <c r="A8779" s="43"/>
      <c r="C8779" s="393"/>
      <c r="E8779" s="394"/>
      <c r="F8779" s="394"/>
      <c r="G8779" s="394"/>
      <c r="I8779" s="368">
        <f t="shared" si="414"/>
        <v>0</v>
      </c>
      <c r="J8779" s="365">
        <f t="shared" si="415"/>
        <v>0</v>
      </c>
      <c r="K8779" s="369">
        <f t="shared" si="416"/>
        <v>6</v>
      </c>
      <c r="L8779" s="369">
        <f>+IF((C8779&gt;='Resultats - informe'!$E$16)*(C8779&lt;='Resultats - informe'!$G$16),1,0)</f>
        <v>1</v>
      </c>
      <c r="M8779" s="369" cm="1">
        <f t="array" ref="M8779">+_xlfn.IFS((C8779&gt;='Resultats - informe'!$D$26)*(C8779&lt;='Resultats - informe'!$E$26),0,(C8779&gt;='Resultats - informe'!$D$27)*(C8779&lt;='Resultats - informe'!$E$27),0,(C8779&gt;='Resultats - informe'!$D$28)*(C8779&lt;='Resultats - informe'!$E$28),0,(C8779&gt;='Resultats - informe'!$D$29)*(C8779&lt;='Resultats - informe'!$E$29),0,1,1)</f>
        <v>0</v>
      </c>
      <c r="N8779" s="366">
        <f>+VLOOKUP(D8779,'Resultats - informe'!$Y$18:$AG$42,'Introducció dades consum'!K8779+1,0)</f>
        <v>0</v>
      </c>
      <c r="O8779" s="370" cm="1">
        <f t="array" ref="O8779">+_xlfn.SWITCH(MONTH(C8779),1,1,2,1,3,1,4,2,5,2,6,3,7,3,8,3,9,3,10,2,11,2,12,1,2)</f>
        <v>1</v>
      </c>
      <c r="P8779" s="43"/>
    </row>
    <row r="8780" spans="1:16" ht="18" x14ac:dyDescent="0.35">
      <c r="A8780" s="43"/>
      <c r="C8780" s="393"/>
      <c r="E8780" s="394"/>
      <c r="F8780" s="394"/>
      <c r="G8780" s="394"/>
      <c r="I8780" s="368">
        <f t="shared" si="414"/>
        <v>0</v>
      </c>
      <c r="J8780" s="365">
        <f t="shared" si="415"/>
        <v>0</v>
      </c>
      <c r="K8780" s="369">
        <f t="shared" si="416"/>
        <v>6</v>
      </c>
      <c r="L8780" s="369">
        <f>+IF((C8780&gt;='Resultats - informe'!$E$16)*(C8780&lt;='Resultats - informe'!$G$16),1,0)</f>
        <v>1</v>
      </c>
      <c r="M8780" s="369" cm="1">
        <f t="array" ref="M8780">+_xlfn.IFS((C8780&gt;='Resultats - informe'!$D$26)*(C8780&lt;='Resultats - informe'!$E$26),0,(C8780&gt;='Resultats - informe'!$D$27)*(C8780&lt;='Resultats - informe'!$E$27),0,(C8780&gt;='Resultats - informe'!$D$28)*(C8780&lt;='Resultats - informe'!$E$28),0,(C8780&gt;='Resultats - informe'!$D$29)*(C8780&lt;='Resultats - informe'!$E$29),0,1,1)</f>
        <v>0</v>
      </c>
      <c r="N8780" s="366">
        <f>+VLOOKUP(D8780,'Resultats - informe'!$Y$18:$AG$42,'Introducció dades consum'!K8780+1,0)</f>
        <v>0</v>
      </c>
      <c r="O8780" s="370" cm="1">
        <f t="array" ref="O8780">+_xlfn.SWITCH(MONTH(C8780),1,1,2,1,3,1,4,2,5,2,6,3,7,3,8,3,9,3,10,2,11,2,12,1,2)</f>
        <v>1</v>
      </c>
      <c r="P8780" s="43"/>
    </row>
    <row r="8781" spans="1:16" ht="18" x14ac:dyDescent="0.35">
      <c r="A8781" s="43"/>
      <c r="C8781" s="393"/>
      <c r="E8781" s="394"/>
      <c r="F8781" s="394"/>
      <c r="G8781" s="394"/>
      <c r="I8781" s="368">
        <f t="shared" si="414"/>
        <v>0</v>
      </c>
      <c r="J8781" s="365">
        <f t="shared" si="415"/>
        <v>0</v>
      </c>
      <c r="K8781" s="369">
        <f t="shared" si="416"/>
        <v>6</v>
      </c>
      <c r="L8781" s="369">
        <f>+IF((C8781&gt;='Resultats - informe'!$E$16)*(C8781&lt;='Resultats - informe'!$G$16),1,0)</f>
        <v>1</v>
      </c>
      <c r="M8781" s="369" cm="1">
        <f t="array" ref="M8781">+_xlfn.IFS((C8781&gt;='Resultats - informe'!$D$26)*(C8781&lt;='Resultats - informe'!$E$26),0,(C8781&gt;='Resultats - informe'!$D$27)*(C8781&lt;='Resultats - informe'!$E$27),0,(C8781&gt;='Resultats - informe'!$D$28)*(C8781&lt;='Resultats - informe'!$E$28),0,(C8781&gt;='Resultats - informe'!$D$29)*(C8781&lt;='Resultats - informe'!$E$29),0,1,1)</f>
        <v>0</v>
      </c>
      <c r="N8781" s="366">
        <f>+VLOOKUP(D8781,'Resultats - informe'!$Y$18:$AG$42,'Introducció dades consum'!K8781+1,0)</f>
        <v>0</v>
      </c>
      <c r="O8781" s="370" cm="1">
        <f t="array" ref="O8781">+_xlfn.SWITCH(MONTH(C8781),1,1,2,1,3,1,4,2,5,2,6,3,7,3,8,3,9,3,10,2,11,2,12,1,2)</f>
        <v>1</v>
      </c>
      <c r="P8781" s="43"/>
    </row>
    <row r="8782" spans="1:16" ht="18" x14ac:dyDescent="0.35">
      <c r="A8782" s="43"/>
      <c r="C8782" s="393"/>
      <c r="E8782" s="394"/>
      <c r="F8782" s="394"/>
      <c r="G8782" s="394"/>
      <c r="I8782" s="368">
        <f t="shared" si="414"/>
        <v>0</v>
      </c>
      <c r="J8782" s="365">
        <f t="shared" si="415"/>
        <v>0</v>
      </c>
      <c r="K8782" s="369">
        <f t="shared" si="416"/>
        <v>6</v>
      </c>
      <c r="L8782" s="369">
        <f>+IF((C8782&gt;='Resultats - informe'!$E$16)*(C8782&lt;='Resultats - informe'!$G$16),1,0)</f>
        <v>1</v>
      </c>
      <c r="M8782" s="369" cm="1">
        <f t="array" ref="M8782">+_xlfn.IFS((C8782&gt;='Resultats - informe'!$D$26)*(C8782&lt;='Resultats - informe'!$E$26),0,(C8782&gt;='Resultats - informe'!$D$27)*(C8782&lt;='Resultats - informe'!$E$27),0,(C8782&gt;='Resultats - informe'!$D$28)*(C8782&lt;='Resultats - informe'!$E$28),0,(C8782&gt;='Resultats - informe'!$D$29)*(C8782&lt;='Resultats - informe'!$E$29),0,1,1)</f>
        <v>0</v>
      </c>
      <c r="N8782" s="366">
        <f>+VLOOKUP(D8782,'Resultats - informe'!$Y$18:$AG$42,'Introducció dades consum'!K8782+1,0)</f>
        <v>0</v>
      </c>
      <c r="O8782" s="370" cm="1">
        <f t="array" ref="O8782">+_xlfn.SWITCH(MONTH(C8782),1,1,2,1,3,1,4,2,5,2,6,3,7,3,8,3,9,3,10,2,11,2,12,1,2)</f>
        <v>1</v>
      </c>
      <c r="P8782" s="43"/>
    </row>
    <row r="8783" spans="1:16" ht="18" x14ac:dyDescent="0.35">
      <c r="A8783" s="43"/>
      <c r="C8783" s="393"/>
      <c r="E8783" s="394"/>
      <c r="F8783" s="394"/>
      <c r="G8783" s="394"/>
      <c r="I8783" s="368">
        <f t="shared" si="414"/>
        <v>0</v>
      </c>
      <c r="J8783" s="365">
        <f t="shared" si="415"/>
        <v>0</v>
      </c>
      <c r="K8783" s="369">
        <f t="shared" si="416"/>
        <v>6</v>
      </c>
      <c r="L8783" s="369">
        <f>+IF((C8783&gt;='Resultats - informe'!$E$16)*(C8783&lt;='Resultats - informe'!$G$16),1,0)</f>
        <v>1</v>
      </c>
      <c r="M8783" s="369" cm="1">
        <f t="array" ref="M8783">+_xlfn.IFS((C8783&gt;='Resultats - informe'!$D$26)*(C8783&lt;='Resultats - informe'!$E$26),0,(C8783&gt;='Resultats - informe'!$D$27)*(C8783&lt;='Resultats - informe'!$E$27),0,(C8783&gt;='Resultats - informe'!$D$28)*(C8783&lt;='Resultats - informe'!$E$28),0,(C8783&gt;='Resultats - informe'!$D$29)*(C8783&lt;='Resultats - informe'!$E$29),0,1,1)</f>
        <v>0</v>
      </c>
      <c r="N8783" s="366">
        <f>+VLOOKUP(D8783,'Resultats - informe'!$Y$18:$AG$42,'Introducció dades consum'!K8783+1,0)</f>
        <v>0</v>
      </c>
      <c r="O8783" s="370" cm="1">
        <f t="array" ref="O8783">+_xlfn.SWITCH(MONTH(C8783),1,1,2,1,3,1,4,2,5,2,6,3,7,3,8,3,9,3,10,2,11,2,12,1,2)</f>
        <v>1</v>
      </c>
      <c r="P8783" s="43"/>
    </row>
    <row r="8784" spans="1:16" ht="18" x14ac:dyDescent="0.35">
      <c r="A8784" s="43"/>
      <c r="C8784" s="393"/>
      <c r="E8784" s="394"/>
      <c r="F8784" s="394"/>
      <c r="G8784" s="394"/>
      <c r="I8784" s="368">
        <f t="shared" si="414"/>
        <v>0</v>
      </c>
      <c r="J8784" s="365">
        <f t="shared" si="415"/>
        <v>0</v>
      </c>
      <c r="K8784" s="369">
        <f t="shared" si="416"/>
        <v>6</v>
      </c>
      <c r="L8784" s="369">
        <f>+IF((C8784&gt;='Resultats - informe'!$E$16)*(C8784&lt;='Resultats - informe'!$G$16),1,0)</f>
        <v>1</v>
      </c>
      <c r="M8784" s="369" cm="1">
        <f t="array" ref="M8784">+_xlfn.IFS((C8784&gt;='Resultats - informe'!$D$26)*(C8784&lt;='Resultats - informe'!$E$26),0,(C8784&gt;='Resultats - informe'!$D$27)*(C8784&lt;='Resultats - informe'!$E$27),0,(C8784&gt;='Resultats - informe'!$D$28)*(C8784&lt;='Resultats - informe'!$E$28),0,(C8784&gt;='Resultats - informe'!$D$29)*(C8784&lt;='Resultats - informe'!$E$29),0,1,1)</f>
        <v>0</v>
      </c>
      <c r="N8784" s="366">
        <f>+VLOOKUP(D8784,'Resultats - informe'!$Y$18:$AG$42,'Introducció dades consum'!K8784+1,0)</f>
        <v>0</v>
      </c>
      <c r="O8784" s="370" cm="1">
        <f t="array" ref="O8784">+_xlfn.SWITCH(MONTH(C8784),1,1,2,1,3,1,4,2,5,2,6,3,7,3,8,3,9,3,10,2,11,2,12,1,2)</f>
        <v>1</v>
      </c>
      <c r="P8784" s="43"/>
    </row>
    <row r="8785" spans="1:16" ht="18" x14ac:dyDescent="0.35">
      <c r="A8785" s="43"/>
      <c r="C8785" s="393"/>
      <c r="E8785" s="394"/>
      <c r="F8785" s="394"/>
      <c r="G8785" s="394"/>
      <c r="I8785" s="368">
        <f t="shared" si="414"/>
        <v>0</v>
      </c>
      <c r="J8785" s="365">
        <f t="shared" si="415"/>
        <v>0</v>
      </c>
      <c r="K8785" s="369">
        <f t="shared" si="416"/>
        <v>6</v>
      </c>
      <c r="L8785" s="369">
        <f>+IF((C8785&gt;='Resultats - informe'!$E$16)*(C8785&lt;='Resultats - informe'!$G$16),1,0)</f>
        <v>1</v>
      </c>
      <c r="M8785" s="369" cm="1">
        <f t="array" ref="M8785">+_xlfn.IFS((C8785&gt;='Resultats - informe'!$D$26)*(C8785&lt;='Resultats - informe'!$E$26),0,(C8785&gt;='Resultats - informe'!$D$27)*(C8785&lt;='Resultats - informe'!$E$27),0,(C8785&gt;='Resultats - informe'!$D$28)*(C8785&lt;='Resultats - informe'!$E$28),0,(C8785&gt;='Resultats - informe'!$D$29)*(C8785&lt;='Resultats - informe'!$E$29),0,1,1)</f>
        <v>0</v>
      </c>
      <c r="N8785" s="366">
        <f>+VLOOKUP(D8785,'Resultats - informe'!$Y$18:$AG$42,'Introducció dades consum'!K8785+1,0)</f>
        <v>0</v>
      </c>
      <c r="O8785" s="370" cm="1">
        <f t="array" ref="O8785">+_xlfn.SWITCH(MONTH(C8785),1,1,2,1,3,1,4,2,5,2,6,3,7,3,8,3,9,3,10,2,11,2,12,1,2)</f>
        <v>1</v>
      </c>
      <c r="P8785" s="43"/>
    </row>
    <row r="8786" spans="1:16" ht="18" x14ac:dyDescent="0.35">
      <c r="A8786" s="43"/>
      <c r="C8786" s="393"/>
      <c r="E8786" s="394"/>
      <c r="F8786" s="394"/>
      <c r="G8786" s="394"/>
      <c r="I8786" s="368">
        <f t="shared" ref="I8786:I8849" si="417">+E8786+G8786</f>
        <v>0</v>
      </c>
      <c r="J8786" s="365">
        <f t="shared" ref="J8786:J8849" si="418">+C8786</f>
        <v>0</v>
      </c>
      <c r="K8786" s="369">
        <f t="shared" ref="K8786:K8849" si="419">+WEEKDAY(C8786,2)</f>
        <v>6</v>
      </c>
      <c r="L8786" s="369">
        <f>+IF((C8786&gt;='Resultats - informe'!$E$16)*(C8786&lt;='Resultats - informe'!$G$16),1,0)</f>
        <v>1</v>
      </c>
      <c r="M8786" s="369" cm="1">
        <f t="array" ref="M8786">+_xlfn.IFS((C8786&gt;='Resultats - informe'!$D$26)*(C8786&lt;='Resultats - informe'!$E$26),0,(C8786&gt;='Resultats - informe'!$D$27)*(C8786&lt;='Resultats - informe'!$E$27),0,(C8786&gt;='Resultats - informe'!$D$28)*(C8786&lt;='Resultats - informe'!$E$28),0,(C8786&gt;='Resultats - informe'!$D$29)*(C8786&lt;='Resultats - informe'!$E$29),0,1,1)</f>
        <v>0</v>
      </c>
      <c r="N8786" s="366">
        <f>+VLOOKUP(D8786,'Resultats - informe'!$Y$18:$AG$42,'Introducció dades consum'!K8786+1,0)</f>
        <v>0</v>
      </c>
      <c r="O8786" s="370" cm="1">
        <f t="array" ref="O8786">+_xlfn.SWITCH(MONTH(C8786),1,1,2,1,3,1,4,2,5,2,6,3,7,3,8,3,9,3,10,2,11,2,12,1,2)</f>
        <v>1</v>
      </c>
      <c r="P8786" s="43"/>
    </row>
    <row r="8787" spans="1:16" ht="18" x14ac:dyDescent="0.35">
      <c r="A8787" s="43"/>
      <c r="C8787" s="393"/>
      <c r="E8787" s="394"/>
      <c r="F8787" s="394"/>
      <c r="G8787" s="394"/>
      <c r="I8787" s="368">
        <f t="shared" si="417"/>
        <v>0</v>
      </c>
      <c r="J8787" s="365">
        <f t="shared" si="418"/>
        <v>0</v>
      </c>
      <c r="K8787" s="369">
        <f t="shared" si="419"/>
        <v>6</v>
      </c>
      <c r="L8787" s="369">
        <f>+IF((C8787&gt;='Resultats - informe'!$E$16)*(C8787&lt;='Resultats - informe'!$G$16),1,0)</f>
        <v>1</v>
      </c>
      <c r="M8787" s="369" cm="1">
        <f t="array" ref="M8787">+_xlfn.IFS((C8787&gt;='Resultats - informe'!$D$26)*(C8787&lt;='Resultats - informe'!$E$26),0,(C8787&gt;='Resultats - informe'!$D$27)*(C8787&lt;='Resultats - informe'!$E$27),0,(C8787&gt;='Resultats - informe'!$D$28)*(C8787&lt;='Resultats - informe'!$E$28),0,(C8787&gt;='Resultats - informe'!$D$29)*(C8787&lt;='Resultats - informe'!$E$29),0,1,1)</f>
        <v>0</v>
      </c>
      <c r="N8787" s="366">
        <f>+VLOOKUP(D8787,'Resultats - informe'!$Y$18:$AG$42,'Introducció dades consum'!K8787+1,0)</f>
        <v>0</v>
      </c>
      <c r="O8787" s="370" cm="1">
        <f t="array" ref="O8787">+_xlfn.SWITCH(MONTH(C8787),1,1,2,1,3,1,4,2,5,2,6,3,7,3,8,3,9,3,10,2,11,2,12,1,2)</f>
        <v>1</v>
      </c>
      <c r="P8787" s="43"/>
    </row>
    <row r="8788" spans="1:16" ht="18" x14ac:dyDescent="0.35">
      <c r="A8788" s="43"/>
      <c r="C8788" s="393"/>
      <c r="E8788" s="394"/>
      <c r="F8788" s="394"/>
      <c r="G8788" s="394"/>
      <c r="I8788" s="368">
        <f t="shared" si="417"/>
        <v>0</v>
      </c>
      <c r="J8788" s="365">
        <f t="shared" si="418"/>
        <v>0</v>
      </c>
      <c r="K8788" s="369">
        <f t="shared" si="419"/>
        <v>6</v>
      </c>
      <c r="L8788" s="369">
        <f>+IF((C8788&gt;='Resultats - informe'!$E$16)*(C8788&lt;='Resultats - informe'!$G$16),1,0)</f>
        <v>1</v>
      </c>
      <c r="M8788" s="369" cm="1">
        <f t="array" ref="M8788">+_xlfn.IFS((C8788&gt;='Resultats - informe'!$D$26)*(C8788&lt;='Resultats - informe'!$E$26),0,(C8788&gt;='Resultats - informe'!$D$27)*(C8788&lt;='Resultats - informe'!$E$27),0,(C8788&gt;='Resultats - informe'!$D$28)*(C8788&lt;='Resultats - informe'!$E$28),0,(C8788&gt;='Resultats - informe'!$D$29)*(C8788&lt;='Resultats - informe'!$E$29),0,1,1)</f>
        <v>0</v>
      </c>
      <c r="N8788" s="366">
        <f>+VLOOKUP(D8788,'Resultats - informe'!$Y$18:$AG$42,'Introducció dades consum'!K8788+1,0)</f>
        <v>0</v>
      </c>
      <c r="O8788" s="370" cm="1">
        <f t="array" ref="O8788">+_xlfn.SWITCH(MONTH(C8788),1,1,2,1,3,1,4,2,5,2,6,3,7,3,8,3,9,3,10,2,11,2,12,1,2)</f>
        <v>1</v>
      </c>
      <c r="P8788" s="43"/>
    </row>
    <row r="8789" spans="1:16" ht="18" x14ac:dyDescent="0.35">
      <c r="A8789" s="43"/>
      <c r="C8789" s="393"/>
      <c r="E8789" s="394"/>
      <c r="F8789" s="394"/>
      <c r="G8789" s="394"/>
      <c r="I8789" s="368">
        <f t="shared" si="417"/>
        <v>0</v>
      </c>
      <c r="J8789" s="365">
        <f t="shared" si="418"/>
        <v>0</v>
      </c>
      <c r="K8789" s="369">
        <f t="shared" si="419"/>
        <v>6</v>
      </c>
      <c r="L8789" s="369">
        <f>+IF((C8789&gt;='Resultats - informe'!$E$16)*(C8789&lt;='Resultats - informe'!$G$16),1,0)</f>
        <v>1</v>
      </c>
      <c r="M8789" s="369" cm="1">
        <f t="array" ref="M8789">+_xlfn.IFS((C8789&gt;='Resultats - informe'!$D$26)*(C8789&lt;='Resultats - informe'!$E$26),0,(C8789&gt;='Resultats - informe'!$D$27)*(C8789&lt;='Resultats - informe'!$E$27),0,(C8789&gt;='Resultats - informe'!$D$28)*(C8789&lt;='Resultats - informe'!$E$28),0,(C8789&gt;='Resultats - informe'!$D$29)*(C8789&lt;='Resultats - informe'!$E$29),0,1,1)</f>
        <v>0</v>
      </c>
      <c r="N8789" s="366">
        <f>+VLOOKUP(D8789,'Resultats - informe'!$Y$18:$AG$42,'Introducció dades consum'!K8789+1,0)</f>
        <v>0</v>
      </c>
      <c r="O8789" s="370" cm="1">
        <f t="array" ref="O8789">+_xlfn.SWITCH(MONTH(C8789),1,1,2,1,3,1,4,2,5,2,6,3,7,3,8,3,9,3,10,2,11,2,12,1,2)</f>
        <v>1</v>
      </c>
      <c r="P8789" s="43"/>
    </row>
    <row r="8790" spans="1:16" ht="18" x14ac:dyDescent="0.35">
      <c r="A8790" s="43"/>
      <c r="C8790" s="393"/>
      <c r="E8790" s="394"/>
      <c r="F8790" s="394"/>
      <c r="G8790" s="394"/>
      <c r="I8790" s="368">
        <f t="shared" si="417"/>
        <v>0</v>
      </c>
      <c r="J8790" s="365">
        <f t="shared" si="418"/>
        <v>0</v>
      </c>
      <c r="K8790" s="369">
        <f t="shared" si="419"/>
        <v>6</v>
      </c>
      <c r="L8790" s="369">
        <f>+IF((C8790&gt;='Resultats - informe'!$E$16)*(C8790&lt;='Resultats - informe'!$G$16),1,0)</f>
        <v>1</v>
      </c>
      <c r="M8790" s="369" cm="1">
        <f t="array" ref="M8790">+_xlfn.IFS((C8790&gt;='Resultats - informe'!$D$26)*(C8790&lt;='Resultats - informe'!$E$26),0,(C8790&gt;='Resultats - informe'!$D$27)*(C8790&lt;='Resultats - informe'!$E$27),0,(C8790&gt;='Resultats - informe'!$D$28)*(C8790&lt;='Resultats - informe'!$E$28),0,(C8790&gt;='Resultats - informe'!$D$29)*(C8790&lt;='Resultats - informe'!$E$29),0,1,1)</f>
        <v>0</v>
      </c>
      <c r="N8790" s="366">
        <f>+VLOOKUP(D8790,'Resultats - informe'!$Y$18:$AG$42,'Introducció dades consum'!K8790+1,0)</f>
        <v>0</v>
      </c>
      <c r="O8790" s="370" cm="1">
        <f t="array" ref="O8790">+_xlfn.SWITCH(MONTH(C8790),1,1,2,1,3,1,4,2,5,2,6,3,7,3,8,3,9,3,10,2,11,2,12,1,2)</f>
        <v>1</v>
      </c>
      <c r="P8790" s="43"/>
    </row>
    <row r="8791" spans="1:16" ht="18" x14ac:dyDescent="0.35">
      <c r="A8791" s="43"/>
      <c r="C8791" s="393"/>
      <c r="E8791" s="394"/>
      <c r="F8791" s="394"/>
      <c r="G8791" s="394"/>
      <c r="I8791" s="368">
        <f t="shared" si="417"/>
        <v>0</v>
      </c>
      <c r="J8791" s="365">
        <f t="shared" si="418"/>
        <v>0</v>
      </c>
      <c r="K8791" s="369">
        <f t="shared" si="419"/>
        <v>6</v>
      </c>
      <c r="L8791" s="369">
        <f>+IF((C8791&gt;='Resultats - informe'!$E$16)*(C8791&lt;='Resultats - informe'!$G$16),1,0)</f>
        <v>1</v>
      </c>
      <c r="M8791" s="369" cm="1">
        <f t="array" ref="M8791">+_xlfn.IFS((C8791&gt;='Resultats - informe'!$D$26)*(C8791&lt;='Resultats - informe'!$E$26),0,(C8791&gt;='Resultats - informe'!$D$27)*(C8791&lt;='Resultats - informe'!$E$27),0,(C8791&gt;='Resultats - informe'!$D$28)*(C8791&lt;='Resultats - informe'!$E$28),0,(C8791&gt;='Resultats - informe'!$D$29)*(C8791&lt;='Resultats - informe'!$E$29),0,1,1)</f>
        <v>0</v>
      </c>
      <c r="N8791" s="366">
        <f>+VLOOKUP(D8791,'Resultats - informe'!$Y$18:$AG$42,'Introducció dades consum'!K8791+1,0)</f>
        <v>0</v>
      </c>
      <c r="O8791" s="370" cm="1">
        <f t="array" ref="O8791">+_xlfn.SWITCH(MONTH(C8791),1,1,2,1,3,1,4,2,5,2,6,3,7,3,8,3,9,3,10,2,11,2,12,1,2)</f>
        <v>1</v>
      </c>
      <c r="P8791" s="43"/>
    </row>
    <row r="8792" spans="1:16" ht="18" x14ac:dyDescent="0.35">
      <c r="A8792" s="43"/>
      <c r="C8792" s="393"/>
      <c r="E8792" s="394"/>
      <c r="F8792" s="394"/>
      <c r="G8792" s="394"/>
      <c r="I8792" s="368">
        <f t="shared" si="417"/>
        <v>0</v>
      </c>
      <c r="J8792" s="365">
        <f t="shared" si="418"/>
        <v>0</v>
      </c>
      <c r="K8792" s="369">
        <f t="shared" si="419"/>
        <v>6</v>
      </c>
      <c r="L8792" s="369">
        <f>+IF((C8792&gt;='Resultats - informe'!$E$16)*(C8792&lt;='Resultats - informe'!$G$16),1,0)</f>
        <v>1</v>
      </c>
      <c r="M8792" s="369" cm="1">
        <f t="array" ref="M8792">+_xlfn.IFS((C8792&gt;='Resultats - informe'!$D$26)*(C8792&lt;='Resultats - informe'!$E$26),0,(C8792&gt;='Resultats - informe'!$D$27)*(C8792&lt;='Resultats - informe'!$E$27),0,(C8792&gt;='Resultats - informe'!$D$28)*(C8792&lt;='Resultats - informe'!$E$28),0,(C8792&gt;='Resultats - informe'!$D$29)*(C8792&lt;='Resultats - informe'!$E$29),0,1,1)</f>
        <v>0</v>
      </c>
      <c r="N8792" s="366">
        <f>+VLOOKUP(D8792,'Resultats - informe'!$Y$18:$AG$42,'Introducció dades consum'!K8792+1,0)</f>
        <v>0</v>
      </c>
      <c r="O8792" s="370" cm="1">
        <f t="array" ref="O8792">+_xlfn.SWITCH(MONTH(C8792),1,1,2,1,3,1,4,2,5,2,6,3,7,3,8,3,9,3,10,2,11,2,12,1,2)</f>
        <v>1</v>
      </c>
      <c r="P8792" s="43"/>
    </row>
    <row r="8793" spans="1:16" ht="18" x14ac:dyDescent="0.35">
      <c r="A8793" s="43"/>
      <c r="C8793" s="393"/>
      <c r="E8793" s="394"/>
      <c r="F8793" s="394"/>
      <c r="G8793" s="394"/>
      <c r="I8793" s="368">
        <f t="shared" si="417"/>
        <v>0</v>
      </c>
      <c r="J8793" s="365">
        <f t="shared" si="418"/>
        <v>0</v>
      </c>
      <c r="K8793" s="369">
        <f t="shared" si="419"/>
        <v>6</v>
      </c>
      <c r="L8793" s="369">
        <f>+IF((C8793&gt;='Resultats - informe'!$E$16)*(C8793&lt;='Resultats - informe'!$G$16),1,0)</f>
        <v>1</v>
      </c>
      <c r="M8793" s="369" cm="1">
        <f t="array" ref="M8793">+_xlfn.IFS((C8793&gt;='Resultats - informe'!$D$26)*(C8793&lt;='Resultats - informe'!$E$26),0,(C8793&gt;='Resultats - informe'!$D$27)*(C8793&lt;='Resultats - informe'!$E$27),0,(C8793&gt;='Resultats - informe'!$D$28)*(C8793&lt;='Resultats - informe'!$E$28),0,(C8793&gt;='Resultats - informe'!$D$29)*(C8793&lt;='Resultats - informe'!$E$29),0,1,1)</f>
        <v>0</v>
      </c>
      <c r="N8793" s="366">
        <f>+VLOOKUP(D8793,'Resultats - informe'!$Y$18:$AG$42,'Introducció dades consum'!K8793+1,0)</f>
        <v>0</v>
      </c>
      <c r="O8793" s="370" cm="1">
        <f t="array" ref="O8793">+_xlfn.SWITCH(MONTH(C8793),1,1,2,1,3,1,4,2,5,2,6,3,7,3,8,3,9,3,10,2,11,2,12,1,2)</f>
        <v>1</v>
      </c>
      <c r="P8793" s="43"/>
    </row>
    <row r="8794" spans="1:16" ht="18" x14ac:dyDescent="0.35">
      <c r="A8794" s="43"/>
      <c r="C8794" s="393"/>
      <c r="E8794" s="394"/>
      <c r="F8794" s="394"/>
      <c r="G8794" s="394"/>
      <c r="I8794" s="368">
        <f t="shared" si="417"/>
        <v>0</v>
      </c>
      <c r="J8794" s="365">
        <f t="shared" si="418"/>
        <v>0</v>
      </c>
      <c r="K8794" s="369">
        <f t="shared" si="419"/>
        <v>6</v>
      </c>
      <c r="L8794" s="369">
        <f>+IF((C8794&gt;='Resultats - informe'!$E$16)*(C8794&lt;='Resultats - informe'!$G$16),1,0)</f>
        <v>1</v>
      </c>
      <c r="M8794" s="369" cm="1">
        <f t="array" ref="M8794">+_xlfn.IFS((C8794&gt;='Resultats - informe'!$D$26)*(C8794&lt;='Resultats - informe'!$E$26),0,(C8794&gt;='Resultats - informe'!$D$27)*(C8794&lt;='Resultats - informe'!$E$27),0,(C8794&gt;='Resultats - informe'!$D$28)*(C8794&lt;='Resultats - informe'!$E$28),0,(C8794&gt;='Resultats - informe'!$D$29)*(C8794&lt;='Resultats - informe'!$E$29),0,1,1)</f>
        <v>0</v>
      </c>
      <c r="N8794" s="366">
        <f>+VLOOKUP(D8794,'Resultats - informe'!$Y$18:$AG$42,'Introducció dades consum'!K8794+1,0)</f>
        <v>0</v>
      </c>
      <c r="O8794" s="370" cm="1">
        <f t="array" ref="O8794">+_xlfn.SWITCH(MONTH(C8794),1,1,2,1,3,1,4,2,5,2,6,3,7,3,8,3,9,3,10,2,11,2,12,1,2)</f>
        <v>1</v>
      </c>
      <c r="P8794" s="43"/>
    </row>
    <row r="8795" spans="1:16" ht="18" x14ac:dyDescent="0.35">
      <c r="A8795" s="43"/>
      <c r="C8795" s="393"/>
      <c r="E8795" s="394"/>
      <c r="F8795" s="394"/>
      <c r="G8795" s="394"/>
      <c r="I8795" s="368">
        <f t="shared" si="417"/>
        <v>0</v>
      </c>
      <c r="J8795" s="365">
        <f t="shared" si="418"/>
        <v>0</v>
      </c>
      <c r="K8795" s="369">
        <f t="shared" si="419"/>
        <v>6</v>
      </c>
      <c r="L8795" s="369">
        <f>+IF((C8795&gt;='Resultats - informe'!$E$16)*(C8795&lt;='Resultats - informe'!$G$16),1,0)</f>
        <v>1</v>
      </c>
      <c r="M8795" s="369" cm="1">
        <f t="array" ref="M8795">+_xlfn.IFS((C8795&gt;='Resultats - informe'!$D$26)*(C8795&lt;='Resultats - informe'!$E$26),0,(C8795&gt;='Resultats - informe'!$D$27)*(C8795&lt;='Resultats - informe'!$E$27),0,(C8795&gt;='Resultats - informe'!$D$28)*(C8795&lt;='Resultats - informe'!$E$28),0,(C8795&gt;='Resultats - informe'!$D$29)*(C8795&lt;='Resultats - informe'!$E$29),0,1,1)</f>
        <v>0</v>
      </c>
      <c r="N8795" s="366">
        <f>+VLOOKUP(D8795,'Resultats - informe'!$Y$18:$AG$42,'Introducció dades consum'!K8795+1,0)</f>
        <v>0</v>
      </c>
      <c r="O8795" s="370" cm="1">
        <f t="array" ref="O8795">+_xlfn.SWITCH(MONTH(C8795),1,1,2,1,3,1,4,2,5,2,6,3,7,3,8,3,9,3,10,2,11,2,12,1,2)</f>
        <v>1</v>
      </c>
      <c r="P8795" s="43"/>
    </row>
    <row r="8796" spans="1:16" ht="18" x14ac:dyDescent="0.35">
      <c r="A8796" s="43"/>
      <c r="C8796" s="393"/>
      <c r="E8796" s="394"/>
      <c r="F8796" s="394"/>
      <c r="G8796" s="394"/>
      <c r="I8796" s="368">
        <f t="shared" si="417"/>
        <v>0</v>
      </c>
      <c r="J8796" s="365">
        <f t="shared" si="418"/>
        <v>0</v>
      </c>
      <c r="K8796" s="369">
        <f t="shared" si="419"/>
        <v>6</v>
      </c>
      <c r="L8796" s="369">
        <f>+IF((C8796&gt;='Resultats - informe'!$E$16)*(C8796&lt;='Resultats - informe'!$G$16),1,0)</f>
        <v>1</v>
      </c>
      <c r="M8796" s="369" cm="1">
        <f t="array" ref="M8796">+_xlfn.IFS((C8796&gt;='Resultats - informe'!$D$26)*(C8796&lt;='Resultats - informe'!$E$26),0,(C8796&gt;='Resultats - informe'!$D$27)*(C8796&lt;='Resultats - informe'!$E$27),0,(C8796&gt;='Resultats - informe'!$D$28)*(C8796&lt;='Resultats - informe'!$E$28),0,(C8796&gt;='Resultats - informe'!$D$29)*(C8796&lt;='Resultats - informe'!$E$29),0,1,1)</f>
        <v>0</v>
      </c>
      <c r="N8796" s="366">
        <f>+VLOOKUP(D8796,'Resultats - informe'!$Y$18:$AG$42,'Introducció dades consum'!K8796+1,0)</f>
        <v>0</v>
      </c>
      <c r="O8796" s="370" cm="1">
        <f t="array" ref="O8796">+_xlfn.SWITCH(MONTH(C8796),1,1,2,1,3,1,4,2,5,2,6,3,7,3,8,3,9,3,10,2,11,2,12,1,2)</f>
        <v>1</v>
      </c>
      <c r="P8796" s="43"/>
    </row>
    <row r="8797" spans="1:16" ht="18" x14ac:dyDescent="0.35">
      <c r="A8797" s="43"/>
      <c r="C8797" s="393"/>
      <c r="E8797" s="394"/>
      <c r="F8797" s="394"/>
      <c r="G8797" s="394"/>
      <c r="I8797" s="368">
        <f t="shared" si="417"/>
        <v>0</v>
      </c>
      <c r="J8797" s="365">
        <f t="shared" si="418"/>
        <v>0</v>
      </c>
      <c r="K8797" s="369">
        <f t="shared" si="419"/>
        <v>6</v>
      </c>
      <c r="L8797" s="369">
        <f>+IF((C8797&gt;='Resultats - informe'!$E$16)*(C8797&lt;='Resultats - informe'!$G$16),1,0)</f>
        <v>1</v>
      </c>
      <c r="M8797" s="369" cm="1">
        <f t="array" ref="M8797">+_xlfn.IFS((C8797&gt;='Resultats - informe'!$D$26)*(C8797&lt;='Resultats - informe'!$E$26),0,(C8797&gt;='Resultats - informe'!$D$27)*(C8797&lt;='Resultats - informe'!$E$27),0,(C8797&gt;='Resultats - informe'!$D$28)*(C8797&lt;='Resultats - informe'!$E$28),0,(C8797&gt;='Resultats - informe'!$D$29)*(C8797&lt;='Resultats - informe'!$E$29),0,1,1)</f>
        <v>0</v>
      </c>
      <c r="N8797" s="366">
        <f>+VLOOKUP(D8797,'Resultats - informe'!$Y$18:$AG$42,'Introducció dades consum'!K8797+1,0)</f>
        <v>0</v>
      </c>
      <c r="O8797" s="370" cm="1">
        <f t="array" ref="O8797">+_xlfn.SWITCH(MONTH(C8797),1,1,2,1,3,1,4,2,5,2,6,3,7,3,8,3,9,3,10,2,11,2,12,1,2)</f>
        <v>1</v>
      </c>
      <c r="P8797" s="43"/>
    </row>
    <row r="8798" spans="1:16" ht="18" x14ac:dyDescent="0.35">
      <c r="A8798" s="43"/>
      <c r="C8798" s="393"/>
      <c r="E8798" s="394"/>
      <c r="F8798" s="394"/>
      <c r="G8798" s="394"/>
      <c r="I8798" s="368">
        <f t="shared" si="417"/>
        <v>0</v>
      </c>
      <c r="J8798" s="365">
        <f t="shared" si="418"/>
        <v>0</v>
      </c>
      <c r="K8798" s="369">
        <f t="shared" si="419"/>
        <v>6</v>
      </c>
      <c r="L8798" s="369">
        <f>+IF((C8798&gt;='Resultats - informe'!$E$16)*(C8798&lt;='Resultats - informe'!$G$16),1,0)</f>
        <v>1</v>
      </c>
      <c r="M8798" s="369" cm="1">
        <f t="array" ref="M8798">+_xlfn.IFS((C8798&gt;='Resultats - informe'!$D$26)*(C8798&lt;='Resultats - informe'!$E$26),0,(C8798&gt;='Resultats - informe'!$D$27)*(C8798&lt;='Resultats - informe'!$E$27),0,(C8798&gt;='Resultats - informe'!$D$28)*(C8798&lt;='Resultats - informe'!$E$28),0,(C8798&gt;='Resultats - informe'!$D$29)*(C8798&lt;='Resultats - informe'!$E$29),0,1,1)</f>
        <v>0</v>
      </c>
      <c r="N8798" s="366">
        <f>+VLOOKUP(D8798,'Resultats - informe'!$Y$18:$AG$42,'Introducció dades consum'!K8798+1,0)</f>
        <v>0</v>
      </c>
      <c r="O8798" s="370" cm="1">
        <f t="array" ref="O8798">+_xlfn.SWITCH(MONTH(C8798),1,1,2,1,3,1,4,2,5,2,6,3,7,3,8,3,9,3,10,2,11,2,12,1,2)</f>
        <v>1</v>
      </c>
      <c r="P8798" s="43"/>
    </row>
    <row r="8799" spans="1:16" ht="18" x14ac:dyDescent="0.35">
      <c r="A8799" s="43"/>
      <c r="C8799" s="393"/>
      <c r="E8799" s="394"/>
      <c r="F8799" s="394"/>
      <c r="G8799" s="394"/>
      <c r="I8799" s="368">
        <f t="shared" si="417"/>
        <v>0</v>
      </c>
      <c r="J8799" s="365">
        <f t="shared" si="418"/>
        <v>0</v>
      </c>
      <c r="K8799" s="369">
        <f t="shared" si="419"/>
        <v>6</v>
      </c>
      <c r="L8799" s="369">
        <f>+IF((C8799&gt;='Resultats - informe'!$E$16)*(C8799&lt;='Resultats - informe'!$G$16),1,0)</f>
        <v>1</v>
      </c>
      <c r="M8799" s="369" cm="1">
        <f t="array" ref="M8799">+_xlfn.IFS((C8799&gt;='Resultats - informe'!$D$26)*(C8799&lt;='Resultats - informe'!$E$26),0,(C8799&gt;='Resultats - informe'!$D$27)*(C8799&lt;='Resultats - informe'!$E$27),0,(C8799&gt;='Resultats - informe'!$D$28)*(C8799&lt;='Resultats - informe'!$E$28),0,(C8799&gt;='Resultats - informe'!$D$29)*(C8799&lt;='Resultats - informe'!$E$29),0,1,1)</f>
        <v>0</v>
      </c>
      <c r="N8799" s="366">
        <f>+VLOOKUP(D8799,'Resultats - informe'!$Y$18:$AG$42,'Introducció dades consum'!K8799+1,0)</f>
        <v>0</v>
      </c>
      <c r="O8799" s="370" cm="1">
        <f t="array" ref="O8799">+_xlfn.SWITCH(MONTH(C8799),1,1,2,1,3,1,4,2,5,2,6,3,7,3,8,3,9,3,10,2,11,2,12,1,2)</f>
        <v>1</v>
      </c>
      <c r="P8799" s="43"/>
    </row>
    <row r="8800" spans="1:16" ht="18" x14ac:dyDescent="0.35">
      <c r="A8800" s="43"/>
      <c r="C8800" s="393"/>
      <c r="E8800" s="394"/>
      <c r="F8800" s="394"/>
      <c r="G8800" s="394"/>
      <c r="I8800" s="368">
        <f t="shared" si="417"/>
        <v>0</v>
      </c>
      <c r="J8800" s="365">
        <f t="shared" si="418"/>
        <v>0</v>
      </c>
      <c r="K8800" s="369">
        <f t="shared" si="419"/>
        <v>6</v>
      </c>
      <c r="L8800" s="369">
        <f>+IF((C8800&gt;='Resultats - informe'!$E$16)*(C8800&lt;='Resultats - informe'!$G$16),1,0)</f>
        <v>1</v>
      </c>
      <c r="M8800" s="369" cm="1">
        <f t="array" ref="M8800">+_xlfn.IFS((C8800&gt;='Resultats - informe'!$D$26)*(C8800&lt;='Resultats - informe'!$E$26),0,(C8800&gt;='Resultats - informe'!$D$27)*(C8800&lt;='Resultats - informe'!$E$27),0,(C8800&gt;='Resultats - informe'!$D$28)*(C8800&lt;='Resultats - informe'!$E$28),0,(C8800&gt;='Resultats - informe'!$D$29)*(C8800&lt;='Resultats - informe'!$E$29),0,1,1)</f>
        <v>0</v>
      </c>
      <c r="N8800" s="366">
        <f>+VLOOKUP(D8800,'Resultats - informe'!$Y$18:$AG$42,'Introducció dades consum'!K8800+1,0)</f>
        <v>0</v>
      </c>
      <c r="O8800" s="370" cm="1">
        <f t="array" ref="O8800">+_xlfn.SWITCH(MONTH(C8800),1,1,2,1,3,1,4,2,5,2,6,3,7,3,8,3,9,3,10,2,11,2,12,1,2)</f>
        <v>1</v>
      </c>
      <c r="P8800" s="43"/>
    </row>
    <row r="8801" spans="1:16" ht="18" x14ac:dyDescent="0.35">
      <c r="A8801" s="43"/>
      <c r="C8801" s="393"/>
      <c r="E8801" s="394"/>
      <c r="F8801" s="394"/>
      <c r="G8801" s="394"/>
      <c r="I8801" s="368">
        <f t="shared" si="417"/>
        <v>0</v>
      </c>
      <c r="J8801" s="365">
        <f t="shared" si="418"/>
        <v>0</v>
      </c>
      <c r="K8801" s="369">
        <f t="shared" si="419"/>
        <v>6</v>
      </c>
      <c r="L8801" s="369">
        <f>+IF((C8801&gt;='Resultats - informe'!$E$16)*(C8801&lt;='Resultats - informe'!$G$16),1,0)</f>
        <v>1</v>
      </c>
      <c r="M8801" s="369" cm="1">
        <f t="array" ref="M8801">+_xlfn.IFS((C8801&gt;='Resultats - informe'!$D$26)*(C8801&lt;='Resultats - informe'!$E$26),0,(C8801&gt;='Resultats - informe'!$D$27)*(C8801&lt;='Resultats - informe'!$E$27),0,(C8801&gt;='Resultats - informe'!$D$28)*(C8801&lt;='Resultats - informe'!$E$28),0,(C8801&gt;='Resultats - informe'!$D$29)*(C8801&lt;='Resultats - informe'!$E$29),0,1,1)</f>
        <v>0</v>
      </c>
      <c r="N8801" s="366">
        <f>+VLOOKUP(D8801,'Resultats - informe'!$Y$18:$AG$42,'Introducció dades consum'!K8801+1,0)</f>
        <v>0</v>
      </c>
      <c r="O8801" s="370" cm="1">
        <f t="array" ref="O8801">+_xlfn.SWITCH(MONTH(C8801),1,1,2,1,3,1,4,2,5,2,6,3,7,3,8,3,9,3,10,2,11,2,12,1,2)</f>
        <v>1</v>
      </c>
      <c r="P8801" s="43"/>
    </row>
    <row r="8802" spans="1:16" ht="18" x14ac:dyDescent="0.35">
      <c r="A8802" s="43"/>
      <c r="C8802" s="393"/>
      <c r="E8802" s="394"/>
      <c r="F8802" s="394"/>
      <c r="G8802" s="394"/>
      <c r="I8802" s="368">
        <f t="shared" si="417"/>
        <v>0</v>
      </c>
      <c r="J8802" s="365">
        <f t="shared" si="418"/>
        <v>0</v>
      </c>
      <c r="K8802" s="369">
        <f t="shared" si="419"/>
        <v>6</v>
      </c>
      <c r="L8802" s="369">
        <f>+IF((C8802&gt;='Resultats - informe'!$E$16)*(C8802&lt;='Resultats - informe'!$G$16),1,0)</f>
        <v>1</v>
      </c>
      <c r="M8802" s="369" cm="1">
        <f t="array" ref="M8802">+_xlfn.IFS((C8802&gt;='Resultats - informe'!$D$26)*(C8802&lt;='Resultats - informe'!$E$26),0,(C8802&gt;='Resultats - informe'!$D$27)*(C8802&lt;='Resultats - informe'!$E$27),0,(C8802&gt;='Resultats - informe'!$D$28)*(C8802&lt;='Resultats - informe'!$E$28),0,(C8802&gt;='Resultats - informe'!$D$29)*(C8802&lt;='Resultats - informe'!$E$29),0,1,1)</f>
        <v>0</v>
      </c>
      <c r="N8802" s="366">
        <f>+VLOOKUP(D8802,'Resultats - informe'!$Y$18:$AG$42,'Introducció dades consum'!K8802+1,0)</f>
        <v>0</v>
      </c>
      <c r="O8802" s="370" cm="1">
        <f t="array" ref="O8802">+_xlfn.SWITCH(MONTH(C8802),1,1,2,1,3,1,4,2,5,2,6,3,7,3,8,3,9,3,10,2,11,2,12,1,2)</f>
        <v>1</v>
      </c>
      <c r="P8802" s="43"/>
    </row>
    <row r="8803" spans="1:16" ht="18" x14ac:dyDescent="0.35">
      <c r="A8803" s="43"/>
      <c r="C8803" s="393"/>
      <c r="E8803" s="394"/>
      <c r="F8803" s="394"/>
      <c r="G8803" s="394"/>
      <c r="I8803" s="368">
        <f t="shared" si="417"/>
        <v>0</v>
      </c>
      <c r="J8803" s="365">
        <f t="shared" si="418"/>
        <v>0</v>
      </c>
      <c r="K8803" s="369">
        <f t="shared" si="419"/>
        <v>6</v>
      </c>
      <c r="L8803" s="369">
        <f>+IF((C8803&gt;='Resultats - informe'!$E$16)*(C8803&lt;='Resultats - informe'!$G$16),1,0)</f>
        <v>1</v>
      </c>
      <c r="M8803" s="369" cm="1">
        <f t="array" ref="M8803">+_xlfn.IFS((C8803&gt;='Resultats - informe'!$D$26)*(C8803&lt;='Resultats - informe'!$E$26),0,(C8803&gt;='Resultats - informe'!$D$27)*(C8803&lt;='Resultats - informe'!$E$27),0,(C8803&gt;='Resultats - informe'!$D$28)*(C8803&lt;='Resultats - informe'!$E$28),0,(C8803&gt;='Resultats - informe'!$D$29)*(C8803&lt;='Resultats - informe'!$E$29),0,1,1)</f>
        <v>0</v>
      </c>
      <c r="N8803" s="366">
        <f>+VLOOKUP(D8803,'Resultats - informe'!$Y$18:$AG$42,'Introducció dades consum'!K8803+1,0)</f>
        <v>0</v>
      </c>
      <c r="O8803" s="370" cm="1">
        <f t="array" ref="O8803">+_xlfn.SWITCH(MONTH(C8803),1,1,2,1,3,1,4,2,5,2,6,3,7,3,8,3,9,3,10,2,11,2,12,1,2)</f>
        <v>1</v>
      </c>
      <c r="P8803" s="43"/>
    </row>
    <row r="8804" spans="1:16" ht="18" x14ac:dyDescent="0.35">
      <c r="A8804" s="43"/>
      <c r="C8804" s="393"/>
      <c r="E8804" s="394"/>
      <c r="F8804" s="394"/>
      <c r="G8804" s="394"/>
      <c r="I8804" s="368">
        <f t="shared" si="417"/>
        <v>0</v>
      </c>
      <c r="J8804" s="365">
        <f t="shared" si="418"/>
        <v>0</v>
      </c>
      <c r="K8804" s="369">
        <f t="shared" si="419"/>
        <v>6</v>
      </c>
      <c r="L8804" s="369">
        <f>+IF((C8804&gt;='Resultats - informe'!$E$16)*(C8804&lt;='Resultats - informe'!$G$16),1,0)</f>
        <v>1</v>
      </c>
      <c r="M8804" s="369" cm="1">
        <f t="array" ref="M8804">+_xlfn.IFS((C8804&gt;='Resultats - informe'!$D$26)*(C8804&lt;='Resultats - informe'!$E$26),0,(C8804&gt;='Resultats - informe'!$D$27)*(C8804&lt;='Resultats - informe'!$E$27),0,(C8804&gt;='Resultats - informe'!$D$28)*(C8804&lt;='Resultats - informe'!$E$28),0,(C8804&gt;='Resultats - informe'!$D$29)*(C8804&lt;='Resultats - informe'!$E$29),0,1,1)</f>
        <v>0</v>
      </c>
      <c r="N8804" s="366">
        <f>+VLOOKUP(D8804,'Resultats - informe'!$Y$18:$AG$42,'Introducció dades consum'!K8804+1,0)</f>
        <v>0</v>
      </c>
      <c r="O8804" s="370" cm="1">
        <f t="array" ref="O8804">+_xlfn.SWITCH(MONTH(C8804),1,1,2,1,3,1,4,2,5,2,6,3,7,3,8,3,9,3,10,2,11,2,12,1,2)</f>
        <v>1</v>
      </c>
      <c r="P8804" s="43"/>
    </row>
    <row r="8805" spans="1:16" ht="18" x14ac:dyDescent="0.35">
      <c r="A8805" s="43"/>
      <c r="C8805" s="393"/>
      <c r="E8805" s="394"/>
      <c r="F8805" s="394"/>
      <c r="G8805" s="394"/>
      <c r="I8805" s="368">
        <f t="shared" si="417"/>
        <v>0</v>
      </c>
      <c r="J8805" s="365">
        <f t="shared" si="418"/>
        <v>0</v>
      </c>
      <c r="K8805" s="369">
        <f t="shared" si="419"/>
        <v>6</v>
      </c>
      <c r="L8805" s="369">
        <f>+IF((C8805&gt;='Resultats - informe'!$E$16)*(C8805&lt;='Resultats - informe'!$G$16),1,0)</f>
        <v>1</v>
      </c>
      <c r="M8805" s="369" cm="1">
        <f t="array" ref="M8805">+_xlfn.IFS((C8805&gt;='Resultats - informe'!$D$26)*(C8805&lt;='Resultats - informe'!$E$26),0,(C8805&gt;='Resultats - informe'!$D$27)*(C8805&lt;='Resultats - informe'!$E$27),0,(C8805&gt;='Resultats - informe'!$D$28)*(C8805&lt;='Resultats - informe'!$E$28),0,(C8805&gt;='Resultats - informe'!$D$29)*(C8805&lt;='Resultats - informe'!$E$29),0,1,1)</f>
        <v>0</v>
      </c>
      <c r="N8805" s="366">
        <f>+VLOOKUP(D8805,'Resultats - informe'!$Y$18:$AG$42,'Introducció dades consum'!K8805+1,0)</f>
        <v>0</v>
      </c>
      <c r="O8805" s="370" cm="1">
        <f t="array" ref="O8805">+_xlfn.SWITCH(MONTH(C8805),1,1,2,1,3,1,4,2,5,2,6,3,7,3,8,3,9,3,10,2,11,2,12,1,2)</f>
        <v>1</v>
      </c>
      <c r="P8805" s="43"/>
    </row>
    <row r="8806" spans="1:16" ht="18" x14ac:dyDescent="0.35">
      <c r="A8806" s="43"/>
      <c r="C8806" s="393"/>
      <c r="E8806" s="394"/>
      <c r="F8806" s="394"/>
      <c r="G8806" s="394"/>
      <c r="I8806" s="368">
        <f t="shared" si="417"/>
        <v>0</v>
      </c>
      <c r="J8806" s="365">
        <f t="shared" si="418"/>
        <v>0</v>
      </c>
      <c r="K8806" s="369">
        <f t="shared" si="419"/>
        <v>6</v>
      </c>
      <c r="L8806" s="369">
        <f>+IF((C8806&gt;='Resultats - informe'!$E$16)*(C8806&lt;='Resultats - informe'!$G$16),1,0)</f>
        <v>1</v>
      </c>
      <c r="M8806" s="369" cm="1">
        <f t="array" ref="M8806">+_xlfn.IFS((C8806&gt;='Resultats - informe'!$D$26)*(C8806&lt;='Resultats - informe'!$E$26),0,(C8806&gt;='Resultats - informe'!$D$27)*(C8806&lt;='Resultats - informe'!$E$27),0,(C8806&gt;='Resultats - informe'!$D$28)*(C8806&lt;='Resultats - informe'!$E$28),0,(C8806&gt;='Resultats - informe'!$D$29)*(C8806&lt;='Resultats - informe'!$E$29),0,1,1)</f>
        <v>0</v>
      </c>
      <c r="N8806" s="366">
        <f>+VLOOKUP(D8806,'Resultats - informe'!$Y$18:$AG$42,'Introducció dades consum'!K8806+1,0)</f>
        <v>0</v>
      </c>
      <c r="O8806" s="370" cm="1">
        <f t="array" ref="O8806">+_xlfn.SWITCH(MONTH(C8806),1,1,2,1,3,1,4,2,5,2,6,3,7,3,8,3,9,3,10,2,11,2,12,1,2)</f>
        <v>1</v>
      </c>
      <c r="P8806" s="43"/>
    </row>
    <row r="8807" spans="1:16" ht="18" x14ac:dyDescent="0.35">
      <c r="A8807" s="43"/>
      <c r="C8807" s="393"/>
      <c r="E8807" s="394"/>
      <c r="F8807" s="394"/>
      <c r="G8807" s="394"/>
      <c r="I8807" s="368">
        <f t="shared" si="417"/>
        <v>0</v>
      </c>
      <c r="J8807" s="365">
        <f t="shared" si="418"/>
        <v>0</v>
      </c>
      <c r="K8807" s="369">
        <f t="shared" si="419"/>
        <v>6</v>
      </c>
      <c r="L8807" s="369">
        <f>+IF((C8807&gt;='Resultats - informe'!$E$16)*(C8807&lt;='Resultats - informe'!$G$16),1,0)</f>
        <v>1</v>
      </c>
      <c r="M8807" s="369" cm="1">
        <f t="array" ref="M8807">+_xlfn.IFS((C8807&gt;='Resultats - informe'!$D$26)*(C8807&lt;='Resultats - informe'!$E$26),0,(C8807&gt;='Resultats - informe'!$D$27)*(C8807&lt;='Resultats - informe'!$E$27),0,(C8807&gt;='Resultats - informe'!$D$28)*(C8807&lt;='Resultats - informe'!$E$28),0,(C8807&gt;='Resultats - informe'!$D$29)*(C8807&lt;='Resultats - informe'!$E$29),0,1,1)</f>
        <v>0</v>
      </c>
      <c r="N8807" s="366">
        <f>+VLOOKUP(D8807,'Resultats - informe'!$Y$18:$AG$42,'Introducció dades consum'!K8807+1,0)</f>
        <v>0</v>
      </c>
      <c r="O8807" s="370" cm="1">
        <f t="array" ref="O8807">+_xlfn.SWITCH(MONTH(C8807),1,1,2,1,3,1,4,2,5,2,6,3,7,3,8,3,9,3,10,2,11,2,12,1,2)</f>
        <v>1</v>
      </c>
      <c r="P8807" s="43"/>
    </row>
    <row r="8808" spans="1:16" ht="18" x14ac:dyDescent="0.35">
      <c r="A8808" s="43"/>
      <c r="C8808" s="393"/>
      <c r="E8808" s="394"/>
      <c r="F8808" s="394"/>
      <c r="G8808" s="394"/>
      <c r="I8808" s="368">
        <f t="shared" si="417"/>
        <v>0</v>
      </c>
      <c r="J8808" s="365">
        <f t="shared" si="418"/>
        <v>0</v>
      </c>
      <c r="K8808" s="369">
        <f t="shared" si="419"/>
        <v>6</v>
      </c>
      <c r="L8808" s="369">
        <f>+IF((C8808&gt;='Resultats - informe'!$E$16)*(C8808&lt;='Resultats - informe'!$G$16),1,0)</f>
        <v>1</v>
      </c>
      <c r="M8808" s="369" cm="1">
        <f t="array" ref="M8808">+_xlfn.IFS((C8808&gt;='Resultats - informe'!$D$26)*(C8808&lt;='Resultats - informe'!$E$26),0,(C8808&gt;='Resultats - informe'!$D$27)*(C8808&lt;='Resultats - informe'!$E$27),0,(C8808&gt;='Resultats - informe'!$D$28)*(C8808&lt;='Resultats - informe'!$E$28),0,(C8808&gt;='Resultats - informe'!$D$29)*(C8808&lt;='Resultats - informe'!$E$29),0,1,1)</f>
        <v>0</v>
      </c>
      <c r="N8808" s="366">
        <f>+VLOOKUP(D8808,'Resultats - informe'!$Y$18:$AG$42,'Introducció dades consum'!K8808+1,0)</f>
        <v>0</v>
      </c>
      <c r="O8808" s="370" cm="1">
        <f t="array" ref="O8808">+_xlfn.SWITCH(MONTH(C8808),1,1,2,1,3,1,4,2,5,2,6,3,7,3,8,3,9,3,10,2,11,2,12,1,2)</f>
        <v>1</v>
      </c>
      <c r="P8808" s="43"/>
    </row>
    <row r="8809" spans="1:16" ht="18" x14ac:dyDescent="0.35">
      <c r="A8809" s="43"/>
      <c r="C8809" s="393"/>
      <c r="E8809" s="394"/>
      <c r="F8809" s="394"/>
      <c r="G8809" s="394"/>
      <c r="I8809" s="368">
        <f t="shared" si="417"/>
        <v>0</v>
      </c>
      <c r="J8809" s="365">
        <f t="shared" si="418"/>
        <v>0</v>
      </c>
      <c r="K8809" s="369">
        <f t="shared" si="419"/>
        <v>6</v>
      </c>
      <c r="L8809" s="369">
        <f>+IF((C8809&gt;='Resultats - informe'!$E$16)*(C8809&lt;='Resultats - informe'!$G$16),1,0)</f>
        <v>1</v>
      </c>
      <c r="M8809" s="369" cm="1">
        <f t="array" ref="M8809">+_xlfn.IFS((C8809&gt;='Resultats - informe'!$D$26)*(C8809&lt;='Resultats - informe'!$E$26),0,(C8809&gt;='Resultats - informe'!$D$27)*(C8809&lt;='Resultats - informe'!$E$27),0,(C8809&gt;='Resultats - informe'!$D$28)*(C8809&lt;='Resultats - informe'!$E$28),0,(C8809&gt;='Resultats - informe'!$D$29)*(C8809&lt;='Resultats - informe'!$E$29),0,1,1)</f>
        <v>0</v>
      </c>
      <c r="N8809" s="366">
        <f>+VLOOKUP(D8809,'Resultats - informe'!$Y$18:$AG$42,'Introducció dades consum'!K8809+1,0)</f>
        <v>0</v>
      </c>
      <c r="O8809" s="370" cm="1">
        <f t="array" ref="O8809">+_xlfn.SWITCH(MONTH(C8809),1,1,2,1,3,1,4,2,5,2,6,3,7,3,8,3,9,3,10,2,11,2,12,1,2)</f>
        <v>1</v>
      </c>
      <c r="P8809" s="43"/>
    </row>
    <row r="8810" spans="1:16" ht="18" x14ac:dyDescent="0.35">
      <c r="A8810" s="43"/>
      <c r="C8810" s="393"/>
      <c r="E8810" s="394"/>
      <c r="F8810" s="394"/>
      <c r="G8810" s="394"/>
      <c r="I8810" s="368">
        <f t="shared" si="417"/>
        <v>0</v>
      </c>
      <c r="J8810" s="365">
        <f t="shared" si="418"/>
        <v>0</v>
      </c>
      <c r="K8810" s="369">
        <f t="shared" si="419"/>
        <v>6</v>
      </c>
      <c r="L8810" s="369">
        <f>+IF((C8810&gt;='Resultats - informe'!$E$16)*(C8810&lt;='Resultats - informe'!$G$16),1,0)</f>
        <v>1</v>
      </c>
      <c r="M8810" s="369" cm="1">
        <f t="array" ref="M8810">+_xlfn.IFS((C8810&gt;='Resultats - informe'!$D$26)*(C8810&lt;='Resultats - informe'!$E$26),0,(C8810&gt;='Resultats - informe'!$D$27)*(C8810&lt;='Resultats - informe'!$E$27),0,(C8810&gt;='Resultats - informe'!$D$28)*(C8810&lt;='Resultats - informe'!$E$28),0,(C8810&gt;='Resultats - informe'!$D$29)*(C8810&lt;='Resultats - informe'!$E$29),0,1,1)</f>
        <v>0</v>
      </c>
      <c r="N8810" s="366">
        <f>+VLOOKUP(D8810,'Resultats - informe'!$Y$18:$AG$42,'Introducció dades consum'!K8810+1,0)</f>
        <v>0</v>
      </c>
      <c r="O8810" s="370" cm="1">
        <f t="array" ref="O8810">+_xlfn.SWITCH(MONTH(C8810),1,1,2,1,3,1,4,2,5,2,6,3,7,3,8,3,9,3,10,2,11,2,12,1,2)</f>
        <v>1</v>
      </c>
      <c r="P8810" s="43"/>
    </row>
    <row r="8811" spans="1:16" ht="18" x14ac:dyDescent="0.35">
      <c r="A8811" s="43"/>
      <c r="C8811" s="393"/>
      <c r="E8811" s="394"/>
      <c r="F8811" s="394"/>
      <c r="G8811" s="394"/>
      <c r="I8811" s="368">
        <f t="shared" si="417"/>
        <v>0</v>
      </c>
      <c r="J8811" s="365">
        <f t="shared" si="418"/>
        <v>0</v>
      </c>
      <c r="K8811" s="369">
        <f t="shared" si="419"/>
        <v>6</v>
      </c>
      <c r="L8811" s="369">
        <f>+IF((C8811&gt;='Resultats - informe'!$E$16)*(C8811&lt;='Resultats - informe'!$G$16),1,0)</f>
        <v>1</v>
      </c>
      <c r="M8811" s="369" cm="1">
        <f t="array" ref="M8811">+_xlfn.IFS((C8811&gt;='Resultats - informe'!$D$26)*(C8811&lt;='Resultats - informe'!$E$26),0,(C8811&gt;='Resultats - informe'!$D$27)*(C8811&lt;='Resultats - informe'!$E$27),0,(C8811&gt;='Resultats - informe'!$D$28)*(C8811&lt;='Resultats - informe'!$E$28),0,(C8811&gt;='Resultats - informe'!$D$29)*(C8811&lt;='Resultats - informe'!$E$29),0,1,1)</f>
        <v>0</v>
      </c>
      <c r="N8811" s="366">
        <f>+VLOOKUP(D8811,'Resultats - informe'!$Y$18:$AG$42,'Introducció dades consum'!K8811+1,0)</f>
        <v>0</v>
      </c>
      <c r="O8811" s="370" cm="1">
        <f t="array" ref="O8811">+_xlfn.SWITCH(MONTH(C8811),1,1,2,1,3,1,4,2,5,2,6,3,7,3,8,3,9,3,10,2,11,2,12,1,2)</f>
        <v>1</v>
      </c>
      <c r="P8811" s="43"/>
    </row>
    <row r="8812" spans="1:16" ht="18" x14ac:dyDescent="0.35">
      <c r="A8812" s="43"/>
      <c r="C8812" s="393"/>
      <c r="E8812" s="394"/>
      <c r="F8812" s="394"/>
      <c r="G8812" s="394"/>
      <c r="I8812" s="368">
        <f t="shared" si="417"/>
        <v>0</v>
      </c>
      <c r="J8812" s="365">
        <f t="shared" si="418"/>
        <v>0</v>
      </c>
      <c r="K8812" s="369">
        <f t="shared" si="419"/>
        <v>6</v>
      </c>
      <c r="L8812" s="369">
        <f>+IF((C8812&gt;='Resultats - informe'!$E$16)*(C8812&lt;='Resultats - informe'!$G$16),1,0)</f>
        <v>1</v>
      </c>
      <c r="M8812" s="369" cm="1">
        <f t="array" ref="M8812">+_xlfn.IFS((C8812&gt;='Resultats - informe'!$D$26)*(C8812&lt;='Resultats - informe'!$E$26),0,(C8812&gt;='Resultats - informe'!$D$27)*(C8812&lt;='Resultats - informe'!$E$27),0,(C8812&gt;='Resultats - informe'!$D$28)*(C8812&lt;='Resultats - informe'!$E$28),0,(C8812&gt;='Resultats - informe'!$D$29)*(C8812&lt;='Resultats - informe'!$E$29),0,1,1)</f>
        <v>0</v>
      </c>
      <c r="N8812" s="366">
        <f>+VLOOKUP(D8812,'Resultats - informe'!$Y$18:$AG$42,'Introducció dades consum'!K8812+1,0)</f>
        <v>0</v>
      </c>
      <c r="O8812" s="370" cm="1">
        <f t="array" ref="O8812">+_xlfn.SWITCH(MONTH(C8812),1,1,2,1,3,1,4,2,5,2,6,3,7,3,8,3,9,3,10,2,11,2,12,1,2)</f>
        <v>1</v>
      </c>
      <c r="P8812" s="43"/>
    </row>
    <row r="8813" spans="1:16" ht="18" x14ac:dyDescent="0.35">
      <c r="A8813" s="43"/>
      <c r="C8813" s="393"/>
      <c r="E8813" s="394"/>
      <c r="F8813" s="394"/>
      <c r="G8813" s="394"/>
      <c r="I8813" s="368">
        <f t="shared" si="417"/>
        <v>0</v>
      </c>
      <c r="J8813" s="365">
        <f t="shared" si="418"/>
        <v>0</v>
      </c>
      <c r="K8813" s="369">
        <f t="shared" si="419"/>
        <v>6</v>
      </c>
      <c r="L8813" s="369">
        <f>+IF((C8813&gt;='Resultats - informe'!$E$16)*(C8813&lt;='Resultats - informe'!$G$16),1,0)</f>
        <v>1</v>
      </c>
      <c r="M8813" s="369" cm="1">
        <f t="array" ref="M8813">+_xlfn.IFS((C8813&gt;='Resultats - informe'!$D$26)*(C8813&lt;='Resultats - informe'!$E$26),0,(C8813&gt;='Resultats - informe'!$D$27)*(C8813&lt;='Resultats - informe'!$E$27),0,(C8813&gt;='Resultats - informe'!$D$28)*(C8813&lt;='Resultats - informe'!$E$28),0,(C8813&gt;='Resultats - informe'!$D$29)*(C8813&lt;='Resultats - informe'!$E$29),0,1,1)</f>
        <v>0</v>
      </c>
      <c r="N8813" s="366">
        <f>+VLOOKUP(D8813,'Resultats - informe'!$Y$18:$AG$42,'Introducció dades consum'!K8813+1,0)</f>
        <v>0</v>
      </c>
      <c r="O8813" s="370" cm="1">
        <f t="array" ref="O8813">+_xlfn.SWITCH(MONTH(C8813),1,1,2,1,3,1,4,2,5,2,6,3,7,3,8,3,9,3,10,2,11,2,12,1,2)</f>
        <v>1</v>
      </c>
      <c r="P8813" s="43"/>
    </row>
    <row r="8814" spans="1:16" ht="18" x14ac:dyDescent="0.35">
      <c r="A8814" s="43"/>
      <c r="C8814" s="393"/>
      <c r="E8814" s="394"/>
      <c r="F8814" s="394"/>
      <c r="G8814" s="394"/>
      <c r="I8814" s="368">
        <f t="shared" si="417"/>
        <v>0</v>
      </c>
      <c r="J8814" s="365">
        <f t="shared" si="418"/>
        <v>0</v>
      </c>
      <c r="K8814" s="369">
        <f t="shared" si="419"/>
        <v>6</v>
      </c>
      <c r="L8814" s="369">
        <f>+IF((C8814&gt;='Resultats - informe'!$E$16)*(C8814&lt;='Resultats - informe'!$G$16),1,0)</f>
        <v>1</v>
      </c>
      <c r="M8814" s="369" cm="1">
        <f t="array" ref="M8814">+_xlfn.IFS((C8814&gt;='Resultats - informe'!$D$26)*(C8814&lt;='Resultats - informe'!$E$26),0,(C8814&gt;='Resultats - informe'!$D$27)*(C8814&lt;='Resultats - informe'!$E$27),0,(C8814&gt;='Resultats - informe'!$D$28)*(C8814&lt;='Resultats - informe'!$E$28),0,(C8814&gt;='Resultats - informe'!$D$29)*(C8814&lt;='Resultats - informe'!$E$29),0,1,1)</f>
        <v>0</v>
      </c>
      <c r="N8814" s="366">
        <f>+VLOOKUP(D8814,'Resultats - informe'!$Y$18:$AG$42,'Introducció dades consum'!K8814+1,0)</f>
        <v>0</v>
      </c>
      <c r="O8814" s="370" cm="1">
        <f t="array" ref="O8814">+_xlfn.SWITCH(MONTH(C8814),1,1,2,1,3,1,4,2,5,2,6,3,7,3,8,3,9,3,10,2,11,2,12,1,2)</f>
        <v>1</v>
      </c>
      <c r="P8814" s="43"/>
    </row>
    <row r="8815" spans="1:16" ht="18" x14ac:dyDescent="0.35">
      <c r="A8815" s="43"/>
      <c r="C8815" s="393"/>
      <c r="E8815" s="394"/>
      <c r="F8815" s="394"/>
      <c r="G8815" s="394"/>
      <c r="I8815" s="368">
        <f t="shared" si="417"/>
        <v>0</v>
      </c>
      <c r="J8815" s="365">
        <f t="shared" si="418"/>
        <v>0</v>
      </c>
      <c r="K8815" s="369">
        <f t="shared" si="419"/>
        <v>6</v>
      </c>
      <c r="L8815" s="369">
        <f>+IF((C8815&gt;='Resultats - informe'!$E$16)*(C8815&lt;='Resultats - informe'!$G$16),1,0)</f>
        <v>1</v>
      </c>
      <c r="M8815" s="369" cm="1">
        <f t="array" ref="M8815">+_xlfn.IFS((C8815&gt;='Resultats - informe'!$D$26)*(C8815&lt;='Resultats - informe'!$E$26),0,(C8815&gt;='Resultats - informe'!$D$27)*(C8815&lt;='Resultats - informe'!$E$27),0,(C8815&gt;='Resultats - informe'!$D$28)*(C8815&lt;='Resultats - informe'!$E$28),0,(C8815&gt;='Resultats - informe'!$D$29)*(C8815&lt;='Resultats - informe'!$E$29),0,1,1)</f>
        <v>0</v>
      </c>
      <c r="N8815" s="366">
        <f>+VLOOKUP(D8815,'Resultats - informe'!$Y$18:$AG$42,'Introducció dades consum'!K8815+1,0)</f>
        <v>0</v>
      </c>
      <c r="O8815" s="370" cm="1">
        <f t="array" ref="O8815">+_xlfn.SWITCH(MONTH(C8815),1,1,2,1,3,1,4,2,5,2,6,3,7,3,8,3,9,3,10,2,11,2,12,1,2)</f>
        <v>1</v>
      </c>
      <c r="P8815" s="43"/>
    </row>
    <row r="8816" spans="1:16" ht="18" x14ac:dyDescent="0.35">
      <c r="A8816" s="43"/>
      <c r="C8816" s="393"/>
      <c r="E8816" s="394"/>
      <c r="F8816" s="394"/>
      <c r="G8816" s="394"/>
      <c r="I8816" s="368">
        <f t="shared" si="417"/>
        <v>0</v>
      </c>
      <c r="J8816" s="365">
        <f t="shared" si="418"/>
        <v>0</v>
      </c>
      <c r="K8816" s="369">
        <f t="shared" si="419"/>
        <v>6</v>
      </c>
      <c r="L8816" s="369">
        <f>+IF((C8816&gt;='Resultats - informe'!$E$16)*(C8816&lt;='Resultats - informe'!$G$16),1,0)</f>
        <v>1</v>
      </c>
      <c r="M8816" s="369" cm="1">
        <f t="array" ref="M8816">+_xlfn.IFS((C8816&gt;='Resultats - informe'!$D$26)*(C8816&lt;='Resultats - informe'!$E$26),0,(C8816&gt;='Resultats - informe'!$D$27)*(C8816&lt;='Resultats - informe'!$E$27),0,(C8816&gt;='Resultats - informe'!$D$28)*(C8816&lt;='Resultats - informe'!$E$28),0,(C8816&gt;='Resultats - informe'!$D$29)*(C8816&lt;='Resultats - informe'!$E$29),0,1,1)</f>
        <v>0</v>
      </c>
      <c r="N8816" s="366">
        <f>+VLOOKUP(D8816,'Resultats - informe'!$Y$18:$AG$42,'Introducció dades consum'!K8816+1,0)</f>
        <v>0</v>
      </c>
      <c r="O8816" s="370" cm="1">
        <f t="array" ref="O8816">+_xlfn.SWITCH(MONTH(C8816),1,1,2,1,3,1,4,2,5,2,6,3,7,3,8,3,9,3,10,2,11,2,12,1,2)</f>
        <v>1</v>
      </c>
      <c r="P8816" s="43"/>
    </row>
    <row r="8817" spans="1:16" ht="18" x14ac:dyDescent="0.35">
      <c r="A8817" s="43"/>
      <c r="C8817" s="393"/>
      <c r="E8817" s="394"/>
      <c r="F8817" s="394"/>
      <c r="G8817" s="394"/>
      <c r="I8817" s="368">
        <f t="shared" si="417"/>
        <v>0</v>
      </c>
      <c r="J8817" s="365">
        <f t="shared" si="418"/>
        <v>0</v>
      </c>
      <c r="K8817" s="369">
        <f t="shared" si="419"/>
        <v>6</v>
      </c>
      <c r="L8817" s="369">
        <f>+IF((C8817&gt;='Resultats - informe'!$E$16)*(C8817&lt;='Resultats - informe'!$G$16),1,0)</f>
        <v>1</v>
      </c>
      <c r="M8817" s="369" cm="1">
        <f t="array" ref="M8817">+_xlfn.IFS((C8817&gt;='Resultats - informe'!$D$26)*(C8817&lt;='Resultats - informe'!$E$26),0,(C8817&gt;='Resultats - informe'!$D$27)*(C8817&lt;='Resultats - informe'!$E$27),0,(C8817&gt;='Resultats - informe'!$D$28)*(C8817&lt;='Resultats - informe'!$E$28),0,(C8817&gt;='Resultats - informe'!$D$29)*(C8817&lt;='Resultats - informe'!$E$29),0,1,1)</f>
        <v>0</v>
      </c>
      <c r="N8817" s="366">
        <f>+VLOOKUP(D8817,'Resultats - informe'!$Y$18:$AG$42,'Introducció dades consum'!K8817+1,0)</f>
        <v>0</v>
      </c>
      <c r="O8817" s="370" cm="1">
        <f t="array" ref="O8817">+_xlfn.SWITCH(MONTH(C8817),1,1,2,1,3,1,4,2,5,2,6,3,7,3,8,3,9,3,10,2,11,2,12,1,2)</f>
        <v>1</v>
      </c>
      <c r="P8817" s="43"/>
    </row>
    <row r="8818" spans="1:16" ht="18" x14ac:dyDescent="0.35">
      <c r="A8818" s="43"/>
      <c r="C8818" s="393"/>
      <c r="E8818" s="394"/>
      <c r="F8818" s="394"/>
      <c r="G8818" s="394"/>
      <c r="I8818" s="368">
        <f t="shared" si="417"/>
        <v>0</v>
      </c>
      <c r="J8818" s="365">
        <f t="shared" si="418"/>
        <v>0</v>
      </c>
      <c r="K8818" s="369">
        <f t="shared" si="419"/>
        <v>6</v>
      </c>
      <c r="L8818" s="369">
        <f>+IF((C8818&gt;='Resultats - informe'!$E$16)*(C8818&lt;='Resultats - informe'!$G$16),1,0)</f>
        <v>1</v>
      </c>
      <c r="M8818" s="369" cm="1">
        <f t="array" ref="M8818">+_xlfn.IFS((C8818&gt;='Resultats - informe'!$D$26)*(C8818&lt;='Resultats - informe'!$E$26),0,(C8818&gt;='Resultats - informe'!$D$27)*(C8818&lt;='Resultats - informe'!$E$27),0,(C8818&gt;='Resultats - informe'!$D$28)*(C8818&lt;='Resultats - informe'!$E$28),0,(C8818&gt;='Resultats - informe'!$D$29)*(C8818&lt;='Resultats - informe'!$E$29),0,1,1)</f>
        <v>0</v>
      </c>
      <c r="N8818" s="366">
        <f>+VLOOKUP(D8818,'Resultats - informe'!$Y$18:$AG$42,'Introducció dades consum'!K8818+1,0)</f>
        <v>0</v>
      </c>
      <c r="O8818" s="370" cm="1">
        <f t="array" ref="O8818">+_xlfn.SWITCH(MONTH(C8818),1,1,2,1,3,1,4,2,5,2,6,3,7,3,8,3,9,3,10,2,11,2,12,1,2)</f>
        <v>1</v>
      </c>
      <c r="P8818" s="43"/>
    </row>
    <row r="8819" spans="1:16" ht="18" x14ac:dyDescent="0.35">
      <c r="A8819" s="43"/>
      <c r="C8819" s="393"/>
      <c r="E8819" s="394"/>
      <c r="F8819" s="394"/>
      <c r="G8819" s="394"/>
      <c r="I8819" s="368">
        <f t="shared" si="417"/>
        <v>0</v>
      </c>
      <c r="J8819" s="365">
        <f t="shared" si="418"/>
        <v>0</v>
      </c>
      <c r="K8819" s="369">
        <f t="shared" si="419"/>
        <v>6</v>
      </c>
      <c r="L8819" s="369">
        <f>+IF((C8819&gt;='Resultats - informe'!$E$16)*(C8819&lt;='Resultats - informe'!$G$16),1,0)</f>
        <v>1</v>
      </c>
      <c r="M8819" s="369" cm="1">
        <f t="array" ref="M8819">+_xlfn.IFS((C8819&gt;='Resultats - informe'!$D$26)*(C8819&lt;='Resultats - informe'!$E$26),0,(C8819&gt;='Resultats - informe'!$D$27)*(C8819&lt;='Resultats - informe'!$E$27),0,(C8819&gt;='Resultats - informe'!$D$28)*(C8819&lt;='Resultats - informe'!$E$28),0,(C8819&gt;='Resultats - informe'!$D$29)*(C8819&lt;='Resultats - informe'!$E$29),0,1,1)</f>
        <v>0</v>
      </c>
      <c r="N8819" s="366">
        <f>+VLOOKUP(D8819,'Resultats - informe'!$Y$18:$AG$42,'Introducció dades consum'!K8819+1,0)</f>
        <v>0</v>
      </c>
      <c r="O8819" s="370" cm="1">
        <f t="array" ref="O8819">+_xlfn.SWITCH(MONTH(C8819),1,1,2,1,3,1,4,2,5,2,6,3,7,3,8,3,9,3,10,2,11,2,12,1,2)</f>
        <v>1</v>
      </c>
      <c r="P8819" s="43"/>
    </row>
    <row r="8820" spans="1:16" ht="18" x14ac:dyDescent="0.35">
      <c r="A8820" s="43"/>
      <c r="C8820" s="393"/>
      <c r="E8820" s="394"/>
      <c r="F8820" s="394"/>
      <c r="G8820" s="394"/>
      <c r="I8820" s="368">
        <f t="shared" si="417"/>
        <v>0</v>
      </c>
      <c r="J8820" s="365">
        <f t="shared" si="418"/>
        <v>0</v>
      </c>
      <c r="K8820" s="369">
        <f t="shared" si="419"/>
        <v>6</v>
      </c>
      <c r="L8820" s="369">
        <f>+IF((C8820&gt;='Resultats - informe'!$E$16)*(C8820&lt;='Resultats - informe'!$G$16),1,0)</f>
        <v>1</v>
      </c>
      <c r="M8820" s="369" cm="1">
        <f t="array" ref="M8820">+_xlfn.IFS((C8820&gt;='Resultats - informe'!$D$26)*(C8820&lt;='Resultats - informe'!$E$26),0,(C8820&gt;='Resultats - informe'!$D$27)*(C8820&lt;='Resultats - informe'!$E$27),0,(C8820&gt;='Resultats - informe'!$D$28)*(C8820&lt;='Resultats - informe'!$E$28),0,(C8820&gt;='Resultats - informe'!$D$29)*(C8820&lt;='Resultats - informe'!$E$29),0,1,1)</f>
        <v>0</v>
      </c>
      <c r="N8820" s="366">
        <f>+VLOOKUP(D8820,'Resultats - informe'!$Y$18:$AG$42,'Introducció dades consum'!K8820+1,0)</f>
        <v>0</v>
      </c>
      <c r="O8820" s="370" cm="1">
        <f t="array" ref="O8820">+_xlfn.SWITCH(MONTH(C8820),1,1,2,1,3,1,4,2,5,2,6,3,7,3,8,3,9,3,10,2,11,2,12,1,2)</f>
        <v>1</v>
      </c>
      <c r="P8820" s="43"/>
    </row>
    <row r="8821" spans="1:16" ht="18" x14ac:dyDescent="0.35">
      <c r="A8821" s="43"/>
      <c r="C8821" s="393"/>
      <c r="E8821" s="394"/>
      <c r="F8821" s="394"/>
      <c r="G8821" s="394"/>
      <c r="I8821" s="368">
        <f t="shared" si="417"/>
        <v>0</v>
      </c>
      <c r="J8821" s="365">
        <f t="shared" si="418"/>
        <v>0</v>
      </c>
      <c r="K8821" s="369">
        <f t="shared" si="419"/>
        <v>6</v>
      </c>
      <c r="L8821" s="369">
        <f>+IF((C8821&gt;='Resultats - informe'!$E$16)*(C8821&lt;='Resultats - informe'!$G$16),1,0)</f>
        <v>1</v>
      </c>
      <c r="M8821" s="369" cm="1">
        <f t="array" ref="M8821">+_xlfn.IFS((C8821&gt;='Resultats - informe'!$D$26)*(C8821&lt;='Resultats - informe'!$E$26),0,(C8821&gt;='Resultats - informe'!$D$27)*(C8821&lt;='Resultats - informe'!$E$27),0,(C8821&gt;='Resultats - informe'!$D$28)*(C8821&lt;='Resultats - informe'!$E$28),0,(C8821&gt;='Resultats - informe'!$D$29)*(C8821&lt;='Resultats - informe'!$E$29),0,1,1)</f>
        <v>0</v>
      </c>
      <c r="N8821" s="366">
        <f>+VLOOKUP(D8821,'Resultats - informe'!$Y$18:$AG$42,'Introducció dades consum'!K8821+1,0)</f>
        <v>0</v>
      </c>
      <c r="O8821" s="370" cm="1">
        <f t="array" ref="O8821">+_xlfn.SWITCH(MONTH(C8821),1,1,2,1,3,1,4,2,5,2,6,3,7,3,8,3,9,3,10,2,11,2,12,1,2)</f>
        <v>1</v>
      </c>
      <c r="P8821" s="43"/>
    </row>
    <row r="8822" spans="1:16" ht="18" x14ac:dyDescent="0.35">
      <c r="A8822" s="43"/>
      <c r="C8822" s="393"/>
      <c r="E8822" s="394"/>
      <c r="F8822" s="394"/>
      <c r="G8822" s="394"/>
      <c r="I8822" s="368">
        <f t="shared" si="417"/>
        <v>0</v>
      </c>
      <c r="J8822" s="365">
        <f t="shared" si="418"/>
        <v>0</v>
      </c>
      <c r="K8822" s="369">
        <f t="shared" si="419"/>
        <v>6</v>
      </c>
      <c r="L8822" s="369">
        <f>+IF((C8822&gt;='Resultats - informe'!$E$16)*(C8822&lt;='Resultats - informe'!$G$16),1,0)</f>
        <v>1</v>
      </c>
      <c r="M8822" s="369" cm="1">
        <f t="array" ref="M8822">+_xlfn.IFS((C8822&gt;='Resultats - informe'!$D$26)*(C8822&lt;='Resultats - informe'!$E$26),0,(C8822&gt;='Resultats - informe'!$D$27)*(C8822&lt;='Resultats - informe'!$E$27),0,(C8822&gt;='Resultats - informe'!$D$28)*(C8822&lt;='Resultats - informe'!$E$28),0,(C8822&gt;='Resultats - informe'!$D$29)*(C8822&lt;='Resultats - informe'!$E$29),0,1,1)</f>
        <v>0</v>
      </c>
      <c r="N8822" s="366">
        <f>+VLOOKUP(D8822,'Resultats - informe'!$Y$18:$AG$42,'Introducció dades consum'!K8822+1,0)</f>
        <v>0</v>
      </c>
      <c r="O8822" s="370" cm="1">
        <f t="array" ref="O8822">+_xlfn.SWITCH(MONTH(C8822),1,1,2,1,3,1,4,2,5,2,6,3,7,3,8,3,9,3,10,2,11,2,12,1,2)</f>
        <v>1</v>
      </c>
      <c r="P8822" s="43"/>
    </row>
    <row r="8823" spans="1:16" ht="18" x14ac:dyDescent="0.35">
      <c r="A8823" s="43"/>
      <c r="C8823" s="393"/>
      <c r="E8823" s="394"/>
      <c r="F8823" s="394"/>
      <c r="G8823" s="394"/>
      <c r="I8823" s="368">
        <f t="shared" si="417"/>
        <v>0</v>
      </c>
      <c r="J8823" s="365">
        <f t="shared" si="418"/>
        <v>0</v>
      </c>
      <c r="K8823" s="369">
        <f t="shared" si="419"/>
        <v>6</v>
      </c>
      <c r="L8823" s="369">
        <f>+IF((C8823&gt;='Resultats - informe'!$E$16)*(C8823&lt;='Resultats - informe'!$G$16),1,0)</f>
        <v>1</v>
      </c>
      <c r="M8823" s="369" cm="1">
        <f t="array" ref="M8823">+_xlfn.IFS((C8823&gt;='Resultats - informe'!$D$26)*(C8823&lt;='Resultats - informe'!$E$26),0,(C8823&gt;='Resultats - informe'!$D$27)*(C8823&lt;='Resultats - informe'!$E$27),0,(C8823&gt;='Resultats - informe'!$D$28)*(C8823&lt;='Resultats - informe'!$E$28),0,(C8823&gt;='Resultats - informe'!$D$29)*(C8823&lt;='Resultats - informe'!$E$29),0,1,1)</f>
        <v>0</v>
      </c>
      <c r="N8823" s="366">
        <f>+VLOOKUP(D8823,'Resultats - informe'!$Y$18:$AG$42,'Introducció dades consum'!K8823+1,0)</f>
        <v>0</v>
      </c>
      <c r="O8823" s="370" cm="1">
        <f t="array" ref="O8823">+_xlfn.SWITCH(MONTH(C8823),1,1,2,1,3,1,4,2,5,2,6,3,7,3,8,3,9,3,10,2,11,2,12,1,2)</f>
        <v>1</v>
      </c>
      <c r="P8823" s="43"/>
    </row>
    <row r="8824" spans="1:16" ht="18" x14ac:dyDescent="0.35">
      <c r="A8824" s="43"/>
      <c r="C8824" s="393"/>
      <c r="E8824" s="394"/>
      <c r="F8824" s="394"/>
      <c r="G8824" s="394"/>
      <c r="I8824" s="368">
        <f t="shared" si="417"/>
        <v>0</v>
      </c>
      <c r="J8824" s="365">
        <f t="shared" si="418"/>
        <v>0</v>
      </c>
      <c r="K8824" s="369">
        <f t="shared" si="419"/>
        <v>6</v>
      </c>
      <c r="L8824" s="369">
        <f>+IF((C8824&gt;='Resultats - informe'!$E$16)*(C8824&lt;='Resultats - informe'!$G$16),1,0)</f>
        <v>1</v>
      </c>
      <c r="M8824" s="369" cm="1">
        <f t="array" ref="M8824">+_xlfn.IFS((C8824&gt;='Resultats - informe'!$D$26)*(C8824&lt;='Resultats - informe'!$E$26),0,(C8824&gt;='Resultats - informe'!$D$27)*(C8824&lt;='Resultats - informe'!$E$27),0,(C8824&gt;='Resultats - informe'!$D$28)*(C8824&lt;='Resultats - informe'!$E$28),0,(C8824&gt;='Resultats - informe'!$D$29)*(C8824&lt;='Resultats - informe'!$E$29),0,1,1)</f>
        <v>0</v>
      </c>
      <c r="N8824" s="366">
        <f>+VLOOKUP(D8824,'Resultats - informe'!$Y$18:$AG$42,'Introducció dades consum'!K8824+1,0)</f>
        <v>0</v>
      </c>
      <c r="O8824" s="370" cm="1">
        <f t="array" ref="O8824">+_xlfn.SWITCH(MONTH(C8824),1,1,2,1,3,1,4,2,5,2,6,3,7,3,8,3,9,3,10,2,11,2,12,1,2)</f>
        <v>1</v>
      </c>
      <c r="P8824" s="43"/>
    </row>
    <row r="8825" spans="1:16" ht="18" x14ac:dyDescent="0.35">
      <c r="A8825" s="43"/>
      <c r="C8825" s="393"/>
      <c r="E8825" s="394"/>
      <c r="F8825" s="394"/>
      <c r="G8825" s="394"/>
      <c r="I8825" s="368">
        <f t="shared" si="417"/>
        <v>0</v>
      </c>
      <c r="J8825" s="365">
        <f t="shared" si="418"/>
        <v>0</v>
      </c>
      <c r="K8825" s="369">
        <f t="shared" si="419"/>
        <v>6</v>
      </c>
      <c r="L8825" s="369">
        <f>+IF((C8825&gt;='Resultats - informe'!$E$16)*(C8825&lt;='Resultats - informe'!$G$16),1,0)</f>
        <v>1</v>
      </c>
      <c r="M8825" s="369" cm="1">
        <f t="array" ref="M8825">+_xlfn.IFS((C8825&gt;='Resultats - informe'!$D$26)*(C8825&lt;='Resultats - informe'!$E$26),0,(C8825&gt;='Resultats - informe'!$D$27)*(C8825&lt;='Resultats - informe'!$E$27),0,(C8825&gt;='Resultats - informe'!$D$28)*(C8825&lt;='Resultats - informe'!$E$28),0,(C8825&gt;='Resultats - informe'!$D$29)*(C8825&lt;='Resultats - informe'!$E$29),0,1,1)</f>
        <v>0</v>
      </c>
      <c r="N8825" s="366">
        <f>+VLOOKUP(D8825,'Resultats - informe'!$Y$18:$AG$42,'Introducció dades consum'!K8825+1,0)</f>
        <v>0</v>
      </c>
      <c r="O8825" s="370" cm="1">
        <f t="array" ref="O8825">+_xlfn.SWITCH(MONTH(C8825),1,1,2,1,3,1,4,2,5,2,6,3,7,3,8,3,9,3,10,2,11,2,12,1,2)</f>
        <v>1</v>
      </c>
      <c r="P8825" s="43"/>
    </row>
    <row r="8826" spans="1:16" ht="18" x14ac:dyDescent="0.35">
      <c r="A8826" s="43"/>
      <c r="C8826" s="393"/>
      <c r="E8826" s="394"/>
      <c r="F8826" s="394"/>
      <c r="G8826" s="394"/>
      <c r="I8826" s="368">
        <f t="shared" si="417"/>
        <v>0</v>
      </c>
      <c r="J8826" s="365">
        <f t="shared" si="418"/>
        <v>0</v>
      </c>
      <c r="K8826" s="369">
        <f t="shared" si="419"/>
        <v>6</v>
      </c>
      <c r="L8826" s="369">
        <f>+IF((C8826&gt;='Resultats - informe'!$E$16)*(C8826&lt;='Resultats - informe'!$G$16),1,0)</f>
        <v>1</v>
      </c>
      <c r="M8826" s="369" cm="1">
        <f t="array" ref="M8826">+_xlfn.IFS((C8826&gt;='Resultats - informe'!$D$26)*(C8826&lt;='Resultats - informe'!$E$26),0,(C8826&gt;='Resultats - informe'!$D$27)*(C8826&lt;='Resultats - informe'!$E$27),0,(C8826&gt;='Resultats - informe'!$D$28)*(C8826&lt;='Resultats - informe'!$E$28),0,(C8826&gt;='Resultats - informe'!$D$29)*(C8826&lt;='Resultats - informe'!$E$29),0,1,1)</f>
        <v>0</v>
      </c>
      <c r="N8826" s="366">
        <f>+VLOOKUP(D8826,'Resultats - informe'!$Y$18:$AG$42,'Introducció dades consum'!K8826+1,0)</f>
        <v>0</v>
      </c>
      <c r="O8826" s="370" cm="1">
        <f t="array" ref="O8826">+_xlfn.SWITCH(MONTH(C8826),1,1,2,1,3,1,4,2,5,2,6,3,7,3,8,3,9,3,10,2,11,2,12,1,2)</f>
        <v>1</v>
      </c>
      <c r="P8826" s="43"/>
    </row>
    <row r="8827" spans="1:16" ht="18" x14ac:dyDescent="0.35">
      <c r="A8827" s="43"/>
      <c r="C8827" s="393"/>
      <c r="E8827" s="394"/>
      <c r="F8827" s="394"/>
      <c r="G8827" s="394"/>
      <c r="I8827" s="368">
        <f t="shared" si="417"/>
        <v>0</v>
      </c>
      <c r="J8827" s="365">
        <f t="shared" si="418"/>
        <v>0</v>
      </c>
      <c r="K8827" s="369">
        <f t="shared" si="419"/>
        <v>6</v>
      </c>
      <c r="L8827" s="369">
        <f>+IF((C8827&gt;='Resultats - informe'!$E$16)*(C8827&lt;='Resultats - informe'!$G$16),1,0)</f>
        <v>1</v>
      </c>
      <c r="M8827" s="369" cm="1">
        <f t="array" ref="M8827">+_xlfn.IFS((C8827&gt;='Resultats - informe'!$D$26)*(C8827&lt;='Resultats - informe'!$E$26),0,(C8827&gt;='Resultats - informe'!$D$27)*(C8827&lt;='Resultats - informe'!$E$27),0,(C8827&gt;='Resultats - informe'!$D$28)*(C8827&lt;='Resultats - informe'!$E$28),0,(C8827&gt;='Resultats - informe'!$D$29)*(C8827&lt;='Resultats - informe'!$E$29),0,1,1)</f>
        <v>0</v>
      </c>
      <c r="N8827" s="366">
        <f>+VLOOKUP(D8827,'Resultats - informe'!$Y$18:$AG$42,'Introducció dades consum'!K8827+1,0)</f>
        <v>0</v>
      </c>
      <c r="O8827" s="370" cm="1">
        <f t="array" ref="O8827">+_xlfn.SWITCH(MONTH(C8827),1,1,2,1,3,1,4,2,5,2,6,3,7,3,8,3,9,3,10,2,11,2,12,1,2)</f>
        <v>1</v>
      </c>
      <c r="P8827" s="43"/>
    </row>
    <row r="8828" spans="1:16" ht="18" x14ac:dyDescent="0.35">
      <c r="A8828" s="43"/>
      <c r="C8828" s="393"/>
      <c r="E8828" s="394"/>
      <c r="F8828" s="394"/>
      <c r="G8828" s="394"/>
      <c r="I8828" s="368">
        <f t="shared" si="417"/>
        <v>0</v>
      </c>
      <c r="J8828" s="365">
        <f t="shared" si="418"/>
        <v>0</v>
      </c>
      <c r="K8828" s="369">
        <f t="shared" si="419"/>
        <v>6</v>
      </c>
      <c r="L8828" s="369">
        <f>+IF((C8828&gt;='Resultats - informe'!$E$16)*(C8828&lt;='Resultats - informe'!$G$16),1,0)</f>
        <v>1</v>
      </c>
      <c r="M8828" s="369" cm="1">
        <f t="array" ref="M8828">+_xlfn.IFS((C8828&gt;='Resultats - informe'!$D$26)*(C8828&lt;='Resultats - informe'!$E$26),0,(C8828&gt;='Resultats - informe'!$D$27)*(C8828&lt;='Resultats - informe'!$E$27),0,(C8828&gt;='Resultats - informe'!$D$28)*(C8828&lt;='Resultats - informe'!$E$28),0,(C8828&gt;='Resultats - informe'!$D$29)*(C8828&lt;='Resultats - informe'!$E$29),0,1,1)</f>
        <v>0</v>
      </c>
      <c r="N8828" s="366">
        <f>+VLOOKUP(D8828,'Resultats - informe'!$Y$18:$AG$42,'Introducció dades consum'!K8828+1,0)</f>
        <v>0</v>
      </c>
      <c r="O8828" s="370" cm="1">
        <f t="array" ref="O8828">+_xlfn.SWITCH(MONTH(C8828),1,1,2,1,3,1,4,2,5,2,6,3,7,3,8,3,9,3,10,2,11,2,12,1,2)</f>
        <v>1</v>
      </c>
      <c r="P8828" s="43"/>
    </row>
    <row r="8829" spans="1:16" ht="18" x14ac:dyDescent="0.35">
      <c r="A8829" s="43"/>
      <c r="C8829" s="393"/>
      <c r="E8829" s="394"/>
      <c r="F8829" s="394"/>
      <c r="G8829" s="394"/>
      <c r="I8829" s="368">
        <f t="shared" si="417"/>
        <v>0</v>
      </c>
      <c r="J8829" s="365">
        <f t="shared" si="418"/>
        <v>0</v>
      </c>
      <c r="K8829" s="369">
        <f t="shared" si="419"/>
        <v>6</v>
      </c>
      <c r="L8829" s="369">
        <f>+IF((C8829&gt;='Resultats - informe'!$E$16)*(C8829&lt;='Resultats - informe'!$G$16),1,0)</f>
        <v>1</v>
      </c>
      <c r="M8829" s="369" cm="1">
        <f t="array" ref="M8829">+_xlfn.IFS((C8829&gt;='Resultats - informe'!$D$26)*(C8829&lt;='Resultats - informe'!$E$26),0,(C8829&gt;='Resultats - informe'!$D$27)*(C8829&lt;='Resultats - informe'!$E$27),0,(C8829&gt;='Resultats - informe'!$D$28)*(C8829&lt;='Resultats - informe'!$E$28),0,(C8829&gt;='Resultats - informe'!$D$29)*(C8829&lt;='Resultats - informe'!$E$29),0,1,1)</f>
        <v>0</v>
      </c>
      <c r="N8829" s="366">
        <f>+VLOOKUP(D8829,'Resultats - informe'!$Y$18:$AG$42,'Introducció dades consum'!K8829+1,0)</f>
        <v>0</v>
      </c>
      <c r="O8829" s="370" cm="1">
        <f t="array" ref="O8829">+_xlfn.SWITCH(MONTH(C8829),1,1,2,1,3,1,4,2,5,2,6,3,7,3,8,3,9,3,10,2,11,2,12,1,2)</f>
        <v>1</v>
      </c>
      <c r="P8829" s="43"/>
    </row>
    <row r="8830" spans="1:16" ht="18" x14ac:dyDescent="0.35">
      <c r="A8830" s="43"/>
      <c r="C8830" s="393"/>
      <c r="E8830" s="394"/>
      <c r="F8830" s="394"/>
      <c r="G8830" s="394"/>
      <c r="I8830" s="368">
        <f t="shared" si="417"/>
        <v>0</v>
      </c>
      <c r="J8830" s="365">
        <f t="shared" si="418"/>
        <v>0</v>
      </c>
      <c r="K8830" s="369">
        <f t="shared" si="419"/>
        <v>6</v>
      </c>
      <c r="L8830" s="369">
        <f>+IF((C8830&gt;='Resultats - informe'!$E$16)*(C8830&lt;='Resultats - informe'!$G$16),1,0)</f>
        <v>1</v>
      </c>
      <c r="M8830" s="369" cm="1">
        <f t="array" ref="M8830">+_xlfn.IFS((C8830&gt;='Resultats - informe'!$D$26)*(C8830&lt;='Resultats - informe'!$E$26),0,(C8830&gt;='Resultats - informe'!$D$27)*(C8830&lt;='Resultats - informe'!$E$27),0,(C8830&gt;='Resultats - informe'!$D$28)*(C8830&lt;='Resultats - informe'!$E$28),0,(C8830&gt;='Resultats - informe'!$D$29)*(C8830&lt;='Resultats - informe'!$E$29),0,1,1)</f>
        <v>0</v>
      </c>
      <c r="N8830" s="366">
        <f>+VLOOKUP(D8830,'Resultats - informe'!$Y$18:$AG$42,'Introducció dades consum'!K8830+1,0)</f>
        <v>0</v>
      </c>
      <c r="O8830" s="370" cm="1">
        <f t="array" ref="O8830">+_xlfn.SWITCH(MONTH(C8830),1,1,2,1,3,1,4,2,5,2,6,3,7,3,8,3,9,3,10,2,11,2,12,1,2)</f>
        <v>1</v>
      </c>
      <c r="P8830" s="43"/>
    </row>
    <row r="8831" spans="1:16" ht="18" x14ac:dyDescent="0.35">
      <c r="A8831" s="43"/>
      <c r="C8831" s="393"/>
      <c r="E8831" s="394"/>
      <c r="F8831" s="394"/>
      <c r="G8831" s="394"/>
      <c r="I8831" s="368">
        <f t="shared" si="417"/>
        <v>0</v>
      </c>
      <c r="J8831" s="365">
        <f t="shared" si="418"/>
        <v>0</v>
      </c>
      <c r="K8831" s="369">
        <f t="shared" si="419"/>
        <v>6</v>
      </c>
      <c r="L8831" s="369">
        <f>+IF((C8831&gt;='Resultats - informe'!$E$16)*(C8831&lt;='Resultats - informe'!$G$16),1,0)</f>
        <v>1</v>
      </c>
      <c r="M8831" s="369" cm="1">
        <f t="array" ref="M8831">+_xlfn.IFS((C8831&gt;='Resultats - informe'!$D$26)*(C8831&lt;='Resultats - informe'!$E$26),0,(C8831&gt;='Resultats - informe'!$D$27)*(C8831&lt;='Resultats - informe'!$E$27),0,(C8831&gt;='Resultats - informe'!$D$28)*(C8831&lt;='Resultats - informe'!$E$28),0,(C8831&gt;='Resultats - informe'!$D$29)*(C8831&lt;='Resultats - informe'!$E$29),0,1,1)</f>
        <v>0</v>
      </c>
      <c r="N8831" s="366">
        <f>+VLOOKUP(D8831,'Resultats - informe'!$Y$18:$AG$42,'Introducció dades consum'!K8831+1,0)</f>
        <v>0</v>
      </c>
      <c r="O8831" s="370" cm="1">
        <f t="array" ref="O8831">+_xlfn.SWITCH(MONTH(C8831),1,1,2,1,3,1,4,2,5,2,6,3,7,3,8,3,9,3,10,2,11,2,12,1,2)</f>
        <v>1</v>
      </c>
      <c r="P8831" s="43"/>
    </row>
    <row r="8832" spans="1:16" ht="18" x14ac:dyDescent="0.35">
      <c r="A8832" s="43"/>
      <c r="C8832" s="393"/>
      <c r="E8832" s="394"/>
      <c r="F8832" s="394"/>
      <c r="G8832" s="394"/>
      <c r="I8832" s="368">
        <f t="shared" si="417"/>
        <v>0</v>
      </c>
      <c r="J8832" s="365">
        <f t="shared" si="418"/>
        <v>0</v>
      </c>
      <c r="K8832" s="369">
        <f t="shared" si="419"/>
        <v>6</v>
      </c>
      <c r="L8832" s="369">
        <f>+IF((C8832&gt;='Resultats - informe'!$E$16)*(C8832&lt;='Resultats - informe'!$G$16),1,0)</f>
        <v>1</v>
      </c>
      <c r="M8832" s="369" cm="1">
        <f t="array" ref="M8832">+_xlfn.IFS((C8832&gt;='Resultats - informe'!$D$26)*(C8832&lt;='Resultats - informe'!$E$26),0,(C8832&gt;='Resultats - informe'!$D$27)*(C8832&lt;='Resultats - informe'!$E$27),0,(C8832&gt;='Resultats - informe'!$D$28)*(C8832&lt;='Resultats - informe'!$E$28),0,(C8832&gt;='Resultats - informe'!$D$29)*(C8832&lt;='Resultats - informe'!$E$29),0,1,1)</f>
        <v>0</v>
      </c>
      <c r="N8832" s="366">
        <f>+VLOOKUP(D8832,'Resultats - informe'!$Y$18:$AG$42,'Introducció dades consum'!K8832+1,0)</f>
        <v>0</v>
      </c>
      <c r="O8832" s="370" cm="1">
        <f t="array" ref="O8832">+_xlfn.SWITCH(MONTH(C8832),1,1,2,1,3,1,4,2,5,2,6,3,7,3,8,3,9,3,10,2,11,2,12,1,2)</f>
        <v>1</v>
      </c>
      <c r="P8832" s="43"/>
    </row>
    <row r="8833" spans="1:16" ht="18" x14ac:dyDescent="0.35">
      <c r="A8833" s="43"/>
      <c r="C8833" s="393"/>
      <c r="E8833" s="394"/>
      <c r="F8833" s="394"/>
      <c r="G8833" s="394"/>
      <c r="I8833" s="368">
        <f t="shared" si="417"/>
        <v>0</v>
      </c>
      <c r="J8833" s="365">
        <f t="shared" si="418"/>
        <v>0</v>
      </c>
      <c r="K8833" s="369">
        <f t="shared" si="419"/>
        <v>6</v>
      </c>
      <c r="L8833" s="369">
        <f>+IF((C8833&gt;='Resultats - informe'!$E$16)*(C8833&lt;='Resultats - informe'!$G$16),1,0)</f>
        <v>1</v>
      </c>
      <c r="M8833" s="369" cm="1">
        <f t="array" ref="M8833">+_xlfn.IFS((C8833&gt;='Resultats - informe'!$D$26)*(C8833&lt;='Resultats - informe'!$E$26),0,(C8833&gt;='Resultats - informe'!$D$27)*(C8833&lt;='Resultats - informe'!$E$27),0,(C8833&gt;='Resultats - informe'!$D$28)*(C8833&lt;='Resultats - informe'!$E$28),0,(C8833&gt;='Resultats - informe'!$D$29)*(C8833&lt;='Resultats - informe'!$E$29),0,1,1)</f>
        <v>0</v>
      </c>
      <c r="N8833" s="366">
        <f>+VLOOKUP(D8833,'Resultats - informe'!$Y$18:$AG$42,'Introducció dades consum'!K8833+1,0)</f>
        <v>0</v>
      </c>
      <c r="O8833" s="370" cm="1">
        <f t="array" ref="O8833">+_xlfn.SWITCH(MONTH(C8833),1,1,2,1,3,1,4,2,5,2,6,3,7,3,8,3,9,3,10,2,11,2,12,1,2)</f>
        <v>1</v>
      </c>
      <c r="P8833" s="43"/>
    </row>
    <row r="8834" spans="1:16" ht="18" x14ac:dyDescent="0.35">
      <c r="A8834" s="43"/>
      <c r="C8834" s="393"/>
      <c r="E8834" s="394"/>
      <c r="F8834" s="394"/>
      <c r="G8834" s="394"/>
      <c r="I8834" s="368">
        <f t="shared" si="417"/>
        <v>0</v>
      </c>
      <c r="J8834" s="365">
        <f t="shared" si="418"/>
        <v>0</v>
      </c>
      <c r="K8834" s="369">
        <f t="shared" si="419"/>
        <v>6</v>
      </c>
      <c r="L8834" s="369">
        <f>+IF((C8834&gt;='Resultats - informe'!$E$16)*(C8834&lt;='Resultats - informe'!$G$16),1,0)</f>
        <v>1</v>
      </c>
      <c r="M8834" s="369" cm="1">
        <f t="array" ref="M8834">+_xlfn.IFS((C8834&gt;='Resultats - informe'!$D$26)*(C8834&lt;='Resultats - informe'!$E$26),0,(C8834&gt;='Resultats - informe'!$D$27)*(C8834&lt;='Resultats - informe'!$E$27),0,(C8834&gt;='Resultats - informe'!$D$28)*(C8834&lt;='Resultats - informe'!$E$28),0,(C8834&gt;='Resultats - informe'!$D$29)*(C8834&lt;='Resultats - informe'!$E$29),0,1,1)</f>
        <v>0</v>
      </c>
      <c r="N8834" s="366">
        <f>+VLOOKUP(D8834,'Resultats - informe'!$Y$18:$AG$42,'Introducció dades consum'!K8834+1,0)</f>
        <v>0</v>
      </c>
      <c r="O8834" s="370" cm="1">
        <f t="array" ref="O8834">+_xlfn.SWITCH(MONTH(C8834),1,1,2,1,3,1,4,2,5,2,6,3,7,3,8,3,9,3,10,2,11,2,12,1,2)</f>
        <v>1</v>
      </c>
      <c r="P8834" s="43"/>
    </row>
    <row r="8835" spans="1:16" ht="18" x14ac:dyDescent="0.35">
      <c r="A8835" s="43"/>
      <c r="C8835" s="393"/>
      <c r="E8835" s="394"/>
      <c r="F8835" s="394"/>
      <c r="G8835" s="394"/>
      <c r="I8835" s="368">
        <f t="shared" si="417"/>
        <v>0</v>
      </c>
      <c r="J8835" s="365">
        <f t="shared" si="418"/>
        <v>0</v>
      </c>
      <c r="K8835" s="369">
        <f t="shared" si="419"/>
        <v>6</v>
      </c>
      <c r="L8835" s="369">
        <f>+IF((C8835&gt;='Resultats - informe'!$E$16)*(C8835&lt;='Resultats - informe'!$G$16),1,0)</f>
        <v>1</v>
      </c>
      <c r="M8835" s="369" cm="1">
        <f t="array" ref="M8835">+_xlfn.IFS((C8835&gt;='Resultats - informe'!$D$26)*(C8835&lt;='Resultats - informe'!$E$26),0,(C8835&gt;='Resultats - informe'!$D$27)*(C8835&lt;='Resultats - informe'!$E$27),0,(C8835&gt;='Resultats - informe'!$D$28)*(C8835&lt;='Resultats - informe'!$E$28),0,(C8835&gt;='Resultats - informe'!$D$29)*(C8835&lt;='Resultats - informe'!$E$29),0,1,1)</f>
        <v>0</v>
      </c>
      <c r="N8835" s="366">
        <f>+VLOOKUP(D8835,'Resultats - informe'!$Y$18:$AG$42,'Introducció dades consum'!K8835+1,0)</f>
        <v>0</v>
      </c>
      <c r="O8835" s="370" cm="1">
        <f t="array" ref="O8835">+_xlfn.SWITCH(MONTH(C8835),1,1,2,1,3,1,4,2,5,2,6,3,7,3,8,3,9,3,10,2,11,2,12,1,2)</f>
        <v>1</v>
      </c>
      <c r="P8835" s="43"/>
    </row>
    <row r="8836" spans="1:16" ht="18" x14ac:dyDescent="0.35">
      <c r="A8836" s="43"/>
      <c r="C8836" s="393"/>
      <c r="E8836" s="394"/>
      <c r="F8836" s="394"/>
      <c r="G8836" s="394"/>
      <c r="I8836" s="368">
        <f t="shared" si="417"/>
        <v>0</v>
      </c>
      <c r="J8836" s="365">
        <f t="shared" si="418"/>
        <v>0</v>
      </c>
      <c r="K8836" s="369">
        <f t="shared" si="419"/>
        <v>6</v>
      </c>
      <c r="L8836" s="369">
        <f>+IF((C8836&gt;='Resultats - informe'!$E$16)*(C8836&lt;='Resultats - informe'!$G$16),1,0)</f>
        <v>1</v>
      </c>
      <c r="M8836" s="369" cm="1">
        <f t="array" ref="M8836">+_xlfn.IFS((C8836&gt;='Resultats - informe'!$D$26)*(C8836&lt;='Resultats - informe'!$E$26),0,(C8836&gt;='Resultats - informe'!$D$27)*(C8836&lt;='Resultats - informe'!$E$27),0,(C8836&gt;='Resultats - informe'!$D$28)*(C8836&lt;='Resultats - informe'!$E$28),0,(C8836&gt;='Resultats - informe'!$D$29)*(C8836&lt;='Resultats - informe'!$E$29),0,1,1)</f>
        <v>0</v>
      </c>
      <c r="N8836" s="366">
        <f>+VLOOKUP(D8836,'Resultats - informe'!$Y$18:$AG$42,'Introducció dades consum'!K8836+1,0)</f>
        <v>0</v>
      </c>
      <c r="O8836" s="370" cm="1">
        <f t="array" ref="O8836">+_xlfn.SWITCH(MONTH(C8836),1,1,2,1,3,1,4,2,5,2,6,3,7,3,8,3,9,3,10,2,11,2,12,1,2)</f>
        <v>1</v>
      </c>
      <c r="P8836" s="43"/>
    </row>
    <row r="8837" spans="1:16" ht="18" x14ac:dyDescent="0.35">
      <c r="A8837" s="43"/>
      <c r="C8837" s="393"/>
      <c r="E8837" s="394"/>
      <c r="F8837" s="394"/>
      <c r="G8837" s="394"/>
      <c r="I8837" s="368">
        <f t="shared" si="417"/>
        <v>0</v>
      </c>
      <c r="J8837" s="365">
        <f t="shared" si="418"/>
        <v>0</v>
      </c>
      <c r="K8837" s="369">
        <f t="shared" si="419"/>
        <v>6</v>
      </c>
      <c r="L8837" s="369">
        <f>+IF((C8837&gt;='Resultats - informe'!$E$16)*(C8837&lt;='Resultats - informe'!$G$16),1,0)</f>
        <v>1</v>
      </c>
      <c r="M8837" s="369" cm="1">
        <f t="array" ref="M8837">+_xlfn.IFS((C8837&gt;='Resultats - informe'!$D$26)*(C8837&lt;='Resultats - informe'!$E$26),0,(C8837&gt;='Resultats - informe'!$D$27)*(C8837&lt;='Resultats - informe'!$E$27),0,(C8837&gt;='Resultats - informe'!$D$28)*(C8837&lt;='Resultats - informe'!$E$28),0,(C8837&gt;='Resultats - informe'!$D$29)*(C8837&lt;='Resultats - informe'!$E$29),0,1,1)</f>
        <v>0</v>
      </c>
      <c r="N8837" s="366">
        <f>+VLOOKUP(D8837,'Resultats - informe'!$Y$18:$AG$42,'Introducció dades consum'!K8837+1,0)</f>
        <v>0</v>
      </c>
      <c r="O8837" s="370" cm="1">
        <f t="array" ref="O8837">+_xlfn.SWITCH(MONTH(C8837),1,1,2,1,3,1,4,2,5,2,6,3,7,3,8,3,9,3,10,2,11,2,12,1,2)</f>
        <v>1</v>
      </c>
      <c r="P8837" s="43"/>
    </row>
    <row r="8838" spans="1:16" ht="18" x14ac:dyDescent="0.35">
      <c r="A8838" s="43"/>
      <c r="C8838" s="393"/>
      <c r="E8838" s="394"/>
      <c r="F8838" s="394"/>
      <c r="G8838" s="394"/>
      <c r="I8838" s="368">
        <f t="shared" si="417"/>
        <v>0</v>
      </c>
      <c r="J8838" s="365">
        <f t="shared" si="418"/>
        <v>0</v>
      </c>
      <c r="K8838" s="369">
        <f t="shared" si="419"/>
        <v>6</v>
      </c>
      <c r="L8838" s="369">
        <f>+IF((C8838&gt;='Resultats - informe'!$E$16)*(C8838&lt;='Resultats - informe'!$G$16),1,0)</f>
        <v>1</v>
      </c>
      <c r="M8838" s="369" cm="1">
        <f t="array" ref="M8838">+_xlfn.IFS((C8838&gt;='Resultats - informe'!$D$26)*(C8838&lt;='Resultats - informe'!$E$26),0,(C8838&gt;='Resultats - informe'!$D$27)*(C8838&lt;='Resultats - informe'!$E$27),0,(C8838&gt;='Resultats - informe'!$D$28)*(C8838&lt;='Resultats - informe'!$E$28),0,(C8838&gt;='Resultats - informe'!$D$29)*(C8838&lt;='Resultats - informe'!$E$29),0,1,1)</f>
        <v>0</v>
      </c>
      <c r="N8838" s="366">
        <f>+VLOOKUP(D8838,'Resultats - informe'!$Y$18:$AG$42,'Introducció dades consum'!K8838+1,0)</f>
        <v>0</v>
      </c>
      <c r="O8838" s="370" cm="1">
        <f t="array" ref="O8838">+_xlfn.SWITCH(MONTH(C8838),1,1,2,1,3,1,4,2,5,2,6,3,7,3,8,3,9,3,10,2,11,2,12,1,2)</f>
        <v>1</v>
      </c>
      <c r="P8838" s="43"/>
    </row>
    <row r="8839" spans="1:16" ht="18" x14ac:dyDescent="0.35">
      <c r="A8839" s="43"/>
      <c r="C8839" s="393"/>
      <c r="E8839" s="394"/>
      <c r="F8839" s="394"/>
      <c r="G8839" s="394"/>
      <c r="I8839" s="368">
        <f t="shared" si="417"/>
        <v>0</v>
      </c>
      <c r="J8839" s="365">
        <f t="shared" si="418"/>
        <v>0</v>
      </c>
      <c r="K8839" s="369">
        <f t="shared" si="419"/>
        <v>6</v>
      </c>
      <c r="L8839" s="369">
        <f>+IF((C8839&gt;='Resultats - informe'!$E$16)*(C8839&lt;='Resultats - informe'!$G$16),1,0)</f>
        <v>1</v>
      </c>
      <c r="M8839" s="369" cm="1">
        <f t="array" ref="M8839">+_xlfn.IFS((C8839&gt;='Resultats - informe'!$D$26)*(C8839&lt;='Resultats - informe'!$E$26),0,(C8839&gt;='Resultats - informe'!$D$27)*(C8839&lt;='Resultats - informe'!$E$27),0,(C8839&gt;='Resultats - informe'!$D$28)*(C8839&lt;='Resultats - informe'!$E$28),0,(C8839&gt;='Resultats - informe'!$D$29)*(C8839&lt;='Resultats - informe'!$E$29),0,1,1)</f>
        <v>0</v>
      </c>
      <c r="N8839" s="366">
        <f>+VLOOKUP(D8839,'Resultats - informe'!$Y$18:$AG$42,'Introducció dades consum'!K8839+1,0)</f>
        <v>0</v>
      </c>
      <c r="O8839" s="370" cm="1">
        <f t="array" ref="O8839">+_xlfn.SWITCH(MONTH(C8839),1,1,2,1,3,1,4,2,5,2,6,3,7,3,8,3,9,3,10,2,11,2,12,1,2)</f>
        <v>1</v>
      </c>
      <c r="P8839" s="43"/>
    </row>
    <row r="8840" spans="1:16" ht="18" x14ac:dyDescent="0.35">
      <c r="A8840" s="43"/>
      <c r="C8840" s="393"/>
      <c r="E8840" s="394"/>
      <c r="F8840" s="394"/>
      <c r="G8840" s="394"/>
      <c r="I8840" s="368">
        <f t="shared" si="417"/>
        <v>0</v>
      </c>
      <c r="J8840" s="365">
        <f t="shared" si="418"/>
        <v>0</v>
      </c>
      <c r="K8840" s="369">
        <f t="shared" si="419"/>
        <v>6</v>
      </c>
      <c r="L8840" s="369">
        <f>+IF((C8840&gt;='Resultats - informe'!$E$16)*(C8840&lt;='Resultats - informe'!$G$16),1,0)</f>
        <v>1</v>
      </c>
      <c r="M8840" s="369" cm="1">
        <f t="array" ref="M8840">+_xlfn.IFS((C8840&gt;='Resultats - informe'!$D$26)*(C8840&lt;='Resultats - informe'!$E$26),0,(C8840&gt;='Resultats - informe'!$D$27)*(C8840&lt;='Resultats - informe'!$E$27),0,(C8840&gt;='Resultats - informe'!$D$28)*(C8840&lt;='Resultats - informe'!$E$28),0,(C8840&gt;='Resultats - informe'!$D$29)*(C8840&lt;='Resultats - informe'!$E$29),0,1,1)</f>
        <v>0</v>
      </c>
      <c r="N8840" s="366">
        <f>+VLOOKUP(D8840,'Resultats - informe'!$Y$18:$AG$42,'Introducció dades consum'!K8840+1,0)</f>
        <v>0</v>
      </c>
      <c r="O8840" s="370" cm="1">
        <f t="array" ref="O8840">+_xlfn.SWITCH(MONTH(C8840),1,1,2,1,3,1,4,2,5,2,6,3,7,3,8,3,9,3,10,2,11,2,12,1,2)</f>
        <v>1</v>
      </c>
      <c r="P8840" s="43"/>
    </row>
    <row r="8841" spans="1:16" ht="18" x14ac:dyDescent="0.35">
      <c r="A8841" s="43"/>
      <c r="C8841" s="393"/>
      <c r="E8841" s="394"/>
      <c r="F8841" s="394"/>
      <c r="G8841" s="394"/>
      <c r="I8841" s="368">
        <f t="shared" si="417"/>
        <v>0</v>
      </c>
      <c r="J8841" s="365">
        <f t="shared" si="418"/>
        <v>0</v>
      </c>
      <c r="K8841" s="369">
        <f t="shared" si="419"/>
        <v>6</v>
      </c>
      <c r="L8841" s="369">
        <f>+IF((C8841&gt;='Resultats - informe'!$E$16)*(C8841&lt;='Resultats - informe'!$G$16),1,0)</f>
        <v>1</v>
      </c>
      <c r="M8841" s="369" cm="1">
        <f t="array" ref="M8841">+_xlfn.IFS((C8841&gt;='Resultats - informe'!$D$26)*(C8841&lt;='Resultats - informe'!$E$26),0,(C8841&gt;='Resultats - informe'!$D$27)*(C8841&lt;='Resultats - informe'!$E$27),0,(C8841&gt;='Resultats - informe'!$D$28)*(C8841&lt;='Resultats - informe'!$E$28),0,(C8841&gt;='Resultats - informe'!$D$29)*(C8841&lt;='Resultats - informe'!$E$29),0,1,1)</f>
        <v>0</v>
      </c>
      <c r="N8841" s="366">
        <f>+VLOOKUP(D8841,'Resultats - informe'!$Y$18:$AG$42,'Introducció dades consum'!K8841+1,0)</f>
        <v>0</v>
      </c>
      <c r="O8841" s="370" cm="1">
        <f t="array" ref="O8841">+_xlfn.SWITCH(MONTH(C8841),1,1,2,1,3,1,4,2,5,2,6,3,7,3,8,3,9,3,10,2,11,2,12,1,2)</f>
        <v>1</v>
      </c>
      <c r="P8841" s="43"/>
    </row>
    <row r="8842" spans="1:16" ht="18" x14ac:dyDescent="0.35">
      <c r="A8842" s="43"/>
      <c r="C8842" s="393"/>
      <c r="E8842" s="394"/>
      <c r="F8842" s="394"/>
      <c r="G8842" s="394"/>
      <c r="I8842" s="368">
        <f t="shared" si="417"/>
        <v>0</v>
      </c>
      <c r="J8842" s="365">
        <f t="shared" si="418"/>
        <v>0</v>
      </c>
      <c r="K8842" s="369">
        <f t="shared" si="419"/>
        <v>6</v>
      </c>
      <c r="L8842" s="369">
        <f>+IF((C8842&gt;='Resultats - informe'!$E$16)*(C8842&lt;='Resultats - informe'!$G$16),1,0)</f>
        <v>1</v>
      </c>
      <c r="M8842" s="369" cm="1">
        <f t="array" ref="M8842">+_xlfn.IFS((C8842&gt;='Resultats - informe'!$D$26)*(C8842&lt;='Resultats - informe'!$E$26),0,(C8842&gt;='Resultats - informe'!$D$27)*(C8842&lt;='Resultats - informe'!$E$27),0,(C8842&gt;='Resultats - informe'!$D$28)*(C8842&lt;='Resultats - informe'!$E$28),0,(C8842&gt;='Resultats - informe'!$D$29)*(C8842&lt;='Resultats - informe'!$E$29),0,1,1)</f>
        <v>0</v>
      </c>
      <c r="N8842" s="366">
        <f>+VLOOKUP(D8842,'Resultats - informe'!$Y$18:$AG$42,'Introducció dades consum'!K8842+1,0)</f>
        <v>0</v>
      </c>
      <c r="O8842" s="370" cm="1">
        <f t="array" ref="O8842">+_xlfn.SWITCH(MONTH(C8842),1,1,2,1,3,1,4,2,5,2,6,3,7,3,8,3,9,3,10,2,11,2,12,1,2)</f>
        <v>1</v>
      </c>
      <c r="P8842" s="43"/>
    </row>
    <row r="8843" spans="1:16" ht="18" x14ac:dyDescent="0.35">
      <c r="A8843" s="43"/>
      <c r="C8843" s="393"/>
      <c r="E8843" s="394"/>
      <c r="F8843" s="394"/>
      <c r="G8843" s="394"/>
      <c r="I8843" s="368">
        <f t="shared" si="417"/>
        <v>0</v>
      </c>
      <c r="J8843" s="365">
        <f t="shared" si="418"/>
        <v>0</v>
      </c>
      <c r="K8843" s="369">
        <f t="shared" si="419"/>
        <v>6</v>
      </c>
      <c r="L8843" s="369">
        <f>+IF((C8843&gt;='Resultats - informe'!$E$16)*(C8843&lt;='Resultats - informe'!$G$16),1,0)</f>
        <v>1</v>
      </c>
      <c r="M8843" s="369" cm="1">
        <f t="array" ref="M8843">+_xlfn.IFS((C8843&gt;='Resultats - informe'!$D$26)*(C8843&lt;='Resultats - informe'!$E$26),0,(C8843&gt;='Resultats - informe'!$D$27)*(C8843&lt;='Resultats - informe'!$E$27),0,(C8843&gt;='Resultats - informe'!$D$28)*(C8843&lt;='Resultats - informe'!$E$28),0,(C8843&gt;='Resultats - informe'!$D$29)*(C8843&lt;='Resultats - informe'!$E$29),0,1,1)</f>
        <v>0</v>
      </c>
      <c r="N8843" s="366">
        <f>+VLOOKUP(D8843,'Resultats - informe'!$Y$18:$AG$42,'Introducció dades consum'!K8843+1,0)</f>
        <v>0</v>
      </c>
      <c r="O8843" s="370" cm="1">
        <f t="array" ref="O8843">+_xlfn.SWITCH(MONTH(C8843),1,1,2,1,3,1,4,2,5,2,6,3,7,3,8,3,9,3,10,2,11,2,12,1,2)</f>
        <v>1</v>
      </c>
      <c r="P8843" s="43"/>
    </row>
    <row r="8844" spans="1:16" ht="18" x14ac:dyDescent="0.35">
      <c r="A8844" s="43"/>
      <c r="C8844" s="393"/>
      <c r="E8844" s="394"/>
      <c r="F8844" s="394"/>
      <c r="G8844" s="394"/>
      <c r="I8844" s="368">
        <f t="shared" si="417"/>
        <v>0</v>
      </c>
      <c r="J8844" s="365">
        <f t="shared" si="418"/>
        <v>0</v>
      </c>
      <c r="K8844" s="369">
        <f t="shared" si="419"/>
        <v>6</v>
      </c>
      <c r="L8844" s="369">
        <f>+IF((C8844&gt;='Resultats - informe'!$E$16)*(C8844&lt;='Resultats - informe'!$G$16),1,0)</f>
        <v>1</v>
      </c>
      <c r="M8844" s="369" cm="1">
        <f t="array" ref="M8844">+_xlfn.IFS((C8844&gt;='Resultats - informe'!$D$26)*(C8844&lt;='Resultats - informe'!$E$26),0,(C8844&gt;='Resultats - informe'!$D$27)*(C8844&lt;='Resultats - informe'!$E$27),0,(C8844&gt;='Resultats - informe'!$D$28)*(C8844&lt;='Resultats - informe'!$E$28),0,(C8844&gt;='Resultats - informe'!$D$29)*(C8844&lt;='Resultats - informe'!$E$29),0,1,1)</f>
        <v>0</v>
      </c>
      <c r="N8844" s="366">
        <f>+VLOOKUP(D8844,'Resultats - informe'!$Y$18:$AG$42,'Introducció dades consum'!K8844+1,0)</f>
        <v>0</v>
      </c>
      <c r="O8844" s="370" cm="1">
        <f t="array" ref="O8844">+_xlfn.SWITCH(MONTH(C8844),1,1,2,1,3,1,4,2,5,2,6,3,7,3,8,3,9,3,10,2,11,2,12,1,2)</f>
        <v>1</v>
      </c>
      <c r="P8844" s="43"/>
    </row>
    <row r="8845" spans="1:16" ht="18" x14ac:dyDescent="0.35">
      <c r="A8845" s="43"/>
      <c r="C8845" s="393"/>
      <c r="E8845" s="394"/>
      <c r="F8845" s="394"/>
      <c r="G8845" s="394"/>
      <c r="I8845" s="368">
        <f t="shared" si="417"/>
        <v>0</v>
      </c>
      <c r="J8845" s="365">
        <f t="shared" si="418"/>
        <v>0</v>
      </c>
      <c r="K8845" s="369">
        <f t="shared" si="419"/>
        <v>6</v>
      </c>
      <c r="L8845" s="369">
        <f>+IF((C8845&gt;='Resultats - informe'!$E$16)*(C8845&lt;='Resultats - informe'!$G$16),1,0)</f>
        <v>1</v>
      </c>
      <c r="M8845" s="369" cm="1">
        <f t="array" ref="M8845">+_xlfn.IFS((C8845&gt;='Resultats - informe'!$D$26)*(C8845&lt;='Resultats - informe'!$E$26),0,(C8845&gt;='Resultats - informe'!$D$27)*(C8845&lt;='Resultats - informe'!$E$27),0,(C8845&gt;='Resultats - informe'!$D$28)*(C8845&lt;='Resultats - informe'!$E$28),0,(C8845&gt;='Resultats - informe'!$D$29)*(C8845&lt;='Resultats - informe'!$E$29),0,1,1)</f>
        <v>0</v>
      </c>
      <c r="N8845" s="366">
        <f>+VLOOKUP(D8845,'Resultats - informe'!$Y$18:$AG$42,'Introducció dades consum'!K8845+1,0)</f>
        <v>0</v>
      </c>
      <c r="O8845" s="370" cm="1">
        <f t="array" ref="O8845">+_xlfn.SWITCH(MONTH(C8845),1,1,2,1,3,1,4,2,5,2,6,3,7,3,8,3,9,3,10,2,11,2,12,1,2)</f>
        <v>1</v>
      </c>
      <c r="P8845" s="43"/>
    </row>
    <row r="8846" spans="1:16" ht="18" x14ac:dyDescent="0.35">
      <c r="A8846" s="43"/>
      <c r="C8846" s="393"/>
      <c r="E8846" s="394"/>
      <c r="F8846" s="394"/>
      <c r="G8846" s="394"/>
      <c r="I8846" s="368">
        <f t="shared" si="417"/>
        <v>0</v>
      </c>
      <c r="J8846" s="365">
        <f t="shared" si="418"/>
        <v>0</v>
      </c>
      <c r="K8846" s="369">
        <f t="shared" si="419"/>
        <v>6</v>
      </c>
      <c r="L8846" s="369">
        <f>+IF((C8846&gt;='Resultats - informe'!$E$16)*(C8846&lt;='Resultats - informe'!$G$16),1,0)</f>
        <v>1</v>
      </c>
      <c r="M8846" s="369" cm="1">
        <f t="array" ref="M8846">+_xlfn.IFS((C8846&gt;='Resultats - informe'!$D$26)*(C8846&lt;='Resultats - informe'!$E$26),0,(C8846&gt;='Resultats - informe'!$D$27)*(C8846&lt;='Resultats - informe'!$E$27),0,(C8846&gt;='Resultats - informe'!$D$28)*(C8846&lt;='Resultats - informe'!$E$28),0,(C8846&gt;='Resultats - informe'!$D$29)*(C8846&lt;='Resultats - informe'!$E$29),0,1,1)</f>
        <v>0</v>
      </c>
      <c r="N8846" s="366">
        <f>+VLOOKUP(D8846,'Resultats - informe'!$Y$18:$AG$42,'Introducció dades consum'!K8846+1,0)</f>
        <v>0</v>
      </c>
      <c r="O8846" s="370" cm="1">
        <f t="array" ref="O8846">+_xlfn.SWITCH(MONTH(C8846),1,1,2,1,3,1,4,2,5,2,6,3,7,3,8,3,9,3,10,2,11,2,12,1,2)</f>
        <v>1</v>
      </c>
      <c r="P8846" s="43"/>
    </row>
    <row r="8847" spans="1:16" ht="18" x14ac:dyDescent="0.35">
      <c r="A8847" s="43"/>
      <c r="C8847" s="393"/>
      <c r="E8847" s="394"/>
      <c r="F8847" s="394"/>
      <c r="G8847" s="394"/>
      <c r="I8847" s="368">
        <f t="shared" si="417"/>
        <v>0</v>
      </c>
      <c r="J8847" s="365">
        <f t="shared" si="418"/>
        <v>0</v>
      </c>
      <c r="K8847" s="369">
        <f t="shared" si="419"/>
        <v>6</v>
      </c>
      <c r="L8847" s="369">
        <f>+IF((C8847&gt;='Resultats - informe'!$E$16)*(C8847&lt;='Resultats - informe'!$G$16),1,0)</f>
        <v>1</v>
      </c>
      <c r="M8847" s="369" cm="1">
        <f t="array" ref="M8847">+_xlfn.IFS((C8847&gt;='Resultats - informe'!$D$26)*(C8847&lt;='Resultats - informe'!$E$26),0,(C8847&gt;='Resultats - informe'!$D$27)*(C8847&lt;='Resultats - informe'!$E$27),0,(C8847&gt;='Resultats - informe'!$D$28)*(C8847&lt;='Resultats - informe'!$E$28),0,(C8847&gt;='Resultats - informe'!$D$29)*(C8847&lt;='Resultats - informe'!$E$29),0,1,1)</f>
        <v>0</v>
      </c>
      <c r="N8847" s="366">
        <f>+VLOOKUP(D8847,'Resultats - informe'!$Y$18:$AG$42,'Introducció dades consum'!K8847+1,0)</f>
        <v>0</v>
      </c>
      <c r="O8847" s="370" cm="1">
        <f t="array" ref="O8847">+_xlfn.SWITCH(MONTH(C8847),1,1,2,1,3,1,4,2,5,2,6,3,7,3,8,3,9,3,10,2,11,2,12,1,2)</f>
        <v>1</v>
      </c>
      <c r="P8847" s="43"/>
    </row>
    <row r="8848" spans="1:16" ht="18" x14ac:dyDescent="0.35">
      <c r="A8848" s="43"/>
      <c r="C8848" s="393"/>
      <c r="E8848" s="394"/>
      <c r="F8848" s="394"/>
      <c r="G8848" s="394"/>
      <c r="I8848" s="368">
        <f t="shared" si="417"/>
        <v>0</v>
      </c>
      <c r="J8848" s="365">
        <f t="shared" si="418"/>
        <v>0</v>
      </c>
      <c r="K8848" s="369">
        <f t="shared" si="419"/>
        <v>6</v>
      </c>
      <c r="L8848" s="369">
        <f>+IF((C8848&gt;='Resultats - informe'!$E$16)*(C8848&lt;='Resultats - informe'!$G$16),1,0)</f>
        <v>1</v>
      </c>
      <c r="M8848" s="369" cm="1">
        <f t="array" ref="M8848">+_xlfn.IFS((C8848&gt;='Resultats - informe'!$D$26)*(C8848&lt;='Resultats - informe'!$E$26),0,(C8848&gt;='Resultats - informe'!$D$27)*(C8848&lt;='Resultats - informe'!$E$27),0,(C8848&gt;='Resultats - informe'!$D$28)*(C8848&lt;='Resultats - informe'!$E$28),0,(C8848&gt;='Resultats - informe'!$D$29)*(C8848&lt;='Resultats - informe'!$E$29),0,1,1)</f>
        <v>0</v>
      </c>
      <c r="N8848" s="366">
        <f>+VLOOKUP(D8848,'Resultats - informe'!$Y$18:$AG$42,'Introducció dades consum'!K8848+1,0)</f>
        <v>0</v>
      </c>
      <c r="O8848" s="370" cm="1">
        <f t="array" ref="O8848">+_xlfn.SWITCH(MONTH(C8848),1,1,2,1,3,1,4,2,5,2,6,3,7,3,8,3,9,3,10,2,11,2,12,1,2)</f>
        <v>1</v>
      </c>
      <c r="P8848" s="43"/>
    </row>
    <row r="8849" spans="1:16" ht="18" x14ac:dyDescent="0.35">
      <c r="A8849" s="43"/>
      <c r="C8849" s="393"/>
      <c r="E8849" s="394"/>
      <c r="F8849" s="394"/>
      <c r="G8849" s="394"/>
      <c r="I8849" s="368">
        <f t="shared" si="417"/>
        <v>0</v>
      </c>
      <c r="J8849" s="365">
        <f t="shared" si="418"/>
        <v>0</v>
      </c>
      <c r="K8849" s="369">
        <f t="shared" si="419"/>
        <v>6</v>
      </c>
      <c r="L8849" s="369">
        <f>+IF((C8849&gt;='Resultats - informe'!$E$16)*(C8849&lt;='Resultats - informe'!$G$16),1,0)</f>
        <v>1</v>
      </c>
      <c r="M8849" s="369" cm="1">
        <f t="array" ref="M8849">+_xlfn.IFS((C8849&gt;='Resultats - informe'!$D$26)*(C8849&lt;='Resultats - informe'!$E$26),0,(C8849&gt;='Resultats - informe'!$D$27)*(C8849&lt;='Resultats - informe'!$E$27),0,(C8849&gt;='Resultats - informe'!$D$28)*(C8849&lt;='Resultats - informe'!$E$28),0,(C8849&gt;='Resultats - informe'!$D$29)*(C8849&lt;='Resultats - informe'!$E$29),0,1,1)</f>
        <v>0</v>
      </c>
      <c r="N8849" s="366">
        <f>+VLOOKUP(D8849,'Resultats - informe'!$Y$18:$AG$42,'Introducció dades consum'!K8849+1,0)</f>
        <v>0</v>
      </c>
      <c r="O8849" s="370" cm="1">
        <f t="array" ref="O8849">+_xlfn.SWITCH(MONTH(C8849),1,1,2,1,3,1,4,2,5,2,6,3,7,3,8,3,9,3,10,2,11,2,12,1,2)</f>
        <v>1</v>
      </c>
      <c r="P8849" s="43"/>
    </row>
    <row r="8850" spans="1:16" ht="18" x14ac:dyDescent="0.35">
      <c r="A8850" s="43"/>
      <c r="C8850" s="393"/>
      <c r="E8850" s="394"/>
      <c r="F8850" s="394"/>
      <c r="G8850" s="394"/>
      <c r="I8850" s="368">
        <f t="shared" ref="I8850:I8913" si="420">+E8850+G8850</f>
        <v>0</v>
      </c>
      <c r="J8850" s="365">
        <f t="shared" ref="J8850:J8913" si="421">+C8850</f>
        <v>0</v>
      </c>
      <c r="K8850" s="369">
        <f t="shared" ref="K8850:K8913" si="422">+WEEKDAY(C8850,2)</f>
        <v>6</v>
      </c>
      <c r="L8850" s="369">
        <f>+IF((C8850&gt;='Resultats - informe'!$E$16)*(C8850&lt;='Resultats - informe'!$G$16),1,0)</f>
        <v>1</v>
      </c>
      <c r="M8850" s="369" cm="1">
        <f t="array" ref="M8850">+_xlfn.IFS((C8850&gt;='Resultats - informe'!$D$26)*(C8850&lt;='Resultats - informe'!$E$26),0,(C8850&gt;='Resultats - informe'!$D$27)*(C8850&lt;='Resultats - informe'!$E$27),0,(C8850&gt;='Resultats - informe'!$D$28)*(C8850&lt;='Resultats - informe'!$E$28),0,(C8850&gt;='Resultats - informe'!$D$29)*(C8850&lt;='Resultats - informe'!$E$29),0,1,1)</f>
        <v>0</v>
      </c>
      <c r="N8850" s="366">
        <f>+VLOOKUP(D8850,'Resultats - informe'!$Y$18:$AG$42,'Introducció dades consum'!K8850+1,0)</f>
        <v>0</v>
      </c>
      <c r="O8850" s="370" cm="1">
        <f t="array" ref="O8850">+_xlfn.SWITCH(MONTH(C8850),1,1,2,1,3,1,4,2,5,2,6,3,7,3,8,3,9,3,10,2,11,2,12,1,2)</f>
        <v>1</v>
      </c>
      <c r="P8850" s="43"/>
    </row>
    <row r="8851" spans="1:16" ht="18" x14ac:dyDescent="0.35">
      <c r="A8851" s="43"/>
      <c r="C8851" s="393"/>
      <c r="E8851" s="394"/>
      <c r="F8851" s="394"/>
      <c r="G8851" s="394"/>
      <c r="I8851" s="368">
        <f t="shared" si="420"/>
        <v>0</v>
      </c>
      <c r="J8851" s="365">
        <f t="shared" si="421"/>
        <v>0</v>
      </c>
      <c r="K8851" s="369">
        <f t="shared" si="422"/>
        <v>6</v>
      </c>
      <c r="L8851" s="369">
        <f>+IF((C8851&gt;='Resultats - informe'!$E$16)*(C8851&lt;='Resultats - informe'!$G$16),1,0)</f>
        <v>1</v>
      </c>
      <c r="M8851" s="369" cm="1">
        <f t="array" ref="M8851">+_xlfn.IFS((C8851&gt;='Resultats - informe'!$D$26)*(C8851&lt;='Resultats - informe'!$E$26),0,(C8851&gt;='Resultats - informe'!$D$27)*(C8851&lt;='Resultats - informe'!$E$27),0,(C8851&gt;='Resultats - informe'!$D$28)*(C8851&lt;='Resultats - informe'!$E$28),0,(C8851&gt;='Resultats - informe'!$D$29)*(C8851&lt;='Resultats - informe'!$E$29),0,1,1)</f>
        <v>0</v>
      </c>
      <c r="N8851" s="366">
        <f>+VLOOKUP(D8851,'Resultats - informe'!$Y$18:$AG$42,'Introducció dades consum'!K8851+1,0)</f>
        <v>0</v>
      </c>
      <c r="O8851" s="370" cm="1">
        <f t="array" ref="O8851">+_xlfn.SWITCH(MONTH(C8851),1,1,2,1,3,1,4,2,5,2,6,3,7,3,8,3,9,3,10,2,11,2,12,1,2)</f>
        <v>1</v>
      </c>
      <c r="P8851" s="43"/>
    </row>
    <row r="8852" spans="1:16" ht="18" x14ac:dyDescent="0.35">
      <c r="A8852" s="43"/>
      <c r="C8852" s="393"/>
      <c r="E8852" s="394"/>
      <c r="F8852" s="394"/>
      <c r="G8852" s="394"/>
      <c r="I8852" s="368">
        <f t="shared" si="420"/>
        <v>0</v>
      </c>
      <c r="J8852" s="365">
        <f t="shared" si="421"/>
        <v>0</v>
      </c>
      <c r="K8852" s="369">
        <f t="shared" si="422"/>
        <v>6</v>
      </c>
      <c r="L8852" s="369">
        <f>+IF((C8852&gt;='Resultats - informe'!$E$16)*(C8852&lt;='Resultats - informe'!$G$16),1,0)</f>
        <v>1</v>
      </c>
      <c r="M8852" s="369" cm="1">
        <f t="array" ref="M8852">+_xlfn.IFS((C8852&gt;='Resultats - informe'!$D$26)*(C8852&lt;='Resultats - informe'!$E$26),0,(C8852&gt;='Resultats - informe'!$D$27)*(C8852&lt;='Resultats - informe'!$E$27),0,(C8852&gt;='Resultats - informe'!$D$28)*(C8852&lt;='Resultats - informe'!$E$28),0,(C8852&gt;='Resultats - informe'!$D$29)*(C8852&lt;='Resultats - informe'!$E$29),0,1,1)</f>
        <v>0</v>
      </c>
      <c r="N8852" s="366">
        <f>+VLOOKUP(D8852,'Resultats - informe'!$Y$18:$AG$42,'Introducció dades consum'!K8852+1,0)</f>
        <v>0</v>
      </c>
      <c r="O8852" s="370" cm="1">
        <f t="array" ref="O8852">+_xlfn.SWITCH(MONTH(C8852),1,1,2,1,3,1,4,2,5,2,6,3,7,3,8,3,9,3,10,2,11,2,12,1,2)</f>
        <v>1</v>
      </c>
      <c r="P8852" s="43"/>
    </row>
    <row r="8853" spans="1:16" ht="18" x14ac:dyDescent="0.35">
      <c r="A8853" s="43"/>
      <c r="C8853" s="393"/>
      <c r="E8853" s="394"/>
      <c r="F8853" s="394"/>
      <c r="G8853" s="394"/>
      <c r="I8853" s="368">
        <f t="shared" si="420"/>
        <v>0</v>
      </c>
      <c r="J8853" s="365">
        <f t="shared" si="421"/>
        <v>0</v>
      </c>
      <c r="K8853" s="369">
        <f t="shared" si="422"/>
        <v>6</v>
      </c>
      <c r="L8853" s="369">
        <f>+IF((C8853&gt;='Resultats - informe'!$E$16)*(C8853&lt;='Resultats - informe'!$G$16),1,0)</f>
        <v>1</v>
      </c>
      <c r="M8853" s="369" cm="1">
        <f t="array" ref="M8853">+_xlfn.IFS((C8853&gt;='Resultats - informe'!$D$26)*(C8853&lt;='Resultats - informe'!$E$26),0,(C8853&gt;='Resultats - informe'!$D$27)*(C8853&lt;='Resultats - informe'!$E$27),0,(C8853&gt;='Resultats - informe'!$D$28)*(C8853&lt;='Resultats - informe'!$E$28),0,(C8853&gt;='Resultats - informe'!$D$29)*(C8853&lt;='Resultats - informe'!$E$29),0,1,1)</f>
        <v>0</v>
      </c>
      <c r="N8853" s="366">
        <f>+VLOOKUP(D8853,'Resultats - informe'!$Y$18:$AG$42,'Introducció dades consum'!K8853+1,0)</f>
        <v>0</v>
      </c>
      <c r="O8853" s="370" cm="1">
        <f t="array" ref="O8853">+_xlfn.SWITCH(MONTH(C8853),1,1,2,1,3,1,4,2,5,2,6,3,7,3,8,3,9,3,10,2,11,2,12,1,2)</f>
        <v>1</v>
      </c>
      <c r="P8853" s="43"/>
    </row>
    <row r="8854" spans="1:16" ht="18" x14ac:dyDescent="0.35">
      <c r="A8854" s="43"/>
      <c r="C8854" s="393"/>
      <c r="E8854" s="394"/>
      <c r="F8854" s="394"/>
      <c r="G8854" s="394"/>
      <c r="I8854" s="368">
        <f t="shared" si="420"/>
        <v>0</v>
      </c>
      <c r="J8854" s="365">
        <f t="shared" si="421"/>
        <v>0</v>
      </c>
      <c r="K8854" s="369">
        <f t="shared" si="422"/>
        <v>6</v>
      </c>
      <c r="L8854" s="369">
        <f>+IF((C8854&gt;='Resultats - informe'!$E$16)*(C8854&lt;='Resultats - informe'!$G$16),1,0)</f>
        <v>1</v>
      </c>
      <c r="M8854" s="369" cm="1">
        <f t="array" ref="M8854">+_xlfn.IFS((C8854&gt;='Resultats - informe'!$D$26)*(C8854&lt;='Resultats - informe'!$E$26),0,(C8854&gt;='Resultats - informe'!$D$27)*(C8854&lt;='Resultats - informe'!$E$27),0,(C8854&gt;='Resultats - informe'!$D$28)*(C8854&lt;='Resultats - informe'!$E$28),0,(C8854&gt;='Resultats - informe'!$D$29)*(C8854&lt;='Resultats - informe'!$E$29),0,1,1)</f>
        <v>0</v>
      </c>
      <c r="N8854" s="366">
        <f>+VLOOKUP(D8854,'Resultats - informe'!$Y$18:$AG$42,'Introducció dades consum'!K8854+1,0)</f>
        <v>0</v>
      </c>
      <c r="O8854" s="370" cm="1">
        <f t="array" ref="O8854">+_xlfn.SWITCH(MONTH(C8854),1,1,2,1,3,1,4,2,5,2,6,3,7,3,8,3,9,3,10,2,11,2,12,1,2)</f>
        <v>1</v>
      </c>
      <c r="P8854" s="43"/>
    </row>
    <row r="8855" spans="1:16" ht="18" x14ac:dyDescent="0.35">
      <c r="A8855" s="43"/>
      <c r="C8855" s="393"/>
      <c r="E8855" s="394"/>
      <c r="F8855" s="394"/>
      <c r="G8855" s="394"/>
      <c r="I8855" s="368">
        <f t="shared" si="420"/>
        <v>0</v>
      </c>
      <c r="J8855" s="365">
        <f t="shared" si="421"/>
        <v>0</v>
      </c>
      <c r="K8855" s="369">
        <f t="shared" si="422"/>
        <v>6</v>
      </c>
      <c r="L8855" s="369">
        <f>+IF((C8855&gt;='Resultats - informe'!$E$16)*(C8855&lt;='Resultats - informe'!$G$16),1,0)</f>
        <v>1</v>
      </c>
      <c r="M8855" s="369" cm="1">
        <f t="array" ref="M8855">+_xlfn.IFS((C8855&gt;='Resultats - informe'!$D$26)*(C8855&lt;='Resultats - informe'!$E$26),0,(C8855&gt;='Resultats - informe'!$D$27)*(C8855&lt;='Resultats - informe'!$E$27),0,(C8855&gt;='Resultats - informe'!$D$28)*(C8855&lt;='Resultats - informe'!$E$28),0,(C8855&gt;='Resultats - informe'!$D$29)*(C8855&lt;='Resultats - informe'!$E$29),0,1,1)</f>
        <v>0</v>
      </c>
      <c r="N8855" s="366">
        <f>+VLOOKUP(D8855,'Resultats - informe'!$Y$18:$AG$42,'Introducció dades consum'!K8855+1,0)</f>
        <v>0</v>
      </c>
      <c r="O8855" s="370" cm="1">
        <f t="array" ref="O8855">+_xlfn.SWITCH(MONTH(C8855),1,1,2,1,3,1,4,2,5,2,6,3,7,3,8,3,9,3,10,2,11,2,12,1,2)</f>
        <v>1</v>
      </c>
      <c r="P8855" s="43"/>
    </row>
    <row r="8856" spans="1:16" ht="18" x14ac:dyDescent="0.35">
      <c r="A8856" s="43"/>
      <c r="C8856" s="393"/>
      <c r="E8856" s="394"/>
      <c r="F8856" s="394"/>
      <c r="G8856" s="394"/>
      <c r="I8856" s="368">
        <f t="shared" si="420"/>
        <v>0</v>
      </c>
      <c r="J8856" s="365">
        <f t="shared" si="421"/>
        <v>0</v>
      </c>
      <c r="K8856" s="369">
        <f t="shared" si="422"/>
        <v>6</v>
      </c>
      <c r="L8856" s="369">
        <f>+IF((C8856&gt;='Resultats - informe'!$E$16)*(C8856&lt;='Resultats - informe'!$G$16),1,0)</f>
        <v>1</v>
      </c>
      <c r="M8856" s="369" cm="1">
        <f t="array" ref="M8856">+_xlfn.IFS((C8856&gt;='Resultats - informe'!$D$26)*(C8856&lt;='Resultats - informe'!$E$26),0,(C8856&gt;='Resultats - informe'!$D$27)*(C8856&lt;='Resultats - informe'!$E$27),0,(C8856&gt;='Resultats - informe'!$D$28)*(C8856&lt;='Resultats - informe'!$E$28),0,(C8856&gt;='Resultats - informe'!$D$29)*(C8856&lt;='Resultats - informe'!$E$29),0,1,1)</f>
        <v>0</v>
      </c>
      <c r="N8856" s="366">
        <f>+VLOOKUP(D8856,'Resultats - informe'!$Y$18:$AG$42,'Introducció dades consum'!K8856+1,0)</f>
        <v>0</v>
      </c>
      <c r="O8856" s="370" cm="1">
        <f t="array" ref="O8856">+_xlfn.SWITCH(MONTH(C8856),1,1,2,1,3,1,4,2,5,2,6,3,7,3,8,3,9,3,10,2,11,2,12,1,2)</f>
        <v>1</v>
      </c>
      <c r="P8856" s="43"/>
    </row>
    <row r="8857" spans="1:16" ht="18" x14ac:dyDescent="0.35">
      <c r="A8857" s="43"/>
      <c r="C8857" s="393"/>
      <c r="E8857" s="394"/>
      <c r="F8857" s="394"/>
      <c r="G8857" s="394"/>
      <c r="I8857" s="368">
        <f t="shared" si="420"/>
        <v>0</v>
      </c>
      <c r="J8857" s="365">
        <f t="shared" si="421"/>
        <v>0</v>
      </c>
      <c r="K8857" s="369">
        <f t="shared" si="422"/>
        <v>6</v>
      </c>
      <c r="L8857" s="369">
        <f>+IF((C8857&gt;='Resultats - informe'!$E$16)*(C8857&lt;='Resultats - informe'!$G$16),1,0)</f>
        <v>1</v>
      </c>
      <c r="M8857" s="369" cm="1">
        <f t="array" ref="M8857">+_xlfn.IFS((C8857&gt;='Resultats - informe'!$D$26)*(C8857&lt;='Resultats - informe'!$E$26),0,(C8857&gt;='Resultats - informe'!$D$27)*(C8857&lt;='Resultats - informe'!$E$27),0,(C8857&gt;='Resultats - informe'!$D$28)*(C8857&lt;='Resultats - informe'!$E$28),0,(C8857&gt;='Resultats - informe'!$D$29)*(C8857&lt;='Resultats - informe'!$E$29),0,1,1)</f>
        <v>0</v>
      </c>
      <c r="N8857" s="366">
        <f>+VLOOKUP(D8857,'Resultats - informe'!$Y$18:$AG$42,'Introducció dades consum'!K8857+1,0)</f>
        <v>0</v>
      </c>
      <c r="O8857" s="370" cm="1">
        <f t="array" ref="O8857">+_xlfn.SWITCH(MONTH(C8857),1,1,2,1,3,1,4,2,5,2,6,3,7,3,8,3,9,3,10,2,11,2,12,1,2)</f>
        <v>1</v>
      </c>
      <c r="P8857" s="43"/>
    </row>
    <row r="8858" spans="1:16" ht="18" x14ac:dyDescent="0.35">
      <c r="A8858" s="43"/>
      <c r="C8858" s="393"/>
      <c r="E8858" s="394"/>
      <c r="F8858" s="394"/>
      <c r="G8858" s="394"/>
      <c r="I8858" s="368">
        <f t="shared" si="420"/>
        <v>0</v>
      </c>
      <c r="J8858" s="365">
        <f t="shared" si="421"/>
        <v>0</v>
      </c>
      <c r="K8858" s="369">
        <f t="shared" si="422"/>
        <v>6</v>
      </c>
      <c r="L8858" s="369">
        <f>+IF((C8858&gt;='Resultats - informe'!$E$16)*(C8858&lt;='Resultats - informe'!$G$16),1,0)</f>
        <v>1</v>
      </c>
      <c r="M8858" s="369" cm="1">
        <f t="array" ref="M8858">+_xlfn.IFS((C8858&gt;='Resultats - informe'!$D$26)*(C8858&lt;='Resultats - informe'!$E$26),0,(C8858&gt;='Resultats - informe'!$D$27)*(C8858&lt;='Resultats - informe'!$E$27),0,(C8858&gt;='Resultats - informe'!$D$28)*(C8858&lt;='Resultats - informe'!$E$28),0,(C8858&gt;='Resultats - informe'!$D$29)*(C8858&lt;='Resultats - informe'!$E$29),0,1,1)</f>
        <v>0</v>
      </c>
      <c r="N8858" s="366">
        <f>+VLOOKUP(D8858,'Resultats - informe'!$Y$18:$AG$42,'Introducció dades consum'!K8858+1,0)</f>
        <v>0</v>
      </c>
      <c r="O8858" s="370" cm="1">
        <f t="array" ref="O8858">+_xlfn.SWITCH(MONTH(C8858),1,1,2,1,3,1,4,2,5,2,6,3,7,3,8,3,9,3,10,2,11,2,12,1,2)</f>
        <v>1</v>
      </c>
      <c r="P8858" s="43"/>
    </row>
    <row r="8859" spans="1:16" ht="18" x14ac:dyDescent="0.35">
      <c r="A8859" s="43"/>
      <c r="C8859" s="393"/>
      <c r="E8859" s="394"/>
      <c r="F8859" s="394"/>
      <c r="G8859" s="394"/>
      <c r="I8859" s="368">
        <f t="shared" si="420"/>
        <v>0</v>
      </c>
      <c r="J8859" s="365">
        <f t="shared" si="421"/>
        <v>0</v>
      </c>
      <c r="K8859" s="369">
        <f t="shared" si="422"/>
        <v>6</v>
      </c>
      <c r="L8859" s="369">
        <f>+IF((C8859&gt;='Resultats - informe'!$E$16)*(C8859&lt;='Resultats - informe'!$G$16),1,0)</f>
        <v>1</v>
      </c>
      <c r="M8859" s="369" cm="1">
        <f t="array" ref="M8859">+_xlfn.IFS((C8859&gt;='Resultats - informe'!$D$26)*(C8859&lt;='Resultats - informe'!$E$26),0,(C8859&gt;='Resultats - informe'!$D$27)*(C8859&lt;='Resultats - informe'!$E$27),0,(C8859&gt;='Resultats - informe'!$D$28)*(C8859&lt;='Resultats - informe'!$E$28),0,(C8859&gt;='Resultats - informe'!$D$29)*(C8859&lt;='Resultats - informe'!$E$29),0,1,1)</f>
        <v>0</v>
      </c>
      <c r="N8859" s="366">
        <f>+VLOOKUP(D8859,'Resultats - informe'!$Y$18:$AG$42,'Introducció dades consum'!K8859+1,0)</f>
        <v>0</v>
      </c>
      <c r="O8859" s="370" cm="1">
        <f t="array" ref="O8859">+_xlfn.SWITCH(MONTH(C8859),1,1,2,1,3,1,4,2,5,2,6,3,7,3,8,3,9,3,10,2,11,2,12,1,2)</f>
        <v>1</v>
      </c>
      <c r="P8859" s="43"/>
    </row>
    <row r="8860" spans="1:16" ht="18" x14ac:dyDescent="0.35">
      <c r="A8860" s="43"/>
      <c r="C8860" s="393"/>
      <c r="E8860" s="394"/>
      <c r="F8860" s="394"/>
      <c r="G8860" s="394"/>
      <c r="I8860" s="368">
        <f t="shared" si="420"/>
        <v>0</v>
      </c>
      <c r="J8860" s="365">
        <f t="shared" si="421"/>
        <v>0</v>
      </c>
      <c r="K8860" s="369">
        <f t="shared" si="422"/>
        <v>6</v>
      </c>
      <c r="L8860" s="369">
        <f>+IF((C8860&gt;='Resultats - informe'!$E$16)*(C8860&lt;='Resultats - informe'!$G$16),1,0)</f>
        <v>1</v>
      </c>
      <c r="M8860" s="369" cm="1">
        <f t="array" ref="M8860">+_xlfn.IFS((C8860&gt;='Resultats - informe'!$D$26)*(C8860&lt;='Resultats - informe'!$E$26),0,(C8860&gt;='Resultats - informe'!$D$27)*(C8860&lt;='Resultats - informe'!$E$27),0,(C8860&gt;='Resultats - informe'!$D$28)*(C8860&lt;='Resultats - informe'!$E$28),0,(C8860&gt;='Resultats - informe'!$D$29)*(C8860&lt;='Resultats - informe'!$E$29),0,1,1)</f>
        <v>0</v>
      </c>
      <c r="N8860" s="366">
        <f>+VLOOKUP(D8860,'Resultats - informe'!$Y$18:$AG$42,'Introducció dades consum'!K8860+1,0)</f>
        <v>0</v>
      </c>
      <c r="O8860" s="370" cm="1">
        <f t="array" ref="O8860">+_xlfn.SWITCH(MONTH(C8860),1,1,2,1,3,1,4,2,5,2,6,3,7,3,8,3,9,3,10,2,11,2,12,1,2)</f>
        <v>1</v>
      </c>
      <c r="P8860" s="43"/>
    </row>
    <row r="8861" spans="1:16" ht="18" x14ac:dyDescent="0.35">
      <c r="A8861" s="43"/>
      <c r="C8861" s="393"/>
      <c r="E8861" s="394"/>
      <c r="F8861" s="394"/>
      <c r="G8861" s="394"/>
      <c r="I8861" s="368">
        <f t="shared" si="420"/>
        <v>0</v>
      </c>
      <c r="J8861" s="365">
        <f t="shared" si="421"/>
        <v>0</v>
      </c>
      <c r="K8861" s="369">
        <f t="shared" si="422"/>
        <v>6</v>
      </c>
      <c r="L8861" s="369">
        <f>+IF((C8861&gt;='Resultats - informe'!$E$16)*(C8861&lt;='Resultats - informe'!$G$16),1,0)</f>
        <v>1</v>
      </c>
      <c r="M8861" s="369" cm="1">
        <f t="array" ref="M8861">+_xlfn.IFS((C8861&gt;='Resultats - informe'!$D$26)*(C8861&lt;='Resultats - informe'!$E$26),0,(C8861&gt;='Resultats - informe'!$D$27)*(C8861&lt;='Resultats - informe'!$E$27),0,(C8861&gt;='Resultats - informe'!$D$28)*(C8861&lt;='Resultats - informe'!$E$28),0,(C8861&gt;='Resultats - informe'!$D$29)*(C8861&lt;='Resultats - informe'!$E$29),0,1,1)</f>
        <v>0</v>
      </c>
      <c r="N8861" s="366">
        <f>+VLOOKUP(D8861,'Resultats - informe'!$Y$18:$AG$42,'Introducció dades consum'!K8861+1,0)</f>
        <v>0</v>
      </c>
      <c r="O8861" s="370" cm="1">
        <f t="array" ref="O8861">+_xlfn.SWITCH(MONTH(C8861),1,1,2,1,3,1,4,2,5,2,6,3,7,3,8,3,9,3,10,2,11,2,12,1,2)</f>
        <v>1</v>
      </c>
      <c r="P8861" s="43"/>
    </row>
    <row r="8862" spans="1:16" ht="18" x14ac:dyDescent="0.35">
      <c r="A8862" s="43"/>
      <c r="C8862" s="393"/>
      <c r="E8862" s="394"/>
      <c r="F8862" s="394"/>
      <c r="G8862" s="394"/>
      <c r="I8862" s="368">
        <f t="shared" si="420"/>
        <v>0</v>
      </c>
      <c r="J8862" s="365">
        <f t="shared" si="421"/>
        <v>0</v>
      </c>
      <c r="K8862" s="369">
        <f t="shared" si="422"/>
        <v>6</v>
      </c>
      <c r="L8862" s="369">
        <f>+IF((C8862&gt;='Resultats - informe'!$E$16)*(C8862&lt;='Resultats - informe'!$G$16),1,0)</f>
        <v>1</v>
      </c>
      <c r="M8862" s="369" cm="1">
        <f t="array" ref="M8862">+_xlfn.IFS((C8862&gt;='Resultats - informe'!$D$26)*(C8862&lt;='Resultats - informe'!$E$26),0,(C8862&gt;='Resultats - informe'!$D$27)*(C8862&lt;='Resultats - informe'!$E$27),0,(C8862&gt;='Resultats - informe'!$D$28)*(C8862&lt;='Resultats - informe'!$E$28),0,(C8862&gt;='Resultats - informe'!$D$29)*(C8862&lt;='Resultats - informe'!$E$29),0,1,1)</f>
        <v>0</v>
      </c>
      <c r="N8862" s="366">
        <f>+VLOOKUP(D8862,'Resultats - informe'!$Y$18:$AG$42,'Introducció dades consum'!K8862+1,0)</f>
        <v>0</v>
      </c>
      <c r="O8862" s="370" cm="1">
        <f t="array" ref="O8862">+_xlfn.SWITCH(MONTH(C8862),1,1,2,1,3,1,4,2,5,2,6,3,7,3,8,3,9,3,10,2,11,2,12,1,2)</f>
        <v>1</v>
      </c>
      <c r="P8862" s="43"/>
    </row>
    <row r="8863" spans="1:16" ht="18" x14ac:dyDescent="0.35">
      <c r="A8863" s="43"/>
      <c r="C8863" s="393"/>
      <c r="E8863" s="394"/>
      <c r="F8863" s="394"/>
      <c r="G8863" s="394"/>
      <c r="I8863" s="368">
        <f t="shared" si="420"/>
        <v>0</v>
      </c>
      <c r="J8863" s="365">
        <f t="shared" si="421"/>
        <v>0</v>
      </c>
      <c r="K8863" s="369">
        <f t="shared" si="422"/>
        <v>6</v>
      </c>
      <c r="L8863" s="369">
        <f>+IF((C8863&gt;='Resultats - informe'!$E$16)*(C8863&lt;='Resultats - informe'!$G$16),1,0)</f>
        <v>1</v>
      </c>
      <c r="M8863" s="369" cm="1">
        <f t="array" ref="M8863">+_xlfn.IFS((C8863&gt;='Resultats - informe'!$D$26)*(C8863&lt;='Resultats - informe'!$E$26),0,(C8863&gt;='Resultats - informe'!$D$27)*(C8863&lt;='Resultats - informe'!$E$27),0,(C8863&gt;='Resultats - informe'!$D$28)*(C8863&lt;='Resultats - informe'!$E$28),0,(C8863&gt;='Resultats - informe'!$D$29)*(C8863&lt;='Resultats - informe'!$E$29),0,1,1)</f>
        <v>0</v>
      </c>
      <c r="N8863" s="366">
        <f>+VLOOKUP(D8863,'Resultats - informe'!$Y$18:$AG$42,'Introducció dades consum'!K8863+1,0)</f>
        <v>0</v>
      </c>
      <c r="O8863" s="370" cm="1">
        <f t="array" ref="O8863">+_xlfn.SWITCH(MONTH(C8863),1,1,2,1,3,1,4,2,5,2,6,3,7,3,8,3,9,3,10,2,11,2,12,1,2)</f>
        <v>1</v>
      </c>
      <c r="P8863" s="43"/>
    </row>
    <row r="8864" spans="1:16" ht="18" x14ac:dyDescent="0.35">
      <c r="A8864" s="43"/>
      <c r="C8864" s="393"/>
      <c r="E8864" s="394"/>
      <c r="F8864" s="394"/>
      <c r="G8864" s="394"/>
      <c r="I8864" s="368">
        <f t="shared" si="420"/>
        <v>0</v>
      </c>
      <c r="J8864" s="365">
        <f t="shared" si="421"/>
        <v>0</v>
      </c>
      <c r="K8864" s="369">
        <f t="shared" si="422"/>
        <v>6</v>
      </c>
      <c r="L8864" s="369">
        <f>+IF((C8864&gt;='Resultats - informe'!$E$16)*(C8864&lt;='Resultats - informe'!$G$16),1,0)</f>
        <v>1</v>
      </c>
      <c r="M8864" s="369" cm="1">
        <f t="array" ref="M8864">+_xlfn.IFS((C8864&gt;='Resultats - informe'!$D$26)*(C8864&lt;='Resultats - informe'!$E$26),0,(C8864&gt;='Resultats - informe'!$D$27)*(C8864&lt;='Resultats - informe'!$E$27),0,(C8864&gt;='Resultats - informe'!$D$28)*(C8864&lt;='Resultats - informe'!$E$28),0,(C8864&gt;='Resultats - informe'!$D$29)*(C8864&lt;='Resultats - informe'!$E$29),0,1,1)</f>
        <v>0</v>
      </c>
      <c r="N8864" s="366">
        <f>+VLOOKUP(D8864,'Resultats - informe'!$Y$18:$AG$42,'Introducció dades consum'!K8864+1,0)</f>
        <v>0</v>
      </c>
      <c r="O8864" s="370" cm="1">
        <f t="array" ref="O8864">+_xlfn.SWITCH(MONTH(C8864),1,1,2,1,3,1,4,2,5,2,6,3,7,3,8,3,9,3,10,2,11,2,12,1,2)</f>
        <v>1</v>
      </c>
      <c r="P8864" s="43"/>
    </row>
    <row r="8865" spans="1:16" ht="18" x14ac:dyDescent="0.35">
      <c r="A8865" s="43"/>
      <c r="C8865" s="393"/>
      <c r="E8865" s="394"/>
      <c r="F8865" s="394"/>
      <c r="G8865" s="394"/>
      <c r="I8865" s="368">
        <f t="shared" si="420"/>
        <v>0</v>
      </c>
      <c r="J8865" s="365">
        <f t="shared" si="421"/>
        <v>0</v>
      </c>
      <c r="K8865" s="369">
        <f t="shared" si="422"/>
        <v>6</v>
      </c>
      <c r="L8865" s="369">
        <f>+IF((C8865&gt;='Resultats - informe'!$E$16)*(C8865&lt;='Resultats - informe'!$G$16),1,0)</f>
        <v>1</v>
      </c>
      <c r="M8865" s="369" cm="1">
        <f t="array" ref="M8865">+_xlfn.IFS((C8865&gt;='Resultats - informe'!$D$26)*(C8865&lt;='Resultats - informe'!$E$26),0,(C8865&gt;='Resultats - informe'!$D$27)*(C8865&lt;='Resultats - informe'!$E$27),0,(C8865&gt;='Resultats - informe'!$D$28)*(C8865&lt;='Resultats - informe'!$E$28),0,(C8865&gt;='Resultats - informe'!$D$29)*(C8865&lt;='Resultats - informe'!$E$29),0,1,1)</f>
        <v>0</v>
      </c>
      <c r="N8865" s="366">
        <f>+VLOOKUP(D8865,'Resultats - informe'!$Y$18:$AG$42,'Introducció dades consum'!K8865+1,0)</f>
        <v>0</v>
      </c>
      <c r="O8865" s="370" cm="1">
        <f t="array" ref="O8865">+_xlfn.SWITCH(MONTH(C8865),1,1,2,1,3,1,4,2,5,2,6,3,7,3,8,3,9,3,10,2,11,2,12,1,2)</f>
        <v>1</v>
      </c>
      <c r="P8865" s="43"/>
    </row>
    <row r="8866" spans="1:16" ht="18" x14ac:dyDescent="0.35">
      <c r="A8866" s="43"/>
      <c r="C8866" s="393"/>
      <c r="E8866" s="394"/>
      <c r="F8866" s="394"/>
      <c r="G8866" s="394"/>
      <c r="I8866" s="368">
        <f t="shared" si="420"/>
        <v>0</v>
      </c>
      <c r="J8866" s="365">
        <f t="shared" si="421"/>
        <v>0</v>
      </c>
      <c r="K8866" s="369">
        <f t="shared" si="422"/>
        <v>6</v>
      </c>
      <c r="L8866" s="369">
        <f>+IF((C8866&gt;='Resultats - informe'!$E$16)*(C8866&lt;='Resultats - informe'!$G$16),1,0)</f>
        <v>1</v>
      </c>
      <c r="M8866" s="369" cm="1">
        <f t="array" ref="M8866">+_xlfn.IFS((C8866&gt;='Resultats - informe'!$D$26)*(C8866&lt;='Resultats - informe'!$E$26),0,(C8866&gt;='Resultats - informe'!$D$27)*(C8866&lt;='Resultats - informe'!$E$27),0,(C8866&gt;='Resultats - informe'!$D$28)*(C8866&lt;='Resultats - informe'!$E$28),0,(C8866&gt;='Resultats - informe'!$D$29)*(C8866&lt;='Resultats - informe'!$E$29),0,1,1)</f>
        <v>0</v>
      </c>
      <c r="N8866" s="366">
        <f>+VLOOKUP(D8866,'Resultats - informe'!$Y$18:$AG$42,'Introducció dades consum'!K8866+1,0)</f>
        <v>0</v>
      </c>
      <c r="O8866" s="370" cm="1">
        <f t="array" ref="O8866">+_xlfn.SWITCH(MONTH(C8866),1,1,2,1,3,1,4,2,5,2,6,3,7,3,8,3,9,3,10,2,11,2,12,1,2)</f>
        <v>1</v>
      </c>
      <c r="P8866" s="43"/>
    </row>
    <row r="8867" spans="1:16" ht="18" x14ac:dyDescent="0.35">
      <c r="A8867" s="43"/>
      <c r="C8867" s="393"/>
      <c r="E8867" s="394"/>
      <c r="F8867" s="394"/>
      <c r="G8867" s="394"/>
      <c r="I8867" s="368">
        <f t="shared" si="420"/>
        <v>0</v>
      </c>
      <c r="J8867" s="365">
        <f t="shared" si="421"/>
        <v>0</v>
      </c>
      <c r="K8867" s="369">
        <f t="shared" si="422"/>
        <v>6</v>
      </c>
      <c r="L8867" s="369">
        <f>+IF((C8867&gt;='Resultats - informe'!$E$16)*(C8867&lt;='Resultats - informe'!$G$16),1,0)</f>
        <v>1</v>
      </c>
      <c r="M8867" s="369" cm="1">
        <f t="array" ref="M8867">+_xlfn.IFS((C8867&gt;='Resultats - informe'!$D$26)*(C8867&lt;='Resultats - informe'!$E$26),0,(C8867&gt;='Resultats - informe'!$D$27)*(C8867&lt;='Resultats - informe'!$E$27),0,(C8867&gt;='Resultats - informe'!$D$28)*(C8867&lt;='Resultats - informe'!$E$28),0,(C8867&gt;='Resultats - informe'!$D$29)*(C8867&lt;='Resultats - informe'!$E$29),0,1,1)</f>
        <v>0</v>
      </c>
      <c r="N8867" s="366">
        <f>+VLOOKUP(D8867,'Resultats - informe'!$Y$18:$AG$42,'Introducció dades consum'!K8867+1,0)</f>
        <v>0</v>
      </c>
      <c r="O8867" s="370" cm="1">
        <f t="array" ref="O8867">+_xlfn.SWITCH(MONTH(C8867),1,1,2,1,3,1,4,2,5,2,6,3,7,3,8,3,9,3,10,2,11,2,12,1,2)</f>
        <v>1</v>
      </c>
      <c r="P8867" s="43"/>
    </row>
    <row r="8868" spans="1:16" ht="18" x14ac:dyDescent="0.35">
      <c r="A8868" s="43"/>
      <c r="C8868" s="393"/>
      <c r="E8868" s="394"/>
      <c r="F8868" s="394"/>
      <c r="G8868" s="394"/>
      <c r="I8868" s="368">
        <f t="shared" si="420"/>
        <v>0</v>
      </c>
      <c r="J8868" s="365">
        <f t="shared" si="421"/>
        <v>0</v>
      </c>
      <c r="K8868" s="369">
        <f t="shared" si="422"/>
        <v>6</v>
      </c>
      <c r="L8868" s="369">
        <f>+IF((C8868&gt;='Resultats - informe'!$E$16)*(C8868&lt;='Resultats - informe'!$G$16),1,0)</f>
        <v>1</v>
      </c>
      <c r="M8868" s="369" cm="1">
        <f t="array" ref="M8868">+_xlfn.IFS((C8868&gt;='Resultats - informe'!$D$26)*(C8868&lt;='Resultats - informe'!$E$26),0,(C8868&gt;='Resultats - informe'!$D$27)*(C8868&lt;='Resultats - informe'!$E$27),0,(C8868&gt;='Resultats - informe'!$D$28)*(C8868&lt;='Resultats - informe'!$E$28),0,(C8868&gt;='Resultats - informe'!$D$29)*(C8868&lt;='Resultats - informe'!$E$29),0,1,1)</f>
        <v>0</v>
      </c>
      <c r="N8868" s="366">
        <f>+VLOOKUP(D8868,'Resultats - informe'!$Y$18:$AG$42,'Introducció dades consum'!K8868+1,0)</f>
        <v>0</v>
      </c>
      <c r="O8868" s="370" cm="1">
        <f t="array" ref="O8868">+_xlfn.SWITCH(MONTH(C8868),1,1,2,1,3,1,4,2,5,2,6,3,7,3,8,3,9,3,10,2,11,2,12,1,2)</f>
        <v>1</v>
      </c>
      <c r="P8868" s="43"/>
    </row>
    <row r="8869" spans="1:16" ht="18" x14ac:dyDescent="0.35">
      <c r="A8869" s="43"/>
      <c r="C8869" s="393"/>
      <c r="E8869" s="394"/>
      <c r="F8869" s="394"/>
      <c r="G8869" s="394"/>
      <c r="I8869" s="368">
        <f t="shared" si="420"/>
        <v>0</v>
      </c>
      <c r="J8869" s="365">
        <f t="shared" si="421"/>
        <v>0</v>
      </c>
      <c r="K8869" s="369">
        <f t="shared" si="422"/>
        <v>6</v>
      </c>
      <c r="L8869" s="369">
        <f>+IF((C8869&gt;='Resultats - informe'!$E$16)*(C8869&lt;='Resultats - informe'!$G$16),1,0)</f>
        <v>1</v>
      </c>
      <c r="M8869" s="369" cm="1">
        <f t="array" ref="M8869">+_xlfn.IFS((C8869&gt;='Resultats - informe'!$D$26)*(C8869&lt;='Resultats - informe'!$E$26),0,(C8869&gt;='Resultats - informe'!$D$27)*(C8869&lt;='Resultats - informe'!$E$27),0,(C8869&gt;='Resultats - informe'!$D$28)*(C8869&lt;='Resultats - informe'!$E$28),0,(C8869&gt;='Resultats - informe'!$D$29)*(C8869&lt;='Resultats - informe'!$E$29),0,1,1)</f>
        <v>0</v>
      </c>
      <c r="N8869" s="366">
        <f>+VLOOKUP(D8869,'Resultats - informe'!$Y$18:$AG$42,'Introducció dades consum'!K8869+1,0)</f>
        <v>0</v>
      </c>
      <c r="O8869" s="370" cm="1">
        <f t="array" ref="O8869">+_xlfn.SWITCH(MONTH(C8869),1,1,2,1,3,1,4,2,5,2,6,3,7,3,8,3,9,3,10,2,11,2,12,1,2)</f>
        <v>1</v>
      </c>
      <c r="P8869" s="43"/>
    </row>
    <row r="8870" spans="1:16" ht="18" x14ac:dyDescent="0.35">
      <c r="A8870" s="43"/>
      <c r="C8870" s="393"/>
      <c r="E8870" s="394"/>
      <c r="F8870" s="394"/>
      <c r="G8870" s="394"/>
      <c r="I8870" s="368">
        <f t="shared" si="420"/>
        <v>0</v>
      </c>
      <c r="J8870" s="365">
        <f t="shared" si="421"/>
        <v>0</v>
      </c>
      <c r="K8870" s="369">
        <f t="shared" si="422"/>
        <v>6</v>
      </c>
      <c r="L8870" s="369">
        <f>+IF((C8870&gt;='Resultats - informe'!$E$16)*(C8870&lt;='Resultats - informe'!$G$16),1,0)</f>
        <v>1</v>
      </c>
      <c r="M8870" s="369" cm="1">
        <f t="array" ref="M8870">+_xlfn.IFS((C8870&gt;='Resultats - informe'!$D$26)*(C8870&lt;='Resultats - informe'!$E$26),0,(C8870&gt;='Resultats - informe'!$D$27)*(C8870&lt;='Resultats - informe'!$E$27),0,(C8870&gt;='Resultats - informe'!$D$28)*(C8870&lt;='Resultats - informe'!$E$28),0,(C8870&gt;='Resultats - informe'!$D$29)*(C8870&lt;='Resultats - informe'!$E$29),0,1,1)</f>
        <v>0</v>
      </c>
      <c r="N8870" s="366">
        <f>+VLOOKUP(D8870,'Resultats - informe'!$Y$18:$AG$42,'Introducció dades consum'!K8870+1,0)</f>
        <v>0</v>
      </c>
      <c r="O8870" s="370" cm="1">
        <f t="array" ref="O8870">+_xlfn.SWITCH(MONTH(C8870),1,1,2,1,3,1,4,2,5,2,6,3,7,3,8,3,9,3,10,2,11,2,12,1,2)</f>
        <v>1</v>
      </c>
      <c r="P8870" s="43"/>
    </row>
    <row r="8871" spans="1:16" ht="18" x14ac:dyDescent="0.35">
      <c r="A8871" s="43"/>
      <c r="C8871" s="393"/>
      <c r="E8871" s="394"/>
      <c r="F8871" s="394"/>
      <c r="G8871" s="394"/>
      <c r="I8871" s="368">
        <f t="shared" si="420"/>
        <v>0</v>
      </c>
      <c r="J8871" s="365">
        <f t="shared" si="421"/>
        <v>0</v>
      </c>
      <c r="K8871" s="369">
        <f t="shared" si="422"/>
        <v>6</v>
      </c>
      <c r="L8871" s="369">
        <f>+IF((C8871&gt;='Resultats - informe'!$E$16)*(C8871&lt;='Resultats - informe'!$G$16),1,0)</f>
        <v>1</v>
      </c>
      <c r="M8871" s="369" cm="1">
        <f t="array" ref="M8871">+_xlfn.IFS((C8871&gt;='Resultats - informe'!$D$26)*(C8871&lt;='Resultats - informe'!$E$26),0,(C8871&gt;='Resultats - informe'!$D$27)*(C8871&lt;='Resultats - informe'!$E$27),0,(C8871&gt;='Resultats - informe'!$D$28)*(C8871&lt;='Resultats - informe'!$E$28),0,(C8871&gt;='Resultats - informe'!$D$29)*(C8871&lt;='Resultats - informe'!$E$29),0,1,1)</f>
        <v>0</v>
      </c>
      <c r="N8871" s="366">
        <f>+VLOOKUP(D8871,'Resultats - informe'!$Y$18:$AG$42,'Introducció dades consum'!K8871+1,0)</f>
        <v>0</v>
      </c>
      <c r="O8871" s="370" cm="1">
        <f t="array" ref="O8871">+_xlfn.SWITCH(MONTH(C8871),1,1,2,1,3,1,4,2,5,2,6,3,7,3,8,3,9,3,10,2,11,2,12,1,2)</f>
        <v>1</v>
      </c>
      <c r="P8871" s="43"/>
    </row>
    <row r="8872" spans="1:16" ht="18" x14ac:dyDescent="0.35">
      <c r="A8872" s="43"/>
      <c r="C8872" s="393"/>
      <c r="E8872" s="394"/>
      <c r="F8872" s="394"/>
      <c r="G8872" s="394"/>
      <c r="I8872" s="368">
        <f t="shared" si="420"/>
        <v>0</v>
      </c>
      <c r="J8872" s="365">
        <f t="shared" si="421"/>
        <v>0</v>
      </c>
      <c r="K8872" s="369">
        <f t="shared" si="422"/>
        <v>6</v>
      </c>
      <c r="L8872" s="369">
        <f>+IF((C8872&gt;='Resultats - informe'!$E$16)*(C8872&lt;='Resultats - informe'!$G$16),1,0)</f>
        <v>1</v>
      </c>
      <c r="M8872" s="369" cm="1">
        <f t="array" ref="M8872">+_xlfn.IFS((C8872&gt;='Resultats - informe'!$D$26)*(C8872&lt;='Resultats - informe'!$E$26),0,(C8872&gt;='Resultats - informe'!$D$27)*(C8872&lt;='Resultats - informe'!$E$27),0,(C8872&gt;='Resultats - informe'!$D$28)*(C8872&lt;='Resultats - informe'!$E$28),0,(C8872&gt;='Resultats - informe'!$D$29)*(C8872&lt;='Resultats - informe'!$E$29),0,1,1)</f>
        <v>0</v>
      </c>
      <c r="N8872" s="366">
        <f>+VLOOKUP(D8872,'Resultats - informe'!$Y$18:$AG$42,'Introducció dades consum'!K8872+1,0)</f>
        <v>0</v>
      </c>
      <c r="O8872" s="370" cm="1">
        <f t="array" ref="O8872">+_xlfn.SWITCH(MONTH(C8872),1,1,2,1,3,1,4,2,5,2,6,3,7,3,8,3,9,3,10,2,11,2,12,1,2)</f>
        <v>1</v>
      </c>
      <c r="P8872" s="43"/>
    </row>
    <row r="8873" spans="1:16" ht="18" x14ac:dyDescent="0.35">
      <c r="A8873" s="43"/>
      <c r="C8873" s="393"/>
      <c r="E8873" s="394"/>
      <c r="F8873" s="394"/>
      <c r="G8873" s="394"/>
      <c r="I8873" s="368">
        <f t="shared" si="420"/>
        <v>0</v>
      </c>
      <c r="J8873" s="365">
        <f t="shared" si="421"/>
        <v>0</v>
      </c>
      <c r="K8873" s="369">
        <f t="shared" si="422"/>
        <v>6</v>
      </c>
      <c r="L8873" s="369">
        <f>+IF((C8873&gt;='Resultats - informe'!$E$16)*(C8873&lt;='Resultats - informe'!$G$16),1,0)</f>
        <v>1</v>
      </c>
      <c r="M8873" s="369" cm="1">
        <f t="array" ref="M8873">+_xlfn.IFS((C8873&gt;='Resultats - informe'!$D$26)*(C8873&lt;='Resultats - informe'!$E$26),0,(C8873&gt;='Resultats - informe'!$D$27)*(C8873&lt;='Resultats - informe'!$E$27),0,(C8873&gt;='Resultats - informe'!$D$28)*(C8873&lt;='Resultats - informe'!$E$28),0,(C8873&gt;='Resultats - informe'!$D$29)*(C8873&lt;='Resultats - informe'!$E$29),0,1,1)</f>
        <v>0</v>
      </c>
      <c r="N8873" s="366">
        <f>+VLOOKUP(D8873,'Resultats - informe'!$Y$18:$AG$42,'Introducció dades consum'!K8873+1,0)</f>
        <v>0</v>
      </c>
      <c r="O8873" s="370" cm="1">
        <f t="array" ref="O8873">+_xlfn.SWITCH(MONTH(C8873),1,1,2,1,3,1,4,2,5,2,6,3,7,3,8,3,9,3,10,2,11,2,12,1,2)</f>
        <v>1</v>
      </c>
      <c r="P8873" s="43"/>
    </row>
    <row r="8874" spans="1:16" ht="18" x14ac:dyDescent="0.35">
      <c r="A8874" s="43"/>
      <c r="C8874" s="393"/>
      <c r="E8874" s="394"/>
      <c r="F8874" s="394"/>
      <c r="G8874" s="394"/>
      <c r="I8874" s="368">
        <f t="shared" si="420"/>
        <v>0</v>
      </c>
      <c r="J8874" s="365">
        <f t="shared" si="421"/>
        <v>0</v>
      </c>
      <c r="K8874" s="369">
        <f t="shared" si="422"/>
        <v>6</v>
      </c>
      <c r="L8874" s="369">
        <f>+IF((C8874&gt;='Resultats - informe'!$E$16)*(C8874&lt;='Resultats - informe'!$G$16),1,0)</f>
        <v>1</v>
      </c>
      <c r="M8874" s="369" cm="1">
        <f t="array" ref="M8874">+_xlfn.IFS((C8874&gt;='Resultats - informe'!$D$26)*(C8874&lt;='Resultats - informe'!$E$26),0,(C8874&gt;='Resultats - informe'!$D$27)*(C8874&lt;='Resultats - informe'!$E$27),0,(C8874&gt;='Resultats - informe'!$D$28)*(C8874&lt;='Resultats - informe'!$E$28),0,(C8874&gt;='Resultats - informe'!$D$29)*(C8874&lt;='Resultats - informe'!$E$29),0,1,1)</f>
        <v>0</v>
      </c>
      <c r="N8874" s="366">
        <f>+VLOOKUP(D8874,'Resultats - informe'!$Y$18:$AG$42,'Introducció dades consum'!K8874+1,0)</f>
        <v>0</v>
      </c>
      <c r="O8874" s="370" cm="1">
        <f t="array" ref="O8874">+_xlfn.SWITCH(MONTH(C8874),1,1,2,1,3,1,4,2,5,2,6,3,7,3,8,3,9,3,10,2,11,2,12,1,2)</f>
        <v>1</v>
      </c>
      <c r="P8874" s="43"/>
    </row>
    <row r="8875" spans="1:16" ht="18" x14ac:dyDescent="0.35">
      <c r="A8875" s="43"/>
      <c r="C8875" s="393"/>
      <c r="E8875" s="394"/>
      <c r="F8875" s="394"/>
      <c r="G8875" s="394"/>
      <c r="I8875" s="368">
        <f t="shared" si="420"/>
        <v>0</v>
      </c>
      <c r="J8875" s="365">
        <f t="shared" si="421"/>
        <v>0</v>
      </c>
      <c r="K8875" s="369">
        <f t="shared" si="422"/>
        <v>6</v>
      </c>
      <c r="L8875" s="369">
        <f>+IF((C8875&gt;='Resultats - informe'!$E$16)*(C8875&lt;='Resultats - informe'!$G$16),1,0)</f>
        <v>1</v>
      </c>
      <c r="M8875" s="369" cm="1">
        <f t="array" ref="M8875">+_xlfn.IFS((C8875&gt;='Resultats - informe'!$D$26)*(C8875&lt;='Resultats - informe'!$E$26),0,(C8875&gt;='Resultats - informe'!$D$27)*(C8875&lt;='Resultats - informe'!$E$27),0,(C8875&gt;='Resultats - informe'!$D$28)*(C8875&lt;='Resultats - informe'!$E$28),0,(C8875&gt;='Resultats - informe'!$D$29)*(C8875&lt;='Resultats - informe'!$E$29),0,1,1)</f>
        <v>0</v>
      </c>
      <c r="N8875" s="366">
        <f>+VLOOKUP(D8875,'Resultats - informe'!$Y$18:$AG$42,'Introducció dades consum'!K8875+1,0)</f>
        <v>0</v>
      </c>
      <c r="O8875" s="370" cm="1">
        <f t="array" ref="O8875">+_xlfn.SWITCH(MONTH(C8875),1,1,2,1,3,1,4,2,5,2,6,3,7,3,8,3,9,3,10,2,11,2,12,1,2)</f>
        <v>1</v>
      </c>
      <c r="P8875" s="43"/>
    </row>
    <row r="8876" spans="1:16" ht="18" x14ac:dyDescent="0.35">
      <c r="A8876" s="43"/>
      <c r="C8876" s="393"/>
      <c r="E8876" s="394"/>
      <c r="F8876" s="394"/>
      <c r="G8876" s="394"/>
      <c r="I8876" s="368">
        <f t="shared" si="420"/>
        <v>0</v>
      </c>
      <c r="J8876" s="365">
        <f t="shared" si="421"/>
        <v>0</v>
      </c>
      <c r="K8876" s="369">
        <f t="shared" si="422"/>
        <v>6</v>
      </c>
      <c r="L8876" s="369">
        <f>+IF((C8876&gt;='Resultats - informe'!$E$16)*(C8876&lt;='Resultats - informe'!$G$16),1,0)</f>
        <v>1</v>
      </c>
      <c r="M8876" s="369" cm="1">
        <f t="array" ref="M8876">+_xlfn.IFS((C8876&gt;='Resultats - informe'!$D$26)*(C8876&lt;='Resultats - informe'!$E$26),0,(C8876&gt;='Resultats - informe'!$D$27)*(C8876&lt;='Resultats - informe'!$E$27),0,(C8876&gt;='Resultats - informe'!$D$28)*(C8876&lt;='Resultats - informe'!$E$28),0,(C8876&gt;='Resultats - informe'!$D$29)*(C8876&lt;='Resultats - informe'!$E$29),0,1,1)</f>
        <v>0</v>
      </c>
      <c r="N8876" s="366">
        <f>+VLOOKUP(D8876,'Resultats - informe'!$Y$18:$AG$42,'Introducció dades consum'!K8876+1,0)</f>
        <v>0</v>
      </c>
      <c r="O8876" s="370" cm="1">
        <f t="array" ref="O8876">+_xlfn.SWITCH(MONTH(C8876),1,1,2,1,3,1,4,2,5,2,6,3,7,3,8,3,9,3,10,2,11,2,12,1,2)</f>
        <v>1</v>
      </c>
      <c r="P8876" s="43"/>
    </row>
    <row r="8877" spans="1:16" ht="18" x14ac:dyDescent="0.35">
      <c r="A8877" s="43"/>
      <c r="C8877" s="393"/>
      <c r="E8877" s="394"/>
      <c r="F8877" s="394"/>
      <c r="G8877" s="394"/>
      <c r="I8877" s="368">
        <f t="shared" si="420"/>
        <v>0</v>
      </c>
      <c r="J8877" s="365">
        <f t="shared" si="421"/>
        <v>0</v>
      </c>
      <c r="K8877" s="369">
        <f t="shared" si="422"/>
        <v>6</v>
      </c>
      <c r="L8877" s="369">
        <f>+IF((C8877&gt;='Resultats - informe'!$E$16)*(C8877&lt;='Resultats - informe'!$G$16),1,0)</f>
        <v>1</v>
      </c>
      <c r="M8877" s="369" cm="1">
        <f t="array" ref="M8877">+_xlfn.IFS((C8877&gt;='Resultats - informe'!$D$26)*(C8877&lt;='Resultats - informe'!$E$26),0,(C8877&gt;='Resultats - informe'!$D$27)*(C8877&lt;='Resultats - informe'!$E$27),0,(C8877&gt;='Resultats - informe'!$D$28)*(C8877&lt;='Resultats - informe'!$E$28),0,(C8877&gt;='Resultats - informe'!$D$29)*(C8877&lt;='Resultats - informe'!$E$29),0,1,1)</f>
        <v>0</v>
      </c>
      <c r="N8877" s="366">
        <f>+VLOOKUP(D8877,'Resultats - informe'!$Y$18:$AG$42,'Introducció dades consum'!K8877+1,0)</f>
        <v>0</v>
      </c>
      <c r="O8877" s="370" cm="1">
        <f t="array" ref="O8877">+_xlfn.SWITCH(MONTH(C8877),1,1,2,1,3,1,4,2,5,2,6,3,7,3,8,3,9,3,10,2,11,2,12,1,2)</f>
        <v>1</v>
      </c>
      <c r="P8877" s="43"/>
    </row>
    <row r="8878" spans="1:16" ht="18" x14ac:dyDescent="0.35">
      <c r="A8878" s="43"/>
      <c r="C8878" s="393"/>
      <c r="E8878" s="394"/>
      <c r="F8878" s="394"/>
      <c r="G8878" s="394"/>
      <c r="I8878" s="368">
        <f t="shared" si="420"/>
        <v>0</v>
      </c>
      <c r="J8878" s="365">
        <f t="shared" si="421"/>
        <v>0</v>
      </c>
      <c r="K8878" s="369">
        <f t="shared" si="422"/>
        <v>6</v>
      </c>
      <c r="L8878" s="369">
        <f>+IF((C8878&gt;='Resultats - informe'!$E$16)*(C8878&lt;='Resultats - informe'!$G$16),1,0)</f>
        <v>1</v>
      </c>
      <c r="M8878" s="369" cm="1">
        <f t="array" ref="M8878">+_xlfn.IFS((C8878&gt;='Resultats - informe'!$D$26)*(C8878&lt;='Resultats - informe'!$E$26),0,(C8878&gt;='Resultats - informe'!$D$27)*(C8878&lt;='Resultats - informe'!$E$27),0,(C8878&gt;='Resultats - informe'!$D$28)*(C8878&lt;='Resultats - informe'!$E$28),0,(C8878&gt;='Resultats - informe'!$D$29)*(C8878&lt;='Resultats - informe'!$E$29),0,1,1)</f>
        <v>0</v>
      </c>
      <c r="N8878" s="366">
        <f>+VLOOKUP(D8878,'Resultats - informe'!$Y$18:$AG$42,'Introducció dades consum'!K8878+1,0)</f>
        <v>0</v>
      </c>
      <c r="O8878" s="370" cm="1">
        <f t="array" ref="O8878">+_xlfn.SWITCH(MONTH(C8878),1,1,2,1,3,1,4,2,5,2,6,3,7,3,8,3,9,3,10,2,11,2,12,1,2)</f>
        <v>1</v>
      </c>
      <c r="P8878" s="43"/>
    </row>
    <row r="8879" spans="1:16" ht="18" x14ac:dyDescent="0.35">
      <c r="A8879" s="43"/>
      <c r="C8879" s="393"/>
      <c r="E8879" s="394"/>
      <c r="F8879" s="394"/>
      <c r="G8879" s="394"/>
      <c r="I8879" s="368">
        <f t="shared" si="420"/>
        <v>0</v>
      </c>
      <c r="J8879" s="365">
        <f t="shared" si="421"/>
        <v>0</v>
      </c>
      <c r="K8879" s="369">
        <f t="shared" si="422"/>
        <v>6</v>
      </c>
      <c r="L8879" s="369">
        <f>+IF((C8879&gt;='Resultats - informe'!$E$16)*(C8879&lt;='Resultats - informe'!$G$16),1,0)</f>
        <v>1</v>
      </c>
      <c r="M8879" s="369" cm="1">
        <f t="array" ref="M8879">+_xlfn.IFS((C8879&gt;='Resultats - informe'!$D$26)*(C8879&lt;='Resultats - informe'!$E$26),0,(C8879&gt;='Resultats - informe'!$D$27)*(C8879&lt;='Resultats - informe'!$E$27),0,(C8879&gt;='Resultats - informe'!$D$28)*(C8879&lt;='Resultats - informe'!$E$28),0,(C8879&gt;='Resultats - informe'!$D$29)*(C8879&lt;='Resultats - informe'!$E$29),0,1,1)</f>
        <v>0</v>
      </c>
      <c r="N8879" s="366">
        <f>+VLOOKUP(D8879,'Resultats - informe'!$Y$18:$AG$42,'Introducció dades consum'!K8879+1,0)</f>
        <v>0</v>
      </c>
      <c r="O8879" s="370" cm="1">
        <f t="array" ref="O8879">+_xlfn.SWITCH(MONTH(C8879),1,1,2,1,3,1,4,2,5,2,6,3,7,3,8,3,9,3,10,2,11,2,12,1,2)</f>
        <v>1</v>
      </c>
      <c r="P8879" s="43"/>
    </row>
    <row r="8880" spans="1:16" ht="18" x14ac:dyDescent="0.35">
      <c r="A8880" s="43"/>
      <c r="C8880" s="393"/>
      <c r="E8880" s="394"/>
      <c r="F8880" s="394"/>
      <c r="G8880" s="394"/>
      <c r="I8880" s="368">
        <f t="shared" si="420"/>
        <v>0</v>
      </c>
      <c r="J8880" s="365">
        <f t="shared" si="421"/>
        <v>0</v>
      </c>
      <c r="K8880" s="369">
        <f t="shared" si="422"/>
        <v>6</v>
      </c>
      <c r="L8880" s="369">
        <f>+IF((C8880&gt;='Resultats - informe'!$E$16)*(C8880&lt;='Resultats - informe'!$G$16),1,0)</f>
        <v>1</v>
      </c>
      <c r="M8880" s="369" cm="1">
        <f t="array" ref="M8880">+_xlfn.IFS((C8880&gt;='Resultats - informe'!$D$26)*(C8880&lt;='Resultats - informe'!$E$26),0,(C8880&gt;='Resultats - informe'!$D$27)*(C8880&lt;='Resultats - informe'!$E$27),0,(C8880&gt;='Resultats - informe'!$D$28)*(C8880&lt;='Resultats - informe'!$E$28),0,(C8880&gt;='Resultats - informe'!$D$29)*(C8880&lt;='Resultats - informe'!$E$29),0,1,1)</f>
        <v>0</v>
      </c>
      <c r="N8880" s="366">
        <f>+VLOOKUP(D8880,'Resultats - informe'!$Y$18:$AG$42,'Introducció dades consum'!K8880+1,0)</f>
        <v>0</v>
      </c>
      <c r="O8880" s="370" cm="1">
        <f t="array" ref="O8880">+_xlfn.SWITCH(MONTH(C8880),1,1,2,1,3,1,4,2,5,2,6,3,7,3,8,3,9,3,10,2,11,2,12,1,2)</f>
        <v>1</v>
      </c>
      <c r="P8880" s="43"/>
    </row>
    <row r="8881" spans="1:16" ht="18" x14ac:dyDescent="0.35">
      <c r="A8881" s="43"/>
      <c r="C8881" s="393"/>
      <c r="E8881" s="394"/>
      <c r="F8881" s="394"/>
      <c r="G8881" s="394"/>
      <c r="I8881" s="368">
        <f t="shared" si="420"/>
        <v>0</v>
      </c>
      <c r="J8881" s="365">
        <f t="shared" si="421"/>
        <v>0</v>
      </c>
      <c r="K8881" s="369">
        <f t="shared" si="422"/>
        <v>6</v>
      </c>
      <c r="L8881" s="369">
        <f>+IF((C8881&gt;='Resultats - informe'!$E$16)*(C8881&lt;='Resultats - informe'!$G$16),1,0)</f>
        <v>1</v>
      </c>
      <c r="M8881" s="369" cm="1">
        <f t="array" ref="M8881">+_xlfn.IFS((C8881&gt;='Resultats - informe'!$D$26)*(C8881&lt;='Resultats - informe'!$E$26),0,(C8881&gt;='Resultats - informe'!$D$27)*(C8881&lt;='Resultats - informe'!$E$27),0,(C8881&gt;='Resultats - informe'!$D$28)*(C8881&lt;='Resultats - informe'!$E$28),0,(C8881&gt;='Resultats - informe'!$D$29)*(C8881&lt;='Resultats - informe'!$E$29),0,1,1)</f>
        <v>0</v>
      </c>
      <c r="N8881" s="366">
        <f>+VLOOKUP(D8881,'Resultats - informe'!$Y$18:$AG$42,'Introducció dades consum'!K8881+1,0)</f>
        <v>0</v>
      </c>
      <c r="O8881" s="370" cm="1">
        <f t="array" ref="O8881">+_xlfn.SWITCH(MONTH(C8881),1,1,2,1,3,1,4,2,5,2,6,3,7,3,8,3,9,3,10,2,11,2,12,1,2)</f>
        <v>1</v>
      </c>
      <c r="P8881" s="43"/>
    </row>
    <row r="8882" spans="1:16" ht="18" x14ac:dyDescent="0.35">
      <c r="A8882" s="43"/>
      <c r="C8882" s="393"/>
      <c r="E8882" s="394"/>
      <c r="F8882" s="394"/>
      <c r="G8882" s="394"/>
      <c r="I8882" s="368">
        <f t="shared" si="420"/>
        <v>0</v>
      </c>
      <c r="J8882" s="365">
        <f t="shared" si="421"/>
        <v>0</v>
      </c>
      <c r="K8882" s="369">
        <f t="shared" si="422"/>
        <v>6</v>
      </c>
      <c r="L8882" s="369">
        <f>+IF((C8882&gt;='Resultats - informe'!$E$16)*(C8882&lt;='Resultats - informe'!$G$16),1,0)</f>
        <v>1</v>
      </c>
      <c r="M8882" s="369" cm="1">
        <f t="array" ref="M8882">+_xlfn.IFS((C8882&gt;='Resultats - informe'!$D$26)*(C8882&lt;='Resultats - informe'!$E$26),0,(C8882&gt;='Resultats - informe'!$D$27)*(C8882&lt;='Resultats - informe'!$E$27),0,(C8882&gt;='Resultats - informe'!$D$28)*(C8882&lt;='Resultats - informe'!$E$28),0,(C8882&gt;='Resultats - informe'!$D$29)*(C8882&lt;='Resultats - informe'!$E$29),0,1,1)</f>
        <v>0</v>
      </c>
      <c r="N8882" s="366">
        <f>+VLOOKUP(D8882,'Resultats - informe'!$Y$18:$AG$42,'Introducció dades consum'!K8882+1,0)</f>
        <v>0</v>
      </c>
      <c r="O8882" s="370" cm="1">
        <f t="array" ref="O8882">+_xlfn.SWITCH(MONTH(C8882),1,1,2,1,3,1,4,2,5,2,6,3,7,3,8,3,9,3,10,2,11,2,12,1,2)</f>
        <v>1</v>
      </c>
      <c r="P8882" s="43"/>
    </row>
    <row r="8883" spans="1:16" ht="18" x14ac:dyDescent="0.35">
      <c r="A8883" s="43"/>
      <c r="C8883" s="393"/>
      <c r="E8883" s="394"/>
      <c r="F8883" s="394"/>
      <c r="G8883" s="394"/>
      <c r="I8883" s="368">
        <f t="shared" si="420"/>
        <v>0</v>
      </c>
      <c r="J8883" s="365">
        <f t="shared" si="421"/>
        <v>0</v>
      </c>
      <c r="K8883" s="369">
        <f t="shared" si="422"/>
        <v>6</v>
      </c>
      <c r="L8883" s="369">
        <f>+IF((C8883&gt;='Resultats - informe'!$E$16)*(C8883&lt;='Resultats - informe'!$G$16),1,0)</f>
        <v>1</v>
      </c>
      <c r="M8883" s="369" cm="1">
        <f t="array" ref="M8883">+_xlfn.IFS((C8883&gt;='Resultats - informe'!$D$26)*(C8883&lt;='Resultats - informe'!$E$26),0,(C8883&gt;='Resultats - informe'!$D$27)*(C8883&lt;='Resultats - informe'!$E$27),0,(C8883&gt;='Resultats - informe'!$D$28)*(C8883&lt;='Resultats - informe'!$E$28),0,(C8883&gt;='Resultats - informe'!$D$29)*(C8883&lt;='Resultats - informe'!$E$29),0,1,1)</f>
        <v>0</v>
      </c>
      <c r="N8883" s="366">
        <f>+VLOOKUP(D8883,'Resultats - informe'!$Y$18:$AG$42,'Introducció dades consum'!K8883+1,0)</f>
        <v>0</v>
      </c>
      <c r="O8883" s="370" cm="1">
        <f t="array" ref="O8883">+_xlfn.SWITCH(MONTH(C8883),1,1,2,1,3,1,4,2,5,2,6,3,7,3,8,3,9,3,10,2,11,2,12,1,2)</f>
        <v>1</v>
      </c>
      <c r="P8883" s="43"/>
    </row>
    <row r="8884" spans="1:16" ht="18" x14ac:dyDescent="0.35">
      <c r="A8884" s="43"/>
      <c r="C8884" s="393"/>
      <c r="E8884" s="394"/>
      <c r="F8884" s="394"/>
      <c r="G8884" s="394"/>
      <c r="I8884" s="368">
        <f t="shared" si="420"/>
        <v>0</v>
      </c>
      <c r="J8884" s="365">
        <f t="shared" si="421"/>
        <v>0</v>
      </c>
      <c r="K8884" s="369">
        <f t="shared" si="422"/>
        <v>6</v>
      </c>
      <c r="L8884" s="369">
        <f>+IF((C8884&gt;='Resultats - informe'!$E$16)*(C8884&lt;='Resultats - informe'!$G$16),1,0)</f>
        <v>1</v>
      </c>
      <c r="M8884" s="369" cm="1">
        <f t="array" ref="M8884">+_xlfn.IFS((C8884&gt;='Resultats - informe'!$D$26)*(C8884&lt;='Resultats - informe'!$E$26),0,(C8884&gt;='Resultats - informe'!$D$27)*(C8884&lt;='Resultats - informe'!$E$27),0,(C8884&gt;='Resultats - informe'!$D$28)*(C8884&lt;='Resultats - informe'!$E$28),0,(C8884&gt;='Resultats - informe'!$D$29)*(C8884&lt;='Resultats - informe'!$E$29),0,1,1)</f>
        <v>0</v>
      </c>
      <c r="N8884" s="366">
        <f>+VLOOKUP(D8884,'Resultats - informe'!$Y$18:$AG$42,'Introducció dades consum'!K8884+1,0)</f>
        <v>0</v>
      </c>
      <c r="O8884" s="370" cm="1">
        <f t="array" ref="O8884">+_xlfn.SWITCH(MONTH(C8884),1,1,2,1,3,1,4,2,5,2,6,3,7,3,8,3,9,3,10,2,11,2,12,1,2)</f>
        <v>1</v>
      </c>
      <c r="P8884" s="43"/>
    </row>
    <row r="8885" spans="1:16" ht="18" x14ac:dyDescent="0.35">
      <c r="A8885" s="43"/>
      <c r="C8885" s="393"/>
      <c r="E8885" s="394"/>
      <c r="F8885" s="394"/>
      <c r="G8885" s="394"/>
      <c r="I8885" s="368">
        <f t="shared" si="420"/>
        <v>0</v>
      </c>
      <c r="J8885" s="365">
        <f t="shared" si="421"/>
        <v>0</v>
      </c>
      <c r="K8885" s="369">
        <f t="shared" si="422"/>
        <v>6</v>
      </c>
      <c r="L8885" s="369">
        <f>+IF((C8885&gt;='Resultats - informe'!$E$16)*(C8885&lt;='Resultats - informe'!$G$16),1,0)</f>
        <v>1</v>
      </c>
      <c r="M8885" s="369" cm="1">
        <f t="array" ref="M8885">+_xlfn.IFS((C8885&gt;='Resultats - informe'!$D$26)*(C8885&lt;='Resultats - informe'!$E$26),0,(C8885&gt;='Resultats - informe'!$D$27)*(C8885&lt;='Resultats - informe'!$E$27),0,(C8885&gt;='Resultats - informe'!$D$28)*(C8885&lt;='Resultats - informe'!$E$28),0,(C8885&gt;='Resultats - informe'!$D$29)*(C8885&lt;='Resultats - informe'!$E$29),0,1,1)</f>
        <v>0</v>
      </c>
      <c r="N8885" s="366">
        <f>+VLOOKUP(D8885,'Resultats - informe'!$Y$18:$AG$42,'Introducció dades consum'!K8885+1,0)</f>
        <v>0</v>
      </c>
      <c r="O8885" s="370" cm="1">
        <f t="array" ref="O8885">+_xlfn.SWITCH(MONTH(C8885),1,1,2,1,3,1,4,2,5,2,6,3,7,3,8,3,9,3,10,2,11,2,12,1,2)</f>
        <v>1</v>
      </c>
      <c r="P8885" s="43"/>
    </row>
    <row r="8886" spans="1:16" ht="18" x14ac:dyDescent="0.35">
      <c r="A8886" s="43"/>
      <c r="C8886" s="393"/>
      <c r="E8886" s="394"/>
      <c r="F8886" s="394"/>
      <c r="G8886" s="394"/>
      <c r="I8886" s="368">
        <f t="shared" si="420"/>
        <v>0</v>
      </c>
      <c r="J8886" s="365">
        <f t="shared" si="421"/>
        <v>0</v>
      </c>
      <c r="K8886" s="369">
        <f t="shared" si="422"/>
        <v>6</v>
      </c>
      <c r="L8886" s="369">
        <f>+IF((C8886&gt;='Resultats - informe'!$E$16)*(C8886&lt;='Resultats - informe'!$G$16),1,0)</f>
        <v>1</v>
      </c>
      <c r="M8886" s="369" cm="1">
        <f t="array" ref="M8886">+_xlfn.IFS((C8886&gt;='Resultats - informe'!$D$26)*(C8886&lt;='Resultats - informe'!$E$26),0,(C8886&gt;='Resultats - informe'!$D$27)*(C8886&lt;='Resultats - informe'!$E$27),0,(C8886&gt;='Resultats - informe'!$D$28)*(C8886&lt;='Resultats - informe'!$E$28),0,(C8886&gt;='Resultats - informe'!$D$29)*(C8886&lt;='Resultats - informe'!$E$29),0,1,1)</f>
        <v>0</v>
      </c>
      <c r="N8886" s="366">
        <f>+VLOOKUP(D8886,'Resultats - informe'!$Y$18:$AG$42,'Introducció dades consum'!K8886+1,0)</f>
        <v>0</v>
      </c>
      <c r="O8886" s="370" cm="1">
        <f t="array" ref="O8886">+_xlfn.SWITCH(MONTH(C8886),1,1,2,1,3,1,4,2,5,2,6,3,7,3,8,3,9,3,10,2,11,2,12,1,2)</f>
        <v>1</v>
      </c>
      <c r="P8886" s="43"/>
    </row>
    <row r="8887" spans="1:16" ht="18" x14ac:dyDescent="0.35">
      <c r="A8887" s="43"/>
      <c r="C8887" s="393"/>
      <c r="E8887" s="394"/>
      <c r="F8887" s="394"/>
      <c r="G8887" s="394"/>
      <c r="I8887" s="368">
        <f t="shared" si="420"/>
        <v>0</v>
      </c>
      <c r="J8887" s="365">
        <f t="shared" si="421"/>
        <v>0</v>
      </c>
      <c r="K8887" s="369">
        <f t="shared" si="422"/>
        <v>6</v>
      </c>
      <c r="L8887" s="369">
        <f>+IF((C8887&gt;='Resultats - informe'!$E$16)*(C8887&lt;='Resultats - informe'!$G$16),1,0)</f>
        <v>1</v>
      </c>
      <c r="M8887" s="369" cm="1">
        <f t="array" ref="M8887">+_xlfn.IFS((C8887&gt;='Resultats - informe'!$D$26)*(C8887&lt;='Resultats - informe'!$E$26),0,(C8887&gt;='Resultats - informe'!$D$27)*(C8887&lt;='Resultats - informe'!$E$27),0,(C8887&gt;='Resultats - informe'!$D$28)*(C8887&lt;='Resultats - informe'!$E$28),0,(C8887&gt;='Resultats - informe'!$D$29)*(C8887&lt;='Resultats - informe'!$E$29),0,1,1)</f>
        <v>0</v>
      </c>
      <c r="N8887" s="366">
        <f>+VLOOKUP(D8887,'Resultats - informe'!$Y$18:$AG$42,'Introducció dades consum'!K8887+1,0)</f>
        <v>0</v>
      </c>
      <c r="O8887" s="370" cm="1">
        <f t="array" ref="O8887">+_xlfn.SWITCH(MONTH(C8887),1,1,2,1,3,1,4,2,5,2,6,3,7,3,8,3,9,3,10,2,11,2,12,1,2)</f>
        <v>1</v>
      </c>
      <c r="P8887" s="43"/>
    </row>
    <row r="8888" spans="1:16" ht="18" x14ac:dyDescent="0.35">
      <c r="A8888" s="43"/>
      <c r="C8888" s="393"/>
      <c r="E8888" s="394"/>
      <c r="F8888" s="394"/>
      <c r="G8888" s="394"/>
      <c r="I8888" s="368">
        <f t="shared" si="420"/>
        <v>0</v>
      </c>
      <c r="J8888" s="365">
        <f t="shared" si="421"/>
        <v>0</v>
      </c>
      <c r="K8888" s="369">
        <f t="shared" si="422"/>
        <v>6</v>
      </c>
      <c r="L8888" s="369">
        <f>+IF((C8888&gt;='Resultats - informe'!$E$16)*(C8888&lt;='Resultats - informe'!$G$16),1,0)</f>
        <v>1</v>
      </c>
      <c r="M8888" s="369" cm="1">
        <f t="array" ref="M8888">+_xlfn.IFS((C8888&gt;='Resultats - informe'!$D$26)*(C8888&lt;='Resultats - informe'!$E$26),0,(C8888&gt;='Resultats - informe'!$D$27)*(C8888&lt;='Resultats - informe'!$E$27),0,(C8888&gt;='Resultats - informe'!$D$28)*(C8888&lt;='Resultats - informe'!$E$28),0,(C8888&gt;='Resultats - informe'!$D$29)*(C8888&lt;='Resultats - informe'!$E$29),0,1,1)</f>
        <v>0</v>
      </c>
      <c r="N8888" s="366">
        <f>+VLOOKUP(D8888,'Resultats - informe'!$Y$18:$AG$42,'Introducció dades consum'!K8888+1,0)</f>
        <v>0</v>
      </c>
      <c r="O8888" s="370" cm="1">
        <f t="array" ref="O8888">+_xlfn.SWITCH(MONTH(C8888),1,1,2,1,3,1,4,2,5,2,6,3,7,3,8,3,9,3,10,2,11,2,12,1,2)</f>
        <v>1</v>
      </c>
      <c r="P8888" s="43"/>
    </row>
    <row r="8889" spans="1:16" ht="18" x14ac:dyDescent="0.35">
      <c r="A8889" s="43"/>
      <c r="C8889" s="393"/>
      <c r="E8889" s="394"/>
      <c r="F8889" s="394"/>
      <c r="G8889" s="394"/>
      <c r="I8889" s="368">
        <f t="shared" si="420"/>
        <v>0</v>
      </c>
      <c r="J8889" s="365">
        <f t="shared" si="421"/>
        <v>0</v>
      </c>
      <c r="K8889" s="369">
        <f t="shared" si="422"/>
        <v>6</v>
      </c>
      <c r="L8889" s="369">
        <f>+IF((C8889&gt;='Resultats - informe'!$E$16)*(C8889&lt;='Resultats - informe'!$G$16),1,0)</f>
        <v>1</v>
      </c>
      <c r="M8889" s="369" cm="1">
        <f t="array" ref="M8889">+_xlfn.IFS((C8889&gt;='Resultats - informe'!$D$26)*(C8889&lt;='Resultats - informe'!$E$26),0,(C8889&gt;='Resultats - informe'!$D$27)*(C8889&lt;='Resultats - informe'!$E$27),0,(C8889&gt;='Resultats - informe'!$D$28)*(C8889&lt;='Resultats - informe'!$E$28),0,(C8889&gt;='Resultats - informe'!$D$29)*(C8889&lt;='Resultats - informe'!$E$29),0,1,1)</f>
        <v>0</v>
      </c>
      <c r="N8889" s="366">
        <f>+VLOOKUP(D8889,'Resultats - informe'!$Y$18:$AG$42,'Introducció dades consum'!K8889+1,0)</f>
        <v>0</v>
      </c>
      <c r="O8889" s="370" cm="1">
        <f t="array" ref="O8889">+_xlfn.SWITCH(MONTH(C8889),1,1,2,1,3,1,4,2,5,2,6,3,7,3,8,3,9,3,10,2,11,2,12,1,2)</f>
        <v>1</v>
      </c>
      <c r="P8889" s="43"/>
    </row>
    <row r="8890" spans="1:16" ht="18" x14ac:dyDescent="0.35">
      <c r="A8890" s="43"/>
      <c r="C8890" s="393"/>
      <c r="E8890" s="394"/>
      <c r="F8890" s="394"/>
      <c r="G8890" s="394"/>
      <c r="I8890" s="368">
        <f t="shared" si="420"/>
        <v>0</v>
      </c>
      <c r="J8890" s="365">
        <f t="shared" si="421"/>
        <v>0</v>
      </c>
      <c r="K8890" s="369">
        <f t="shared" si="422"/>
        <v>6</v>
      </c>
      <c r="L8890" s="369">
        <f>+IF((C8890&gt;='Resultats - informe'!$E$16)*(C8890&lt;='Resultats - informe'!$G$16),1,0)</f>
        <v>1</v>
      </c>
      <c r="M8890" s="369" cm="1">
        <f t="array" ref="M8890">+_xlfn.IFS((C8890&gt;='Resultats - informe'!$D$26)*(C8890&lt;='Resultats - informe'!$E$26),0,(C8890&gt;='Resultats - informe'!$D$27)*(C8890&lt;='Resultats - informe'!$E$27),0,(C8890&gt;='Resultats - informe'!$D$28)*(C8890&lt;='Resultats - informe'!$E$28),0,(C8890&gt;='Resultats - informe'!$D$29)*(C8890&lt;='Resultats - informe'!$E$29),0,1,1)</f>
        <v>0</v>
      </c>
      <c r="N8890" s="366">
        <f>+VLOOKUP(D8890,'Resultats - informe'!$Y$18:$AG$42,'Introducció dades consum'!K8890+1,0)</f>
        <v>0</v>
      </c>
      <c r="O8890" s="370" cm="1">
        <f t="array" ref="O8890">+_xlfn.SWITCH(MONTH(C8890),1,1,2,1,3,1,4,2,5,2,6,3,7,3,8,3,9,3,10,2,11,2,12,1,2)</f>
        <v>1</v>
      </c>
      <c r="P8890" s="43"/>
    </row>
    <row r="8891" spans="1:16" ht="18" x14ac:dyDescent="0.35">
      <c r="A8891" s="43"/>
      <c r="C8891" s="393"/>
      <c r="E8891" s="394"/>
      <c r="F8891" s="394"/>
      <c r="G8891" s="394"/>
      <c r="I8891" s="368">
        <f t="shared" si="420"/>
        <v>0</v>
      </c>
      <c r="J8891" s="365">
        <f t="shared" si="421"/>
        <v>0</v>
      </c>
      <c r="K8891" s="369">
        <f t="shared" si="422"/>
        <v>6</v>
      </c>
      <c r="L8891" s="369">
        <f>+IF((C8891&gt;='Resultats - informe'!$E$16)*(C8891&lt;='Resultats - informe'!$G$16),1,0)</f>
        <v>1</v>
      </c>
      <c r="M8891" s="369" cm="1">
        <f t="array" ref="M8891">+_xlfn.IFS((C8891&gt;='Resultats - informe'!$D$26)*(C8891&lt;='Resultats - informe'!$E$26),0,(C8891&gt;='Resultats - informe'!$D$27)*(C8891&lt;='Resultats - informe'!$E$27),0,(C8891&gt;='Resultats - informe'!$D$28)*(C8891&lt;='Resultats - informe'!$E$28),0,(C8891&gt;='Resultats - informe'!$D$29)*(C8891&lt;='Resultats - informe'!$E$29),0,1,1)</f>
        <v>0</v>
      </c>
      <c r="N8891" s="366">
        <f>+VLOOKUP(D8891,'Resultats - informe'!$Y$18:$AG$42,'Introducció dades consum'!K8891+1,0)</f>
        <v>0</v>
      </c>
      <c r="O8891" s="370" cm="1">
        <f t="array" ref="O8891">+_xlfn.SWITCH(MONTH(C8891),1,1,2,1,3,1,4,2,5,2,6,3,7,3,8,3,9,3,10,2,11,2,12,1,2)</f>
        <v>1</v>
      </c>
      <c r="P8891" s="43"/>
    </row>
    <row r="8892" spans="1:16" ht="18" x14ac:dyDescent="0.35">
      <c r="A8892" s="43"/>
      <c r="C8892" s="393"/>
      <c r="E8892" s="394"/>
      <c r="F8892" s="394"/>
      <c r="G8892" s="394"/>
      <c r="I8892" s="368">
        <f t="shared" si="420"/>
        <v>0</v>
      </c>
      <c r="J8892" s="365">
        <f t="shared" si="421"/>
        <v>0</v>
      </c>
      <c r="K8892" s="369">
        <f t="shared" si="422"/>
        <v>6</v>
      </c>
      <c r="L8892" s="369">
        <f>+IF((C8892&gt;='Resultats - informe'!$E$16)*(C8892&lt;='Resultats - informe'!$G$16),1,0)</f>
        <v>1</v>
      </c>
      <c r="M8892" s="369" cm="1">
        <f t="array" ref="M8892">+_xlfn.IFS((C8892&gt;='Resultats - informe'!$D$26)*(C8892&lt;='Resultats - informe'!$E$26),0,(C8892&gt;='Resultats - informe'!$D$27)*(C8892&lt;='Resultats - informe'!$E$27),0,(C8892&gt;='Resultats - informe'!$D$28)*(C8892&lt;='Resultats - informe'!$E$28),0,(C8892&gt;='Resultats - informe'!$D$29)*(C8892&lt;='Resultats - informe'!$E$29),0,1,1)</f>
        <v>0</v>
      </c>
      <c r="N8892" s="366">
        <f>+VLOOKUP(D8892,'Resultats - informe'!$Y$18:$AG$42,'Introducció dades consum'!K8892+1,0)</f>
        <v>0</v>
      </c>
      <c r="O8892" s="370" cm="1">
        <f t="array" ref="O8892">+_xlfn.SWITCH(MONTH(C8892),1,1,2,1,3,1,4,2,5,2,6,3,7,3,8,3,9,3,10,2,11,2,12,1,2)</f>
        <v>1</v>
      </c>
      <c r="P8892" s="43"/>
    </row>
    <row r="8893" spans="1:16" ht="18" x14ac:dyDescent="0.35">
      <c r="A8893" s="43"/>
      <c r="C8893" s="393"/>
      <c r="E8893" s="394"/>
      <c r="F8893" s="394"/>
      <c r="G8893" s="394"/>
      <c r="I8893" s="368">
        <f t="shared" si="420"/>
        <v>0</v>
      </c>
      <c r="J8893" s="365">
        <f t="shared" si="421"/>
        <v>0</v>
      </c>
      <c r="K8893" s="369">
        <f t="shared" si="422"/>
        <v>6</v>
      </c>
      <c r="L8893" s="369">
        <f>+IF((C8893&gt;='Resultats - informe'!$E$16)*(C8893&lt;='Resultats - informe'!$G$16),1,0)</f>
        <v>1</v>
      </c>
      <c r="M8893" s="369" cm="1">
        <f t="array" ref="M8893">+_xlfn.IFS((C8893&gt;='Resultats - informe'!$D$26)*(C8893&lt;='Resultats - informe'!$E$26),0,(C8893&gt;='Resultats - informe'!$D$27)*(C8893&lt;='Resultats - informe'!$E$27),0,(C8893&gt;='Resultats - informe'!$D$28)*(C8893&lt;='Resultats - informe'!$E$28),0,(C8893&gt;='Resultats - informe'!$D$29)*(C8893&lt;='Resultats - informe'!$E$29),0,1,1)</f>
        <v>0</v>
      </c>
      <c r="N8893" s="366">
        <f>+VLOOKUP(D8893,'Resultats - informe'!$Y$18:$AG$42,'Introducció dades consum'!K8893+1,0)</f>
        <v>0</v>
      </c>
      <c r="O8893" s="370" cm="1">
        <f t="array" ref="O8893">+_xlfn.SWITCH(MONTH(C8893),1,1,2,1,3,1,4,2,5,2,6,3,7,3,8,3,9,3,10,2,11,2,12,1,2)</f>
        <v>1</v>
      </c>
      <c r="P8893" s="43"/>
    </row>
    <row r="8894" spans="1:16" ht="18" x14ac:dyDescent="0.35">
      <c r="A8894" s="43"/>
      <c r="C8894" s="393"/>
      <c r="E8894" s="394"/>
      <c r="F8894" s="394"/>
      <c r="G8894" s="394"/>
      <c r="I8894" s="368">
        <f t="shared" si="420"/>
        <v>0</v>
      </c>
      <c r="J8894" s="365">
        <f t="shared" si="421"/>
        <v>0</v>
      </c>
      <c r="K8894" s="369">
        <f t="shared" si="422"/>
        <v>6</v>
      </c>
      <c r="L8894" s="369">
        <f>+IF((C8894&gt;='Resultats - informe'!$E$16)*(C8894&lt;='Resultats - informe'!$G$16),1,0)</f>
        <v>1</v>
      </c>
      <c r="M8894" s="369" cm="1">
        <f t="array" ref="M8894">+_xlfn.IFS((C8894&gt;='Resultats - informe'!$D$26)*(C8894&lt;='Resultats - informe'!$E$26),0,(C8894&gt;='Resultats - informe'!$D$27)*(C8894&lt;='Resultats - informe'!$E$27),0,(C8894&gt;='Resultats - informe'!$D$28)*(C8894&lt;='Resultats - informe'!$E$28),0,(C8894&gt;='Resultats - informe'!$D$29)*(C8894&lt;='Resultats - informe'!$E$29),0,1,1)</f>
        <v>0</v>
      </c>
      <c r="N8894" s="366">
        <f>+VLOOKUP(D8894,'Resultats - informe'!$Y$18:$AG$42,'Introducció dades consum'!K8894+1,0)</f>
        <v>0</v>
      </c>
      <c r="O8894" s="370" cm="1">
        <f t="array" ref="O8894">+_xlfn.SWITCH(MONTH(C8894),1,1,2,1,3,1,4,2,5,2,6,3,7,3,8,3,9,3,10,2,11,2,12,1,2)</f>
        <v>1</v>
      </c>
      <c r="P8894" s="43"/>
    </row>
    <row r="8895" spans="1:16" ht="18" x14ac:dyDescent="0.35">
      <c r="A8895" s="43"/>
      <c r="C8895" s="393"/>
      <c r="E8895" s="394"/>
      <c r="F8895" s="394"/>
      <c r="G8895" s="394"/>
      <c r="I8895" s="368">
        <f t="shared" si="420"/>
        <v>0</v>
      </c>
      <c r="J8895" s="365">
        <f t="shared" si="421"/>
        <v>0</v>
      </c>
      <c r="K8895" s="369">
        <f t="shared" si="422"/>
        <v>6</v>
      </c>
      <c r="L8895" s="369">
        <f>+IF((C8895&gt;='Resultats - informe'!$E$16)*(C8895&lt;='Resultats - informe'!$G$16),1,0)</f>
        <v>1</v>
      </c>
      <c r="M8895" s="369" cm="1">
        <f t="array" ref="M8895">+_xlfn.IFS((C8895&gt;='Resultats - informe'!$D$26)*(C8895&lt;='Resultats - informe'!$E$26),0,(C8895&gt;='Resultats - informe'!$D$27)*(C8895&lt;='Resultats - informe'!$E$27),0,(C8895&gt;='Resultats - informe'!$D$28)*(C8895&lt;='Resultats - informe'!$E$28),0,(C8895&gt;='Resultats - informe'!$D$29)*(C8895&lt;='Resultats - informe'!$E$29),0,1,1)</f>
        <v>0</v>
      </c>
      <c r="N8895" s="366">
        <f>+VLOOKUP(D8895,'Resultats - informe'!$Y$18:$AG$42,'Introducció dades consum'!K8895+1,0)</f>
        <v>0</v>
      </c>
      <c r="O8895" s="370" cm="1">
        <f t="array" ref="O8895">+_xlfn.SWITCH(MONTH(C8895),1,1,2,1,3,1,4,2,5,2,6,3,7,3,8,3,9,3,10,2,11,2,12,1,2)</f>
        <v>1</v>
      </c>
      <c r="P8895" s="43"/>
    </row>
    <row r="8896" spans="1:16" ht="18" x14ac:dyDescent="0.35">
      <c r="A8896" s="43"/>
      <c r="C8896" s="393"/>
      <c r="E8896" s="394"/>
      <c r="F8896" s="394"/>
      <c r="G8896" s="394"/>
      <c r="I8896" s="368">
        <f t="shared" si="420"/>
        <v>0</v>
      </c>
      <c r="J8896" s="365">
        <f t="shared" si="421"/>
        <v>0</v>
      </c>
      <c r="K8896" s="369">
        <f t="shared" si="422"/>
        <v>6</v>
      </c>
      <c r="L8896" s="369">
        <f>+IF((C8896&gt;='Resultats - informe'!$E$16)*(C8896&lt;='Resultats - informe'!$G$16),1,0)</f>
        <v>1</v>
      </c>
      <c r="M8896" s="369" cm="1">
        <f t="array" ref="M8896">+_xlfn.IFS((C8896&gt;='Resultats - informe'!$D$26)*(C8896&lt;='Resultats - informe'!$E$26),0,(C8896&gt;='Resultats - informe'!$D$27)*(C8896&lt;='Resultats - informe'!$E$27),0,(C8896&gt;='Resultats - informe'!$D$28)*(C8896&lt;='Resultats - informe'!$E$28),0,(C8896&gt;='Resultats - informe'!$D$29)*(C8896&lt;='Resultats - informe'!$E$29),0,1,1)</f>
        <v>0</v>
      </c>
      <c r="N8896" s="366">
        <f>+VLOOKUP(D8896,'Resultats - informe'!$Y$18:$AG$42,'Introducció dades consum'!K8896+1,0)</f>
        <v>0</v>
      </c>
      <c r="O8896" s="370" cm="1">
        <f t="array" ref="O8896">+_xlfn.SWITCH(MONTH(C8896),1,1,2,1,3,1,4,2,5,2,6,3,7,3,8,3,9,3,10,2,11,2,12,1,2)</f>
        <v>1</v>
      </c>
      <c r="P8896" s="43"/>
    </row>
    <row r="8897" spans="1:16" ht="18" x14ac:dyDescent="0.35">
      <c r="A8897" s="43"/>
      <c r="C8897" s="393"/>
      <c r="E8897" s="394"/>
      <c r="F8897" s="394"/>
      <c r="G8897" s="394"/>
      <c r="I8897" s="368">
        <f t="shared" si="420"/>
        <v>0</v>
      </c>
      <c r="J8897" s="365">
        <f t="shared" si="421"/>
        <v>0</v>
      </c>
      <c r="K8897" s="369">
        <f t="shared" si="422"/>
        <v>6</v>
      </c>
      <c r="L8897" s="369">
        <f>+IF((C8897&gt;='Resultats - informe'!$E$16)*(C8897&lt;='Resultats - informe'!$G$16),1,0)</f>
        <v>1</v>
      </c>
      <c r="M8897" s="369" cm="1">
        <f t="array" ref="M8897">+_xlfn.IFS((C8897&gt;='Resultats - informe'!$D$26)*(C8897&lt;='Resultats - informe'!$E$26),0,(C8897&gt;='Resultats - informe'!$D$27)*(C8897&lt;='Resultats - informe'!$E$27),0,(C8897&gt;='Resultats - informe'!$D$28)*(C8897&lt;='Resultats - informe'!$E$28),0,(C8897&gt;='Resultats - informe'!$D$29)*(C8897&lt;='Resultats - informe'!$E$29),0,1,1)</f>
        <v>0</v>
      </c>
      <c r="N8897" s="366">
        <f>+VLOOKUP(D8897,'Resultats - informe'!$Y$18:$AG$42,'Introducció dades consum'!K8897+1,0)</f>
        <v>0</v>
      </c>
      <c r="O8897" s="370" cm="1">
        <f t="array" ref="O8897">+_xlfn.SWITCH(MONTH(C8897),1,1,2,1,3,1,4,2,5,2,6,3,7,3,8,3,9,3,10,2,11,2,12,1,2)</f>
        <v>1</v>
      </c>
      <c r="P8897" s="43"/>
    </row>
    <row r="8898" spans="1:16" ht="18" x14ac:dyDescent="0.35">
      <c r="A8898" s="43"/>
      <c r="C8898" s="393"/>
      <c r="E8898" s="394"/>
      <c r="F8898" s="394"/>
      <c r="G8898" s="394"/>
      <c r="I8898" s="368">
        <f t="shared" si="420"/>
        <v>0</v>
      </c>
      <c r="J8898" s="365">
        <f t="shared" si="421"/>
        <v>0</v>
      </c>
      <c r="K8898" s="369">
        <f t="shared" si="422"/>
        <v>6</v>
      </c>
      <c r="L8898" s="369">
        <f>+IF((C8898&gt;='Resultats - informe'!$E$16)*(C8898&lt;='Resultats - informe'!$G$16),1,0)</f>
        <v>1</v>
      </c>
      <c r="M8898" s="369" cm="1">
        <f t="array" ref="M8898">+_xlfn.IFS((C8898&gt;='Resultats - informe'!$D$26)*(C8898&lt;='Resultats - informe'!$E$26),0,(C8898&gt;='Resultats - informe'!$D$27)*(C8898&lt;='Resultats - informe'!$E$27),0,(C8898&gt;='Resultats - informe'!$D$28)*(C8898&lt;='Resultats - informe'!$E$28),0,(C8898&gt;='Resultats - informe'!$D$29)*(C8898&lt;='Resultats - informe'!$E$29),0,1,1)</f>
        <v>0</v>
      </c>
      <c r="N8898" s="366">
        <f>+VLOOKUP(D8898,'Resultats - informe'!$Y$18:$AG$42,'Introducció dades consum'!K8898+1,0)</f>
        <v>0</v>
      </c>
      <c r="O8898" s="370" cm="1">
        <f t="array" ref="O8898">+_xlfn.SWITCH(MONTH(C8898),1,1,2,1,3,1,4,2,5,2,6,3,7,3,8,3,9,3,10,2,11,2,12,1,2)</f>
        <v>1</v>
      </c>
      <c r="P8898" s="43"/>
    </row>
    <row r="8899" spans="1:16" ht="18" x14ac:dyDescent="0.35">
      <c r="A8899" s="43"/>
      <c r="C8899" s="393"/>
      <c r="E8899" s="394"/>
      <c r="F8899" s="394"/>
      <c r="G8899" s="394"/>
      <c r="I8899" s="368">
        <f t="shared" si="420"/>
        <v>0</v>
      </c>
      <c r="J8899" s="365">
        <f t="shared" si="421"/>
        <v>0</v>
      </c>
      <c r="K8899" s="369">
        <f t="shared" si="422"/>
        <v>6</v>
      </c>
      <c r="L8899" s="369">
        <f>+IF((C8899&gt;='Resultats - informe'!$E$16)*(C8899&lt;='Resultats - informe'!$G$16),1,0)</f>
        <v>1</v>
      </c>
      <c r="M8899" s="369" cm="1">
        <f t="array" ref="M8899">+_xlfn.IFS((C8899&gt;='Resultats - informe'!$D$26)*(C8899&lt;='Resultats - informe'!$E$26),0,(C8899&gt;='Resultats - informe'!$D$27)*(C8899&lt;='Resultats - informe'!$E$27),0,(C8899&gt;='Resultats - informe'!$D$28)*(C8899&lt;='Resultats - informe'!$E$28),0,(C8899&gt;='Resultats - informe'!$D$29)*(C8899&lt;='Resultats - informe'!$E$29),0,1,1)</f>
        <v>0</v>
      </c>
      <c r="N8899" s="366">
        <f>+VLOOKUP(D8899,'Resultats - informe'!$Y$18:$AG$42,'Introducció dades consum'!K8899+1,0)</f>
        <v>0</v>
      </c>
      <c r="O8899" s="370" cm="1">
        <f t="array" ref="O8899">+_xlfn.SWITCH(MONTH(C8899),1,1,2,1,3,1,4,2,5,2,6,3,7,3,8,3,9,3,10,2,11,2,12,1,2)</f>
        <v>1</v>
      </c>
      <c r="P8899" s="43"/>
    </row>
    <row r="8900" spans="1:16" ht="18" x14ac:dyDescent="0.35">
      <c r="A8900" s="43"/>
      <c r="C8900" s="393"/>
      <c r="E8900" s="394"/>
      <c r="F8900" s="394"/>
      <c r="G8900" s="394"/>
      <c r="I8900" s="368">
        <f t="shared" si="420"/>
        <v>0</v>
      </c>
      <c r="J8900" s="365">
        <f t="shared" si="421"/>
        <v>0</v>
      </c>
      <c r="K8900" s="369">
        <f t="shared" si="422"/>
        <v>6</v>
      </c>
      <c r="L8900" s="369">
        <f>+IF((C8900&gt;='Resultats - informe'!$E$16)*(C8900&lt;='Resultats - informe'!$G$16),1,0)</f>
        <v>1</v>
      </c>
      <c r="M8900" s="369" cm="1">
        <f t="array" ref="M8900">+_xlfn.IFS((C8900&gt;='Resultats - informe'!$D$26)*(C8900&lt;='Resultats - informe'!$E$26),0,(C8900&gt;='Resultats - informe'!$D$27)*(C8900&lt;='Resultats - informe'!$E$27),0,(C8900&gt;='Resultats - informe'!$D$28)*(C8900&lt;='Resultats - informe'!$E$28),0,(C8900&gt;='Resultats - informe'!$D$29)*(C8900&lt;='Resultats - informe'!$E$29),0,1,1)</f>
        <v>0</v>
      </c>
      <c r="N8900" s="366">
        <f>+VLOOKUP(D8900,'Resultats - informe'!$Y$18:$AG$42,'Introducció dades consum'!K8900+1,0)</f>
        <v>0</v>
      </c>
      <c r="O8900" s="370" cm="1">
        <f t="array" ref="O8900">+_xlfn.SWITCH(MONTH(C8900),1,1,2,1,3,1,4,2,5,2,6,3,7,3,8,3,9,3,10,2,11,2,12,1,2)</f>
        <v>1</v>
      </c>
      <c r="P8900" s="43"/>
    </row>
    <row r="8901" spans="1:16" ht="18" x14ac:dyDescent="0.35">
      <c r="A8901" s="43"/>
      <c r="C8901" s="393"/>
      <c r="E8901" s="394"/>
      <c r="F8901" s="394"/>
      <c r="G8901" s="394"/>
      <c r="I8901" s="368">
        <f t="shared" si="420"/>
        <v>0</v>
      </c>
      <c r="J8901" s="365">
        <f t="shared" si="421"/>
        <v>0</v>
      </c>
      <c r="K8901" s="369">
        <f t="shared" si="422"/>
        <v>6</v>
      </c>
      <c r="L8901" s="369">
        <f>+IF((C8901&gt;='Resultats - informe'!$E$16)*(C8901&lt;='Resultats - informe'!$G$16),1,0)</f>
        <v>1</v>
      </c>
      <c r="M8901" s="369" cm="1">
        <f t="array" ref="M8901">+_xlfn.IFS((C8901&gt;='Resultats - informe'!$D$26)*(C8901&lt;='Resultats - informe'!$E$26),0,(C8901&gt;='Resultats - informe'!$D$27)*(C8901&lt;='Resultats - informe'!$E$27),0,(C8901&gt;='Resultats - informe'!$D$28)*(C8901&lt;='Resultats - informe'!$E$28),0,(C8901&gt;='Resultats - informe'!$D$29)*(C8901&lt;='Resultats - informe'!$E$29),0,1,1)</f>
        <v>0</v>
      </c>
      <c r="N8901" s="366">
        <f>+VLOOKUP(D8901,'Resultats - informe'!$Y$18:$AG$42,'Introducció dades consum'!K8901+1,0)</f>
        <v>0</v>
      </c>
      <c r="O8901" s="370" cm="1">
        <f t="array" ref="O8901">+_xlfn.SWITCH(MONTH(C8901),1,1,2,1,3,1,4,2,5,2,6,3,7,3,8,3,9,3,10,2,11,2,12,1,2)</f>
        <v>1</v>
      </c>
      <c r="P8901" s="43"/>
    </row>
    <row r="8902" spans="1:16" ht="18" x14ac:dyDescent="0.35">
      <c r="A8902" s="43"/>
      <c r="C8902" s="393"/>
      <c r="E8902" s="394"/>
      <c r="F8902" s="394"/>
      <c r="G8902" s="394"/>
      <c r="I8902" s="368">
        <f t="shared" si="420"/>
        <v>0</v>
      </c>
      <c r="J8902" s="365">
        <f t="shared" si="421"/>
        <v>0</v>
      </c>
      <c r="K8902" s="369">
        <f t="shared" si="422"/>
        <v>6</v>
      </c>
      <c r="L8902" s="369">
        <f>+IF((C8902&gt;='Resultats - informe'!$E$16)*(C8902&lt;='Resultats - informe'!$G$16),1,0)</f>
        <v>1</v>
      </c>
      <c r="M8902" s="369" cm="1">
        <f t="array" ref="M8902">+_xlfn.IFS((C8902&gt;='Resultats - informe'!$D$26)*(C8902&lt;='Resultats - informe'!$E$26),0,(C8902&gt;='Resultats - informe'!$D$27)*(C8902&lt;='Resultats - informe'!$E$27),0,(C8902&gt;='Resultats - informe'!$D$28)*(C8902&lt;='Resultats - informe'!$E$28),0,(C8902&gt;='Resultats - informe'!$D$29)*(C8902&lt;='Resultats - informe'!$E$29),0,1,1)</f>
        <v>0</v>
      </c>
      <c r="N8902" s="366">
        <f>+VLOOKUP(D8902,'Resultats - informe'!$Y$18:$AG$42,'Introducció dades consum'!K8902+1,0)</f>
        <v>0</v>
      </c>
      <c r="O8902" s="370" cm="1">
        <f t="array" ref="O8902">+_xlfn.SWITCH(MONTH(C8902),1,1,2,1,3,1,4,2,5,2,6,3,7,3,8,3,9,3,10,2,11,2,12,1,2)</f>
        <v>1</v>
      </c>
      <c r="P8902" s="43"/>
    </row>
    <row r="8903" spans="1:16" ht="18" x14ac:dyDescent="0.35">
      <c r="A8903" s="43"/>
      <c r="C8903" s="393"/>
      <c r="E8903" s="394"/>
      <c r="F8903" s="394"/>
      <c r="G8903" s="394"/>
      <c r="I8903" s="368">
        <f t="shared" si="420"/>
        <v>0</v>
      </c>
      <c r="J8903" s="365">
        <f t="shared" si="421"/>
        <v>0</v>
      </c>
      <c r="K8903" s="369">
        <f t="shared" si="422"/>
        <v>6</v>
      </c>
      <c r="L8903" s="369">
        <f>+IF((C8903&gt;='Resultats - informe'!$E$16)*(C8903&lt;='Resultats - informe'!$G$16),1,0)</f>
        <v>1</v>
      </c>
      <c r="M8903" s="369" cm="1">
        <f t="array" ref="M8903">+_xlfn.IFS((C8903&gt;='Resultats - informe'!$D$26)*(C8903&lt;='Resultats - informe'!$E$26),0,(C8903&gt;='Resultats - informe'!$D$27)*(C8903&lt;='Resultats - informe'!$E$27),0,(C8903&gt;='Resultats - informe'!$D$28)*(C8903&lt;='Resultats - informe'!$E$28),0,(C8903&gt;='Resultats - informe'!$D$29)*(C8903&lt;='Resultats - informe'!$E$29),0,1,1)</f>
        <v>0</v>
      </c>
      <c r="N8903" s="366">
        <f>+VLOOKUP(D8903,'Resultats - informe'!$Y$18:$AG$42,'Introducció dades consum'!K8903+1,0)</f>
        <v>0</v>
      </c>
      <c r="O8903" s="370" cm="1">
        <f t="array" ref="O8903">+_xlfn.SWITCH(MONTH(C8903),1,1,2,1,3,1,4,2,5,2,6,3,7,3,8,3,9,3,10,2,11,2,12,1,2)</f>
        <v>1</v>
      </c>
      <c r="P8903" s="43"/>
    </row>
    <row r="8904" spans="1:16" ht="18" x14ac:dyDescent="0.35">
      <c r="A8904" s="43"/>
      <c r="C8904" s="393"/>
      <c r="E8904" s="394"/>
      <c r="F8904" s="394"/>
      <c r="G8904" s="394"/>
      <c r="I8904" s="368">
        <f t="shared" si="420"/>
        <v>0</v>
      </c>
      <c r="J8904" s="365">
        <f t="shared" si="421"/>
        <v>0</v>
      </c>
      <c r="K8904" s="369">
        <f t="shared" si="422"/>
        <v>6</v>
      </c>
      <c r="L8904" s="369">
        <f>+IF((C8904&gt;='Resultats - informe'!$E$16)*(C8904&lt;='Resultats - informe'!$G$16),1,0)</f>
        <v>1</v>
      </c>
      <c r="M8904" s="369" cm="1">
        <f t="array" ref="M8904">+_xlfn.IFS((C8904&gt;='Resultats - informe'!$D$26)*(C8904&lt;='Resultats - informe'!$E$26),0,(C8904&gt;='Resultats - informe'!$D$27)*(C8904&lt;='Resultats - informe'!$E$27),0,(C8904&gt;='Resultats - informe'!$D$28)*(C8904&lt;='Resultats - informe'!$E$28),0,(C8904&gt;='Resultats - informe'!$D$29)*(C8904&lt;='Resultats - informe'!$E$29),0,1,1)</f>
        <v>0</v>
      </c>
      <c r="N8904" s="366">
        <f>+VLOOKUP(D8904,'Resultats - informe'!$Y$18:$AG$42,'Introducció dades consum'!K8904+1,0)</f>
        <v>0</v>
      </c>
      <c r="O8904" s="370" cm="1">
        <f t="array" ref="O8904">+_xlfn.SWITCH(MONTH(C8904),1,1,2,1,3,1,4,2,5,2,6,3,7,3,8,3,9,3,10,2,11,2,12,1,2)</f>
        <v>1</v>
      </c>
      <c r="P8904" s="43"/>
    </row>
    <row r="8905" spans="1:16" ht="18" x14ac:dyDescent="0.35">
      <c r="A8905" s="43"/>
      <c r="C8905" s="393"/>
      <c r="E8905" s="394"/>
      <c r="F8905" s="394"/>
      <c r="G8905" s="394"/>
      <c r="I8905" s="368">
        <f t="shared" si="420"/>
        <v>0</v>
      </c>
      <c r="J8905" s="365">
        <f t="shared" si="421"/>
        <v>0</v>
      </c>
      <c r="K8905" s="369">
        <f t="shared" si="422"/>
        <v>6</v>
      </c>
      <c r="L8905" s="369">
        <f>+IF((C8905&gt;='Resultats - informe'!$E$16)*(C8905&lt;='Resultats - informe'!$G$16),1,0)</f>
        <v>1</v>
      </c>
      <c r="M8905" s="369" cm="1">
        <f t="array" ref="M8905">+_xlfn.IFS((C8905&gt;='Resultats - informe'!$D$26)*(C8905&lt;='Resultats - informe'!$E$26),0,(C8905&gt;='Resultats - informe'!$D$27)*(C8905&lt;='Resultats - informe'!$E$27),0,(C8905&gt;='Resultats - informe'!$D$28)*(C8905&lt;='Resultats - informe'!$E$28),0,(C8905&gt;='Resultats - informe'!$D$29)*(C8905&lt;='Resultats - informe'!$E$29),0,1,1)</f>
        <v>0</v>
      </c>
      <c r="N8905" s="366">
        <f>+VLOOKUP(D8905,'Resultats - informe'!$Y$18:$AG$42,'Introducció dades consum'!K8905+1,0)</f>
        <v>0</v>
      </c>
      <c r="O8905" s="370" cm="1">
        <f t="array" ref="O8905">+_xlfn.SWITCH(MONTH(C8905),1,1,2,1,3,1,4,2,5,2,6,3,7,3,8,3,9,3,10,2,11,2,12,1,2)</f>
        <v>1</v>
      </c>
      <c r="P8905" s="43"/>
    </row>
    <row r="8906" spans="1:16" ht="18" x14ac:dyDescent="0.35">
      <c r="A8906" s="43"/>
      <c r="C8906" s="393"/>
      <c r="E8906" s="394"/>
      <c r="F8906" s="394"/>
      <c r="G8906" s="394"/>
      <c r="I8906" s="368">
        <f t="shared" si="420"/>
        <v>0</v>
      </c>
      <c r="J8906" s="365">
        <f t="shared" si="421"/>
        <v>0</v>
      </c>
      <c r="K8906" s="369">
        <f t="shared" si="422"/>
        <v>6</v>
      </c>
      <c r="L8906" s="369">
        <f>+IF((C8906&gt;='Resultats - informe'!$E$16)*(C8906&lt;='Resultats - informe'!$G$16),1,0)</f>
        <v>1</v>
      </c>
      <c r="M8906" s="369" cm="1">
        <f t="array" ref="M8906">+_xlfn.IFS((C8906&gt;='Resultats - informe'!$D$26)*(C8906&lt;='Resultats - informe'!$E$26),0,(C8906&gt;='Resultats - informe'!$D$27)*(C8906&lt;='Resultats - informe'!$E$27),0,(C8906&gt;='Resultats - informe'!$D$28)*(C8906&lt;='Resultats - informe'!$E$28),0,(C8906&gt;='Resultats - informe'!$D$29)*(C8906&lt;='Resultats - informe'!$E$29),0,1,1)</f>
        <v>0</v>
      </c>
      <c r="N8906" s="366">
        <f>+VLOOKUP(D8906,'Resultats - informe'!$Y$18:$AG$42,'Introducció dades consum'!K8906+1,0)</f>
        <v>0</v>
      </c>
      <c r="O8906" s="370" cm="1">
        <f t="array" ref="O8906">+_xlfn.SWITCH(MONTH(C8906),1,1,2,1,3,1,4,2,5,2,6,3,7,3,8,3,9,3,10,2,11,2,12,1,2)</f>
        <v>1</v>
      </c>
      <c r="P8906" s="43"/>
    </row>
    <row r="8907" spans="1:16" ht="18" x14ac:dyDescent="0.35">
      <c r="A8907" s="43"/>
      <c r="C8907" s="393"/>
      <c r="E8907" s="394"/>
      <c r="F8907" s="394"/>
      <c r="G8907" s="394"/>
      <c r="I8907" s="368">
        <f t="shared" si="420"/>
        <v>0</v>
      </c>
      <c r="J8907" s="365">
        <f t="shared" si="421"/>
        <v>0</v>
      </c>
      <c r="K8907" s="369">
        <f t="shared" si="422"/>
        <v>6</v>
      </c>
      <c r="L8907" s="369">
        <f>+IF((C8907&gt;='Resultats - informe'!$E$16)*(C8907&lt;='Resultats - informe'!$G$16),1,0)</f>
        <v>1</v>
      </c>
      <c r="M8907" s="369" cm="1">
        <f t="array" ref="M8907">+_xlfn.IFS((C8907&gt;='Resultats - informe'!$D$26)*(C8907&lt;='Resultats - informe'!$E$26),0,(C8907&gt;='Resultats - informe'!$D$27)*(C8907&lt;='Resultats - informe'!$E$27),0,(C8907&gt;='Resultats - informe'!$D$28)*(C8907&lt;='Resultats - informe'!$E$28),0,(C8907&gt;='Resultats - informe'!$D$29)*(C8907&lt;='Resultats - informe'!$E$29),0,1,1)</f>
        <v>0</v>
      </c>
      <c r="N8907" s="366">
        <f>+VLOOKUP(D8907,'Resultats - informe'!$Y$18:$AG$42,'Introducció dades consum'!K8907+1,0)</f>
        <v>0</v>
      </c>
      <c r="O8907" s="370" cm="1">
        <f t="array" ref="O8907">+_xlfn.SWITCH(MONTH(C8907),1,1,2,1,3,1,4,2,5,2,6,3,7,3,8,3,9,3,10,2,11,2,12,1,2)</f>
        <v>1</v>
      </c>
      <c r="P8907" s="43"/>
    </row>
    <row r="8908" spans="1:16" ht="18" x14ac:dyDescent="0.35">
      <c r="A8908" s="43"/>
      <c r="C8908" s="393"/>
      <c r="E8908" s="394"/>
      <c r="F8908" s="394"/>
      <c r="G8908" s="394"/>
      <c r="I8908" s="368">
        <f t="shared" si="420"/>
        <v>0</v>
      </c>
      <c r="J8908" s="365">
        <f t="shared" si="421"/>
        <v>0</v>
      </c>
      <c r="K8908" s="369">
        <f t="shared" si="422"/>
        <v>6</v>
      </c>
      <c r="L8908" s="369">
        <f>+IF((C8908&gt;='Resultats - informe'!$E$16)*(C8908&lt;='Resultats - informe'!$G$16),1,0)</f>
        <v>1</v>
      </c>
      <c r="M8908" s="369" cm="1">
        <f t="array" ref="M8908">+_xlfn.IFS((C8908&gt;='Resultats - informe'!$D$26)*(C8908&lt;='Resultats - informe'!$E$26),0,(C8908&gt;='Resultats - informe'!$D$27)*(C8908&lt;='Resultats - informe'!$E$27),0,(C8908&gt;='Resultats - informe'!$D$28)*(C8908&lt;='Resultats - informe'!$E$28),0,(C8908&gt;='Resultats - informe'!$D$29)*(C8908&lt;='Resultats - informe'!$E$29),0,1,1)</f>
        <v>0</v>
      </c>
      <c r="N8908" s="366">
        <f>+VLOOKUP(D8908,'Resultats - informe'!$Y$18:$AG$42,'Introducció dades consum'!K8908+1,0)</f>
        <v>0</v>
      </c>
      <c r="O8908" s="370" cm="1">
        <f t="array" ref="O8908">+_xlfn.SWITCH(MONTH(C8908),1,1,2,1,3,1,4,2,5,2,6,3,7,3,8,3,9,3,10,2,11,2,12,1,2)</f>
        <v>1</v>
      </c>
      <c r="P8908" s="43"/>
    </row>
    <row r="8909" spans="1:16" ht="18" x14ac:dyDescent="0.35">
      <c r="A8909" s="43"/>
      <c r="C8909" s="393"/>
      <c r="E8909" s="394"/>
      <c r="F8909" s="394"/>
      <c r="G8909" s="394"/>
      <c r="I8909" s="368">
        <f t="shared" si="420"/>
        <v>0</v>
      </c>
      <c r="J8909" s="365">
        <f t="shared" si="421"/>
        <v>0</v>
      </c>
      <c r="K8909" s="369">
        <f t="shared" si="422"/>
        <v>6</v>
      </c>
      <c r="L8909" s="369">
        <f>+IF((C8909&gt;='Resultats - informe'!$E$16)*(C8909&lt;='Resultats - informe'!$G$16),1,0)</f>
        <v>1</v>
      </c>
      <c r="M8909" s="369" cm="1">
        <f t="array" ref="M8909">+_xlfn.IFS((C8909&gt;='Resultats - informe'!$D$26)*(C8909&lt;='Resultats - informe'!$E$26),0,(C8909&gt;='Resultats - informe'!$D$27)*(C8909&lt;='Resultats - informe'!$E$27),0,(C8909&gt;='Resultats - informe'!$D$28)*(C8909&lt;='Resultats - informe'!$E$28),0,(C8909&gt;='Resultats - informe'!$D$29)*(C8909&lt;='Resultats - informe'!$E$29),0,1,1)</f>
        <v>0</v>
      </c>
      <c r="N8909" s="366">
        <f>+VLOOKUP(D8909,'Resultats - informe'!$Y$18:$AG$42,'Introducció dades consum'!K8909+1,0)</f>
        <v>0</v>
      </c>
      <c r="O8909" s="370" cm="1">
        <f t="array" ref="O8909">+_xlfn.SWITCH(MONTH(C8909),1,1,2,1,3,1,4,2,5,2,6,3,7,3,8,3,9,3,10,2,11,2,12,1,2)</f>
        <v>1</v>
      </c>
      <c r="P8909" s="43"/>
    </row>
    <row r="8910" spans="1:16" ht="18" x14ac:dyDescent="0.35">
      <c r="A8910" s="43"/>
      <c r="C8910" s="393"/>
      <c r="E8910" s="394"/>
      <c r="F8910" s="394"/>
      <c r="G8910" s="394"/>
      <c r="I8910" s="368">
        <f t="shared" si="420"/>
        <v>0</v>
      </c>
      <c r="J8910" s="365">
        <f t="shared" si="421"/>
        <v>0</v>
      </c>
      <c r="K8910" s="369">
        <f t="shared" si="422"/>
        <v>6</v>
      </c>
      <c r="L8910" s="369">
        <f>+IF((C8910&gt;='Resultats - informe'!$E$16)*(C8910&lt;='Resultats - informe'!$G$16),1,0)</f>
        <v>1</v>
      </c>
      <c r="M8910" s="369" cm="1">
        <f t="array" ref="M8910">+_xlfn.IFS((C8910&gt;='Resultats - informe'!$D$26)*(C8910&lt;='Resultats - informe'!$E$26),0,(C8910&gt;='Resultats - informe'!$D$27)*(C8910&lt;='Resultats - informe'!$E$27),0,(C8910&gt;='Resultats - informe'!$D$28)*(C8910&lt;='Resultats - informe'!$E$28),0,(C8910&gt;='Resultats - informe'!$D$29)*(C8910&lt;='Resultats - informe'!$E$29),0,1,1)</f>
        <v>0</v>
      </c>
      <c r="N8910" s="366">
        <f>+VLOOKUP(D8910,'Resultats - informe'!$Y$18:$AG$42,'Introducció dades consum'!K8910+1,0)</f>
        <v>0</v>
      </c>
      <c r="O8910" s="370" cm="1">
        <f t="array" ref="O8910">+_xlfn.SWITCH(MONTH(C8910),1,1,2,1,3,1,4,2,5,2,6,3,7,3,8,3,9,3,10,2,11,2,12,1,2)</f>
        <v>1</v>
      </c>
      <c r="P8910" s="43"/>
    </row>
    <row r="8911" spans="1:16" ht="18" x14ac:dyDescent="0.35">
      <c r="A8911" s="43"/>
      <c r="C8911" s="393"/>
      <c r="E8911" s="394"/>
      <c r="F8911" s="394"/>
      <c r="G8911" s="394"/>
      <c r="I8911" s="368">
        <f t="shared" si="420"/>
        <v>0</v>
      </c>
      <c r="J8911" s="365">
        <f t="shared" si="421"/>
        <v>0</v>
      </c>
      <c r="K8911" s="369">
        <f t="shared" si="422"/>
        <v>6</v>
      </c>
      <c r="L8911" s="369">
        <f>+IF((C8911&gt;='Resultats - informe'!$E$16)*(C8911&lt;='Resultats - informe'!$G$16),1,0)</f>
        <v>1</v>
      </c>
      <c r="M8911" s="369" cm="1">
        <f t="array" ref="M8911">+_xlfn.IFS((C8911&gt;='Resultats - informe'!$D$26)*(C8911&lt;='Resultats - informe'!$E$26),0,(C8911&gt;='Resultats - informe'!$D$27)*(C8911&lt;='Resultats - informe'!$E$27),0,(C8911&gt;='Resultats - informe'!$D$28)*(C8911&lt;='Resultats - informe'!$E$28),0,(C8911&gt;='Resultats - informe'!$D$29)*(C8911&lt;='Resultats - informe'!$E$29),0,1,1)</f>
        <v>0</v>
      </c>
      <c r="N8911" s="366">
        <f>+VLOOKUP(D8911,'Resultats - informe'!$Y$18:$AG$42,'Introducció dades consum'!K8911+1,0)</f>
        <v>0</v>
      </c>
      <c r="O8911" s="370" cm="1">
        <f t="array" ref="O8911">+_xlfn.SWITCH(MONTH(C8911),1,1,2,1,3,1,4,2,5,2,6,3,7,3,8,3,9,3,10,2,11,2,12,1,2)</f>
        <v>1</v>
      </c>
      <c r="P8911" s="43"/>
    </row>
    <row r="8912" spans="1:16" ht="18" x14ac:dyDescent="0.35">
      <c r="A8912" s="43"/>
      <c r="C8912" s="393"/>
      <c r="E8912" s="394"/>
      <c r="F8912" s="394"/>
      <c r="G8912" s="394"/>
      <c r="I8912" s="368">
        <f t="shared" si="420"/>
        <v>0</v>
      </c>
      <c r="J8912" s="365">
        <f t="shared" si="421"/>
        <v>0</v>
      </c>
      <c r="K8912" s="369">
        <f t="shared" si="422"/>
        <v>6</v>
      </c>
      <c r="L8912" s="369">
        <f>+IF((C8912&gt;='Resultats - informe'!$E$16)*(C8912&lt;='Resultats - informe'!$G$16),1,0)</f>
        <v>1</v>
      </c>
      <c r="M8912" s="369" cm="1">
        <f t="array" ref="M8912">+_xlfn.IFS((C8912&gt;='Resultats - informe'!$D$26)*(C8912&lt;='Resultats - informe'!$E$26),0,(C8912&gt;='Resultats - informe'!$D$27)*(C8912&lt;='Resultats - informe'!$E$27),0,(C8912&gt;='Resultats - informe'!$D$28)*(C8912&lt;='Resultats - informe'!$E$28),0,(C8912&gt;='Resultats - informe'!$D$29)*(C8912&lt;='Resultats - informe'!$E$29),0,1,1)</f>
        <v>0</v>
      </c>
      <c r="N8912" s="366">
        <f>+VLOOKUP(D8912,'Resultats - informe'!$Y$18:$AG$42,'Introducció dades consum'!K8912+1,0)</f>
        <v>0</v>
      </c>
      <c r="O8912" s="370" cm="1">
        <f t="array" ref="O8912">+_xlfn.SWITCH(MONTH(C8912),1,1,2,1,3,1,4,2,5,2,6,3,7,3,8,3,9,3,10,2,11,2,12,1,2)</f>
        <v>1</v>
      </c>
      <c r="P8912" s="43"/>
    </row>
    <row r="8913" spans="1:16" ht="18" x14ac:dyDescent="0.35">
      <c r="A8913" s="43"/>
      <c r="C8913" s="393"/>
      <c r="E8913" s="394"/>
      <c r="F8913" s="394"/>
      <c r="G8913" s="394"/>
      <c r="I8913" s="368">
        <f t="shared" si="420"/>
        <v>0</v>
      </c>
      <c r="J8913" s="365">
        <f t="shared" si="421"/>
        <v>0</v>
      </c>
      <c r="K8913" s="369">
        <f t="shared" si="422"/>
        <v>6</v>
      </c>
      <c r="L8913" s="369">
        <f>+IF((C8913&gt;='Resultats - informe'!$E$16)*(C8913&lt;='Resultats - informe'!$G$16),1,0)</f>
        <v>1</v>
      </c>
      <c r="M8913" s="369" cm="1">
        <f t="array" ref="M8913">+_xlfn.IFS((C8913&gt;='Resultats - informe'!$D$26)*(C8913&lt;='Resultats - informe'!$E$26),0,(C8913&gt;='Resultats - informe'!$D$27)*(C8913&lt;='Resultats - informe'!$E$27),0,(C8913&gt;='Resultats - informe'!$D$28)*(C8913&lt;='Resultats - informe'!$E$28),0,(C8913&gt;='Resultats - informe'!$D$29)*(C8913&lt;='Resultats - informe'!$E$29),0,1,1)</f>
        <v>0</v>
      </c>
      <c r="N8913" s="366">
        <f>+VLOOKUP(D8913,'Resultats - informe'!$Y$18:$AG$42,'Introducció dades consum'!K8913+1,0)</f>
        <v>0</v>
      </c>
      <c r="O8913" s="370" cm="1">
        <f t="array" ref="O8913">+_xlfn.SWITCH(MONTH(C8913),1,1,2,1,3,1,4,2,5,2,6,3,7,3,8,3,9,3,10,2,11,2,12,1,2)</f>
        <v>1</v>
      </c>
      <c r="P8913" s="43"/>
    </row>
    <row r="8914" spans="1:16" ht="18" x14ac:dyDescent="0.35">
      <c r="A8914" s="43"/>
      <c r="C8914" s="393"/>
      <c r="E8914" s="394"/>
      <c r="F8914" s="394"/>
      <c r="G8914" s="394"/>
      <c r="I8914" s="368">
        <f t="shared" ref="I8914:I8962" si="423">+E8914+G8914</f>
        <v>0</v>
      </c>
      <c r="J8914" s="365">
        <f t="shared" ref="J8914:J8962" si="424">+C8914</f>
        <v>0</v>
      </c>
      <c r="K8914" s="369">
        <f t="shared" ref="K8914:K8962" si="425">+WEEKDAY(C8914,2)</f>
        <v>6</v>
      </c>
      <c r="L8914" s="369">
        <f>+IF((C8914&gt;='Resultats - informe'!$E$16)*(C8914&lt;='Resultats - informe'!$G$16),1,0)</f>
        <v>1</v>
      </c>
      <c r="M8914" s="369" cm="1">
        <f t="array" ref="M8914">+_xlfn.IFS((C8914&gt;='Resultats - informe'!$D$26)*(C8914&lt;='Resultats - informe'!$E$26),0,(C8914&gt;='Resultats - informe'!$D$27)*(C8914&lt;='Resultats - informe'!$E$27),0,(C8914&gt;='Resultats - informe'!$D$28)*(C8914&lt;='Resultats - informe'!$E$28),0,(C8914&gt;='Resultats - informe'!$D$29)*(C8914&lt;='Resultats - informe'!$E$29),0,1,1)</f>
        <v>0</v>
      </c>
      <c r="N8914" s="366">
        <f>+VLOOKUP(D8914,'Resultats - informe'!$Y$18:$AG$42,'Introducció dades consum'!K8914+1,0)</f>
        <v>0</v>
      </c>
      <c r="O8914" s="370" cm="1">
        <f t="array" ref="O8914">+_xlfn.SWITCH(MONTH(C8914),1,1,2,1,3,1,4,2,5,2,6,3,7,3,8,3,9,3,10,2,11,2,12,1,2)</f>
        <v>1</v>
      </c>
      <c r="P8914" s="43"/>
    </row>
    <row r="8915" spans="1:16" ht="18" x14ac:dyDescent="0.35">
      <c r="A8915" s="43"/>
      <c r="C8915" s="393"/>
      <c r="E8915" s="394"/>
      <c r="F8915" s="394"/>
      <c r="G8915" s="394"/>
      <c r="I8915" s="368">
        <f t="shared" si="423"/>
        <v>0</v>
      </c>
      <c r="J8915" s="365">
        <f t="shared" si="424"/>
        <v>0</v>
      </c>
      <c r="K8915" s="369">
        <f t="shared" si="425"/>
        <v>6</v>
      </c>
      <c r="L8915" s="369">
        <f>+IF((C8915&gt;='Resultats - informe'!$E$16)*(C8915&lt;='Resultats - informe'!$G$16),1,0)</f>
        <v>1</v>
      </c>
      <c r="M8915" s="369" cm="1">
        <f t="array" ref="M8915">+_xlfn.IFS((C8915&gt;='Resultats - informe'!$D$26)*(C8915&lt;='Resultats - informe'!$E$26),0,(C8915&gt;='Resultats - informe'!$D$27)*(C8915&lt;='Resultats - informe'!$E$27),0,(C8915&gt;='Resultats - informe'!$D$28)*(C8915&lt;='Resultats - informe'!$E$28),0,(C8915&gt;='Resultats - informe'!$D$29)*(C8915&lt;='Resultats - informe'!$E$29),0,1,1)</f>
        <v>0</v>
      </c>
      <c r="N8915" s="366">
        <f>+VLOOKUP(D8915,'Resultats - informe'!$Y$18:$AG$42,'Introducció dades consum'!K8915+1,0)</f>
        <v>0</v>
      </c>
      <c r="O8915" s="370" cm="1">
        <f t="array" ref="O8915">+_xlfn.SWITCH(MONTH(C8915),1,1,2,1,3,1,4,2,5,2,6,3,7,3,8,3,9,3,10,2,11,2,12,1,2)</f>
        <v>1</v>
      </c>
      <c r="P8915" s="43"/>
    </row>
    <row r="8916" spans="1:16" ht="18" x14ac:dyDescent="0.35">
      <c r="A8916" s="43"/>
      <c r="C8916" s="393"/>
      <c r="E8916" s="394"/>
      <c r="F8916" s="394"/>
      <c r="G8916" s="394"/>
      <c r="I8916" s="368">
        <f t="shared" si="423"/>
        <v>0</v>
      </c>
      <c r="J8916" s="365">
        <f t="shared" si="424"/>
        <v>0</v>
      </c>
      <c r="K8916" s="369">
        <f t="shared" si="425"/>
        <v>6</v>
      </c>
      <c r="L8916" s="369">
        <f>+IF((C8916&gt;='Resultats - informe'!$E$16)*(C8916&lt;='Resultats - informe'!$G$16),1,0)</f>
        <v>1</v>
      </c>
      <c r="M8916" s="369" cm="1">
        <f t="array" ref="M8916">+_xlfn.IFS((C8916&gt;='Resultats - informe'!$D$26)*(C8916&lt;='Resultats - informe'!$E$26),0,(C8916&gt;='Resultats - informe'!$D$27)*(C8916&lt;='Resultats - informe'!$E$27),0,(C8916&gt;='Resultats - informe'!$D$28)*(C8916&lt;='Resultats - informe'!$E$28),0,(C8916&gt;='Resultats - informe'!$D$29)*(C8916&lt;='Resultats - informe'!$E$29),0,1,1)</f>
        <v>0</v>
      </c>
      <c r="N8916" s="366">
        <f>+VLOOKUP(D8916,'Resultats - informe'!$Y$18:$AG$42,'Introducció dades consum'!K8916+1,0)</f>
        <v>0</v>
      </c>
      <c r="O8916" s="370" cm="1">
        <f t="array" ref="O8916">+_xlfn.SWITCH(MONTH(C8916),1,1,2,1,3,1,4,2,5,2,6,3,7,3,8,3,9,3,10,2,11,2,12,1,2)</f>
        <v>1</v>
      </c>
      <c r="P8916" s="43"/>
    </row>
    <row r="8917" spans="1:16" ht="18" x14ac:dyDescent="0.35">
      <c r="A8917" s="43"/>
      <c r="C8917" s="393"/>
      <c r="E8917" s="394"/>
      <c r="F8917" s="394"/>
      <c r="G8917" s="394"/>
      <c r="I8917" s="368">
        <f t="shared" si="423"/>
        <v>0</v>
      </c>
      <c r="J8917" s="365">
        <f t="shared" si="424"/>
        <v>0</v>
      </c>
      <c r="K8917" s="369">
        <f t="shared" si="425"/>
        <v>6</v>
      </c>
      <c r="L8917" s="369">
        <f>+IF((C8917&gt;='Resultats - informe'!$E$16)*(C8917&lt;='Resultats - informe'!$G$16),1,0)</f>
        <v>1</v>
      </c>
      <c r="M8917" s="369" cm="1">
        <f t="array" ref="M8917">+_xlfn.IFS((C8917&gt;='Resultats - informe'!$D$26)*(C8917&lt;='Resultats - informe'!$E$26),0,(C8917&gt;='Resultats - informe'!$D$27)*(C8917&lt;='Resultats - informe'!$E$27),0,(C8917&gt;='Resultats - informe'!$D$28)*(C8917&lt;='Resultats - informe'!$E$28),0,(C8917&gt;='Resultats - informe'!$D$29)*(C8917&lt;='Resultats - informe'!$E$29),0,1,1)</f>
        <v>0</v>
      </c>
      <c r="N8917" s="366">
        <f>+VLOOKUP(D8917,'Resultats - informe'!$Y$18:$AG$42,'Introducció dades consum'!K8917+1,0)</f>
        <v>0</v>
      </c>
      <c r="O8917" s="370" cm="1">
        <f t="array" ref="O8917">+_xlfn.SWITCH(MONTH(C8917),1,1,2,1,3,1,4,2,5,2,6,3,7,3,8,3,9,3,10,2,11,2,12,1,2)</f>
        <v>1</v>
      </c>
      <c r="P8917" s="43"/>
    </row>
    <row r="8918" spans="1:16" ht="18" x14ac:dyDescent="0.35">
      <c r="A8918" s="43"/>
      <c r="C8918" s="393"/>
      <c r="E8918" s="394"/>
      <c r="F8918" s="394"/>
      <c r="G8918" s="394"/>
      <c r="I8918" s="368">
        <f t="shared" si="423"/>
        <v>0</v>
      </c>
      <c r="J8918" s="365">
        <f t="shared" si="424"/>
        <v>0</v>
      </c>
      <c r="K8918" s="369">
        <f t="shared" si="425"/>
        <v>6</v>
      </c>
      <c r="L8918" s="369">
        <f>+IF((C8918&gt;='Resultats - informe'!$E$16)*(C8918&lt;='Resultats - informe'!$G$16),1,0)</f>
        <v>1</v>
      </c>
      <c r="M8918" s="369" cm="1">
        <f t="array" ref="M8918">+_xlfn.IFS((C8918&gt;='Resultats - informe'!$D$26)*(C8918&lt;='Resultats - informe'!$E$26),0,(C8918&gt;='Resultats - informe'!$D$27)*(C8918&lt;='Resultats - informe'!$E$27),0,(C8918&gt;='Resultats - informe'!$D$28)*(C8918&lt;='Resultats - informe'!$E$28),0,(C8918&gt;='Resultats - informe'!$D$29)*(C8918&lt;='Resultats - informe'!$E$29),0,1,1)</f>
        <v>0</v>
      </c>
      <c r="N8918" s="366">
        <f>+VLOOKUP(D8918,'Resultats - informe'!$Y$18:$AG$42,'Introducció dades consum'!K8918+1,0)</f>
        <v>0</v>
      </c>
      <c r="O8918" s="370" cm="1">
        <f t="array" ref="O8918">+_xlfn.SWITCH(MONTH(C8918),1,1,2,1,3,1,4,2,5,2,6,3,7,3,8,3,9,3,10,2,11,2,12,1,2)</f>
        <v>1</v>
      </c>
      <c r="P8918" s="43"/>
    </row>
    <row r="8919" spans="1:16" ht="18" x14ac:dyDescent="0.35">
      <c r="A8919" s="43"/>
      <c r="C8919" s="393"/>
      <c r="E8919" s="394"/>
      <c r="F8919" s="394"/>
      <c r="G8919" s="394"/>
      <c r="I8919" s="368">
        <f t="shared" si="423"/>
        <v>0</v>
      </c>
      <c r="J8919" s="365">
        <f t="shared" si="424"/>
        <v>0</v>
      </c>
      <c r="K8919" s="369">
        <f t="shared" si="425"/>
        <v>6</v>
      </c>
      <c r="L8919" s="369">
        <f>+IF((C8919&gt;='Resultats - informe'!$E$16)*(C8919&lt;='Resultats - informe'!$G$16),1,0)</f>
        <v>1</v>
      </c>
      <c r="M8919" s="369" cm="1">
        <f t="array" ref="M8919">+_xlfn.IFS((C8919&gt;='Resultats - informe'!$D$26)*(C8919&lt;='Resultats - informe'!$E$26),0,(C8919&gt;='Resultats - informe'!$D$27)*(C8919&lt;='Resultats - informe'!$E$27),0,(C8919&gt;='Resultats - informe'!$D$28)*(C8919&lt;='Resultats - informe'!$E$28),0,(C8919&gt;='Resultats - informe'!$D$29)*(C8919&lt;='Resultats - informe'!$E$29),0,1,1)</f>
        <v>0</v>
      </c>
      <c r="N8919" s="366">
        <f>+VLOOKUP(D8919,'Resultats - informe'!$Y$18:$AG$42,'Introducció dades consum'!K8919+1,0)</f>
        <v>0</v>
      </c>
      <c r="O8919" s="370" cm="1">
        <f t="array" ref="O8919">+_xlfn.SWITCH(MONTH(C8919),1,1,2,1,3,1,4,2,5,2,6,3,7,3,8,3,9,3,10,2,11,2,12,1,2)</f>
        <v>1</v>
      </c>
      <c r="P8919" s="43"/>
    </row>
    <row r="8920" spans="1:16" ht="18" x14ac:dyDescent="0.35">
      <c r="A8920" s="43"/>
      <c r="C8920" s="393"/>
      <c r="E8920" s="394"/>
      <c r="F8920" s="394"/>
      <c r="G8920" s="394"/>
      <c r="I8920" s="368">
        <f t="shared" si="423"/>
        <v>0</v>
      </c>
      <c r="J8920" s="365">
        <f t="shared" si="424"/>
        <v>0</v>
      </c>
      <c r="K8920" s="369">
        <f t="shared" si="425"/>
        <v>6</v>
      </c>
      <c r="L8920" s="369">
        <f>+IF((C8920&gt;='Resultats - informe'!$E$16)*(C8920&lt;='Resultats - informe'!$G$16),1,0)</f>
        <v>1</v>
      </c>
      <c r="M8920" s="369" cm="1">
        <f t="array" ref="M8920">+_xlfn.IFS((C8920&gt;='Resultats - informe'!$D$26)*(C8920&lt;='Resultats - informe'!$E$26),0,(C8920&gt;='Resultats - informe'!$D$27)*(C8920&lt;='Resultats - informe'!$E$27),0,(C8920&gt;='Resultats - informe'!$D$28)*(C8920&lt;='Resultats - informe'!$E$28),0,(C8920&gt;='Resultats - informe'!$D$29)*(C8920&lt;='Resultats - informe'!$E$29),0,1,1)</f>
        <v>0</v>
      </c>
      <c r="N8920" s="366">
        <f>+VLOOKUP(D8920,'Resultats - informe'!$Y$18:$AG$42,'Introducció dades consum'!K8920+1,0)</f>
        <v>0</v>
      </c>
      <c r="O8920" s="370" cm="1">
        <f t="array" ref="O8920">+_xlfn.SWITCH(MONTH(C8920),1,1,2,1,3,1,4,2,5,2,6,3,7,3,8,3,9,3,10,2,11,2,12,1,2)</f>
        <v>1</v>
      </c>
      <c r="P8920" s="43"/>
    </row>
    <row r="8921" spans="1:16" ht="18" x14ac:dyDescent="0.35">
      <c r="A8921" s="43"/>
      <c r="C8921" s="393"/>
      <c r="E8921" s="394"/>
      <c r="F8921" s="394"/>
      <c r="G8921" s="394"/>
      <c r="I8921" s="368">
        <f t="shared" si="423"/>
        <v>0</v>
      </c>
      <c r="J8921" s="365">
        <f t="shared" si="424"/>
        <v>0</v>
      </c>
      <c r="K8921" s="369">
        <f t="shared" si="425"/>
        <v>6</v>
      </c>
      <c r="L8921" s="369">
        <f>+IF((C8921&gt;='Resultats - informe'!$E$16)*(C8921&lt;='Resultats - informe'!$G$16),1,0)</f>
        <v>1</v>
      </c>
      <c r="M8921" s="369" cm="1">
        <f t="array" ref="M8921">+_xlfn.IFS((C8921&gt;='Resultats - informe'!$D$26)*(C8921&lt;='Resultats - informe'!$E$26),0,(C8921&gt;='Resultats - informe'!$D$27)*(C8921&lt;='Resultats - informe'!$E$27),0,(C8921&gt;='Resultats - informe'!$D$28)*(C8921&lt;='Resultats - informe'!$E$28),0,(C8921&gt;='Resultats - informe'!$D$29)*(C8921&lt;='Resultats - informe'!$E$29),0,1,1)</f>
        <v>0</v>
      </c>
      <c r="N8921" s="366">
        <f>+VLOOKUP(D8921,'Resultats - informe'!$Y$18:$AG$42,'Introducció dades consum'!K8921+1,0)</f>
        <v>0</v>
      </c>
      <c r="O8921" s="370" cm="1">
        <f t="array" ref="O8921">+_xlfn.SWITCH(MONTH(C8921),1,1,2,1,3,1,4,2,5,2,6,3,7,3,8,3,9,3,10,2,11,2,12,1,2)</f>
        <v>1</v>
      </c>
      <c r="P8921" s="43"/>
    </row>
    <row r="8922" spans="1:16" ht="18" x14ac:dyDescent="0.35">
      <c r="A8922" s="43"/>
      <c r="C8922" s="393"/>
      <c r="E8922" s="394"/>
      <c r="F8922" s="394"/>
      <c r="G8922" s="394"/>
      <c r="I8922" s="368">
        <f t="shared" si="423"/>
        <v>0</v>
      </c>
      <c r="J8922" s="365">
        <f t="shared" si="424"/>
        <v>0</v>
      </c>
      <c r="K8922" s="369">
        <f t="shared" si="425"/>
        <v>6</v>
      </c>
      <c r="L8922" s="369">
        <f>+IF((C8922&gt;='Resultats - informe'!$E$16)*(C8922&lt;='Resultats - informe'!$G$16),1,0)</f>
        <v>1</v>
      </c>
      <c r="M8922" s="369" cm="1">
        <f t="array" ref="M8922">+_xlfn.IFS((C8922&gt;='Resultats - informe'!$D$26)*(C8922&lt;='Resultats - informe'!$E$26),0,(C8922&gt;='Resultats - informe'!$D$27)*(C8922&lt;='Resultats - informe'!$E$27),0,(C8922&gt;='Resultats - informe'!$D$28)*(C8922&lt;='Resultats - informe'!$E$28),0,(C8922&gt;='Resultats - informe'!$D$29)*(C8922&lt;='Resultats - informe'!$E$29),0,1,1)</f>
        <v>0</v>
      </c>
      <c r="N8922" s="366">
        <f>+VLOOKUP(D8922,'Resultats - informe'!$Y$18:$AG$42,'Introducció dades consum'!K8922+1,0)</f>
        <v>0</v>
      </c>
      <c r="O8922" s="370" cm="1">
        <f t="array" ref="O8922">+_xlfn.SWITCH(MONTH(C8922),1,1,2,1,3,1,4,2,5,2,6,3,7,3,8,3,9,3,10,2,11,2,12,1,2)</f>
        <v>1</v>
      </c>
      <c r="P8922" s="43"/>
    </row>
    <row r="8923" spans="1:16" ht="18" x14ac:dyDescent="0.35">
      <c r="A8923" s="43"/>
      <c r="C8923" s="393"/>
      <c r="E8923" s="394"/>
      <c r="F8923" s="394"/>
      <c r="G8923" s="394"/>
      <c r="I8923" s="368">
        <f t="shared" si="423"/>
        <v>0</v>
      </c>
      <c r="J8923" s="365">
        <f t="shared" si="424"/>
        <v>0</v>
      </c>
      <c r="K8923" s="369">
        <f t="shared" si="425"/>
        <v>6</v>
      </c>
      <c r="L8923" s="369">
        <f>+IF((C8923&gt;='Resultats - informe'!$E$16)*(C8923&lt;='Resultats - informe'!$G$16),1,0)</f>
        <v>1</v>
      </c>
      <c r="M8923" s="369" cm="1">
        <f t="array" ref="M8923">+_xlfn.IFS((C8923&gt;='Resultats - informe'!$D$26)*(C8923&lt;='Resultats - informe'!$E$26),0,(C8923&gt;='Resultats - informe'!$D$27)*(C8923&lt;='Resultats - informe'!$E$27),0,(C8923&gt;='Resultats - informe'!$D$28)*(C8923&lt;='Resultats - informe'!$E$28),0,(C8923&gt;='Resultats - informe'!$D$29)*(C8923&lt;='Resultats - informe'!$E$29),0,1,1)</f>
        <v>0</v>
      </c>
      <c r="N8923" s="366">
        <f>+VLOOKUP(D8923,'Resultats - informe'!$Y$18:$AG$42,'Introducció dades consum'!K8923+1,0)</f>
        <v>0</v>
      </c>
      <c r="O8923" s="370" cm="1">
        <f t="array" ref="O8923">+_xlfn.SWITCH(MONTH(C8923),1,1,2,1,3,1,4,2,5,2,6,3,7,3,8,3,9,3,10,2,11,2,12,1,2)</f>
        <v>1</v>
      </c>
      <c r="P8923" s="43"/>
    </row>
    <row r="8924" spans="1:16" ht="18" x14ac:dyDescent="0.35">
      <c r="A8924" s="43"/>
      <c r="C8924" s="393"/>
      <c r="E8924" s="394"/>
      <c r="F8924" s="394"/>
      <c r="G8924" s="394"/>
      <c r="I8924" s="368">
        <f t="shared" si="423"/>
        <v>0</v>
      </c>
      <c r="J8924" s="365">
        <f t="shared" si="424"/>
        <v>0</v>
      </c>
      <c r="K8924" s="369">
        <f t="shared" si="425"/>
        <v>6</v>
      </c>
      <c r="L8924" s="369">
        <f>+IF((C8924&gt;='Resultats - informe'!$E$16)*(C8924&lt;='Resultats - informe'!$G$16),1,0)</f>
        <v>1</v>
      </c>
      <c r="M8924" s="369" cm="1">
        <f t="array" ref="M8924">+_xlfn.IFS((C8924&gt;='Resultats - informe'!$D$26)*(C8924&lt;='Resultats - informe'!$E$26),0,(C8924&gt;='Resultats - informe'!$D$27)*(C8924&lt;='Resultats - informe'!$E$27),0,(C8924&gt;='Resultats - informe'!$D$28)*(C8924&lt;='Resultats - informe'!$E$28),0,(C8924&gt;='Resultats - informe'!$D$29)*(C8924&lt;='Resultats - informe'!$E$29),0,1,1)</f>
        <v>0</v>
      </c>
      <c r="N8924" s="366">
        <f>+VLOOKUP(D8924,'Resultats - informe'!$Y$18:$AG$42,'Introducció dades consum'!K8924+1,0)</f>
        <v>0</v>
      </c>
      <c r="O8924" s="370" cm="1">
        <f t="array" ref="O8924">+_xlfn.SWITCH(MONTH(C8924),1,1,2,1,3,1,4,2,5,2,6,3,7,3,8,3,9,3,10,2,11,2,12,1,2)</f>
        <v>1</v>
      </c>
      <c r="P8924" s="43"/>
    </row>
    <row r="8925" spans="1:16" ht="18" x14ac:dyDescent="0.35">
      <c r="A8925" s="43"/>
      <c r="C8925" s="393"/>
      <c r="E8925" s="394"/>
      <c r="F8925" s="394"/>
      <c r="G8925" s="394"/>
      <c r="I8925" s="368">
        <f t="shared" si="423"/>
        <v>0</v>
      </c>
      <c r="J8925" s="365">
        <f t="shared" si="424"/>
        <v>0</v>
      </c>
      <c r="K8925" s="369">
        <f t="shared" si="425"/>
        <v>6</v>
      </c>
      <c r="L8925" s="369">
        <f>+IF((C8925&gt;='Resultats - informe'!$E$16)*(C8925&lt;='Resultats - informe'!$G$16),1,0)</f>
        <v>1</v>
      </c>
      <c r="M8925" s="369" cm="1">
        <f t="array" ref="M8925">+_xlfn.IFS((C8925&gt;='Resultats - informe'!$D$26)*(C8925&lt;='Resultats - informe'!$E$26),0,(C8925&gt;='Resultats - informe'!$D$27)*(C8925&lt;='Resultats - informe'!$E$27),0,(C8925&gt;='Resultats - informe'!$D$28)*(C8925&lt;='Resultats - informe'!$E$28),0,(C8925&gt;='Resultats - informe'!$D$29)*(C8925&lt;='Resultats - informe'!$E$29),0,1,1)</f>
        <v>0</v>
      </c>
      <c r="N8925" s="366">
        <f>+VLOOKUP(D8925,'Resultats - informe'!$Y$18:$AG$42,'Introducció dades consum'!K8925+1,0)</f>
        <v>0</v>
      </c>
      <c r="O8925" s="370" cm="1">
        <f t="array" ref="O8925">+_xlfn.SWITCH(MONTH(C8925),1,1,2,1,3,1,4,2,5,2,6,3,7,3,8,3,9,3,10,2,11,2,12,1,2)</f>
        <v>1</v>
      </c>
      <c r="P8925" s="43"/>
    </row>
    <row r="8926" spans="1:16" ht="18" x14ac:dyDescent="0.35">
      <c r="A8926" s="43"/>
      <c r="C8926" s="393"/>
      <c r="E8926" s="394"/>
      <c r="F8926" s="394"/>
      <c r="G8926" s="394"/>
      <c r="I8926" s="368">
        <f t="shared" si="423"/>
        <v>0</v>
      </c>
      <c r="J8926" s="365">
        <f t="shared" si="424"/>
        <v>0</v>
      </c>
      <c r="K8926" s="369">
        <f t="shared" si="425"/>
        <v>6</v>
      </c>
      <c r="L8926" s="369">
        <f>+IF((C8926&gt;='Resultats - informe'!$E$16)*(C8926&lt;='Resultats - informe'!$G$16),1,0)</f>
        <v>1</v>
      </c>
      <c r="M8926" s="369" cm="1">
        <f t="array" ref="M8926">+_xlfn.IFS((C8926&gt;='Resultats - informe'!$D$26)*(C8926&lt;='Resultats - informe'!$E$26),0,(C8926&gt;='Resultats - informe'!$D$27)*(C8926&lt;='Resultats - informe'!$E$27),0,(C8926&gt;='Resultats - informe'!$D$28)*(C8926&lt;='Resultats - informe'!$E$28),0,(C8926&gt;='Resultats - informe'!$D$29)*(C8926&lt;='Resultats - informe'!$E$29),0,1,1)</f>
        <v>0</v>
      </c>
      <c r="N8926" s="366">
        <f>+VLOOKUP(D8926,'Resultats - informe'!$Y$18:$AG$42,'Introducció dades consum'!K8926+1,0)</f>
        <v>0</v>
      </c>
      <c r="O8926" s="370" cm="1">
        <f t="array" ref="O8926">+_xlfn.SWITCH(MONTH(C8926),1,1,2,1,3,1,4,2,5,2,6,3,7,3,8,3,9,3,10,2,11,2,12,1,2)</f>
        <v>1</v>
      </c>
      <c r="P8926" s="43"/>
    </row>
    <row r="8927" spans="1:16" ht="18" x14ac:dyDescent="0.35">
      <c r="A8927" s="43"/>
      <c r="C8927" s="393"/>
      <c r="E8927" s="394"/>
      <c r="F8927" s="394"/>
      <c r="G8927" s="394"/>
      <c r="I8927" s="368">
        <f t="shared" si="423"/>
        <v>0</v>
      </c>
      <c r="J8927" s="365">
        <f t="shared" si="424"/>
        <v>0</v>
      </c>
      <c r="K8927" s="369">
        <f t="shared" si="425"/>
        <v>6</v>
      </c>
      <c r="L8927" s="369">
        <f>+IF((C8927&gt;='Resultats - informe'!$E$16)*(C8927&lt;='Resultats - informe'!$G$16),1,0)</f>
        <v>1</v>
      </c>
      <c r="M8927" s="369" cm="1">
        <f t="array" ref="M8927">+_xlfn.IFS((C8927&gt;='Resultats - informe'!$D$26)*(C8927&lt;='Resultats - informe'!$E$26),0,(C8927&gt;='Resultats - informe'!$D$27)*(C8927&lt;='Resultats - informe'!$E$27),0,(C8927&gt;='Resultats - informe'!$D$28)*(C8927&lt;='Resultats - informe'!$E$28),0,(C8927&gt;='Resultats - informe'!$D$29)*(C8927&lt;='Resultats - informe'!$E$29),0,1,1)</f>
        <v>0</v>
      </c>
      <c r="N8927" s="366">
        <f>+VLOOKUP(D8927,'Resultats - informe'!$Y$18:$AG$42,'Introducció dades consum'!K8927+1,0)</f>
        <v>0</v>
      </c>
      <c r="O8927" s="370" cm="1">
        <f t="array" ref="O8927">+_xlfn.SWITCH(MONTH(C8927),1,1,2,1,3,1,4,2,5,2,6,3,7,3,8,3,9,3,10,2,11,2,12,1,2)</f>
        <v>1</v>
      </c>
      <c r="P8927" s="43"/>
    </row>
    <row r="8928" spans="1:16" ht="18" x14ac:dyDescent="0.35">
      <c r="A8928" s="43"/>
      <c r="C8928" s="393"/>
      <c r="E8928" s="394"/>
      <c r="F8928" s="394"/>
      <c r="G8928" s="394"/>
      <c r="I8928" s="368">
        <f t="shared" si="423"/>
        <v>0</v>
      </c>
      <c r="J8928" s="365">
        <f t="shared" si="424"/>
        <v>0</v>
      </c>
      <c r="K8928" s="369">
        <f t="shared" si="425"/>
        <v>6</v>
      </c>
      <c r="L8928" s="369">
        <f>+IF((C8928&gt;='Resultats - informe'!$E$16)*(C8928&lt;='Resultats - informe'!$G$16),1,0)</f>
        <v>1</v>
      </c>
      <c r="M8928" s="369" cm="1">
        <f t="array" ref="M8928">+_xlfn.IFS((C8928&gt;='Resultats - informe'!$D$26)*(C8928&lt;='Resultats - informe'!$E$26),0,(C8928&gt;='Resultats - informe'!$D$27)*(C8928&lt;='Resultats - informe'!$E$27),0,(C8928&gt;='Resultats - informe'!$D$28)*(C8928&lt;='Resultats - informe'!$E$28),0,(C8928&gt;='Resultats - informe'!$D$29)*(C8928&lt;='Resultats - informe'!$E$29),0,1,1)</f>
        <v>0</v>
      </c>
      <c r="N8928" s="366">
        <f>+VLOOKUP(D8928,'Resultats - informe'!$Y$18:$AG$42,'Introducció dades consum'!K8928+1,0)</f>
        <v>0</v>
      </c>
      <c r="O8928" s="370" cm="1">
        <f t="array" ref="O8928">+_xlfn.SWITCH(MONTH(C8928),1,1,2,1,3,1,4,2,5,2,6,3,7,3,8,3,9,3,10,2,11,2,12,1,2)</f>
        <v>1</v>
      </c>
      <c r="P8928" s="43"/>
    </row>
    <row r="8929" spans="1:16" ht="18" x14ac:dyDescent="0.35">
      <c r="A8929" s="43"/>
      <c r="C8929" s="393"/>
      <c r="E8929" s="394"/>
      <c r="F8929" s="394"/>
      <c r="G8929" s="394"/>
      <c r="I8929" s="368">
        <f t="shared" si="423"/>
        <v>0</v>
      </c>
      <c r="J8929" s="365">
        <f t="shared" si="424"/>
        <v>0</v>
      </c>
      <c r="K8929" s="369">
        <f t="shared" si="425"/>
        <v>6</v>
      </c>
      <c r="L8929" s="369">
        <f>+IF((C8929&gt;='Resultats - informe'!$E$16)*(C8929&lt;='Resultats - informe'!$G$16),1,0)</f>
        <v>1</v>
      </c>
      <c r="M8929" s="369" cm="1">
        <f t="array" ref="M8929">+_xlfn.IFS((C8929&gt;='Resultats - informe'!$D$26)*(C8929&lt;='Resultats - informe'!$E$26),0,(C8929&gt;='Resultats - informe'!$D$27)*(C8929&lt;='Resultats - informe'!$E$27),0,(C8929&gt;='Resultats - informe'!$D$28)*(C8929&lt;='Resultats - informe'!$E$28),0,(C8929&gt;='Resultats - informe'!$D$29)*(C8929&lt;='Resultats - informe'!$E$29),0,1,1)</f>
        <v>0</v>
      </c>
      <c r="N8929" s="366">
        <f>+VLOOKUP(D8929,'Resultats - informe'!$Y$18:$AG$42,'Introducció dades consum'!K8929+1,0)</f>
        <v>0</v>
      </c>
      <c r="O8929" s="370" cm="1">
        <f t="array" ref="O8929">+_xlfn.SWITCH(MONTH(C8929),1,1,2,1,3,1,4,2,5,2,6,3,7,3,8,3,9,3,10,2,11,2,12,1,2)</f>
        <v>1</v>
      </c>
      <c r="P8929" s="43"/>
    </row>
    <row r="8930" spans="1:16" ht="18" x14ac:dyDescent="0.35">
      <c r="A8930" s="43"/>
      <c r="C8930" s="393"/>
      <c r="E8930" s="394"/>
      <c r="F8930" s="394"/>
      <c r="G8930" s="394"/>
      <c r="I8930" s="368">
        <f t="shared" si="423"/>
        <v>0</v>
      </c>
      <c r="J8930" s="365">
        <f t="shared" si="424"/>
        <v>0</v>
      </c>
      <c r="K8930" s="369">
        <f t="shared" si="425"/>
        <v>6</v>
      </c>
      <c r="L8930" s="369">
        <f>+IF((C8930&gt;='Resultats - informe'!$E$16)*(C8930&lt;='Resultats - informe'!$G$16),1,0)</f>
        <v>1</v>
      </c>
      <c r="M8930" s="369" cm="1">
        <f t="array" ref="M8930">+_xlfn.IFS((C8930&gt;='Resultats - informe'!$D$26)*(C8930&lt;='Resultats - informe'!$E$26),0,(C8930&gt;='Resultats - informe'!$D$27)*(C8930&lt;='Resultats - informe'!$E$27),0,(C8930&gt;='Resultats - informe'!$D$28)*(C8930&lt;='Resultats - informe'!$E$28),0,(C8930&gt;='Resultats - informe'!$D$29)*(C8930&lt;='Resultats - informe'!$E$29),0,1,1)</f>
        <v>0</v>
      </c>
      <c r="N8930" s="366">
        <f>+VLOOKUP(D8930,'Resultats - informe'!$Y$18:$AG$42,'Introducció dades consum'!K8930+1,0)</f>
        <v>0</v>
      </c>
      <c r="O8930" s="370" cm="1">
        <f t="array" ref="O8930">+_xlfn.SWITCH(MONTH(C8930),1,1,2,1,3,1,4,2,5,2,6,3,7,3,8,3,9,3,10,2,11,2,12,1,2)</f>
        <v>1</v>
      </c>
      <c r="P8930" s="43"/>
    </row>
    <row r="8931" spans="1:16" ht="18" x14ac:dyDescent="0.35">
      <c r="A8931" s="43"/>
      <c r="C8931" s="393"/>
      <c r="E8931" s="394"/>
      <c r="F8931" s="394"/>
      <c r="G8931" s="394"/>
      <c r="I8931" s="368">
        <f t="shared" si="423"/>
        <v>0</v>
      </c>
      <c r="J8931" s="365">
        <f t="shared" si="424"/>
        <v>0</v>
      </c>
      <c r="K8931" s="369">
        <f t="shared" si="425"/>
        <v>6</v>
      </c>
      <c r="L8931" s="369">
        <f>+IF((C8931&gt;='Resultats - informe'!$E$16)*(C8931&lt;='Resultats - informe'!$G$16),1,0)</f>
        <v>1</v>
      </c>
      <c r="M8931" s="369" cm="1">
        <f t="array" ref="M8931">+_xlfn.IFS((C8931&gt;='Resultats - informe'!$D$26)*(C8931&lt;='Resultats - informe'!$E$26),0,(C8931&gt;='Resultats - informe'!$D$27)*(C8931&lt;='Resultats - informe'!$E$27),0,(C8931&gt;='Resultats - informe'!$D$28)*(C8931&lt;='Resultats - informe'!$E$28),0,(C8931&gt;='Resultats - informe'!$D$29)*(C8931&lt;='Resultats - informe'!$E$29),0,1,1)</f>
        <v>0</v>
      </c>
      <c r="N8931" s="366">
        <f>+VLOOKUP(D8931,'Resultats - informe'!$Y$18:$AG$42,'Introducció dades consum'!K8931+1,0)</f>
        <v>0</v>
      </c>
      <c r="O8931" s="370" cm="1">
        <f t="array" ref="O8931">+_xlfn.SWITCH(MONTH(C8931),1,1,2,1,3,1,4,2,5,2,6,3,7,3,8,3,9,3,10,2,11,2,12,1,2)</f>
        <v>1</v>
      </c>
      <c r="P8931" s="43"/>
    </row>
    <row r="8932" spans="1:16" ht="18" x14ac:dyDescent="0.35">
      <c r="A8932" s="43"/>
      <c r="C8932" s="393"/>
      <c r="E8932" s="394"/>
      <c r="F8932" s="394"/>
      <c r="G8932" s="394"/>
      <c r="I8932" s="368">
        <f t="shared" si="423"/>
        <v>0</v>
      </c>
      <c r="J8932" s="365">
        <f t="shared" si="424"/>
        <v>0</v>
      </c>
      <c r="K8932" s="369">
        <f t="shared" si="425"/>
        <v>6</v>
      </c>
      <c r="L8932" s="369">
        <f>+IF((C8932&gt;='Resultats - informe'!$E$16)*(C8932&lt;='Resultats - informe'!$G$16),1,0)</f>
        <v>1</v>
      </c>
      <c r="M8932" s="369" cm="1">
        <f t="array" ref="M8932">+_xlfn.IFS((C8932&gt;='Resultats - informe'!$D$26)*(C8932&lt;='Resultats - informe'!$E$26),0,(C8932&gt;='Resultats - informe'!$D$27)*(C8932&lt;='Resultats - informe'!$E$27),0,(C8932&gt;='Resultats - informe'!$D$28)*(C8932&lt;='Resultats - informe'!$E$28),0,(C8932&gt;='Resultats - informe'!$D$29)*(C8932&lt;='Resultats - informe'!$E$29),0,1,1)</f>
        <v>0</v>
      </c>
      <c r="N8932" s="366">
        <f>+VLOOKUP(D8932,'Resultats - informe'!$Y$18:$AG$42,'Introducció dades consum'!K8932+1,0)</f>
        <v>0</v>
      </c>
      <c r="O8932" s="370" cm="1">
        <f t="array" ref="O8932">+_xlfn.SWITCH(MONTH(C8932),1,1,2,1,3,1,4,2,5,2,6,3,7,3,8,3,9,3,10,2,11,2,12,1,2)</f>
        <v>1</v>
      </c>
      <c r="P8932" s="43"/>
    </row>
    <row r="8933" spans="1:16" ht="18" x14ac:dyDescent="0.35">
      <c r="A8933" s="43"/>
      <c r="C8933" s="393"/>
      <c r="E8933" s="394"/>
      <c r="F8933" s="394"/>
      <c r="G8933" s="394"/>
      <c r="I8933" s="368">
        <f t="shared" si="423"/>
        <v>0</v>
      </c>
      <c r="J8933" s="365">
        <f t="shared" si="424"/>
        <v>0</v>
      </c>
      <c r="K8933" s="369">
        <f t="shared" si="425"/>
        <v>6</v>
      </c>
      <c r="L8933" s="369">
        <f>+IF((C8933&gt;='Resultats - informe'!$E$16)*(C8933&lt;='Resultats - informe'!$G$16),1,0)</f>
        <v>1</v>
      </c>
      <c r="M8933" s="369" cm="1">
        <f t="array" ref="M8933">+_xlfn.IFS((C8933&gt;='Resultats - informe'!$D$26)*(C8933&lt;='Resultats - informe'!$E$26),0,(C8933&gt;='Resultats - informe'!$D$27)*(C8933&lt;='Resultats - informe'!$E$27),0,(C8933&gt;='Resultats - informe'!$D$28)*(C8933&lt;='Resultats - informe'!$E$28),0,(C8933&gt;='Resultats - informe'!$D$29)*(C8933&lt;='Resultats - informe'!$E$29),0,1,1)</f>
        <v>0</v>
      </c>
      <c r="N8933" s="366">
        <f>+VLOOKUP(D8933,'Resultats - informe'!$Y$18:$AG$42,'Introducció dades consum'!K8933+1,0)</f>
        <v>0</v>
      </c>
      <c r="O8933" s="370" cm="1">
        <f t="array" ref="O8933">+_xlfn.SWITCH(MONTH(C8933),1,1,2,1,3,1,4,2,5,2,6,3,7,3,8,3,9,3,10,2,11,2,12,1,2)</f>
        <v>1</v>
      </c>
      <c r="P8933" s="43"/>
    </row>
    <row r="8934" spans="1:16" ht="18" x14ac:dyDescent="0.35">
      <c r="A8934" s="43"/>
      <c r="C8934" s="393"/>
      <c r="E8934" s="394"/>
      <c r="F8934" s="394"/>
      <c r="G8934" s="394"/>
      <c r="I8934" s="368">
        <f t="shared" si="423"/>
        <v>0</v>
      </c>
      <c r="J8934" s="365">
        <f t="shared" si="424"/>
        <v>0</v>
      </c>
      <c r="K8934" s="369">
        <f t="shared" si="425"/>
        <v>6</v>
      </c>
      <c r="L8934" s="369">
        <f>+IF((C8934&gt;='Resultats - informe'!$E$16)*(C8934&lt;='Resultats - informe'!$G$16),1,0)</f>
        <v>1</v>
      </c>
      <c r="M8934" s="369" cm="1">
        <f t="array" ref="M8934">+_xlfn.IFS((C8934&gt;='Resultats - informe'!$D$26)*(C8934&lt;='Resultats - informe'!$E$26),0,(C8934&gt;='Resultats - informe'!$D$27)*(C8934&lt;='Resultats - informe'!$E$27),0,(C8934&gt;='Resultats - informe'!$D$28)*(C8934&lt;='Resultats - informe'!$E$28),0,(C8934&gt;='Resultats - informe'!$D$29)*(C8934&lt;='Resultats - informe'!$E$29),0,1,1)</f>
        <v>0</v>
      </c>
      <c r="N8934" s="366">
        <f>+VLOOKUP(D8934,'Resultats - informe'!$Y$18:$AG$42,'Introducció dades consum'!K8934+1,0)</f>
        <v>0</v>
      </c>
      <c r="O8934" s="370" cm="1">
        <f t="array" ref="O8934">+_xlfn.SWITCH(MONTH(C8934),1,1,2,1,3,1,4,2,5,2,6,3,7,3,8,3,9,3,10,2,11,2,12,1,2)</f>
        <v>1</v>
      </c>
      <c r="P8934" s="43"/>
    </row>
    <row r="8935" spans="1:16" ht="18" x14ac:dyDescent="0.35">
      <c r="A8935" s="43"/>
      <c r="C8935" s="393"/>
      <c r="E8935" s="394"/>
      <c r="F8935" s="394"/>
      <c r="G8935" s="394"/>
      <c r="I8935" s="368">
        <f t="shared" si="423"/>
        <v>0</v>
      </c>
      <c r="J8935" s="365">
        <f t="shared" si="424"/>
        <v>0</v>
      </c>
      <c r="K8935" s="369">
        <f t="shared" si="425"/>
        <v>6</v>
      </c>
      <c r="L8935" s="369">
        <f>+IF((C8935&gt;='Resultats - informe'!$E$16)*(C8935&lt;='Resultats - informe'!$G$16),1,0)</f>
        <v>1</v>
      </c>
      <c r="M8935" s="369" cm="1">
        <f t="array" ref="M8935">+_xlfn.IFS((C8935&gt;='Resultats - informe'!$D$26)*(C8935&lt;='Resultats - informe'!$E$26),0,(C8935&gt;='Resultats - informe'!$D$27)*(C8935&lt;='Resultats - informe'!$E$27),0,(C8935&gt;='Resultats - informe'!$D$28)*(C8935&lt;='Resultats - informe'!$E$28),0,(C8935&gt;='Resultats - informe'!$D$29)*(C8935&lt;='Resultats - informe'!$E$29),0,1,1)</f>
        <v>0</v>
      </c>
      <c r="N8935" s="366">
        <f>+VLOOKUP(D8935,'Resultats - informe'!$Y$18:$AG$42,'Introducció dades consum'!K8935+1,0)</f>
        <v>0</v>
      </c>
      <c r="O8935" s="370" cm="1">
        <f t="array" ref="O8935">+_xlfn.SWITCH(MONTH(C8935),1,1,2,1,3,1,4,2,5,2,6,3,7,3,8,3,9,3,10,2,11,2,12,1,2)</f>
        <v>1</v>
      </c>
      <c r="P8935" s="43"/>
    </row>
    <row r="8936" spans="1:16" ht="18" x14ac:dyDescent="0.35">
      <c r="A8936" s="43"/>
      <c r="C8936" s="393"/>
      <c r="E8936" s="394"/>
      <c r="F8936" s="394"/>
      <c r="G8936" s="394"/>
      <c r="I8936" s="368">
        <f t="shared" si="423"/>
        <v>0</v>
      </c>
      <c r="J8936" s="365">
        <f t="shared" si="424"/>
        <v>0</v>
      </c>
      <c r="K8936" s="369">
        <f t="shared" si="425"/>
        <v>6</v>
      </c>
      <c r="L8936" s="369">
        <f>+IF((C8936&gt;='Resultats - informe'!$E$16)*(C8936&lt;='Resultats - informe'!$G$16),1,0)</f>
        <v>1</v>
      </c>
      <c r="M8936" s="369" cm="1">
        <f t="array" ref="M8936">+_xlfn.IFS((C8936&gt;='Resultats - informe'!$D$26)*(C8936&lt;='Resultats - informe'!$E$26),0,(C8936&gt;='Resultats - informe'!$D$27)*(C8936&lt;='Resultats - informe'!$E$27),0,(C8936&gt;='Resultats - informe'!$D$28)*(C8936&lt;='Resultats - informe'!$E$28),0,(C8936&gt;='Resultats - informe'!$D$29)*(C8936&lt;='Resultats - informe'!$E$29),0,1,1)</f>
        <v>0</v>
      </c>
      <c r="N8936" s="366">
        <f>+VLOOKUP(D8936,'Resultats - informe'!$Y$18:$AG$42,'Introducció dades consum'!K8936+1,0)</f>
        <v>0</v>
      </c>
      <c r="O8936" s="370" cm="1">
        <f t="array" ref="O8936">+_xlfn.SWITCH(MONTH(C8936),1,1,2,1,3,1,4,2,5,2,6,3,7,3,8,3,9,3,10,2,11,2,12,1,2)</f>
        <v>1</v>
      </c>
      <c r="P8936" s="43"/>
    </row>
    <row r="8937" spans="1:16" ht="18" x14ac:dyDescent="0.35">
      <c r="A8937" s="43"/>
      <c r="C8937" s="393"/>
      <c r="E8937" s="394"/>
      <c r="F8937" s="394"/>
      <c r="G8937" s="394"/>
      <c r="I8937" s="368">
        <f t="shared" si="423"/>
        <v>0</v>
      </c>
      <c r="J8937" s="365">
        <f t="shared" si="424"/>
        <v>0</v>
      </c>
      <c r="K8937" s="369">
        <f t="shared" si="425"/>
        <v>6</v>
      </c>
      <c r="L8937" s="369">
        <f>+IF((C8937&gt;='Resultats - informe'!$E$16)*(C8937&lt;='Resultats - informe'!$G$16),1,0)</f>
        <v>1</v>
      </c>
      <c r="M8937" s="369" cm="1">
        <f t="array" ref="M8937">+_xlfn.IFS((C8937&gt;='Resultats - informe'!$D$26)*(C8937&lt;='Resultats - informe'!$E$26),0,(C8937&gt;='Resultats - informe'!$D$27)*(C8937&lt;='Resultats - informe'!$E$27),0,(C8937&gt;='Resultats - informe'!$D$28)*(C8937&lt;='Resultats - informe'!$E$28),0,(C8937&gt;='Resultats - informe'!$D$29)*(C8937&lt;='Resultats - informe'!$E$29),0,1,1)</f>
        <v>0</v>
      </c>
      <c r="N8937" s="366">
        <f>+VLOOKUP(D8937,'Resultats - informe'!$Y$18:$AG$42,'Introducció dades consum'!K8937+1,0)</f>
        <v>0</v>
      </c>
      <c r="O8937" s="370" cm="1">
        <f t="array" ref="O8937">+_xlfn.SWITCH(MONTH(C8937),1,1,2,1,3,1,4,2,5,2,6,3,7,3,8,3,9,3,10,2,11,2,12,1,2)</f>
        <v>1</v>
      </c>
      <c r="P8937" s="43"/>
    </row>
    <row r="8938" spans="1:16" ht="18" x14ac:dyDescent="0.35">
      <c r="A8938" s="43"/>
      <c r="C8938" s="393"/>
      <c r="E8938" s="394"/>
      <c r="F8938" s="394"/>
      <c r="G8938" s="394"/>
      <c r="I8938" s="368">
        <f t="shared" si="423"/>
        <v>0</v>
      </c>
      <c r="J8938" s="365">
        <f t="shared" si="424"/>
        <v>0</v>
      </c>
      <c r="K8938" s="369">
        <f t="shared" si="425"/>
        <v>6</v>
      </c>
      <c r="L8938" s="369">
        <f>+IF((C8938&gt;='Resultats - informe'!$E$16)*(C8938&lt;='Resultats - informe'!$G$16),1,0)</f>
        <v>1</v>
      </c>
      <c r="M8938" s="369" cm="1">
        <f t="array" ref="M8938">+_xlfn.IFS((C8938&gt;='Resultats - informe'!$D$26)*(C8938&lt;='Resultats - informe'!$E$26),0,(C8938&gt;='Resultats - informe'!$D$27)*(C8938&lt;='Resultats - informe'!$E$27),0,(C8938&gt;='Resultats - informe'!$D$28)*(C8938&lt;='Resultats - informe'!$E$28),0,(C8938&gt;='Resultats - informe'!$D$29)*(C8938&lt;='Resultats - informe'!$E$29),0,1,1)</f>
        <v>0</v>
      </c>
      <c r="N8938" s="366">
        <f>+VLOOKUP(D8938,'Resultats - informe'!$Y$18:$AG$42,'Introducció dades consum'!K8938+1,0)</f>
        <v>0</v>
      </c>
      <c r="O8938" s="370" cm="1">
        <f t="array" ref="O8938">+_xlfn.SWITCH(MONTH(C8938),1,1,2,1,3,1,4,2,5,2,6,3,7,3,8,3,9,3,10,2,11,2,12,1,2)</f>
        <v>1</v>
      </c>
      <c r="P8938" s="43"/>
    </row>
    <row r="8939" spans="1:16" ht="18" x14ac:dyDescent="0.35">
      <c r="A8939" s="43"/>
      <c r="C8939" s="393"/>
      <c r="E8939" s="394"/>
      <c r="F8939" s="394"/>
      <c r="G8939" s="394"/>
      <c r="I8939" s="368">
        <f t="shared" si="423"/>
        <v>0</v>
      </c>
      <c r="J8939" s="365">
        <f t="shared" si="424"/>
        <v>0</v>
      </c>
      <c r="K8939" s="369">
        <f t="shared" si="425"/>
        <v>6</v>
      </c>
      <c r="L8939" s="369">
        <f>+IF((C8939&gt;='Resultats - informe'!$E$16)*(C8939&lt;='Resultats - informe'!$G$16),1,0)</f>
        <v>1</v>
      </c>
      <c r="M8939" s="369" cm="1">
        <f t="array" ref="M8939">+_xlfn.IFS((C8939&gt;='Resultats - informe'!$D$26)*(C8939&lt;='Resultats - informe'!$E$26),0,(C8939&gt;='Resultats - informe'!$D$27)*(C8939&lt;='Resultats - informe'!$E$27),0,(C8939&gt;='Resultats - informe'!$D$28)*(C8939&lt;='Resultats - informe'!$E$28),0,(C8939&gt;='Resultats - informe'!$D$29)*(C8939&lt;='Resultats - informe'!$E$29),0,1,1)</f>
        <v>0</v>
      </c>
      <c r="N8939" s="366">
        <f>+VLOOKUP(D8939,'Resultats - informe'!$Y$18:$AG$42,'Introducció dades consum'!K8939+1,0)</f>
        <v>0</v>
      </c>
      <c r="O8939" s="370" cm="1">
        <f t="array" ref="O8939">+_xlfn.SWITCH(MONTH(C8939),1,1,2,1,3,1,4,2,5,2,6,3,7,3,8,3,9,3,10,2,11,2,12,1,2)</f>
        <v>1</v>
      </c>
      <c r="P8939" s="43"/>
    </row>
    <row r="8940" spans="1:16" ht="18" x14ac:dyDescent="0.35">
      <c r="A8940" s="43"/>
      <c r="C8940" s="393"/>
      <c r="E8940" s="394"/>
      <c r="F8940" s="394"/>
      <c r="G8940" s="394"/>
      <c r="I8940" s="368">
        <f t="shared" si="423"/>
        <v>0</v>
      </c>
      <c r="J8940" s="365">
        <f t="shared" si="424"/>
        <v>0</v>
      </c>
      <c r="K8940" s="369">
        <f t="shared" si="425"/>
        <v>6</v>
      </c>
      <c r="L8940" s="369">
        <f>+IF((C8940&gt;='Resultats - informe'!$E$16)*(C8940&lt;='Resultats - informe'!$G$16),1,0)</f>
        <v>1</v>
      </c>
      <c r="M8940" s="369" cm="1">
        <f t="array" ref="M8940">+_xlfn.IFS((C8940&gt;='Resultats - informe'!$D$26)*(C8940&lt;='Resultats - informe'!$E$26),0,(C8940&gt;='Resultats - informe'!$D$27)*(C8940&lt;='Resultats - informe'!$E$27),0,(C8940&gt;='Resultats - informe'!$D$28)*(C8940&lt;='Resultats - informe'!$E$28),0,(C8940&gt;='Resultats - informe'!$D$29)*(C8940&lt;='Resultats - informe'!$E$29),0,1,1)</f>
        <v>0</v>
      </c>
      <c r="N8940" s="366">
        <f>+VLOOKUP(D8940,'Resultats - informe'!$Y$18:$AG$42,'Introducció dades consum'!K8940+1,0)</f>
        <v>0</v>
      </c>
      <c r="O8940" s="370" cm="1">
        <f t="array" ref="O8940">+_xlfn.SWITCH(MONTH(C8940),1,1,2,1,3,1,4,2,5,2,6,3,7,3,8,3,9,3,10,2,11,2,12,1,2)</f>
        <v>1</v>
      </c>
      <c r="P8940" s="43"/>
    </row>
    <row r="8941" spans="1:16" ht="18" x14ac:dyDescent="0.35">
      <c r="A8941" s="43"/>
      <c r="C8941" s="393"/>
      <c r="E8941" s="394"/>
      <c r="F8941" s="394"/>
      <c r="G8941" s="394"/>
      <c r="I8941" s="368">
        <f t="shared" si="423"/>
        <v>0</v>
      </c>
      <c r="J8941" s="365">
        <f t="shared" si="424"/>
        <v>0</v>
      </c>
      <c r="K8941" s="369">
        <f t="shared" si="425"/>
        <v>6</v>
      </c>
      <c r="L8941" s="369">
        <f>+IF((C8941&gt;='Resultats - informe'!$E$16)*(C8941&lt;='Resultats - informe'!$G$16),1,0)</f>
        <v>1</v>
      </c>
      <c r="M8941" s="369" cm="1">
        <f t="array" ref="M8941">+_xlfn.IFS((C8941&gt;='Resultats - informe'!$D$26)*(C8941&lt;='Resultats - informe'!$E$26),0,(C8941&gt;='Resultats - informe'!$D$27)*(C8941&lt;='Resultats - informe'!$E$27),0,(C8941&gt;='Resultats - informe'!$D$28)*(C8941&lt;='Resultats - informe'!$E$28),0,(C8941&gt;='Resultats - informe'!$D$29)*(C8941&lt;='Resultats - informe'!$E$29),0,1,1)</f>
        <v>0</v>
      </c>
      <c r="N8941" s="366">
        <f>+VLOOKUP(D8941,'Resultats - informe'!$Y$18:$AG$42,'Introducció dades consum'!K8941+1,0)</f>
        <v>0</v>
      </c>
      <c r="O8941" s="370" cm="1">
        <f t="array" ref="O8941">+_xlfn.SWITCH(MONTH(C8941),1,1,2,1,3,1,4,2,5,2,6,3,7,3,8,3,9,3,10,2,11,2,12,1,2)</f>
        <v>1</v>
      </c>
      <c r="P8941" s="43"/>
    </row>
    <row r="8942" spans="1:16" ht="18" x14ac:dyDescent="0.35">
      <c r="A8942" s="43"/>
      <c r="C8942" s="393"/>
      <c r="E8942" s="394"/>
      <c r="F8942" s="394"/>
      <c r="G8942" s="394"/>
      <c r="I8942" s="368">
        <f t="shared" si="423"/>
        <v>0</v>
      </c>
      <c r="J8942" s="365">
        <f t="shared" si="424"/>
        <v>0</v>
      </c>
      <c r="K8942" s="369">
        <f t="shared" si="425"/>
        <v>6</v>
      </c>
      <c r="L8942" s="369">
        <f>+IF((C8942&gt;='Resultats - informe'!$E$16)*(C8942&lt;='Resultats - informe'!$G$16),1,0)</f>
        <v>1</v>
      </c>
      <c r="M8942" s="369" cm="1">
        <f t="array" ref="M8942">+_xlfn.IFS((C8942&gt;='Resultats - informe'!$D$26)*(C8942&lt;='Resultats - informe'!$E$26),0,(C8942&gt;='Resultats - informe'!$D$27)*(C8942&lt;='Resultats - informe'!$E$27),0,(C8942&gt;='Resultats - informe'!$D$28)*(C8942&lt;='Resultats - informe'!$E$28),0,(C8942&gt;='Resultats - informe'!$D$29)*(C8942&lt;='Resultats - informe'!$E$29),0,1,1)</f>
        <v>0</v>
      </c>
      <c r="N8942" s="366">
        <f>+VLOOKUP(D8942,'Resultats - informe'!$Y$18:$AG$42,'Introducció dades consum'!K8942+1,0)</f>
        <v>0</v>
      </c>
      <c r="O8942" s="370" cm="1">
        <f t="array" ref="O8942">+_xlfn.SWITCH(MONTH(C8942),1,1,2,1,3,1,4,2,5,2,6,3,7,3,8,3,9,3,10,2,11,2,12,1,2)</f>
        <v>1</v>
      </c>
      <c r="P8942" s="43"/>
    </row>
    <row r="8943" spans="1:16" ht="18" x14ac:dyDescent="0.35">
      <c r="A8943" s="43"/>
      <c r="C8943" s="393"/>
      <c r="E8943" s="394"/>
      <c r="F8943" s="394"/>
      <c r="G8943" s="394"/>
      <c r="I8943" s="368">
        <f t="shared" si="423"/>
        <v>0</v>
      </c>
      <c r="J8943" s="365">
        <f t="shared" si="424"/>
        <v>0</v>
      </c>
      <c r="K8943" s="369">
        <f t="shared" si="425"/>
        <v>6</v>
      </c>
      <c r="L8943" s="369">
        <f>+IF((C8943&gt;='Resultats - informe'!$E$16)*(C8943&lt;='Resultats - informe'!$G$16),1,0)</f>
        <v>1</v>
      </c>
      <c r="M8943" s="369" cm="1">
        <f t="array" ref="M8943">+_xlfn.IFS((C8943&gt;='Resultats - informe'!$D$26)*(C8943&lt;='Resultats - informe'!$E$26),0,(C8943&gt;='Resultats - informe'!$D$27)*(C8943&lt;='Resultats - informe'!$E$27),0,(C8943&gt;='Resultats - informe'!$D$28)*(C8943&lt;='Resultats - informe'!$E$28),0,(C8943&gt;='Resultats - informe'!$D$29)*(C8943&lt;='Resultats - informe'!$E$29),0,1,1)</f>
        <v>0</v>
      </c>
      <c r="N8943" s="366">
        <f>+VLOOKUP(D8943,'Resultats - informe'!$Y$18:$AG$42,'Introducció dades consum'!K8943+1,0)</f>
        <v>0</v>
      </c>
      <c r="O8943" s="370" cm="1">
        <f t="array" ref="O8943">+_xlfn.SWITCH(MONTH(C8943),1,1,2,1,3,1,4,2,5,2,6,3,7,3,8,3,9,3,10,2,11,2,12,1,2)</f>
        <v>1</v>
      </c>
      <c r="P8943" s="43"/>
    </row>
    <row r="8944" spans="1:16" ht="18" x14ac:dyDescent="0.35">
      <c r="A8944" s="43"/>
      <c r="C8944" s="393"/>
      <c r="E8944" s="394"/>
      <c r="F8944" s="394"/>
      <c r="G8944" s="394"/>
      <c r="I8944" s="368">
        <f t="shared" si="423"/>
        <v>0</v>
      </c>
      <c r="J8944" s="365">
        <f t="shared" si="424"/>
        <v>0</v>
      </c>
      <c r="K8944" s="369">
        <f t="shared" si="425"/>
        <v>6</v>
      </c>
      <c r="L8944" s="369">
        <f>+IF((C8944&gt;='Resultats - informe'!$E$16)*(C8944&lt;='Resultats - informe'!$G$16),1,0)</f>
        <v>1</v>
      </c>
      <c r="M8944" s="369" cm="1">
        <f t="array" ref="M8944">+_xlfn.IFS((C8944&gt;='Resultats - informe'!$D$26)*(C8944&lt;='Resultats - informe'!$E$26),0,(C8944&gt;='Resultats - informe'!$D$27)*(C8944&lt;='Resultats - informe'!$E$27),0,(C8944&gt;='Resultats - informe'!$D$28)*(C8944&lt;='Resultats - informe'!$E$28),0,(C8944&gt;='Resultats - informe'!$D$29)*(C8944&lt;='Resultats - informe'!$E$29),0,1,1)</f>
        <v>0</v>
      </c>
      <c r="N8944" s="366">
        <f>+VLOOKUP(D8944,'Resultats - informe'!$Y$18:$AG$42,'Introducció dades consum'!K8944+1,0)</f>
        <v>0</v>
      </c>
      <c r="O8944" s="370" cm="1">
        <f t="array" ref="O8944">+_xlfn.SWITCH(MONTH(C8944),1,1,2,1,3,1,4,2,5,2,6,3,7,3,8,3,9,3,10,2,11,2,12,1,2)</f>
        <v>1</v>
      </c>
      <c r="P8944" s="43"/>
    </row>
    <row r="8945" spans="1:16" ht="18" x14ac:dyDescent="0.35">
      <c r="A8945" s="43"/>
      <c r="C8945" s="393"/>
      <c r="E8945" s="394"/>
      <c r="F8945" s="394"/>
      <c r="G8945" s="394"/>
      <c r="I8945" s="368">
        <f t="shared" si="423"/>
        <v>0</v>
      </c>
      <c r="J8945" s="365">
        <f t="shared" si="424"/>
        <v>0</v>
      </c>
      <c r="K8945" s="369">
        <f t="shared" si="425"/>
        <v>6</v>
      </c>
      <c r="L8945" s="369">
        <f>+IF((C8945&gt;='Resultats - informe'!$E$16)*(C8945&lt;='Resultats - informe'!$G$16),1,0)</f>
        <v>1</v>
      </c>
      <c r="M8945" s="369" cm="1">
        <f t="array" ref="M8945">+_xlfn.IFS((C8945&gt;='Resultats - informe'!$D$26)*(C8945&lt;='Resultats - informe'!$E$26),0,(C8945&gt;='Resultats - informe'!$D$27)*(C8945&lt;='Resultats - informe'!$E$27),0,(C8945&gt;='Resultats - informe'!$D$28)*(C8945&lt;='Resultats - informe'!$E$28),0,(C8945&gt;='Resultats - informe'!$D$29)*(C8945&lt;='Resultats - informe'!$E$29),0,1,1)</f>
        <v>0</v>
      </c>
      <c r="N8945" s="366">
        <f>+VLOOKUP(D8945,'Resultats - informe'!$Y$18:$AG$42,'Introducció dades consum'!K8945+1,0)</f>
        <v>0</v>
      </c>
      <c r="O8945" s="370" cm="1">
        <f t="array" ref="O8945">+_xlfn.SWITCH(MONTH(C8945),1,1,2,1,3,1,4,2,5,2,6,3,7,3,8,3,9,3,10,2,11,2,12,1,2)</f>
        <v>1</v>
      </c>
      <c r="P8945" s="43"/>
    </row>
    <row r="8946" spans="1:16" ht="18" x14ac:dyDescent="0.35">
      <c r="A8946" s="43"/>
      <c r="C8946" s="393"/>
      <c r="E8946" s="394"/>
      <c r="F8946" s="394"/>
      <c r="G8946" s="394"/>
      <c r="I8946" s="368">
        <f t="shared" si="423"/>
        <v>0</v>
      </c>
      <c r="J8946" s="365">
        <f t="shared" si="424"/>
        <v>0</v>
      </c>
      <c r="K8946" s="369">
        <f t="shared" si="425"/>
        <v>6</v>
      </c>
      <c r="L8946" s="369">
        <f>+IF((C8946&gt;='Resultats - informe'!$E$16)*(C8946&lt;='Resultats - informe'!$G$16),1,0)</f>
        <v>1</v>
      </c>
      <c r="M8946" s="369" cm="1">
        <f t="array" ref="M8946">+_xlfn.IFS((C8946&gt;='Resultats - informe'!$D$26)*(C8946&lt;='Resultats - informe'!$E$26),0,(C8946&gt;='Resultats - informe'!$D$27)*(C8946&lt;='Resultats - informe'!$E$27),0,(C8946&gt;='Resultats - informe'!$D$28)*(C8946&lt;='Resultats - informe'!$E$28),0,(C8946&gt;='Resultats - informe'!$D$29)*(C8946&lt;='Resultats - informe'!$E$29),0,1,1)</f>
        <v>0</v>
      </c>
      <c r="N8946" s="366">
        <f>+VLOOKUP(D8946,'Resultats - informe'!$Y$18:$AG$42,'Introducció dades consum'!K8946+1,0)</f>
        <v>0</v>
      </c>
      <c r="O8946" s="370" cm="1">
        <f t="array" ref="O8946">+_xlfn.SWITCH(MONTH(C8946),1,1,2,1,3,1,4,2,5,2,6,3,7,3,8,3,9,3,10,2,11,2,12,1,2)</f>
        <v>1</v>
      </c>
      <c r="P8946" s="43"/>
    </row>
    <row r="8947" spans="1:16" ht="18" x14ac:dyDescent="0.35">
      <c r="A8947" s="43"/>
      <c r="C8947" s="393"/>
      <c r="E8947" s="394"/>
      <c r="F8947" s="394"/>
      <c r="G8947" s="394"/>
      <c r="I8947" s="368">
        <f t="shared" si="423"/>
        <v>0</v>
      </c>
      <c r="J8947" s="365">
        <f t="shared" si="424"/>
        <v>0</v>
      </c>
      <c r="K8947" s="369">
        <f t="shared" si="425"/>
        <v>6</v>
      </c>
      <c r="L8947" s="369">
        <f>+IF((C8947&gt;='Resultats - informe'!$E$16)*(C8947&lt;='Resultats - informe'!$G$16),1,0)</f>
        <v>1</v>
      </c>
      <c r="M8947" s="369" cm="1">
        <f t="array" ref="M8947">+_xlfn.IFS((C8947&gt;='Resultats - informe'!$D$26)*(C8947&lt;='Resultats - informe'!$E$26),0,(C8947&gt;='Resultats - informe'!$D$27)*(C8947&lt;='Resultats - informe'!$E$27),0,(C8947&gt;='Resultats - informe'!$D$28)*(C8947&lt;='Resultats - informe'!$E$28),0,(C8947&gt;='Resultats - informe'!$D$29)*(C8947&lt;='Resultats - informe'!$E$29),0,1,1)</f>
        <v>0</v>
      </c>
      <c r="N8947" s="366">
        <f>+VLOOKUP(D8947,'Resultats - informe'!$Y$18:$AG$42,'Introducció dades consum'!K8947+1,0)</f>
        <v>0</v>
      </c>
      <c r="O8947" s="370" cm="1">
        <f t="array" ref="O8947">+_xlfn.SWITCH(MONTH(C8947),1,1,2,1,3,1,4,2,5,2,6,3,7,3,8,3,9,3,10,2,11,2,12,1,2)</f>
        <v>1</v>
      </c>
      <c r="P8947" s="43"/>
    </row>
    <row r="8948" spans="1:16" ht="18" x14ac:dyDescent="0.35">
      <c r="A8948" s="43"/>
      <c r="C8948" s="393"/>
      <c r="E8948" s="394"/>
      <c r="F8948" s="394"/>
      <c r="G8948" s="394"/>
      <c r="I8948" s="368">
        <f t="shared" si="423"/>
        <v>0</v>
      </c>
      <c r="J8948" s="365">
        <f t="shared" si="424"/>
        <v>0</v>
      </c>
      <c r="K8948" s="369">
        <f t="shared" si="425"/>
        <v>6</v>
      </c>
      <c r="L8948" s="369">
        <f>+IF((C8948&gt;='Resultats - informe'!$E$16)*(C8948&lt;='Resultats - informe'!$G$16),1,0)</f>
        <v>1</v>
      </c>
      <c r="M8948" s="369" cm="1">
        <f t="array" ref="M8948">+_xlfn.IFS((C8948&gt;='Resultats - informe'!$D$26)*(C8948&lt;='Resultats - informe'!$E$26),0,(C8948&gt;='Resultats - informe'!$D$27)*(C8948&lt;='Resultats - informe'!$E$27),0,(C8948&gt;='Resultats - informe'!$D$28)*(C8948&lt;='Resultats - informe'!$E$28),0,(C8948&gt;='Resultats - informe'!$D$29)*(C8948&lt;='Resultats - informe'!$E$29),0,1,1)</f>
        <v>0</v>
      </c>
      <c r="N8948" s="366">
        <f>+VLOOKUP(D8948,'Resultats - informe'!$Y$18:$AG$42,'Introducció dades consum'!K8948+1,0)</f>
        <v>0</v>
      </c>
      <c r="O8948" s="370" cm="1">
        <f t="array" ref="O8948">+_xlfn.SWITCH(MONTH(C8948),1,1,2,1,3,1,4,2,5,2,6,3,7,3,8,3,9,3,10,2,11,2,12,1,2)</f>
        <v>1</v>
      </c>
      <c r="P8948" s="43"/>
    </row>
    <row r="8949" spans="1:16" ht="18" x14ac:dyDescent="0.35">
      <c r="A8949" s="43"/>
      <c r="C8949" s="393"/>
      <c r="E8949" s="394"/>
      <c r="F8949" s="394"/>
      <c r="G8949" s="394"/>
      <c r="I8949" s="368">
        <f t="shared" si="423"/>
        <v>0</v>
      </c>
      <c r="J8949" s="365">
        <f t="shared" si="424"/>
        <v>0</v>
      </c>
      <c r="K8949" s="369">
        <f t="shared" si="425"/>
        <v>6</v>
      </c>
      <c r="L8949" s="369">
        <f>+IF((C8949&gt;='Resultats - informe'!$E$16)*(C8949&lt;='Resultats - informe'!$G$16),1,0)</f>
        <v>1</v>
      </c>
      <c r="M8949" s="369" cm="1">
        <f t="array" ref="M8949">+_xlfn.IFS((C8949&gt;='Resultats - informe'!$D$26)*(C8949&lt;='Resultats - informe'!$E$26),0,(C8949&gt;='Resultats - informe'!$D$27)*(C8949&lt;='Resultats - informe'!$E$27),0,(C8949&gt;='Resultats - informe'!$D$28)*(C8949&lt;='Resultats - informe'!$E$28),0,(C8949&gt;='Resultats - informe'!$D$29)*(C8949&lt;='Resultats - informe'!$E$29),0,1,1)</f>
        <v>0</v>
      </c>
      <c r="N8949" s="366">
        <f>+VLOOKUP(D8949,'Resultats - informe'!$Y$18:$AG$42,'Introducció dades consum'!K8949+1,0)</f>
        <v>0</v>
      </c>
      <c r="O8949" s="370" cm="1">
        <f t="array" ref="O8949">+_xlfn.SWITCH(MONTH(C8949),1,1,2,1,3,1,4,2,5,2,6,3,7,3,8,3,9,3,10,2,11,2,12,1,2)</f>
        <v>1</v>
      </c>
      <c r="P8949" s="43"/>
    </row>
    <row r="8950" spans="1:16" ht="18" x14ac:dyDescent="0.35">
      <c r="A8950" s="43"/>
      <c r="C8950" s="393"/>
      <c r="E8950" s="394"/>
      <c r="F8950" s="394"/>
      <c r="G8950" s="394"/>
      <c r="I8950" s="368">
        <f t="shared" si="423"/>
        <v>0</v>
      </c>
      <c r="J8950" s="365">
        <f t="shared" si="424"/>
        <v>0</v>
      </c>
      <c r="K8950" s="369">
        <f t="shared" si="425"/>
        <v>6</v>
      </c>
      <c r="L8950" s="369">
        <f>+IF((C8950&gt;='Resultats - informe'!$E$16)*(C8950&lt;='Resultats - informe'!$G$16),1,0)</f>
        <v>1</v>
      </c>
      <c r="M8950" s="369" cm="1">
        <f t="array" ref="M8950">+_xlfn.IFS((C8950&gt;='Resultats - informe'!$D$26)*(C8950&lt;='Resultats - informe'!$E$26),0,(C8950&gt;='Resultats - informe'!$D$27)*(C8950&lt;='Resultats - informe'!$E$27),0,(C8950&gt;='Resultats - informe'!$D$28)*(C8950&lt;='Resultats - informe'!$E$28),0,(C8950&gt;='Resultats - informe'!$D$29)*(C8950&lt;='Resultats - informe'!$E$29),0,1,1)</f>
        <v>0</v>
      </c>
      <c r="N8950" s="366">
        <f>+VLOOKUP(D8950,'Resultats - informe'!$Y$18:$AG$42,'Introducció dades consum'!K8950+1,0)</f>
        <v>0</v>
      </c>
      <c r="O8950" s="370" cm="1">
        <f t="array" ref="O8950">+_xlfn.SWITCH(MONTH(C8950),1,1,2,1,3,1,4,2,5,2,6,3,7,3,8,3,9,3,10,2,11,2,12,1,2)</f>
        <v>1</v>
      </c>
      <c r="P8950" s="43"/>
    </row>
    <row r="8951" spans="1:16" ht="18" x14ac:dyDescent="0.35">
      <c r="A8951" s="43"/>
      <c r="C8951" s="393"/>
      <c r="E8951" s="394"/>
      <c r="F8951" s="394"/>
      <c r="G8951" s="394"/>
      <c r="I8951" s="368">
        <f t="shared" si="423"/>
        <v>0</v>
      </c>
      <c r="J8951" s="365">
        <f t="shared" si="424"/>
        <v>0</v>
      </c>
      <c r="K8951" s="369">
        <f t="shared" si="425"/>
        <v>6</v>
      </c>
      <c r="L8951" s="369">
        <f>+IF((C8951&gt;='Resultats - informe'!$E$16)*(C8951&lt;='Resultats - informe'!$G$16),1,0)</f>
        <v>1</v>
      </c>
      <c r="M8951" s="369" cm="1">
        <f t="array" ref="M8951">+_xlfn.IFS((C8951&gt;='Resultats - informe'!$D$26)*(C8951&lt;='Resultats - informe'!$E$26),0,(C8951&gt;='Resultats - informe'!$D$27)*(C8951&lt;='Resultats - informe'!$E$27),0,(C8951&gt;='Resultats - informe'!$D$28)*(C8951&lt;='Resultats - informe'!$E$28),0,(C8951&gt;='Resultats - informe'!$D$29)*(C8951&lt;='Resultats - informe'!$E$29),0,1,1)</f>
        <v>0</v>
      </c>
      <c r="N8951" s="366">
        <f>+VLOOKUP(D8951,'Resultats - informe'!$Y$18:$AG$42,'Introducció dades consum'!K8951+1,0)</f>
        <v>0</v>
      </c>
      <c r="O8951" s="370" cm="1">
        <f t="array" ref="O8951">+_xlfn.SWITCH(MONTH(C8951),1,1,2,1,3,1,4,2,5,2,6,3,7,3,8,3,9,3,10,2,11,2,12,1,2)</f>
        <v>1</v>
      </c>
      <c r="P8951" s="43"/>
    </row>
    <row r="8952" spans="1:16" ht="18" x14ac:dyDescent="0.35">
      <c r="A8952" s="43"/>
      <c r="C8952" s="393"/>
      <c r="E8952" s="394"/>
      <c r="F8952" s="394"/>
      <c r="G8952" s="394"/>
      <c r="I8952" s="368">
        <f t="shared" si="423"/>
        <v>0</v>
      </c>
      <c r="J8952" s="365">
        <f t="shared" si="424"/>
        <v>0</v>
      </c>
      <c r="K8952" s="369">
        <f t="shared" si="425"/>
        <v>6</v>
      </c>
      <c r="L8952" s="369">
        <f>+IF((C8952&gt;='Resultats - informe'!$E$16)*(C8952&lt;='Resultats - informe'!$G$16),1,0)</f>
        <v>1</v>
      </c>
      <c r="M8952" s="369" cm="1">
        <f t="array" ref="M8952">+_xlfn.IFS((C8952&gt;='Resultats - informe'!$D$26)*(C8952&lt;='Resultats - informe'!$E$26),0,(C8952&gt;='Resultats - informe'!$D$27)*(C8952&lt;='Resultats - informe'!$E$27),0,(C8952&gt;='Resultats - informe'!$D$28)*(C8952&lt;='Resultats - informe'!$E$28),0,(C8952&gt;='Resultats - informe'!$D$29)*(C8952&lt;='Resultats - informe'!$E$29),0,1,1)</f>
        <v>0</v>
      </c>
      <c r="N8952" s="366">
        <f>+VLOOKUP(D8952,'Resultats - informe'!$Y$18:$AG$42,'Introducció dades consum'!K8952+1,0)</f>
        <v>0</v>
      </c>
      <c r="O8952" s="370" cm="1">
        <f t="array" ref="O8952">+_xlfn.SWITCH(MONTH(C8952),1,1,2,1,3,1,4,2,5,2,6,3,7,3,8,3,9,3,10,2,11,2,12,1,2)</f>
        <v>1</v>
      </c>
      <c r="P8952" s="43"/>
    </row>
    <row r="8953" spans="1:16" ht="18" x14ac:dyDescent="0.35">
      <c r="A8953" s="43"/>
      <c r="C8953" s="393"/>
      <c r="E8953" s="394"/>
      <c r="F8953" s="394"/>
      <c r="G8953" s="394"/>
      <c r="I8953" s="368">
        <f t="shared" si="423"/>
        <v>0</v>
      </c>
      <c r="J8953" s="365">
        <f t="shared" si="424"/>
        <v>0</v>
      </c>
      <c r="K8953" s="369">
        <f t="shared" si="425"/>
        <v>6</v>
      </c>
      <c r="L8953" s="369">
        <f>+IF((C8953&gt;='Resultats - informe'!$E$16)*(C8953&lt;='Resultats - informe'!$G$16),1,0)</f>
        <v>1</v>
      </c>
      <c r="M8953" s="369" cm="1">
        <f t="array" ref="M8953">+_xlfn.IFS((C8953&gt;='Resultats - informe'!$D$26)*(C8953&lt;='Resultats - informe'!$E$26),0,(C8953&gt;='Resultats - informe'!$D$27)*(C8953&lt;='Resultats - informe'!$E$27),0,(C8953&gt;='Resultats - informe'!$D$28)*(C8953&lt;='Resultats - informe'!$E$28),0,(C8953&gt;='Resultats - informe'!$D$29)*(C8953&lt;='Resultats - informe'!$E$29),0,1,1)</f>
        <v>0</v>
      </c>
      <c r="N8953" s="366">
        <f>+VLOOKUP(D8953,'Resultats - informe'!$Y$18:$AG$42,'Introducció dades consum'!K8953+1,0)</f>
        <v>0</v>
      </c>
      <c r="O8953" s="370" cm="1">
        <f t="array" ref="O8953">+_xlfn.SWITCH(MONTH(C8953),1,1,2,1,3,1,4,2,5,2,6,3,7,3,8,3,9,3,10,2,11,2,12,1,2)</f>
        <v>1</v>
      </c>
      <c r="P8953" s="43"/>
    </row>
    <row r="8954" spans="1:16" ht="18" x14ac:dyDescent="0.35">
      <c r="A8954" s="43"/>
      <c r="C8954" s="393"/>
      <c r="E8954" s="394"/>
      <c r="F8954" s="394"/>
      <c r="G8954" s="394"/>
      <c r="I8954" s="368">
        <f t="shared" si="423"/>
        <v>0</v>
      </c>
      <c r="J8954" s="365">
        <f t="shared" si="424"/>
        <v>0</v>
      </c>
      <c r="K8954" s="369">
        <f t="shared" si="425"/>
        <v>6</v>
      </c>
      <c r="L8954" s="369">
        <f>+IF((C8954&gt;='Resultats - informe'!$E$16)*(C8954&lt;='Resultats - informe'!$G$16),1,0)</f>
        <v>1</v>
      </c>
      <c r="M8954" s="369" cm="1">
        <f t="array" ref="M8954">+_xlfn.IFS((C8954&gt;='Resultats - informe'!$D$26)*(C8954&lt;='Resultats - informe'!$E$26),0,(C8954&gt;='Resultats - informe'!$D$27)*(C8954&lt;='Resultats - informe'!$E$27),0,(C8954&gt;='Resultats - informe'!$D$28)*(C8954&lt;='Resultats - informe'!$E$28),0,(C8954&gt;='Resultats - informe'!$D$29)*(C8954&lt;='Resultats - informe'!$E$29),0,1,1)</f>
        <v>0</v>
      </c>
      <c r="N8954" s="366">
        <f>+VLOOKUP(D8954,'Resultats - informe'!$Y$18:$AG$42,'Introducció dades consum'!K8954+1,0)</f>
        <v>0</v>
      </c>
      <c r="O8954" s="370" cm="1">
        <f t="array" ref="O8954">+_xlfn.SWITCH(MONTH(C8954),1,1,2,1,3,1,4,2,5,2,6,3,7,3,8,3,9,3,10,2,11,2,12,1,2)</f>
        <v>1</v>
      </c>
      <c r="P8954" s="43"/>
    </row>
    <row r="8955" spans="1:16" ht="18" x14ac:dyDescent="0.35">
      <c r="A8955" s="43"/>
      <c r="C8955" s="393"/>
      <c r="E8955" s="394"/>
      <c r="F8955" s="394"/>
      <c r="G8955" s="394"/>
      <c r="I8955" s="368">
        <f t="shared" si="423"/>
        <v>0</v>
      </c>
      <c r="J8955" s="365">
        <f t="shared" si="424"/>
        <v>0</v>
      </c>
      <c r="K8955" s="369">
        <f t="shared" si="425"/>
        <v>6</v>
      </c>
      <c r="L8955" s="369">
        <f>+IF((C8955&gt;='Resultats - informe'!$E$16)*(C8955&lt;='Resultats - informe'!$G$16),1,0)</f>
        <v>1</v>
      </c>
      <c r="M8955" s="369" cm="1">
        <f t="array" ref="M8955">+_xlfn.IFS((C8955&gt;='Resultats - informe'!$D$26)*(C8955&lt;='Resultats - informe'!$E$26),0,(C8955&gt;='Resultats - informe'!$D$27)*(C8955&lt;='Resultats - informe'!$E$27),0,(C8955&gt;='Resultats - informe'!$D$28)*(C8955&lt;='Resultats - informe'!$E$28),0,(C8955&gt;='Resultats - informe'!$D$29)*(C8955&lt;='Resultats - informe'!$E$29),0,1,1)</f>
        <v>0</v>
      </c>
      <c r="N8955" s="366">
        <f>+VLOOKUP(D8955,'Resultats - informe'!$Y$18:$AG$42,'Introducció dades consum'!K8955+1,0)</f>
        <v>0</v>
      </c>
      <c r="O8955" s="370" cm="1">
        <f t="array" ref="O8955">+_xlfn.SWITCH(MONTH(C8955),1,1,2,1,3,1,4,2,5,2,6,3,7,3,8,3,9,3,10,2,11,2,12,1,2)</f>
        <v>1</v>
      </c>
      <c r="P8955" s="43"/>
    </row>
    <row r="8956" spans="1:16" ht="18" x14ac:dyDescent="0.35">
      <c r="A8956" s="43"/>
      <c r="C8956" s="393"/>
      <c r="E8956" s="394"/>
      <c r="F8956" s="394"/>
      <c r="G8956" s="394"/>
      <c r="I8956" s="368">
        <f t="shared" si="423"/>
        <v>0</v>
      </c>
      <c r="J8956" s="365">
        <f t="shared" si="424"/>
        <v>0</v>
      </c>
      <c r="K8956" s="369">
        <f t="shared" si="425"/>
        <v>6</v>
      </c>
      <c r="L8956" s="369">
        <f>+IF((C8956&gt;='Resultats - informe'!$E$16)*(C8956&lt;='Resultats - informe'!$G$16),1,0)</f>
        <v>1</v>
      </c>
      <c r="M8956" s="369" cm="1">
        <f t="array" ref="M8956">+_xlfn.IFS((C8956&gt;='Resultats - informe'!$D$26)*(C8956&lt;='Resultats - informe'!$E$26),0,(C8956&gt;='Resultats - informe'!$D$27)*(C8956&lt;='Resultats - informe'!$E$27),0,(C8956&gt;='Resultats - informe'!$D$28)*(C8956&lt;='Resultats - informe'!$E$28),0,(C8956&gt;='Resultats - informe'!$D$29)*(C8956&lt;='Resultats - informe'!$E$29),0,1,1)</f>
        <v>0</v>
      </c>
      <c r="N8956" s="366">
        <f>+VLOOKUP(D8956,'Resultats - informe'!$Y$18:$AG$42,'Introducció dades consum'!K8956+1,0)</f>
        <v>0</v>
      </c>
      <c r="O8956" s="370" cm="1">
        <f t="array" ref="O8956">+_xlfn.SWITCH(MONTH(C8956),1,1,2,1,3,1,4,2,5,2,6,3,7,3,8,3,9,3,10,2,11,2,12,1,2)</f>
        <v>1</v>
      </c>
      <c r="P8956" s="43"/>
    </row>
    <row r="8957" spans="1:16" ht="18" x14ac:dyDescent="0.35">
      <c r="A8957" s="43"/>
      <c r="C8957" s="393"/>
      <c r="E8957" s="394"/>
      <c r="F8957" s="394"/>
      <c r="G8957" s="394"/>
      <c r="I8957" s="368">
        <f t="shared" si="423"/>
        <v>0</v>
      </c>
      <c r="J8957" s="365">
        <f t="shared" si="424"/>
        <v>0</v>
      </c>
      <c r="K8957" s="369">
        <f t="shared" si="425"/>
        <v>6</v>
      </c>
      <c r="L8957" s="369">
        <f>+IF((C8957&gt;='Resultats - informe'!$E$16)*(C8957&lt;='Resultats - informe'!$G$16),1,0)</f>
        <v>1</v>
      </c>
      <c r="M8957" s="369" cm="1">
        <f t="array" ref="M8957">+_xlfn.IFS((C8957&gt;='Resultats - informe'!$D$26)*(C8957&lt;='Resultats - informe'!$E$26),0,(C8957&gt;='Resultats - informe'!$D$27)*(C8957&lt;='Resultats - informe'!$E$27),0,(C8957&gt;='Resultats - informe'!$D$28)*(C8957&lt;='Resultats - informe'!$E$28),0,(C8957&gt;='Resultats - informe'!$D$29)*(C8957&lt;='Resultats - informe'!$E$29),0,1,1)</f>
        <v>0</v>
      </c>
      <c r="N8957" s="366">
        <f>+VLOOKUP(D8957,'Resultats - informe'!$Y$18:$AG$42,'Introducció dades consum'!K8957+1,0)</f>
        <v>0</v>
      </c>
      <c r="O8957" s="370" cm="1">
        <f t="array" ref="O8957">+_xlfn.SWITCH(MONTH(C8957),1,1,2,1,3,1,4,2,5,2,6,3,7,3,8,3,9,3,10,2,11,2,12,1,2)</f>
        <v>1</v>
      </c>
      <c r="P8957" s="43"/>
    </row>
    <row r="8958" spans="1:16" ht="18" x14ac:dyDescent="0.35">
      <c r="A8958" s="43"/>
      <c r="C8958" s="393"/>
      <c r="E8958" s="394"/>
      <c r="F8958" s="394"/>
      <c r="G8958" s="394"/>
      <c r="I8958" s="368">
        <f t="shared" si="423"/>
        <v>0</v>
      </c>
      <c r="J8958" s="365">
        <f t="shared" si="424"/>
        <v>0</v>
      </c>
      <c r="K8958" s="369">
        <f t="shared" si="425"/>
        <v>6</v>
      </c>
      <c r="L8958" s="369">
        <f>+IF((C8958&gt;='Resultats - informe'!$E$16)*(C8958&lt;='Resultats - informe'!$G$16),1,0)</f>
        <v>1</v>
      </c>
      <c r="M8958" s="369" cm="1">
        <f t="array" ref="M8958">+_xlfn.IFS((C8958&gt;='Resultats - informe'!$D$26)*(C8958&lt;='Resultats - informe'!$E$26),0,(C8958&gt;='Resultats - informe'!$D$27)*(C8958&lt;='Resultats - informe'!$E$27),0,(C8958&gt;='Resultats - informe'!$D$28)*(C8958&lt;='Resultats - informe'!$E$28),0,(C8958&gt;='Resultats - informe'!$D$29)*(C8958&lt;='Resultats - informe'!$E$29),0,1,1)</f>
        <v>0</v>
      </c>
      <c r="N8958" s="366">
        <f>+VLOOKUP(D8958,'Resultats - informe'!$Y$18:$AG$42,'Introducció dades consum'!K8958+1,0)</f>
        <v>0</v>
      </c>
      <c r="O8958" s="370" cm="1">
        <f t="array" ref="O8958">+_xlfn.SWITCH(MONTH(C8958),1,1,2,1,3,1,4,2,5,2,6,3,7,3,8,3,9,3,10,2,11,2,12,1,2)</f>
        <v>1</v>
      </c>
      <c r="P8958" s="43"/>
    </row>
    <row r="8959" spans="1:16" ht="18" x14ac:dyDescent="0.35">
      <c r="A8959" s="43"/>
      <c r="C8959" s="393"/>
      <c r="E8959" s="394"/>
      <c r="F8959" s="394"/>
      <c r="G8959" s="394"/>
      <c r="I8959" s="368">
        <f t="shared" si="423"/>
        <v>0</v>
      </c>
      <c r="J8959" s="365">
        <f t="shared" si="424"/>
        <v>0</v>
      </c>
      <c r="K8959" s="369">
        <f t="shared" si="425"/>
        <v>6</v>
      </c>
      <c r="L8959" s="369">
        <f>+IF((C8959&gt;='Resultats - informe'!$E$16)*(C8959&lt;='Resultats - informe'!$G$16),1,0)</f>
        <v>1</v>
      </c>
      <c r="M8959" s="369" cm="1">
        <f t="array" ref="M8959">+_xlfn.IFS((C8959&gt;='Resultats - informe'!$D$26)*(C8959&lt;='Resultats - informe'!$E$26),0,(C8959&gt;='Resultats - informe'!$D$27)*(C8959&lt;='Resultats - informe'!$E$27),0,(C8959&gt;='Resultats - informe'!$D$28)*(C8959&lt;='Resultats - informe'!$E$28),0,(C8959&gt;='Resultats - informe'!$D$29)*(C8959&lt;='Resultats - informe'!$E$29),0,1,1)</f>
        <v>0</v>
      </c>
      <c r="N8959" s="366">
        <f>+VLOOKUP(D8959,'Resultats - informe'!$Y$18:$AG$42,'Introducció dades consum'!K8959+1,0)</f>
        <v>0</v>
      </c>
      <c r="O8959" s="370" cm="1">
        <f t="array" ref="O8959">+_xlfn.SWITCH(MONTH(C8959),1,1,2,1,3,1,4,2,5,2,6,3,7,3,8,3,9,3,10,2,11,2,12,1,2)</f>
        <v>1</v>
      </c>
      <c r="P8959" s="43"/>
    </row>
    <row r="8960" spans="1:16" ht="18" x14ac:dyDescent="0.35">
      <c r="A8960" s="43"/>
      <c r="C8960" s="393"/>
      <c r="E8960" s="394"/>
      <c r="F8960" s="394"/>
      <c r="G8960" s="394"/>
      <c r="I8960" s="368">
        <f t="shared" si="423"/>
        <v>0</v>
      </c>
      <c r="J8960" s="365">
        <f t="shared" si="424"/>
        <v>0</v>
      </c>
      <c r="K8960" s="369">
        <f t="shared" si="425"/>
        <v>6</v>
      </c>
      <c r="L8960" s="369">
        <f>+IF((C8960&gt;='Resultats - informe'!$E$16)*(C8960&lt;='Resultats - informe'!$G$16),1,0)</f>
        <v>1</v>
      </c>
      <c r="M8960" s="369" cm="1">
        <f t="array" ref="M8960">+_xlfn.IFS((C8960&gt;='Resultats - informe'!$D$26)*(C8960&lt;='Resultats - informe'!$E$26),0,(C8960&gt;='Resultats - informe'!$D$27)*(C8960&lt;='Resultats - informe'!$E$27),0,(C8960&gt;='Resultats - informe'!$D$28)*(C8960&lt;='Resultats - informe'!$E$28),0,(C8960&gt;='Resultats - informe'!$D$29)*(C8960&lt;='Resultats - informe'!$E$29),0,1,1)</f>
        <v>0</v>
      </c>
      <c r="N8960" s="366">
        <f>+VLOOKUP(D8960,'Resultats - informe'!$Y$18:$AG$42,'Introducció dades consum'!K8960+1,0)</f>
        <v>0</v>
      </c>
      <c r="O8960" s="370" cm="1">
        <f t="array" ref="O8960">+_xlfn.SWITCH(MONTH(C8960),1,1,2,1,3,1,4,2,5,2,6,3,7,3,8,3,9,3,10,2,11,2,12,1,2)</f>
        <v>1</v>
      </c>
      <c r="P8960" s="43"/>
    </row>
    <row r="8961" spans="1:16" ht="18" x14ac:dyDescent="0.35">
      <c r="A8961" s="43"/>
      <c r="C8961" s="393"/>
      <c r="E8961" s="394"/>
      <c r="F8961" s="394"/>
      <c r="G8961" s="394"/>
      <c r="I8961" s="368">
        <f t="shared" si="423"/>
        <v>0</v>
      </c>
      <c r="J8961" s="365">
        <f t="shared" si="424"/>
        <v>0</v>
      </c>
      <c r="K8961" s="369">
        <f t="shared" si="425"/>
        <v>6</v>
      </c>
      <c r="L8961" s="369">
        <f>+IF((C8961&gt;='Resultats - informe'!$E$16)*(C8961&lt;='Resultats - informe'!$G$16),1,0)</f>
        <v>1</v>
      </c>
      <c r="M8961" s="369" cm="1">
        <f t="array" ref="M8961">+_xlfn.IFS((C8961&gt;='Resultats - informe'!$D$26)*(C8961&lt;='Resultats - informe'!$E$26),0,(C8961&gt;='Resultats - informe'!$D$27)*(C8961&lt;='Resultats - informe'!$E$27),0,(C8961&gt;='Resultats - informe'!$D$28)*(C8961&lt;='Resultats - informe'!$E$28),0,(C8961&gt;='Resultats - informe'!$D$29)*(C8961&lt;='Resultats - informe'!$E$29),0,1,1)</f>
        <v>0</v>
      </c>
      <c r="N8961" s="366">
        <f>+VLOOKUP(D8961,'Resultats - informe'!$Y$18:$AG$42,'Introducció dades consum'!K8961+1,0)</f>
        <v>0</v>
      </c>
      <c r="O8961" s="370" cm="1">
        <f t="array" ref="O8961">+_xlfn.SWITCH(MONTH(C8961),1,1,2,1,3,1,4,2,5,2,6,3,7,3,8,3,9,3,10,2,11,2,12,1,2)</f>
        <v>1</v>
      </c>
      <c r="P8961" s="43"/>
    </row>
    <row r="8962" spans="1:16" ht="18" x14ac:dyDescent="0.35">
      <c r="A8962" s="43"/>
      <c r="C8962" s="393"/>
      <c r="E8962" s="394"/>
      <c r="F8962" s="394"/>
      <c r="G8962" s="394"/>
      <c r="I8962" s="368">
        <f t="shared" si="423"/>
        <v>0</v>
      </c>
      <c r="J8962" s="365">
        <f t="shared" si="424"/>
        <v>0</v>
      </c>
      <c r="K8962" s="369">
        <f t="shared" si="425"/>
        <v>6</v>
      </c>
      <c r="L8962" s="369">
        <f>+IF((C8962&gt;='Resultats - informe'!$E$16)*(C8962&lt;='Resultats - informe'!$G$16),1,0)</f>
        <v>1</v>
      </c>
      <c r="M8962" s="369" cm="1">
        <f t="array" ref="M8962">+_xlfn.IFS((C8962&gt;='Resultats - informe'!$D$26)*(C8962&lt;='Resultats - informe'!$E$26),0,(C8962&gt;='Resultats - informe'!$D$27)*(C8962&lt;='Resultats - informe'!$E$27),0,(C8962&gt;='Resultats - informe'!$D$28)*(C8962&lt;='Resultats - informe'!$E$28),0,(C8962&gt;='Resultats - informe'!$D$29)*(C8962&lt;='Resultats - informe'!$E$29),0,1,1)</f>
        <v>0</v>
      </c>
      <c r="N8962" s="366">
        <f>+VLOOKUP(D8962,'Resultats - informe'!$Y$18:$AG$42,'Introducció dades consum'!K8962+1,0)</f>
        <v>0</v>
      </c>
      <c r="O8962" s="370" cm="1">
        <f t="array" ref="O8962">+_xlfn.SWITCH(MONTH(C8962),1,1,2,1,3,1,4,2,5,2,6,3,7,3,8,3,9,3,10,2,11,2,12,1,2)</f>
        <v>1</v>
      </c>
      <c r="P8962" s="43"/>
    </row>
    <row r="8963" spans="1:16" ht="18" x14ac:dyDescent="0.35">
      <c r="A8963" s="43"/>
      <c r="B8963" s="59"/>
      <c r="C8963" s="60"/>
      <c r="D8963" s="59"/>
      <c r="E8963" s="59"/>
      <c r="F8963" s="59"/>
      <c r="G8963" s="59"/>
      <c r="H8963" s="59"/>
      <c r="I8963" s="371"/>
      <c r="J8963" s="365"/>
      <c r="K8963" s="369"/>
      <c r="L8963" s="369"/>
      <c r="M8963" s="369"/>
      <c r="N8963" s="366"/>
      <c r="O8963" s="370"/>
      <c r="P8963" s="43"/>
    </row>
    <row r="8964" spans="1:16" ht="18" x14ac:dyDescent="0.35">
      <c r="A8964" s="43"/>
      <c r="B8964" s="59"/>
      <c r="C8964" s="60"/>
      <c r="D8964" s="59"/>
      <c r="E8964" s="59"/>
      <c r="F8964" s="59"/>
      <c r="G8964" s="59"/>
      <c r="H8964" s="59"/>
      <c r="I8964" s="371"/>
      <c r="J8964" s="365"/>
      <c r="K8964" s="369"/>
      <c r="L8964" s="369"/>
      <c r="M8964" s="369"/>
      <c r="N8964" s="366"/>
      <c r="O8964" s="370"/>
      <c r="P8964" s="43"/>
    </row>
    <row r="8965" spans="1:16" ht="18" x14ac:dyDescent="0.35">
      <c r="A8965" s="43"/>
      <c r="B8965" s="59"/>
      <c r="C8965" s="60"/>
      <c r="D8965" s="59"/>
      <c r="E8965" s="59"/>
      <c r="F8965" s="59"/>
      <c r="G8965" s="59"/>
      <c r="H8965" s="59"/>
      <c r="I8965" s="371"/>
      <c r="J8965" s="365"/>
      <c r="K8965" s="369"/>
      <c r="L8965" s="369"/>
      <c r="M8965" s="369"/>
      <c r="N8965" s="366"/>
      <c r="O8965" s="370"/>
      <c r="P8965" s="43"/>
    </row>
    <row r="8966" spans="1:16" ht="18" x14ac:dyDescent="0.35">
      <c r="A8966" s="43"/>
      <c r="B8966" s="59"/>
      <c r="C8966" s="60"/>
      <c r="D8966" s="59"/>
      <c r="E8966" s="59"/>
      <c r="F8966" s="59"/>
      <c r="G8966" s="59"/>
      <c r="H8966" s="59"/>
      <c r="I8966" s="371"/>
      <c r="J8966" s="365"/>
      <c r="K8966" s="369"/>
      <c r="L8966" s="369"/>
      <c r="M8966" s="369"/>
      <c r="N8966" s="366"/>
      <c r="O8966" s="370"/>
      <c r="P8966" s="43"/>
    </row>
    <row r="8967" spans="1:16" ht="18" x14ac:dyDescent="0.35">
      <c r="A8967" s="43"/>
      <c r="B8967" s="59"/>
      <c r="C8967" s="60"/>
      <c r="D8967" s="59"/>
      <c r="E8967" s="59"/>
      <c r="F8967" s="59"/>
      <c r="G8967" s="59"/>
      <c r="H8967" s="59"/>
      <c r="I8967" s="371"/>
      <c r="J8967" s="365"/>
      <c r="K8967" s="369"/>
      <c r="L8967" s="369"/>
      <c r="M8967" s="369"/>
      <c r="N8967" s="366"/>
      <c r="O8967" s="370"/>
      <c r="P8967" s="43"/>
    </row>
    <row r="8968" spans="1:16" ht="18" x14ac:dyDescent="0.35">
      <c r="A8968" s="43"/>
      <c r="B8968" s="59"/>
      <c r="C8968" s="60"/>
      <c r="D8968" s="59"/>
      <c r="E8968" s="59"/>
      <c r="F8968" s="59"/>
      <c r="G8968" s="59"/>
      <c r="H8968" s="59"/>
      <c r="I8968" s="371"/>
      <c r="J8968" s="365"/>
      <c r="K8968" s="369"/>
      <c r="L8968" s="369"/>
      <c r="M8968" s="369"/>
      <c r="N8968" s="366"/>
      <c r="O8968" s="370"/>
      <c r="P8968" s="43"/>
    </row>
    <row r="8969" spans="1:16" ht="18" x14ac:dyDescent="0.35">
      <c r="A8969" s="43"/>
      <c r="B8969" s="59"/>
      <c r="C8969" s="60"/>
      <c r="D8969" s="59"/>
      <c r="E8969" s="59"/>
      <c r="F8969" s="59"/>
      <c r="G8969" s="59"/>
      <c r="H8969" s="59"/>
      <c r="I8969" s="371"/>
      <c r="J8969" s="365"/>
      <c r="K8969" s="369"/>
      <c r="L8969" s="369"/>
      <c r="M8969" s="369"/>
      <c r="N8969" s="366"/>
      <c r="O8969" s="370"/>
      <c r="P8969" s="43"/>
    </row>
    <row r="8970" spans="1:16" ht="18" x14ac:dyDescent="0.35">
      <c r="A8970" s="43"/>
      <c r="B8970" s="59"/>
      <c r="C8970" s="60"/>
      <c r="D8970" s="59"/>
      <c r="E8970" s="59"/>
      <c r="F8970" s="59"/>
      <c r="G8970" s="59"/>
      <c r="H8970" s="59"/>
      <c r="I8970" s="371"/>
      <c r="J8970" s="365"/>
      <c r="K8970" s="369"/>
      <c r="L8970" s="369"/>
      <c r="M8970" s="369"/>
      <c r="N8970" s="366"/>
      <c r="O8970" s="370"/>
      <c r="P8970" s="43"/>
    </row>
    <row r="8971" spans="1:16" ht="18" x14ac:dyDescent="0.35">
      <c r="A8971" s="43"/>
      <c r="B8971" s="59"/>
      <c r="C8971" s="60"/>
      <c r="D8971" s="59"/>
      <c r="E8971" s="59"/>
      <c r="F8971" s="59"/>
      <c r="G8971" s="59"/>
      <c r="H8971" s="59"/>
      <c r="I8971" s="371"/>
      <c r="J8971" s="365"/>
      <c r="K8971" s="369"/>
      <c r="L8971" s="369"/>
      <c r="M8971" s="369"/>
      <c r="N8971" s="366"/>
      <c r="O8971" s="370"/>
      <c r="P8971" s="43"/>
    </row>
    <row r="8972" spans="1:16" ht="18" x14ac:dyDescent="0.35">
      <c r="A8972" s="43"/>
      <c r="B8972" s="59"/>
      <c r="C8972" s="60"/>
      <c r="D8972" s="59"/>
      <c r="E8972" s="59"/>
      <c r="F8972" s="59"/>
      <c r="G8972" s="59"/>
      <c r="H8972" s="59"/>
      <c r="I8972" s="371"/>
      <c r="J8972" s="365"/>
      <c r="K8972" s="369"/>
      <c r="L8972" s="369"/>
      <c r="M8972" s="369"/>
      <c r="N8972" s="366"/>
      <c r="O8972" s="370"/>
      <c r="P8972" s="43"/>
    </row>
    <row r="8973" spans="1:16" ht="18" x14ac:dyDescent="0.35">
      <c r="A8973" s="43"/>
      <c r="B8973" s="59"/>
      <c r="C8973" s="60"/>
      <c r="D8973" s="59"/>
      <c r="E8973" s="59"/>
      <c r="F8973" s="59"/>
      <c r="G8973" s="59"/>
      <c r="H8973" s="59"/>
      <c r="I8973" s="371"/>
      <c r="J8973" s="365"/>
      <c r="K8973" s="369"/>
      <c r="L8973" s="369"/>
      <c r="M8973" s="369"/>
      <c r="N8973" s="366"/>
      <c r="O8973" s="370"/>
      <c r="P8973" s="43"/>
    </row>
    <row r="8974" spans="1:16" ht="18" x14ac:dyDescent="0.35">
      <c r="A8974" s="43"/>
      <c r="B8974" s="59"/>
      <c r="C8974" s="60"/>
      <c r="D8974" s="59"/>
      <c r="E8974" s="59"/>
      <c r="F8974" s="59"/>
      <c r="G8974" s="59"/>
      <c r="H8974" s="59"/>
      <c r="I8974" s="371"/>
      <c r="J8974" s="365"/>
      <c r="K8974" s="369"/>
      <c r="L8974" s="369"/>
      <c r="M8974" s="369"/>
      <c r="N8974" s="366"/>
      <c r="O8974" s="370"/>
      <c r="P8974" s="43"/>
    </row>
    <row r="8975" spans="1:16" ht="18" x14ac:dyDescent="0.35">
      <c r="A8975" s="43"/>
      <c r="B8975" s="59"/>
      <c r="C8975" s="60"/>
      <c r="D8975" s="59"/>
      <c r="E8975" s="59"/>
      <c r="F8975" s="59"/>
      <c r="G8975" s="59"/>
      <c r="H8975" s="59"/>
      <c r="I8975" s="371"/>
      <c r="J8975" s="365"/>
      <c r="K8975" s="369"/>
      <c r="L8975" s="369"/>
      <c r="M8975" s="369"/>
      <c r="N8975" s="366"/>
      <c r="O8975" s="370"/>
      <c r="P8975" s="43"/>
    </row>
    <row r="8976" spans="1:16" ht="18" x14ac:dyDescent="0.35">
      <c r="A8976" s="43"/>
      <c r="B8976" s="59"/>
      <c r="C8976" s="60"/>
      <c r="D8976" s="59"/>
      <c r="E8976" s="59"/>
      <c r="F8976" s="59"/>
      <c r="G8976" s="59"/>
      <c r="H8976" s="59"/>
      <c r="I8976" s="371"/>
      <c r="J8976" s="365"/>
      <c r="K8976" s="369"/>
      <c r="L8976" s="369"/>
      <c r="M8976" s="369"/>
      <c r="N8976" s="366"/>
      <c r="O8976" s="370"/>
      <c r="P8976" s="43"/>
    </row>
    <row r="8977" spans="1:16" ht="18" x14ac:dyDescent="0.35">
      <c r="A8977" s="43"/>
      <c r="B8977" s="59"/>
      <c r="C8977" s="60"/>
      <c r="D8977" s="59"/>
      <c r="E8977" s="59"/>
      <c r="F8977" s="59"/>
      <c r="G8977" s="59"/>
      <c r="H8977" s="59"/>
      <c r="I8977" s="371"/>
      <c r="J8977" s="365"/>
      <c r="K8977" s="369"/>
      <c r="L8977" s="369"/>
      <c r="M8977" s="369"/>
      <c r="N8977" s="366"/>
      <c r="O8977" s="370"/>
      <c r="P8977" s="43"/>
    </row>
    <row r="8978" spans="1:16" ht="18" x14ac:dyDescent="0.35">
      <c r="A8978" s="43"/>
      <c r="B8978" s="59"/>
      <c r="C8978" s="60"/>
      <c r="D8978" s="59"/>
      <c r="E8978" s="59"/>
      <c r="F8978" s="59"/>
      <c r="G8978" s="59"/>
      <c r="H8978" s="59"/>
      <c r="I8978" s="371"/>
      <c r="J8978" s="365"/>
      <c r="K8978" s="369"/>
      <c r="L8978" s="369"/>
      <c r="M8978" s="369"/>
      <c r="N8978" s="366"/>
      <c r="O8978" s="370"/>
      <c r="P8978" s="43"/>
    </row>
    <row r="8979" spans="1:16" ht="18" x14ac:dyDescent="0.35">
      <c r="A8979" s="43"/>
      <c r="B8979" s="59"/>
      <c r="C8979" s="60"/>
      <c r="D8979" s="59"/>
      <c r="E8979" s="59"/>
      <c r="F8979" s="59"/>
      <c r="G8979" s="59"/>
      <c r="H8979" s="59"/>
      <c r="I8979" s="371"/>
      <c r="J8979" s="365"/>
      <c r="K8979" s="369"/>
      <c r="L8979" s="369"/>
      <c r="M8979" s="369"/>
      <c r="N8979" s="366"/>
      <c r="O8979" s="370"/>
      <c r="P8979" s="43"/>
    </row>
    <row r="8980" spans="1:16" ht="18" x14ac:dyDescent="0.35">
      <c r="A8980" s="43"/>
      <c r="B8980" s="59"/>
      <c r="C8980" s="60"/>
      <c r="D8980" s="59"/>
      <c r="E8980" s="59"/>
      <c r="F8980" s="59"/>
      <c r="G8980" s="59"/>
      <c r="H8980" s="59"/>
      <c r="I8980" s="371"/>
      <c r="J8980" s="365"/>
      <c r="K8980" s="369"/>
      <c r="L8980" s="369"/>
      <c r="M8980" s="369"/>
      <c r="N8980" s="366"/>
      <c r="O8980" s="370"/>
      <c r="P8980" s="43"/>
    </row>
    <row r="8981" spans="1:16" ht="18" x14ac:dyDescent="0.35">
      <c r="A8981" s="43"/>
      <c r="B8981" s="59"/>
      <c r="C8981" s="60"/>
      <c r="D8981" s="59"/>
      <c r="E8981" s="59"/>
      <c r="F8981" s="59"/>
      <c r="G8981" s="59"/>
      <c r="H8981" s="59"/>
      <c r="I8981" s="371"/>
      <c r="J8981" s="365"/>
      <c r="K8981" s="369"/>
      <c r="L8981" s="369"/>
      <c r="M8981" s="369"/>
      <c r="N8981" s="366"/>
      <c r="O8981" s="370"/>
      <c r="P8981" s="43"/>
    </row>
    <row r="8982" spans="1:16" ht="18" x14ac:dyDescent="0.35">
      <c r="A8982" s="43"/>
      <c r="B8982" s="59"/>
      <c r="C8982" s="60"/>
      <c r="D8982" s="59"/>
      <c r="E8982" s="59"/>
      <c r="F8982" s="59"/>
      <c r="G8982" s="59"/>
      <c r="H8982" s="59"/>
      <c r="I8982" s="371"/>
      <c r="J8982" s="365"/>
      <c r="K8982" s="369"/>
      <c r="L8982" s="369"/>
      <c r="M8982" s="369"/>
      <c r="N8982" s="366"/>
      <c r="O8982" s="370"/>
      <c r="P8982" s="43"/>
    </row>
    <row r="8983" spans="1:16" ht="18" x14ac:dyDescent="0.35">
      <c r="A8983" s="43"/>
      <c r="B8983" s="59"/>
      <c r="C8983" s="60"/>
      <c r="D8983" s="59"/>
      <c r="E8983" s="59"/>
      <c r="F8983" s="59"/>
      <c r="G8983" s="59"/>
      <c r="H8983" s="59"/>
      <c r="I8983" s="371"/>
      <c r="J8983" s="365"/>
      <c r="K8983" s="369"/>
      <c r="L8983" s="369"/>
      <c r="M8983" s="369"/>
      <c r="N8983" s="366"/>
      <c r="O8983" s="370"/>
      <c r="P8983" s="43"/>
    </row>
    <row r="8984" spans="1:16" ht="18" x14ac:dyDescent="0.35">
      <c r="A8984" s="43"/>
      <c r="B8984" s="59"/>
      <c r="C8984" s="60"/>
      <c r="D8984" s="59"/>
      <c r="E8984" s="59"/>
      <c r="F8984" s="59"/>
      <c r="G8984" s="59"/>
      <c r="H8984" s="59"/>
      <c r="I8984" s="371"/>
      <c r="J8984" s="365"/>
      <c r="K8984" s="369"/>
      <c r="L8984" s="369"/>
      <c r="M8984" s="369"/>
      <c r="N8984" s="366"/>
      <c r="O8984" s="370"/>
      <c r="P8984" s="43"/>
    </row>
    <row r="8985" spans="1:16" ht="18" x14ac:dyDescent="0.35">
      <c r="A8985" s="43"/>
      <c r="B8985" s="59"/>
      <c r="C8985" s="60"/>
      <c r="D8985" s="59"/>
      <c r="E8985" s="59"/>
      <c r="F8985" s="59"/>
      <c r="G8985" s="59"/>
      <c r="H8985" s="59"/>
      <c r="I8985" s="371"/>
      <c r="J8985" s="365"/>
      <c r="K8985" s="369"/>
      <c r="L8985" s="369"/>
      <c r="M8985" s="369"/>
      <c r="N8985" s="366"/>
      <c r="O8985" s="370"/>
      <c r="P8985" s="43"/>
    </row>
    <row r="8986" spans="1:16" ht="18" x14ac:dyDescent="0.35">
      <c r="A8986" s="43"/>
      <c r="B8986" s="59"/>
      <c r="C8986" s="60"/>
      <c r="D8986" s="59"/>
      <c r="E8986" s="59"/>
      <c r="F8986" s="59"/>
      <c r="G8986" s="59"/>
      <c r="H8986" s="59"/>
      <c r="I8986" s="371"/>
      <c r="J8986" s="365"/>
      <c r="K8986" s="369"/>
      <c r="L8986" s="369"/>
      <c r="M8986" s="369"/>
      <c r="N8986" s="366"/>
      <c r="O8986" s="370"/>
      <c r="P8986" s="43"/>
    </row>
    <row r="8987" spans="1:16" ht="18" x14ac:dyDescent="0.35">
      <c r="A8987" s="43"/>
      <c r="B8987" s="59"/>
      <c r="C8987" s="60"/>
      <c r="D8987" s="59"/>
      <c r="E8987" s="59"/>
      <c r="F8987" s="59"/>
      <c r="G8987" s="59"/>
      <c r="H8987" s="59"/>
      <c r="I8987" s="371"/>
      <c r="J8987" s="365"/>
      <c r="K8987" s="369"/>
      <c r="L8987" s="369"/>
      <c r="M8987" s="369"/>
      <c r="N8987" s="366"/>
      <c r="O8987" s="370"/>
      <c r="P8987" s="43"/>
    </row>
    <row r="8988" spans="1:16" ht="18" x14ac:dyDescent="0.35">
      <c r="A8988" s="43"/>
      <c r="B8988" s="59"/>
      <c r="C8988" s="60"/>
      <c r="D8988" s="59"/>
      <c r="E8988" s="59"/>
      <c r="F8988" s="59"/>
      <c r="G8988" s="59"/>
      <c r="H8988" s="59"/>
      <c r="I8988" s="371"/>
      <c r="J8988" s="365"/>
      <c r="K8988" s="369"/>
      <c r="L8988" s="369"/>
      <c r="M8988" s="369"/>
      <c r="N8988" s="366"/>
      <c r="O8988" s="370"/>
      <c r="P8988" s="43"/>
    </row>
    <row r="8989" spans="1:16" ht="18" x14ac:dyDescent="0.35">
      <c r="A8989" s="43"/>
      <c r="B8989" s="59"/>
      <c r="C8989" s="60"/>
      <c r="D8989" s="59"/>
      <c r="E8989" s="59"/>
      <c r="F8989" s="59"/>
      <c r="G8989" s="59"/>
      <c r="H8989" s="59"/>
      <c r="I8989" s="371"/>
      <c r="J8989" s="365"/>
      <c r="K8989" s="369"/>
      <c r="L8989" s="369"/>
      <c r="M8989" s="369"/>
      <c r="N8989" s="366"/>
      <c r="O8989" s="370"/>
      <c r="P8989" s="43"/>
    </row>
    <row r="8990" spans="1:16" ht="18" x14ac:dyDescent="0.35">
      <c r="A8990" s="43"/>
      <c r="B8990" s="59"/>
      <c r="C8990" s="60"/>
      <c r="D8990" s="59"/>
      <c r="E8990" s="59"/>
      <c r="F8990" s="59"/>
      <c r="G8990" s="59"/>
      <c r="H8990" s="59"/>
      <c r="I8990" s="371"/>
      <c r="J8990" s="365"/>
      <c r="K8990" s="369"/>
      <c r="L8990" s="369"/>
      <c r="M8990" s="369"/>
      <c r="N8990" s="366"/>
      <c r="O8990" s="370"/>
      <c r="P8990" s="43"/>
    </row>
    <row r="8991" spans="1:16" ht="18" x14ac:dyDescent="0.35">
      <c r="A8991" s="43"/>
      <c r="B8991" s="59"/>
      <c r="C8991" s="60"/>
      <c r="D8991" s="59"/>
      <c r="E8991" s="59"/>
      <c r="F8991" s="59"/>
      <c r="G8991" s="59"/>
      <c r="H8991" s="59"/>
      <c r="I8991" s="371"/>
      <c r="J8991" s="365"/>
      <c r="K8991" s="369"/>
      <c r="L8991" s="369"/>
      <c r="M8991" s="369"/>
      <c r="N8991" s="366"/>
      <c r="O8991" s="370"/>
      <c r="P8991" s="43"/>
    </row>
    <row r="8992" spans="1:16" ht="18" x14ac:dyDescent="0.35">
      <c r="A8992" s="43"/>
      <c r="B8992" s="59"/>
      <c r="C8992" s="60"/>
      <c r="D8992" s="59"/>
      <c r="E8992" s="59"/>
      <c r="F8992" s="59"/>
      <c r="G8992" s="59"/>
      <c r="H8992" s="59"/>
      <c r="I8992" s="371"/>
      <c r="J8992" s="365"/>
      <c r="K8992" s="369"/>
      <c r="L8992" s="369"/>
      <c r="M8992" s="369"/>
      <c r="N8992" s="366"/>
      <c r="O8992" s="370"/>
      <c r="P8992" s="43"/>
    </row>
    <row r="8993" spans="1:16" ht="18" x14ac:dyDescent="0.35">
      <c r="A8993" s="43"/>
      <c r="B8993" s="59"/>
      <c r="C8993" s="60"/>
      <c r="D8993" s="59"/>
      <c r="E8993" s="59"/>
      <c r="F8993" s="59"/>
      <c r="G8993" s="59"/>
      <c r="H8993" s="59"/>
      <c r="I8993" s="371"/>
      <c r="J8993" s="365"/>
      <c r="K8993" s="369"/>
      <c r="L8993" s="369"/>
      <c r="M8993" s="369"/>
      <c r="N8993" s="366"/>
      <c r="O8993" s="370"/>
      <c r="P8993" s="43"/>
    </row>
    <row r="8994" spans="1:16" ht="18" x14ac:dyDescent="0.35">
      <c r="A8994" s="43"/>
      <c r="B8994" s="59"/>
      <c r="C8994" s="60"/>
      <c r="D8994" s="59"/>
      <c r="E8994" s="59"/>
      <c r="F8994" s="59"/>
      <c r="G8994" s="59"/>
      <c r="H8994" s="59"/>
      <c r="I8994" s="371"/>
      <c r="J8994" s="365"/>
      <c r="K8994" s="369"/>
      <c r="L8994" s="369"/>
      <c r="M8994" s="369"/>
      <c r="N8994" s="366"/>
      <c r="O8994" s="370"/>
      <c r="P8994" s="43"/>
    </row>
    <row r="8995" spans="1:16" ht="18" x14ac:dyDescent="0.35">
      <c r="A8995" s="43"/>
      <c r="B8995" s="59"/>
      <c r="C8995" s="60"/>
      <c r="D8995" s="59"/>
      <c r="E8995" s="59"/>
      <c r="F8995" s="59"/>
      <c r="G8995" s="59"/>
      <c r="H8995" s="59"/>
      <c r="I8995" s="371"/>
      <c r="J8995" s="365"/>
      <c r="K8995" s="369"/>
      <c r="L8995" s="369"/>
      <c r="M8995" s="369"/>
      <c r="N8995" s="366"/>
      <c r="O8995" s="370"/>
      <c r="P8995" s="43"/>
    </row>
    <row r="8996" spans="1:16" ht="18" x14ac:dyDescent="0.35">
      <c r="A8996" s="43"/>
      <c r="B8996" s="59"/>
      <c r="C8996" s="60"/>
      <c r="D8996" s="59"/>
      <c r="E8996" s="59"/>
      <c r="F8996" s="59"/>
      <c r="G8996" s="59"/>
      <c r="H8996" s="59"/>
      <c r="I8996" s="371"/>
      <c r="J8996" s="365"/>
      <c r="K8996" s="369"/>
      <c r="L8996" s="369"/>
      <c r="M8996" s="369"/>
      <c r="N8996" s="366"/>
      <c r="O8996" s="370"/>
      <c r="P8996" s="43"/>
    </row>
    <row r="8997" spans="1:16" ht="18" x14ac:dyDescent="0.35">
      <c r="A8997" s="43"/>
      <c r="B8997" s="59"/>
      <c r="C8997" s="60"/>
      <c r="D8997" s="59"/>
      <c r="E8997" s="59"/>
      <c r="F8997" s="59"/>
      <c r="G8997" s="59"/>
      <c r="H8997" s="59"/>
      <c r="I8997" s="371"/>
      <c r="J8997" s="365"/>
      <c r="K8997" s="369"/>
      <c r="L8997" s="369"/>
      <c r="M8997" s="369"/>
      <c r="N8997" s="366"/>
      <c r="O8997" s="370"/>
      <c r="P8997" s="43"/>
    </row>
    <row r="8998" spans="1:16" ht="18" x14ac:dyDescent="0.35">
      <c r="A8998" s="43"/>
      <c r="B8998" s="59"/>
      <c r="C8998" s="60"/>
      <c r="D8998" s="59"/>
      <c r="E8998" s="59"/>
      <c r="F8998" s="59"/>
      <c r="G8998" s="59"/>
      <c r="H8998" s="59"/>
      <c r="I8998" s="371"/>
      <c r="J8998" s="365"/>
      <c r="K8998" s="369"/>
      <c r="L8998" s="369"/>
      <c r="M8998" s="369"/>
      <c r="N8998" s="366"/>
      <c r="O8998" s="370"/>
      <c r="P8998" s="43"/>
    </row>
    <row r="8999" spans="1:16" ht="18" x14ac:dyDescent="0.35">
      <c r="A8999" s="43"/>
      <c r="B8999" s="59"/>
      <c r="C8999" s="60"/>
      <c r="D8999" s="59"/>
      <c r="E8999" s="59"/>
      <c r="F8999" s="59"/>
      <c r="G8999" s="59"/>
      <c r="H8999" s="59"/>
      <c r="I8999" s="371"/>
      <c r="J8999" s="365"/>
      <c r="K8999" s="369"/>
      <c r="L8999" s="369"/>
      <c r="M8999" s="369"/>
      <c r="N8999" s="366"/>
      <c r="O8999" s="370"/>
      <c r="P8999" s="43"/>
    </row>
    <row r="9000" spans="1:16" ht="18" x14ac:dyDescent="0.35">
      <c r="A9000" s="43"/>
      <c r="B9000" s="59"/>
      <c r="C9000" s="60"/>
      <c r="D9000" s="59"/>
      <c r="E9000" s="59"/>
      <c r="F9000" s="59"/>
      <c r="G9000" s="59"/>
      <c r="H9000" s="59"/>
      <c r="I9000" s="371"/>
      <c r="J9000" s="365"/>
      <c r="K9000" s="369"/>
      <c r="L9000" s="369"/>
      <c r="M9000" s="369"/>
      <c r="N9000" s="366"/>
      <c r="O9000" s="370"/>
      <c r="P9000" s="43"/>
    </row>
    <row r="9001" spans="1:16" ht="18" x14ac:dyDescent="0.35">
      <c r="A9001" s="43"/>
      <c r="B9001" s="59"/>
      <c r="C9001" s="60"/>
      <c r="D9001" s="59"/>
      <c r="E9001" s="59"/>
      <c r="F9001" s="59"/>
      <c r="G9001" s="59"/>
      <c r="H9001" s="59"/>
      <c r="I9001" s="371"/>
      <c r="J9001" s="365"/>
      <c r="K9001" s="369"/>
      <c r="L9001" s="369"/>
      <c r="M9001" s="369"/>
      <c r="N9001" s="366"/>
      <c r="O9001" s="370"/>
      <c r="P9001" s="43"/>
    </row>
    <row r="9002" spans="1:16" ht="18" x14ac:dyDescent="0.35">
      <c r="A9002" s="43"/>
      <c r="B9002" s="59"/>
      <c r="C9002" s="60"/>
      <c r="D9002" s="59"/>
      <c r="E9002" s="59"/>
      <c r="F9002" s="59"/>
      <c r="G9002" s="59"/>
      <c r="H9002" s="59"/>
      <c r="I9002" s="371"/>
      <c r="J9002" s="365"/>
      <c r="K9002" s="369"/>
      <c r="L9002" s="369"/>
      <c r="M9002" s="369"/>
      <c r="N9002" s="366"/>
      <c r="O9002" s="370"/>
      <c r="P9002" s="43"/>
    </row>
    <row r="9003" spans="1:16" ht="18" x14ac:dyDescent="0.35">
      <c r="A9003" s="43"/>
      <c r="B9003" s="59"/>
      <c r="C9003" s="60"/>
      <c r="D9003" s="59"/>
      <c r="E9003" s="59"/>
      <c r="F9003" s="59"/>
      <c r="G9003" s="59"/>
      <c r="H9003" s="59"/>
      <c r="I9003" s="371"/>
      <c r="J9003" s="365"/>
      <c r="K9003" s="369"/>
      <c r="L9003" s="369"/>
      <c r="M9003" s="369"/>
      <c r="N9003" s="366"/>
      <c r="O9003" s="370"/>
      <c r="P9003" s="43"/>
    </row>
    <row r="9004" spans="1:16" ht="18" x14ac:dyDescent="0.35">
      <c r="A9004" s="43"/>
      <c r="B9004" s="59"/>
      <c r="C9004" s="60"/>
      <c r="D9004" s="59"/>
      <c r="E9004" s="59"/>
      <c r="F9004" s="59"/>
      <c r="G9004" s="59"/>
      <c r="H9004" s="59"/>
      <c r="I9004" s="371"/>
      <c r="J9004" s="365"/>
      <c r="K9004" s="369"/>
      <c r="L9004" s="369"/>
      <c r="M9004" s="369"/>
      <c r="N9004" s="366"/>
      <c r="O9004" s="370"/>
      <c r="P9004" s="43"/>
    </row>
    <row r="9005" spans="1:16" ht="18" x14ac:dyDescent="0.35">
      <c r="A9005" s="43"/>
      <c r="B9005" s="59"/>
      <c r="C9005" s="60"/>
      <c r="D9005" s="59"/>
      <c r="E9005" s="59"/>
      <c r="F9005" s="59"/>
      <c r="G9005" s="59"/>
      <c r="H9005" s="59"/>
      <c r="I9005" s="371"/>
      <c r="J9005" s="365"/>
      <c r="K9005" s="369"/>
      <c r="L9005" s="369"/>
      <c r="M9005" s="369"/>
      <c r="N9005" s="366"/>
      <c r="O9005" s="370"/>
      <c r="P9005" s="43"/>
    </row>
    <row r="9006" spans="1:16" ht="18" x14ac:dyDescent="0.35">
      <c r="A9006" s="43"/>
      <c r="B9006" s="59"/>
      <c r="C9006" s="60"/>
      <c r="D9006" s="59"/>
      <c r="E9006" s="59"/>
      <c r="F9006" s="59"/>
      <c r="G9006" s="59"/>
      <c r="H9006" s="59"/>
      <c r="I9006" s="371"/>
      <c r="J9006" s="365"/>
      <c r="K9006" s="369"/>
      <c r="L9006" s="369"/>
      <c r="M9006" s="369"/>
      <c r="N9006" s="366"/>
      <c r="O9006" s="370"/>
      <c r="P9006" s="43"/>
    </row>
    <row r="9007" spans="1:16" ht="18" x14ac:dyDescent="0.35">
      <c r="A9007" s="43"/>
      <c r="B9007" s="59"/>
      <c r="C9007" s="60"/>
      <c r="D9007" s="59"/>
      <c r="E9007" s="59"/>
      <c r="F9007" s="59"/>
      <c r="G9007" s="59"/>
      <c r="H9007" s="59"/>
      <c r="I9007" s="371"/>
      <c r="J9007" s="365"/>
      <c r="K9007" s="369"/>
      <c r="L9007" s="369"/>
      <c r="M9007" s="369"/>
      <c r="N9007" s="366"/>
      <c r="O9007" s="370"/>
      <c r="P9007" s="43"/>
    </row>
    <row r="9008" spans="1:16" ht="18" x14ac:dyDescent="0.35">
      <c r="A9008" s="43"/>
      <c r="B9008" s="59"/>
      <c r="C9008" s="60"/>
      <c r="D9008" s="59"/>
      <c r="E9008" s="59"/>
      <c r="F9008" s="59"/>
      <c r="G9008" s="59"/>
      <c r="H9008" s="59"/>
      <c r="I9008" s="371"/>
      <c r="J9008" s="365"/>
      <c r="K9008" s="369"/>
      <c r="L9008" s="369"/>
      <c r="M9008" s="369"/>
      <c r="N9008" s="366"/>
      <c r="O9008" s="370"/>
      <c r="P9008" s="43"/>
    </row>
    <row r="9009" spans="1:16" ht="18" x14ac:dyDescent="0.35">
      <c r="A9009" s="43"/>
      <c r="B9009" s="59"/>
      <c r="C9009" s="60"/>
      <c r="D9009" s="59"/>
      <c r="E9009" s="59"/>
      <c r="F9009" s="59"/>
      <c r="G9009" s="59"/>
      <c r="H9009" s="59"/>
      <c r="I9009" s="371"/>
      <c r="J9009" s="365"/>
      <c r="K9009" s="369"/>
      <c r="L9009" s="369"/>
      <c r="M9009" s="369"/>
      <c r="N9009" s="366"/>
      <c r="O9009" s="370"/>
      <c r="P9009" s="43"/>
    </row>
    <row r="9010" spans="1:16" ht="18" x14ac:dyDescent="0.35">
      <c r="A9010" s="43"/>
      <c r="B9010" s="59"/>
      <c r="C9010" s="60"/>
      <c r="D9010" s="59"/>
      <c r="E9010" s="59"/>
      <c r="F9010" s="59"/>
      <c r="G9010" s="59"/>
      <c r="H9010" s="59"/>
      <c r="I9010" s="371"/>
      <c r="J9010" s="365"/>
      <c r="K9010" s="369"/>
      <c r="L9010" s="369"/>
      <c r="M9010" s="369"/>
      <c r="N9010" s="366"/>
      <c r="O9010" s="370"/>
      <c r="P9010" s="43"/>
    </row>
    <row r="9011" spans="1:16" ht="18" x14ac:dyDescent="0.35">
      <c r="A9011" s="43"/>
      <c r="B9011" s="59"/>
      <c r="C9011" s="60"/>
      <c r="D9011" s="59"/>
      <c r="E9011" s="59"/>
      <c r="F9011" s="59"/>
      <c r="G9011" s="59"/>
      <c r="H9011" s="59"/>
      <c r="I9011" s="371"/>
      <c r="J9011" s="365"/>
      <c r="K9011" s="369"/>
      <c r="L9011" s="369"/>
      <c r="M9011" s="369"/>
      <c r="N9011" s="366"/>
      <c r="O9011" s="370"/>
      <c r="P9011" s="43"/>
    </row>
    <row r="9012" spans="1:16" ht="18" x14ac:dyDescent="0.35">
      <c r="A9012" s="43"/>
      <c r="B9012" s="59"/>
      <c r="C9012" s="60"/>
      <c r="D9012" s="59"/>
      <c r="E9012" s="59"/>
      <c r="F9012" s="59"/>
      <c r="G9012" s="59"/>
      <c r="H9012" s="59"/>
      <c r="I9012" s="371"/>
      <c r="J9012" s="365"/>
      <c r="K9012" s="369"/>
      <c r="L9012" s="369"/>
      <c r="M9012" s="369"/>
      <c r="N9012" s="366"/>
      <c r="O9012" s="370"/>
      <c r="P9012" s="43"/>
    </row>
    <row r="9013" spans="1:16" ht="18" x14ac:dyDescent="0.35">
      <c r="A9013" s="43"/>
      <c r="B9013" s="59"/>
      <c r="C9013" s="60"/>
      <c r="D9013" s="59"/>
      <c r="E9013" s="59"/>
      <c r="F9013" s="59"/>
      <c r="G9013" s="59"/>
      <c r="H9013" s="59"/>
      <c r="I9013" s="371"/>
      <c r="J9013" s="365"/>
      <c r="K9013" s="369"/>
      <c r="L9013" s="369"/>
      <c r="M9013" s="369"/>
      <c r="N9013" s="366"/>
      <c r="O9013" s="370"/>
      <c r="P9013" s="43"/>
    </row>
    <row r="9014" spans="1:16" ht="18" x14ac:dyDescent="0.35">
      <c r="A9014" s="43"/>
      <c r="B9014" s="59"/>
      <c r="C9014" s="60"/>
      <c r="D9014" s="59"/>
      <c r="E9014" s="59"/>
      <c r="F9014" s="59"/>
      <c r="G9014" s="59"/>
      <c r="H9014" s="59"/>
      <c r="I9014" s="371"/>
      <c r="J9014" s="365"/>
      <c r="K9014" s="369"/>
      <c r="L9014" s="369"/>
      <c r="M9014" s="369"/>
      <c r="N9014" s="366"/>
      <c r="O9014" s="370"/>
      <c r="P9014" s="43"/>
    </row>
    <row r="9015" spans="1:16" ht="18" x14ac:dyDescent="0.35">
      <c r="A9015" s="43"/>
      <c r="B9015" s="59"/>
      <c r="C9015" s="60"/>
      <c r="D9015" s="59"/>
      <c r="E9015" s="59"/>
      <c r="F9015" s="59"/>
      <c r="G9015" s="59"/>
      <c r="H9015" s="59"/>
      <c r="I9015" s="371"/>
      <c r="J9015" s="365"/>
      <c r="K9015" s="369"/>
      <c r="L9015" s="369"/>
      <c r="M9015" s="369"/>
      <c r="N9015" s="366"/>
      <c r="O9015" s="370"/>
      <c r="P9015" s="43"/>
    </row>
    <row r="9016" spans="1:16" ht="18" x14ac:dyDescent="0.35">
      <c r="A9016" s="43"/>
      <c r="B9016" s="59"/>
      <c r="C9016" s="60"/>
      <c r="D9016" s="59"/>
      <c r="E9016" s="59"/>
      <c r="F9016" s="59"/>
      <c r="G9016" s="59"/>
      <c r="H9016" s="59"/>
      <c r="I9016" s="371"/>
      <c r="J9016" s="365"/>
      <c r="K9016" s="369"/>
      <c r="L9016" s="369"/>
      <c r="M9016" s="369"/>
      <c r="N9016" s="366"/>
      <c r="O9016" s="370"/>
      <c r="P9016" s="43"/>
    </row>
    <row r="9017" spans="1:16" ht="18" x14ac:dyDescent="0.35">
      <c r="A9017" s="43"/>
      <c r="B9017" s="59"/>
      <c r="C9017" s="60"/>
      <c r="D9017" s="59"/>
      <c r="E9017" s="59"/>
      <c r="F9017" s="59"/>
      <c r="G9017" s="59"/>
      <c r="H9017" s="59"/>
      <c r="I9017" s="371"/>
      <c r="J9017" s="365"/>
      <c r="K9017" s="369"/>
      <c r="L9017" s="369"/>
      <c r="M9017" s="369"/>
      <c r="N9017" s="366"/>
      <c r="O9017" s="370"/>
      <c r="P9017" s="43"/>
    </row>
    <row r="9018" spans="1:16" ht="18" x14ac:dyDescent="0.35">
      <c r="A9018" s="43"/>
      <c r="B9018" s="59"/>
      <c r="C9018" s="60"/>
      <c r="D9018" s="59"/>
      <c r="E9018" s="59"/>
      <c r="F9018" s="59"/>
      <c r="G9018" s="59"/>
      <c r="H9018" s="59"/>
      <c r="I9018" s="371"/>
      <c r="J9018" s="365"/>
      <c r="K9018" s="369"/>
      <c r="L9018" s="369"/>
      <c r="M9018" s="369"/>
      <c r="N9018" s="366"/>
      <c r="O9018" s="370"/>
      <c r="P9018" s="43"/>
    </row>
    <row r="9019" spans="1:16" ht="18" x14ac:dyDescent="0.35">
      <c r="A9019" s="43"/>
      <c r="B9019" s="59"/>
      <c r="C9019" s="60"/>
      <c r="D9019" s="59"/>
      <c r="E9019" s="59"/>
      <c r="F9019" s="59"/>
      <c r="G9019" s="59"/>
      <c r="H9019" s="59"/>
      <c r="I9019" s="371"/>
      <c r="J9019" s="365"/>
      <c r="K9019" s="369"/>
      <c r="L9019" s="369"/>
      <c r="M9019" s="369"/>
      <c r="N9019" s="366"/>
      <c r="O9019" s="370"/>
      <c r="P9019" s="43"/>
    </row>
    <row r="9020" spans="1:16" ht="18" x14ac:dyDescent="0.35">
      <c r="A9020" s="43"/>
      <c r="B9020" s="59"/>
      <c r="C9020" s="60"/>
      <c r="D9020" s="59"/>
      <c r="E9020" s="59"/>
      <c r="F9020" s="59"/>
      <c r="G9020" s="59"/>
      <c r="H9020" s="59"/>
      <c r="I9020" s="371"/>
      <c r="J9020" s="365"/>
      <c r="K9020" s="369"/>
      <c r="L9020" s="369"/>
      <c r="M9020" s="369"/>
      <c r="N9020" s="366"/>
      <c r="O9020" s="370"/>
      <c r="P9020" s="43"/>
    </row>
    <row r="9021" spans="1:16" ht="18" x14ac:dyDescent="0.35">
      <c r="A9021" s="43"/>
      <c r="B9021" s="59"/>
      <c r="C9021" s="60"/>
      <c r="D9021" s="59"/>
      <c r="E9021" s="59"/>
      <c r="F9021" s="59"/>
      <c r="G9021" s="59"/>
      <c r="H9021" s="59"/>
      <c r="I9021" s="371"/>
      <c r="J9021" s="365"/>
      <c r="K9021" s="369"/>
      <c r="L9021" s="369"/>
      <c r="M9021" s="369"/>
      <c r="N9021" s="366"/>
      <c r="O9021" s="370"/>
      <c r="P9021" s="43"/>
    </row>
    <row r="9022" spans="1:16" ht="18" x14ac:dyDescent="0.35">
      <c r="A9022" s="43"/>
      <c r="B9022" s="59"/>
      <c r="C9022" s="60"/>
      <c r="D9022" s="59"/>
      <c r="E9022" s="59"/>
      <c r="F9022" s="59"/>
      <c r="G9022" s="59"/>
      <c r="H9022" s="59"/>
      <c r="I9022" s="371"/>
      <c r="J9022" s="365"/>
      <c r="K9022" s="369"/>
      <c r="L9022" s="369"/>
      <c r="M9022" s="369"/>
      <c r="N9022" s="366"/>
      <c r="O9022" s="370"/>
      <c r="P9022" s="43"/>
    </row>
    <row r="9023" spans="1:16" ht="18" x14ac:dyDescent="0.35">
      <c r="A9023" s="43"/>
      <c r="B9023" s="59"/>
      <c r="C9023" s="60"/>
      <c r="D9023" s="59"/>
      <c r="E9023" s="59"/>
      <c r="F9023" s="59"/>
      <c r="G9023" s="59"/>
      <c r="H9023" s="59"/>
      <c r="I9023" s="371"/>
      <c r="J9023" s="365"/>
      <c r="K9023" s="369"/>
      <c r="L9023" s="369"/>
      <c r="M9023" s="369"/>
      <c r="N9023" s="366"/>
      <c r="O9023" s="370"/>
      <c r="P9023" s="43"/>
    </row>
    <row r="9024" spans="1:16" ht="18" x14ac:dyDescent="0.35">
      <c r="A9024" s="43"/>
      <c r="B9024" s="59"/>
      <c r="C9024" s="60"/>
      <c r="D9024" s="59"/>
      <c r="E9024" s="59"/>
      <c r="F9024" s="59"/>
      <c r="G9024" s="59"/>
      <c r="H9024" s="59"/>
      <c r="I9024" s="371"/>
      <c r="J9024" s="365"/>
      <c r="K9024" s="369"/>
      <c r="L9024" s="369"/>
      <c r="M9024" s="369"/>
      <c r="N9024" s="366"/>
      <c r="O9024" s="370"/>
      <c r="P9024" s="43"/>
    </row>
    <row r="9025" spans="1:16" ht="18" x14ac:dyDescent="0.35">
      <c r="A9025" s="43"/>
      <c r="B9025" s="59"/>
      <c r="C9025" s="60"/>
      <c r="D9025" s="59"/>
      <c r="E9025" s="59"/>
      <c r="F9025" s="59"/>
      <c r="G9025" s="59"/>
      <c r="H9025" s="59"/>
      <c r="I9025" s="371"/>
      <c r="J9025" s="365"/>
      <c r="K9025" s="369"/>
      <c r="L9025" s="369"/>
      <c r="M9025" s="369"/>
      <c r="N9025" s="366"/>
      <c r="O9025" s="370"/>
      <c r="P9025" s="43"/>
    </row>
    <row r="9026" spans="1:16" ht="18" x14ac:dyDescent="0.35">
      <c r="A9026" s="43"/>
      <c r="B9026" s="59"/>
      <c r="C9026" s="60"/>
      <c r="D9026" s="59"/>
      <c r="E9026" s="59"/>
      <c r="F9026" s="59"/>
      <c r="G9026" s="59"/>
      <c r="H9026" s="59"/>
      <c r="I9026" s="371"/>
      <c r="J9026" s="365"/>
      <c r="K9026" s="369"/>
      <c r="L9026" s="369"/>
      <c r="M9026" s="369"/>
      <c r="N9026" s="366"/>
      <c r="O9026" s="370"/>
      <c r="P9026" s="43"/>
    </row>
    <row r="9027" spans="1:16" ht="18" x14ac:dyDescent="0.35">
      <c r="A9027" s="43"/>
      <c r="B9027" s="59"/>
      <c r="C9027" s="60"/>
      <c r="D9027" s="59"/>
      <c r="E9027" s="59"/>
      <c r="F9027" s="59"/>
      <c r="G9027" s="59"/>
      <c r="H9027" s="59"/>
      <c r="I9027" s="371"/>
      <c r="J9027" s="365"/>
      <c r="K9027" s="369"/>
      <c r="L9027" s="369"/>
      <c r="M9027" s="369"/>
      <c r="N9027" s="366"/>
      <c r="O9027" s="370"/>
      <c r="P9027" s="43"/>
    </row>
    <row r="9028" spans="1:16" ht="18" x14ac:dyDescent="0.35">
      <c r="A9028" s="43"/>
      <c r="B9028" s="59"/>
      <c r="C9028" s="60"/>
      <c r="D9028" s="59"/>
      <c r="E9028" s="59"/>
      <c r="F9028" s="59"/>
      <c r="G9028" s="59"/>
      <c r="H9028" s="59"/>
      <c r="I9028" s="371"/>
      <c r="J9028" s="365"/>
      <c r="K9028" s="369"/>
      <c r="L9028" s="369"/>
      <c r="M9028" s="369"/>
      <c r="N9028" s="366"/>
      <c r="O9028" s="370"/>
      <c r="P9028" s="43"/>
    </row>
    <row r="9029" spans="1:16" ht="18" x14ac:dyDescent="0.35">
      <c r="A9029" s="43"/>
      <c r="B9029" s="59"/>
      <c r="C9029" s="60"/>
      <c r="D9029" s="59"/>
      <c r="E9029" s="59"/>
      <c r="F9029" s="59"/>
      <c r="G9029" s="59"/>
      <c r="H9029" s="59"/>
      <c r="I9029" s="371"/>
      <c r="J9029" s="365"/>
      <c r="K9029" s="369"/>
      <c r="L9029" s="369"/>
      <c r="M9029" s="369"/>
      <c r="N9029" s="366"/>
      <c r="O9029" s="370"/>
      <c r="P9029" s="43"/>
    </row>
    <row r="9030" spans="1:16" ht="18" x14ac:dyDescent="0.35">
      <c r="A9030" s="43"/>
      <c r="B9030" s="59"/>
      <c r="C9030" s="60"/>
      <c r="D9030" s="59"/>
      <c r="E9030" s="59"/>
      <c r="F9030" s="59"/>
      <c r="G9030" s="59"/>
      <c r="H9030" s="59"/>
      <c r="I9030" s="371"/>
      <c r="J9030" s="365"/>
      <c r="K9030" s="369"/>
      <c r="L9030" s="369"/>
      <c r="M9030" s="369"/>
      <c r="N9030" s="366"/>
      <c r="O9030" s="370"/>
      <c r="P9030" s="43"/>
    </row>
    <row r="9031" spans="1:16" ht="18" x14ac:dyDescent="0.35">
      <c r="A9031" s="43"/>
      <c r="B9031" s="59"/>
      <c r="C9031" s="60"/>
      <c r="D9031" s="59"/>
      <c r="E9031" s="59"/>
      <c r="F9031" s="59"/>
      <c r="G9031" s="59"/>
      <c r="H9031" s="59"/>
      <c r="I9031" s="371"/>
      <c r="J9031" s="365"/>
      <c r="K9031" s="369"/>
      <c r="L9031" s="369"/>
      <c r="M9031" s="369"/>
      <c r="N9031" s="366"/>
      <c r="O9031" s="370"/>
      <c r="P9031" s="43"/>
    </row>
    <row r="9032" spans="1:16" ht="18" x14ac:dyDescent="0.35">
      <c r="A9032" s="43"/>
      <c r="B9032" s="59"/>
      <c r="C9032" s="60"/>
      <c r="D9032" s="59"/>
      <c r="E9032" s="59"/>
      <c r="F9032" s="59"/>
      <c r="G9032" s="59"/>
      <c r="H9032" s="59"/>
      <c r="I9032" s="371"/>
      <c r="J9032" s="365"/>
      <c r="K9032" s="369"/>
      <c r="L9032" s="369"/>
      <c r="M9032" s="369"/>
      <c r="N9032" s="366"/>
      <c r="O9032" s="370"/>
      <c r="P9032" s="43"/>
    </row>
    <row r="9033" spans="1:16" ht="18" x14ac:dyDescent="0.35">
      <c r="A9033" s="43"/>
      <c r="B9033" s="59"/>
      <c r="C9033" s="60"/>
      <c r="D9033" s="59"/>
      <c r="E9033" s="59"/>
      <c r="F9033" s="59"/>
      <c r="G9033" s="59"/>
      <c r="H9033" s="59"/>
      <c r="I9033" s="371"/>
      <c r="J9033" s="365"/>
      <c r="K9033" s="369"/>
      <c r="L9033" s="369"/>
      <c r="M9033" s="369"/>
      <c r="N9033" s="366"/>
      <c r="O9033" s="370"/>
      <c r="P9033" s="43"/>
    </row>
    <row r="9034" spans="1:16" ht="18" x14ac:dyDescent="0.35">
      <c r="A9034" s="43"/>
      <c r="B9034" s="59"/>
      <c r="C9034" s="60"/>
      <c r="D9034" s="59"/>
      <c r="E9034" s="59"/>
      <c r="F9034" s="59"/>
      <c r="G9034" s="59"/>
      <c r="H9034" s="59"/>
      <c r="I9034" s="371"/>
      <c r="J9034" s="365"/>
      <c r="K9034" s="369"/>
      <c r="L9034" s="369"/>
      <c r="M9034" s="369"/>
      <c r="N9034" s="366"/>
      <c r="O9034" s="370"/>
      <c r="P9034" s="43"/>
    </row>
    <row r="9035" spans="1:16" ht="18" x14ac:dyDescent="0.35">
      <c r="A9035" s="43"/>
      <c r="B9035" s="59"/>
      <c r="C9035" s="60"/>
      <c r="D9035" s="59"/>
      <c r="E9035" s="59"/>
      <c r="F9035" s="59"/>
      <c r="G9035" s="59"/>
      <c r="H9035" s="59"/>
      <c r="I9035" s="371"/>
      <c r="J9035" s="365"/>
      <c r="K9035" s="369"/>
      <c r="L9035" s="369"/>
      <c r="M9035" s="369"/>
      <c r="N9035" s="366"/>
      <c r="O9035" s="370"/>
      <c r="P9035" s="43"/>
    </row>
    <row r="9036" spans="1:16" ht="18" x14ac:dyDescent="0.35">
      <c r="A9036" s="43"/>
      <c r="B9036" s="59"/>
      <c r="C9036" s="60"/>
      <c r="D9036" s="59"/>
      <c r="E9036" s="59"/>
      <c r="F9036" s="59"/>
      <c r="G9036" s="59"/>
      <c r="H9036" s="59"/>
      <c r="I9036" s="371"/>
      <c r="J9036" s="365"/>
      <c r="K9036" s="369"/>
      <c r="L9036" s="369"/>
      <c r="M9036" s="369"/>
      <c r="N9036" s="366"/>
      <c r="O9036" s="370"/>
      <c r="P9036" s="43"/>
    </row>
    <row r="9037" spans="1:16" ht="18" x14ac:dyDescent="0.35">
      <c r="A9037" s="43"/>
      <c r="B9037" s="59"/>
      <c r="C9037" s="60"/>
      <c r="D9037" s="59"/>
      <c r="E9037" s="59"/>
      <c r="F9037" s="59"/>
      <c r="G9037" s="59"/>
      <c r="H9037" s="59"/>
      <c r="I9037" s="371"/>
      <c r="J9037" s="365"/>
      <c r="K9037" s="369"/>
      <c r="L9037" s="369"/>
      <c r="M9037" s="369"/>
      <c r="N9037" s="366"/>
      <c r="O9037" s="370"/>
      <c r="P9037" s="43"/>
    </row>
    <row r="9038" spans="1:16" ht="18" x14ac:dyDescent="0.35">
      <c r="A9038" s="43"/>
      <c r="B9038" s="59"/>
      <c r="C9038" s="60"/>
      <c r="D9038" s="59"/>
      <c r="E9038" s="59"/>
      <c r="F9038" s="59"/>
      <c r="G9038" s="59"/>
      <c r="H9038" s="59"/>
      <c r="I9038" s="371"/>
      <c r="J9038" s="365"/>
      <c r="K9038" s="369"/>
      <c r="L9038" s="369"/>
      <c r="M9038" s="369"/>
      <c r="N9038" s="366"/>
      <c r="O9038" s="370"/>
      <c r="P9038" s="43"/>
    </row>
    <row r="9039" spans="1:16" ht="18" x14ac:dyDescent="0.35">
      <c r="A9039" s="43"/>
      <c r="B9039" s="59"/>
      <c r="C9039" s="60"/>
      <c r="D9039" s="59"/>
      <c r="E9039" s="59"/>
      <c r="F9039" s="59"/>
      <c r="G9039" s="59"/>
      <c r="H9039" s="59"/>
      <c r="I9039" s="371"/>
      <c r="J9039" s="365"/>
      <c r="K9039" s="369"/>
      <c r="L9039" s="369"/>
      <c r="M9039" s="369"/>
      <c r="N9039" s="366"/>
      <c r="O9039" s="370"/>
      <c r="P9039" s="43"/>
    </row>
    <row r="9040" spans="1:16" ht="18" x14ac:dyDescent="0.35">
      <c r="A9040" s="43"/>
      <c r="B9040" s="59"/>
      <c r="C9040" s="60"/>
      <c r="D9040" s="59"/>
      <c r="E9040" s="59"/>
      <c r="F9040" s="59"/>
      <c r="G9040" s="59"/>
      <c r="H9040" s="59"/>
      <c r="I9040" s="371"/>
      <c r="J9040" s="365"/>
      <c r="K9040" s="369"/>
      <c r="L9040" s="369"/>
      <c r="M9040" s="369"/>
      <c r="N9040" s="366"/>
      <c r="O9040" s="370"/>
      <c r="P9040" s="43"/>
    </row>
    <row r="9041" spans="1:16" ht="18" x14ac:dyDescent="0.35">
      <c r="A9041" s="43"/>
      <c r="B9041" s="59"/>
      <c r="C9041" s="60"/>
      <c r="D9041" s="59"/>
      <c r="E9041" s="59"/>
      <c r="F9041" s="59"/>
      <c r="G9041" s="59"/>
      <c r="H9041" s="59"/>
      <c r="I9041" s="371"/>
      <c r="J9041" s="365"/>
      <c r="K9041" s="369"/>
      <c r="L9041" s="369"/>
      <c r="M9041" s="369"/>
      <c r="N9041" s="366"/>
      <c r="O9041" s="370"/>
      <c r="P9041" s="43"/>
    </row>
    <row r="9042" spans="1:16" ht="18" x14ac:dyDescent="0.35">
      <c r="A9042" s="43"/>
      <c r="B9042" s="59"/>
      <c r="C9042" s="60"/>
      <c r="D9042" s="59"/>
      <c r="E9042" s="59"/>
      <c r="F9042" s="59"/>
      <c r="G9042" s="59"/>
      <c r="H9042" s="59"/>
      <c r="I9042" s="371"/>
      <c r="J9042" s="365"/>
      <c r="K9042" s="369"/>
      <c r="L9042" s="369"/>
      <c r="M9042" s="369"/>
      <c r="N9042" s="366"/>
      <c r="O9042" s="370"/>
      <c r="P9042" s="43"/>
    </row>
    <row r="9043" spans="1:16" ht="18" x14ac:dyDescent="0.35">
      <c r="A9043" s="43"/>
      <c r="B9043" s="59"/>
      <c r="C9043" s="60"/>
      <c r="D9043" s="59"/>
      <c r="E9043" s="59"/>
      <c r="F9043" s="59"/>
      <c r="G9043" s="59"/>
      <c r="H9043" s="59"/>
      <c r="I9043" s="371"/>
      <c r="J9043" s="365"/>
      <c r="K9043" s="369"/>
      <c r="L9043" s="369"/>
      <c r="M9043" s="369"/>
      <c r="N9043" s="366"/>
      <c r="O9043" s="370"/>
      <c r="P9043" s="43"/>
    </row>
    <row r="9044" spans="1:16" ht="18" x14ac:dyDescent="0.35">
      <c r="A9044" s="43"/>
      <c r="B9044" s="59"/>
      <c r="C9044" s="60"/>
      <c r="D9044" s="59"/>
      <c r="E9044" s="59"/>
      <c r="F9044" s="59"/>
      <c r="G9044" s="59"/>
      <c r="H9044" s="59"/>
      <c r="I9044" s="371"/>
      <c r="J9044" s="365"/>
      <c r="K9044" s="369"/>
      <c r="L9044" s="369"/>
      <c r="M9044" s="369"/>
      <c r="N9044" s="366"/>
      <c r="O9044" s="370"/>
      <c r="P9044" s="43"/>
    </row>
    <row r="9045" spans="1:16" ht="18" x14ac:dyDescent="0.35">
      <c r="A9045" s="43"/>
      <c r="B9045" s="59"/>
      <c r="C9045" s="60"/>
      <c r="D9045" s="59"/>
      <c r="E9045" s="59"/>
      <c r="F9045" s="59"/>
      <c r="G9045" s="59"/>
      <c r="H9045" s="59"/>
      <c r="I9045" s="371"/>
      <c r="J9045" s="365"/>
      <c r="K9045" s="369"/>
      <c r="L9045" s="369"/>
      <c r="M9045" s="369"/>
      <c r="N9045" s="366"/>
      <c r="O9045" s="370"/>
      <c r="P9045" s="43"/>
    </row>
    <row r="9046" spans="1:16" ht="18" x14ac:dyDescent="0.35">
      <c r="A9046" s="43"/>
      <c r="B9046" s="59"/>
      <c r="C9046" s="60"/>
      <c r="D9046" s="59"/>
      <c r="E9046" s="59"/>
      <c r="F9046" s="59"/>
      <c r="G9046" s="59"/>
      <c r="H9046" s="59"/>
      <c r="I9046" s="371"/>
      <c r="J9046" s="365"/>
      <c r="K9046" s="369"/>
      <c r="L9046" s="369"/>
      <c r="M9046" s="369"/>
      <c r="N9046" s="366"/>
      <c r="O9046" s="370"/>
      <c r="P9046" s="43"/>
    </row>
    <row r="9047" spans="1:16" ht="18" x14ac:dyDescent="0.35">
      <c r="A9047" s="43"/>
      <c r="B9047" s="59"/>
      <c r="C9047" s="60"/>
      <c r="D9047" s="59"/>
      <c r="E9047" s="59"/>
      <c r="F9047" s="59"/>
      <c r="G9047" s="59"/>
      <c r="H9047" s="59"/>
      <c r="I9047" s="371"/>
      <c r="J9047" s="365"/>
      <c r="K9047" s="369"/>
      <c r="L9047" s="369"/>
      <c r="M9047" s="369"/>
      <c r="N9047" s="366"/>
      <c r="O9047" s="370"/>
      <c r="P9047" s="43"/>
    </row>
    <row r="9048" spans="1:16" ht="18" x14ac:dyDescent="0.35">
      <c r="A9048" s="43"/>
      <c r="B9048" s="59"/>
      <c r="C9048" s="60"/>
      <c r="D9048" s="59"/>
      <c r="E9048" s="59"/>
      <c r="F9048" s="59"/>
      <c r="G9048" s="59"/>
      <c r="H9048" s="59"/>
      <c r="I9048" s="371"/>
      <c r="J9048" s="365"/>
      <c r="K9048" s="369"/>
      <c r="L9048" s="369"/>
      <c r="M9048" s="369"/>
      <c r="N9048" s="366"/>
      <c r="O9048" s="370"/>
      <c r="P9048" s="43"/>
    </row>
    <row r="9049" spans="1:16" ht="18" x14ac:dyDescent="0.35">
      <c r="A9049" s="43"/>
      <c r="B9049" s="59"/>
      <c r="C9049" s="60"/>
      <c r="D9049" s="59"/>
      <c r="E9049" s="59"/>
      <c r="F9049" s="59"/>
      <c r="G9049" s="59"/>
      <c r="H9049" s="59"/>
      <c r="I9049" s="371"/>
      <c r="J9049" s="365"/>
      <c r="K9049" s="369"/>
      <c r="L9049" s="369"/>
      <c r="M9049" s="369"/>
      <c r="N9049" s="366"/>
      <c r="O9049" s="370"/>
      <c r="P9049" s="43"/>
    </row>
    <row r="9050" spans="1:16" ht="18" x14ac:dyDescent="0.35">
      <c r="A9050" s="43"/>
      <c r="B9050" s="59"/>
      <c r="C9050" s="60"/>
      <c r="D9050" s="59"/>
      <c r="E9050" s="59"/>
      <c r="F9050" s="59"/>
      <c r="G9050" s="59"/>
      <c r="H9050" s="59"/>
      <c r="I9050" s="371"/>
      <c r="J9050" s="365"/>
      <c r="K9050" s="369"/>
      <c r="L9050" s="369"/>
      <c r="M9050" s="369"/>
      <c r="N9050" s="366"/>
      <c r="O9050" s="370"/>
      <c r="P9050" s="43"/>
    </row>
    <row r="9051" spans="1:16" ht="18" x14ac:dyDescent="0.35">
      <c r="A9051" s="43"/>
      <c r="B9051" s="59"/>
      <c r="C9051" s="60"/>
      <c r="D9051" s="59"/>
      <c r="E9051" s="59"/>
      <c r="F9051" s="59"/>
      <c r="G9051" s="59"/>
      <c r="H9051" s="59"/>
      <c r="I9051" s="371"/>
      <c r="J9051" s="365"/>
      <c r="K9051" s="369"/>
      <c r="L9051" s="369"/>
      <c r="M9051" s="369"/>
      <c r="N9051" s="366"/>
      <c r="O9051" s="370"/>
      <c r="P9051" s="43"/>
    </row>
    <row r="9052" spans="1:16" ht="18" x14ac:dyDescent="0.35">
      <c r="A9052" s="43"/>
      <c r="B9052" s="59"/>
      <c r="C9052" s="60"/>
      <c r="D9052" s="59"/>
      <c r="E9052" s="59"/>
      <c r="F9052" s="59"/>
      <c r="G9052" s="59"/>
      <c r="H9052" s="59"/>
      <c r="I9052" s="371"/>
      <c r="J9052" s="365"/>
      <c r="K9052" s="369"/>
      <c r="L9052" s="369"/>
      <c r="M9052" s="369"/>
      <c r="N9052" s="366"/>
      <c r="O9052" s="370"/>
      <c r="P9052" s="43"/>
    </row>
    <row r="9053" spans="1:16" ht="18" x14ac:dyDescent="0.35">
      <c r="A9053" s="43"/>
      <c r="B9053" s="59"/>
      <c r="C9053" s="60"/>
      <c r="D9053" s="59"/>
      <c r="E9053" s="59"/>
      <c r="F9053" s="59"/>
      <c r="G9053" s="59"/>
      <c r="H9053" s="59"/>
      <c r="I9053" s="371"/>
      <c r="J9053" s="365"/>
      <c r="K9053" s="369"/>
      <c r="L9053" s="369"/>
      <c r="M9053" s="369"/>
      <c r="N9053" s="366"/>
      <c r="O9053" s="370"/>
      <c r="P9053" s="43"/>
    </row>
    <row r="9054" spans="1:16" ht="18" x14ac:dyDescent="0.35">
      <c r="A9054" s="43"/>
      <c r="B9054" s="59"/>
      <c r="C9054" s="60"/>
      <c r="D9054" s="59"/>
      <c r="E9054" s="59"/>
      <c r="F9054" s="59"/>
      <c r="G9054" s="59"/>
      <c r="H9054" s="59"/>
      <c r="I9054" s="371"/>
      <c r="J9054" s="365"/>
      <c r="K9054" s="369"/>
      <c r="L9054" s="369"/>
      <c r="M9054" s="369"/>
      <c r="N9054" s="366"/>
      <c r="O9054" s="370"/>
      <c r="P9054" s="43"/>
    </row>
    <row r="9055" spans="1:16" ht="18" x14ac:dyDescent="0.35">
      <c r="A9055" s="43"/>
      <c r="B9055" s="59"/>
      <c r="C9055" s="60"/>
      <c r="D9055" s="59"/>
      <c r="E9055" s="59"/>
      <c r="F9055" s="59"/>
      <c r="G9055" s="59"/>
      <c r="H9055" s="59"/>
      <c r="I9055" s="371"/>
      <c r="J9055" s="365"/>
      <c r="K9055" s="369"/>
      <c r="L9055" s="369"/>
      <c r="M9055" s="369"/>
      <c r="N9055" s="366"/>
      <c r="O9055" s="370"/>
      <c r="P9055" s="43"/>
    </row>
    <row r="9056" spans="1:16" ht="18" x14ac:dyDescent="0.35">
      <c r="A9056" s="43"/>
      <c r="B9056" s="59"/>
      <c r="C9056" s="60"/>
      <c r="D9056" s="59"/>
      <c r="E9056" s="59"/>
      <c r="F9056" s="59"/>
      <c r="G9056" s="59"/>
      <c r="H9056" s="59"/>
      <c r="I9056" s="371"/>
      <c r="J9056" s="365"/>
      <c r="K9056" s="369"/>
      <c r="L9056" s="369"/>
      <c r="M9056" s="369"/>
      <c r="N9056" s="366"/>
      <c r="O9056" s="370"/>
      <c r="P9056" s="43"/>
    </row>
    <row r="9057" spans="1:16" ht="18" x14ac:dyDescent="0.35">
      <c r="A9057" s="43"/>
      <c r="B9057" s="59"/>
      <c r="C9057" s="60"/>
      <c r="D9057" s="59"/>
      <c r="E9057" s="59"/>
      <c r="F9057" s="59"/>
      <c r="G9057" s="59"/>
      <c r="H9057" s="59"/>
      <c r="I9057" s="371"/>
      <c r="J9057" s="365"/>
      <c r="K9057" s="369"/>
      <c r="L9057" s="369"/>
      <c r="M9057" s="369"/>
      <c r="N9057" s="366"/>
      <c r="O9057" s="370"/>
      <c r="P9057" s="43"/>
    </row>
    <row r="9058" spans="1:16" ht="18" x14ac:dyDescent="0.35">
      <c r="A9058" s="43"/>
      <c r="B9058" s="59"/>
      <c r="C9058" s="60"/>
      <c r="D9058" s="59"/>
      <c r="E9058" s="59"/>
      <c r="F9058" s="59"/>
      <c r="G9058" s="59"/>
      <c r="H9058" s="59"/>
      <c r="I9058" s="371"/>
      <c r="J9058" s="365"/>
      <c r="K9058" s="369"/>
      <c r="L9058" s="369"/>
      <c r="M9058" s="369"/>
      <c r="N9058" s="366"/>
      <c r="O9058" s="370"/>
      <c r="P9058" s="43"/>
    </row>
    <row r="9059" spans="1:16" ht="18" x14ac:dyDescent="0.35">
      <c r="A9059" s="43"/>
      <c r="B9059" s="59"/>
      <c r="C9059" s="60"/>
      <c r="D9059" s="59"/>
      <c r="E9059" s="59"/>
      <c r="F9059" s="59"/>
      <c r="G9059" s="59"/>
      <c r="H9059" s="59"/>
      <c r="I9059" s="371"/>
      <c r="J9059" s="365"/>
      <c r="K9059" s="369"/>
      <c r="L9059" s="369"/>
      <c r="M9059" s="369"/>
      <c r="N9059" s="366"/>
      <c r="O9059" s="370"/>
      <c r="P9059" s="43"/>
    </row>
    <row r="9060" spans="1:16" ht="18" x14ac:dyDescent="0.35">
      <c r="A9060" s="43"/>
      <c r="B9060" s="59"/>
      <c r="C9060" s="60"/>
      <c r="D9060" s="59"/>
      <c r="E9060" s="59"/>
      <c r="F9060" s="59"/>
      <c r="G9060" s="59"/>
      <c r="H9060" s="59"/>
      <c r="I9060" s="371"/>
      <c r="J9060" s="365"/>
      <c r="K9060" s="369"/>
      <c r="L9060" s="369"/>
      <c r="M9060" s="369"/>
      <c r="N9060" s="366"/>
      <c r="O9060" s="370"/>
      <c r="P9060" s="43"/>
    </row>
    <row r="9061" spans="1:16" ht="18" x14ac:dyDescent="0.35">
      <c r="A9061" s="43"/>
      <c r="B9061" s="59"/>
      <c r="C9061" s="60"/>
      <c r="D9061" s="59"/>
      <c r="E9061" s="59"/>
      <c r="F9061" s="59"/>
      <c r="G9061" s="59"/>
      <c r="H9061" s="59"/>
      <c r="I9061" s="371"/>
      <c r="J9061" s="365"/>
      <c r="K9061" s="369"/>
      <c r="L9061" s="369"/>
      <c r="M9061" s="369"/>
      <c r="N9061" s="366"/>
      <c r="O9061" s="370"/>
      <c r="P9061" s="43"/>
    </row>
    <row r="9062" spans="1:16" ht="18" x14ac:dyDescent="0.35">
      <c r="A9062" s="43"/>
      <c r="B9062" s="59"/>
      <c r="C9062" s="60"/>
      <c r="D9062" s="59"/>
      <c r="E9062" s="59"/>
      <c r="F9062" s="59"/>
      <c r="G9062" s="59"/>
      <c r="H9062" s="59"/>
      <c r="I9062" s="371"/>
      <c r="J9062" s="365"/>
      <c r="K9062" s="369"/>
      <c r="L9062" s="369"/>
      <c r="M9062" s="369"/>
      <c r="N9062" s="366"/>
      <c r="O9062" s="370"/>
      <c r="P9062" s="43"/>
    </row>
    <row r="9063" spans="1:16" ht="18" x14ac:dyDescent="0.35">
      <c r="A9063" s="43"/>
      <c r="B9063" s="59"/>
      <c r="C9063" s="60"/>
      <c r="D9063" s="59"/>
      <c r="E9063" s="59"/>
      <c r="F9063" s="59"/>
      <c r="G9063" s="59"/>
      <c r="H9063" s="59"/>
      <c r="I9063" s="371"/>
      <c r="J9063" s="365"/>
      <c r="K9063" s="369"/>
      <c r="L9063" s="369"/>
      <c r="M9063" s="369"/>
      <c r="N9063" s="366"/>
      <c r="O9063" s="370"/>
      <c r="P9063" s="43"/>
    </row>
    <row r="9064" spans="1:16" ht="18" x14ac:dyDescent="0.35">
      <c r="A9064" s="43"/>
      <c r="B9064" s="59"/>
      <c r="C9064" s="60"/>
      <c r="D9064" s="59"/>
      <c r="E9064" s="59"/>
      <c r="F9064" s="59"/>
      <c r="G9064" s="59"/>
      <c r="H9064" s="59"/>
      <c r="I9064" s="371"/>
      <c r="J9064" s="365"/>
      <c r="K9064" s="369"/>
      <c r="L9064" s="369"/>
      <c r="M9064" s="369"/>
      <c r="N9064" s="366"/>
      <c r="O9064" s="370"/>
      <c r="P9064" s="43"/>
    </row>
    <row r="9065" spans="1:16" ht="18" x14ac:dyDescent="0.35">
      <c r="A9065" s="43"/>
      <c r="B9065" s="59"/>
      <c r="C9065" s="60"/>
      <c r="D9065" s="59"/>
      <c r="E9065" s="59"/>
      <c r="F9065" s="59"/>
      <c r="G9065" s="59"/>
      <c r="H9065" s="59"/>
      <c r="I9065" s="371"/>
      <c r="J9065" s="365"/>
      <c r="K9065" s="369"/>
      <c r="L9065" s="369"/>
      <c r="M9065" s="369"/>
      <c r="N9065" s="366"/>
      <c r="O9065" s="370"/>
      <c r="P9065" s="43"/>
    </row>
    <row r="9066" spans="1:16" ht="18" x14ac:dyDescent="0.35">
      <c r="A9066" s="43"/>
      <c r="B9066" s="59"/>
      <c r="C9066" s="60"/>
      <c r="D9066" s="59"/>
      <c r="E9066" s="59"/>
      <c r="F9066" s="59"/>
      <c r="G9066" s="59"/>
      <c r="H9066" s="59"/>
      <c r="I9066" s="371"/>
      <c r="J9066" s="365"/>
      <c r="K9066" s="369"/>
      <c r="L9066" s="369"/>
      <c r="M9066" s="369"/>
      <c r="N9066" s="366"/>
      <c r="O9066" s="370"/>
      <c r="P9066" s="43"/>
    </row>
    <row r="9067" spans="1:16" ht="18" x14ac:dyDescent="0.35">
      <c r="A9067" s="43"/>
      <c r="B9067" s="59"/>
      <c r="C9067" s="60"/>
      <c r="D9067" s="59"/>
      <c r="E9067" s="59"/>
      <c r="F9067" s="59"/>
      <c r="G9067" s="59"/>
      <c r="H9067" s="59"/>
      <c r="I9067" s="371"/>
      <c r="J9067" s="365"/>
      <c r="K9067" s="369"/>
      <c r="L9067" s="369"/>
      <c r="M9067" s="369"/>
      <c r="N9067" s="366"/>
      <c r="O9067" s="370"/>
      <c r="P9067" s="43"/>
    </row>
    <row r="9068" spans="1:16" ht="18" x14ac:dyDescent="0.35">
      <c r="A9068" s="43"/>
      <c r="B9068" s="59"/>
      <c r="C9068" s="60"/>
      <c r="D9068" s="59"/>
      <c r="E9068" s="59"/>
      <c r="F9068" s="59"/>
      <c r="G9068" s="59"/>
      <c r="H9068" s="59"/>
      <c r="I9068" s="371"/>
      <c r="J9068" s="365"/>
      <c r="K9068" s="369"/>
      <c r="L9068" s="369"/>
      <c r="M9068" s="369"/>
      <c r="N9068" s="366"/>
      <c r="O9068" s="370"/>
      <c r="P9068" s="43"/>
    </row>
    <row r="9069" spans="1:16" ht="18" x14ac:dyDescent="0.35">
      <c r="A9069" s="43"/>
      <c r="B9069" s="59"/>
      <c r="C9069" s="60"/>
      <c r="D9069" s="59"/>
      <c r="E9069" s="59"/>
      <c r="F9069" s="59"/>
      <c r="G9069" s="59"/>
      <c r="H9069" s="59"/>
      <c r="I9069" s="371"/>
      <c r="J9069" s="365"/>
      <c r="K9069" s="369"/>
      <c r="L9069" s="369"/>
      <c r="M9069" s="369"/>
      <c r="N9069" s="366"/>
      <c r="O9069" s="370"/>
      <c r="P9069" s="43"/>
    </row>
    <row r="9070" spans="1:16" ht="18" x14ac:dyDescent="0.35">
      <c r="A9070" s="43"/>
      <c r="B9070" s="59"/>
      <c r="C9070" s="60"/>
      <c r="D9070" s="59"/>
      <c r="E9070" s="59"/>
      <c r="F9070" s="59"/>
      <c r="G9070" s="59"/>
      <c r="H9070" s="59"/>
      <c r="I9070" s="371"/>
      <c r="J9070" s="365"/>
      <c r="K9070" s="369"/>
      <c r="L9070" s="369"/>
      <c r="M9070" s="369"/>
      <c r="N9070" s="366"/>
      <c r="O9070" s="370"/>
      <c r="P9070" s="43"/>
    </row>
    <row r="9071" spans="1:16" ht="18" x14ac:dyDescent="0.35">
      <c r="A9071" s="43"/>
      <c r="B9071" s="59"/>
      <c r="C9071" s="60"/>
      <c r="D9071" s="59"/>
      <c r="E9071" s="59"/>
      <c r="F9071" s="59"/>
      <c r="G9071" s="59"/>
      <c r="H9071" s="59"/>
      <c r="I9071" s="371"/>
      <c r="J9071" s="365"/>
      <c r="K9071" s="369"/>
      <c r="L9071" s="369"/>
      <c r="M9071" s="369"/>
      <c r="N9071" s="366"/>
      <c r="O9071" s="370"/>
      <c r="P9071" s="43"/>
    </row>
    <row r="9072" spans="1:16" ht="18" x14ac:dyDescent="0.35">
      <c r="A9072" s="43"/>
      <c r="B9072" s="59"/>
      <c r="C9072" s="60"/>
      <c r="D9072" s="59"/>
      <c r="E9072" s="59"/>
      <c r="F9072" s="59"/>
      <c r="G9072" s="59"/>
      <c r="H9072" s="59"/>
      <c r="I9072" s="371"/>
      <c r="J9072" s="365"/>
      <c r="K9072" s="369"/>
      <c r="L9072" s="369"/>
      <c r="M9072" s="369"/>
      <c r="N9072" s="366"/>
      <c r="O9072" s="370"/>
      <c r="P9072" s="43"/>
    </row>
    <row r="9073" spans="1:16" ht="18" x14ac:dyDescent="0.35">
      <c r="A9073" s="43"/>
      <c r="B9073" s="59"/>
      <c r="C9073" s="60"/>
      <c r="D9073" s="59"/>
      <c r="E9073" s="59"/>
      <c r="F9073" s="59"/>
      <c r="G9073" s="59"/>
      <c r="H9073" s="59"/>
      <c r="I9073" s="371"/>
      <c r="J9073" s="365"/>
      <c r="K9073" s="369"/>
      <c r="L9073" s="369"/>
      <c r="M9073" s="369"/>
      <c r="N9073" s="366"/>
      <c r="O9073" s="370"/>
      <c r="P9073" s="43"/>
    </row>
    <row r="9074" spans="1:16" ht="18" x14ac:dyDescent="0.35">
      <c r="A9074" s="43"/>
      <c r="B9074" s="59"/>
      <c r="C9074" s="60"/>
      <c r="D9074" s="59"/>
      <c r="E9074" s="59"/>
      <c r="F9074" s="59"/>
      <c r="G9074" s="59"/>
      <c r="H9074" s="59"/>
      <c r="I9074" s="371"/>
      <c r="J9074" s="365"/>
      <c r="K9074" s="369"/>
      <c r="L9074" s="369"/>
      <c r="M9074" s="369"/>
      <c r="N9074" s="366"/>
      <c r="O9074" s="370"/>
      <c r="P9074" s="43"/>
    </row>
    <row r="9075" spans="1:16" ht="18" x14ac:dyDescent="0.35">
      <c r="A9075" s="43"/>
      <c r="B9075" s="59"/>
      <c r="C9075" s="60"/>
      <c r="D9075" s="59"/>
      <c r="E9075" s="59"/>
      <c r="F9075" s="59"/>
      <c r="G9075" s="59"/>
      <c r="H9075" s="59"/>
      <c r="I9075" s="371"/>
      <c r="J9075" s="365"/>
      <c r="K9075" s="369"/>
      <c r="L9075" s="369"/>
      <c r="M9075" s="369"/>
      <c r="N9075" s="366"/>
      <c r="O9075" s="370"/>
      <c r="P9075" s="43"/>
    </row>
    <row r="9076" spans="1:16" ht="18" x14ac:dyDescent="0.35">
      <c r="A9076" s="43"/>
      <c r="B9076" s="59"/>
      <c r="C9076" s="60"/>
      <c r="D9076" s="59"/>
      <c r="E9076" s="59"/>
      <c r="F9076" s="59"/>
      <c r="G9076" s="59"/>
      <c r="H9076" s="59"/>
      <c r="I9076" s="371"/>
      <c r="J9076" s="365"/>
      <c r="K9076" s="369"/>
      <c r="L9076" s="369"/>
      <c r="M9076" s="369"/>
      <c r="N9076" s="366"/>
      <c r="O9076" s="370"/>
      <c r="P9076" s="43"/>
    </row>
    <row r="9077" spans="1:16" ht="18" x14ac:dyDescent="0.35">
      <c r="A9077" s="43"/>
      <c r="B9077" s="59"/>
      <c r="C9077" s="60"/>
      <c r="D9077" s="59"/>
      <c r="E9077" s="59"/>
      <c r="F9077" s="59"/>
      <c r="G9077" s="59"/>
      <c r="H9077" s="59"/>
      <c r="I9077" s="371"/>
      <c r="J9077" s="365"/>
      <c r="K9077" s="369"/>
      <c r="L9077" s="369"/>
      <c r="M9077" s="369"/>
      <c r="N9077" s="366"/>
      <c r="O9077" s="370"/>
      <c r="P9077" s="43"/>
    </row>
    <row r="9078" spans="1:16" ht="18" x14ac:dyDescent="0.35">
      <c r="A9078" s="43"/>
      <c r="B9078" s="59"/>
      <c r="C9078" s="60"/>
      <c r="D9078" s="59"/>
      <c r="E9078" s="59"/>
      <c r="F9078" s="59"/>
      <c r="G9078" s="59"/>
      <c r="H9078" s="59"/>
      <c r="I9078" s="371"/>
      <c r="J9078" s="365"/>
      <c r="K9078" s="369"/>
      <c r="L9078" s="369"/>
      <c r="M9078" s="369"/>
      <c r="N9078" s="366"/>
      <c r="O9078" s="370"/>
      <c r="P9078" s="43"/>
    </row>
    <row r="9079" spans="1:16" ht="18" x14ac:dyDescent="0.35">
      <c r="A9079" s="43"/>
      <c r="B9079" s="59"/>
      <c r="C9079" s="60"/>
      <c r="D9079" s="59"/>
      <c r="E9079" s="59"/>
      <c r="F9079" s="59"/>
      <c r="G9079" s="59"/>
      <c r="H9079" s="59"/>
      <c r="I9079" s="371"/>
      <c r="J9079" s="365"/>
      <c r="K9079" s="369"/>
      <c r="L9079" s="369"/>
      <c r="M9079" s="369"/>
      <c r="N9079" s="366"/>
      <c r="O9079" s="370"/>
      <c r="P9079" s="43"/>
    </row>
    <row r="9080" spans="1:16" ht="18" x14ac:dyDescent="0.35">
      <c r="A9080" s="43"/>
      <c r="B9080" s="59"/>
      <c r="C9080" s="60"/>
      <c r="D9080" s="59"/>
      <c r="E9080" s="59"/>
      <c r="F9080" s="59"/>
      <c r="G9080" s="59"/>
      <c r="H9080" s="59"/>
      <c r="I9080" s="371"/>
      <c r="J9080" s="365"/>
      <c r="K9080" s="369"/>
      <c r="L9080" s="369"/>
      <c r="M9080" s="369"/>
      <c r="N9080" s="366"/>
      <c r="O9080" s="370"/>
      <c r="P9080" s="43"/>
    </row>
    <row r="9081" spans="1:16" ht="18" x14ac:dyDescent="0.35">
      <c r="A9081" s="43"/>
      <c r="B9081" s="59"/>
      <c r="C9081" s="60"/>
      <c r="D9081" s="59"/>
      <c r="E9081" s="59"/>
      <c r="F9081" s="59"/>
      <c r="G9081" s="59"/>
      <c r="H9081" s="59"/>
      <c r="I9081" s="371"/>
      <c r="J9081" s="365"/>
      <c r="K9081" s="369"/>
      <c r="L9081" s="369"/>
      <c r="M9081" s="369"/>
      <c r="N9081" s="366"/>
      <c r="O9081" s="370"/>
      <c r="P9081" s="43"/>
    </row>
    <row r="9082" spans="1:16" ht="18" x14ac:dyDescent="0.35">
      <c r="A9082" s="43"/>
      <c r="B9082" s="59"/>
      <c r="C9082" s="60"/>
      <c r="D9082" s="59"/>
      <c r="E9082" s="59"/>
      <c r="F9082" s="59"/>
      <c r="G9082" s="59"/>
      <c r="H9082" s="59"/>
      <c r="I9082" s="371"/>
      <c r="J9082" s="365"/>
      <c r="K9082" s="369"/>
      <c r="L9082" s="369"/>
      <c r="M9082" s="369"/>
      <c r="N9082" s="366"/>
      <c r="O9082" s="370"/>
      <c r="P9082" s="43"/>
    </row>
    <row r="9083" spans="1:16" ht="18" x14ac:dyDescent="0.35">
      <c r="A9083" s="43"/>
      <c r="B9083" s="59"/>
      <c r="C9083" s="60"/>
      <c r="D9083" s="59"/>
      <c r="E9083" s="59"/>
      <c r="F9083" s="59"/>
      <c r="G9083" s="59"/>
      <c r="H9083" s="59"/>
      <c r="I9083" s="371"/>
      <c r="J9083" s="365"/>
      <c r="K9083" s="369"/>
      <c r="L9083" s="369"/>
      <c r="M9083" s="369"/>
      <c r="N9083" s="366"/>
      <c r="O9083" s="370"/>
      <c r="P9083" s="43"/>
    </row>
    <row r="9084" spans="1:16" ht="18" x14ac:dyDescent="0.35">
      <c r="A9084" s="43"/>
      <c r="B9084" s="59"/>
      <c r="C9084" s="60"/>
      <c r="D9084" s="59"/>
      <c r="E9084" s="59"/>
      <c r="F9084" s="59"/>
      <c r="G9084" s="59"/>
      <c r="H9084" s="59"/>
      <c r="I9084" s="371"/>
      <c r="J9084" s="365"/>
      <c r="K9084" s="369"/>
      <c r="L9084" s="369"/>
      <c r="M9084" s="369"/>
      <c r="N9084" s="366"/>
      <c r="O9084" s="370"/>
      <c r="P9084" s="43"/>
    </row>
    <row r="9085" spans="1:16" ht="18" x14ac:dyDescent="0.35">
      <c r="A9085" s="43"/>
      <c r="B9085" s="59"/>
      <c r="C9085" s="60"/>
      <c r="D9085" s="59"/>
      <c r="E9085" s="59"/>
      <c r="F9085" s="59"/>
      <c r="G9085" s="59"/>
      <c r="H9085" s="59"/>
      <c r="I9085" s="371"/>
      <c r="J9085" s="365"/>
      <c r="K9085" s="369"/>
      <c r="L9085" s="369"/>
      <c r="M9085" s="369"/>
      <c r="N9085" s="366"/>
      <c r="O9085" s="370"/>
      <c r="P9085" s="43"/>
    </row>
    <row r="9086" spans="1:16" ht="18" x14ac:dyDescent="0.35">
      <c r="A9086" s="43"/>
      <c r="B9086" s="59"/>
      <c r="C9086" s="60"/>
      <c r="D9086" s="59"/>
      <c r="E9086" s="59"/>
      <c r="F9086" s="59"/>
      <c r="G9086" s="59"/>
      <c r="H9086" s="59"/>
      <c r="I9086" s="371"/>
      <c r="J9086" s="365"/>
      <c r="K9086" s="369"/>
      <c r="L9086" s="369"/>
      <c r="M9086" s="369"/>
      <c r="N9086" s="366"/>
      <c r="O9086" s="370"/>
      <c r="P9086" s="43"/>
    </row>
    <row r="9087" spans="1:16" ht="18" x14ac:dyDescent="0.35">
      <c r="A9087" s="43"/>
      <c r="B9087" s="59"/>
      <c r="C9087" s="60"/>
      <c r="D9087" s="59"/>
      <c r="E9087" s="59"/>
      <c r="F9087" s="59"/>
      <c r="G9087" s="59"/>
      <c r="H9087" s="59"/>
      <c r="I9087" s="371"/>
      <c r="J9087" s="365"/>
      <c r="K9087" s="369"/>
      <c r="L9087" s="369"/>
      <c r="M9087" s="369"/>
      <c r="N9087" s="366"/>
      <c r="O9087" s="370"/>
      <c r="P9087" s="43"/>
    </row>
    <row r="9088" spans="1:16" ht="18" x14ac:dyDescent="0.35">
      <c r="A9088" s="43"/>
      <c r="B9088" s="59"/>
      <c r="C9088" s="60"/>
      <c r="D9088" s="59"/>
      <c r="E9088" s="59"/>
      <c r="F9088" s="59"/>
      <c r="G9088" s="59"/>
      <c r="H9088" s="59"/>
      <c r="I9088" s="371"/>
      <c r="J9088" s="365"/>
      <c r="K9088" s="369"/>
      <c r="L9088" s="369"/>
      <c r="M9088" s="369"/>
      <c r="N9088" s="366"/>
      <c r="O9088" s="370"/>
      <c r="P9088" s="43"/>
    </row>
    <row r="9089" spans="1:16" ht="18" x14ac:dyDescent="0.35">
      <c r="A9089" s="43"/>
      <c r="B9089" s="59"/>
      <c r="C9089" s="60"/>
      <c r="D9089" s="59"/>
      <c r="E9089" s="59"/>
      <c r="F9089" s="59"/>
      <c r="G9089" s="59"/>
      <c r="H9089" s="59"/>
      <c r="I9089" s="371"/>
      <c r="J9089" s="365"/>
      <c r="K9089" s="369"/>
      <c r="L9089" s="369"/>
      <c r="M9089" s="369"/>
      <c r="N9089" s="366"/>
      <c r="O9089" s="370"/>
      <c r="P9089" s="43"/>
    </row>
    <row r="9090" spans="1:16" ht="18" x14ac:dyDescent="0.35">
      <c r="A9090" s="43"/>
      <c r="B9090" s="59"/>
      <c r="C9090" s="60"/>
      <c r="D9090" s="59"/>
      <c r="E9090" s="59"/>
      <c r="F9090" s="59"/>
      <c r="G9090" s="59"/>
      <c r="H9090" s="59"/>
      <c r="I9090" s="371"/>
      <c r="J9090" s="365"/>
      <c r="K9090" s="369"/>
      <c r="L9090" s="369"/>
      <c r="M9090" s="369"/>
      <c r="N9090" s="366"/>
      <c r="O9090" s="370"/>
      <c r="P9090" s="43"/>
    </row>
    <row r="9091" spans="1:16" ht="18" x14ac:dyDescent="0.35">
      <c r="A9091" s="43"/>
      <c r="B9091" s="59"/>
      <c r="C9091" s="60"/>
      <c r="D9091" s="59"/>
      <c r="E9091" s="59"/>
      <c r="F9091" s="59"/>
      <c r="G9091" s="59"/>
      <c r="H9091" s="59"/>
      <c r="I9091" s="371"/>
      <c r="J9091" s="365"/>
      <c r="K9091" s="369"/>
      <c r="L9091" s="369"/>
      <c r="M9091" s="369"/>
      <c r="N9091" s="366"/>
      <c r="O9091" s="370"/>
      <c r="P9091" s="43"/>
    </row>
    <row r="9092" spans="1:16" ht="18" x14ac:dyDescent="0.35">
      <c r="A9092" s="43"/>
      <c r="B9092" s="59"/>
      <c r="C9092" s="60"/>
      <c r="D9092" s="59"/>
      <c r="E9092" s="59"/>
      <c r="F9092" s="59"/>
      <c r="G9092" s="59"/>
      <c r="H9092" s="59"/>
      <c r="I9092" s="371"/>
      <c r="J9092" s="365"/>
      <c r="K9092" s="369"/>
      <c r="L9092" s="369"/>
      <c r="M9092" s="369"/>
      <c r="N9092" s="366"/>
      <c r="O9092" s="370"/>
      <c r="P9092" s="43"/>
    </row>
    <row r="9093" spans="1:16" ht="18" x14ac:dyDescent="0.35">
      <c r="A9093" s="43"/>
      <c r="B9093" s="59"/>
      <c r="C9093" s="60"/>
      <c r="D9093" s="59"/>
      <c r="E9093" s="59"/>
      <c r="F9093" s="59"/>
      <c r="G9093" s="59"/>
      <c r="H9093" s="59"/>
      <c r="I9093" s="371"/>
      <c r="J9093" s="365"/>
      <c r="K9093" s="369"/>
      <c r="L9093" s="369"/>
      <c r="M9093" s="369"/>
      <c r="N9093" s="366"/>
      <c r="O9093" s="370"/>
      <c r="P9093" s="43"/>
    </row>
    <row r="9094" spans="1:16" ht="18" x14ac:dyDescent="0.35">
      <c r="A9094" s="43"/>
      <c r="B9094" s="59"/>
      <c r="C9094" s="60"/>
      <c r="D9094" s="59"/>
      <c r="E9094" s="59"/>
      <c r="F9094" s="59"/>
      <c r="G9094" s="59"/>
      <c r="H9094" s="59"/>
      <c r="I9094" s="371"/>
      <c r="J9094" s="365"/>
      <c r="K9094" s="369"/>
      <c r="L9094" s="369"/>
      <c r="M9094" s="369"/>
      <c r="N9094" s="366"/>
      <c r="O9094" s="370"/>
      <c r="P9094" s="43"/>
    </row>
    <row r="9095" spans="1:16" ht="18" x14ac:dyDescent="0.35">
      <c r="A9095" s="43"/>
      <c r="B9095" s="59"/>
      <c r="C9095" s="60"/>
      <c r="D9095" s="59"/>
      <c r="E9095" s="59"/>
      <c r="F9095" s="59"/>
      <c r="G9095" s="59"/>
      <c r="H9095" s="59"/>
      <c r="I9095" s="371"/>
      <c r="J9095" s="365"/>
      <c r="K9095" s="369"/>
      <c r="L9095" s="369"/>
      <c r="M9095" s="369"/>
      <c r="N9095" s="366"/>
      <c r="O9095" s="370"/>
      <c r="P9095" s="43"/>
    </row>
    <row r="9096" spans="1:16" ht="18" x14ac:dyDescent="0.35">
      <c r="A9096" s="43"/>
      <c r="B9096" s="59"/>
      <c r="C9096" s="60"/>
      <c r="D9096" s="59"/>
      <c r="E9096" s="59"/>
      <c r="F9096" s="59"/>
      <c r="G9096" s="59"/>
      <c r="H9096" s="59"/>
      <c r="I9096" s="371"/>
      <c r="J9096" s="365"/>
      <c r="K9096" s="369"/>
      <c r="L9096" s="369"/>
      <c r="M9096" s="369"/>
      <c r="N9096" s="366"/>
      <c r="O9096" s="370"/>
      <c r="P9096" s="43"/>
    </row>
    <row r="9097" spans="1:16" ht="18" x14ac:dyDescent="0.35">
      <c r="A9097" s="43"/>
      <c r="B9097" s="59"/>
      <c r="C9097" s="60"/>
      <c r="D9097" s="59"/>
      <c r="E9097" s="59"/>
      <c r="F9097" s="59"/>
      <c r="G9097" s="59"/>
      <c r="H9097" s="59"/>
      <c r="I9097" s="371"/>
      <c r="J9097" s="365"/>
      <c r="K9097" s="369"/>
      <c r="L9097" s="369"/>
      <c r="M9097" s="369"/>
      <c r="N9097" s="366"/>
      <c r="O9097" s="370"/>
      <c r="P9097" s="43"/>
    </row>
    <row r="9098" spans="1:16" ht="18" x14ac:dyDescent="0.35">
      <c r="A9098" s="43"/>
      <c r="B9098" s="59"/>
      <c r="C9098" s="60"/>
      <c r="D9098" s="59"/>
      <c r="E9098" s="59"/>
      <c r="F9098" s="59"/>
      <c r="G9098" s="59"/>
      <c r="H9098" s="59"/>
      <c r="I9098" s="371"/>
      <c r="J9098" s="365"/>
      <c r="K9098" s="369"/>
      <c r="L9098" s="369"/>
      <c r="M9098" s="369"/>
      <c r="N9098" s="366"/>
      <c r="O9098" s="370"/>
      <c r="P9098" s="43"/>
    </row>
    <row r="9099" spans="1:16" ht="18" x14ac:dyDescent="0.35">
      <c r="A9099" s="43"/>
      <c r="B9099" s="59"/>
      <c r="C9099" s="60"/>
      <c r="D9099" s="59"/>
      <c r="E9099" s="59"/>
      <c r="F9099" s="59"/>
      <c r="G9099" s="59"/>
      <c r="H9099" s="59"/>
      <c r="I9099" s="371"/>
      <c r="J9099" s="365"/>
      <c r="K9099" s="369"/>
      <c r="L9099" s="369"/>
      <c r="M9099" s="369"/>
      <c r="N9099" s="366"/>
      <c r="O9099" s="370"/>
      <c r="P9099" s="43"/>
    </row>
    <row r="9100" spans="1:16" ht="18" x14ac:dyDescent="0.35">
      <c r="A9100" s="43"/>
      <c r="B9100" s="59"/>
      <c r="C9100" s="60"/>
      <c r="D9100" s="59"/>
      <c r="E9100" s="59"/>
      <c r="F9100" s="59"/>
      <c r="G9100" s="59"/>
      <c r="H9100" s="59"/>
      <c r="I9100" s="371"/>
      <c r="J9100" s="365"/>
      <c r="K9100" s="369"/>
      <c r="L9100" s="369"/>
      <c r="M9100" s="369"/>
      <c r="N9100" s="366"/>
      <c r="O9100" s="370"/>
      <c r="P9100" s="43"/>
    </row>
    <row r="9101" spans="1:16" ht="18" x14ac:dyDescent="0.35">
      <c r="A9101" s="43"/>
      <c r="B9101" s="59"/>
      <c r="C9101" s="60"/>
      <c r="D9101" s="59"/>
      <c r="E9101" s="59"/>
      <c r="F9101" s="59"/>
      <c r="G9101" s="59"/>
      <c r="H9101" s="59"/>
      <c r="I9101" s="371"/>
      <c r="J9101" s="365"/>
      <c r="K9101" s="369"/>
      <c r="L9101" s="369"/>
      <c r="M9101" s="369"/>
      <c r="N9101" s="366"/>
      <c r="O9101" s="370"/>
      <c r="P9101" s="43"/>
    </row>
    <row r="9102" spans="1:16" ht="18" x14ac:dyDescent="0.35">
      <c r="A9102" s="43"/>
      <c r="B9102" s="59"/>
      <c r="C9102" s="60"/>
      <c r="D9102" s="59"/>
      <c r="E9102" s="59"/>
      <c r="F9102" s="59"/>
      <c r="G9102" s="59"/>
      <c r="H9102" s="59"/>
      <c r="I9102" s="371"/>
      <c r="J9102" s="365"/>
      <c r="K9102" s="369"/>
      <c r="L9102" s="369"/>
      <c r="M9102" s="369"/>
      <c r="N9102" s="366"/>
      <c r="O9102" s="370"/>
      <c r="P9102" s="43"/>
    </row>
    <row r="9103" spans="1:16" ht="18" x14ac:dyDescent="0.35">
      <c r="A9103" s="43"/>
      <c r="B9103" s="59"/>
      <c r="C9103" s="60"/>
      <c r="D9103" s="59"/>
      <c r="E9103" s="59"/>
      <c r="F9103" s="59"/>
      <c r="G9103" s="59"/>
      <c r="H9103" s="59"/>
      <c r="I9103" s="371"/>
      <c r="J9103" s="365"/>
      <c r="K9103" s="369"/>
      <c r="L9103" s="369"/>
      <c r="M9103" s="369"/>
      <c r="N9103" s="366"/>
      <c r="O9103" s="370"/>
      <c r="P9103" s="43"/>
    </row>
    <row r="9104" spans="1:16" ht="18" x14ac:dyDescent="0.35">
      <c r="A9104" s="43"/>
      <c r="B9104" s="59"/>
      <c r="C9104" s="60"/>
      <c r="D9104" s="59"/>
      <c r="E9104" s="59"/>
      <c r="F9104" s="59"/>
      <c r="G9104" s="59"/>
      <c r="H9104" s="59"/>
      <c r="I9104" s="371"/>
      <c r="J9104" s="365"/>
      <c r="K9104" s="369"/>
      <c r="L9104" s="369"/>
      <c r="M9104" s="369"/>
      <c r="N9104" s="366"/>
      <c r="O9104" s="370"/>
      <c r="P9104" s="43"/>
    </row>
    <row r="9105" spans="1:16" ht="18" x14ac:dyDescent="0.35">
      <c r="A9105" s="43"/>
      <c r="B9105" s="59"/>
      <c r="C9105" s="60"/>
      <c r="D9105" s="59"/>
      <c r="E9105" s="59"/>
      <c r="F9105" s="59"/>
      <c r="G9105" s="59"/>
      <c r="H9105" s="59"/>
      <c r="I9105" s="371"/>
      <c r="J9105" s="365"/>
      <c r="K9105" s="369"/>
      <c r="L9105" s="369"/>
      <c r="M9105" s="369"/>
      <c r="N9105" s="366"/>
      <c r="O9105" s="370"/>
      <c r="P9105" s="43"/>
    </row>
    <row r="9106" spans="1:16" ht="18" x14ac:dyDescent="0.35">
      <c r="A9106" s="43"/>
      <c r="B9106" s="59"/>
      <c r="C9106" s="60"/>
      <c r="D9106" s="59"/>
      <c r="E9106" s="59"/>
      <c r="F9106" s="59"/>
      <c r="G9106" s="59"/>
      <c r="H9106" s="59"/>
      <c r="I9106" s="371"/>
      <c r="J9106" s="365"/>
      <c r="K9106" s="369"/>
      <c r="L9106" s="369"/>
      <c r="M9106" s="369"/>
      <c r="N9106" s="366"/>
      <c r="O9106" s="370"/>
      <c r="P9106" s="43"/>
    </row>
    <row r="9107" spans="1:16" ht="18" x14ac:dyDescent="0.35">
      <c r="A9107" s="43"/>
      <c r="B9107" s="59"/>
      <c r="C9107" s="60"/>
      <c r="D9107" s="59"/>
      <c r="E9107" s="59"/>
      <c r="F9107" s="59"/>
      <c r="G9107" s="59"/>
      <c r="H9107" s="59"/>
      <c r="I9107" s="371"/>
      <c r="J9107" s="365"/>
      <c r="K9107" s="369"/>
      <c r="L9107" s="369"/>
      <c r="M9107" s="369"/>
      <c r="N9107" s="366"/>
      <c r="O9107" s="370"/>
      <c r="P9107" s="43"/>
    </row>
    <row r="9108" spans="1:16" ht="18" x14ac:dyDescent="0.35">
      <c r="A9108" s="43"/>
      <c r="B9108" s="59"/>
      <c r="C9108" s="60"/>
      <c r="D9108" s="59"/>
      <c r="E9108" s="59"/>
      <c r="F9108" s="59"/>
      <c r="G9108" s="59"/>
      <c r="H9108" s="59"/>
      <c r="I9108" s="371"/>
      <c r="J9108" s="365"/>
      <c r="K9108" s="369"/>
      <c r="L9108" s="369"/>
      <c r="M9108" s="369"/>
      <c r="N9108" s="366"/>
      <c r="O9108" s="370"/>
      <c r="P9108" s="43"/>
    </row>
    <row r="9109" spans="1:16" ht="18" x14ac:dyDescent="0.35">
      <c r="A9109" s="43"/>
      <c r="B9109" s="59"/>
      <c r="C9109" s="60"/>
      <c r="D9109" s="59"/>
      <c r="E9109" s="59"/>
      <c r="F9109" s="59"/>
      <c r="G9109" s="59"/>
      <c r="H9109" s="59"/>
      <c r="I9109" s="371"/>
      <c r="J9109" s="365"/>
      <c r="K9109" s="369"/>
      <c r="L9109" s="369"/>
      <c r="M9109" s="369"/>
      <c r="N9109" s="366"/>
      <c r="O9109" s="370"/>
      <c r="P9109" s="43"/>
    </row>
    <row r="9110" spans="1:16" ht="18" x14ac:dyDescent="0.35">
      <c r="A9110" s="43"/>
      <c r="B9110" s="59"/>
      <c r="C9110" s="60"/>
      <c r="D9110" s="59"/>
      <c r="E9110" s="59"/>
      <c r="F9110" s="59"/>
      <c r="G9110" s="59"/>
      <c r="H9110" s="59"/>
      <c r="I9110" s="371"/>
      <c r="J9110" s="365"/>
      <c r="K9110" s="369"/>
      <c r="L9110" s="369"/>
      <c r="M9110" s="369"/>
      <c r="N9110" s="366"/>
      <c r="O9110" s="370"/>
      <c r="P9110" s="43"/>
    </row>
    <row r="9111" spans="1:16" ht="18" x14ac:dyDescent="0.35">
      <c r="A9111" s="43"/>
      <c r="B9111" s="59"/>
      <c r="C9111" s="60"/>
      <c r="D9111" s="59"/>
      <c r="E9111" s="59"/>
      <c r="F9111" s="59"/>
      <c r="G9111" s="59"/>
      <c r="H9111" s="59"/>
      <c r="I9111" s="371"/>
      <c r="J9111" s="365"/>
      <c r="K9111" s="369"/>
      <c r="L9111" s="369"/>
      <c r="M9111" s="369"/>
      <c r="N9111" s="366"/>
      <c r="O9111" s="370"/>
      <c r="P9111" s="43"/>
    </row>
    <row r="9112" spans="1:16" ht="18" x14ac:dyDescent="0.35">
      <c r="A9112" s="43"/>
      <c r="B9112" s="59"/>
      <c r="C9112" s="60"/>
      <c r="D9112" s="59"/>
      <c r="E9112" s="59"/>
      <c r="F9112" s="59"/>
      <c r="G9112" s="59"/>
      <c r="H9112" s="59"/>
      <c r="I9112" s="371"/>
      <c r="J9112" s="365"/>
      <c r="K9112" s="369"/>
      <c r="L9112" s="369"/>
      <c r="M9112" s="369"/>
      <c r="N9112" s="366"/>
      <c r="O9112" s="370"/>
      <c r="P9112" s="43"/>
    </row>
    <row r="9113" spans="1:16" ht="18" x14ac:dyDescent="0.35">
      <c r="A9113" s="43"/>
      <c r="B9113" s="59"/>
      <c r="C9113" s="60"/>
      <c r="D9113" s="59"/>
      <c r="E9113" s="59"/>
      <c r="F9113" s="59"/>
      <c r="G9113" s="59"/>
      <c r="H9113" s="59"/>
      <c r="I9113" s="371"/>
      <c r="J9113" s="365"/>
      <c r="K9113" s="369"/>
      <c r="L9113" s="369"/>
      <c r="M9113" s="369"/>
      <c r="N9113" s="366"/>
      <c r="O9113" s="370"/>
      <c r="P9113" s="43"/>
    </row>
    <row r="9114" spans="1:16" ht="18" x14ac:dyDescent="0.35">
      <c r="A9114" s="43"/>
      <c r="B9114" s="59"/>
      <c r="C9114" s="60"/>
      <c r="D9114" s="59"/>
      <c r="E9114" s="59"/>
      <c r="F9114" s="59"/>
      <c r="G9114" s="59"/>
      <c r="H9114" s="59"/>
      <c r="I9114" s="371"/>
      <c r="J9114" s="365"/>
      <c r="K9114" s="369"/>
      <c r="L9114" s="369"/>
      <c r="M9114" s="369"/>
      <c r="N9114" s="366"/>
      <c r="O9114" s="370"/>
      <c r="P9114" s="43"/>
    </row>
    <row r="9115" spans="1:16" ht="18" x14ac:dyDescent="0.35">
      <c r="A9115" s="43"/>
      <c r="B9115" s="59"/>
      <c r="C9115" s="60"/>
      <c r="D9115" s="59"/>
      <c r="E9115" s="59"/>
      <c r="F9115" s="59"/>
      <c r="G9115" s="59"/>
      <c r="H9115" s="59"/>
      <c r="I9115" s="371"/>
      <c r="J9115" s="365"/>
      <c r="K9115" s="369"/>
      <c r="L9115" s="369"/>
      <c r="M9115" s="369"/>
      <c r="N9115" s="366"/>
      <c r="O9115" s="370"/>
      <c r="P9115" s="43"/>
    </row>
    <row r="9116" spans="1:16" ht="18" x14ac:dyDescent="0.35">
      <c r="A9116" s="43"/>
      <c r="B9116" s="59"/>
      <c r="C9116" s="60"/>
      <c r="D9116" s="59"/>
      <c r="E9116" s="59"/>
      <c r="F9116" s="59"/>
      <c r="G9116" s="59"/>
      <c r="H9116" s="59"/>
      <c r="I9116" s="371"/>
      <c r="J9116" s="365"/>
      <c r="K9116" s="369"/>
      <c r="L9116" s="369"/>
      <c r="M9116" s="369"/>
      <c r="N9116" s="366"/>
      <c r="O9116" s="370"/>
      <c r="P9116" s="43"/>
    </row>
    <row r="9117" spans="1:16" ht="18" x14ac:dyDescent="0.35">
      <c r="A9117" s="43"/>
      <c r="B9117" s="59"/>
      <c r="C9117" s="60"/>
      <c r="D9117" s="59"/>
      <c r="E9117" s="59"/>
      <c r="F9117" s="59"/>
      <c r="G9117" s="59"/>
      <c r="H9117" s="59"/>
      <c r="I9117" s="371"/>
      <c r="J9117" s="365"/>
      <c r="K9117" s="369"/>
      <c r="L9117" s="369"/>
      <c r="M9117" s="369"/>
      <c r="N9117" s="366"/>
      <c r="O9117" s="370"/>
      <c r="P9117" s="43"/>
    </row>
    <row r="9118" spans="1:16" ht="18" x14ac:dyDescent="0.35">
      <c r="A9118" s="43"/>
      <c r="B9118" s="59"/>
      <c r="C9118" s="60"/>
      <c r="D9118" s="59"/>
      <c r="E9118" s="59"/>
      <c r="F9118" s="59"/>
      <c r="G9118" s="59"/>
      <c r="H9118" s="59"/>
      <c r="I9118" s="371"/>
      <c r="J9118" s="365"/>
      <c r="K9118" s="369"/>
      <c r="L9118" s="369"/>
      <c r="M9118" s="369"/>
      <c r="N9118" s="366"/>
      <c r="O9118" s="370"/>
      <c r="P9118" s="43"/>
    </row>
    <row r="9119" spans="1:16" ht="18" x14ac:dyDescent="0.35">
      <c r="A9119" s="43"/>
      <c r="B9119" s="59"/>
      <c r="C9119" s="60"/>
      <c r="D9119" s="59"/>
      <c r="E9119" s="59"/>
      <c r="F9119" s="59"/>
      <c r="G9119" s="59"/>
      <c r="H9119" s="59"/>
      <c r="I9119" s="371"/>
      <c r="J9119" s="365"/>
      <c r="K9119" s="369"/>
      <c r="L9119" s="369"/>
      <c r="M9119" s="369"/>
      <c r="N9119" s="366"/>
      <c r="O9119" s="370"/>
      <c r="P9119" s="43"/>
    </row>
    <row r="9120" spans="1:16" ht="18" x14ac:dyDescent="0.35">
      <c r="A9120" s="43"/>
      <c r="B9120" s="59"/>
      <c r="C9120" s="60"/>
      <c r="D9120" s="59"/>
      <c r="E9120" s="59"/>
      <c r="F9120" s="59"/>
      <c r="G9120" s="59"/>
      <c r="H9120" s="59"/>
      <c r="I9120" s="371"/>
      <c r="J9120" s="365"/>
      <c r="K9120" s="369"/>
      <c r="L9120" s="369"/>
      <c r="M9120" s="369"/>
      <c r="N9120" s="366"/>
      <c r="O9120" s="370"/>
      <c r="P9120" s="43"/>
    </row>
    <row r="9121" spans="1:16" ht="18" x14ac:dyDescent="0.35">
      <c r="A9121" s="43"/>
      <c r="B9121" s="59"/>
      <c r="C9121" s="60"/>
      <c r="D9121" s="59"/>
      <c r="E9121" s="59"/>
      <c r="F9121" s="59"/>
      <c r="G9121" s="59"/>
      <c r="H9121" s="59"/>
      <c r="I9121" s="371"/>
      <c r="J9121" s="365"/>
      <c r="K9121" s="369"/>
      <c r="L9121" s="369"/>
      <c r="M9121" s="369"/>
      <c r="N9121" s="366"/>
      <c r="O9121" s="370"/>
      <c r="P9121" s="43"/>
    </row>
    <row r="9122" spans="1:16" ht="18" x14ac:dyDescent="0.35">
      <c r="A9122" s="43"/>
      <c r="B9122" s="59"/>
      <c r="C9122" s="60"/>
      <c r="D9122" s="59"/>
      <c r="E9122" s="59"/>
      <c r="F9122" s="59"/>
      <c r="G9122" s="59"/>
      <c r="H9122" s="59"/>
      <c r="I9122" s="371"/>
      <c r="J9122" s="365"/>
      <c r="K9122" s="369"/>
      <c r="L9122" s="369"/>
      <c r="M9122" s="369"/>
      <c r="N9122" s="366"/>
      <c r="O9122" s="370"/>
      <c r="P9122" s="43"/>
    </row>
    <row r="9123" spans="1:16" ht="18" x14ac:dyDescent="0.35">
      <c r="A9123" s="43"/>
      <c r="B9123" s="59"/>
      <c r="C9123" s="60"/>
      <c r="D9123" s="59"/>
      <c r="E9123" s="59"/>
      <c r="F9123" s="59"/>
      <c r="G9123" s="59"/>
      <c r="H9123" s="59"/>
      <c r="I9123" s="371"/>
      <c r="J9123" s="365"/>
      <c r="K9123" s="369"/>
      <c r="L9123" s="369"/>
      <c r="M9123" s="369"/>
      <c r="N9123" s="366"/>
      <c r="O9123" s="370"/>
      <c r="P9123" s="43"/>
    </row>
    <row r="9124" spans="1:16" ht="18" x14ac:dyDescent="0.35">
      <c r="A9124" s="43"/>
      <c r="B9124" s="59"/>
      <c r="C9124" s="60"/>
      <c r="D9124" s="59"/>
      <c r="E9124" s="59"/>
      <c r="F9124" s="59"/>
      <c r="G9124" s="59"/>
      <c r="H9124" s="59"/>
      <c r="I9124" s="371"/>
      <c r="J9124" s="365"/>
      <c r="K9124" s="369"/>
      <c r="L9124" s="369"/>
      <c r="M9124" s="369"/>
      <c r="N9124" s="366"/>
      <c r="O9124" s="370"/>
      <c r="P9124" s="43"/>
    </row>
    <row r="9125" spans="1:16" ht="18" x14ac:dyDescent="0.35">
      <c r="A9125" s="43"/>
      <c r="B9125" s="59"/>
      <c r="C9125" s="60"/>
      <c r="D9125" s="59"/>
      <c r="E9125" s="59"/>
      <c r="F9125" s="59"/>
      <c r="G9125" s="59"/>
      <c r="H9125" s="59"/>
      <c r="I9125" s="371"/>
      <c r="J9125" s="365"/>
      <c r="K9125" s="369"/>
      <c r="L9125" s="369"/>
      <c r="M9125" s="369"/>
      <c r="N9125" s="366"/>
      <c r="O9125" s="370"/>
      <c r="P9125" s="43"/>
    </row>
    <row r="9126" spans="1:16" ht="18" x14ac:dyDescent="0.35">
      <c r="A9126" s="43"/>
      <c r="B9126" s="59"/>
      <c r="C9126" s="60"/>
      <c r="D9126" s="59"/>
      <c r="E9126" s="59"/>
      <c r="F9126" s="59"/>
      <c r="G9126" s="59"/>
      <c r="H9126" s="59"/>
      <c r="I9126" s="371"/>
      <c r="J9126" s="365"/>
      <c r="K9126" s="369"/>
      <c r="L9126" s="369"/>
      <c r="M9126" s="369"/>
      <c r="N9126" s="366"/>
      <c r="O9126" s="370"/>
      <c r="P9126" s="43"/>
    </row>
    <row r="9127" spans="1:16" ht="18" x14ac:dyDescent="0.35">
      <c r="A9127" s="43"/>
      <c r="B9127" s="59"/>
      <c r="C9127" s="60"/>
      <c r="D9127" s="59"/>
      <c r="E9127" s="59"/>
      <c r="F9127" s="59"/>
      <c r="G9127" s="59"/>
      <c r="H9127" s="59"/>
      <c r="I9127" s="371"/>
      <c r="J9127" s="365"/>
      <c r="K9127" s="369"/>
      <c r="L9127" s="369"/>
      <c r="M9127" s="369"/>
      <c r="N9127" s="366"/>
      <c r="O9127" s="370"/>
      <c r="P9127" s="43"/>
    </row>
    <row r="9128" spans="1:16" ht="18" x14ac:dyDescent="0.35">
      <c r="A9128" s="43"/>
      <c r="B9128" s="59"/>
      <c r="C9128" s="60"/>
      <c r="D9128" s="59"/>
      <c r="E9128" s="59"/>
      <c r="F9128" s="59"/>
      <c r="G9128" s="59"/>
      <c r="H9128" s="59"/>
      <c r="I9128" s="371"/>
      <c r="J9128" s="365"/>
      <c r="K9128" s="369"/>
      <c r="L9128" s="369"/>
      <c r="M9128" s="369"/>
      <c r="N9128" s="366"/>
      <c r="O9128" s="370"/>
      <c r="P9128" s="43"/>
    </row>
    <row r="9129" spans="1:16" ht="18" x14ac:dyDescent="0.35">
      <c r="A9129" s="43"/>
      <c r="B9129" s="59"/>
      <c r="C9129" s="60"/>
      <c r="D9129" s="59"/>
      <c r="E9129" s="59"/>
      <c r="F9129" s="59"/>
      <c r="G9129" s="59"/>
      <c r="H9129" s="59"/>
      <c r="I9129" s="371"/>
      <c r="J9129" s="365"/>
      <c r="K9129" s="369"/>
      <c r="L9129" s="369"/>
      <c r="M9129" s="369"/>
      <c r="N9129" s="366"/>
      <c r="O9129" s="370"/>
      <c r="P9129" s="43"/>
    </row>
    <row r="9130" spans="1:16" ht="18" x14ac:dyDescent="0.35">
      <c r="A9130" s="43"/>
      <c r="B9130" s="59"/>
      <c r="C9130" s="60"/>
      <c r="D9130" s="59"/>
      <c r="E9130" s="59"/>
      <c r="F9130" s="59"/>
      <c r="G9130" s="59"/>
      <c r="H9130" s="59"/>
      <c r="I9130" s="371"/>
      <c r="J9130" s="365"/>
      <c r="K9130" s="369"/>
      <c r="L9130" s="369"/>
      <c r="M9130" s="369"/>
      <c r="N9130" s="366"/>
      <c r="O9130" s="370"/>
      <c r="P9130" s="43"/>
    </row>
    <row r="9131" spans="1:16" ht="18" x14ac:dyDescent="0.35">
      <c r="A9131" s="43"/>
      <c r="B9131" s="59"/>
      <c r="C9131" s="60"/>
      <c r="D9131" s="59"/>
      <c r="E9131" s="59"/>
      <c r="F9131" s="59"/>
      <c r="G9131" s="59"/>
      <c r="H9131" s="59"/>
      <c r="I9131" s="371"/>
      <c r="J9131" s="365"/>
      <c r="K9131" s="369"/>
      <c r="L9131" s="369"/>
      <c r="M9131" s="369"/>
      <c r="N9131" s="366"/>
      <c r="O9131" s="370"/>
      <c r="P9131" s="43"/>
    </row>
    <row r="9132" spans="1:16" ht="18" x14ac:dyDescent="0.35">
      <c r="A9132" s="43"/>
      <c r="B9132" s="59"/>
      <c r="C9132" s="60"/>
      <c r="D9132" s="59"/>
      <c r="E9132" s="59"/>
      <c r="F9132" s="59"/>
      <c r="G9132" s="59"/>
      <c r="H9132" s="59"/>
      <c r="I9132" s="371"/>
      <c r="J9132" s="365"/>
      <c r="K9132" s="369"/>
      <c r="L9132" s="369"/>
      <c r="M9132" s="369"/>
      <c r="N9132" s="366"/>
      <c r="O9132" s="370"/>
      <c r="P9132" s="43"/>
    </row>
    <row r="9133" spans="1:16" ht="18" x14ac:dyDescent="0.35">
      <c r="A9133" s="43"/>
      <c r="B9133" s="59"/>
      <c r="C9133" s="60"/>
      <c r="D9133" s="59"/>
      <c r="E9133" s="59"/>
      <c r="F9133" s="59"/>
      <c r="G9133" s="59"/>
      <c r="H9133" s="59"/>
      <c r="I9133" s="371"/>
      <c r="J9133" s="365"/>
      <c r="K9133" s="369"/>
      <c r="L9133" s="369"/>
      <c r="M9133" s="369"/>
      <c r="N9133" s="366"/>
      <c r="O9133" s="370"/>
      <c r="P9133" s="43"/>
    </row>
    <row r="9134" spans="1:16" ht="18" x14ac:dyDescent="0.35">
      <c r="A9134" s="43"/>
      <c r="B9134" s="59"/>
      <c r="C9134" s="60"/>
      <c r="D9134" s="59"/>
      <c r="E9134" s="59"/>
      <c r="F9134" s="59"/>
      <c r="G9134" s="59"/>
      <c r="H9134" s="59"/>
      <c r="I9134" s="371"/>
      <c r="J9134" s="365"/>
      <c r="K9134" s="369"/>
      <c r="L9134" s="369"/>
      <c r="M9134" s="369"/>
      <c r="N9134" s="366"/>
      <c r="O9134" s="370"/>
      <c r="P9134" s="43"/>
    </row>
    <row r="9135" spans="1:16" ht="18" x14ac:dyDescent="0.35">
      <c r="A9135" s="43"/>
      <c r="B9135" s="59"/>
      <c r="C9135" s="60"/>
      <c r="D9135" s="59"/>
      <c r="E9135" s="59"/>
      <c r="F9135" s="59"/>
      <c r="G9135" s="59"/>
      <c r="H9135" s="59"/>
      <c r="I9135" s="371"/>
      <c r="J9135" s="365"/>
      <c r="K9135" s="369"/>
      <c r="L9135" s="369"/>
      <c r="M9135" s="369"/>
      <c r="N9135" s="366"/>
      <c r="O9135" s="370"/>
      <c r="P9135" s="43"/>
    </row>
    <row r="9136" spans="1:16" ht="18" x14ac:dyDescent="0.35">
      <c r="A9136" s="43"/>
      <c r="B9136" s="59"/>
      <c r="C9136" s="60"/>
      <c r="D9136" s="59"/>
      <c r="E9136" s="59"/>
      <c r="F9136" s="59"/>
      <c r="G9136" s="59"/>
      <c r="H9136" s="59"/>
      <c r="I9136" s="371"/>
      <c r="J9136" s="365"/>
      <c r="K9136" s="369"/>
      <c r="L9136" s="369"/>
      <c r="M9136" s="369"/>
      <c r="N9136" s="366"/>
      <c r="O9136" s="370"/>
      <c r="P9136" s="43"/>
    </row>
    <row r="9137" spans="1:16" ht="18" x14ac:dyDescent="0.35">
      <c r="A9137" s="43"/>
      <c r="B9137" s="59"/>
      <c r="C9137" s="60"/>
      <c r="D9137" s="59"/>
      <c r="E9137" s="59"/>
      <c r="F9137" s="59"/>
      <c r="G9137" s="59"/>
      <c r="H9137" s="59"/>
      <c r="I9137" s="371"/>
      <c r="J9137" s="365"/>
      <c r="K9137" s="369"/>
      <c r="L9137" s="369"/>
      <c r="M9137" s="369"/>
      <c r="N9137" s="366"/>
      <c r="O9137" s="370"/>
      <c r="P9137" s="43"/>
    </row>
    <row r="9138" spans="1:16" ht="18" x14ac:dyDescent="0.35">
      <c r="A9138" s="43"/>
      <c r="B9138" s="59"/>
      <c r="C9138" s="60"/>
      <c r="D9138" s="59"/>
      <c r="E9138" s="59"/>
      <c r="F9138" s="59"/>
      <c r="G9138" s="59"/>
      <c r="H9138" s="59"/>
      <c r="I9138" s="371"/>
      <c r="J9138" s="365"/>
      <c r="K9138" s="369"/>
      <c r="L9138" s="369"/>
      <c r="M9138" s="369"/>
      <c r="N9138" s="366"/>
      <c r="O9138" s="370"/>
      <c r="P9138" s="43"/>
    </row>
    <row r="9139" spans="1:16" ht="18" x14ac:dyDescent="0.35">
      <c r="A9139" s="43"/>
      <c r="B9139" s="59"/>
      <c r="C9139" s="60"/>
      <c r="D9139" s="59"/>
      <c r="E9139" s="59"/>
      <c r="F9139" s="59"/>
      <c r="G9139" s="59"/>
      <c r="H9139" s="59"/>
      <c r="I9139" s="371"/>
      <c r="J9139" s="365"/>
      <c r="K9139" s="369"/>
      <c r="L9139" s="369"/>
      <c r="M9139" s="369"/>
      <c r="N9139" s="366"/>
      <c r="O9139" s="370"/>
      <c r="P9139" s="43"/>
    </row>
    <row r="9140" spans="1:16" ht="18" x14ac:dyDescent="0.35">
      <c r="A9140" s="43"/>
      <c r="B9140" s="59"/>
      <c r="C9140" s="60"/>
      <c r="D9140" s="59"/>
      <c r="E9140" s="59"/>
      <c r="F9140" s="59"/>
      <c r="G9140" s="59"/>
      <c r="H9140" s="59"/>
      <c r="I9140" s="371"/>
      <c r="J9140" s="365"/>
      <c r="K9140" s="369"/>
      <c r="L9140" s="369"/>
      <c r="M9140" s="369"/>
      <c r="N9140" s="366"/>
      <c r="O9140" s="370"/>
      <c r="P9140" s="43"/>
    </row>
    <row r="9141" spans="1:16" ht="18" x14ac:dyDescent="0.35">
      <c r="A9141" s="43"/>
      <c r="B9141" s="59"/>
      <c r="C9141" s="60"/>
      <c r="D9141" s="59"/>
      <c r="E9141" s="59"/>
      <c r="F9141" s="59"/>
      <c r="G9141" s="59"/>
      <c r="H9141" s="59"/>
      <c r="I9141" s="371"/>
      <c r="J9141" s="365"/>
      <c r="K9141" s="369"/>
      <c r="L9141" s="369"/>
      <c r="M9141" s="369"/>
      <c r="N9141" s="366"/>
      <c r="O9141" s="370"/>
      <c r="P9141" s="43"/>
    </row>
    <row r="9142" spans="1:16" ht="18" x14ac:dyDescent="0.35">
      <c r="A9142" s="43"/>
      <c r="B9142" s="59"/>
      <c r="C9142" s="60"/>
      <c r="D9142" s="59"/>
      <c r="E9142" s="59"/>
      <c r="F9142" s="59"/>
      <c r="G9142" s="59"/>
      <c r="H9142" s="59"/>
      <c r="I9142" s="371"/>
      <c r="J9142" s="365"/>
      <c r="K9142" s="369"/>
      <c r="L9142" s="369"/>
      <c r="M9142" s="369"/>
      <c r="N9142" s="366"/>
      <c r="O9142" s="370"/>
      <c r="P9142" s="43"/>
    </row>
    <row r="9143" spans="1:16" ht="18" x14ac:dyDescent="0.35">
      <c r="A9143" s="43"/>
      <c r="B9143" s="59"/>
      <c r="C9143" s="60"/>
      <c r="D9143" s="59"/>
      <c r="E9143" s="59"/>
      <c r="F9143" s="59"/>
      <c r="G9143" s="59"/>
      <c r="H9143" s="59"/>
      <c r="I9143" s="371"/>
      <c r="J9143" s="365"/>
      <c r="K9143" s="369"/>
      <c r="L9143" s="369"/>
      <c r="M9143" s="369"/>
      <c r="N9143" s="366"/>
      <c r="O9143" s="370"/>
      <c r="P9143" s="43"/>
    </row>
    <row r="9144" spans="1:16" ht="18" x14ac:dyDescent="0.35">
      <c r="A9144" s="43"/>
      <c r="B9144" s="59"/>
      <c r="C9144" s="60"/>
      <c r="D9144" s="59"/>
      <c r="E9144" s="59"/>
      <c r="F9144" s="59"/>
      <c r="G9144" s="59"/>
      <c r="H9144" s="59"/>
      <c r="I9144" s="371"/>
      <c r="J9144" s="365"/>
      <c r="K9144" s="369"/>
      <c r="L9144" s="369"/>
      <c r="M9144" s="369"/>
      <c r="N9144" s="366"/>
      <c r="O9144" s="370"/>
      <c r="P9144" s="43"/>
    </row>
    <row r="9145" spans="1:16" ht="18" x14ac:dyDescent="0.35">
      <c r="A9145" s="43"/>
      <c r="B9145" s="59"/>
      <c r="C9145" s="60"/>
      <c r="D9145" s="59"/>
      <c r="E9145" s="59"/>
      <c r="F9145" s="59"/>
      <c r="G9145" s="59"/>
      <c r="H9145" s="59"/>
      <c r="I9145" s="371"/>
      <c r="J9145" s="365"/>
      <c r="K9145" s="369"/>
      <c r="L9145" s="369"/>
      <c r="M9145" s="369"/>
      <c r="N9145" s="366"/>
      <c r="O9145" s="370"/>
      <c r="P9145" s="43"/>
    </row>
    <row r="9146" spans="1:16" ht="18" x14ac:dyDescent="0.35">
      <c r="A9146" s="43"/>
      <c r="B9146" s="59"/>
      <c r="C9146" s="60"/>
      <c r="D9146" s="59"/>
      <c r="E9146" s="59"/>
      <c r="F9146" s="59"/>
      <c r="G9146" s="59"/>
      <c r="H9146" s="59"/>
      <c r="I9146" s="371"/>
      <c r="J9146" s="365"/>
      <c r="K9146" s="369"/>
      <c r="L9146" s="369"/>
      <c r="M9146" s="369"/>
      <c r="N9146" s="366"/>
      <c r="O9146" s="370"/>
      <c r="P9146" s="43"/>
    </row>
    <row r="9147" spans="1:16" ht="18" x14ac:dyDescent="0.35">
      <c r="A9147" s="43"/>
      <c r="B9147" s="59"/>
      <c r="C9147" s="60"/>
      <c r="D9147" s="59"/>
      <c r="E9147" s="59"/>
      <c r="F9147" s="59"/>
      <c r="G9147" s="59"/>
      <c r="H9147" s="59"/>
      <c r="I9147" s="371"/>
      <c r="J9147" s="365"/>
      <c r="K9147" s="369"/>
      <c r="L9147" s="369"/>
      <c r="M9147" s="369"/>
      <c r="N9147" s="366"/>
      <c r="O9147" s="370"/>
      <c r="P9147" s="43"/>
    </row>
    <row r="9148" spans="1:16" ht="18" x14ac:dyDescent="0.35">
      <c r="A9148" s="43"/>
      <c r="B9148" s="59"/>
      <c r="C9148" s="60"/>
      <c r="D9148" s="59"/>
      <c r="E9148" s="59"/>
      <c r="F9148" s="59"/>
      <c r="G9148" s="59"/>
      <c r="H9148" s="59"/>
      <c r="I9148" s="371"/>
      <c r="J9148" s="365"/>
      <c r="K9148" s="369"/>
      <c r="L9148" s="369"/>
      <c r="M9148" s="369"/>
      <c r="N9148" s="366"/>
      <c r="O9148" s="370"/>
      <c r="P9148" s="43"/>
    </row>
    <row r="9149" spans="1:16" ht="18" x14ac:dyDescent="0.35">
      <c r="A9149" s="43"/>
      <c r="B9149" s="59"/>
      <c r="C9149" s="60"/>
      <c r="D9149" s="59"/>
      <c r="E9149" s="59"/>
      <c r="F9149" s="59"/>
      <c r="G9149" s="59"/>
      <c r="H9149" s="59"/>
      <c r="I9149" s="371"/>
      <c r="J9149" s="365"/>
      <c r="K9149" s="369"/>
      <c r="L9149" s="369"/>
      <c r="M9149" s="369"/>
      <c r="N9149" s="366"/>
      <c r="O9149" s="370"/>
      <c r="P9149" s="43"/>
    </row>
    <row r="9150" spans="1:16" ht="18" x14ac:dyDescent="0.35">
      <c r="A9150" s="43"/>
      <c r="B9150" s="59"/>
      <c r="C9150" s="60"/>
      <c r="D9150" s="59"/>
      <c r="E9150" s="59"/>
      <c r="F9150" s="59"/>
      <c r="G9150" s="59"/>
      <c r="H9150" s="59"/>
      <c r="I9150" s="371"/>
      <c r="J9150" s="365"/>
      <c r="K9150" s="369"/>
      <c r="L9150" s="369"/>
      <c r="M9150" s="369"/>
      <c r="N9150" s="366"/>
      <c r="O9150" s="370"/>
      <c r="P9150" s="43"/>
    </row>
    <row r="9151" spans="1:16" ht="18" x14ac:dyDescent="0.35">
      <c r="A9151" s="43"/>
      <c r="B9151" s="59"/>
      <c r="C9151" s="60"/>
      <c r="D9151" s="59"/>
      <c r="E9151" s="59"/>
      <c r="F9151" s="59"/>
      <c r="G9151" s="59"/>
      <c r="H9151" s="59"/>
      <c r="I9151" s="371"/>
      <c r="J9151" s="365"/>
      <c r="K9151" s="369"/>
      <c r="L9151" s="369"/>
      <c r="M9151" s="369"/>
      <c r="N9151" s="366"/>
      <c r="O9151" s="370"/>
      <c r="P9151" s="43"/>
    </row>
    <row r="9152" spans="1:16" ht="18" x14ac:dyDescent="0.35">
      <c r="A9152" s="43"/>
      <c r="B9152" s="59"/>
      <c r="C9152" s="60"/>
      <c r="D9152" s="59"/>
      <c r="E9152" s="59"/>
      <c r="F9152" s="59"/>
      <c r="G9152" s="59"/>
      <c r="H9152" s="59"/>
      <c r="I9152" s="371"/>
      <c r="J9152" s="365"/>
      <c r="K9152" s="369"/>
      <c r="L9152" s="369"/>
      <c r="M9152" s="369"/>
      <c r="N9152" s="366"/>
      <c r="O9152" s="370"/>
      <c r="P9152" s="43"/>
    </row>
    <row r="9153" spans="1:16" ht="18" x14ac:dyDescent="0.35">
      <c r="A9153" s="43"/>
      <c r="B9153" s="59"/>
      <c r="C9153" s="60"/>
      <c r="D9153" s="59"/>
      <c r="E9153" s="59"/>
      <c r="F9153" s="59"/>
      <c r="G9153" s="59"/>
      <c r="H9153" s="59"/>
      <c r="I9153" s="371"/>
      <c r="J9153" s="365"/>
      <c r="K9153" s="369"/>
      <c r="L9153" s="369"/>
      <c r="M9153" s="369"/>
      <c r="N9153" s="366"/>
      <c r="O9153" s="370"/>
      <c r="P9153" s="43"/>
    </row>
    <row r="9154" spans="1:16" ht="18" x14ac:dyDescent="0.35">
      <c r="A9154" s="43"/>
      <c r="B9154" s="59"/>
      <c r="C9154" s="60"/>
      <c r="D9154" s="59"/>
      <c r="E9154" s="59"/>
      <c r="F9154" s="59"/>
      <c r="G9154" s="59"/>
      <c r="H9154" s="59"/>
      <c r="I9154" s="371"/>
      <c r="J9154" s="365"/>
      <c r="K9154" s="369"/>
      <c r="L9154" s="369"/>
      <c r="M9154" s="369"/>
      <c r="N9154" s="366"/>
      <c r="O9154" s="370"/>
      <c r="P9154" s="43"/>
    </row>
    <row r="9155" spans="1:16" ht="18" x14ac:dyDescent="0.35">
      <c r="A9155" s="43"/>
      <c r="B9155" s="59"/>
      <c r="C9155" s="60"/>
      <c r="D9155" s="59"/>
      <c r="E9155" s="59"/>
      <c r="F9155" s="59"/>
      <c r="G9155" s="59"/>
      <c r="H9155" s="59"/>
      <c r="I9155" s="371"/>
      <c r="J9155" s="365"/>
      <c r="K9155" s="369"/>
      <c r="L9155" s="369"/>
      <c r="M9155" s="369"/>
      <c r="N9155" s="366"/>
      <c r="O9155" s="370"/>
      <c r="P9155" s="43"/>
    </row>
    <row r="9156" spans="1:16" ht="18" x14ac:dyDescent="0.35">
      <c r="A9156" s="43"/>
      <c r="B9156" s="59"/>
      <c r="C9156" s="60"/>
      <c r="D9156" s="59"/>
      <c r="E9156" s="59"/>
      <c r="F9156" s="59"/>
      <c r="G9156" s="59"/>
      <c r="H9156" s="59"/>
      <c r="I9156" s="371"/>
      <c r="J9156" s="365"/>
      <c r="K9156" s="369"/>
      <c r="L9156" s="369"/>
      <c r="M9156" s="369"/>
      <c r="N9156" s="366"/>
      <c r="O9156" s="370"/>
      <c r="P9156" s="43"/>
    </row>
    <row r="9157" spans="1:16" ht="18" x14ac:dyDescent="0.35">
      <c r="A9157" s="43"/>
      <c r="B9157" s="59"/>
      <c r="C9157" s="60"/>
      <c r="D9157" s="59"/>
      <c r="E9157" s="59"/>
      <c r="F9157" s="59"/>
      <c r="G9157" s="59"/>
      <c r="H9157" s="59"/>
      <c r="I9157" s="371"/>
      <c r="J9157" s="365"/>
      <c r="K9157" s="369"/>
      <c r="L9157" s="369"/>
      <c r="M9157" s="369"/>
      <c r="N9157" s="366"/>
      <c r="O9157" s="370"/>
      <c r="P9157" s="43"/>
    </row>
    <row r="9158" spans="1:16" ht="18" x14ac:dyDescent="0.35">
      <c r="A9158" s="43"/>
      <c r="B9158" s="59"/>
      <c r="C9158" s="60"/>
      <c r="D9158" s="59"/>
      <c r="E9158" s="59"/>
      <c r="F9158" s="59"/>
      <c r="G9158" s="59"/>
      <c r="H9158" s="59"/>
      <c r="I9158" s="371"/>
      <c r="J9158" s="365"/>
      <c r="K9158" s="369"/>
      <c r="L9158" s="369"/>
      <c r="M9158" s="369"/>
      <c r="N9158" s="366"/>
      <c r="O9158" s="370"/>
      <c r="P9158" s="43"/>
    </row>
    <row r="9159" spans="1:16" ht="18" x14ac:dyDescent="0.35">
      <c r="A9159" s="43"/>
      <c r="B9159" s="59"/>
      <c r="C9159" s="60"/>
      <c r="D9159" s="59"/>
      <c r="E9159" s="59"/>
      <c r="F9159" s="59"/>
      <c r="G9159" s="59"/>
      <c r="H9159" s="59"/>
      <c r="I9159" s="371"/>
      <c r="J9159" s="365"/>
      <c r="K9159" s="369"/>
      <c r="L9159" s="369"/>
      <c r="M9159" s="369"/>
      <c r="N9159" s="366"/>
      <c r="O9159" s="370"/>
      <c r="P9159" s="43"/>
    </row>
    <row r="9160" spans="1:16" ht="18" x14ac:dyDescent="0.35">
      <c r="A9160" s="43"/>
      <c r="B9160" s="59"/>
      <c r="C9160" s="60"/>
      <c r="D9160" s="59"/>
      <c r="E9160" s="59"/>
      <c r="F9160" s="59"/>
      <c r="G9160" s="59"/>
      <c r="H9160" s="59"/>
      <c r="I9160" s="371"/>
      <c r="J9160" s="365"/>
      <c r="K9160" s="369"/>
      <c r="L9160" s="369"/>
      <c r="M9160" s="369"/>
      <c r="N9160" s="366"/>
      <c r="O9160" s="370"/>
      <c r="P9160" s="43"/>
    </row>
    <row r="9161" spans="1:16" ht="18" x14ac:dyDescent="0.35">
      <c r="A9161" s="43"/>
      <c r="B9161" s="59"/>
      <c r="C9161" s="60"/>
      <c r="D9161" s="59"/>
      <c r="E9161" s="59"/>
      <c r="F9161" s="59"/>
      <c r="G9161" s="59"/>
      <c r="H9161" s="59"/>
      <c r="I9161" s="371"/>
      <c r="J9161" s="365"/>
      <c r="K9161" s="369"/>
      <c r="L9161" s="369"/>
      <c r="M9161" s="369"/>
      <c r="N9161" s="366"/>
      <c r="O9161" s="370"/>
      <c r="P9161" s="43"/>
    </row>
    <row r="9162" spans="1:16" ht="18" x14ac:dyDescent="0.35">
      <c r="A9162" s="43"/>
      <c r="B9162" s="59"/>
      <c r="C9162" s="60"/>
      <c r="D9162" s="59"/>
      <c r="E9162" s="59"/>
      <c r="F9162" s="59"/>
      <c r="G9162" s="59"/>
      <c r="H9162" s="59"/>
      <c r="I9162" s="371"/>
      <c r="J9162" s="365"/>
      <c r="K9162" s="369"/>
      <c r="L9162" s="369"/>
      <c r="M9162" s="369"/>
      <c r="N9162" s="366"/>
      <c r="O9162" s="370"/>
      <c r="P9162" s="43"/>
    </row>
    <row r="9163" spans="1:16" ht="18" x14ac:dyDescent="0.35">
      <c r="A9163" s="43"/>
      <c r="B9163" s="59"/>
      <c r="C9163" s="60"/>
      <c r="D9163" s="59"/>
      <c r="E9163" s="59"/>
      <c r="F9163" s="59"/>
      <c r="G9163" s="59"/>
      <c r="H9163" s="59"/>
      <c r="I9163" s="371"/>
      <c r="J9163" s="365"/>
      <c r="K9163" s="369"/>
      <c r="L9163" s="369"/>
      <c r="M9163" s="369"/>
      <c r="N9163" s="366"/>
      <c r="O9163" s="370"/>
      <c r="P9163" s="43"/>
    </row>
    <row r="9164" spans="1:16" ht="18" x14ac:dyDescent="0.35">
      <c r="A9164" s="43"/>
      <c r="B9164" s="59"/>
      <c r="C9164" s="60"/>
      <c r="D9164" s="59"/>
      <c r="E9164" s="59"/>
      <c r="F9164" s="59"/>
      <c r="G9164" s="59"/>
      <c r="H9164" s="59"/>
      <c r="I9164" s="371"/>
      <c r="J9164" s="365"/>
      <c r="K9164" s="369"/>
      <c r="L9164" s="369"/>
      <c r="M9164" s="369"/>
      <c r="N9164" s="366"/>
      <c r="O9164" s="370"/>
      <c r="P9164" s="43"/>
    </row>
    <row r="9165" spans="1:16" ht="18" x14ac:dyDescent="0.35">
      <c r="A9165" s="43"/>
      <c r="B9165" s="59"/>
      <c r="C9165" s="60"/>
      <c r="D9165" s="59"/>
      <c r="E9165" s="59"/>
      <c r="F9165" s="59"/>
      <c r="G9165" s="59"/>
      <c r="H9165" s="59"/>
      <c r="I9165" s="371"/>
      <c r="J9165" s="365"/>
      <c r="K9165" s="369"/>
      <c r="L9165" s="369"/>
      <c r="M9165" s="369"/>
      <c r="N9165" s="366"/>
      <c r="O9165" s="370"/>
      <c r="P9165" s="43"/>
    </row>
    <row r="9166" spans="1:16" ht="18" x14ac:dyDescent="0.35">
      <c r="A9166" s="43"/>
      <c r="B9166" s="59"/>
      <c r="C9166" s="60"/>
      <c r="D9166" s="59"/>
      <c r="E9166" s="59"/>
      <c r="F9166" s="59"/>
      <c r="G9166" s="59"/>
      <c r="H9166" s="59"/>
      <c r="I9166" s="371"/>
      <c r="J9166" s="365"/>
      <c r="K9166" s="369"/>
      <c r="L9166" s="369"/>
      <c r="M9166" s="369"/>
      <c r="N9166" s="366"/>
      <c r="O9166" s="370"/>
      <c r="P9166" s="43"/>
    </row>
    <row r="9167" spans="1:16" ht="18" x14ac:dyDescent="0.35">
      <c r="A9167" s="43"/>
      <c r="B9167" s="59"/>
      <c r="C9167" s="60"/>
      <c r="D9167" s="59"/>
      <c r="E9167" s="59"/>
      <c r="F9167" s="59"/>
      <c r="G9167" s="59"/>
      <c r="H9167" s="59"/>
      <c r="I9167" s="371"/>
      <c r="J9167" s="365"/>
      <c r="K9167" s="369"/>
      <c r="L9167" s="369"/>
      <c r="M9167" s="369"/>
      <c r="N9167" s="366"/>
      <c r="O9167" s="370"/>
      <c r="P9167" s="43"/>
    </row>
    <row r="9168" spans="1:16" ht="18" x14ac:dyDescent="0.35">
      <c r="A9168" s="43"/>
      <c r="B9168" s="59"/>
      <c r="C9168" s="60"/>
      <c r="D9168" s="59"/>
      <c r="E9168" s="59"/>
      <c r="F9168" s="59"/>
      <c r="G9168" s="59"/>
      <c r="H9168" s="59"/>
      <c r="I9168" s="371"/>
      <c r="J9168" s="365"/>
      <c r="K9168" s="369"/>
      <c r="L9168" s="369"/>
      <c r="M9168" s="369"/>
      <c r="N9168" s="366"/>
      <c r="O9168" s="370"/>
      <c r="P9168" s="43"/>
    </row>
    <row r="9169" spans="1:16" ht="18" x14ac:dyDescent="0.35">
      <c r="A9169" s="43"/>
      <c r="B9169" s="59"/>
      <c r="C9169" s="60"/>
      <c r="D9169" s="59"/>
      <c r="E9169" s="59"/>
      <c r="F9169" s="59"/>
      <c r="G9169" s="59"/>
      <c r="H9169" s="59"/>
      <c r="I9169" s="371"/>
      <c r="J9169" s="365"/>
      <c r="K9169" s="369"/>
      <c r="L9169" s="369"/>
      <c r="M9169" s="369"/>
      <c r="N9169" s="366"/>
      <c r="O9169" s="370"/>
      <c r="P9169" s="43"/>
    </row>
    <row r="9170" spans="1:16" ht="18" x14ac:dyDescent="0.35">
      <c r="A9170" s="43"/>
      <c r="B9170" s="59"/>
      <c r="C9170" s="60"/>
      <c r="D9170" s="59"/>
      <c r="E9170" s="59"/>
      <c r="F9170" s="59"/>
      <c r="G9170" s="59"/>
      <c r="H9170" s="59"/>
      <c r="I9170" s="371"/>
      <c r="J9170" s="365"/>
      <c r="K9170" s="369"/>
      <c r="L9170" s="369"/>
      <c r="M9170" s="369"/>
      <c r="N9170" s="366"/>
      <c r="O9170" s="370"/>
      <c r="P9170" s="43"/>
    </row>
    <row r="9171" spans="1:16" ht="18" x14ac:dyDescent="0.35">
      <c r="A9171" s="43"/>
      <c r="B9171" s="59"/>
      <c r="C9171" s="60"/>
      <c r="D9171" s="59"/>
      <c r="E9171" s="59"/>
      <c r="F9171" s="59"/>
      <c r="G9171" s="59"/>
      <c r="H9171" s="59"/>
      <c r="I9171" s="371"/>
      <c r="J9171" s="365"/>
      <c r="K9171" s="369"/>
      <c r="L9171" s="369"/>
      <c r="M9171" s="369"/>
      <c r="N9171" s="366"/>
      <c r="O9171" s="370"/>
      <c r="P9171" s="43"/>
    </row>
    <row r="9172" spans="1:16" ht="18" x14ac:dyDescent="0.35">
      <c r="A9172" s="43"/>
      <c r="B9172" s="59"/>
      <c r="C9172" s="60"/>
      <c r="D9172" s="59"/>
      <c r="E9172" s="59"/>
      <c r="F9172" s="59"/>
      <c r="G9172" s="59"/>
      <c r="H9172" s="59"/>
      <c r="I9172" s="371"/>
      <c r="J9172" s="365"/>
      <c r="K9172" s="369"/>
      <c r="L9172" s="369"/>
      <c r="M9172" s="369"/>
      <c r="N9172" s="366"/>
      <c r="O9172" s="370"/>
      <c r="P9172" s="43"/>
    </row>
    <row r="9173" spans="1:16" ht="18" x14ac:dyDescent="0.35">
      <c r="A9173" s="43"/>
      <c r="B9173" s="59"/>
      <c r="C9173" s="60"/>
      <c r="D9173" s="59"/>
      <c r="E9173" s="59"/>
      <c r="F9173" s="59"/>
      <c r="G9173" s="59"/>
      <c r="H9173" s="59"/>
      <c r="I9173" s="371"/>
      <c r="J9173" s="365"/>
      <c r="K9173" s="369"/>
      <c r="L9173" s="369"/>
      <c r="M9173" s="369"/>
      <c r="N9173" s="366"/>
      <c r="O9173" s="370"/>
      <c r="P9173" s="43"/>
    </row>
    <row r="9174" spans="1:16" ht="18" x14ac:dyDescent="0.35">
      <c r="A9174" s="43"/>
      <c r="B9174" s="59"/>
      <c r="C9174" s="60"/>
      <c r="D9174" s="59"/>
      <c r="E9174" s="59"/>
      <c r="F9174" s="59"/>
      <c r="G9174" s="59"/>
      <c r="H9174" s="59"/>
      <c r="I9174" s="371"/>
      <c r="J9174" s="365"/>
      <c r="K9174" s="369"/>
      <c r="L9174" s="369"/>
      <c r="M9174" s="369"/>
      <c r="N9174" s="366"/>
      <c r="O9174" s="370"/>
      <c r="P9174" s="43"/>
    </row>
    <row r="9175" spans="1:16" ht="18" x14ac:dyDescent="0.35">
      <c r="A9175" s="43"/>
      <c r="B9175" s="59"/>
      <c r="C9175" s="60"/>
      <c r="D9175" s="59"/>
      <c r="E9175" s="59"/>
      <c r="F9175" s="59"/>
      <c r="G9175" s="59"/>
      <c r="H9175" s="59"/>
      <c r="I9175" s="371"/>
      <c r="J9175" s="365"/>
      <c r="K9175" s="369"/>
      <c r="L9175" s="369"/>
      <c r="M9175" s="369"/>
      <c r="N9175" s="366"/>
      <c r="O9175" s="370"/>
      <c r="P9175" s="43"/>
    </row>
    <row r="9176" spans="1:16" ht="18" x14ac:dyDescent="0.35">
      <c r="A9176" s="43"/>
      <c r="B9176" s="59"/>
      <c r="C9176" s="60"/>
      <c r="D9176" s="59"/>
      <c r="E9176" s="59"/>
      <c r="F9176" s="59"/>
      <c r="G9176" s="59"/>
      <c r="H9176" s="59"/>
      <c r="I9176" s="371"/>
      <c r="J9176" s="365"/>
      <c r="K9176" s="369"/>
      <c r="L9176" s="369"/>
      <c r="M9176" s="369"/>
      <c r="N9176" s="366"/>
      <c r="O9176" s="370"/>
      <c r="P9176" s="43"/>
    </row>
    <row r="9177" spans="1:16" ht="18" x14ac:dyDescent="0.35">
      <c r="A9177" s="43"/>
      <c r="B9177" s="59"/>
      <c r="C9177" s="60"/>
      <c r="D9177" s="59"/>
      <c r="E9177" s="59"/>
      <c r="F9177" s="59"/>
      <c r="G9177" s="59"/>
      <c r="H9177" s="59"/>
      <c r="I9177" s="371"/>
      <c r="J9177" s="365"/>
      <c r="K9177" s="369"/>
      <c r="L9177" s="369"/>
      <c r="M9177" s="369"/>
      <c r="N9177" s="366"/>
      <c r="O9177" s="370"/>
      <c r="P9177" s="43"/>
    </row>
    <row r="9178" spans="1:16" ht="18" x14ac:dyDescent="0.35">
      <c r="A9178" s="43"/>
      <c r="B9178" s="59"/>
      <c r="C9178" s="60"/>
      <c r="D9178" s="59"/>
      <c r="E9178" s="59"/>
      <c r="F9178" s="59"/>
      <c r="G9178" s="59"/>
      <c r="H9178" s="59"/>
      <c r="I9178" s="371"/>
      <c r="J9178" s="365"/>
      <c r="K9178" s="369"/>
      <c r="L9178" s="369"/>
      <c r="M9178" s="369"/>
      <c r="N9178" s="366"/>
      <c r="O9178" s="370"/>
      <c r="P9178" s="43"/>
    </row>
    <row r="9179" spans="1:16" ht="18" x14ac:dyDescent="0.35">
      <c r="A9179" s="43"/>
      <c r="B9179" s="59"/>
      <c r="C9179" s="60"/>
      <c r="D9179" s="59"/>
      <c r="E9179" s="59"/>
      <c r="F9179" s="59"/>
      <c r="G9179" s="59"/>
      <c r="H9179" s="59"/>
      <c r="I9179" s="371"/>
      <c r="J9179" s="365"/>
      <c r="K9179" s="369"/>
      <c r="L9179" s="369"/>
      <c r="M9179" s="369"/>
      <c r="N9179" s="366"/>
      <c r="O9179" s="370"/>
      <c r="P9179" s="43"/>
    </row>
    <row r="9180" spans="1:16" ht="18" x14ac:dyDescent="0.35">
      <c r="A9180" s="43"/>
      <c r="B9180" s="59"/>
      <c r="C9180" s="60"/>
      <c r="D9180" s="59"/>
      <c r="E9180" s="59"/>
      <c r="F9180" s="59"/>
      <c r="G9180" s="59"/>
      <c r="H9180" s="59"/>
      <c r="I9180" s="371"/>
      <c r="J9180" s="365"/>
      <c r="K9180" s="369"/>
      <c r="L9180" s="369"/>
      <c r="M9180" s="369"/>
      <c r="N9180" s="366"/>
      <c r="O9180" s="370"/>
      <c r="P9180" s="43"/>
    </row>
    <row r="9181" spans="1:16" ht="18" x14ac:dyDescent="0.35">
      <c r="A9181" s="43"/>
      <c r="B9181" s="59"/>
      <c r="C9181" s="60"/>
      <c r="D9181" s="59"/>
      <c r="E9181" s="59"/>
      <c r="F9181" s="59"/>
      <c r="G9181" s="59"/>
      <c r="H9181" s="59"/>
      <c r="I9181" s="371"/>
      <c r="J9181" s="365"/>
      <c r="K9181" s="369"/>
      <c r="L9181" s="369"/>
      <c r="M9181" s="369"/>
      <c r="N9181" s="366"/>
      <c r="O9181" s="370"/>
      <c r="P9181" s="43"/>
    </row>
    <row r="9182" spans="1:16" ht="18" x14ac:dyDescent="0.35">
      <c r="A9182" s="43"/>
      <c r="B9182" s="59"/>
      <c r="C9182" s="60"/>
      <c r="D9182" s="59"/>
      <c r="E9182" s="59"/>
      <c r="F9182" s="59"/>
      <c r="G9182" s="59"/>
      <c r="H9182" s="59"/>
      <c r="I9182" s="371"/>
      <c r="J9182" s="365"/>
      <c r="K9182" s="369"/>
      <c r="L9182" s="369"/>
      <c r="M9182" s="369"/>
      <c r="N9182" s="366"/>
      <c r="O9182" s="370"/>
      <c r="P9182" s="43"/>
    </row>
    <row r="9183" spans="1:16" ht="18" x14ac:dyDescent="0.35">
      <c r="A9183" s="43"/>
      <c r="B9183" s="59"/>
      <c r="C9183" s="60"/>
      <c r="D9183" s="59"/>
      <c r="E9183" s="59"/>
      <c r="F9183" s="59"/>
      <c r="G9183" s="59"/>
      <c r="H9183" s="59"/>
      <c r="I9183" s="371"/>
      <c r="J9183" s="365"/>
      <c r="K9183" s="369"/>
      <c r="L9183" s="369"/>
      <c r="M9183" s="369"/>
      <c r="N9183" s="366"/>
      <c r="O9183" s="370"/>
      <c r="P9183" s="43"/>
    </row>
    <row r="9184" spans="1:16" ht="18" x14ac:dyDescent="0.35">
      <c r="A9184" s="43"/>
      <c r="B9184" s="59"/>
      <c r="C9184" s="60"/>
      <c r="D9184" s="59"/>
      <c r="E9184" s="59"/>
      <c r="F9184" s="59"/>
      <c r="G9184" s="59"/>
      <c r="H9184" s="59"/>
      <c r="I9184" s="371"/>
      <c r="J9184" s="365"/>
      <c r="K9184" s="369"/>
      <c r="L9184" s="369"/>
      <c r="M9184" s="369"/>
      <c r="N9184" s="366"/>
      <c r="O9184" s="370"/>
      <c r="P9184" s="43"/>
    </row>
    <row r="9185" spans="1:16" ht="18" x14ac:dyDescent="0.35">
      <c r="A9185" s="43"/>
      <c r="B9185" s="59"/>
      <c r="C9185" s="60"/>
      <c r="D9185" s="59"/>
      <c r="E9185" s="59"/>
      <c r="F9185" s="59"/>
      <c r="G9185" s="59"/>
      <c r="H9185" s="59"/>
      <c r="I9185" s="371"/>
      <c r="J9185" s="365"/>
      <c r="K9185" s="369"/>
      <c r="L9185" s="369"/>
      <c r="M9185" s="369"/>
      <c r="N9185" s="366"/>
      <c r="O9185" s="370"/>
      <c r="P9185" s="43"/>
    </row>
    <row r="9186" spans="1:16" ht="18" x14ac:dyDescent="0.35">
      <c r="A9186" s="43"/>
      <c r="B9186" s="59"/>
      <c r="C9186" s="60"/>
      <c r="D9186" s="59"/>
      <c r="E9186" s="59"/>
      <c r="F9186" s="59"/>
      <c r="G9186" s="59"/>
      <c r="H9186" s="59"/>
      <c r="I9186" s="371"/>
      <c r="J9186" s="365"/>
      <c r="K9186" s="369"/>
      <c r="L9186" s="369"/>
      <c r="M9186" s="369"/>
      <c r="N9186" s="366"/>
      <c r="O9186" s="370"/>
      <c r="P9186" s="43"/>
    </row>
    <row r="9187" spans="1:16" ht="18" x14ac:dyDescent="0.35">
      <c r="A9187" s="43"/>
      <c r="B9187" s="59"/>
      <c r="C9187" s="60"/>
      <c r="D9187" s="59"/>
      <c r="E9187" s="59"/>
      <c r="F9187" s="59"/>
      <c r="G9187" s="59"/>
      <c r="H9187" s="59"/>
      <c r="I9187" s="371"/>
      <c r="J9187" s="365"/>
      <c r="K9187" s="369"/>
      <c r="L9187" s="369"/>
      <c r="M9187" s="369"/>
      <c r="N9187" s="366"/>
      <c r="O9187" s="370"/>
      <c r="P9187" s="43"/>
    </row>
    <row r="9188" spans="1:16" ht="18" x14ac:dyDescent="0.35">
      <c r="A9188" s="43"/>
      <c r="B9188" s="59"/>
      <c r="C9188" s="60"/>
      <c r="D9188" s="59"/>
      <c r="E9188" s="59"/>
      <c r="F9188" s="59"/>
      <c r="G9188" s="59"/>
      <c r="H9188" s="59"/>
      <c r="I9188" s="371"/>
      <c r="J9188" s="365"/>
      <c r="K9188" s="369"/>
      <c r="L9188" s="369"/>
      <c r="M9188" s="369"/>
      <c r="N9188" s="366"/>
      <c r="O9188" s="370"/>
      <c r="P9188" s="43"/>
    </row>
    <row r="9189" spans="1:16" ht="18" x14ac:dyDescent="0.35">
      <c r="A9189" s="43"/>
      <c r="B9189" s="59"/>
      <c r="C9189" s="60"/>
      <c r="D9189" s="59"/>
      <c r="E9189" s="59"/>
      <c r="F9189" s="59"/>
      <c r="G9189" s="59"/>
      <c r="H9189" s="59"/>
      <c r="I9189" s="371"/>
      <c r="J9189" s="365"/>
      <c r="K9189" s="369"/>
      <c r="L9189" s="369"/>
      <c r="M9189" s="369"/>
      <c r="N9189" s="366"/>
      <c r="O9189" s="370"/>
      <c r="P9189" s="43"/>
    </row>
    <row r="9190" spans="1:16" ht="18" x14ac:dyDescent="0.35">
      <c r="A9190" s="43"/>
      <c r="B9190" s="59"/>
      <c r="C9190" s="60"/>
      <c r="D9190" s="59"/>
      <c r="E9190" s="59"/>
      <c r="F9190" s="59"/>
      <c r="G9190" s="59"/>
      <c r="H9190" s="59"/>
      <c r="I9190" s="371"/>
      <c r="J9190" s="365"/>
      <c r="K9190" s="369"/>
      <c r="L9190" s="369"/>
      <c r="M9190" s="369"/>
      <c r="N9190" s="366"/>
      <c r="O9190" s="370"/>
      <c r="P9190" s="43"/>
    </row>
    <row r="9191" spans="1:16" ht="18" x14ac:dyDescent="0.35">
      <c r="A9191" s="43"/>
      <c r="B9191" s="59"/>
      <c r="C9191" s="60"/>
      <c r="D9191" s="59"/>
      <c r="E9191" s="59"/>
      <c r="F9191" s="59"/>
      <c r="G9191" s="59"/>
      <c r="H9191" s="59"/>
      <c r="I9191" s="371"/>
      <c r="J9191" s="365"/>
      <c r="K9191" s="369"/>
      <c r="L9191" s="369"/>
      <c r="M9191" s="369"/>
      <c r="N9191" s="366"/>
      <c r="O9191" s="370"/>
      <c r="P9191" s="43"/>
    </row>
    <row r="9192" spans="1:16" ht="18" x14ac:dyDescent="0.35">
      <c r="A9192" s="43"/>
      <c r="B9192" s="59"/>
      <c r="C9192" s="60"/>
      <c r="D9192" s="59"/>
      <c r="E9192" s="59"/>
      <c r="F9192" s="59"/>
      <c r="G9192" s="59"/>
      <c r="H9192" s="59"/>
      <c r="I9192" s="371"/>
      <c r="J9192" s="365"/>
      <c r="K9192" s="369"/>
      <c r="L9192" s="369"/>
      <c r="M9192" s="369"/>
      <c r="N9192" s="366"/>
      <c r="O9192" s="370"/>
      <c r="P9192" s="43"/>
    </row>
    <row r="9193" spans="1:16" ht="18" x14ac:dyDescent="0.35">
      <c r="A9193" s="43"/>
      <c r="B9193" s="59"/>
      <c r="C9193" s="60"/>
      <c r="D9193" s="59"/>
      <c r="E9193" s="59"/>
      <c r="F9193" s="59"/>
      <c r="G9193" s="59"/>
      <c r="H9193" s="59"/>
      <c r="I9193" s="371"/>
      <c r="J9193" s="365"/>
      <c r="K9193" s="369"/>
      <c r="L9193" s="369"/>
      <c r="M9193" s="369"/>
      <c r="N9193" s="366"/>
      <c r="O9193" s="370"/>
      <c r="P9193" s="43"/>
    </row>
    <row r="9194" spans="1:16" ht="18" x14ac:dyDescent="0.35">
      <c r="A9194" s="43"/>
      <c r="B9194" s="59"/>
      <c r="C9194" s="60"/>
      <c r="D9194" s="59"/>
      <c r="E9194" s="59"/>
      <c r="F9194" s="59"/>
      <c r="G9194" s="59"/>
      <c r="H9194" s="59"/>
      <c r="I9194" s="371"/>
      <c r="J9194" s="365"/>
      <c r="K9194" s="369"/>
      <c r="L9194" s="369"/>
      <c r="M9194" s="369"/>
      <c r="N9194" s="366"/>
      <c r="O9194" s="370"/>
      <c r="P9194" s="43"/>
    </row>
    <row r="9195" spans="1:16" ht="18" x14ac:dyDescent="0.35">
      <c r="A9195" s="43"/>
      <c r="B9195" s="59"/>
      <c r="C9195" s="60"/>
      <c r="D9195" s="59"/>
      <c r="E9195" s="59"/>
      <c r="F9195" s="59"/>
      <c r="G9195" s="59"/>
      <c r="H9195" s="59"/>
      <c r="I9195" s="371"/>
      <c r="J9195" s="365"/>
      <c r="K9195" s="369"/>
      <c r="L9195" s="369"/>
      <c r="M9195" s="369"/>
      <c r="N9195" s="366"/>
      <c r="O9195" s="370"/>
      <c r="P9195" s="43"/>
    </row>
    <row r="9196" spans="1:16" ht="18" x14ac:dyDescent="0.35">
      <c r="A9196" s="43"/>
      <c r="B9196" s="59"/>
      <c r="C9196" s="60"/>
      <c r="D9196" s="59"/>
      <c r="E9196" s="59"/>
      <c r="F9196" s="59"/>
      <c r="G9196" s="59"/>
      <c r="H9196" s="59"/>
      <c r="I9196" s="371"/>
      <c r="J9196" s="365"/>
      <c r="K9196" s="369"/>
      <c r="L9196" s="369"/>
      <c r="M9196" s="369"/>
      <c r="N9196" s="366"/>
      <c r="O9196" s="370"/>
      <c r="P9196" s="43"/>
    </row>
    <row r="9197" spans="1:16" ht="18" x14ac:dyDescent="0.35">
      <c r="A9197" s="43"/>
      <c r="B9197" s="59"/>
      <c r="C9197" s="60"/>
      <c r="D9197" s="59"/>
      <c r="E9197" s="59"/>
      <c r="F9197" s="59"/>
      <c r="G9197" s="59"/>
      <c r="H9197" s="59"/>
      <c r="I9197" s="371"/>
      <c r="J9197" s="365"/>
      <c r="K9197" s="369"/>
      <c r="L9197" s="369"/>
      <c r="M9197" s="369"/>
      <c r="N9197" s="366"/>
      <c r="O9197" s="370"/>
      <c r="P9197" s="43"/>
    </row>
    <row r="9198" spans="1:16" ht="18" x14ac:dyDescent="0.35">
      <c r="A9198" s="43"/>
      <c r="B9198" s="59"/>
      <c r="C9198" s="60"/>
      <c r="D9198" s="59"/>
      <c r="E9198" s="59"/>
      <c r="F9198" s="59"/>
      <c r="G9198" s="59"/>
      <c r="H9198" s="59"/>
      <c r="I9198" s="371"/>
      <c r="J9198" s="365"/>
      <c r="K9198" s="369"/>
      <c r="L9198" s="369"/>
      <c r="M9198" s="369"/>
      <c r="N9198" s="366"/>
      <c r="O9198" s="370"/>
      <c r="P9198" s="43"/>
    </row>
    <row r="9199" spans="1:16" ht="18" x14ac:dyDescent="0.35">
      <c r="A9199" s="43"/>
      <c r="B9199" s="59"/>
      <c r="C9199" s="60"/>
      <c r="D9199" s="59"/>
      <c r="E9199" s="59"/>
      <c r="F9199" s="59"/>
      <c r="G9199" s="59"/>
      <c r="H9199" s="59"/>
      <c r="I9199" s="371"/>
      <c r="J9199" s="365"/>
      <c r="K9199" s="369"/>
      <c r="L9199" s="369"/>
      <c r="M9199" s="369"/>
      <c r="N9199" s="366"/>
      <c r="O9199" s="370"/>
      <c r="P9199" s="43"/>
    </row>
    <row r="9200" spans="1:16" ht="18" x14ac:dyDescent="0.35">
      <c r="A9200" s="43"/>
      <c r="B9200" s="59"/>
      <c r="C9200" s="60"/>
      <c r="D9200" s="59"/>
      <c r="E9200" s="59"/>
      <c r="F9200" s="59"/>
      <c r="G9200" s="59"/>
      <c r="H9200" s="59"/>
      <c r="I9200" s="371"/>
      <c r="J9200" s="365"/>
      <c r="K9200" s="369"/>
      <c r="L9200" s="369"/>
      <c r="M9200" s="369"/>
      <c r="N9200" s="366"/>
      <c r="O9200" s="370"/>
      <c r="P9200" s="43"/>
    </row>
    <row r="9201" spans="1:16" ht="18" x14ac:dyDescent="0.35">
      <c r="A9201" s="43"/>
      <c r="B9201" s="59"/>
      <c r="C9201" s="60"/>
      <c r="D9201" s="59"/>
      <c r="E9201" s="59"/>
      <c r="F9201" s="59"/>
      <c r="G9201" s="59"/>
      <c r="H9201" s="59"/>
      <c r="I9201" s="371"/>
      <c r="J9201" s="365"/>
      <c r="K9201" s="369"/>
      <c r="L9201" s="369"/>
      <c r="M9201" s="369"/>
      <c r="N9201" s="366"/>
      <c r="O9201" s="370"/>
      <c r="P9201" s="43"/>
    </row>
    <row r="9202" spans="1:16" ht="18" x14ac:dyDescent="0.35">
      <c r="A9202" s="43"/>
      <c r="B9202" s="59"/>
      <c r="C9202" s="60"/>
      <c r="D9202" s="59"/>
      <c r="E9202" s="59"/>
      <c r="F9202" s="59"/>
      <c r="G9202" s="59"/>
      <c r="H9202" s="59"/>
      <c r="I9202" s="371"/>
      <c r="J9202" s="365"/>
      <c r="K9202" s="369"/>
      <c r="L9202" s="369"/>
      <c r="M9202" s="369"/>
      <c r="N9202" s="366"/>
      <c r="O9202" s="370"/>
      <c r="P9202" s="43"/>
    </row>
    <row r="9203" spans="1:16" ht="18" x14ac:dyDescent="0.35">
      <c r="A9203" s="43"/>
      <c r="B9203" s="59"/>
      <c r="C9203" s="60"/>
      <c r="D9203" s="59"/>
      <c r="E9203" s="59"/>
      <c r="F9203" s="59"/>
      <c r="G9203" s="59"/>
      <c r="H9203" s="59"/>
      <c r="I9203" s="371"/>
      <c r="J9203" s="365"/>
      <c r="K9203" s="369"/>
      <c r="L9203" s="369"/>
      <c r="M9203" s="369"/>
      <c r="N9203" s="366"/>
      <c r="O9203" s="370"/>
      <c r="P9203" s="43"/>
    </row>
    <row r="9204" spans="1:16" ht="18" x14ac:dyDescent="0.35">
      <c r="A9204" s="43"/>
      <c r="B9204" s="59"/>
      <c r="C9204" s="60"/>
      <c r="D9204" s="59"/>
      <c r="E9204" s="59"/>
      <c r="F9204" s="59"/>
      <c r="G9204" s="59"/>
      <c r="H9204" s="59"/>
      <c r="I9204" s="371"/>
      <c r="J9204" s="365"/>
      <c r="K9204" s="369"/>
      <c r="L9204" s="369"/>
      <c r="M9204" s="369"/>
      <c r="N9204" s="366"/>
      <c r="O9204" s="370"/>
      <c r="P9204" s="43"/>
    </row>
    <row r="9205" spans="1:16" ht="18" x14ac:dyDescent="0.35">
      <c r="A9205" s="43"/>
      <c r="B9205" s="59"/>
      <c r="C9205" s="60"/>
      <c r="D9205" s="59"/>
      <c r="E9205" s="59"/>
      <c r="F9205" s="59"/>
      <c r="G9205" s="59"/>
      <c r="H9205" s="59"/>
      <c r="I9205" s="371"/>
      <c r="J9205" s="365"/>
      <c r="K9205" s="369"/>
      <c r="L9205" s="369"/>
      <c r="M9205" s="369"/>
      <c r="N9205" s="366"/>
      <c r="O9205" s="370"/>
      <c r="P9205" s="43"/>
    </row>
    <row r="9206" spans="1:16" ht="18" x14ac:dyDescent="0.35">
      <c r="A9206" s="43"/>
      <c r="B9206" s="59"/>
      <c r="C9206" s="60"/>
      <c r="D9206" s="59"/>
      <c r="E9206" s="59"/>
      <c r="F9206" s="59"/>
      <c r="G9206" s="59"/>
      <c r="H9206" s="59"/>
      <c r="I9206" s="371"/>
      <c r="J9206" s="365"/>
      <c r="K9206" s="369"/>
      <c r="L9206" s="369"/>
      <c r="M9206" s="369"/>
      <c r="N9206" s="366"/>
      <c r="O9206" s="370"/>
      <c r="P9206" s="43"/>
    </row>
    <row r="9207" spans="1:16" ht="18" x14ac:dyDescent="0.35">
      <c r="A9207" s="43"/>
      <c r="B9207" s="59"/>
      <c r="C9207" s="60"/>
      <c r="D9207" s="59"/>
      <c r="E9207" s="59"/>
      <c r="F9207" s="59"/>
      <c r="G9207" s="59"/>
      <c r="H9207" s="59"/>
      <c r="I9207" s="371"/>
      <c r="J9207" s="365"/>
      <c r="K9207" s="369"/>
      <c r="L9207" s="369"/>
      <c r="M9207" s="369"/>
      <c r="N9207" s="366"/>
      <c r="O9207" s="370"/>
      <c r="P9207" s="43"/>
    </row>
    <row r="9208" spans="1:16" ht="18" x14ac:dyDescent="0.35">
      <c r="A9208" s="43"/>
      <c r="B9208" s="59"/>
      <c r="C9208" s="60"/>
      <c r="D9208" s="59"/>
      <c r="E9208" s="59"/>
      <c r="F9208" s="59"/>
      <c r="G9208" s="59"/>
      <c r="H9208" s="59"/>
      <c r="I9208" s="371"/>
      <c r="J9208" s="365"/>
      <c r="K9208" s="369"/>
      <c r="L9208" s="369"/>
      <c r="M9208" s="369"/>
      <c r="N9208" s="366"/>
      <c r="O9208" s="370"/>
      <c r="P9208" s="43"/>
    </row>
    <row r="9209" spans="1:16" ht="18" x14ac:dyDescent="0.35">
      <c r="A9209" s="43"/>
      <c r="B9209" s="59"/>
      <c r="C9209" s="60"/>
      <c r="D9209" s="59"/>
      <c r="E9209" s="59"/>
      <c r="F9209" s="59"/>
      <c r="G9209" s="59"/>
      <c r="H9209" s="59"/>
      <c r="I9209" s="371"/>
      <c r="J9209" s="365"/>
      <c r="K9209" s="369"/>
      <c r="L9209" s="369"/>
      <c r="M9209" s="369"/>
      <c r="N9209" s="366"/>
      <c r="O9209" s="370"/>
      <c r="P9209" s="43"/>
    </row>
    <row r="9210" spans="1:16" ht="18" x14ac:dyDescent="0.35">
      <c r="A9210" s="43"/>
      <c r="B9210" s="59"/>
      <c r="C9210" s="60"/>
      <c r="D9210" s="59"/>
      <c r="E9210" s="59"/>
      <c r="F9210" s="59"/>
      <c r="G9210" s="59"/>
      <c r="H9210" s="59"/>
      <c r="I9210" s="371"/>
      <c r="J9210" s="365"/>
      <c r="K9210" s="369"/>
      <c r="L9210" s="369"/>
      <c r="M9210" s="369"/>
      <c r="N9210" s="366"/>
      <c r="O9210" s="370"/>
      <c r="P9210" s="43"/>
    </row>
    <row r="9211" spans="1:16" ht="18" x14ac:dyDescent="0.35">
      <c r="A9211" s="43"/>
      <c r="B9211" s="59"/>
      <c r="C9211" s="60"/>
      <c r="D9211" s="59"/>
      <c r="E9211" s="59"/>
      <c r="F9211" s="59"/>
      <c r="G9211" s="59"/>
      <c r="H9211" s="59"/>
      <c r="I9211" s="371"/>
      <c r="J9211" s="365"/>
      <c r="K9211" s="369"/>
      <c r="L9211" s="369"/>
      <c r="M9211" s="369"/>
      <c r="N9211" s="366"/>
      <c r="O9211" s="370"/>
      <c r="P9211" s="43"/>
    </row>
    <row r="9212" spans="1:16" ht="18" x14ac:dyDescent="0.35">
      <c r="A9212" s="43"/>
      <c r="B9212" s="59"/>
      <c r="C9212" s="60"/>
      <c r="D9212" s="59"/>
      <c r="E9212" s="59"/>
      <c r="F9212" s="59"/>
      <c r="G9212" s="59"/>
      <c r="H9212" s="59"/>
      <c r="I9212" s="371"/>
      <c r="J9212" s="365"/>
      <c r="K9212" s="369"/>
      <c r="L9212" s="369"/>
      <c r="M9212" s="369"/>
      <c r="N9212" s="366"/>
      <c r="O9212" s="370"/>
      <c r="P9212" s="43"/>
    </row>
    <row r="9213" spans="1:16" ht="18" x14ac:dyDescent="0.35">
      <c r="A9213" s="43"/>
      <c r="B9213" s="59"/>
      <c r="C9213" s="60"/>
      <c r="D9213" s="59"/>
      <c r="E9213" s="59"/>
      <c r="F9213" s="59"/>
      <c r="G9213" s="59"/>
      <c r="H9213" s="59"/>
      <c r="I9213" s="371"/>
      <c r="J9213" s="365"/>
      <c r="K9213" s="369"/>
      <c r="L9213" s="369"/>
      <c r="M9213" s="369"/>
      <c r="N9213" s="366"/>
      <c r="O9213" s="370"/>
      <c r="P9213" s="43"/>
    </row>
    <row r="9214" spans="1:16" ht="18" x14ac:dyDescent="0.35">
      <c r="A9214" s="43"/>
      <c r="B9214" s="59"/>
      <c r="C9214" s="60"/>
      <c r="D9214" s="59"/>
      <c r="E9214" s="59"/>
      <c r="F9214" s="59"/>
      <c r="G9214" s="59"/>
      <c r="H9214" s="59"/>
      <c r="I9214" s="371"/>
      <c r="J9214" s="365"/>
      <c r="K9214" s="369"/>
      <c r="L9214" s="369"/>
      <c r="M9214" s="369"/>
      <c r="N9214" s="366"/>
      <c r="O9214" s="370"/>
      <c r="P9214" s="43"/>
    </row>
    <row r="9215" spans="1:16" ht="18" x14ac:dyDescent="0.35">
      <c r="A9215" s="43"/>
      <c r="B9215" s="59"/>
      <c r="C9215" s="60"/>
      <c r="D9215" s="59"/>
      <c r="E9215" s="59"/>
      <c r="F9215" s="59"/>
      <c r="G9215" s="59"/>
      <c r="H9215" s="59"/>
      <c r="I9215" s="371"/>
      <c r="J9215" s="365"/>
      <c r="K9215" s="369"/>
      <c r="L9215" s="369"/>
      <c r="M9215" s="369"/>
      <c r="N9215" s="366"/>
      <c r="O9215" s="370"/>
      <c r="P9215" s="43"/>
    </row>
    <row r="9216" spans="1:16" ht="18" x14ac:dyDescent="0.35">
      <c r="A9216" s="43"/>
      <c r="B9216" s="59"/>
      <c r="C9216" s="60"/>
      <c r="D9216" s="59"/>
      <c r="E9216" s="59"/>
      <c r="F9216" s="59"/>
      <c r="G9216" s="59"/>
      <c r="H9216" s="59"/>
      <c r="I9216" s="371"/>
      <c r="J9216" s="365"/>
      <c r="K9216" s="369"/>
      <c r="L9216" s="369"/>
      <c r="M9216" s="369"/>
      <c r="N9216" s="366"/>
      <c r="O9216" s="370"/>
      <c r="P9216" s="43"/>
    </row>
    <row r="9217" spans="1:16" ht="18" x14ac:dyDescent="0.35">
      <c r="A9217" s="43"/>
      <c r="B9217" s="59"/>
      <c r="C9217" s="60"/>
      <c r="D9217" s="59"/>
      <c r="E9217" s="59"/>
      <c r="F9217" s="59"/>
      <c r="G9217" s="59"/>
      <c r="H9217" s="59"/>
      <c r="I9217" s="371"/>
      <c r="J9217" s="365"/>
      <c r="K9217" s="369"/>
      <c r="L9217" s="369"/>
      <c r="M9217" s="369"/>
      <c r="N9217" s="366"/>
      <c r="O9217" s="370"/>
      <c r="P9217" s="43"/>
    </row>
    <row r="9218" spans="1:16" ht="18" x14ac:dyDescent="0.35">
      <c r="A9218" s="43"/>
      <c r="B9218" s="59"/>
      <c r="C9218" s="60"/>
      <c r="D9218" s="59"/>
      <c r="E9218" s="59"/>
      <c r="F9218" s="59"/>
      <c r="G9218" s="59"/>
      <c r="H9218" s="59"/>
      <c r="I9218" s="371"/>
      <c r="J9218" s="365"/>
      <c r="K9218" s="369"/>
      <c r="L9218" s="369"/>
      <c r="M9218" s="369"/>
      <c r="N9218" s="366"/>
      <c r="O9218" s="370"/>
      <c r="P9218" s="43"/>
    </row>
    <row r="9219" spans="1:16" ht="18" x14ac:dyDescent="0.35">
      <c r="A9219" s="43"/>
      <c r="B9219" s="59"/>
      <c r="C9219" s="60"/>
      <c r="D9219" s="59"/>
      <c r="E9219" s="59"/>
      <c r="F9219" s="59"/>
      <c r="G9219" s="59"/>
      <c r="H9219" s="59"/>
      <c r="I9219" s="371"/>
      <c r="J9219" s="365"/>
      <c r="K9219" s="369"/>
      <c r="L9219" s="369"/>
      <c r="M9219" s="369"/>
      <c r="N9219" s="366"/>
      <c r="O9219" s="370"/>
      <c r="P9219" s="43"/>
    </row>
    <row r="9220" spans="1:16" ht="18" x14ac:dyDescent="0.35">
      <c r="A9220" s="43"/>
      <c r="B9220" s="59"/>
      <c r="C9220" s="60"/>
      <c r="D9220" s="59"/>
      <c r="E9220" s="59"/>
      <c r="F9220" s="59"/>
      <c r="G9220" s="59"/>
      <c r="H9220" s="59"/>
      <c r="I9220" s="371"/>
      <c r="J9220" s="365"/>
      <c r="K9220" s="369"/>
      <c r="L9220" s="369"/>
      <c r="M9220" s="369"/>
      <c r="N9220" s="366"/>
      <c r="O9220" s="370"/>
      <c r="P9220" s="43"/>
    </row>
    <row r="9221" spans="1:16" ht="18" x14ac:dyDescent="0.35">
      <c r="A9221" s="43"/>
      <c r="B9221" s="59"/>
      <c r="C9221" s="60"/>
      <c r="D9221" s="59"/>
      <c r="E9221" s="59"/>
      <c r="F9221" s="59"/>
      <c r="G9221" s="59"/>
      <c r="H9221" s="59"/>
      <c r="I9221" s="371"/>
      <c r="J9221" s="365"/>
      <c r="K9221" s="369"/>
      <c r="L9221" s="369"/>
      <c r="M9221" s="369"/>
      <c r="N9221" s="366"/>
      <c r="O9221" s="370"/>
      <c r="P9221" s="43"/>
    </row>
    <row r="9222" spans="1:16" ht="18" x14ac:dyDescent="0.35">
      <c r="A9222" s="43"/>
      <c r="B9222" s="59"/>
      <c r="C9222" s="60"/>
      <c r="D9222" s="59"/>
      <c r="E9222" s="59"/>
      <c r="F9222" s="59"/>
      <c r="G9222" s="59"/>
      <c r="H9222" s="59"/>
      <c r="I9222" s="371"/>
      <c r="J9222" s="365"/>
      <c r="K9222" s="369"/>
      <c r="L9222" s="369"/>
      <c r="M9222" s="369"/>
      <c r="N9222" s="366"/>
      <c r="O9222" s="370"/>
      <c r="P9222" s="43"/>
    </row>
    <row r="9223" spans="1:16" ht="18" x14ac:dyDescent="0.35">
      <c r="A9223" s="43"/>
      <c r="B9223" s="59"/>
      <c r="C9223" s="60"/>
      <c r="D9223" s="59"/>
      <c r="E9223" s="59"/>
      <c r="F9223" s="59"/>
      <c r="G9223" s="59"/>
      <c r="H9223" s="59"/>
      <c r="I9223" s="371"/>
      <c r="J9223" s="365"/>
      <c r="K9223" s="369"/>
      <c r="L9223" s="369"/>
      <c r="M9223" s="369"/>
      <c r="N9223" s="366"/>
      <c r="O9223" s="370"/>
      <c r="P9223" s="43"/>
    </row>
    <row r="9224" spans="1:16" ht="18" x14ac:dyDescent="0.35">
      <c r="A9224" s="43"/>
      <c r="B9224" s="59"/>
      <c r="C9224" s="60"/>
      <c r="D9224" s="59"/>
      <c r="E9224" s="59"/>
      <c r="F9224" s="59"/>
      <c r="G9224" s="59"/>
      <c r="H9224" s="59"/>
      <c r="I9224" s="371"/>
      <c r="J9224" s="365"/>
      <c r="K9224" s="369"/>
      <c r="L9224" s="369"/>
      <c r="M9224" s="369"/>
      <c r="N9224" s="366"/>
      <c r="O9224" s="370"/>
      <c r="P9224" s="43"/>
    </row>
    <row r="9225" spans="1:16" ht="18" x14ac:dyDescent="0.35">
      <c r="A9225" s="43"/>
      <c r="B9225" s="59"/>
      <c r="C9225" s="60"/>
      <c r="D9225" s="59"/>
      <c r="E9225" s="59"/>
      <c r="F9225" s="59"/>
      <c r="G9225" s="59"/>
      <c r="H9225" s="59"/>
      <c r="I9225" s="371"/>
      <c r="J9225" s="365"/>
      <c r="K9225" s="369"/>
      <c r="L9225" s="369"/>
      <c r="M9225" s="369"/>
      <c r="N9225" s="366"/>
      <c r="O9225" s="370"/>
      <c r="P9225" s="43"/>
    </row>
    <row r="9226" spans="1:16" ht="18" x14ac:dyDescent="0.35">
      <c r="A9226" s="43"/>
      <c r="B9226" s="59"/>
      <c r="C9226" s="60"/>
      <c r="D9226" s="59"/>
      <c r="E9226" s="59"/>
      <c r="F9226" s="59"/>
      <c r="G9226" s="59"/>
      <c r="H9226" s="59"/>
      <c r="I9226" s="371"/>
      <c r="J9226" s="365"/>
      <c r="K9226" s="369"/>
      <c r="L9226" s="369"/>
      <c r="M9226" s="369"/>
      <c r="N9226" s="366"/>
      <c r="O9226" s="370"/>
      <c r="P9226" s="43"/>
    </row>
    <row r="9227" spans="1:16" ht="18" x14ac:dyDescent="0.35">
      <c r="A9227" s="43"/>
      <c r="B9227" s="59"/>
      <c r="C9227" s="60"/>
      <c r="D9227" s="59"/>
      <c r="E9227" s="59"/>
      <c r="F9227" s="59"/>
      <c r="G9227" s="59"/>
      <c r="H9227" s="59"/>
      <c r="I9227" s="371"/>
      <c r="J9227" s="365"/>
      <c r="K9227" s="369"/>
      <c r="L9227" s="369"/>
      <c r="M9227" s="369"/>
      <c r="N9227" s="366"/>
      <c r="O9227" s="370"/>
      <c r="P9227" s="43"/>
    </row>
    <row r="9228" spans="1:16" ht="18" x14ac:dyDescent="0.35">
      <c r="A9228" s="43"/>
      <c r="B9228" s="59"/>
      <c r="C9228" s="60"/>
      <c r="D9228" s="59"/>
      <c r="E9228" s="59"/>
      <c r="F9228" s="59"/>
      <c r="G9228" s="59"/>
      <c r="H9228" s="59"/>
      <c r="I9228" s="371"/>
      <c r="J9228" s="365"/>
      <c r="K9228" s="369"/>
      <c r="L9228" s="369"/>
      <c r="M9228" s="369"/>
      <c r="N9228" s="366"/>
      <c r="O9228" s="370"/>
      <c r="P9228" s="43"/>
    </row>
    <row r="9229" spans="1:16" ht="18" x14ac:dyDescent="0.35">
      <c r="A9229" s="43"/>
      <c r="B9229" s="59"/>
      <c r="C9229" s="60"/>
      <c r="D9229" s="59"/>
      <c r="E9229" s="59"/>
      <c r="F9229" s="59"/>
      <c r="G9229" s="59"/>
      <c r="H9229" s="59"/>
      <c r="I9229" s="371"/>
      <c r="J9229" s="365"/>
      <c r="K9229" s="369"/>
      <c r="L9229" s="369"/>
      <c r="M9229" s="369"/>
      <c r="N9229" s="366"/>
      <c r="O9229" s="370"/>
      <c r="P9229" s="43"/>
    </row>
    <row r="9230" spans="1:16" ht="18" x14ac:dyDescent="0.35">
      <c r="A9230" s="43"/>
      <c r="B9230" s="59"/>
      <c r="C9230" s="60"/>
      <c r="D9230" s="59"/>
      <c r="E9230" s="59"/>
      <c r="F9230" s="59"/>
      <c r="G9230" s="59"/>
      <c r="H9230" s="59"/>
      <c r="I9230" s="371"/>
      <c r="J9230" s="365"/>
      <c r="K9230" s="369"/>
      <c r="L9230" s="369"/>
      <c r="M9230" s="369"/>
      <c r="N9230" s="366"/>
      <c r="O9230" s="370"/>
      <c r="P9230" s="43"/>
    </row>
    <row r="9231" spans="1:16" ht="18" x14ac:dyDescent="0.35">
      <c r="A9231" s="43"/>
      <c r="B9231" s="59"/>
      <c r="C9231" s="60"/>
      <c r="D9231" s="59"/>
      <c r="E9231" s="59"/>
      <c r="F9231" s="59"/>
      <c r="G9231" s="59"/>
      <c r="H9231" s="59"/>
      <c r="I9231" s="371"/>
      <c r="J9231" s="365"/>
      <c r="K9231" s="369"/>
      <c r="L9231" s="369"/>
      <c r="M9231" s="369"/>
      <c r="N9231" s="366"/>
      <c r="O9231" s="370"/>
      <c r="P9231" s="43"/>
    </row>
    <row r="9232" spans="1:16" ht="18" x14ac:dyDescent="0.35">
      <c r="A9232" s="43"/>
      <c r="B9232" s="59"/>
      <c r="C9232" s="60"/>
      <c r="D9232" s="59"/>
      <c r="E9232" s="59"/>
      <c r="F9232" s="59"/>
      <c r="G9232" s="59"/>
      <c r="H9232" s="59"/>
      <c r="I9232" s="371"/>
      <c r="J9232" s="365"/>
      <c r="K9232" s="369"/>
      <c r="L9232" s="369"/>
      <c r="M9232" s="369"/>
      <c r="N9232" s="366"/>
      <c r="O9232" s="370"/>
      <c r="P9232" s="43"/>
    </row>
    <row r="9233" spans="1:16" ht="18" x14ac:dyDescent="0.35">
      <c r="A9233" s="43"/>
      <c r="B9233" s="59"/>
      <c r="C9233" s="60"/>
      <c r="D9233" s="59"/>
      <c r="E9233" s="59"/>
      <c r="F9233" s="59"/>
      <c r="G9233" s="59"/>
      <c r="H9233" s="59"/>
      <c r="I9233" s="371"/>
      <c r="J9233" s="365"/>
      <c r="K9233" s="369"/>
      <c r="L9233" s="369"/>
      <c r="M9233" s="369"/>
      <c r="N9233" s="366"/>
      <c r="O9233" s="370"/>
      <c r="P9233" s="43"/>
    </row>
    <row r="9234" spans="1:16" ht="18" x14ac:dyDescent="0.35">
      <c r="A9234" s="43"/>
      <c r="B9234" s="59"/>
      <c r="C9234" s="60"/>
      <c r="D9234" s="59"/>
      <c r="E9234" s="59"/>
      <c r="F9234" s="59"/>
      <c r="G9234" s="59"/>
      <c r="H9234" s="59"/>
      <c r="I9234" s="371"/>
      <c r="J9234" s="365"/>
      <c r="K9234" s="369"/>
      <c r="L9234" s="369"/>
      <c r="M9234" s="369"/>
      <c r="N9234" s="366"/>
      <c r="O9234" s="370"/>
      <c r="P9234" s="43"/>
    </row>
    <row r="9235" spans="1:16" ht="18" x14ac:dyDescent="0.35">
      <c r="A9235" s="43"/>
      <c r="B9235" s="59"/>
      <c r="C9235" s="60"/>
      <c r="D9235" s="59"/>
      <c r="E9235" s="59"/>
      <c r="F9235" s="59"/>
      <c r="G9235" s="59"/>
      <c r="H9235" s="59"/>
      <c r="I9235" s="371"/>
      <c r="J9235" s="365"/>
      <c r="K9235" s="369"/>
      <c r="L9235" s="369"/>
      <c r="M9235" s="369"/>
      <c r="N9235" s="366"/>
      <c r="O9235" s="370"/>
      <c r="P9235" s="43"/>
    </row>
    <row r="9236" spans="1:16" ht="18" x14ac:dyDescent="0.35">
      <c r="A9236" s="43"/>
      <c r="B9236" s="59"/>
      <c r="C9236" s="60"/>
      <c r="D9236" s="59"/>
      <c r="E9236" s="59"/>
      <c r="F9236" s="59"/>
      <c r="G9236" s="59"/>
      <c r="H9236" s="59"/>
      <c r="I9236" s="371"/>
      <c r="J9236" s="365"/>
      <c r="K9236" s="369"/>
      <c r="L9236" s="369"/>
      <c r="M9236" s="369"/>
      <c r="N9236" s="366"/>
      <c r="O9236" s="370"/>
      <c r="P9236" s="43"/>
    </row>
    <row r="9237" spans="1:16" ht="18" x14ac:dyDescent="0.35">
      <c r="A9237" s="43"/>
      <c r="B9237" s="59"/>
      <c r="C9237" s="60"/>
      <c r="D9237" s="59"/>
      <c r="E9237" s="59"/>
      <c r="F9237" s="59"/>
      <c r="G9237" s="59"/>
      <c r="H9237" s="59"/>
      <c r="I9237" s="371"/>
      <c r="J9237" s="365"/>
      <c r="K9237" s="369"/>
      <c r="L9237" s="369"/>
      <c r="M9237" s="369"/>
      <c r="N9237" s="366"/>
      <c r="O9237" s="370"/>
      <c r="P9237" s="43"/>
    </row>
    <row r="9238" spans="1:16" ht="18" x14ac:dyDescent="0.35">
      <c r="A9238" s="43"/>
      <c r="B9238" s="59"/>
      <c r="C9238" s="60"/>
      <c r="D9238" s="59"/>
      <c r="E9238" s="59"/>
      <c r="F9238" s="59"/>
      <c r="G9238" s="59"/>
      <c r="H9238" s="59"/>
      <c r="I9238" s="371"/>
      <c r="J9238" s="365"/>
      <c r="K9238" s="369"/>
      <c r="L9238" s="369"/>
      <c r="M9238" s="369"/>
      <c r="N9238" s="366"/>
      <c r="O9238" s="370"/>
      <c r="P9238" s="43"/>
    </row>
    <row r="9239" spans="1:16" ht="18" x14ac:dyDescent="0.35">
      <c r="A9239" s="43"/>
      <c r="B9239" s="59"/>
      <c r="C9239" s="60"/>
      <c r="D9239" s="59"/>
      <c r="E9239" s="59"/>
      <c r="F9239" s="59"/>
      <c r="G9239" s="59"/>
      <c r="H9239" s="59"/>
      <c r="I9239" s="371"/>
      <c r="J9239" s="365"/>
      <c r="K9239" s="369"/>
      <c r="L9239" s="369"/>
      <c r="M9239" s="369"/>
      <c r="N9239" s="366"/>
      <c r="O9239" s="370"/>
      <c r="P9239" s="43"/>
    </row>
    <row r="9240" spans="1:16" ht="18" x14ac:dyDescent="0.35">
      <c r="A9240" s="43"/>
      <c r="B9240" s="59"/>
      <c r="C9240" s="60"/>
      <c r="D9240" s="59"/>
      <c r="E9240" s="59"/>
      <c r="F9240" s="59"/>
      <c r="G9240" s="59"/>
      <c r="H9240" s="59"/>
      <c r="I9240" s="371"/>
      <c r="J9240" s="365"/>
      <c r="K9240" s="369"/>
      <c r="L9240" s="369"/>
      <c r="M9240" s="369"/>
      <c r="N9240" s="366"/>
      <c r="O9240" s="370"/>
      <c r="P9240" s="43"/>
    </row>
    <row r="9241" spans="1:16" ht="18" x14ac:dyDescent="0.35">
      <c r="A9241" s="43"/>
      <c r="B9241" s="59"/>
      <c r="C9241" s="60"/>
      <c r="D9241" s="59"/>
      <c r="E9241" s="59"/>
      <c r="F9241" s="59"/>
      <c r="G9241" s="59"/>
      <c r="H9241" s="59"/>
      <c r="I9241" s="371"/>
      <c r="J9241" s="365"/>
      <c r="K9241" s="369"/>
      <c r="L9241" s="369"/>
      <c r="M9241" s="369"/>
      <c r="N9241" s="366"/>
      <c r="O9241" s="370"/>
      <c r="P9241" s="43"/>
    </row>
    <row r="9242" spans="1:16" ht="18" x14ac:dyDescent="0.35">
      <c r="A9242" s="43"/>
      <c r="B9242" s="59"/>
      <c r="C9242" s="60"/>
      <c r="D9242" s="59"/>
      <c r="E9242" s="59"/>
      <c r="F9242" s="59"/>
      <c r="G9242" s="59"/>
      <c r="H9242" s="59"/>
      <c r="I9242" s="371"/>
      <c r="J9242" s="365"/>
      <c r="K9242" s="369"/>
      <c r="L9242" s="369"/>
      <c r="M9242" s="369"/>
      <c r="N9242" s="366"/>
      <c r="O9242" s="370"/>
      <c r="P9242" s="43"/>
    </row>
    <row r="9243" spans="1:16" ht="18" x14ac:dyDescent="0.35">
      <c r="A9243" s="43"/>
      <c r="B9243" s="59"/>
      <c r="C9243" s="60"/>
      <c r="D9243" s="59"/>
      <c r="E9243" s="59"/>
      <c r="F9243" s="59"/>
      <c r="G9243" s="59"/>
      <c r="H9243" s="59"/>
      <c r="I9243" s="371"/>
      <c r="J9243" s="365"/>
      <c r="K9243" s="369"/>
      <c r="L9243" s="369"/>
      <c r="M9243" s="369"/>
      <c r="N9243" s="366"/>
      <c r="O9243" s="370"/>
      <c r="P9243" s="43"/>
    </row>
    <row r="9244" spans="1:16" ht="18" x14ac:dyDescent="0.35">
      <c r="A9244" s="43"/>
      <c r="B9244" s="59"/>
      <c r="C9244" s="60"/>
      <c r="D9244" s="59"/>
      <c r="E9244" s="59"/>
      <c r="F9244" s="59"/>
      <c r="G9244" s="59"/>
      <c r="H9244" s="59"/>
      <c r="I9244" s="371"/>
      <c r="J9244" s="365"/>
      <c r="K9244" s="369"/>
      <c r="L9244" s="369"/>
      <c r="M9244" s="369"/>
      <c r="N9244" s="366"/>
      <c r="O9244" s="370"/>
      <c r="P9244" s="43"/>
    </row>
    <row r="9245" spans="1:16" ht="18" x14ac:dyDescent="0.35">
      <c r="A9245" s="43"/>
      <c r="B9245" s="59"/>
      <c r="C9245" s="60"/>
      <c r="D9245" s="59"/>
      <c r="E9245" s="59"/>
      <c r="F9245" s="59"/>
      <c r="G9245" s="59"/>
      <c r="H9245" s="59"/>
      <c r="I9245" s="371"/>
      <c r="J9245" s="365"/>
      <c r="K9245" s="369"/>
      <c r="L9245" s="369"/>
      <c r="M9245" s="369"/>
      <c r="N9245" s="366"/>
      <c r="O9245" s="370"/>
      <c r="P9245" s="43"/>
    </row>
    <row r="9246" spans="1:16" ht="18" x14ac:dyDescent="0.35">
      <c r="A9246" s="43"/>
      <c r="B9246" s="59"/>
      <c r="C9246" s="60"/>
      <c r="D9246" s="59"/>
      <c r="E9246" s="59"/>
      <c r="F9246" s="59"/>
      <c r="G9246" s="59"/>
      <c r="H9246" s="59"/>
      <c r="I9246" s="371"/>
      <c r="J9246" s="365"/>
      <c r="K9246" s="369"/>
      <c r="L9246" s="369"/>
      <c r="M9246" s="369"/>
      <c r="N9246" s="366"/>
      <c r="O9246" s="370"/>
      <c r="P9246" s="43"/>
    </row>
    <row r="9247" spans="1:16" ht="18" x14ac:dyDescent="0.35">
      <c r="A9247" s="43"/>
      <c r="B9247" s="59"/>
      <c r="C9247" s="60"/>
      <c r="D9247" s="59"/>
      <c r="E9247" s="59"/>
      <c r="F9247" s="59"/>
      <c r="G9247" s="59"/>
      <c r="H9247" s="59"/>
      <c r="I9247" s="371"/>
      <c r="J9247" s="365"/>
      <c r="K9247" s="369"/>
      <c r="L9247" s="369"/>
      <c r="M9247" s="369"/>
      <c r="N9247" s="366"/>
      <c r="O9247" s="370"/>
      <c r="P9247" s="43"/>
    </row>
    <row r="9248" spans="1:16" ht="18" x14ac:dyDescent="0.35">
      <c r="A9248" s="43"/>
      <c r="B9248" s="59"/>
      <c r="C9248" s="60"/>
      <c r="D9248" s="59"/>
      <c r="E9248" s="59"/>
      <c r="F9248" s="59"/>
      <c r="G9248" s="59"/>
      <c r="H9248" s="59"/>
      <c r="I9248" s="371"/>
      <c r="J9248" s="365"/>
      <c r="K9248" s="369"/>
      <c r="L9248" s="369"/>
      <c r="M9248" s="369"/>
      <c r="N9248" s="366"/>
      <c r="O9248" s="370"/>
      <c r="P9248" s="43"/>
    </row>
    <row r="9249" spans="1:16" ht="18" x14ac:dyDescent="0.35">
      <c r="A9249" s="43"/>
      <c r="B9249" s="59"/>
      <c r="C9249" s="60"/>
      <c r="D9249" s="59"/>
      <c r="E9249" s="59"/>
      <c r="F9249" s="59"/>
      <c r="G9249" s="59"/>
      <c r="H9249" s="59"/>
      <c r="I9249" s="371"/>
      <c r="J9249" s="365"/>
      <c r="K9249" s="369"/>
      <c r="L9249" s="369"/>
      <c r="M9249" s="369"/>
      <c r="N9249" s="366"/>
      <c r="O9249" s="370"/>
      <c r="P9249" s="43"/>
    </row>
    <row r="9250" spans="1:16" ht="18" x14ac:dyDescent="0.35">
      <c r="A9250" s="43"/>
      <c r="B9250" s="59"/>
      <c r="C9250" s="60"/>
      <c r="D9250" s="59"/>
      <c r="E9250" s="59"/>
      <c r="F9250" s="59"/>
      <c r="G9250" s="59"/>
      <c r="H9250" s="59"/>
      <c r="I9250" s="371"/>
      <c r="J9250" s="365"/>
      <c r="K9250" s="369"/>
      <c r="L9250" s="369"/>
      <c r="M9250" s="369"/>
      <c r="N9250" s="366"/>
      <c r="O9250" s="370"/>
      <c r="P9250" s="43"/>
    </row>
    <row r="9251" spans="1:16" ht="18" x14ac:dyDescent="0.35">
      <c r="A9251" s="43"/>
      <c r="B9251" s="59"/>
      <c r="C9251" s="60"/>
      <c r="D9251" s="59"/>
      <c r="E9251" s="59"/>
      <c r="F9251" s="59"/>
      <c r="G9251" s="59"/>
      <c r="H9251" s="59"/>
      <c r="I9251" s="371"/>
      <c r="J9251" s="365"/>
      <c r="K9251" s="369"/>
      <c r="L9251" s="369"/>
      <c r="M9251" s="369"/>
      <c r="N9251" s="366"/>
      <c r="O9251" s="370"/>
      <c r="P9251" s="43"/>
    </row>
    <row r="9252" spans="1:16" ht="18" x14ac:dyDescent="0.35">
      <c r="A9252" s="43"/>
      <c r="B9252" s="59"/>
      <c r="C9252" s="60"/>
      <c r="D9252" s="59"/>
      <c r="E9252" s="59"/>
      <c r="F9252" s="59"/>
      <c r="G9252" s="59"/>
      <c r="H9252" s="59"/>
      <c r="I9252" s="371"/>
      <c r="J9252" s="365"/>
      <c r="K9252" s="369"/>
      <c r="L9252" s="369"/>
      <c r="M9252" s="369"/>
      <c r="N9252" s="366"/>
      <c r="O9252" s="370"/>
      <c r="P9252" s="43"/>
    </row>
    <row r="9253" spans="1:16" ht="18" x14ac:dyDescent="0.35">
      <c r="A9253" s="43"/>
      <c r="B9253" s="59"/>
      <c r="C9253" s="60"/>
      <c r="D9253" s="59"/>
      <c r="E9253" s="59"/>
      <c r="F9253" s="59"/>
      <c r="G9253" s="59"/>
      <c r="H9253" s="59"/>
      <c r="I9253" s="371"/>
      <c r="J9253" s="365"/>
      <c r="K9253" s="369"/>
      <c r="L9253" s="369"/>
      <c r="M9253" s="369"/>
      <c r="N9253" s="366"/>
      <c r="O9253" s="370"/>
      <c r="P9253" s="43"/>
    </row>
    <row r="9254" spans="1:16" ht="18" x14ac:dyDescent="0.35">
      <c r="A9254" s="43"/>
      <c r="B9254" s="59"/>
      <c r="C9254" s="60"/>
      <c r="D9254" s="59"/>
      <c r="E9254" s="59"/>
      <c r="F9254" s="59"/>
      <c r="G9254" s="59"/>
      <c r="H9254" s="59"/>
      <c r="I9254" s="371"/>
      <c r="J9254" s="365"/>
      <c r="K9254" s="369"/>
      <c r="L9254" s="369"/>
      <c r="M9254" s="369"/>
      <c r="N9254" s="366"/>
      <c r="O9254" s="370"/>
      <c r="P9254" s="43"/>
    </row>
    <row r="9255" spans="1:16" ht="18" x14ac:dyDescent="0.35">
      <c r="A9255" s="43"/>
      <c r="B9255" s="59"/>
      <c r="C9255" s="60"/>
      <c r="D9255" s="59"/>
      <c r="E9255" s="59"/>
      <c r="F9255" s="59"/>
      <c r="G9255" s="59"/>
      <c r="H9255" s="59"/>
      <c r="I9255" s="371"/>
      <c r="J9255" s="365"/>
      <c r="K9255" s="369"/>
      <c r="L9255" s="369"/>
      <c r="M9255" s="369"/>
      <c r="N9255" s="366"/>
      <c r="O9255" s="370"/>
      <c r="P9255" s="43"/>
    </row>
    <row r="9256" spans="1:16" ht="18" x14ac:dyDescent="0.35">
      <c r="A9256" s="43"/>
      <c r="B9256" s="59"/>
      <c r="C9256" s="60"/>
      <c r="D9256" s="59"/>
      <c r="E9256" s="59"/>
      <c r="F9256" s="59"/>
      <c r="G9256" s="59"/>
      <c r="H9256" s="59"/>
      <c r="I9256" s="371"/>
      <c r="J9256" s="365"/>
      <c r="K9256" s="369"/>
      <c r="L9256" s="369"/>
      <c r="M9256" s="369"/>
      <c r="N9256" s="366"/>
      <c r="O9256" s="370"/>
      <c r="P9256" s="43"/>
    </row>
    <row r="9257" spans="1:16" ht="18" x14ac:dyDescent="0.35">
      <c r="A9257" s="43"/>
      <c r="B9257" s="59"/>
      <c r="C9257" s="60"/>
      <c r="D9257" s="59"/>
      <c r="E9257" s="59"/>
      <c r="F9257" s="59"/>
      <c r="G9257" s="59"/>
      <c r="H9257" s="59"/>
      <c r="I9257" s="371"/>
      <c r="J9257" s="365"/>
      <c r="K9257" s="369"/>
      <c r="L9257" s="369"/>
      <c r="M9257" s="369"/>
      <c r="N9257" s="366"/>
      <c r="O9257" s="370"/>
      <c r="P9257" s="43"/>
    </row>
    <row r="9258" spans="1:16" ht="18" x14ac:dyDescent="0.35">
      <c r="A9258" s="43"/>
      <c r="B9258" s="59"/>
      <c r="C9258" s="60"/>
      <c r="D9258" s="59"/>
      <c r="E9258" s="59"/>
      <c r="F9258" s="59"/>
      <c r="G9258" s="59"/>
      <c r="H9258" s="59"/>
      <c r="I9258" s="371"/>
      <c r="J9258" s="365"/>
      <c r="K9258" s="369"/>
      <c r="L9258" s="369"/>
      <c r="M9258" s="369"/>
      <c r="N9258" s="366"/>
      <c r="O9258" s="370"/>
      <c r="P9258" s="43"/>
    </row>
    <row r="9259" spans="1:16" ht="18" x14ac:dyDescent="0.35">
      <c r="A9259" s="43"/>
      <c r="B9259" s="59"/>
      <c r="C9259" s="60"/>
      <c r="D9259" s="59"/>
      <c r="E9259" s="59"/>
      <c r="F9259" s="59"/>
      <c r="G9259" s="59"/>
      <c r="H9259" s="59"/>
      <c r="I9259" s="371"/>
      <c r="J9259" s="365"/>
      <c r="K9259" s="369"/>
      <c r="L9259" s="369"/>
      <c r="M9259" s="369"/>
      <c r="N9259" s="366"/>
      <c r="O9259" s="370"/>
      <c r="P9259" s="43"/>
    </row>
    <row r="9260" spans="1:16" ht="18" x14ac:dyDescent="0.35">
      <c r="A9260" s="43"/>
      <c r="B9260" s="59"/>
      <c r="C9260" s="60"/>
      <c r="D9260" s="59"/>
      <c r="E9260" s="59"/>
      <c r="F9260" s="59"/>
      <c r="G9260" s="59"/>
      <c r="H9260" s="59"/>
      <c r="I9260" s="371"/>
      <c r="J9260" s="365"/>
      <c r="K9260" s="369"/>
      <c r="L9260" s="369"/>
      <c r="M9260" s="369"/>
      <c r="N9260" s="366"/>
      <c r="O9260" s="370"/>
      <c r="P9260" s="43"/>
    </row>
    <row r="9261" spans="1:16" ht="18" x14ac:dyDescent="0.35">
      <c r="A9261" s="43"/>
      <c r="B9261" s="59"/>
      <c r="C9261" s="60"/>
      <c r="D9261" s="59"/>
      <c r="E9261" s="59"/>
      <c r="F9261" s="59"/>
      <c r="G9261" s="59"/>
      <c r="H9261" s="59"/>
      <c r="I9261" s="371"/>
      <c r="J9261" s="365"/>
      <c r="K9261" s="369"/>
      <c r="L9261" s="369"/>
      <c r="M9261" s="369"/>
      <c r="N9261" s="366"/>
      <c r="O9261" s="370"/>
      <c r="P9261" s="43"/>
    </row>
    <row r="9262" spans="1:16" ht="18" x14ac:dyDescent="0.35">
      <c r="A9262" s="43"/>
      <c r="B9262" s="59"/>
      <c r="C9262" s="60"/>
      <c r="D9262" s="59"/>
      <c r="E9262" s="59"/>
      <c r="F9262" s="59"/>
      <c r="G9262" s="59"/>
      <c r="H9262" s="59"/>
      <c r="I9262" s="371"/>
      <c r="J9262" s="365"/>
      <c r="K9262" s="369"/>
      <c r="L9262" s="369"/>
      <c r="M9262" s="369"/>
      <c r="N9262" s="366"/>
      <c r="O9262" s="370"/>
      <c r="P9262" s="43"/>
    </row>
    <row r="9263" spans="1:16" ht="18" x14ac:dyDescent="0.35">
      <c r="A9263" s="43"/>
      <c r="B9263" s="59"/>
      <c r="C9263" s="60"/>
      <c r="D9263" s="59"/>
      <c r="E9263" s="59"/>
      <c r="F9263" s="59"/>
      <c r="G9263" s="59"/>
      <c r="H9263" s="59"/>
      <c r="I9263" s="371"/>
      <c r="J9263" s="365"/>
      <c r="K9263" s="369"/>
      <c r="L9263" s="369"/>
      <c r="M9263" s="369"/>
      <c r="N9263" s="366"/>
      <c r="O9263" s="370"/>
      <c r="P9263" s="43"/>
    </row>
    <row r="9264" spans="1:16" ht="18" x14ac:dyDescent="0.35">
      <c r="A9264" s="43"/>
      <c r="B9264" s="59"/>
      <c r="C9264" s="60"/>
      <c r="D9264" s="59"/>
      <c r="E9264" s="59"/>
      <c r="F9264" s="59"/>
      <c r="G9264" s="59"/>
      <c r="H9264" s="59"/>
      <c r="I9264" s="371"/>
      <c r="J9264" s="365"/>
      <c r="K9264" s="369"/>
      <c r="L9264" s="369"/>
      <c r="M9264" s="369"/>
      <c r="N9264" s="366"/>
      <c r="O9264" s="370"/>
      <c r="P9264" s="43"/>
    </row>
    <row r="9265" spans="1:16" ht="18" x14ac:dyDescent="0.35">
      <c r="A9265" s="43"/>
      <c r="B9265" s="59"/>
      <c r="C9265" s="60"/>
      <c r="D9265" s="59"/>
      <c r="E9265" s="59"/>
      <c r="F9265" s="59"/>
      <c r="G9265" s="59"/>
      <c r="H9265" s="59"/>
      <c r="I9265" s="371"/>
      <c r="J9265" s="365"/>
      <c r="K9265" s="369"/>
      <c r="L9265" s="369"/>
      <c r="M9265" s="369"/>
      <c r="N9265" s="366"/>
      <c r="O9265" s="370"/>
      <c r="P9265" s="43"/>
    </row>
    <row r="9266" spans="1:16" ht="18" x14ac:dyDescent="0.35">
      <c r="A9266" s="43"/>
      <c r="B9266" s="59"/>
      <c r="C9266" s="60"/>
      <c r="D9266" s="59"/>
      <c r="E9266" s="59"/>
      <c r="F9266" s="59"/>
      <c r="G9266" s="59"/>
      <c r="H9266" s="59"/>
      <c r="I9266" s="371"/>
      <c r="J9266" s="365"/>
      <c r="K9266" s="369"/>
      <c r="L9266" s="369"/>
      <c r="M9266" s="369"/>
      <c r="N9266" s="366"/>
      <c r="O9266" s="370"/>
      <c r="P9266" s="43"/>
    </row>
    <row r="9267" spans="1:16" ht="18" x14ac:dyDescent="0.35">
      <c r="A9267" s="43"/>
      <c r="B9267" s="59"/>
      <c r="C9267" s="60"/>
      <c r="D9267" s="59"/>
      <c r="E9267" s="59"/>
      <c r="F9267" s="59"/>
      <c r="G9267" s="59"/>
      <c r="H9267" s="59"/>
      <c r="I9267" s="371"/>
      <c r="J9267" s="365"/>
      <c r="K9267" s="369"/>
      <c r="L9267" s="369"/>
      <c r="M9267" s="369"/>
      <c r="N9267" s="366"/>
      <c r="O9267" s="370"/>
      <c r="P9267" s="43"/>
    </row>
    <row r="9268" spans="1:16" ht="18" x14ac:dyDescent="0.35">
      <c r="A9268" s="43"/>
      <c r="B9268" s="59"/>
      <c r="C9268" s="60"/>
      <c r="D9268" s="59"/>
      <c r="E9268" s="59"/>
      <c r="F9268" s="59"/>
      <c r="G9268" s="59"/>
      <c r="H9268" s="59"/>
      <c r="I9268" s="371"/>
      <c r="J9268" s="365"/>
      <c r="K9268" s="369"/>
      <c r="L9268" s="369"/>
      <c r="M9268" s="369"/>
      <c r="N9268" s="366"/>
      <c r="O9268" s="370"/>
      <c r="P9268" s="43"/>
    </row>
    <row r="9269" spans="1:16" ht="18" x14ac:dyDescent="0.35">
      <c r="A9269" s="43"/>
      <c r="B9269" s="59"/>
      <c r="C9269" s="60"/>
      <c r="D9269" s="59"/>
      <c r="E9269" s="59"/>
      <c r="F9269" s="59"/>
      <c r="G9269" s="59"/>
      <c r="H9269" s="59"/>
      <c r="I9269" s="371"/>
      <c r="J9269" s="365"/>
      <c r="K9269" s="369"/>
      <c r="L9269" s="369"/>
      <c r="M9269" s="369"/>
      <c r="N9269" s="366"/>
      <c r="O9269" s="370"/>
      <c r="P9269" s="43"/>
    </row>
    <row r="9270" spans="1:16" ht="18" x14ac:dyDescent="0.35">
      <c r="A9270" s="43"/>
      <c r="B9270" s="59"/>
      <c r="C9270" s="60"/>
      <c r="D9270" s="59"/>
      <c r="E9270" s="59"/>
      <c r="F9270" s="59"/>
      <c r="G9270" s="59"/>
      <c r="H9270" s="59"/>
      <c r="I9270" s="371"/>
      <c r="J9270" s="365"/>
      <c r="K9270" s="369"/>
      <c r="L9270" s="369"/>
      <c r="M9270" s="369"/>
      <c r="N9270" s="366"/>
      <c r="O9270" s="370"/>
      <c r="P9270" s="43"/>
    </row>
    <row r="9271" spans="1:16" ht="18" x14ac:dyDescent="0.35">
      <c r="A9271" s="43"/>
      <c r="B9271" s="59"/>
      <c r="C9271" s="60"/>
      <c r="D9271" s="59"/>
      <c r="E9271" s="59"/>
      <c r="F9271" s="59"/>
      <c r="G9271" s="59"/>
      <c r="H9271" s="59"/>
      <c r="I9271" s="371"/>
      <c r="J9271" s="365"/>
      <c r="K9271" s="369"/>
      <c r="L9271" s="369"/>
      <c r="M9271" s="369"/>
      <c r="N9271" s="366"/>
      <c r="O9271" s="370"/>
      <c r="P9271" s="43"/>
    </row>
    <row r="9272" spans="1:16" ht="18" x14ac:dyDescent="0.35">
      <c r="A9272" s="43"/>
      <c r="B9272" s="59"/>
      <c r="C9272" s="60"/>
      <c r="D9272" s="59"/>
      <c r="E9272" s="59"/>
      <c r="F9272" s="59"/>
      <c r="G9272" s="59"/>
      <c r="H9272" s="59"/>
      <c r="I9272" s="371"/>
      <c r="J9272" s="365"/>
      <c r="K9272" s="369"/>
      <c r="L9272" s="369"/>
      <c r="M9272" s="369"/>
      <c r="N9272" s="366"/>
      <c r="O9272" s="370"/>
      <c r="P9272" s="43"/>
    </row>
    <row r="9273" spans="1:16" ht="18" x14ac:dyDescent="0.35">
      <c r="A9273" s="43"/>
      <c r="B9273" s="59"/>
      <c r="C9273" s="60"/>
      <c r="D9273" s="59"/>
      <c r="E9273" s="59"/>
      <c r="F9273" s="59"/>
      <c r="G9273" s="59"/>
      <c r="H9273" s="59"/>
      <c r="I9273" s="371"/>
      <c r="J9273" s="365"/>
      <c r="K9273" s="369"/>
      <c r="L9273" s="369"/>
      <c r="M9273" s="369"/>
      <c r="N9273" s="366"/>
      <c r="O9273" s="370"/>
      <c r="P9273" s="43"/>
    </row>
    <row r="9274" spans="1:16" ht="18" x14ac:dyDescent="0.35">
      <c r="A9274" s="43"/>
      <c r="B9274" s="59"/>
      <c r="C9274" s="60"/>
      <c r="D9274" s="59"/>
      <c r="E9274" s="59"/>
      <c r="F9274" s="59"/>
      <c r="G9274" s="59"/>
      <c r="H9274" s="59"/>
      <c r="I9274" s="371"/>
      <c r="J9274" s="365"/>
      <c r="K9274" s="369"/>
      <c r="L9274" s="369"/>
      <c r="M9274" s="369"/>
      <c r="N9274" s="366"/>
      <c r="O9274" s="370"/>
      <c r="P9274" s="43"/>
    </row>
    <row r="9275" spans="1:16" ht="18" x14ac:dyDescent="0.35">
      <c r="A9275" s="43"/>
      <c r="B9275" s="59"/>
      <c r="C9275" s="60"/>
      <c r="D9275" s="59"/>
      <c r="E9275" s="59"/>
      <c r="F9275" s="59"/>
      <c r="G9275" s="59"/>
      <c r="H9275" s="59"/>
      <c r="I9275" s="371"/>
      <c r="J9275" s="365"/>
      <c r="K9275" s="369"/>
      <c r="L9275" s="369"/>
      <c r="M9275" s="369"/>
      <c r="N9275" s="366"/>
      <c r="O9275" s="370"/>
      <c r="P9275" s="43"/>
    </row>
    <row r="9276" spans="1:16" ht="18" x14ac:dyDescent="0.35">
      <c r="A9276" s="43"/>
      <c r="B9276" s="59"/>
      <c r="C9276" s="60"/>
      <c r="D9276" s="59"/>
      <c r="E9276" s="59"/>
      <c r="F9276" s="59"/>
      <c r="G9276" s="59"/>
      <c r="H9276" s="59"/>
      <c r="I9276" s="371"/>
      <c r="J9276" s="365"/>
      <c r="K9276" s="369"/>
      <c r="L9276" s="369"/>
      <c r="M9276" s="369"/>
      <c r="N9276" s="366"/>
      <c r="O9276" s="370"/>
      <c r="P9276" s="43"/>
    </row>
    <row r="9277" spans="1:16" ht="18" x14ac:dyDescent="0.35">
      <c r="A9277" s="43"/>
      <c r="B9277" s="59"/>
      <c r="C9277" s="60"/>
      <c r="D9277" s="59"/>
      <c r="E9277" s="59"/>
      <c r="F9277" s="59"/>
      <c r="G9277" s="59"/>
      <c r="H9277" s="59"/>
      <c r="I9277" s="371"/>
      <c r="J9277" s="365"/>
      <c r="K9277" s="369"/>
      <c r="L9277" s="369"/>
      <c r="M9277" s="369"/>
      <c r="N9277" s="366"/>
      <c r="O9277" s="370"/>
      <c r="P9277" s="43"/>
    </row>
    <row r="9278" spans="1:16" ht="18" x14ac:dyDescent="0.35">
      <c r="A9278" s="43"/>
      <c r="B9278" s="59"/>
      <c r="C9278" s="60"/>
      <c r="D9278" s="59"/>
      <c r="E9278" s="59"/>
      <c r="F9278" s="59"/>
      <c r="G9278" s="59"/>
      <c r="H9278" s="59"/>
      <c r="I9278" s="371"/>
      <c r="J9278" s="365"/>
      <c r="K9278" s="369"/>
      <c r="L9278" s="369"/>
      <c r="M9278" s="369"/>
      <c r="N9278" s="366"/>
      <c r="O9278" s="370"/>
      <c r="P9278" s="43"/>
    </row>
    <row r="9279" spans="1:16" ht="18" x14ac:dyDescent="0.35">
      <c r="A9279" s="43"/>
      <c r="B9279" s="59"/>
      <c r="C9279" s="60"/>
      <c r="D9279" s="59"/>
      <c r="E9279" s="59"/>
      <c r="F9279" s="59"/>
      <c r="G9279" s="59"/>
      <c r="H9279" s="59"/>
      <c r="I9279" s="371"/>
      <c r="J9279" s="365"/>
      <c r="K9279" s="369"/>
      <c r="L9279" s="369"/>
      <c r="M9279" s="369"/>
      <c r="N9279" s="366"/>
      <c r="O9279" s="370"/>
      <c r="P9279" s="43"/>
    </row>
    <row r="9280" spans="1:16" ht="18" x14ac:dyDescent="0.35">
      <c r="A9280" s="43"/>
      <c r="B9280" s="59"/>
      <c r="C9280" s="60"/>
      <c r="D9280" s="59"/>
      <c r="E9280" s="59"/>
      <c r="F9280" s="59"/>
      <c r="G9280" s="59"/>
      <c r="H9280" s="59"/>
      <c r="I9280" s="371"/>
      <c r="J9280" s="365"/>
      <c r="K9280" s="369"/>
      <c r="L9280" s="369"/>
      <c r="M9280" s="369"/>
      <c r="N9280" s="366"/>
      <c r="O9280" s="370"/>
      <c r="P9280" s="43"/>
    </row>
    <row r="9281" spans="1:16" ht="18" x14ac:dyDescent="0.35">
      <c r="A9281" s="43"/>
      <c r="B9281" s="59"/>
      <c r="C9281" s="60"/>
      <c r="D9281" s="59"/>
      <c r="E9281" s="59"/>
      <c r="F9281" s="59"/>
      <c r="G9281" s="59"/>
      <c r="H9281" s="59"/>
      <c r="I9281" s="371"/>
      <c r="J9281" s="365"/>
      <c r="K9281" s="369"/>
      <c r="L9281" s="369"/>
      <c r="M9281" s="369"/>
      <c r="N9281" s="366"/>
      <c r="O9281" s="370"/>
      <c r="P9281" s="43"/>
    </row>
    <row r="9282" spans="1:16" ht="18" x14ac:dyDescent="0.35">
      <c r="A9282" s="43"/>
      <c r="B9282" s="59"/>
      <c r="C9282" s="60"/>
      <c r="D9282" s="59"/>
      <c r="E9282" s="59"/>
      <c r="F9282" s="59"/>
      <c r="G9282" s="59"/>
      <c r="H9282" s="59"/>
      <c r="I9282" s="371"/>
      <c r="J9282" s="365"/>
      <c r="K9282" s="369"/>
      <c r="L9282" s="369"/>
      <c r="M9282" s="369"/>
      <c r="N9282" s="366"/>
      <c r="O9282" s="370"/>
      <c r="P9282" s="43"/>
    </row>
    <row r="9283" spans="1:16" ht="18" x14ac:dyDescent="0.35">
      <c r="A9283" s="43"/>
      <c r="B9283" s="59"/>
      <c r="C9283" s="60"/>
      <c r="D9283" s="59"/>
      <c r="E9283" s="59"/>
      <c r="F9283" s="59"/>
      <c r="G9283" s="59"/>
      <c r="H9283" s="59"/>
      <c r="I9283" s="371"/>
      <c r="J9283" s="365"/>
      <c r="K9283" s="369"/>
      <c r="L9283" s="369"/>
      <c r="M9283" s="369"/>
      <c r="N9283" s="366"/>
      <c r="O9283" s="370"/>
      <c r="P9283" s="43"/>
    </row>
    <row r="9284" spans="1:16" ht="18" x14ac:dyDescent="0.35">
      <c r="A9284" s="43"/>
      <c r="B9284" s="59"/>
      <c r="C9284" s="60"/>
      <c r="D9284" s="59"/>
      <c r="E9284" s="59"/>
      <c r="F9284" s="59"/>
      <c r="G9284" s="59"/>
      <c r="H9284" s="59"/>
      <c r="I9284" s="371"/>
      <c r="J9284" s="365"/>
      <c r="K9284" s="369"/>
      <c r="L9284" s="369"/>
      <c r="M9284" s="369"/>
      <c r="N9284" s="366"/>
      <c r="O9284" s="370"/>
      <c r="P9284" s="43"/>
    </row>
    <row r="9285" spans="1:16" ht="18" x14ac:dyDescent="0.35">
      <c r="A9285" s="43"/>
      <c r="B9285" s="59"/>
      <c r="C9285" s="60"/>
      <c r="D9285" s="59"/>
      <c r="E9285" s="59"/>
      <c r="F9285" s="59"/>
      <c r="G9285" s="59"/>
      <c r="H9285" s="59"/>
      <c r="I9285" s="371"/>
      <c r="J9285" s="365"/>
      <c r="K9285" s="369"/>
      <c r="L9285" s="369"/>
      <c r="M9285" s="369"/>
      <c r="N9285" s="366"/>
      <c r="O9285" s="370"/>
      <c r="P9285" s="43"/>
    </row>
    <row r="9286" spans="1:16" ht="18" x14ac:dyDescent="0.35">
      <c r="A9286" s="43"/>
      <c r="B9286" s="59"/>
      <c r="C9286" s="60"/>
      <c r="D9286" s="59"/>
      <c r="E9286" s="59"/>
      <c r="F9286" s="59"/>
      <c r="G9286" s="59"/>
      <c r="H9286" s="59"/>
      <c r="I9286" s="371"/>
      <c r="J9286" s="365"/>
      <c r="K9286" s="369"/>
      <c r="L9286" s="369"/>
      <c r="M9286" s="369"/>
      <c r="N9286" s="366"/>
      <c r="O9286" s="370"/>
      <c r="P9286" s="43"/>
    </row>
    <row r="9287" spans="1:16" ht="18" x14ac:dyDescent="0.35">
      <c r="A9287" s="43"/>
      <c r="B9287" s="59"/>
      <c r="C9287" s="60"/>
      <c r="D9287" s="59"/>
      <c r="E9287" s="59"/>
      <c r="F9287" s="59"/>
      <c r="G9287" s="59"/>
      <c r="H9287" s="59"/>
      <c r="I9287" s="371"/>
      <c r="J9287" s="365"/>
      <c r="K9287" s="369"/>
      <c r="L9287" s="369"/>
      <c r="M9287" s="369"/>
      <c r="N9287" s="366"/>
      <c r="O9287" s="370"/>
      <c r="P9287" s="43"/>
    </row>
    <row r="9288" spans="1:16" ht="18" x14ac:dyDescent="0.35">
      <c r="A9288" s="43"/>
      <c r="B9288" s="59"/>
      <c r="C9288" s="60"/>
      <c r="D9288" s="59"/>
      <c r="E9288" s="59"/>
      <c r="F9288" s="59"/>
      <c r="G9288" s="59"/>
      <c r="H9288" s="59"/>
      <c r="I9288" s="371"/>
      <c r="J9288" s="365"/>
      <c r="K9288" s="369"/>
      <c r="L9288" s="369"/>
      <c r="M9288" s="369"/>
      <c r="N9288" s="366"/>
      <c r="O9288" s="370"/>
      <c r="P9288" s="43"/>
    </row>
    <row r="9289" spans="1:16" ht="18" x14ac:dyDescent="0.35">
      <c r="A9289" s="43"/>
      <c r="B9289" s="59"/>
      <c r="C9289" s="60"/>
      <c r="D9289" s="59"/>
      <c r="E9289" s="59"/>
      <c r="F9289" s="59"/>
      <c r="G9289" s="59"/>
      <c r="H9289" s="59"/>
      <c r="I9289" s="371"/>
      <c r="J9289" s="365"/>
      <c r="K9289" s="369"/>
      <c r="L9289" s="369"/>
      <c r="M9289" s="369"/>
      <c r="N9289" s="366"/>
      <c r="O9289" s="370"/>
      <c r="P9289" s="43"/>
    </row>
    <row r="9290" spans="1:16" ht="18" x14ac:dyDescent="0.35">
      <c r="A9290" s="43"/>
      <c r="B9290" s="59"/>
      <c r="C9290" s="60"/>
      <c r="D9290" s="59"/>
      <c r="E9290" s="59"/>
      <c r="F9290" s="59"/>
      <c r="G9290" s="59"/>
      <c r="H9290" s="59"/>
      <c r="I9290" s="371"/>
      <c r="J9290" s="365"/>
      <c r="K9290" s="369"/>
      <c r="L9290" s="369"/>
      <c r="M9290" s="369"/>
      <c r="N9290" s="366"/>
      <c r="O9290" s="370"/>
      <c r="P9290" s="43"/>
    </row>
    <row r="9291" spans="1:16" ht="18" x14ac:dyDescent="0.35">
      <c r="A9291" s="43"/>
      <c r="B9291" s="59"/>
      <c r="C9291" s="60"/>
      <c r="D9291" s="59"/>
      <c r="E9291" s="59"/>
      <c r="F9291" s="59"/>
      <c r="G9291" s="59"/>
      <c r="H9291" s="59"/>
      <c r="I9291" s="371"/>
      <c r="J9291" s="365"/>
      <c r="K9291" s="369"/>
      <c r="L9291" s="369"/>
      <c r="M9291" s="369"/>
      <c r="N9291" s="366"/>
      <c r="O9291" s="370"/>
      <c r="P9291" s="43"/>
    </row>
    <row r="9292" spans="1:16" ht="18" x14ac:dyDescent="0.35">
      <c r="A9292" s="43"/>
      <c r="B9292" s="59"/>
      <c r="C9292" s="60"/>
      <c r="D9292" s="59"/>
      <c r="E9292" s="59"/>
      <c r="F9292" s="59"/>
      <c r="G9292" s="59"/>
      <c r="H9292" s="59"/>
      <c r="I9292" s="371"/>
      <c r="J9292" s="365"/>
      <c r="K9292" s="369"/>
      <c r="L9292" s="369"/>
      <c r="M9292" s="369"/>
      <c r="N9292" s="366"/>
      <c r="O9292" s="370"/>
      <c r="P9292" s="43"/>
    </row>
    <row r="9293" spans="1:16" ht="18" x14ac:dyDescent="0.35">
      <c r="A9293" s="43"/>
      <c r="B9293" s="59"/>
      <c r="C9293" s="60"/>
      <c r="D9293" s="59"/>
      <c r="E9293" s="59"/>
      <c r="F9293" s="59"/>
      <c r="G9293" s="59"/>
      <c r="H9293" s="59"/>
      <c r="I9293" s="371"/>
      <c r="J9293" s="365"/>
      <c r="K9293" s="369"/>
      <c r="L9293" s="369"/>
      <c r="M9293" s="369"/>
      <c r="N9293" s="366"/>
      <c r="O9293" s="370"/>
      <c r="P9293" s="43"/>
    </row>
    <row r="9294" spans="1:16" ht="18" x14ac:dyDescent="0.35">
      <c r="A9294" s="43"/>
      <c r="B9294" s="59"/>
      <c r="C9294" s="60"/>
      <c r="D9294" s="59"/>
      <c r="E9294" s="59"/>
      <c r="F9294" s="59"/>
      <c r="G9294" s="59"/>
      <c r="H9294" s="59"/>
      <c r="I9294" s="371"/>
      <c r="J9294" s="365"/>
      <c r="K9294" s="369"/>
      <c r="L9294" s="369"/>
      <c r="M9294" s="369"/>
      <c r="N9294" s="366"/>
      <c r="O9294" s="370"/>
      <c r="P9294" s="43"/>
    </row>
    <row r="9295" spans="1:16" ht="18" x14ac:dyDescent="0.35">
      <c r="A9295" s="43"/>
      <c r="B9295" s="59"/>
      <c r="C9295" s="60"/>
      <c r="D9295" s="59"/>
      <c r="E9295" s="59"/>
      <c r="F9295" s="59"/>
      <c r="G9295" s="59"/>
      <c r="H9295" s="59"/>
      <c r="I9295" s="371"/>
      <c r="J9295" s="365"/>
      <c r="K9295" s="369"/>
      <c r="L9295" s="369"/>
      <c r="M9295" s="369"/>
      <c r="N9295" s="366"/>
      <c r="O9295" s="370"/>
      <c r="P9295" s="43"/>
    </row>
    <row r="9296" spans="1:16" ht="18" x14ac:dyDescent="0.35">
      <c r="A9296" s="43"/>
      <c r="B9296" s="59"/>
      <c r="C9296" s="60"/>
      <c r="D9296" s="59"/>
      <c r="E9296" s="59"/>
      <c r="F9296" s="59"/>
      <c r="G9296" s="59"/>
      <c r="H9296" s="59"/>
      <c r="I9296" s="371"/>
      <c r="J9296" s="365"/>
      <c r="K9296" s="369"/>
      <c r="L9296" s="369"/>
      <c r="M9296" s="369"/>
      <c r="N9296" s="366"/>
      <c r="O9296" s="370"/>
      <c r="P9296" s="43"/>
    </row>
    <row r="9297" spans="1:16" ht="18" x14ac:dyDescent="0.35">
      <c r="A9297" s="43"/>
      <c r="B9297" s="59"/>
      <c r="C9297" s="60"/>
      <c r="D9297" s="59"/>
      <c r="E9297" s="59"/>
      <c r="F9297" s="59"/>
      <c r="G9297" s="59"/>
      <c r="H9297" s="59"/>
      <c r="I9297" s="371"/>
      <c r="J9297" s="365"/>
      <c r="K9297" s="369"/>
      <c r="L9297" s="369"/>
      <c r="M9297" s="369"/>
      <c r="N9297" s="366"/>
      <c r="O9297" s="370"/>
      <c r="P9297" s="43"/>
    </row>
    <row r="9298" spans="1:16" ht="18" x14ac:dyDescent="0.35">
      <c r="A9298" s="43"/>
      <c r="B9298" s="59"/>
      <c r="C9298" s="60"/>
      <c r="D9298" s="59"/>
      <c r="E9298" s="59"/>
      <c r="F9298" s="59"/>
      <c r="G9298" s="59"/>
      <c r="H9298" s="59"/>
      <c r="I9298" s="371"/>
      <c r="J9298" s="365"/>
      <c r="K9298" s="369"/>
      <c r="L9298" s="369"/>
      <c r="M9298" s="369"/>
      <c r="N9298" s="366"/>
      <c r="O9298" s="370"/>
      <c r="P9298" s="43"/>
    </row>
    <row r="9299" spans="1:16" ht="18" x14ac:dyDescent="0.35">
      <c r="A9299" s="43"/>
      <c r="B9299" s="59"/>
      <c r="C9299" s="60"/>
      <c r="D9299" s="59"/>
      <c r="E9299" s="59"/>
      <c r="F9299" s="59"/>
      <c r="G9299" s="59"/>
      <c r="H9299" s="59"/>
      <c r="I9299" s="371"/>
      <c r="J9299" s="365"/>
      <c r="K9299" s="369"/>
      <c r="L9299" s="369"/>
      <c r="M9299" s="369"/>
      <c r="N9299" s="366"/>
      <c r="O9299" s="370"/>
      <c r="P9299" s="43"/>
    </row>
    <row r="9300" spans="1:16" ht="18" x14ac:dyDescent="0.35">
      <c r="A9300" s="43"/>
      <c r="B9300" s="59"/>
      <c r="C9300" s="60"/>
      <c r="D9300" s="59"/>
      <c r="E9300" s="59"/>
      <c r="F9300" s="59"/>
      <c r="G9300" s="59"/>
      <c r="H9300" s="59"/>
      <c r="I9300" s="371"/>
      <c r="J9300" s="365"/>
      <c r="K9300" s="369"/>
      <c r="L9300" s="369"/>
      <c r="M9300" s="369"/>
      <c r="N9300" s="366"/>
      <c r="O9300" s="370"/>
      <c r="P9300" s="43"/>
    </row>
    <row r="9301" spans="1:16" ht="18" x14ac:dyDescent="0.35">
      <c r="A9301" s="43"/>
      <c r="B9301" s="59"/>
      <c r="C9301" s="60"/>
      <c r="D9301" s="59"/>
      <c r="E9301" s="59"/>
      <c r="F9301" s="59"/>
      <c r="G9301" s="59"/>
      <c r="H9301" s="59"/>
      <c r="I9301" s="371"/>
      <c r="J9301" s="365"/>
      <c r="K9301" s="369"/>
      <c r="L9301" s="369"/>
      <c r="M9301" s="369"/>
      <c r="N9301" s="366"/>
      <c r="O9301" s="370"/>
      <c r="P9301" s="43"/>
    </row>
    <row r="9302" spans="1:16" ht="18" x14ac:dyDescent="0.35">
      <c r="A9302" s="43"/>
      <c r="B9302" s="59"/>
      <c r="C9302" s="60"/>
      <c r="D9302" s="59"/>
      <c r="E9302" s="59"/>
      <c r="F9302" s="59"/>
      <c r="G9302" s="59"/>
      <c r="H9302" s="59"/>
      <c r="I9302" s="371"/>
      <c r="J9302" s="365"/>
      <c r="K9302" s="369"/>
      <c r="L9302" s="369"/>
      <c r="M9302" s="369"/>
      <c r="N9302" s="366"/>
      <c r="O9302" s="370"/>
      <c r="P9302" s="43"/>
    </row>
    <row r="9303" spans="1:16" ht="18" x14ac:dyDescent="0.35">
      <c r="A9303" s="43"/>
      <c r="B9303" s="59"/>
      <c r="C9303" s="60"/>
      <c r="D9303" s="59"/>
      <c r="E9303" s="59"/>
      <c r="F9303" s="59"/>
      <c r="G9303" s="59"/>
      <c r="H9303" s="59"/>
      <c r="I9303" s="371"/>
      <c r="J9303" s="365"/>
      <c r="K9303" s="369"/>
      <c r="L9303" s="369"/>
      <c r="M9303" s="369"/>
      <c r="N9303" s="366"/>
      <c r="O9303" s="370"/>
      <c r="P9303" s="43"/>
    </row>
    <row r="9304" spans="1:16" ht="18" x14ac:dyDescent="0.35">
      <c r="A9304" s="43"/>
      <c r="B9304" s="59"/>
      <c r="C9304" s="60"/>
      <c r="D9304" s="59"/>
      <c r="E9304" s="59"/>
      <c r="F9304" s="59"/>
      <c r="G9304" s="59"/>
      <c r="H9304" s="59"/>
      <c r="I9304" s="371"/>
      <c r="J9304" s="365"/>
      <c r="K9304" s="369"/>
      <c r="L9304" s="369"/>
      <c r="M9304" s="369"/>
      <c r="N9304" s="366"/>
      <c r="O9304" s="370"/>
      <c r="P9304" s="43"/>
    </row>
    <row r="9305" spans="1:16" ht="18" x14ac:dyDescent="0.35">
      <c r="A9305" s="43"/>
      <c r="B9305" s="59"/>
      <c r="C9305" s="60"/>
      <c r="D9305" s="59"/>
      <c r="E9305" s="59"/>
      <c r="F9305" s="59"/>
      <c r="G9305" s="59"/>
      <c r="H9305" s="59"/>
      <c r="I9305" s="371"/>
      <c r="J9305" s="365"/>
      <c r="K9305" s="369"/>
      <c r="L9305" s="369"/>
      <c r="M9305" s="369"/>
      <c r="N9305" s="366"/>
      <c r="O9305" s="370"/>
      <c r="P9305" s="43"/>
    </row>
    <row r="9306" spans="1:16" ht="18" x14ac:dyDescent="0.35">
      <c r="A9306" s="43"/>
      <c r="B9306" s="59"/>
      <c r="C9306" s="60"/>
      <c r="D9306" s="59"/>
      <c r="E9306" s="59"/>
      <c r="F9306" s="59"/>
      <c r="G9306" s="59"/>
      <c r="H9306" s="59"/>
      <c r="I9306" s="371"/>
      <c r="J9306" s="365"/>
      <c r="K9306" s="369"/>
      <c r="L9306" s="369"/>
      <c r="M9306" s="369"/>
      <c r="N9306" s="366"/>
      <c r="O9306" s="370"/>
      <c r="P9306" s="43"/>
    </row>
    <row r="9307" spans="1:16" ht="18" x14ac:dyDescent="0.35">
      <c r="A9307" s="43"/>
      <c r="B9307" s="59"/>
      <c r="C9307" s="60"/>
      <c r="D9307" s="59"/>
      <c r="E9307" s="59"/>
      <c r="F9307" s="59"/>
      <c r="G9307" s="59"/>
      <c r="H9307" s="59"/>
      <c r="I9307" s="371"/>
      <c r="J9307" s="365"/>
      <c r="K9307" s="369"/>
      <c r="L9307" s="369"/>
      <c r="M9307" s="369"/>
      <c r="N9307" s="366"/>
      <c r="O9307" s="370"/>
      <c r="P9307" s="43"/>
    </row>
    <row r="9308" spans="1:16" ht="18" x14ac:dyDescent="0.35">
      <c r="A9308" s="43"/>
      <c r="B9308" s="59"/>
      <c r="C9308" s="60"/>
      <c r="D9308" s="59"/>
      <c r="E9308" s="59"/>
      <c r="F9308" s="59"/>
      <c r="G9308" s="59"/>
      <c r="H9308" s="59"/>
      <c r="I9308" s="371"/>
      <c r="J9308" s="365"/>
      <c r="K9308" s="369"/>
      <c r="L9308" s="369"/>
      <c r="M9308" s="369"/>
      <c r="N9308" s="366"/>
      <c r="O9308" s="370"/>
      <c r="P9308" s="43"/>
    </row>
    <row r="9309" spans="1:16" ht="18" x14ac:dyDescent="0.35">
      <c r="A9309" s="43"/>
      <c r="B9309" s="59"/>
      <c r="C9309" s="60"/>
      <c r="D9309" s="59"/>
      <c r="E9309" s="59"/>
      <c r="F9309" s="59"/>
      <c r="G9309" s="59"/>
      <c r="H9309" s="59"/>
      <c r="I9309" s="371"/>
      <c r="J9309" s="365"/>
      <c r="K9309" s="369"/>
      <c r="L9309" s="369"/>
      <c r="M9309" s="369"/>
      <c r="N9309" s="366"/>
      <c r="O9309" s="370"/>
      <c r="P9309" s="43"/>
    </row>
    <row r="9310" spans="1:16" ht="18" x14ac:dyDescent="0.35">
      <c r="A9310" s="43"/>
      <c r="B9310" s="59"/>
      <c r="C9310" s="60"/>
      <c r="D9310" s="59"/>
      <c r="E9310" s="59"/>
      <c r="F9310" s="59"/>
      <c r="G9310" s="59"/>
      <c r="H9310" s="59"/>
      <c r="I9310" s="371"/>
      <c r="J9310" s="365"/>
      <c r="K9310" s="369"/>
      <c r="L9310" s="369"/>
      <c r="M9310" s="369"/>
      <c r="N9310" s="366"/>
      <c r="O9310" s="370"/>
      <c r="P9310" s="43"/>
    </row>
    <row r="9311" spans="1:16" ht="18" x14ac:dyDescent="0.35">
      <c r="A9311" s="43"/>
      <c r="B9311" s="59"/>
      <c r="C9311" s="60"/>
      <c r="D9311" s="59"/>
      <c r="E9311" s="59"/>
      <c r="F9311" s="59"/>
      <c r="G9311" s="59"/>
      <c r="H9311" s="59"/>
      <c r="I9311" s="371"/>
      <c r="J9311" s="365"/>
      <c r="K9311" s="369"/>
      <c r="L9311" s="369"/>
      <c r="M9311" s="369"/>
      <c r="N9311" s="366"/>
      <c r="O9311" s="370"/>
      <c r="P9311" s="43"/>
    </row>
    <row r="9312" spans="1:16" ht="18" x14ac:dyDescent="0.35">
      <c r="A9312" s="43"/>
      <c r="B9312" s="59"/>
      <c r="C9312" s="60"/>
      <c r="D9312" s="59"/>
      <c r="E9312" s="59"/>
      <c r="F9312" s="59"/>
      <c r="G9312" s="59"/>
      <c r="H9312" s="59"/>
      <c r="I9312" s="371"/>
      <c r="J9312" s="365"/>
      <c r="K9312" s="369"/>
      <c r="L9312" s="369"/>
      <c r="M9312" s="369"/>
      <c r="N9312" s="366"/>
      <c r="O9312" s="370"/>
      <c r="P9312" s="43"/>
    </row>
    <row r="9313" spans="1:16" ht="18" x14ac:dyDescent="0.35">
      <c r="A9313" s="43"/>
      <c r="B9313" s="59"/>
      <c r="C9313" s="60"/>
      <c r="D9313" s="59"/>
      <c r="E9313" s="59"/>
      <c r="F9313" s="59"/>
      <c r="G9313" s="59"/>
      <c r="H9313" s="59"/>
      <c r="I9313" s="371"/>
      <c r="J9313" s="365"/>
      <c r="K9313" s="369"/>
      <c r="L9313" s="369"/>
      <c r="M9313" s="369"/>
      <c r="N9313" s="366"/>
      <c r="O9313" s="370"/>
      <c r="P9313" s="43"/>
    </row>
    <row r="9314" spans="1:16" ht="18" x14ac:dyDescent="0.35">
      <c r="A9314" s="43"/>
      <c r="B9314" s="59"/>
      <c r="C9314" s="60"/>
      <c r="D9314" s="59"/>
      <c r="E9314" s="59"/>
      <c r="F9314" s="59"/>
      <c r="G9314" s="59"/>
      <c r="H9314" s="59"/>
      <c r="I9314" s="371"/>
      <c r="J9314" s="365"/>
      <c r="K9314" s="369"/>
      <c r="L9314" s="369"/>
      <c r="M9314" s="369"/>
      <c r="N9314" s="366"/>
      <c r="O9314" s="370"/>
      <c r="P9314" s="43"/>
    </row>
    <row r="9315" spans="1:16" ht="18" x14ac:dyDescent="0.35">
      <c r="A9315" s="43"/>
      <c r="B9315" s="59"/>
      <c r="C9315" s="60"/>
      <c r="D9315" s="59"/>
      <c r="E9315" s="59"/>
      <c r="F9315" s="59"/>
      <c r="G9315" s="59"/>
      <c r="H9315" s="59"/>
      <c r="I9315" s="371"/>
      <c r="J9315" s="365"/>
      <c r="K9315" s="369"/>
      <c r="L9315" s="369"/>
      <c r="M9315" s="369"/>
      <c r="N9315" s="366"/>
      <c r="O9315" s="370"/>
      <c r="P9315" s="43"/>
    </row>
    <row r="9316" spans="1:16" ht="18" x14ac:dyDescent="0.35">
      <c r="A9316" s="43"/>
      <c r="B9316" s="59"/>
      <c r="C9316" s="60"/>
      <c r="D9316" s="59"/>
      <c r="E9316" s="59"/>
      <c r="F9316" s="59"/>
      <c r="G9316" s="59"/>
      <c r="H9316" s="59"/>
      <c r="I9316" s="371"/>
      <c r="J9316" s="365"/>
      <c r="K9316" s="369"/>
      <c r="L9316" s="369"/>
      <c r="M9316" s="369"/>
      <c r="N9316" s="366"/>
      <c r="O9316" s="370"/>
      <c r="P9316" s="43"/>
    </row>
    <row r="9317" spans="1:16" ht="18" x14ac:dyDescent="0.35">
      <c r="A9317" s="43"/>
      <c r="B9317" s="59"/>
      <c r="C9317" s="60"/>
      <c r="D9317" s="59"/>
      <c r="E9317" s="59"/>
      <c r="F9317" s="59"/>
      <c r="G9317" s="59"/>
      <c r="H9317" s="59"/>
      <c r="I9317" s="371"/>
      <c r="J9317" s="365"/>
      <c r="K9317" s="369"/>
      <c r="L9317" s="369"/>
      <c r="M9317" s="369"/>
      <c r="N9317" s="366"/>
      <c r="O9317" s="370"/>
      <c r="P9317" s="43"/>
    </row>
    <row r="9318" spans="1:16" ht="18" x14ac:dyDescent="0.35">
      <c r="A9318" s="43"/>
      <c r="B9318" s="59"/>
      <c r="C9318" s="60"/>
      <c r="D9318" s="59"/>
      <c r="E9318" s="59"/>
      <c r="F9318" s="59"/>
      <c r="G9318" s="59"/>
      <c r="H9318" s="59"/>
      <c r="I9318" s="371"/>
      <c r="J9318" s="365"/>
      <c r="K9318" s="369"/>
      <c r="L9318" s="369"/>
      <c r="M9318" s="369"/>
      <c r="N9318" s="366"/>
      <c r="O9318" s="370"/>
      <c r="P9318" s="43"/>
    </row>
    <row r="9319" spans="1:16" ht="18" x14ac:dyDescent="0.35">
      <c r="A9319" s="43"/>
      <c r="B9319" s="59"/>
      <c r="C9319" s="60"/>
      <c r="D9319" s="59"/>
      <c r="E9319" s="59"/>
      <c r="F9319" s="59"/>
      <c r="G9319" s="59"/>
      <c r="H9319" s="59"/>
      <c r="I9319" s="371"/>
      <c r="J9319" s="365"/>
      <c r="K9319" s="369"/>
      <c r="L9319" s="369"/>
      <c r="M9319" s="369"/>
      <c r="N9319" s="366"/>
      <c r="O9319" s="370"/>
      <c r="P9319" s="43"/>
    </row>
    <row r="9320" spans="1:16" ht="18" x14ac:dyDescent="0.35">
      <c r="A9320" s="43"/>
      <c r="B9320" s="59"/>
      <c r="C9320" s="60"/>
      <c r="D9320" s="59"/>
      <c r="E9320" s="59"/>
      <c r="F9320" s="59"/>
      <c r="G9320" s="59"/>
      <c r="H9320" s="59"/>
      <c r="I9320" s="371"/>
      <c r="J9320" s="365"/>
      <c r="K9320" s="369"/>
      <c r="L9320" s="369"/>
      <c r="M9320" s="369"/>
      <c r="N9320" s="366"/>
      <c r="O9320" s="370"/>
      <c r="P9320" s="43"/>
    </row>
    <row r="9321" spans="1:16" ht="18" x14ac:dyDescent="0.35">
      <c r="A9321" s="43"/>
      <c r="B9321" s="59"/>
      <c r="C9321" s="60"/>
      <c r="D9321" s="59"/>
      <c r="E9321" s="59"/>
      <c r="F9321" s="59"/>
      <c r="G9321" s="59"/>
      <c r="H9321" s="59"/>
      <c r="I9321" s="371"/>
      <c r="J9321" s="365"/>
      <c r="K9321" s="369"/>
      <c r="L9321" s="369"/>
      <c r="M9321" s="369"/>
      <c r="N9321" s="366"/>
      <c r="O9321" s="370"/>
      <c r="P9321" s="43"/>
    </row>
    <row r="9322" spans="1:16" ht="18" x14ac:dyDescent="0.35">
      <c r="A9322" s="43"/>
      <c r="B9322" s="59"/>
      <c r="C9322" s="60"/>
      <c r="D9322" s="59"/>
      <c r="E9322" s="59"/>
      <c r="F9322" s="59"/>
      <c r="G9322" s="59"/>
      <c r="H9322" s="59"/>
      <c r="I9322" s="371"/>
      <c r="J9322" s="365"/>
      <c r="K9322" s="369"/>
      <c r="L9322" s="369"/>
      <c r="M9322" s="369"/>
      <c r="N9322" s="366"/>
      <c r="O9322" s="370"/>
      <c r="P9322" s="43"/>
    </row>
    <row r="9323" spans="1:16" ht="18" x14ac:dyDescent="0.35">
      <c r="A9323" s="43"/>
      <c r="B9323" s="59"/>
      <c r="C9323" s="60"/>
      <c r="D9323" s="59"/>
      <c r="E9323" s="59"/>
      <c r="F9323" s="59"/>
      <c r="G9323" s="59"/>
      <c r="H9323" s="59"/>
      <c r="I9323" s="371"/>
      <c r="J9323" s="365"/>
      <c r="K9323" s="369"/>
      <c r="L9323" s="369"/>
      <c r="M9323" s="369"/>
      <c r="N9323" s="366"/>
      <c r="O9323" s="370"/>
      <c r="P9323" s="43"/>
    </row>
    <row r="9324" spans="1:16" ht="18" x14ac:dyDescent="0.35">
      <c r="A9324" s="43"/>
      <c r="B9324" s="59"/>
      <c r="C9324" s="60"/>
      <c r="D9324" s="59"/>
      <c r="E9324" s="59"/>
      <c r="F9324" s="59"/>
      <c r="G9324" s="59"/>
      <c r="H9324" s="59"/>
      <c r="I9324" s="371"/>
      <c r="J9324" s="365"/>
      <c r="K9324" s="369"/>
      <c r="L9324" s="369"/>
      <c r="M9324" s="369"/>
      <c r="N9324" s="366"/>
      <c r="O9324" s="370"/>
      <c r="P9324" s="43"/>
    </row>
    <row r="9325" spans="1:16" ht="18" x14ac:dyDescent="0.35">
      <c r="A9325" s="43"/>
      <c r="B9325" s="59"/>
      <c r="C9325" s="60"/>
      <c r="D9325" s="59"/>
      <c r="E9325" s="59"/>
      <c r="F9325" s="59"/>
      <c r="G9325" s="59"/>
      <c r="H9325" s="59"/>
      <c r="I9325" s="371"/>
      <c r="J9325" s="365"/>
      <c r="K9325" s="369"/>
      <c r="L9325" s="369"/>
      <c r="M9325" s="369"/>
      <c r="N9325" s="366"/>
      <c r="O9325" s="370"/>
      <c r="P9325" s="43"/>
    </row>
    <row r="9326" spans="1:16" ht="18" x14ac:dyDescent="0.35">
      <c r="A9326" s="43"/>
      <c r="B9326" s="59"/>
      <c r="C9326" s="60"/>
      <c r="D9326" s="59"/>
      <c r="E9326" s="59"/>
      <c r="F9326" s="59"/>
      <c r="G9326" s="59"/>
      <c r="H9326" s="59"/>
      <c r="I9326" s="371"/>
      <c r="J9326" s="365"/>
      <c r="K9326" s="369"/>
      <c r="L9326" s="369"/>
      <c r="M9326" s="369"/>
      <c r="N9326" s="366"/>
      <c r="O9326" s="370"/>
      <c r="P9326" s="43"/>
    </row>
    <row r="9327" spans="1:16" ht="18" x14ac:dyDescent="0.35">
      <c r="A9327" s="43"/>
      <c r="B9327" s="59"/>
      <c r="C9327" s="60"/>
      <c r="D9327" s="59"/>
      <c r="E9327" s="59"/>
      <c r="F9327" s="59"/>
      <c r="G9327" s="59"/>
      <c r="H9327" s="59"/>
      <c r="I9327" s="371"/>
      <c r="J9327" s="365"/>
      <c r="K9327" s="369"/>
      <c r="L9327" s="369"/>
      <c r="M9327" s="369"/>
      <c r="N9327" s="366"/>
      <c r="O9327" s="370"/>
      <c r="P9327" s="43"/>
    </row>
    <row r="9328" spans="1:16" ht="18" x14ac:dyDescent="0.35">
      <c r="A9328" s="43"/>
      <c r="B9328" s="59"/>
      <c r="C9328" s="60"/>
      <c r="D9328" s="59"/>
      <c r="E9328" s="59"/>
      <c r="F9328" s="59"/>
      <c r="G9328" s="59"/>
      <c r="H9328" s="59"/>
      <c r="I9328" s="371"/>
      <c r="J9328" s="365"/>
      <c r="K9328" s="369"/>
      <c r="L9328" s="369"/>
      <c r="M9328" s="369"/>
      <c r="N9328" s="366"/>
      <c r="O9328" s="370"/>
      <c r="P9328" s="43"/>
    </row>
    <row r="9329" spans="1:16" ht="18" x14ac:dyDescent="0.35">
      <c r="A9329" s="43"/>
      <c r="B9329" s="59"/>
      <c r="C9329" s="60"/>
      <c r="D9329" s="59"/>
      <c r="E9329" s="59"/>
      <c r="F9329" s="59"/>
      <c r="G9329" s="59"/>
      <c r="H9329" s="59"/>
      <c r="I9329" s="371"/>
      <c r="J9329" s="365"/>
      <c r="K9329" s="369"/>
      <c r="L9329" s="369"/>
      <c r="M9329" s="369"/>
      <c r="N9329" s="366"/>
      <c r="O9329" s="370"/>
      <c r="P9329" s="43"/>
    </row>
    <row r="9330" spans="1:16" ht="18" x14ac:dyDescent="0.35">
      <c r="A9330" s="43"/>
      <c r="B9330" s="59"/>
      <c r="C9330" s="60"/>
      <c r="D9330" s="59"/>
      <c r="E9330" s="59"/>
      <c r="F9330" s="59"/>
      <c r="G9330" s="59"/>
      <c r="H9330" s="59"/>
      <c r="I9330" s="371"/>
      <c r="J9330" s="365"/>
      <c r="K9330" s="369"/>
      <c r="L9330" s="369"/>
      <c r="M9330" s="369"/>
      <c r="N9330" s="366"/>
      <c r="O9330" s="370"/>
      <c r="P9330" s="43"/>
    </row>
    <row r="9331" spans="1:16" ht="18" x14ac:dyDescent="0.35">
      <c r="A9331" s="43"/>
      <c r="B9331" s="59"/>
      <c r="C9331" s="60"/>
      <c r="D9331" s="59"/>
      <c r="E9331" s="59"/>
      <c r="F9331" s="59"/>
      <c r="G9331" s="59"/>
      <c r="H9331" s="59"/>
      <c r="I9331" s="371"/>
      <c r="J9331" s="365"/>
      <c r="K9331" s="369"/>
      <c r="L9331" s="369"/>
      <c r="M9331" s="369"/>
      <c r="N9331" s="366"/>
      <c r="O9331" s="370"/>
      <c r="P9331" s="43"/>
    </row>
    <row r="9332" spans="1:16" ht="18" x14ac:dyDescent="0.35">
      <c r="A9332" s="43"/>
      <c r="B9332" s="59"/>
      <c r="C9332" s="60"/>
      <c r="D9332" s="59"/>
      <c r="E9332" s="59"/>
      <c r="F9332" s="59"/>
      <c r="G9332" s="59"/>
      <c r="H9332" s="59"/>
      <c r="I9332" s="371"/>
      <c r="J9332" s="365"/>
      <c r="K9332" s="369"/>
      <c r="L9332" s="369"/>
      <c r="M9332" s="369"/>
      <c r="N9332" s="366"/>
      <c r="O9332" s="370"/>
      <c r="P9332" s="43"/>
    </row>
    <row r="9333" spans="1:16" ht="18" x14ac:dyDescent="0.35">
      <c r="A9333" s="43"/>
      <c r="B9333" s="59"/>
      <c r="C9333" s="60"/>
      <c r="D9333" s="59"/>
      <c r="E9333" s="59"/>
      <c r="F9333" s="59"/>
      <c r="G9333" s="59"/>
      <c r="H9333" s="59"/>
      <c r="I9333" s="371"/>
      <c r="J9333" s="365"/>
      <c r="K9333" s="369"/>
      <c r="L9333" s="369"/>
      <c r="M9333" s="369"/>
      <c r="N9333" s="366"/>
      <c r="O9333" s="370"/>
      <c r="P9333" s="43"/>
    </row>
    <row r="9334" spans="1:16" ht="18" x14ac:dyDescent="0.35">
      <c r="A9334" s="43"/>
      <c r="B9334" s="59"/>
      <c r="C9334" s="60"/>
      <c r="D9334" s="59"/>
      <c r="E9334" s="59"/>
      <c r="F9334" s="59"/>
      <c r="G9334" s="59"/>
      <c r="H9334" s="59"/>
      <c r="I9334" s="371"/>
      <c r="J9334" s="365"/>
      <c r="K9334" s="369"/>
      <c r="L9334" s="369"/>
      <c r="M9334" s="369"/>
      <c r="N9334" s="366"/>
      <c r="O9334" s="370"/>
      <c r="P9334" s="43"/>
    </row>
    <row r="9335" spans="1:16" ht="18" x14ac:dyDescent="0.35">
      <c r="A9335" s="43"/>
      <c r="B9335" s="59"/>
      <c r="C9335" s="60"/>
      <c r="D9335" s="59"/>
      <c r="E9335" s="59"/>
      <c r="F9335" s="59"/>
      <c r="G9335" s="59"/>
      <c r="H9335" s="59"/>
      <c r="I9335" s="371"/>
      <c r="J9335" s="365"/>
      <c r="K9335" s="369"/>
      <c r="L9335" s="369"/>
      <c r="M9335" s="369"/>
      <c r="N9335" s="366"/>
      <c r="O9335" s="370"/>
      <c r="P9335" s="43"/>
    </row>
    <row r="9336" spans="1:16" ht="18" x14ac:dyDescent="0.35">
      <c r="A9336" s="43"/>
      <c r="B9336" s="59"/>
      <c r="C9336" s="60"/>
      <c r="D9336" s="59"/>
      <c r="E9336" s="59"/>
      <c r="F9336" s="59"/>
      <c r="G9336" s="59"/>
      <c r="H9336" s="59"/>
      <c r="I9336" s="371"/>
      <c r="J9336" s="365"/>
      <c r="K9336" s="369"/>
      <c r="L9336" s="369"/>
      <c r="M9336" s="369"/>
      <c r="N9336" s="366"/>
      <c r="O9336" s="370"/>
      <c r="P9336" s="43"/>
    </row>
    <row r="9337" spans="1:16" ht="18" x14ac:dyDescent="0.35">
      <c r="A9337" s="43"/>
      <c r="B9337" s="59"/>
      <c r="C9337" s="60"/>
      <c r="D9337" s="59"/>
      <c r="E9337" s="59"/>
      <c r="F9337" s="59"/>
      <c r="G9337" s="59"/>
      <c r="H9337" s="59"/>
      <c r="I9337" s="371"/>
      <c r="J9337" s="365"/>
      <c r="K9337" s="369"/>
      <c r="L9337" s="369"/>
      <c r="M9337" s="369"/>
      <c r="N9337" s="366"/>
      <c r="O9337" s="370"/>
      <c r="P9337" s="43"/>
    </row>
    <row r="9338" spans="1:16" ht="18" x14ac:dyDescent="0.35">
      <c r="A9338" s="43"/>
      <c r="B9338" s="59"/>
      <c r="C9338" s="60"/>
      <c r="D9338" s="59"/>
      <c r="E9338" s="59"/>
      <c r="F9338" s="59"/>
      <c r="G9338" s="59"/>
      <c r="H9338" s="59"/>
      <c r="I9338" s="371"/>
      <c r="J9338" s="365"/>
      <c r="K9338" s="369"/>
      <c r="L9338" s="369"/>
      <c r="M9338" s="369"/>
      <c r="N9338" s="366"/>
      <c r="O9338" s="370"/>
      <c r="P9338" s="43"/>
    </row>
    <row r="9339" spans="1:16" ht="18" x14ac:dyDescent="0.35">
      <c r="A9339" s="43"/>
      <c r="B9339" s="59"/>
      <c r="C9339" s="60"/>
      <c r="D9339" s="59"/>
      <c r="E9339" s="59"/>
      <c r="F9339" s="59"/>
      <c r="G9339" s="59"/>
      <c r="H9339" s="59"/>
      <c r="I9339" s="371"/>
      <c r="J9339" s="365"/>
      <c r="K9339" s="369"/>
      <c r="L9339" s="369"/>
      <c r="M9339" s="369"/>
      <c r="N9339" s="366"/>
      <c r="O9339" s="370"/>
      <c r="P9339" s="43"/>
    </row>
    <row r="9340" spans="1:16" ht="18" x14ac:dyDescent="0.35">
      <c r="A9340" s="43"/>
      <c r="B9340" s="59"/>
      <c r="C9340" s="60"/>
      <c r="D9340" s="59"/>
      <c r="E9340" s="59"/>
      <c r="F9340" s="59"/>
      <c r="G9340" s="59"/>
      <c r="H9340" s="59"/>
      <c r="I9340" s="371"/>
      <c r="J9340" s="365"/>
      <c r="K9340" s="369"/>
      <c r="L9340" s="369"/>
      <c r="M9340" s="369"/>
      <c r="N9340" s="366"/>
      <c r="O9340" s="370"/>
      <c r="P9340" s="43"/>
    </row>
    <row r="9341" spans="1:16" ht="18" x14ac:dyDescent="0.35">
      <c r="A9341" s="43"/>
      <c r="B9341" s="59"/>
      <c r="C9341" s="60"/>
      <c r="D9341" s="59"/>
      <c r="E9341" s="59"/>
      <c r="F9341" s="59"/>
      <c r="G9341" s="59"/>
      <c r="H9341" s="59"/>
      <c r="I9341" s="371"/>
      <c r="J9341" s="365"/>
      <c r="K9341" s="369"/>
      <c r="L9341" s="369"/>
      <c r="M9341" s="369"/>
      <c r="N9341" s="366"/>
      <c r="O9341" s="370"/>
      <c r="P9341" s="43"/>
    </row>
    <row r="9342" spans="1:16" ht="18" x14ac:dyDescent="0.35">
      <c r="A9342" s="43"/>
      <c r="B9342" s="59"/>
      <c r="C9342" s="60"/>
      <c r="D9342" s="59"/>
      <c r="E9342" s="59"/>
      <c r="F9342" s="59"/>
      <c r="G9342" s="59"/>
      <c r="H9342" s="59"/>
      <c r="I9342" s="371"/>
      <c r="J9342" s="365"/>
      <c r="K9342" s="369"/>
      <c r="L9342" s="369"/>
      <c r="M9342" s="369"/>
      <c r="N9342" s="366"/>
      <c r="O9342" s="370"/>
      <c r="P9342" s="43"/>
    </row>
    <row r="9343" spans="1:16" ht="18" x14ac:dyDescent="0.35">
      <c r="A9343" s="43"/>
      <c r="B9343" s="59"/>
      <c r="C9343" s="60"/>
      <c r="D9343" s="59"/>
      <c r="E9343" s="59"/>
      <c r="F9343" s="59"/>
      <c r="G9343" s="59"/>
      <c r="H9343" s="59"/>
      <c r="I9343" s="371"/>
      <c r="J9343" s="365"/>
      <c r="K9343" s="369"/>
      <c r="L9343" s="369"/>
      <c r="M9343" s="369"/>
      <c r="N9343" s="366"/>
      <c r="O9343" s="370"/>
      <c r="P9343" s="43"/>
    </row>
    <row r="9344" spans="1:16" ht="18" x14ac:dyDescent="0.35">
      <c r="A9344" s="43"/>
      <c r="B9344" s="59"/>
      <c r="C9344" s="60"/>
      <c r="D9344" s="59"/>
      <c r="E9344" s="59"/>
      <c r="F9344" s="59"/>
      <c r="G9344" s="59"/>
      <c r="H9344" s="59"/>
      <c r="I9344" s="371"/>
      <c r="J9344" s="365"/>
      <c r="K9344" s="369"/>
      <c r="L9344" s="369"/>
      <c r="M9344" s="369"/>
      <c r="N9344" s="366"/>
      <c r="O9344" s="370"/>
      <c r="P9344" s="43"/>
    </row>
    <row r="9345" spans="1:16" ht="18" x14ac:dyDescent="0.35">
      <c r="A9345" s="43"/>
      <c r="B9345" s="59"/>
      <c r="C9345" s="60"/>
      <c r="D9345" s="59"/>
      <c r="E9345" s="59"/>
      <c r="F9345" s="59"/>
      <c r="G9345" s="59"/>
      <c r="H9345" s="59"/>
      <c r="I9345" s="371"/>
      <c r="J9345" s="365"/>
      <c r="K9345" s="369"/>
      <c r="L9345" s="369"/>
      <c r="M9345" s="369"/>
      <c r="N9345" s="366"/>
      <c r="O9345" s="370"/>
      <c r="P9345" s="43"/>
    </row>
    <row r="9346" spans="1:16" ht="18" x14ac:dyDescent="0.35">
      <c r="A9346" s="43"/>
      <c r="B9346" s="59"/>
      <c r="C9346" s="60"/>
      <c r="D9346" s="59"/>
      <c r="E9346" s="59"/>
      <c r="F9346" s="59"/>
      <c r="G9346" s="59"/>
      <c r="H9346" s="59"/>
      <c r="I9346" s="371"/>
      <c r="J9346" s="365"/>
      <c r="K9346" s="369"/>
      <c r="L9346" s="369"/>
      <c r="M9346" s="369"/>
      <c r="N9346" s="366"/>
      <c r="O9346" s="370"/>
      <c r="P9346" s="43"/>
    </row>
    <row r="9347" spans="1:16" ht="18" x14ac:dyDescent="0.35">
      <c r="A9347" s="43"/>
      <c r="B9347" s="59"/>
      <c r="C9347" s="60"/>
      <c r="D9347" s="59"/>
      <c r="E9347" s="59"/>
      <c r="F9347" s="59"/>
      <c r="G9347" s="59"/>
      <c r="H9347" s="59"/>
      <c r="I9347" s="371"/>
      <c r="J9347" s="365"/>
      <c r="K9347" s="369"/>
      <c r="L9347" s="369"/>
      <c r="M9347" s="369"/>
      <c r="N9347" s="366"/>
      <c r="O9347" s="370"/>
      <c r="P9347" s="43"/>
    </row>
    <row r="9348" spans="1:16" ht="18" x14ac:dyDescent="0.35">
      <c r="A9348" s="43"/>
      <c r="B9348" s="59"/>
      <c r="C9348" s="60"/>
      <c r="D9348" s="59"/>
      <c r="E9348" s="59"/>
      <c r="F9348" s="59"/>
      <c r="G9348" s="59"/>
      <c r="H9348" s="59"/>
      <c r="I9348" s="371"/>
      <c r="J9348" s="365"/>
      <c r="K9348" s="369"/>
      <c r="L9348" s="369"/>
      <c r="M9348" s="369"/>
      <c r="N9348" s="366"/>
      <c r="O9348" s="370"/>
      <c r="P9348" s="43"/>
    </row>
    <row r="9349" spans="1:16" ht="18" x14ac:dyDescent="0.35">
      <c r="A9349" s="43"/>
      <c r="B9349" s="59"/>
      <c r="C9349" s="60"/>
      <c r="D9349" s="59"/>
      <c r="E9349" s="59"/>
      <c r="F9349" s="59"/>
      <c r="G9349" s="59"/>
      <c r="H9349" s="59"/>
      <c r="I9349" s="371"/>
      <c r="J9349" s="365"/>
      <c r="K9349" s="369"/>
      <c r="L9349" s="369"/>
      <c r="M9349" s="369"/>
      <c r="N9349" s="366"/>
      <c r="O9349" s="370"/>
      <c r="P9349" s="43"/>
    </row>
    <row r="9350" spans="1:16" ht="18" x14ac:dyDescent="0.35">
      <c r="A9350" s="43"/>
      <c r="B9350" s="59"/>
      <c r="C9350" s="60"/>
      <c r="D9350" s="59"/>
      <c r="E9350" s="59"/>
      <c r="F9350" s="59"/>
      <c r="G9350" s="59"/>
      <c r="H9350" s="59"/>
      <c r="I9350" s="371"/>
      <c r="J9350" s="365"/>
      <c r="K9350" s="369"/>
      <c r="L9350" s="369"/>
      <c r="M9350" s="369"/>
      <c r="N9350" s="366"/>
      <c r="O9350" s="370"/>
      <c r="P9350" s="43"/>
    </row>
    <row r="9351" spans="1:16" ht="18" x14ac:dyDescent="0.35">
      <c r="A9351" s="43"/>
      <c r="B9351" s="59"/>
      <c r="C9351" s="60"/>
      <c r="D9351" s="59"/>
      <c r="E9351" s="59"/>
      <c r="F9351" s="59"/>
      <c r="G9351" s="59"/>
      <c r="H9351" s="59"/>
      <c r="I9351" s="371"/>
      <c r="J9351" s="365"/>
      <c r="K9351" s="369"/>
      <c r="L9351" s="369"/>
      <c r="M9351" s="369"/>
      <c r="N9351" s="366"/>
      <c r="O9351" s="370"/>
      <c r="P9351" s="43"/>
    </row>
    <row r="9352" spans="1:16" ht="18" x14ac:dyDescent="0.35">
      <c r="A9352" s="43"/>
      <c r="B9352" s="59"/>
      <c r="C9352" s="60"/>
      <c r="D9352" s="59"/>
      <c r="E9352" s="59"/>
      <c r="F9352" s="59"/>
      <c r="G9352" s="59"/>
      <c r="H9352" s="59"/>
      <c r="I9352" s="371"/>
      <c r="J9352" s="365"/>
      <c r="K9352" s="369"/>
      <c r="L9352" s="369"/>
      <c r="M9352" s="369"/>
      <c r="N9352" s="366"/>
      <c r="O9352" s="370"/>
      <c r="P9352" s="43"/>
    </row>
    <row r="9353" spans="1:16" ht="18" x14ac:dyDescent="0.35">
      <c r="A9353" s="43"/>
      <c r="B9353" s="59"/>
      <c r="C9353" s="60"/>
      <c r="D9353" s="59"/>
      <c r="E9353" s="59"/>
      <c r="F9353" s="59"/>
      <c r="G9353" s="59"/>
      <c r="H9353" s="59"/>
      <c r="I9353" s="371"/>
      <c r="J9353" s="365"/>
      <c r="K9353" s="369"/>
      <c r="L9353" s="369"/>
      <c r="M9353" s="369"/>
      <c r="N9353" s="366"/>
      <c r="O9353" s="370"/>
      <c r="P9353" s="43"/>
    </row>
    <row r="9354" spans="1:16" ht="18" x14ac:dyDescent="0.35">
      <c r="A9354" s="43"/>
      <c r="B9354" s="59"/>
      <c r="C9354" s="60"/>
      <c r="D9354" s="59"/>
      <c r="E9354" s="59"/>
      <c r="F9354" s="59"/>
      <c r="G9354" s="59"/>
      <c r="H9354" s="59"/>
      <c r="I9354" s="371"/>
      <c r="J9354" s="365"/>
      <c r="K9354" s="369"/>
      <c r="L9354" s="369"/>
      <c r="M9354" s="369"/>
      <c r="N9354" s="366"/>
      <c r="O9354" s="370"/>
      <c r="P9354" s="43"/>
    </row>
    <row r="9355" spans="1:16" ht="18" x14ac:dyDescent="0.35">
      <c r="A9355" s="43"/>
      <c r="B9355" s="59"/>
      <c r="C9355" s="60"/>
      <c r="D9355" s="59"/>
      <c r="E9355" s="59"/>
      <c r="F9355" s="59"/>
      <c r="G9355" s="59"/>
      <c r="H9355" s="59"/>
      <c r="I9355" s="371"/>
      <c r="J9355" s="365"/>
      <c r="K9355" s="369"/>
      <c r="L9355" s="369"/>
      <c r="M9355" s="369"/>
      <c r="N9355" s="366"/>
      <c r="O9355" s="370"/>
      <c r="P9355" s="43"/>
    </row>
    <row r="9356" spans="1:16" ht="18" x14ac:dyDescent="0.35">
      <c r="A9356" s="43"/>
      <c r="B9356" s="59"/>
      <c r="C9356" s="60"/>
      <c r="D9356" s="59"/>
      <c r="E9356" s="59"/>
      <c r="F9356" s="59"/>
      <c r="G9356" s="59"/>
      <c r="H9356" s="59"/>
      <c r="I9356" s="371"/>
      <c r="J9356" s="365"/>
      <c r="K9356" s="369"/>
      <c r="L9356" s="369"/>
      <c r="M9356" s="369"/>
      <c r="N9356" s="366"/>
      <c r="O9356" s="370"/>
      <c r="P9356" s="43"/>
    </row>
    <row r="9357" spans="1:16" ht="18" x14ac:dyDescent="0.35">
      <c r="A9357" s="43"/>
      <c r="B9357" s="59"/>
      <c r="C9357" s="60"/>
      <c r="D9357" s="59"/>
      <c r="E9357" s="59"/>
      <c r="F9357" s="59"/>
      <c r="G9357" s="59"/>
      <c r="H9357" s="59"/>
      <c r="I9357" s="371"/>
      <c r="J9357" s="365"/>
      <c r="K9357" s="369"/>
      <c r="L9357" s="369"/>
      <c r="M9357" s="369"/>
      <c r="N9357" s="366"/>
      <c r="O9357" s="370"/>
      <c r="P9357" s="43"/>
    </row>
    <row r="9358" spans="1:16" ht="18" x14ac:dyDescent="0.35">
      <c r="A9358" s="43"/>
      <c r="B9358" s="59"/>
      <c r="C9358" s="60"/>
      <c r="D9358" s="59"/>
      <c r="E9358" s="59"/>
      <c r="F9358" s="59"/>
      <c r="G9358" s="59"/>
      <c r="H9358" s="59"/>
      <c r="I9358" s="371"/>
      <c r="J9358" s="365"/>
      <c r="K9358" s="369"/>
      <c r="L9358" s="369"/>
      <c r="M9358" s="369"/>
      <c r="N9358" s="366"/>
      <c r="O9358" s="370"/>
      <c r="P9358" s="43"/>
    </row>
    <row r="9359" spans="1:16" ht="18" x14ac:dyDescent="0.35">
      <c r="A9359" s="43"/>
      <c r="B9359" s="59"/>
      <c r="C9359" s="60"/>
      <c r="D9359" s="59"/>
      <c r="E9359" s="59"/>
      <c r="F9359" s="59"/>
      <c r="G9359" s="59"/>
      <c r="H9359" s="59"/>
      <c r="I9359" s="371"/>
      <c r="J9359" s="365"/>
      <c r="K9359" s="369"/>
      <c r="L9359" s="369"/>
      <c r="M9359" s="369"/>
      <c r="N9359" s="366"/>
      <c r="O9359" s="370"/>
      <c r="P9359" s="43"/>
    </row>
    <row r="9360" spans="1:16" ht="18" x14ac:dyDescent="0.35">
      <c r="A9360" s="43"/>
      <c r="B9360" s="59"/>
      <c r="C9360" s="60"/>
      <c r="D9360" s="59"/>
      <c r="E9360" s="59"/>
      <c r="F9360" s="59"/>
      <c r="G9360" s="59"/>
      <c r="H9360" s="59"/>
      <c r="I9360" s="371"/>
      <c r="J9360" s="365"/>
      <c r="K9360" s="369"/>
      <c r="L9360" s="369"/>
      <c r="M9360" s="369"/>
      <c r="N9360" s="366"/>
      <c r="O9360" s="370"/>
      <c r="P9360" s="43"/>
    </row>
    <row r="9361" spans="1:16" ht="18" x14ac:dyDescent="0.35">
      <c r="A9361" s="43"/>
      <c r="B9361" s="59"/>
      <c r="C9361" s="60"/>
      <c r="D9361" s="59"/>
      <c r="E9361" s="59"/>
      <c r="F9361" s="59"/>
      <c r="G9361" s="59"/>
      <c r="H9361" s="59"/>
      <c r="I9361" s="371"/>
      <c r="J9361" s="365"/>
      <c r="K9361" s="369"/>
      <c r="L9361" s="369"/>
      <c r="M9361" s="369"/>
      <c r="N9361" s="366"/>
      <c r="O9361" s="370"/>
      <c r="P9361" s="43"/>
    </row>
    <row r="9362" spans="1:16" ht="18" x14ac:dyDescent="0.35">
      <c r="A9362" s="43"/>
      <c r="B9362" s="59"/>
      <c r="C9362" s="60"/>
      <c r="D9362" s="59"/>
      <c r="E9362" s="59"/>
      <c r="F9362" s="59"/>
      <c r="G9362" s="59"/>
      <c r="H9362" s="59"/>
      <c r="I9362" s="371"/>
      <c r="J9362" s="365"/>
      <c r="K9362" s="369"/>
      <c r="L9362" s="369"/>
      <c r="M9362" s="369"/>
      <c r="N9362" s="366"/>
      <c r="O9362" s="370"/>
      <c r="P9362" s="43"/>
    </row>
    <row r="9363" spans="1:16" ht="18" x14ac:dyDescent="0.35">
      <c r="A9363" s="43"/>
      <c r="B9363" s="59"/>
      <c r="C9363" s="60"/>
      <c r="D9363" s="59"/>
      <c r="E9363" s="59"/>
      <c r="F9363" s="59"/>
      <c r="G9363" s="59"/>
      <c r="H9363" s="59"/>
      <c r="I9363" s="371"/>
      <c r="J9363" s="365"/>
      <c r="K9363" s="369"/>
      <c r="L9363" s="369"/>
      <c r="M9363" s="369"/>
      <c r="N9363" s="366"/>
      <c r="O9363" s="370"/>
      <c r="P9363" s="43"/>
    </row>
    <row r="9364" spans="1:16" ht="18" x14ac:dyDescent="0.35">
      <c r="A9364" s="43"/>
      <c r="B9364" s="59"/>
      <c r="C9364" s="60"/>
      <c r="D9364" s="59"/>
      <c r="E9364" s="59"/>
      <c r="F9364" s="59"/>
      <c r="G9364" s="59"/>
      <c r="H9364" s="59"/>
      <c r="I9364" s="371"/>
      <c r="J9364" s="365"/>
      <c r="K9364" s="369"/>
      <c r="L9364" s="369"/>
      <c r="M9364" s="369"/>
      <c r="N9364" s="366"/>
      <c r="O9364" s="370"/>
      <c r="P9364" s="43"/>
    </row>
    <row r="9365" spans="1:16" ht="18" x14ac:dyDescent="0.35">
      <c r="A9365" s="43"/>
      <c r="B9365" s="59"/>
      <c r="C9365" s="60"/>
      <c r="D9365" s="59"/>
      <c r="E9365" s="59"/>
      <c r="F9365" s="59"/>
      <c r="G9365" s="59"/>
      <c r="H9365" s="59"/>
      <c r="I9365" s="371"/>
      <c r="J9365" s="365"/>
      <c r="K9365" s="369"/>
      <c r="L9365" s="369"/>
      <c r="M9365" s="369"/>
      <c r="N9365" s="366"/>
      <c r="O9365" s="370"/>
      <c r="P9365" s="43"/>
    </row>
    <row r="9366" spans="1:16" ht="18" x14ac:dyDescent="0.35">
      <c r="A9366" s="43"/>
      <c r="B9366" s="59"/>
      <c r="C9366" s="60"/>
      <c r="D9366" s="59"/>
      <c r="E9366" s="59"/>
      <c r="F9366" s="59"/>
      <c r="G9366" s="59"/>
      <c r="H9366" s="59"/>
      <c r="I9366" s="371"/>
      <c r="J9366" s="365"/>
      <c r="K9366" s="369"/>
      <c r="L9366" s="369"/>
      <c r="M9366" s="369"/>
      <c r="N9366" s="366"/>
      <c r="O9366" s="370"/>
      <c r="P9366" s="43"/>
    </row>
    <row r="9367" spans="1:16" ht="18" x14ac:dyDescent="0.35">
      <c r="A9367" s="43"/>
      <c r="B9367" s="59"/>
      <c r="C9367" s="60"/>
      <c r="D9367" s="59"/>
      <c r="E9367" s="59"/>
      <c r="F9367" s="59"/>
      <c r="G9367" s="59"/>
      <c r="H9367" s="59"/>
      <c r="I9367" s="371"/>
      <c r="J9367" s="365"/>
      <c r="K9367" s="369"/>
      <c r="L9367" s="369"/>
      <c r="M9367" s="369"/>
      <c r="N9367" s="366"/>
      <c r="O9367" s="370"/>
      <c r="P9367" s="43"/>
    </row>
    <row r="9368" spans="1:16" ht="18" x14ac:dyDescent="0.35">
      <c r="A9368" s="43"/>
      <c r="B9368" s="59"/>
      <c r="C9368" s="60"/>
      <c r="D9368" s="59"/>
      <c r="E9368" s="59"/>
      <c r="F9368" s="59"/>
      <c r="G9368" s="59"/>
      <c r="H9368" s="59"/>
      <c r="I9368" s="371"/>
      <c r="J9368" s="365"/>
      <c r="K9368" s="369"/>
      <c r="L9368" s="369"/>
      <c r="M9368" s="369"/>
      <c r="N9368" s="366"/>
      <c r="O9368" s="370"/>
      <c r="P9368" s="43"/>
    </row>
    <row r="9369" spans="1:16" ht="18" x14ac:dyDescent="0.35">
      <c r="A9369" s="43"/>
      <c r="B9369" s="59"/>
      <c r="C9369" s="60"/>
      <c r="D9369" s="59"/>
      <c r="E9369" s="59"/>
      <c r="F9369" s="59"/>
      <c r="G9369" s="59"/>
      <c r="H9369" s="59"/>
      <c r="I9369" s="371"/>
      <c r="J9369" s="365"/>
      <c r="K9369" s="369"/>
      <c r="L9369" s="369"/>
      <c r="M9369" s="369"/>
      <c r="N9369" s="366"/>
      <c r="O9369" s="370"/>
      <c r="P9369" s="43"/>
    </row>
    <row r="9370" spans="1:16" ht="18" x14ac:dyDescent="0.35">
      <c r="A9370" s="43"/>
      <c r="B9370" s="59"/>
      <c r="C9370" s="60"/>
      <c r="D9370" s="59"/>
      <c r="E9370" s="59"/>
      <c r="F9370" s="59"/>
      <c r="G9370" s="59"/>
      <c r="H9370" s="59"/>
      <c r="I9370" s="371"/>
      <c r="J9370" s="365"/>
      <c r="K9370" s="369"/>
      <c r="L9370" s="369"/>
      <c r="M9370" s="369"/>
      <c r="N9370" s="366"/>
      <c r="O9370" s="370"/>
      <c r="P9370" s="43"/>
    </row>
    <row r="9371" spans="1:16" ht="18" x14ac:dyDescent="0.35">
      <c r="A9371" s="43"/>
      <c r="B9371" s="59"/>
      <c r="C9371" s="60"/>
      <c r="D9371" s="59"/>
      <c r="E9371" s="59"/>
      <c r="F9371" s="59"/>
      <c r="G9371" s="59"/>
      <c r="H9371" s="59"/>
      <c r="I9371" s="371"/>
      <c r="J9371" s="365"/>
      <c r="K9371" s="369"/>
      <c r="L9371" s="369"/>
      <c r="M9371" s="369"/>
      <c r="N9371" s="366"/>
      <c r="O9371" s="370"/>
      <c r="P9371" s="43"/>
    </row>
    <row r="9372" spans="1:16" ht="18" x14ac:dyDescent="0.35">
      <c r="A9372" s="43"/>
      <c r="B9372" s="59"/>
      <c r="C9372" s="60"/>
      <c r="D9372" s="59"/>
      <c r="E9372" s="59"/>
      <c r="F9372" s="59"/>
      <c r="G9372" s="59"/>
      <c r="H9372" s="59"/>
      <c r="I9372" s="371"/>
      <c r="J9372" s="365"/>
      <c r="K9372" s="369"/>
      <c r="L9372" s="369"/>
      <c r="M9372" s="369"/>
      <c r="N9372" s="366"/>
      <c r="O9372" s="370"/>
      <c r="P9372" s="43"/>
    </row>
    <row r="9373" spans="1:16" ht="18" x14ac:dyDescent="0.35">
      <c r="A9373" s="43"/>
      <c r="B9373" s="59"/>
      <c r="C9373" s="60"/>
      <c r="D9373" s="59"/>
      <c r="E9373" s="59"/>
      <c r="F9373" s="59"/>
      <c r="G9373" s="59"/>
      <c r="H9373" s="59"/>
      <c r="I9373" s="371"/>
      <c r="J9373" s="365"/>
      <c r="K9373" s="369"/>
      <c r="L9373" s="369"/>
      <c r="M9373" s="369"/>
      <c r="N9373" s="366"/>
      <c r="O9373" s="370"/>
      <c r="P9373" s="43"/>
    </row>
    <row r="9374" spans="1:16" ht="18" x14ac:dyDescent="0.35">
      <c r="A9374" s="43"/>
      <c r="B9374" s="59"/>
      <c r="C9374" s="60"/>
      <c r="D9374" s="59"/>
      <c r="E9374" s="59"/>
      <c r="F9374" s="59"/>
      <c r="G9374" s="59"/>
      <c r="H9374" s="59"/>
      <c r="I9374" s="371"/>
      <c r="J9374" s="365"/>
      <c r="K9374" s="369"/>
      <c r="L9374" s="369"/>
      <c r="M9374" s="369"/>
      <c r="N9374" s="366"/>
      <c r="O9374" s="370"/>
      <c r="P9374" s="43"/>
    </row>
    <row r="9375" spans="1:16" ht="18" x14ac:dyDescent="0.35">
      <c r="A9375" s="43"/>
      <c r="B9375" s="59"/>
      <c r="C9375" s="60"/>
      <c r="D9375" s="59"/>
      <c r="E9375" s="59"/>
      <c r="F9375" s="59"/>
      <c r="G9375" s="59"/>
      <c r="H9375" s="59"/>
      <c r="I9375" s="371"/>
      <c r="J9375" s="365"/>
      <c r="K9375" s="369"/>
      <c r="L9375" s="369"/>
      <c r="M9375" s="369"/>
      <c r="N9375" s="366"/>
      <c r="O9375" s="370"/>
      <c r="P9375" s="43"/>
    </row>
    <row r="9376" spans="1:16" ht="18" x14ac:dyDescent="0.35">
      <c r="A9376" s="43"/>
      <c r="B9376" s="59"/>
      <c r="C9376" s="60"/>
      <c r="D9376" s="59"/>
      <c r="E9376" s="59"/>
      <c r="F9376" s="59"/>
      <c r="G9376" s="59"/>
      <c r="H9376" s="59"/>
      <c r="I9376" s="371"/>
      <c r="J9376" s="365"/>
      <c r="K9376" s="369"/>
      <c r="L9376" s="369"/>
      <c r="M9376" s="369"/>
      <c r="N9376" s="366"/>
      <c r="O9376" s="370"/>
      <c r="P9376" s="43"/>
    </row>
    <row r="9377" spans="1:16" ht="18" x14ac:dyDescent="0.35">
      <c r="A9377" s="43"/>
      <c r="B9377" s="59"/>
      <c r="C9377" s="60"/>
      <c r="D9377" s="59"/>
      <c r="E9377" s="59"/>
      <c r="F9377" s="59"/>
      <c r="G9377" s="59"/>
      <c r="H9377" s="59"/>
      <c r="I9377" s="371"/>
      <c r="J9377" s="365"/>
      <c r="K9377" s="369"/>
      <c r="L9377" s="369"/>
      <c r="M9377" s="369"/>
      <c r="N9377" s="366"/>
      <c r="O9377" s="370"/>
      <c r="P9377" s="43"/>
    </row>
    <row r="9378" spans="1:16" ht="18" x14ac:dyDescent="0.35">
      <c r="A9378" s="43"/>
      <c r="B9378" s="59"/>
      <c r="C9378" s="60"/>
      <c r="D9378" s="59"/>
      <c r="E9378" s="59"/>
      <c r="F9378" s="59"/>
      <c r="G9378" s="59"/>
      <c r="H9378" s="59"/>
      <c r="I9378" s="371"/>
      <c r="J9378" s="365"/>
      <c r="K9378" s="369"/>
      <c r="L9378" s="369"/>
      <c r="M9378" s="369"/>
      <c r="N9378" s="366"/>
      <c r="O9378" s="370"/>
      <c r="P9378" s="43"/>
    </row>
    <row r="9379" spans="1:16" ht="18" x14ac:dyDescent="0.35">
      <c r="A9379" s="43"/>
      <c r="B9379" s="59"/>
      <c r="C9379" s="60"/>
      <c r="D9379" s="59"/>
      <c r="E9379" s="59"/>
      <c r="F9379" s="59"/>
      <c r="G9379" s="59"/>
      <c r="H9379" s="59"/>
      <c r="I9379" s="371"/>
      <c r="J9379" s="365"/>
      <c r="K9379" s="369"/>
      <c r="L9379" s="369"/>
      <c r="M9379" s="369"/>
      <c r="N9379" s="366"/>
      <c r="O9379" s="370"/>
      <c r="P9379" s="43"/>
    </row>
    <row r="9380" spans="1:16" ht="18" x14ac:dyDescent="0.35">
      <c r="A9380" s="43"/>
      <c r="B9380" s="59"/>
      <c r="C9380" s="60"/>
      <c r="D9380" s="59"/>
      <c r="E9380" s="59"/>
      <c r="F9380" s="59"/>
      <c r="G9380" s="59"/>
      <c r="H9380" s="59"/>
      <c r="I9380" s="371"/>
      <c r="J9380" s="365"/>
      <c r="K9380" s="369"/>
      <c r="L9380" s="369"/>
      <c r="M9380" s="369"/>
      <c r="N9380" s="366"/>
      <c r="O9380" s="370"/>
      <c r="P9380" s="43"/>
    </row>
    <row r="9381" spans="1:16" ht="18" x14ac:dyDescent="0.35">
      <c r="A9381" s="43"/>
      <c r="B9381" s="59"/>
      <c r="C9381" s="60"/>
      <c r="D9381" s="59"/>
      <c r="E9381" s="59"/>
      <c r="F9381" s="59"/>
      <c r="G9381" s="59"/>
      <c r="H9381" s="59"/>
      <c r="I9381" s="371"/>
      <c r="J9381" s="365"/>
      <c r="K9381" s="369"/>
      <c r="L9381" s="369"/>
      <c r="M9381" s="369"/>
      <c r="N9381" s="366"/>
      <c r="O9381" s="370"/>
      <c r="P9381" s="43"/>
    </row>
    <row r="9382" spans="1:16" ht="18" x14ac:dyDescent="0.35">
      <c r="A9382" s="43"/>
      <c r="B9382" s="59"/>
      <c r="C9382" s="60"/>
      <c r="D9382" s="59"/>
      <c r="E9382" s="59"/>
      <c r="F9382" s="59"/>
      <c r="G9382" s="59"/>
      <c r="H9382" s="59"/>
      <c r="I9382" s="371"/>
      <c r="J9382" s="365"/>
      <c r="K9382" s="369"/>
      <c r="L9382" s="369"/>
      <c r="M9382" s="369"/>
      <c r="N9382" s="366"/>
      <c r="O9382" s="370"/>
      <c r="P9382" s="43"/>
    </row>
    <row r="9383" spans="1:16" ht="18" x14ac:dyDescent="0.35">
      <c r="A9383" s="43"/>
      <c r="B9383" s="59"/>
      <c r="C9383" s="60"/>
      <c r="D9383" s="59"/>
      <c r="E9383" s="59"/>
      <c r="F9383" s="59"/>
      <c r="G9383" s="59"/>
      <c r="H9383" s="59"/>
      <c r="I9383" s="371"/>
      <c r="J9383" s="365"/>
      <c r="K9383" s="369"/>
      <c r="L9383" s="369"/>
      <c r="M9383" s="369"/>
      <c r="N9383" s="366"/>
      <c r="O9383" s="370"/>
      <c r="P9383" s="43"/>
    </row>
    <row r="9384" spans="1:16" ht="18" x14ac:dyDescent="0.35">
      <c r="A9384" s="43"/>
      <c r="B9384" s="59"/>
      <c r="C9384" s="60"/>
      <c r="D9384" s="59"/>
      <c r="E9384" s="59"/>
      <c r="F9384" s="59"/>
      <c r="G9384" s="59"/>
      <c r="H9384" s="59"/>
      <c r="I9384" s="371"/>
      <c r="J9384" s="365"/>
      <c r="K9384" s="369"/>
      <c r="L9384" s="369"/>
      <c r="M9384" s="369"/>
      <c r="N9384" s="366"/>
      <c r="O9384" s="370"/>
      <c r="P9384" s="43"/>
    </row>
    <row r="9385" spans="1:16" ht="18" x14ac:dyDescent="0.35">
      <c r="A9385" s="43"/>
      <c r="B9385" s="59"/>
      <c r="C9385" s="60"/>
      <c r="D9385" s="59"/>
      <c r="E9385" s="59"/>
      <c r="F9385" s="59"/>
      <c r="G9385" s="59"/>
      <c r="H9385" s="59"/>
      <c r="I9385" s="371"/>
      <c r="J9385" s="365"/>
      <c r="K9385" s="369"/>
      <c r="L9385" s="369"/>
      <c r="M9385" s="369"/>
      <c r="N9385" s="366"/>
      <c r="O9385" s="370"/>
      <c r="P9385" s="43"/>
    </row>
    <row r="9386" spans="1:16" ht="18" x14ac:dyDescent="0.35">
      <c r="A9386" s="43"/>
      <c r="B9386" s="59"/>
      <c r="C9386" s="60"/>
      <c r="D9386" s="59"/>
      <c r="E9386" s="59"/>
      <c r="F9386" s="59"/>
      <c r="G9386" s="59"/>
      <c r="H9386" s="59"/>
      <c r="I9386" s="371"/>
      <c r="J9386" s="365"/>
      <c r="K9386" s="369"/>
      <c r="L9386" s="369"/>
      <c r="M9386" s="369"/>
      <c r="N9386" s="366"/>
      <c r="O9386" s="370"/>
      <c r="P9386" s="43"/>
    </row>
    <row r="9387" spans="1:16" ht="18" x14ac:dyDescent="0.35">
      <c r="A9387" s="43"/>
      <c r="B9387" s="59"/>
      <c r="C9387" s="60"/>
      <c r="D9387" s="59"/>
      <c r="E9387" s="59"/>
      <c r="F9387" s="59"/>
      <c r="G9387" s="59"/>
      <c r="H9387" s="59"/>
      <c r="I9387" s="371"/>
      <c r="J9387" s="365"/>
      <c r="K9387" s="369"/>
      <c r="L9387" s="369"/>
      <c r="M9387" s="369"/>
      <c r="N9387" s="366"/>
      <c r="O9387" s="370"/>
      <c r="P9387" s="43"/>
    </row>
    <row r="9388" spans="1:16" ht="18" x14ac:dyDescent="0.35">
      <c r="A9388" s="43"/>
      <c r="B9388" s="59"/>
      <c r="C9388" s="60"/>
      <c r="D9388" s="59"/>
      <c r="E9388" s="59"/>
      <c r="F9388" s="59"/>
      <c r="G9388" s="59"/>
      <c r="H9388" s="59"/>
      <c r="I9388" s="371"/>
      <c r="J9388" s="365"/>
      <c r="K9388" s="369"/>
      <c r="L9388" s="369"/>
      <c r="M9388" s="369"/>
      <c r="N9388" s="366"/>
      <c r="O9388" s="370"/>
      <c r="P9388" s="43"/>
    </row>
    <row r="9389" spans="1:16" ht="18" x14ac:dyDescent="0.35">
      <c r="A9389" s="43"/>
      <c r="B9389" s="59"/>
      <c r="C9389" s="60"/>
      <c r="D9389" s="59"/>
      <c r="E9389" s="59"/>
      <c r="F9389" s="59"/>
      <c r="G9389" s="59"/>
      <c r="H9389" s="59"/>
      <c r="I9389" s="371"/>
      <c r="J9389" s="365"/>
      <c r="K9389" s="369"/>
      <c r="L9389" s="369"/>
      <c r="M9389" s="369"/>
      <c r="N9389" s="366"/>
      <c r="O9389" s="370"/>
      <c r="P9389" s="43"/>
    </row>
    <row r="9390" spans="1:16" ht="18" x14ac:dyDescent="0.35">
      <c r="A9390" s="43"/>
      <c r="B9390" s="59"/>
      <c r="C9390" s="60"/>
      <c r="D9390" s="59"/>
      <c r="E9390" s="59"/>
      <c r="F9390" s="59"/>
      <c r="G9390" s="59"/>
      <c r="H9390" s="59"/>
      <c r="I9390" s="371"/>
      <c r="J9390" s="365"/>
      <c r="K9390" s="369"/>
      <c r="L9390" s="369"/>
      <c r="M9390" s="369"/>
      <c r="N9390" s="366"/>
      <c r="O9390" s="370"/>
      <c r="P9390" s="43"/>
    </row>
    <row r="9391" spans="1:16" ht="18" x14ac:dyDescent="0.35">
      <c r="A9391" s="43"/>
      <c r="B9391" s="59"/>
      <c r="C9391" s="60"/>
      <c r="D9391" s="59"/>
      <c r="E9391" s="59"/>
      <c r="F9391" s="59"/>
      <c r="G9391" s="59"/>
      <c r="H9391" s="59"/>
      <c r="I9391" s="371"/>
      <c r="J9391" s="365"/>
      <c r="K9391" s="369"/>
      <c r="L9391" s="369"/>
      <c r="M9391" s="369"/>
      <c r="N9391" s="366"/>
      <c r="O9391" s="370"/>
      <c r="P9391" s="43"/>
    </row>
    <row r="9392" spans="1:16" ht="18" x14ac:dyDescent="0.35">
      <c r="A9392" s="43"/>
      <c r="B9392" s="59"/>
      <c r="C9392" s="60"/>
      <c r="D9392" s="59"/>
      <c r="E9392" s="59"/>
      <c r="F9392" s="59"/>
      <c r="G9392" s="59"/>
      <c r="H9392" s="59"/>
      <c r="I9392" s="371"/>
      <c r="J9392" s="365"/>
      <c r="K9392" s="369"/>
      <c r="L9392" s="369"/>
      <c r="M9392" s="369"/>
      <c r="N9392" s="366"/>
      <c r="O9392" s="370"/>
      <c r="P9392" s="43"/>
    </row>
    <row r="9393" spans="1:16" ht="18" x14ac:dyDescent="0.35">
      <c r="A9393" s="43"/>
      <c r="B9393" s="59"/>
      <c r="C9393" s="60"/>
      <c r="D9393" s="59"/>
      <c r="E9393" s="59"/>
      <c r="F9393" s="59"/>
      <c r="G9393" s="59"/>
      <c r="H9393" s="59"/>
      <c r="I9393" s="371"/>
      <c r="J9393" s="365"/>
      <c r="K9393" s="369"/>
      <c r="L9393" s="369"/>
      <c r="M9393" s="369"/>
      <c r="N9393" s="366"/>
      <c r="O9393" s="370"/>
      <c r="P9393" s="43"/>
    </row>
    <row r="9394" spans="1:16" ht="18" x14ac:dyDescent="0.35">
      <c r="A9394" s="43"/>
      <c r="B9394" s="59"/>
      <c r="C9394" s="60"/>
      <c r="D9394" s="59"/>
      <c r="E9394" s="59"/>
      <c r="F9394" s="59"/>
      <c r="G9394" s="59"/>
      <c r="H9394" s="59"/>
      <c r="I9394" s="371"/>
      <c r="J9394" s="365"/>
      <c r="K9394" s="369"/>
      <c r="L9394" s="369"/>
      <c r="M9394" s="369"/>
      <c r="N9394" s="366"/>
      <c r="O9394" s="370"/>
      <c r="P9394" s="43"/>
    </row>
    <row r="9395" spans="1:16" ht="18" x14ac:dyDescent="0.35">
      <c r="A9395" s="43"/>
      <c r="B9395" s="59"/>
      <c r="C9395" s="60"/>
      <c r="D9395" s="59"/>
      <c r="E9395" s="59"/>
      <c r="F9395" s="59"/>
      <c r="G9395" s="59"/>
      <c r="H9395" s="59"/>
      <c r="I9395" s="371"/>
      <c r="J9395" s="365"/>
      <c r="K9395" s="369"/>
      <c r="L9395" s="369"/>
      <c r="M9395" s="369"/>
      <c r="N9395" s="366"/>
      <c r="O9395" s="370"/>
      <c r="P9395" s="43"/>
    </row>
    <row r="9396" spans="1:16" ht="18" x14ac:dyDescent="0.35">
      <c r="A9396" s="43"/>
      <c r="B9396" s="59"/>
      <c r="C9396" s="60"/>
      <c r="D9396" s="59"/>
      <c r="E9396" s="59"/>
      <c r="F9396" s="59"/>
      <c r="G9396" s="59"/>
      <c r="H9396" s="59"/>
      <c r="I9396" s="371"/>
      <c r="J9396" s="365"/>
      <c r="K9396" s="369"/>
      <c r="L9396" s="369"/>
      <c r="M9396" s="369"/>
      <c r="N9396" s="366"/>
      <c r="O9396" s="370"/>
      <c r="P9396" s="43"/>
    </row>
    <row r="9397" spans="1:16" ht="18" x14ac:dyDescent="0.35">
      <c r="A9397" s="43"/>
      <c r="B9397" s="59"/>
      <c r="C9397" s="60"/>
      <c r="D9397" s="59"/>
      <c r="E9397" s="59"/>
      <c r="F9397" s="59"/>
      <c r="G9397" s="59"/>
      <c r="H9397" s="59"/>
      <c r="I9397" s="371"/>
      <c r="J9397" s="365"/>
      <c r="K9397" s="369"/>
      <c r="L9397" s="369"/>
      <c r="M9397" s="369"/>
      <c r="N9397" s="366"/>
      <c r="O9397" s="370"/>
      <c r="P9397" s="43"/>
    </row>
    <row r="9398" spans="1:16" ht="18" x14ac:dyDescent="0.35">
      <c r="A9398" s="43"/>
      <c r="B9398" s="59"/>
      <c r="C9398" s="60"/>
      <c r="D9398" s="59"/>
      <c r="E9398" s="59"/>
      <c r="F9398" s="59"/>
      <c r="G9398" s="59"/>
      <c r="H9398" s="59"/>
      <c r="I9398" s="371"/>
      <c r="J9398" s="365"/>
      <c r="K9398" s="369"/>
      <c r="L9398" s="369"/>
      <c r="M9398" s="369"/>
      <c r="N9398" s="366"/>
      <c r="O9398" s="370"/>
      <c r="P9398" s="43"/>
    </row>
    <row r="9399" spans="1:16" ht="18" x14ac:dyDescent="0.35">
      <c r="A9399" s="43"/>
      <c r="B9399" s="59"/>
      <c r="C9399" s="60"/>
      <c r="D9399" s="59"/>
      <c r="E9399" s="59"/>
      <c r="F9399" s="59"/>
      <c r="G9399" s="59"/>
      <c r="H9399" s="59"/>
      <c r="I9399" s="371"/>
      <c r="J9399" s="365"/>
      <c r="K9399" s="369"/>
      <c r="L9399" s="369"/>
      <c r="M9399" s="369"/>
      <c r="N9399" s="366"/>
      <c r="O9399" s="370"/>
      <c r="P9399" s="43"/>
    </row>
    <row r="9400" spans="1:16" ht="18" x14ac:dyDescent="0.35">
      <c r="A9400" s="43"/>
      <c r="B9400" s="59"/>
      <c r="C9400" s="60"/>
      <c r="D9400" s="59"/>
      <c r="E9400" s="59"/>
      <c r="F9400" s="59"/>
      <c r="G9400" s="59"/>
      <c r="H9400" s="59"/>
      <c r="I9400" s="371"/>
      <c r="J9400" s="365"/>
      <c r="K9400" s="369"/>
      <c r="L9400" s="369"/>
      <c r="M9400" s="369"/>
      <c r="N9400" s="366"/>
      <c r="O9400" s="370"/>
      <c r="P9400" s="43"/>
    </row>
    <row r="9401" spans="1:16" ht="18" x14ac:dyDescent="0.35">
      <c r="A9401" s="43"/>
      <c r="B9401" s="59"/>
      <c r="C9401" s="60"/>
      <c r="D9401" s="59"/>
      <c r="E9401" s="59"/>
      <c r="F9401" s="59"/>
      <c r="G9401" s="59"/>
      <c r="H9401" s="59"/>
      <c r="I9401" s="371"/>
      <c r="J9401" s="365"/>
      <c r="K9401" s="369"/>
      <c r="L9401" s="369"/>
      <c r="M9401" s="369"/>
      <c r="N9401" s="366"/>
      <c r="O9401" s="370"/>
      <c r="P9401" s="43"/>
    </row>
    <row r="9402" spans="1:16" ht="18" x14ac:dyDescent="0.35">
      <c r="A9402" s="43"/>
      <c r="B9402" s="59"/>
      <c r="C9402" s="60"/>
      <c r="D9402" s="59"/>
      <c r="E9402" s="59"/>
      <c r="F9402" s="59"/>
      <c r="G9402" s="59"/>
      <c r="H9402" s="59"/>
      <c r="I9402" s="371"/>
      <c r="J9402" s="365"/>
      <c r="K9402" s="369"/>
      <c r="L9402" s="369"/>
      <c r="M9402" s="369"/>
      <c r="N9402" s="366"/>
      <c r="O9402" s="370"/>
      <c r="P9402" s="43"/>
    </row>
    <row r="9403" spans="1:16" ht="18" x14ac:dyDescent="0.35">
      <c r="A9403" s="43"/>
      <c r="B9403" s="59"/>
      <c r="C9403" s="60"/>
      <c r="D9403" s="59"/>
      <c r="E9403" s="59"/>
      <c r="F9403" s="59"/>
      <c r="G9403" s="59"/>
      <c r="H9403" s="59"/>
      <c r="I9403" s="371"/>
      <c r="J9403" s="365"/>
      <c r="K9403" s="369"/>
      <c r="L9403" s="369"/>
      <c r="M9403" s="369"/>
      <c r="N9403" s="366"/>
      <c r="O9403" s="370"/>
      <c r="P9403" s="43"/>
    </row>
    <row r="9404" spans="1:16" ht="18" x14ac:dyDescent="0.35">
      <c r="A9404" s="43"/>
      <c r="B9404" s="59"/>
      <c r="C9404" s="60"/>
      <c r="D9404" s="59"/>
      <c r="E9404" s="59"/>
      <c r="F9404" s="59"/>
      <c r="G9404" s="59"/>
      <c r="H9404" s="59"/>
      <c r="I9404" s="371"/>
      <c r="J9404" s="365"/>
      <c r="K9404" s="369"/>
      <c r="L9404" s="369"/>
      <c r="M9404" s="369"/>
      <c r="N9404" s="366"/>
      <c r="O9404" s="370"/>
      <c r="P9404" s="43"/>
    </row>
    <row r="9405" spans="1:16" ht="18" x14ac:dyDescent="0.35">
      <c r="A9405" s="43"/>
      <c r="B9405" s="59"/>
      <c r="C9405" s="60"/>
      <c r="D9405" s="59"/>
      <c r="E9405" s="59"/>
      <c r="F9405" s="59"/>
      <c r="G9405" s="59"/>
      <c r="H9405" s="59"/>
      <c r="I9405" s="371"/>
      <c r="J9405" s="365"/>
      <c r="K9405" s="369"/>
      <c r="L9405" s="369"/>
      <c r="M9405" s="369"/>
      <c r="N9405" s="366"/>
      <c r="O9405" s="370"/>
      <c r="P9405" s="43"/>
    </row>
    <row r="9406" spans="1:16" ht="18" x14ac:dyDescent="0.35">
      <c r="A9406" s="43"/>
      <c r="B9406" s="59"/>
      <c r="C9406" s="60"/>
      <c r="D9406" s="59"/>
      <c r="E9406" s="59"/>
      <c r="F9406" s="59"/>
      <c r="G9406" s="59"/>
      <c r="H9406" s="59"/>
      <c r="I9406" s="371"/>
      <c r="J9406" s="365"/>
      <c r="K9406" s="369"/>
      <c r="L9406" s="369"/>
      <c r="M9406" s="369"/>
      <c r="N9406" s="366"/>
      <c r="O9406" s="370"/>
      <c r="P9406" s="43"/>
    </row>
    <row r="9407" spans="1:16" ht="18" x14ac:dyDescent="0.35">
      <c r="A9407" s="43"/>
      <c r="B9407" s="59"/>
      <c r="C9407" s="60"/>
      <c r="D9407" s="59"/>
      <c r="E9407" s="59"/>
      <c r="F9407" s="59"/>
      <c r="G9407" s="59"/>
      <c r="H9407" s="59"/>
      <c r="I9407" s="371"/>
      <c r="J9407" s="365"/>
      <c r="K9407" s="369"/>
      <c r="L9407" s="369"/>
      <c r="M9407" s="369"/>
      <c r="N9407" s="366"/>
      <c r="O9407" s="370"/>
      <c r="P9407" s="43"/>
    </row>
    <row r="9408" spans="1:16" ht="18" x14ac:dyDescent="0.35">
      <c r="A9408" s="43"/>
      <c r="B9408" s="59"/>
      <c r="C9408" s="60"/>
      <c r="D9408" s="59"/>
      <c r="E9408" s="59"/>
      <c r="F9408" s="59"/>
      <c r="G9408" s="59"/>
      <c r="H9408" s="59"/>
      <c r="I9408" s="371"/>
      <c r="J9408" s="365"/>
      <c r="K9408" s="369"/>
      <c r="L9408" s="369"/>
      <c r="M9408" s="369"/>
      <c r="N9408" s="366"/>
      <c r="O9408" s="370"/>
      <c r="P9408" s="43"/>
    </row>
    <row r="9409" spans="1:16" ht="18" x14ac:dyDescent="0.35">
      <c r="A9409" s="43"/>
      <c r="B9409" s="59"/>
      <c r="C9409" s="60"/>
      <c r="D9409" s="59"/>
      <c r="E9409" s="59"/>
      <c r="F9409" s="59"/>
      <c r="G9409" s="59"/>
      <c r="H9409" s="59"/>
      <c r="I9409" s="371"/>
      <c r="J9409" s="365"/>
      <c r="K9409" s="369"/>
      <c r="L9409" s="369"/>
      <c r="M9409" s="369"/>
      <c r="N9409" s="366"/>
      <c r="O9409" s="370"/>
      <c r="P9409" s="43"/>
    </row>
    <row r="9410" spans="1:16" ht="18" x14ac:dyDescent="0.35">
      <c r="A9410" s="43"/>
      <c r="B9410" s="59"/>
      <c r="C9410" s="60"/>
      <c r="D9410" s="59"/>
      <c r="E9410" s="59"/>
      <c r="F9410" s="59"/>
      <c r="G9410" s="59"/>
      <c r="H9410" s="59"/>
      <c r="I9410" s="371"/>
      <c r="J9410" s="365"/>
      <c r="K9410" s="369"/>
      <c r="L9410" s="369"/>
      <c r="M9410" s="369"/>
      <c r="N9410" s="366"/>
      <c r="O9410" s="370"/>
      <c r="P9410" s="43"/>
    </row>
    <row r="9411" spans="1:16" ht="18" x14ac:dyDescent="0.35">
      <c r="A9411" s="43"/>
      <c r="B9411" s="59"/>
      <c r="C9411" s="60"/>
      <c r="D9411" s="59"/>
      <c r="E9411" s="59"/>
      <c r="F9411" s="59"/>
      <c r="G9411" s="59"/>
      <c r="H9411" s="59"/>
      <c r="I9411" s="371"/>
      <c r="J9411" s="365"/>
      <c r="K9411" s="369"/>
      <c r="L9411" s="369"/>
      <c r="M9411" s="369"/>
      <c r="N9411" s="366"/>
      <c r="O9411" s="370"/>
      <c r="P9411" s="43"/>
    </row>
    <row r="9412" spans="1:16" ht="18" x14ac:dyDescent="0.35">
      <c r="A9412" s="43"/>
      <c r="B9412" s="59"/>
      <c r="C9412" s="60"/>
      <c r="D9412" s="59"/>
      <c r="E9412" s="59"/>
      <c r="F9412" s="59"/>
      <c r="G9412" s="59"/>
      <c r="H9412" s="59"/>
      <c r="I9412" s="371"/>
      <c r="J9412" s="365"/>
      <c r="K9412" s="369"/>
      <c r="L9412" s="369"/>
      <c r="M9412" s="369"/>
      <c r="N9412" s="366"/>
      <c r="O9412" s="370"/>
      <c r="P9412" s="43"/>
    </row>
    <row r="9413" spans="1:16" ht="18" x14ac:dyDescent="0.35">
      <c r="A9413" s="43"/>
      <c r="B9413" s="59"/>
      <c r="C9413" s="60"/>
      <c r="D9413" s="59"/>
      <c r="E9413" s="59"/>
      <c r="F9413" s="59"/>
      <c r="G9413" s="59"/>
      <c r="H9413" s="59"/>
      <c r="I9413" s="371"/>
      <c r="J9413" s="365"/>
      <c r="K9413" s="369"/>
      <c r="L9413" s="369"/>
      <c r="M9413" s="369"/>
      <c r="N9413" s="366"/>
      <c r="O9413" s="370"/>
      <c r="P9413" s="43"/>
    </row>
    <row r="9414" spans="1:16" ht="18" x14ac:dyDescent="0.35">
      <c r="A9414" s="43"/>
      <c r="B9414" s="59"/>
      <c r="C9414" s="60"/>
      <c r="D9414" s="59"/>
      <c r="E9414" s="59"/>
      <c r="F9414" s="59"/>
      <c r="G9414" s="59"/>
      <c r="H9414" s="59"/>
      <c r="I9414" s="371"/>
      <c r="J9414" s="365"/>
      <c r="K9414" s="369"/>
      <c r="L9414" s="369"/>
      <c r="M9414" s="369"/>
      <c r="N9414" s="366"/>
      <c r="O9414" s="370"/>
      <c r="P9414" s="43"/>
    </row>
    <row r="9415" spans="1:16" ht="18" x14ac:dyDescent="0.35">
      <c r="A9415" s="43"/>
      <c r="B9415" s="59"/>
      <c r="C9415" s="60"/>
      <c r="D9415" s="59"/>
      <c r="E9415" s="59"/>
      <c r="F9415" s="59"/>
      <c r="G9415" s="59"/>
      <c r="H9415" s="59"/>
      <c r="I9415" s="371"/>
      <c r="J9415" s="365"/>
      <c r="K9415" s="369"/>
      <c r="L9415" s="369"/>
      <c r="M9415" s="369"/>
      <c r="N9415" s="366"/>
      <c r="O9415" s="370"/>
      <c r="P9415" s="43"/>
    </row>
    <row r="9416" spans="1:16" ht="18" x14ac:dyDescent="0.35">
      <c r="A9416" s="43"/>
      <c r="B9416" s="59"/>
      <c r="C9416" s="60"/>
      <c r="D9416" s="59"/>
      <c r="E9416" s="59"/>
      <c r="F9416" s="59"/>
      <c r="G9416" s="59"/>
      <c r="H9416" s="59"/>
      <c r="I9416" s="371"/>
      <c r="J9416" s="365"/>
      <c r="K9416" s="369"/>
      <c r="L9416" s="369"/>
      <c r="M9416" s="369"/>
      <c r="N9416" s="366"/>
      <c r="O9416" s="370"/>
      <c r="P9416" s="43"/>
    </row>
    <row r="9417" spans="1:16" ht="18" x14ac:dyDescent="0.35">
      <c r="A9417" s="43"/>
      <c r="B9417" s="59"/>
      <c r="C9417" s="60"/>
      <c r="D9417" s="59"/>
      <c r="E9417" s="59"/>
      <c r="F9417" s="59"/>
      <c r="G9417" s="59"/>
      <c r="H9417" s="59"/>
      <c r="I9417" s="371"/>
      <c r="J9417" s="365"/>
      <c r="K9417" s="369"/>
      <c r="L9417" s="369"/>
      <c r="M9417" s="369"/>
      <c r="N9417" s="366"/>
      <c r="O9417" s="370"/>
      <c r="P9417" s="43"/>
    </row>
    <row r="9418" spans="1:16" ht="18" x14ac:dyDescent="0.35">
      <c r="A9418" s="43"/>
      <c r="B9418" s="59"/>
      <c r="C9418" s="60"/>
      <c r="D9418" s="59"/>
      <c r="E9418" s="59"/>
      <c r="F9418" s="59"/>
      <c r="G9418" s="59"/>
      <c r="H9418" s="59"/>
      <c r="I9418" s="371"/>
      <c r="J9418" s="365"/>
      <c r="K9418" s="369"/>
      <c r="L9418" s="369"/>
      <c r="M9418" s="369"/>
      <c r="N9418" s="366"/>
      <c r="O9418" s="370"/>
      <c r="P9418" s="43"/>
    </row>
    <row r="9419" spans="1:16" ht="18" x14ac:dyDescent="0.35">
      <c r="A9419" s="43"/>
      <c r="B9419" s="59"/>
      <c r="C9419" s="60"/>
      <c r="D9419" s="59"/>
      <c r="E9419" s="59"/>
      <c r="F9419" s="59"/>
      <c r="G9419" s="59"/>
      <c r="H9419" s="59"/>
      <c r="I9419" s="371"/>
      <c r="J9419" s="365"/>
      <c r="K9419" s="369"/>
      <c r="L9419" s="369"/>
      <c r="M9419" s="369"/>
      <c r="N9419" s="366"/>
      <c r="O9419" s="370"/>
      <c r="P9419" s="43"/>
    </row>
    <row r="9420" spans="1:16" ht="18" x14ac:dyDescent="0.35">
      <c r="A9420" s="43"/>
      <c r="B9420" s="59"/>
      <c r="C9420" s="60"/>
      <c r="D9420" s="59"/>
      <c r="E9420" s="59"/>
      <c r="F9420" s="59"/>
      <c r="G9420" s="59"/>
      <c r="H9420" s="59"/>
      <c r="I9420" s="371"/>
      <c r="J9420" s="365"/>
      <c r="K9420" s="369"/>
      <c r="L9420" s="369"/>
      <c r="M9420" s="369"/>
      <c r="N9420" s="366"/>
      <c r="O9420" s="370"/>
      <c r="P9420" s="43"/>
    </row>
    <row r="9421" spans="1:16" ht="18" x14ac:dyDescent="0.35">
      <c r="A9421" s="43"/>
      <c r="B9421" s="59"/>
      <c r="C9421" s="60"/>
      <c r="D9421" s="59"/>
      <c r="E9421" s="59"/>
      <c r="F9421" s="59"/>
      <c r="G9421" s="59"/>
      <c r="H9421" s="59"/>
      <c r="I9421" s="371"/>
      <c r="J9421" s="365"/>
      <c r="K9421" s="369"/>
      <c r="L9421" s="369"/>
      <c r="M9421" s="369"/>
      <c r="N9421" s="366"/>
      <c r="O9421" s="370"/>
      <c r="P9421" s="43"/>
    </row>
    <row r="9422" spans="1:16" ht="18" x14ac:dyDescent="0.35">
      <c r="A9422" s="43"/>
      <c r="B9422" s="59"/>
      <c r="C9422" s="60"/>
      <c r="D9422" s="59"/>
      <c r="E9422" s="59"/>
      <c r="F9422" s="59"/>
      <c r="G9422" s="59"/>
      <c r="H9422" s="59"/>
      <c r="I9422" s="371"/>
      <c r="J9422" s="365"/>
      <c r="K9422" s="369"/>
      <c r="L9422" s="369"/>
      <c r="M9422" s="369"/>
      <c r="N9422" s="366"/>
      <c r="O9422" s="370"/>
      <c r="P9422" s="43"/>
    </row>
    <row r="9423" spans="1:16" ht="18" x14ac:dyDescent="0.35">
      <c r="A9423" s="43"/>
      <c r="B9423" s="59"/>
      <c r="C9423" s="60"/>
      <c r="D9423" s="59"/>
      <c r="E9423" s="59"/>
      <c r="F9423" s="59"/>
      <c r="G9423" s="59"/>
      <c r="H9423" s="59"/>
      <c r="I9423" s="371"/>
      <c r="J9423" s="365"/>
      <c r="K9423" s="369"/>
      <c r="L9423" s="369"/>
      <c r="M9423" s="369"/>
      <c r="N9423" s="366"/>
      <c r="O9423" s="370"/>
      <c r="P9423" s="43"/>
    </row>
    <row r="9424" spans="1:16" ht="18" x14ac:dyDescent="0.35">
      <c r="A9424" s="43"/>
      <c r="B9424" s="59"/>
      <c r="C9424" s="60"/>
      <c r="D9424" s="59"/>
      <c r="E9424" s="59"/>
      <c r="F9424" s="59"/>
      <c r="G9424" s="59"/>
      <c r="H9424" s="59"/>
      <c r="I9424" s="371"/>
      <c r="J9424" s="365"/>
      <c r="K9424" s="369"/>
      <c r="L9424" s="369"/>
      <c r="M9424" s="369"/>
      <c r="N9424" s="366"/>
      <c r="O9424" s="370"/>
      <c r="P9424" s="43"/>
    </row>
    <row r="9425" spans="1:16" ht="18" x14ac:dyDescent="0.35">
      <c r="A9425" s="43"/>
      <c r="B9425" s="59"/>
      <c r="C9425" s="60"/>
      <c r="D9425" s="59"/>
      <c r="E9425" s="59"/>
      <c r="F9425" s="59"/>
      <c r="G9425" s="59"/>
      <c r="H9425" s="59"/>
      <c r="I9425" s="371"/>
      <c r="J9425" s="365"/>
      <c r="K9425" s="369"/>
      <c r="L9425" s="369"/>
      <c r="M9425" s="369"/>
      <c r="N9425" s="366"/>
      <c r="O9425" s="370"/>
      <c r="P9425" s="43"/>
    </row>
    <row r="9426" spans="1:16" ht="18" x14ac:dyDescent="0.35">
      <c r="A9426" s="43"/>
      <c r="B9426" s="59"/>
      <c r="C9426" s="60"/>
      <c r="D9426" s="59"/>
      <c r="E9426" s="59"/>
      <c r="F9426" s="59"/>
      <c r="G9426" s="59"/>
      <c r="H9426" s="59"/>
      <c r="I9426" s="371"/>
      <c r="J9426" s="365"/>
      <c r="K9426" s="369"/>
      <c r="L9426" s="369"/>
      <c r="M9426" s="369"/>
      <c r="N9426" s="366"/>
      <c r="O9426" s="370"/>
      <c r="P9426" s="43"/>
    </row>
    <row r="9427" spans="1:16" ht="18" x14ac:dyDescent="0.35">
      <c r="A9427" s="43"/>
      <c r="B9427" s="59"/>
      <c r="C9427" s="60"/>
      <c r="D9427" s="59"/>
      <c r="E9427" s="59"/>
      <c r="F9427" s="59"/>
      <c r="G9427" s="59"/>
      <c r="H9427" s="59"/>
      <c r="I9427" s="371"/>
      <c r="J9427" s="365"/>
      <c r="K9427" s="369"/>
      <c r="L9427" s="369"/>
      <c r="M9427" s="369"/>
      <c r="N9427" s="366"/>
      <c r="O9427" s="370"/>
      <c r="P9427" s="43"/>
    </row>
    <row r="9428" spans="1:16" ht="18" x14ac:dyDescent="0.35">
      <c r="A9428" s="43"/>
      <c r="B9428" s="59"/>
      <c r="C9428" s="60"/>
      <c r="D9428" s="59"/>
      <c r="E9428" s="59"/>
      <c r="F9428" s="59"/>
      <c r="G9428" s="59"/>
      <c r="H9428" s="59"/>
      <c r="I9428" s="371"/>
      <c r="J9428" s="365"/>
      <c r="K9428" s="369"/>
      <c r="L9428" s="369"/>
      <c r="M9428" s="369"/>
      <c r="N9428" s="366"/>
      <c r="O9428" s="370"/>
      <c r="P9428" s="43"/>
    </row>
    <row r="9429" spans="1:16" ht="18" x14ac:dyDescent="0.35">
      <c r="A9429" s="43"/>
      <c r="B9429" s="59"/>
      <c r="C9429" s="60"/>
      <c r="D9429" s="59"/>
      <c r="E9429" s="59"/>
      <c r="F9429" s="59"/>
      <c r="G9429" s="59"/>
      <c r="H9429" s="59"/>
      <c r="I9429" s="371"/>
      <c r="J9429" s="365"/>
      <c r="K9429" s="369"/>
      <c r="L9429" s="369"/>
      <c r="M9429" s="369"/>
      <c r="N9429" s="366"/>
      <c r="O9429" s="370"/>
      <c r="P9429" s="43"/>
    </row>
    <row r="9430" spans="1:16" ht="18" x14ac:dyDescent="0.35">
      <c r="A9430" s="43"/>
      <c r="B9430" s="59"/>
      <c r="C9430" s="60"/>
      <c r="D9430" s="59"/>
      <c r="E9430" s="59"/>
      <c r="F9430" s="59"/>
      <c r="G9430" s="59"/>
      <c r="H9430" s="59"/>
      <c r="I9430" s="371"/>
      <c r="J9430" s="365"/>
      <c r="K9430" s="369"/>
      <c r="L9430" s="369"/>
      <c r="M9430" s="369"/>
      <c r="N9430" s="366"/>
      <c r="O9430" s="370"/>
      <c r="P9430" s="43"/>
    </row>
    <row r="9431" spans="1:16" ht="18" x14ac:dyDescent="0.35">
      <c r="A9431" s="43"/>
      <c r="B9431" s="59"/>
      <c r="C9431" s="60"/>
      <c r="D9431" s="59"/>
      <c r="E9431" s="59"/>
      <c r="F9431" s="59"/>
      <c r="G9431" s="59"/>
      <c r="H9431" s="59"/>
      <c r="I9431" s="371"/>
      <c r="J9431" s="365"/>
      <c r="K9431" s="369"/>
      <c r="L9431" s="369"/>
      <c r="M9431" s="369"/>
      <c r="N9431" s="366"/>
      <c r="O9431" s="370"/>
      <c r="P9431" s="43"/>
    </row>
    <row r="9432" spans="1:16" ht="18" x14ac:dyDescent="0.35">
      <c r="A9432" s="43"/>
      <c r="B9432" s="59"/>
      <c r="C9432" s="60"/>
      <c r="D9432" s="59"/>
      <c r="E9432" s="59"/>
      <c r="F9432" s="59"/>
      <c r="G9432" s="59"/>
      <c r="H9432" s="59"/>
      <c r="I9432" s="371"/>
      <c r="J9432" s="365"/>
      <c r="K9432" s="369"/>
      <c r="L9432" s="369"/>
      <c r="M9432" s="369"/>
      <c r="N9432" s="366"/>
      <c r="O9432" s="370"/>
      <c r="P9432" s="43"/>
    </row>
    <row r="9433" spans="1:16" ht="18" x14ac:dyDescent="0.35">
      <c r="A9433" s="43"/>
      <c r="B9433" s="59"/>
      <c r="C9433" s="60"/>
      <c r="D9433" s="59"/>
      <c r="E9433" s="59"/>
      <c r="F9433" s="59"/>
      <c r="G9433" s="59"/>
      <c r="H9433" s="59"/>
      <c r="I9433" s="371"/>
      <c r="J9433" s="365"/>
      <c r="K9433" s="369"/>
      <c r="L9433" s="369"/>
      <c r="M9433" s="369"/>
      <c r="N9433" s="366"/>
      <c r="O9433" s="370"/>
      <c r="P9433" s="43"/>
    </row>
    <row r="9434" spans="1:16" ht="18" x14ac:dyDescent="0.35">
      <c r="A9434" s="43"/>
      <c r="B9434" s="59"/>
      <c r="C9434" s="60"/>
      <c r="D9434" s="59"/>
      <c r="E9434" s="59"/>
      <c r="F9434" s="59"/>
      <c r="G9434" s="59"/>
      <c r="H9434" s="59"/>
      <c r="I9434" s="371"/>
      <c r="J9434" s="365"/>
      <c r="K9434" s="369"/>
      <c r="L9434" s="369"/>
      <c r="M9434" s="369"/>
      <c r="N9434" s="366"/>
      <c r="O9434" s="370"/>
      <c r="P9434" s="43"/>
    </row>
    <row r="9435" spans="1:16" ht="18" x14ac:dyDescent="0.35">
      <c r="A9435" s="43"/>
      <c r="B9435" s="59"/>
      <c r="C9435" s="60"/>
      <c r="D9435" s="59"/>
      <c r="E9435" s="59"/>
      <c r="F9435" s="59"/>
      <c r="G9435" s="59"/>
      <c r="H9435" s="59"/>
      <c r="I9435" s="371"/>
      <c r="J9435" s="365"/>
      <c r="K9435" s="369"/>
      <c r="L9435" s="369"/>
      <c r="M9435" s="369"/>
      <c r="N9435" s="366"/>
      <c r="O9435" s="370"/>
      <c r="P9435" s="43"/>
    </row>
    <row r="9436" spans="1:16" ht="18" x14ac:dyDescent="0.35">
      <c r="A9436" s="43"/>
      <c r="B9436" s="59"/>
      <c r="C9436" s="60"/>
      <c r="D9436" s="59"/>
      <c r="E9436" s="59"/>
      <c r="F9436" s="59"/>
      <c r="G9436" s="59"/>
      <c r="H9436" s="59"/>
      <c r="I9436" s="371"/>
      <c r="J9436" s="365"/>
      <c r="K9436" s="369"/>
      <c r="L9436" s="369"/>
      <c r="M9436" s="369"/>
      <c r="N9436" s="366"/>
      <c r="O9436" s="370"/>
      <c r="P9436" s="43"/>
    </row>
    <row r="9437" spans="1:16" ht="18" x14ac:dyDescent="0.35">
      <c r="A9437" s="43"/>
      <c r="B9437" s="59"/>
      <c r="C9437" s="60"/>
      <c r="D9437" s="59"/>
      <c r="E9437" s="59"/>
      <c r="F9437" s="59"/>
      <c r="G9437" s="59"/>
      <c r="H9437" s="59"/>
      <c r="I9437" s="371"/>
      <c r="J9437" s="365"/>
      <c r="K9437" s="369"/>
      <c r="L9437" s="369"/>
      <c r="M9437" s="369"/>
      <c r="N9437" s="366"/>
      <c r="O9437" s="370"/>
      <c r="P9437" s="43"/>
    </row>
    <row r="9438" spans="1:16" ht="18" x14ac:dyDescent="0.35">
      <c r="A9438" s="43"/>
      <c r="B9438" s="59"/>
      <c r="C9438" s="60"/>
      <c r="D9438" s="59"/>
      <c r="E9438" s="59"/>
      <c r="F9438" s="59"/>
      <c r="G9438" s="59"/>
      <c r="H9438" s="59"/>
      <c r="I9438" s="371"/>
      <c r="J9438" s="365"/>
      <c r="K9438" s="369"/>
      <c r="L9438" s="369"/>
      <c r="M9438" s="369"/>
      <c r="N9438" s="366"/>
      <c r="O9438" s="370"/>
      <c r="P9438" s="43"/>
    </row>
    <row r="9439" spans="1:16" ht="18" x14ac:dyDescent="0.35">
      <c r="A9439" s="43"/>
      <c r="B9439" s="59"/>
      <c r="C9439" s="60"/>
      <c r="D9439" s="59"/>
      <c r="E9439" s="59"/>
      <c r="F9439" s="59"/>
      <c r="G9439" s="59"/>
      <c r="H9439" s="59"/>
      <c r="I9439" s="371"/>
      <c r="J9439" s="365"/>
      <c r="K9439" s="369"/>
      <c r="L9439" s="369"/>
      <c r="M9439" s="369"/>
      <c r="N9439" s="366"/>
      <c r="O9439" s="370"/>
      <c r="P9439" s="43"/>
    </row>
    <row r="9440" spans="1:16" ht="18" x14ac:dyDescent="0.35">
      <c r="A9440" s="43"/>
      <c r="B9440" s="59"/>
      <c r="C9440" s="60"/>
      <c r="D9440" s="59"/>
      <c r="E9440" s="59"/>
      <c r="F9440" s="59"/>
      <c r="G9440" s="59"/>
      <c r="H9440" s="59"/>
      <c r="I9440" s="371"/>
      <c r="J9440" s="365"/>
      <c r="K9440" s="369"/>
      <c r="L9440" s="369"/>
      <c r="M9440" s="369"/>
      <c r="N9440" s="366"/>
      <c r="O9440" s="370"/>
      <c r="P9440" s="43"/>
    </row>
    <row r="9441" spans="1:16" ht="18" x14ac:dyDescent="0.35">
      <c r="A9441" s="43"/>
      <c r="B9441" s="59"/>
      <c r="C9441" s="60"/>
      <c r="D9441" s="59"/>
      <c r="E9441" s="59"/>
      <c r="F9441" s="59"/>
      <c r="G9441" s="59"/>
      <c r="H9441" s="59"/>
      <c r="I9441" s="371"/>
      <c r="J9441" s="365"/>
      <c r="K9441" s="369"/>
      <c r="L9441" s="369"/>
      <c r="M9441" s="369"/>
      <c r="N9441" s="366"/>
      <c r="O9441" s="370"/>
      <c r="P9441" s="43"/>
    </row>
    <row r="9442" spans="1:16" ht="18" x14ac:dyDescent="0.35">
      <c r="A9442" s="43"/>
      <c r="B9442" s="59"/>
      <c r="C9442" s="60"/>
      <c r="D9442" s="59"/>
      <c r="E9442" s="59"/>
      <c r="F9442" s="59"/>
      <c r="G9442" s="59"/>
      <c r="H9442" s="59"/>
      <c r="I9442" s="371"/>
      <c r="J9442" s="365"/>
      <c r="K9442" s="369"/>
      <c r="L9442" s="369"/>
      <c r="M9442" s="369"/>
      <c r="N9442" s="366"/>
      <c r="O9442" s="370"/>
      <c r="P9442" s="43"/>
    </row>
    <row r="9443" spans="1:16" ht="18" x14ac:dyDescent="0.35">
      <c r="A9443" s="43"/>
      <c r="B9443" s="59"/>
      <c r="C9443" s="60"/>
      <c r="D9443" s="59"/>
      <c r="E9443" s="59"/>
      <c r="F9443" s="59"/>
      <c r="G9443" s="59"/>
      <c r="H9443" s="59"/>
      <c r="I9443" s="371"/>
      <c r="J9443" s="365"/>
      <c r="K9443" s="369"/>
      <c r="L9443" s="369"/>
      <c r="M9443" s="369"/>
      <c r="N9443" s="366"/>
      <c r="O9443" s="370"/>
      <c r="P9443" s="43"/>
    </row>
    <row r="9444" spans="1:16" ht="18" x14ac:dyDescent="0.35">
      <c r="A9444" s="43"/>
      <c r="B9444" s="59"/>
      <c r="C9444" s="60"/>
      <c r="D9444" s="59"/>
      <c r="E9444" s="59"/>
      <c r="F9444" s="59"/>
      <c r="G9444" s="59"/>
      <c r="H9444" s="59"/>
      <c r="I9444" s="371"/>
      <c r="J9444" s="365"/>
      <c r="K9444" s="369"/>
      <c r="L9444" s="369"/>
      <c r="M9444" s="369"/>
      <c r="N9444" s="366"/>
      <c r="O9444" s="370"/>
      <c r="P9444" s="43"/>
    </row>
    <row r="9445" spans="1:16" ht="18" x14ac:dyDescent="0.35">
      <c r="A9445" s="43"/>
      <c r="B9445" s="59"/>
      <c r="C9445" s="60"/>
      <c r="D9445" s="59"/>
      <c r="E9445" s="59"/>
      <c r="F9445" s="59"/>
      <c r="G9445" s="59"/>
      <c r="H9445" s="59"/>
      <c r="I9445" s="371"/>
      <c r="J9445" s="365"/>
      <c r="K9445" s="369"/>
      <c r="L9445" s="369"/>
      <c r="M9445" s="369"/>
      <c r="N9445" s="366"/>
      <c r="O9445" s="370"/>
      <c r="P9445" s="43"/>
    </row>
    <row r="9446" spans="1:16" ht="18" x14ac:dyDescent="0.35">
      <c r="A9446" s="43"/>
      <c r="B9446" s="59"/>
      <c r="C9446" s="60"/>
      <c r="D9446" s="59"/>
      <c r="E9446" s="59"/>
      <c r="F9446" s="59"/>
      <c r="G9446" s="59"/>
      <c r="H9446" s="59"/>
      <c r="I9446" s="371"/>
      <c r="J9446" s="365"/>
      <c r="K9446" s="369"/>
      <c r="L9446" s="369"/>
      <c r="M9446" s="369"/>
      <c r="N9446" s="366"/>
      <c r="O9446" s="370"/>
      <c r="P9446" s="43"/>
    </row>
    <row r="9447" spans="1:16" ht="18" x14ac:dyDescent="0.35">
      <c r="A9447" s="43"/>
      <c r="B9447" s="59"/>
      <c r="C9447" s="60"/>
      <c r="D9447" s="59"/>
      <c r="E9447" s="59"/>
      <c r="F9447" s="59"/>
      <c r="G9447" s="59"/>
      <c r="H9447" s="59"/>
      <c r="I9447" s="371"/>
      <c r="J9447" s="365"/>
      <c r="K9447" s="369"/>
      <c r="L9447" s="369"/>
      <c r="M9447" s="369"/>
      <c r="N9447" s="366"/>
      <c r="O9447" s="370"/>
      <c r="P9447" s="43"/>
    </row>
    <row r="9448" spans="1:16" ht="18" x14ac:dyDescent="0.35">
      <c r="A9448" s="43"/>
      <c r="B9448" s="59"/>
      <c r="C9448" s="60"/>
      <c r="D9448" s="59"/>
      <c r="E9448" s="59"/>
      <c r="F9448" s="59"/>
      <c r="G9448" s="59"/>
      <c r="H9448" s="59"/>
      <c r="I9448" s="371"/>
      <c r="J9448" s="365"/>
      <c r="K9448" s="369"/>
      <c r="L9448" s="369"/>
      <c r="M9448" s="369"/>
      <c r="N9448" s="366"/>
      <c r="O9448" s="370"/>
      <c r="P9448" s="43"/>
    </row>
    <row r="9449" spans="1:16" ht="18" x14ac:dyDescent="0.35">
      <c r="A9449" s="43"/>
      <c r="B9449" s="59"/>
      <c r="C9449" s="60"/>
      <c r="D9449" s="59"/>
      <c r="E9449" s="59"/>
      <c r="F9449" s="59"/>
      <c r="G9449" s="59"/>
      <c r="H9449" s="59"/>
      <c r="I9449" s="371"/>
      <c r="J9449" s="365"/>
      <c r="K9449" s="369"/>
      <c r="L9449" s="369"/>
      <c r="M9449" s="369"/>
      <c r="N9449" s="366"/>
      <c r="O9449" s="370"/>
      <c r="P9449" s="43"/>
    </row>
    <row r="9450" spans="1:16" ht="18" x14ac:dyDescent="0.35">
      <c r="A9450" s="43"/>
      <c r="B9450" s="59"/>
      <c r="C9450" s="60"/>
      <c r="D9450" s="59"/>
      <c r="E9450" s="59"/>
      <c r="F9450" s="59"/>
      <c r="G9450" s="59"/>
      <c r="H9450" s="59"/>
      <c r="I9450" s="371"/>
      <c r="J9450" s="365"/>
      <c r="K9450" s="369"/>
      <c r="L9450" s="369"/>
      <c r="M9450" s="369"/>
      <c r="N9450" s="366"/>
      <c r="O9450" s="370"/>
      <c r="P9450" s="43"/>
    </row>
    <row r="9451" spans="1:16" ht="18" x14ac:dyDescent="0.35">
      <c r="A9451" s="43"/>
      <c r="B9451" s="59"/>
      <c r="C9451" s="60"/>
      <c r="D9451" s="59"/>
      <c r="E9451" s="59"/>
      <c r="F9451" s="59"/>
      <c r="G9451" s="59"/>
      <c r="H9451" s="59"/>
      <c r="I9451" s="371"/>
      <c r="J9451" s="365"/>
      <c r="K9451" s="369"/>
      <c r="L9451" s="369"/>
      <c r="M9451" s="369"/>
      <c r="N9451" s="366"/>
      <c r="O9451" s="370"/>
      <c r="P9451" s="43"/>
    </row>
    <row r="9452" spans="1:16" ht="18" x14ac:dyDescent="0.35">
      <c r="A9452" s="43"/>
      <c r="B9452" s="59"/>
      <c r="C9452" s="60"/>
      <c r="D9452" s="59"/>
      <c r="E9452" s="59"/>
      <c r="F9452" s="59"/>
      <c r="G9452" s="59"/>
      <c r="H9452" s="59"/>
      <c r="I9452" s="371"/>
      <c r="J9452" s="365"/>
      <c r="K9452" s="369"/>
      <c r="L9452" s="369"/>
      <c r="M9452" s="369"/>
      <c r="N9452" s="366"/>
      <c r="O9452" s="370"/>
      <c r="P9452" s="43"/>
    </row>
    <row r="9453" spans="1:16" ht="18" x14ac:dyDescent="0.35">
      <c r="A9453" s="43"/>
      <c r="B9453" s="59"/>
      <c r="C9453" s="60"/>
      <c r="D9453" s="59"/>
      <c r="E9453" s="59"/>
      <c r="F9453" s="59"/>
      <c r="G9453" s="59"/>
      <c r="H9453" s="59"/>
      <c r="I9453" s="371"/>
      <c r="J9453" s="365"/>
      <c r="K9453" s="369"/>
      <c r="L9453" s="369"/>
      <c r="M9453" s="369"/>
      <c r="N9453" s="366"/>
      <c r="O9453" s="370"/>
      <c r="P9453" s="43"/>
    </row>
    <row r="9454" spans="1:16" ht="18" x14ac:dyDescent="0.35">
      <c r="A9454" s="43"/>
      <c r="B9454" s="59"/>
      <c r="C9454" s="60"/>
      <c r="D9454" s="59"/>
      <c r="E9454" s="59"/>
      <c r="F9454" s="59"/>
      <c r="G9454" s="59"/>
      <c r="H9454" s="59"/>
      <c r="I9454" s="371"/>
      <c r="J9454" s="365"/>
      <c r="K9454" s="369"/>
      <c r="L9454" s="369"/>
      <c r="M9454" s="369"/>
      <c r="N9454" s="366"/>
      <c r="O9454" s="370"/>
      <c r="P9454" s="43"/>
    </row>
    <row r="9455" spans="1:16" ht="18" x14ac:dyDescent="0.35">
      <c r="A9455" s="43"/>
      <c r="B9455" s="59"/>
      <c r="C9455" s="60"/>
      <c r="D9455" s="59"/>
      <c r="E9455" s="59"/>
      <c r="F9455" s="59"/>
      <c r="G9455" s="59"/>
      <c r="H9455" s="59"/>
      <c r="I9455" s="371"/>
      <c r="J9455" s="365"/>
      <c r="K9455" s="369"/>
      <c r="L9455" s="369"/>
      <c r="M9455" s="369"/>
      <c r="N9455" s="366"/>
      <c r="O9455" s="370"/>
      <c r="P9455" s="43"/>
    </row>
    <row r="9456" spans="1:16" ht="18" x14ac:dyDescent="0.35">
      <c r="A9456" s="43"/>
      <c r="B9456" s="59"/>
      <c r="C9456" s="60"/>
      <c r="D9456" s="59"/>
      <c r="E9456" s="59"/>
      <c r="F9456" s="59"/>
      <c r="G9456" s="59"/>
      <c r="H9456" s="59"/>
      <c r="I9456" s="371"/>
      <c r="J9456" s="365"/>
      <c r="K9456" s="369"/>
      <c r="L9456" s="369"/>
      <c r="M9456" s="369"/>
      <c r="N9456" s="366"/>
      <c r="O9456" s="370"/>
      <c r="P9456" s="43"/>
    </row>
    <row r="9457" spans="1:16" ht="18" x14ac:dyDescent="0.35">
      <c r="A9457" s="43"/>
      <c r="B9457" s="59"/>
      <c r="C9457" s="60"/>
      <c r="D9457" s="59"/>
      <c r="E9457" s="59"/>
      <c r="F9457" s="59"/>
      <c r="G9457" s="59"/>
      <c r="H9457" s="59"/>
      <c r="I9457" s="371"/>
      <c r="J9457" s="365"/>
      <c r="K9457" s="369"/>
      <c r="L9457" s="369"/>
      <c r="M9457" s="369"/>
      <c r="N9457" s="366"/>
      <c r="O9457" s="370"/>
      <c r="P9457" s="43"/>
    </row>
    <row r="9458" spans="1:16" ht="18" x14ac:dyDescent="0.35">
      <c r="A9458" s="43"/>
      <c r="B9458" s="59"/>
      <c r="C9458" s="60"/>
      <c r="D9458" s="59"/>
      <c r="E9458" s="59"/>
      <c r="F9458" s="59"/>
      <c r="G9458" s="59"/>
      <c r="H9458" s="59"/>
      <c r="I9458" s="371"/>
      <c r="J9458" s="365"/>
      <c r="K9458" s="369"/>
      <c r="L9458" s="369"/>
      <c r="M9458" s="369"/>
      <c r="N9458" s="366"/>
      <c r="O9458" s="370"/>
      <c r="P9458" s="43"/>
    </row>
    <row r="9459" spans="1:16" ht="18" x14ac:dyDescent="0.35">
      <c r="A9459" s="43"/>
      <c r="B9459" s="59"/>
      <c r="C9459" s="60"/>
      <c r="D9459" s="59"/>
      <c r="E9459" s="59"/>
      <c r="F9459" s="59"/>
      <c r="G9459" s="59"/>
      <c r="H9459" s="59"/>
      <c r="I9459" s="371"/>
      <c r="J9459" s="365"/>
      <c r="K9459" s="369"/>
      <c r="L9459" s="369"/>
      <c r="M9459" s="369"/>
      <c r="N9459" s="366"/>
      <c r="O9459" s="370"/>
      <c r="P9459" s="43"/>
    </row>
    <row r="9460" spans="1:16" ht="18" x14ac:dyDescent="0.35">
      <c r="A9460" s="43"/>
      <c r="B9460" s="59"/>
      <c r="C9460" s="60"/>
      <c r="D9460" s="59"/>
      <c r="E9460" s="59"/>
      <c r="F9460" s="59"/>
      <c r="G9460" s="59"/>
      <c r="H9460" s="59"/>
      <c r="I9460" s="371"/>
      <c r="J9460" s="365"/>
      <c r="K9460" s="369"/>
      <c r="L9460" s="369"/>
      <c r="M9460" s="369"/>
      <c r="N9460" s="366"/>
      <c r="O9460" s="370"/>
      <c r="P9460" s="43"/>
    </row>
    <row r="9461" spans="1:16" ht="18" x14ac:dyDescent="0.35">
      <c r="A9461" s="43"/>
      <c r="B9461" s="59"/>
      <c r="C9461" s="60"/>
      <c r="D9461" s="59"/>
      <c r="E9461" s="59"/>
      <c r="F9461" s="59"/>
      <c r="G9461" s="59"/>
      <c r="H9461" s="59"/>
      <c r="I9461" s="371"/>
      <c r="J9461" s="365"/>
      <c r="K9461" s="369"/>
      <c r="L9461" s="369"/>
      <c r="M9461" s="369"/>
      <c r="N9461" s="366"/>
      <c r="O9461" s="370"/>
      <c r="P9461" s="43"/>
    </row>
    <row r="9462" spans="1:16" ht="18" x14ac:dyDescent="0.35">
      <c r="A9462" s="43"/>
      <c r="B9462" s="59"/>
      <c r="C9462" s="60"/>
      <c r="D9462" s="59"/>
      <c r="E9462" s="59"/>
      <c r="F9462" s="59"/>
      <c r="G9462" s="59"/>
      <c r="H9462" s="59"/>
      <c r="I9462" s="371"/>
      <c r="J9462" s="365"/>
      <c r="K9462" s="369"/>
      <c r="L9462" s="369"/>
      <c r="M9462" s="369"/>
      <c r="N9462" s="366"/>
      <c r="O9462" s="370"/>
      <c r="P9462" s="43"/>
    </row>
    <row r="9463" spans="1:16" ht="18" x14ac:dyDescent="0.35">
      <c r="A9463" s="43"/>
      <c r="B9463" s="59"/>
      <c r="C9463" s="60"/>
      <c r="D9463" s="59"/>
      <c r="E9463" s="59"/>
      <c r="F9463" s="59"/>
      <c r="G9463" s="59"/>
      <c r="H9463" s="59"/>
      <c r="I9463" s="371"/>
      <c r="J9463" s="365"/>
      <c r="K9463" s="369"/>
      <c r="L9463" s="369"/>
      <c r="M9463" s="369"/>
      <c r="N9463" s="366"/>
      <c r="O9463" s="370"/>
      <c r="P9463" s="43"/>
    </row>
    <row r="9464" spans="1:16" ht="18" x14ac:dyDescent="0.35">
      <c r="A9464" s="43"/>
      <c r="B9464" s="59"/>
      <c r="C9464" s="60"/>
      <c r="D9464" s="59"/>
      <c r="E9464" s="59"/>
      <c r="F9464" s="59"/>
      <c r="G9464" s="59"/>
      <c r="H9464" s="59"/>
      <c r="I9464" s="371"/>
      <c r="J9464" s="365"/>
      <c r="K9464" s="369"/>
      <c r="L9464" s="369"/>
      <c r="M9464" s="369"/>
      <c r="N9464" s="366"/>
      <c r="O9464" s="370"/>
      <c r="P9464" s="43"/>
    </row>
    <row r="9465" spans="1:16" ht="18" x14ac:dyDescent="0.35">
      <c r="A9465" s="43"/>
      <c r="B9465" s="59"/>
      <c r="C9465" s="60"/>
      <c r="D9465" s="59"/>
      <c r="E9465" s="59"/>
      <c r="F9465" s="59"/>
      <c r="G9465" s="59"/>
      <c r="H9465" s="59"/>
      <c r="I9465" s="371"/>
      <c r="J9465" s="365"/>
      <c r="K9465" s="369"/>
      <c r="L9465" s="369"/>
      <c r="M9465" s="369"/>
      <c r="N9465" s="366"/>
      <c r="O9465" s="370"/>
      <c r="P9465" s="43"/>
    </row>
    <row r="9466" spans="1:16" ht="18" x14ac:dyDescent="0.35">
      <c r="A9466" s="43"/>
      <c r="B9466" s="59"/>
      <c r="C9466" s="60"/>
      <c r="D9466" s="59"/>
      <c r="E9466" s="59"/>
      <c r="F9466" s="59"/>
      <c r="G9466" s="59"/>
      <c r="H9466" s="59"/>
      <c r="I9466" s="371"/>
      <c r="J9466" s="365"/>
      <c r="K9466" s="369"/>
      <c r="L9466" s="369"/>
      <c r="M9466" s="369"/>
      <c r="N9466" s="366"/>
      <c r="O9466" s="370"/>
      <c r="P9466" s="43"/>
    </row>
    <row r="9467" spans="1:16" ht="18" x14ac:dyDescent="0.35">
      <c r="A9467" s="43"/>
      <c r="B9467" s="59"/>
      <c r="C9467" s="60"/>
      <c r="D9467" s="59"/>
      <c r="E9467" s="59"/>
      <c r="F9467" s="59"/>
      <c r="G9467" s="59"/>
      <c r="H9467" s="59"/>
      <c r="I9467" s="371"/>
      <c r="J9467" s="365"/>
      <c r="K9467" s="369"/>
      <c r="L9467" s="369"/>
      <c r="M9467" s="369"/>
      <c r="N9467" s="366"/>
      <c r="O9467" s="370"/>
      <c r="P9467" s="43"/>
    </row>
    <row r="9468" spans="1:16" ht="18" x14ac:dyDescent="0.35">
      <c r="A9468" s="43"/>
      <c r="B9468" s="59"/>
      <c r="C9468" s="60"/>
      <c r="D9468" s="59"/>
      <c r="E9468" s="59"/>
      <c r="F9468" s="59"/>
      <c r="G9468" s="59"/>
      <c r="H9468" s="59"/>
      <c r="I9468" s="371"/>
      <c r="J9468" s="365"/>
      <c r="K9468" s="369"/>
      <c r="L9468" s="369"/>
      <c r="M9468" s="369"/>
      <c r="N9468" s="366"/>
      <c r="O9468" s="370"/>
      <c r="P9468" s="43"/>
    </row>
    <row r="9469" spans="1:16" ht="18" x14ac:dyDescent="0.35">
      <c r="A9469" s="43"/>
      <c r="B9469" s="59"/>
      <c r="C9469" s="60"/>
      <c r="D9469" s="59"/>
      <c r="E9469" s="59"/>
      <c r="F9469" s="59"/>
      <c r="G9469" s="59"/>
      <c r="H9469" s="59"/>
      <c r="I9469" s="371"/>
      <c r="J9469" s="365"/>
      <c r="K9469" s="369"/>
      <c r="L9469" s="369"/>
      <c r="M9469" s="369"/>
      <c r="N9469" s="366"/>
      <c r="O9469" s="370"/>
      <c r="P9469" s="43"/>
    </row>
    <row r="9470" spans="1:16" ht="18" x14ac:dyDescent="0.35">
      <c r="A9470" s="43"/>
      <c r="B9470" s="59"/>
      <c r="C9470" s="60"/>
      <c r="D9470" s="59"/>
      <c r="E9470" s="59"/>
      <c r="F9470" s="59"/>
      <c r="G9470" s="59"/>
      <c r="H9470" s="59"/>
      <c r="I9470" s="371"/>
      <c r="J9470" s="365"/>
      <c r="K9470" s="369"/>
      <c r="L9470" s="369"/>
      <c r="M9470" s="369"/>
      <c r="N9470" s="366"/>
      <c r="O9470" s="370"/>
      <c r="P9470" s="43"/>
    </row>
    <row r="9471" spans="1:16" ht="18" x14ac:dyDescent="0.35">
      <c r="A9471" s="43"/>
      <c r="B9471" s="59"/>
      <c r="C9471" s="60"/>
      <c r="D9471" s="59"/>
      <c r="E9471" s="59"/>
      <c r="F9471" s="59"/>
      <c r="G9471" s="59"/>
      <c r="H9471" s="59"/>
      <c r="I9471" s="371"/>
      <c r="J9471" s="365"/>
      <c r="K9471" s="369"/>
      <c r="L9471" s="369"/>
      <c r="M9471" s="369"/>
      <c r="N9471" s="366"/>
      <c r="O9471" s="370"/>
      <c r="P9471" s="43"/>
    </row>
    <row r="9472" spans="1:16" ht="18" x14ac:dyDescent="0.35">
      <c r="A9472" s="43"/>
      <c r="B9472" s="59"/>
      <c r="C9472" s="60"/>
      <c r="D9472" s="59"/>
      <c r="E9472" s="59"/>
      <c r="F9472" s="59"/>
      <c r="G9472" s="59"/>
      <c r="H9472" s="59"/>
      <c r="I9472" s="371"/>
      <c r="J9472" s="365"/>
      <c r="K9472" s="369"/>
      <c r="L9472" s="369"/>
      <c r="M9472" s="369"/>
      <c r="N9472" s="366"/>
      <c r="O9472" s="370"/>
      <c r="P9472" s="43"/>
    </row>
    <row r="9473" spans="1:16" ht="18" x14ac:dyDescent="0.35">
      <c r="A9473" s="43"/>
      <c r="B9473" s="59"/>
      <c r="C9473" s="60"/>
      <c r="D9473" s="59"/>
      <c r="E9473" s="59"/>
      <c r="F9473" s="59"/>
      <c r="G9473" s="59"/>
      <c r="H9473" s="59"/>
      <c r="I9473" s="371"/>
      <c r="J9473" s="365"/>
      <c r="K9473" s="369"/>
      <c r="L9473" s="369"/>
      <c r="M9473" s="369"/>
      <c r="N9473" s="366"/>
      <c r="O9473" s="370"/>
      <c r="P9473" s="43"/>
    </row>
    <row r="9474" spans="1:16" ht="18" x14ac:dyDescent="0.35">
      <c r="A9474" s="43"/>
      <c r="B9474" s="59"/>
      <c r="C9474" s="60"/>
      <c r="D9474" s="59"/>
      <c r="E9474" s="59"/>
      <c r="F9474" s="59"/>
      <c r="G9474" s="59"/>
      <c r="H9474" s="59"/>
      <c r="I9474" s="371"/>
      <c r="J9474" s="365"/>
      <c r="K9474" s="369"/>
      <c r="L9474" s="369"/>
      <c r="M9474" s="369"/>
      <c r="N9474" s="366"/>
      <c r="O9474" s="370"/>
      <c r="P9474" s="43"/>
    </row>
    <row r="9475" spans="1:16" ht="18" x14ac:dyDescent="0.35">
      <c r="A9475" s="43"/>
      <c r="B9475" s="59"/>
      <c r="C9475" s="60"/>
      <c r="D9475" s="59"/>
      <c r="E9475" s="59"/>
      <c r="F9475" s="59"/>
      <c r="G9475" s="59"/>
      <c r="H9475" s="59"/>
      <c r="I9475" s="371"/>
      <c r="J9475" s="365"/>
      <c r="K9475" s="369"/>
      <c r="L9475" s="369"/>
      <c r="M9475" s="369"/>
      <c r="N9475" s="366"/>
      <c r="O9475" s="370"/>
      <c r="P9475" s="43"/>
    </row>
    <row r="9476" spans="1:16" ht="18" x14ac:dyDescent="0.35">
      <c r="A9476" s="43"/>
      <c r="B9476" s="59"/>
      <c r="C9476" s="60"/>
      <c r="D9476" s="59"/>
      <c r="E9476" s="59"/>
      <c r="F9476" s="59"/>
      <c r="G9476" s="59"/>
      <c r="H9476" s="59"/>
      <c r="I9476" s="371"/>
      <c r="J9476" s="365"/>
      <c r="K9476" s="369"/>
      <c r="L9476" s="369"/>
      <c r="M9476" s="369"/>
      <c r="N9476" s="366"/>
      <c r="O9476" s="370"/>
      <c r="P9476" s="43"/>
    </row>
    <row r="9477" spans="1:16" ht="18" x14ac:dyDescent="0.35">
      <c r="A9477" s="43"/>
      <c r="B9477" s="59"/>
      <c r="C9477" s="60"/>
      <c r="D9477" s="59"/>
      <c r="E9477" s="59"/>
      <c r="F9477" s="59"/>
      <c r="G9477" s="59"/>
      <c r="H9477" s="59"/>
      <c r="I9477" s="371"/>
      <c r="J9477" s="365"/>
      <c r="K9477" s="369"/>
      <c r="L9477" s="369"/>
      <c r="M9477" s="369"/>
      <c r="N9477" s="366"/>
      <c r="O9477" s="370"/>
      <c r="P9477" s="43"/>
    </row>
    <row r="9478" spans="1:16" ht="18" x14ac:dyDescent="0.35">
      <c r="A9478" s="43"/>
      <c r="B9478" s="59"/>
      <c r="C9478" s="60"/>
      <c r="D9478" s="59"/>
      <c r="E9478" s="59"/>
      <c r="F9478" s="59"/>
      <c r="G9478" s="59"/>
      <c r="H9478" s="59"/>
      <c r="I9478" s="371"/>
      <c r="J9478" s="365"/>
      <c r="K9478" s="369"/>
      <c r="L9478" s="369"/>
      <c r="M9478" s="369"/>
      <c r="N9478" s="366"/>
      <c r="O9478" s="370"/>
      <c r="P9478" s="43"/>
    </row>
    <row r="9479" spans="1:16" ht="18" x14ac:dyDescent="0.35">
      <c r="A9479" s="43"/>
      <c r="B9479" s="59"/>
      <c r="C9479" s="60"/>
      <c r="D9479" s="59"/>
      <c r="E9479" s="59"/>
      <c r="F9479" s="59"/>
      <c r="G9479" s="59"/>
      <c r="H9479" s="59"/>
      <c r="I9479" s="371"/>
      <c r="J9479" s="365"/>
      <c r="K9479" s="369"/>
      <c r="L9479" s="369"/>
      <c r="M9479" s="369"/>
      <c r="N9479" s="366"/>
      <c r="O9479" s="370"/>
      <c r="P9479" s="43"/>
    </row>
    <row r="9480" spans="1:16" ht="18" x14ac:dyDescent="0.35">
      <c r="A9480" s="43"/>
      <c r="B9480" s="59"/>
      <c r="C9480" s="60"/>
      <c r="D9480" s="59"/>
      <c r="E9480" s="59"/>
      <c r="F9480" s="59"/>
      <c r="G9480" s="59"/>
      <c r="H9480" s="59"/>
      <c r="I9480" s="371"/>
      <c r="J9480" s="365"/>
      <c r="K9480" s="369"/>
      <c r="L9480" s="369"/>
      <c r="M9480" s="369"/>
      <c r="N9480" s="366"/>
      <c r="O9480" s="370"/>
      <c r="P9480" s="43"/>
    </row>
    <row r="9481" spans="1:16" ht="18" x14ac:dyDescent="0.35">
      <c r="A9481" s="43"/>
      <c r="B9481" s="59"/>
      <c r="C9481" s="60"/>
      <c r="D9481" s="59"/>
      <c r="E9481" s="59"/>
      <c r="F9481" s="59"/>
      <c r="G9481" s="59"/>
      <c r="H9481" s="59"/>
      <c r="I9481" s="371"/>
      <c r="J9481" s="365"/>
      <c r="K9481" s="369"/>
      <c r="L9481" s="369"/>
      <c r="M9481" s="369"/>
      <c r="N9481" s="366"/>
      <c r="O9481" s="370"/>
      <c r="P9481" s="43"/>
    </row>
    <row r="9482" spans="1:16" ht="18" x14ac:dyDescent="0.35">
      <c r="A9482" s="43"/>
      <c r="B9482" s="59"/>
      <c r="C9482" s="60"/>
      <c r="D9482" s="59"/>
      <c r="E9482" s="59"/>
      <c r="F9482" s="59"/>
      <c r="G9482" s="59"/>
      <c r="H9482" s="59"/>
      <c r="I9482" s="371"/>
      <c r="J9482" s="365"/>
      <c r="K9482" s="369"/>
      <c r="L9482" s="369"/>
      <c r="M9482" s="369"/>
      <c r="N9482" s="366"/>
      <c r="O9482" s="370"/>
      <c r="P9482" s="43"/>
    </row>
    <row r="9483" spans="1:16" ht="18" x14ac:dyDescent="0.35">
      <c r="A9483" s="43"/>
      <c r="B9483" s="59"/>
      <c r="C9483" s="60"/>
      <c r="D9483" s="59"/>
      <c r="E9483" s="59"/>
      <c r="F9483" s="59"/>
      <c r="G9483" s="59"/>
      <c r="H9483" s="59"/>
      <c r="I9483" s="371"/>
      <c r="J9483" s="365"/>
      <c r="K9483" s="369"/>
      <c r="L9483" s="369"/>
      <c r="M9483" s="369"/>
      <c r="N9483" s="366"/>
      <c r="O9483" s="370"/>
      <c r="P9483" s="43"/>
    </row>
    <row r="9484" spans="1:16" ht="18" x14ac:dyDescent="0.35">
      <c r="A9484" s="43"/>
      <c r="B9484" s="59"/>
      <c r="C9484" s="60"/>
      <c r="D9484" s="59"/>
      <c r="E9484" s="59"/>
      <c r="F9484" s="59"/>
      <c r="G9484" s="59"/>
      <c r="H9484" s="59"/>
      <c r="I9484" s="371"/>
      <c r="J9484" s="365"/>
      <c r="K9484" s="369"/>
      <c r="L9484" s="369"/>
      <c r="M9484" s="369"/>
      <c r="N9484" s="366"/>
      <c r="O9484" s="370"/>
      <c r="P9484" s="43"/>
    </row>
    <row r="9485" spans="1:16" ht="18" x14ac:dyDescent="0.35">
      <c r="A9485" s="43"/>
      <c r="B9485" s="59"/>
      <c r="C9485" s="60"/>
      <c r="D9485" s="59"/>
      <c r="E9485" s="59"/>
      <c r="F9485" s="59"/>
      <c r="G9485" s="59"/>
      <c r="H9485" s="59"/>
      <c r="I9485" s="371"/>
      <c r="J9485" s="365"/>
      <c r="K9485" s="369"/>
      <c r="L9485" s="369"/>
      <c r="M9485" s="369"/>
      <c r="N9485" s="366"/>
      <c r="O9485" s="370"/>
      <c r="P9485" s="43"/>
    </row>
    <row r="9486" spans="1:16" ht="18" x14ac:dyDescent="0.35">
      <c r="A9486" s="43"/>
      <c r="B9486" s="59"/>
      <c r="C9486" s="60"/>
      <c r="D9486" s="59"/>
      <c r="E9486" s="59"/>
      <c r="F9486" s="59"/>
      <c r="G9486" s="59"/>
      <c r="H9486" s="59"/>
      <c r="I9486" s="371"/>
      <c r="J9486" s="365"/>
      <c r="K9486" s="369"/>
      <c r="L9486" s="369"/>
      <c r="M9486" s="369"/>
      <c r="N9486" s="366"/>
      <c r="O9486" s="370"/>
      <c r="P9486" s="43"/>
    </row>
    <row r="9487" spans="1:16" ht="18" x14ac:dyDescent="0.35">
      <c r="A9487" s="43"/>
      <c r="B9487" s="59"/>
      <c r="C9487" s="60"/>
      <c r="D9487" s="59"/>
      <c r="E9487" s="59"/>
      <c r="F9487" s="59"/>
      <c r="G9487" s="59"/>
      <c r="H9487" s="59"/>
      <c r="I9487" s="371"/>
      <c r="J9487" s="365"/>
      <c r="K9487" s="369"/>
      <c r="L9487" s="369"/>
      <c r="M9487" s="369"/>
      <c r="N9487" s="366"/>
      <c r="O9487" s="370"/>
      <c r="P9487" s="43"/>
    </row>
    <row r="9488" spans="1:16" ht="18" x14ac:dyDescent="0.35">
      <c r="A9488" s="43"/>
      <c r="B9488" s="59"/>
      <c r="C9488" s="60"/>
      <c r="D9488" s="59"/>
      <c r="E9488" s="59"/>
      <c r="F9488" s="59"/>
      <c r="G9488" s="59"/>
      <c r="H9488" s="59"/>
      <c r="I9488" s="371"/>
      <c r="J9488" s="365"/>
      <c r="K9488" s="369"/>
      <c r="L9488" s="369"/>
      <c r="M9488" s="369"/>
      <c r="N9488" s="366"/>
      <c r="O9488" s="370"/>
      <c r="P9488" s="43"/>
    </row>
    <row r="9489" spans="1:16" ht="18" x14ac:dyDescent="0.35">
      <c r="A9489" s="43"/>
      <c r="B9489" s="59"/>
      <c r="C9489" s="60"/>
      <c r="D9489" s="59"/>
      <c r="E9489" s="59"/>
      <c r="F9489" s="59"/>
      <c r="G9489" s="59"/>
      <c r="H9489" s="59"/>
      <c r="I9489" s="371"/>
      <c r="J9489" s="365"/>
      <c r="K9489" s="369"/>
      <c r="L9489" s="369"/>
      <c r="M9489" s="369"/>
      <c r="N9489" s="366"/>
      <c r="O9489" s="370"/>
      <c r="P9489" s="43"/>
    </row>
    <row r="9490" spans="1:16" ht="18" x14ac:dyDescent="0.35">
      <c r="A9490" s="43"/>
      <c r="B9490" s="59"/>
      <c r="C9490" s="60"/>
      <c r="D9490" s="59"/>
      <c r="E9490" s="59"/>
      <c r="F9490" s="59"/>
      <c r="G9490" s="59"/>
      <c r="H9490" s="59"/>
      <c r="I9490" s="371"/>
      <c r="J9490" s="365"/>
      <c r="K9490" s="369"/>
      <c r="L9490" s="369"/>
      <c r="M9490" s="369"/>
      <c r="N9490" s="366"/>
      <c r="O9490" s="370"/>
      <c r="P9490" s="43"/>
    </row>
    <row r="9491" spans="1:16" ht="18" x14ac:dyDescent="0.35">
      <c r="A9491" s="43"/>
      <c r="B9491" s="59"/>
      <c r="C9491" s="60"/>
      <c r="D9491" s="59"/>
      <c r="E9491" s="59"/>
      <c r="F9491" s="59"/>
      <c r="G9491" s="59"/>
      <c r="H9491" s="59"/>
      <c r="I9491" s="371"/>
      <c r="J9491" s="365"/>
      <c r="K9491" s="369"/>
      <c r="L9491" s="369"/>
      <c r="M9491" s="369"/>
      <c r="N9491" s="366"/>
      <c r="O9491" s="370"/>
      <c r="P9491" s="43"/>
    </row>
    <row r="9492" spans="1:16" ht="18" x14ac:dyDescent="0.35">
      <c r="A9492" s="43"/>
      <c r="B9492" s="59"/>
      <c r="C9492" s="60"/>
      <c r="D9492" s="59"/>
      <c r="E9492" s="59"/>
      <c r="F9492" s="59"/>
      <c r="G9492" s="59"/>
      <c r="H9492" s="59"/>
      <c r="I9492" s="371"/>
      <c r="J9492" s="365"/>
      <c r="K9492" s="369"/>
      <c r="L9492" s="369"/>
      <c r="M9492" s="369"/>
      <c r="N9492" s="366"/>
      <c r="O9492" s="370"/>
      <c r="P9492" s="43"/>
    </row>
    <row r="9493" spans="1:16" ht="18" x14ac:dyDescent="0.35">
      <c r="A9493" s="43"/>
      <c r="B9493" s="59"/>
      <c r="C9493" s="60"/>
      <c r="D9493" s="59"/>
      <c r="E9493" s="59"/>
      <c r="F9493" s="59"/>
      <c r="G9493" s="59"/>
      <c r="H9493" s="59"/>
      <c r="I9493" s="371"/>
      <c r="J9493" s="365"/>
      <c r="K9493" s="369"/>
      <c r="L9493" s="369"/>
      <c r="M9493" s="369"/>
      <c r="N9493" s="366"/>
      <c r="O9493" s="370"/>
      <c r="P9493" s="43"/>
    </row>
    <row r="9494" spans="1:16" ht="18" x14ac:dyDescent="0.35">
      <c r="A9494" s="43"/>
      <c r="B9494" s="59"/>
      <c r="C9494" s="60"/>
      <c r="D9494" s="59"/>
      <c r="E9494" s="59"/>
      <c r="F9494" s="59"/>
      <c r="G9494" s="59"/>
      <c r="H9494" s="59"/>
      <c r="I9494" s="371"/>
      <c r="J9494" s="365"/>
      <c r="K9494" s="369"/>
      <c r="L9494" s="369"/>
      <c r="M9494" s="369"/>
      <c r="N9494" s="366"/>
      <c r="O9494" s="370"/>
      <c r="P9494" s="43"/>
    </row>
    <row r="9495" spans="1:16" ht="18" x14ac:dyDescent="0.35">
      <c r="A9495" s="43"/>
      <c r="B9495" s="59"/>
      <c r="C9495" s="60"/>
      <c r="D9495" s="59"/>
      <c r="E9495" s="59"/>
      <c r="F9495" s="59"/>
      <c r="G9495" s="59"/>
      <c r="H9495" s="59"/>
      <c r="I9495" s="371"/>
      <c r="J9495" s="365"/>
      <c r="K9495" s="369"/>
      <c r="L9495" s="369"/>
      <c r="M9495" s="369"/>
      <c r="N9495" s="366"/>
      <c r="O9495" s="370"/>
      <c r="P9495" s="43"/>
    </row>
    <row r="9496" spans="1:16" ht="18" x14ac:dyDescent="0.35">
      <c r="A9496" s="43"/>
      <c r="B9496" s="59"/>
      <c r="C9496" s="60"/>
      <c r="D9496" s="59"/>
      <c r="E9496" s="59"/>
      <c r="F9496" s="59"/>
      <c r="G9496" s="59"/>
      <c r="H9496" s="59"/>
      <c r="I9496" s="371"/>
      <c r="J9496" s="365"/>
      <c r="K9496" s="369"/>
      <c r="L9496" s="369"/>
      <c r="M9496" s="369"/>
      <c r="N9496" s="366"/>
      <c r="O9496" s="370"/>
      <c r="P9496" s="43"/>
    </row>
    <row r="9497" spans="1:16" ht="18" x14ac:dyDescent="0.35">
      <c r="A9497" s="43"/>
      <c r="B9497" s="59"/>
      <c r="C9497" s="60"/>
      <c r="D9497" s="59"/>
      <c r="E9497" s="59"/>
      <c r="F9497" s="59"/>
      <c r="G9497" s="59"/>
      <c r="H9497" s="59"/>
      <c r="I9497" s="371"/>
      <c r="J9497" s="365"/>
      <c r="K9497" s="369"/>
      <c r="L9497" s="369"/>
      <c r="M9497" s="369"/>
      <c r="N9497" s="366"/>
      <c r="O9497" s="370"/>
      <c r="P9497" s="43"/>
    </row>
    <row r="9498" spans="1:16" ht="18" x14ac:dyDescent="0.35">
      <c r="A9498" s="43"/>
      <c r="B9498" s="59"/>
      <c r="C9498" s="60"/>
      <c r="D9498" s="59"/>
      <c r="E9498" s="59"/>
      <c r="F9498" s="59"/>
      <c r="G9498" s="59"/>
      <c r="H9498" s="59"/>
      <c r="I9498" s="371"/>
      <c r="J9498" s="365"/>
      <c r="K9498" s="369"/>
      <c r="L9498" s="369"/>
      <c r="M9498" s="369"/>
      <c r="N9498" s="366"/>
      <c r="O9498" s="370"/>
      <c r="P9498" s="43"/>
    </row>
    <row r="9499" spans="1:16" ht="18" x14ac:dyDescent="0.35">
      <c r="A9499" s="43"/>
      <c r="B9499" s="59"/>
      <c r="C9499" s="60"/>
      <c r="D9499" s="59"/>
      <c r="E9499" s="59"/>
      <c r="F9499" s="59"/>
      <c r="G9499" s="59"/>
      <c r="H9499" s="59"/>
      <c r="I9499" s="371"/>
      <c r="J9499" s="365"/>
      <c r="K9499" s="369"/>
      <c r="L9499" s="369"/>
      <c r="M9499" s="369"/>
      <c r="N9499" s="366"/>
      <c r="O9499" s="370"/>
      <c r="P9499" s="43"/>
    </row>
    <row r="9500" spans="1:16" ht="18" x14ac:dyDescent="0.35">
      <c r="A9500" s="43"/>
      <c r="B9500" s="59"/>
      <c r="C9500" s="60"/>
      <c r="D9500" s="59"/>
      <c r="E9500" s="59"/>
      <c r="F9500" s="59"/>
      <c r="G9500" s="59"/>
      <c r="H9500" s="59"/>
      <c r="I9500" s="371"/>
      <c r="J9500" s="365"/>
      <c r="K9500" s="369"/>
      <c r="L9500" s="369"/>
      <c r="M9500" s="369"/>
      <c r="N9500" s="366"/>
      <c r="O9500" s="370"/>
      <c r="P9500" s="43"/>
    </row>
    <row r="9501" spans="1:16" ht="18" x14ac:dyDescent="0.35">
      <c r="A9501" s="43"/>
      <c r="B9501" s="59"/>
      <c r="C9501" s="60"/>
      <c r="D9501" s="59"/>
      <c r="E9501" s="59"/>
      <c r="F9501" s="59"/>
      <c r="G9501" s="59"/>
      <c r="H9501" s="59"/>
      <c r="I9501" s="371"/>
      <c r="J9501" s="365"/>
      <c r="K9501" s="369"/>
      <c r="L9501" s="369"/>
      <c r="M9501" s="369"/>
      <c r="N9501" s="366"/>
      <c r="O9501" s="370"/>
      <c r="P9501" s="43"/>
    </row>
    <row r="9502" spans="1:16" ht="18" x14ac:dyDescent="0.35">
      <c r="A9502" s="43"/>
      <c r="B9502" s="59"/>
      <c r="C9502" s="60"/>
      <c r="D9502" s="59"/>
      <c r="E9502" s="59"/>
      <c r="F9502" s="59"/>
      <c r="G9502" s="59"/>
      <c r="H9502" s="59"/>
      <c r="I9502" s="371"/>
      <c r="J9502" s="365"/>
      <c r="K9502" s="369"/>
      <c r="L9502" s="369"/>
      <c r="M9502" s="369"/>
      <c r="N9502" s="366"/>
      <c r="O9502" s="370"/>
      <c r="P9502" s="43"/>
    </row>
    <row r="9503" spans="1:16" ht="18" x14ac:dyDescent="0.35">
      <c r="A9503" s="43"/>
      <c r="B9503" s="59"/>
      <c r="C9503" s="60"/>
      <c r="D9503" s="59"/>
      <c r="E9503" s="59"/>
      <c r="F9503" s="59"/>
      <c r="G9503" s="59"/>
      <c r="H9503" s="59"/>
      <c r="I9503" s="371"/>
      <c r="J9503" s="365"/>
      <c r="K9503" s="369"/>
      <c r="L9503" s="369"/>
      <c r="M9503" s="369"/>
      <c r="N9503" s="366"/>
      <c r="O9503" s="370"/>
      <c r="P9503" s="43"/>
    </row>
    <row r="9504" spans="1:16" ht="18" x14ac:dyDescent="0.35">
      <c r="A9504" s="43"/>
      <c r="B9504" s="59"/>
      <c r="C9504" s="60"/>
      <c r="D9504" s="59"/>
      <c r="E9504" s="59"/>
      <c r="F9504" s="59"/>
      <c r="G9504" s="59"/>
      <c r="H9504" s="59"/>
      <c r="I9504" s="371"/>
      <c r="J9504" s="365"/>
      <c r="K9504" s="369"/>
      <c r="L9504" s="369"/>
      <c r="M9504" s="369"/>
      <c r="N9504" s="366"/>
      <c r="O9504" s="370"/>
      <c r="P9504" s="43"/>
    </row>
    <row r="9505" spans="1:16" ht="18" x14ac:dyDescent="0.35">
      <c r="A9505" s="43"/>
      <c r="B9505" s="59"/>
      <c r="C9505" s="60"/>
      <c r="D9505" s="59"/>
      <c r="E9505" s="59"/>
      <c r="F9505" s="59"/>
      <c r="G9505" s="59"/>
      <c r="H9505" s="59"/>
      <c r="I9505" s="371"/>
      <c r="J9505" s="365"/>
      <c r="K9505" s="369"/>
      <c r="L9505" s="369"/>
      <c r="M9505" s="369"/>
      <c r="N9505" s="366"/>
      <c r="O9505" s="370"/>
      <c r="P9505" s="43"/>
    </row>
    <row r="9506" spans="1:16" ht="18" x14ac:dyDescent="0.35">
      <c r="A9506" s="43"/>
      <c r="B9506" s="59"/>
      <c r="C9506" s="60"/>
      <c r="D9506" s="59"/>
      <c r="E9506" s="59"/>
      <c r="F9506" s="59"/>
      <c r="G9506" s="59"/>
      <c r="H9506" s="59"/>
      <c r="I9506" s="371"/>
      <c r="J9506" s="365"/>
      <c r="K9506" s="369"/>
      <c r="L9506" s="369"/>
      <c r="M9506" s="369"/>
      <c r="N9506" s="366"/>
      <c r="O9506" s="370"/>
      <c r="P9506" s="43"/>
    </row>
    <row r="9507" spans="1:16" ht="18" x14ac:dyDescent="0.35">
      <c r="A9507" s="43"/>
      <c r="B9507" s="59"/>
      <c r="C9507" s="60"/>
      <c r="D9507" s="59"/>
      <c r="E9507" s="59"/>
      <c r="F9507" s="59"/>
      <c r="G9507" s="59"/>
      <c r="H9507" s="59"/>
      <c r="I9507" s="371"/>
      <c r="J9507" s="365"/>
      <c r="K9507" s="369"/>
      <c r="L9507" s="369"/>
      <c r="M9507" s="369"/>
      <c r="N9507" s="366"/>
      <c r="O9507" s="370"/>
      <c r="P9507" s="43"/>
    </row>
    <row r="9508" spans="1:16" ht="18" x14ac:dyDescent="0.35">
      <c r="A9508" s="43"/>
      <c r="B9508" s="59"/>
      <c r="C9508" s="60"/>
      <c r="D9508" s="59"/>
      <c r="E9508" s="59"/>
      <c r="F9508" s="59"/>
      <c r="G9508" s="59"/>
      <c r="H9508" s="59"/>
      <c r="I9508" s="371"/>
      <c r="J9508" s="365"/>
      <c r="K9508" s="369"/>
      <c r="L9508" s="369"/>
      <c r="M9508" s="369"/>
      <c r="N9508" s="366"/>
      <c r="O9508" s="370"/>
      <c r="P9508" s="43"/>
    </row>
    <row r="9509" spans="1:16" ht="18" x14ac:dyDescent="0.35">
      <c r="A9509" s="43"/>
      <c r="B9509" s="59"/>
      <c r="C9509" s="60"/>
      <c r="D9509" s="59"/>
      <c r="E9509" s="59"/>
      <c r="F9509" s="59"/>
      <c r="G9509" s="59"/>
      <c r="H9509" s="59"/>
      <c r="I9509" s="371"/>
      <c r="J9509" s="365"/>
      <c r="K9509" s="369"/>
      <c r="L9509" s="369"/>
      <c r="M9509" s="369"/>
      <c r="N9509" s="366"/>
      <c r="O9509" s="370"/>
      <c r="P9509" s="43"/>
    </row>
    <row r="9510" spans="1:16" ht="18" x14ac:dyDescent="0.35">
      <c r="A9510" s="43"/>
      <c r="B9510" s="59"/>
      <c r="C9510" s="60"/>
      <c r="D9510" s="59"/>
      <c r="E9510" s="59"/>
      <c r="F9510" s="59"/>
      <c r="G9510" s="59"/>
      <c r="H9510" s="59"/>
      <c r="I9510" s="371"/>
      <c r="J9510" s="365"/>
      <c r="K9510" s="369"/>
      <c r="L9510" s="369"/>
      <c r="M9510" s="369"/>
      <c r="N9510" s="366"/>
      <c r="O9510" s="370"/>
      <c r="P9510" s="43"/>
    </row>
    <row r="9511" spans="1:16" ht="18" x14ac:dyDescent="0.35">
      <c r="A9511" s="43"/>
      <c r="B9511" s="59"/>
      <c r="C9511" s="60"/>
      <c r="D9511" s="59"/>
      <c r="E9511" s="59"/>
      <c r="F9511" s="59"/>
      <c r="G9511" s="59"/>
      <c r="H9511" s="59"/>
      <c r="I9511" s="371"/>
      <c r="J9511" s="365"/>
      <c r="K9511" s="369"/>
      <c r="L9511" s="369"/>
      <c r="M9511" s="369"/>
      <c r="N9511" s="366"/>
      <c r="O9511" s="370"/>
      <c r="P9511" s="43"/>
    </row>
    <row r="9512" spans="1:16" ht="18" x14ac:dyDescent="0.35">
      <c r="A9512" s="43"/>
      <c r="B9512" s="59"/>
      <c r="C9512" s="60"/>
      <c r="D9512" s="59"/>
      <c r="E9512" s="59"/>
      <c r="F9512" s="59"/>
      <c r="G9512" s="59"/>
      <c r="H9512" s="59"/>
      <c r="I9512" s="371"/>
      <c r="J9512" s="365"/>
      <c r="K9512" s="369"/>
      <c r="L9512" s="369"/>
      <c r="M9512" s="369"/>
      <c r="N9512" s="366"/>
      <c r="O9512" s="370"/>
      <c r="P9512" s="43"/>
    </row>
    <row r="9513" spans="1:16" ht="18" x14ac:dyDescent="0.35">
      <c r="A9513" s="43"/>
      <c r="B9513" s="59"/>
      <c r="C9513" s="60"/>
      <c r="D9513" s="59"/>
      <c r="E9513" s="59"/>
      <c r="F9513" s="59"/>
      <c r="G9513" s="59"/>
      <c r="H9513" s="59"/>
      <c r="I9513" s="371"/>
      <c r="J9513" s="365"/>
      <c r="K9513" s="369"/>
      <c r="L9513" s="369"/>
      <c r="M9513" s="369"/>
      <c r="N9513" s="366"/>
      <c r="O9513" s="370"/>
      <c r="P9513" s="43"/>
    </row>
    <row r="9514" spans="1:16" ht="18" x14ac:dyDescent="0.35">
      <c r="A9514" s="43"/>
      <c r="B9514" s="59"/>
      <c r="C9514" s="60"/>
      <c r="D9514" s="59"/>
      <c r="E9514" s="59"/>
      <c r="F9514" s="59"/>
      <c r="G9514" s="59"/>
      <c r="H9514" s="59"/>
      <c r="I9514" s="371"/>
      <c r="J9514" s="365"/>
      <c r="K9514" s="369"/>
      <c r="L9514" s="369"/>
      <c r="M9514" s="369"/>
      <c r="N9514" s="366"/>
      <c r="O9514" s="370"/>
      <c r="P9514" s="43"/>
    </row>
    <row r="9515" spans="1:16" ht="18" x14ac:dyDescent="0.35">
      <c r="A9515" s="43"/>
      <c r="B9515" s="59"/>
      <c r="C9515" s="60"/>
      <c r="D9515" s="59"/>
      <c r="E9515" s="59"/>
      <c r="F9515" s="59"/>
      <c r="G9515" s="59"/>
      <c r="H9515" s="59"/>
      <c r="I9515" s="371"/>
      <c r="J9515" s="365"/>
      <c r="K9515" s="369"/>
      <c r="L9515" s="369"/>
      <c r="M9515" s="369"/>
      <c r="N9515" s="366"/>
      <c r="O9515" s="370"/>
      <c r="P9515" s="43"/>
    </row>
    <row r="9516" spans="1:16" ht="18" x14ac:dyDescent="0.35">
      <c r="A9516" s="43"/>
      <c r="B9516" s="59"/>
      <c r="C9516" s="60"/>
      <c r="D9516" s="59"/>
      <c r="E9516" s="59"/>
      <c r="F9516" s="59"/>
      <c r="G9516" s="59"/>
      <c r="H9516" s="59"/>
      <c r="I9516" s="371"/>
      <c r="J9516" s="365"/>
      <c r="K9516" s="369"/>
      <c r="L9516" s="369"/>
      <c r="M9516" s="369"/>
      <c r="N9516" s="366"/>
      <c r="O9516" s="370"/>
      <c r="P9516" s="43"/>
    </row>
    <row r="9517" spans="1:16" ht="18" x14ac:dyDescent="0.35">
      <c r="A9517" s="43"/>
      <c r="B9517" s="59"/>
      <c r="C9517" s="60"/>
      <c r="D9517" s="59"/>
      <c r="E9517" s="59"/>
      <c r="F9517" s="59"/>
      <c r="G9517" s="59"/>
      <c r="H9517" s="59"/>
      <c r="I9517" s="371"/>
      <c r="J9517" s="365"/>
      <c r="K9517" s="369"/>
      <c r="L9517" s="369"/>
      <c r="M9517" s="369"/>
      <c r="N9517" s="366"/>
      <c r="O9517" s="370"/>
      <c r="P9517" s="43"/>
    </row>
    <row r="9518" spans="1:16" ht="18" x14ac:dyDescent="0.35">
      <c r="A9518" s="43"/>
      <c r="B9518" s="59"/>
      <c r="C9518" s="60"/>
      <c r="D9518" s="59"/>
      <c r="E9518" s="59"/>
      <c r="F9518" s="59"/>
      <c r="G9518" s="59"/>
      <c r="H9518" s="59"/>
      <c r="I9518" s="371"/>
      <c r="J9518" s="365"/>
      <c r="K9518" s="369"/>
      <c r="L9518" s="369"/>
      <c r="M9518" s="369"/>
      <c r="N9518" s="366"/>
      <c r="O9518" s="370"/>
      <c r="P9518" s="43"/>
    </row>
    <row r="9519" spans="1:16" ht="18" x14ac:dyDescent="0.35">
      <c r="A9519" s="43"/>
      <c r="B9519" s="59"/>
      <c r="C9519" s="60"/>
      <c r="D9519" s="59"/>
      <c r="E9519" s="59"/>
      <c r="F9519" s="59"/>
      <c r="G9519" s="59"/>
      <c r="H9519" s="59"/>
      <c r="I9519" s="371"/>
      <c r="J9519" s="365"/>
      <c r="K9519" s="369"/>
      <c r="L9519" s="369"/>
      <c r="M9519" s="369"/>
      <c r="N9519" s="366"/>
      <c r="O9519" s="370"/>
      <c r="P9519" s="43"/>
    </row>
    <row r="9520" spans="1:16" ht="18" x14ac:dyDescent="0.35">
      <c r="A9520" s="43"/>
      <c r="B9520" s="59"/>
      <c r="C9520" s="60"/>
      <c r="D9520" s="59"/>
      <c r="E9520" s="59"/>
      <c r="F9520" s="59"/>
      <c r="G9520" s="59"/>
      <c r="H9520" s="59"/>
      <c r="I9520" s="371"/>
      <c r="J9520" s="365"/>
      <c r="K9520" s="369"/>
      <c r="L9520" s="369"/>
      <c r="M9520" s="369"/>
      <c r="N9520" s="366"/>
      <c r="O9520" s="370"/>
      <c r="P9520" s="43"/>
    </row>
    <row r="9521" spans="1:17" ht="18" x14ac:dyDescent="0.35">
      <c r="A9521" s="43"/>
      <c r="B9521" s="59"/>
      <c r="C9521" s="60"/>
      <c r="D9521" s="59"/>
      <c r="E9521" s="59"/>
      <c r="F9521" s="59"/>
      <c r="G9521" s="59"/>
      <c r="H9521" s="59"/>
      <c r="I9521" s="371"/>
      <c r="J9521" s="365"/>
      <c r="K9521" s="369"/>
      <c r="L9521" s="369"/>
      <c r="M9521" s="369"/>
      <c r="N9521" s="366"/>
      <c r="O9521" s="370"/>
      <c r="P9521" s="43"/>
    </row>
    <row r="9522" spans="1:17" ht="18" x14ac:dyDescent="0.35">
      <c r="A9522" s="43"/>
      <c r="B9522" s="59"/>
      <c r="C9522" s="60"/>
      <c r="D9522" s="59"/>
      <c r="E9522" s="59"/>
      <c r="F9522" s="59"/>
      <c r="G9522" s="59"/>
      <c r="H9522" s="59"/>
      <c r="I9522" s="371"/>
      <c r="J9522" s="365"/>
      <c r="K9522" s="369"/>
      <c r="L9522" s="369"/>
      <c r="M9522" s="369"/>
      <c r="N9522" s="366"/>
      <c r="O9522" s="370"/>
      <c r="P9522" s="43"/>
    </row>
    <row r="9523" spans="1:17" ht="18" x14ac:dyDescent="0.35">
      <c r="A9523" s="43"/>
      <c r="B9523" s="59"/>
      <c r="C9523" s="60"/>
      <c r="D9523" s="59"/>
      <c r="E9523" s="59"/>
      <c r="F9523" s="59"/>
      <c r="G9523" s="59"/>
      <c r="H9523" s="59"/>
      <c r="I9523" s="371"/>
      <c r="J9523" s="365"/>
      <c r="K9523" s="369"/>
      <c r="L9523" s="369"/>
      <c r="M9523" s="369"/>
      <c r="N9523" s="366"/>
      <c r="O9523" s="370"/>
      <c r="P9523" s="43"/>
    </row>
    <row r="9524" spans="1:17" ht="18" x14ac:dyDescent="0.35">
      <c r="A9524" s="43"/>
      <c r="B9524" s="59"/>
      <c r="C9524" s="60"/>
      <c r="D9524" s="59"/>
      <c r="E9524" s="59"/>
      <c r="F9524" s="59"/>
      <c r="G9524" s="59"/>
      <c r="H9524" s="59"/>
      <c r="I9524" s="371"/>
      <c r="J9524" s="365"/>
      <c r="K9524" s="369"/>
      <c r="L9524" s="369"/>
      <c r="M9524" s="369"/>
      <c r="N9524" s="366"/>
      <c r="O9524" s="370"/>
      <c r="P9524" s="43"/>
    </row>
    <row r="9525" spans="1:17" ht="18" x14ac:dyDescent="0.35">
      <c r="A9525" s="43"/>
      <c r="B9525" s="59"/>
      <c r="C9525" s="60"/>
      <c r="D9525" s="59"/>
      <c r="E9525" s="59"/>
      <c r="F9525" s="59"/>
      <c r="G9525" s="59"/>
      <c r="H9525" s="59"/>
      <c r="I9525" s="371"/>
      <c r="J9525" s="365"/>
      <c r="K9525" s="369"/>
      <c r="L9525" s="369"/>
      <c r="M9525" s="369"/>
      <c r="N9525" s="366"/>
      <c r="O9525" s="370"/>
      <c r="P9525" s="43"/>
    </row>
    <row r="9526" spans="1:17" ht="18" x14ac:dyDescent="0.35">
      <c r="A9526" s="43"/>
      <c r="B9526" s="59"/>
      <c r="C9526" s="60"/>
      <c r="D9526" s="59"/>
      <c r="E9526" s="59"/>
      <c r="F9526" s="59"/>
      <c r="G9526" s="59"/>
      <c r="H9526" s="59"/>
      <c r="I9526" s="371"/>
      <c r="J9526" s="365"/>
      <c r="K9526" s="369"/>
      <c r="L9526" s="369"/>
      <c r="M9526" s="369"/>
      <c r="N9526" s="366"/>
      <c r="O9526" s="370"/>
      <c r="P9526" s="43"/>
    </row>
    <row r="9527" spans="1:17" ht="18" x14ac:dyDescent="0.35">
      <c r="A9527" s="43"/>
      <c r="B9527" s="59"/>
      <c r="C9527" s="60"/>
      <c r="D9527" s="59"/>
      <c r="E9527" s="59"/>
      <c r="F9527" s="59"/>
      <c r="G9527" s="59"/>
      <c r="H9527" s="59"/>
      <c r="I9527" s="371"/>
      <c r="J9527" s="365"/>
      <c r="K9527" s="369"/>
      <c r="L9527" s="369"/>
      <c r="M9527" s="369"/>
      <c r="N9527" s="366"/>
      <c r="O9527" s="370"/>
      <c r="P9527" s="43"/>
    </row>
    <row r="9528" spans="1:17" ht="18" x14ac:dyDescent="0.35">
      <c r="A9528" s="43"/>
      <c r="B9528" s="59"/>
      <c r="C9528" s="60"/>
      <c r="D9528" s="59"/>
      <c r="E9528" s="59"/>
      <c r="F9528" s="59"/>
      <c r="G9528" s="59"/>
      <c r="H9528" s="59"/>
      <c r="I9528" s="371"/>
      <c r="J9528" s="365"/>
      <c r="K9528" s="369"/>
      <c r="L9528" s="369"/>
      <c r="M9528" s="369"/>
      <c r="N9528" s="366"/>
      <c r="O9528" s="370"/>
      <c r="P9528" s="43"/>
    </row>
    <row r="9529" spans="1:17" ht="18" x14ac:dyDescent="0.35">
      <c r="A9529" s="43"/>
      <c r="B9529" s="59"/>
      <c r="C9529" s="60"/>
      <c r="D9529" s="59"/>
      <c r="E9529" s="59"/>
      <c r="F9529" s="59"/>
      <c r="G9529" s="59"/>
      <c r="H9529" s="59"/>
      <c r="I9529" s="371"/>
      <c r="J9529" s="365"/>
      <c r="K9529" s="369"/>
      <c r="L9529" s="369"/>
      <c r="M9529" s="369"/>
      <c r="N9529" s="366"/>
      <c r="O9529" s="370"/>
      <c r="P9529" s="43"/>
    </row>
    <row r="9530" spans="1:17" ht="18" x14ac:dyDescent="0.35">
      <c r="A9530" s="43"/>
      <c r="B9530" s="59"/>
      <c r="C9530" s="60"/>
      <c r="D9530" s="59"/>
      <c r="E9530" s="59"/>
      <c r="F9530" s="59"/>
      <c r="G9530" s="59"/>
      <c r="H9530" s="59"/>
      <c r="I9530" s="371"/>
      <c r="J9530" s="365"/>
      <c r="K9530" s="369"/>
      <c r="L9530" s="369"/>
      <c r="M9530" s="369"/>
      <c r="N9530" s="366"/>
      <c r="O9530" s="370"/>
      <c r="P9530" s="43"/>
    </row>
    <row r="9531" spans="1:17" ht="18" x14ac:dyDescent="0.35">
      <c r="A9531" s="43"/>
      <c r="B9531" s="59"/>
      <c r="C9531" s="60"/>
      <c r="D9531" s="59"/>
      <c r="E9531" s="59"/>
      <c r="F9531" s="59"/>
      <c r="G9531" s="59"/>
      <c r="H9531" s="59"/>
      <c r="I9531" s="371"/>
      <c r="J9531" s="365"/>
      <c r="K9531" s="369"/>
      <c r="L9531" s="369"/>
      <c r="M9531" s="369"/>
      <c r="N9531" s="366"/>
      <c r="O9531" s="370"/>
      <c r="P9531" s="43"/>
    </row>
    <row r="9532" spans="1:17" ht="18" x14ac:dyDescent="0.35">
      <c r="A9532" s="43"/>
      <c r="B9532" s="59"/>
      <c r="C9532" s="60"/>
      <c r="D9532" s="59"/>
      <c r="E9532" s="59"/>
      <c r="F9532" s="59"/>
      <c r="G9532" s="59"/>
      <c r="H9532" s="59"/>
      <c r="I9532" s="371"/>
      <c r="J9532" s="365"/>
      <c r="K9532" s="369"/>
      <c r="L9532" s="369"/>
      <c r="M9532" s="369"/>
      <c r="N9532" s="366"/>
      <c r="O9532" s="370"/>
      <c r="P9532" s="43"/>
    </row>
    <row r="9533" spans="1:17" ht="23.4" x14ac:dyDescent="0.45">
      <c r="A9533" s="247"/>
      <c r="B9533" s="248"/>
      <c r="C9533" s="248"/>
      <c r="D9533" s="248"/>
      <c r="E9533" s="248"/>
      <c r="F9533" s="248"/>
      <c r="G9533" s="248"/>
      <c r="H9533" s="248"/>
      <c r="I9533" s="372"/>
      <c r="J9533" s="373"/>
      <c r="K9533" s="374"/>
      <c r="L9533" s="374"/>
      <c r="M9533" s="374"/>
      <c r="N9533" s="374"/>
      <c r="O9533" s="375"/>
      <c r="P9533" s="247"/>
      <c r="Q9533" s="272"/>
    </row>
  </sheetData>
  <sheetProtection sheet="1" sort="0" autoFilter="0"/>
  <pageMargins left="0.23622047244094491" right="0.23622047244094491" top="0.74803149606299213" bottom="0.74803149606299213" header="0.31496062992125984" footer="0.31496062992125984"/>
  <pageSetup paperSize="9" scale="40" orientation="landscape" r:id="rId1"/>
  <headerFooter>
    <oddFooter>&amp;L&amp;A&amp;R&amp;F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377E-5259-4A5B-9656-1C6978EC5A0F}">
  <sheetPr codeName="Full7">
    <tabColor theme="8" tint="0.79998168889431442"/>
  </sheetPr>
  <dimension ref="A1:CY213"/>
  <sheetViews>
    <sheetView showGridLines="0" view="pageBreakPreview" zoomScale="85" zoomScaleNormal="40" zoomScaleSheetLayoutView="85" workbookViewId="0">
      <pane ySplit="2" topLeftCell="A3" activePane="bottomLeft" state="frozen"/>
      <selection pane="bottomLeft"/>
    </sheetView>
  </sheetViews>
  <sheetFormatPr defaultColWidth="8.88671875" defaultRowHeight="13.8" x14ac:dyDescent="0.25"/>
  <cols>
    <col min="1" max="2" width="1.44140625" style="112" customWidth="1"/>
    <col min="3" max="3" width="12" style="112" customWidth="1"/>
    <col min="4" max="4" width="13.88671875" style="112" customWidth="1"/>
    <col min="5" max="5" width="15.5546875" style="112" customWidth="1"/>
    <col min="6" max="6" width="13.5546875" style="112" customWidth="1"/>
    <col min="7" max="7" width="15.44140625" style="112" customWidth="1"/>
    <col min="8" max="8" width="14.88671875" style="112" customWidth="1"/>
    <col min="9" max="9" width="12" style="112" customWidth="1"/>
    <col min="10" max="10" width="15.5546875" style="112" customWidth="1"/>
    <col min="11" max="11" width="10.109375" style="112" customWidth="1"/>
    <col min="12" max="12" width="8.5546875" style="112" customWidth="1"/>
    <col min="13" max="13" width="6.5546875" style="112" bestFit="1" customWidth="1"/>
    <col min="14" max="14" width="9.44140625" style="112" bestFit="1" customWidth="1"/>
    <col min="15" max="15" width="8.5546875" style="112" bestFit="1" customWidth="1"/>
    <col min="16" max="16" width="8.109375" style="112" customWidth="1"/>
    <col min="17" max="17" width="9.44140625" style="112" bestFit="1" customWidth="1"/>
    <col min="18" max="18" width="8.44140625" style="112" bestFit="1" customWidth="1"/>
    <col min="19" max="19" width="9.5546875" style="112" bestFit="1" customWidth="1"/>
    <col min="20" max="20" width="16.44140625" style="112" customWidth="1"/>
    <col min="21" max="21" width="3.5546875" style="112" customWidth="1"/>
    <col min="22" max="22" width="1.44140625" style="112" customWidth="1"/>
    <col min="23" max="23" width="217.5546875" style="184" customWidth="1"/>
    <col min="24" max="24" width="9.5546875" style="184" customWidth="1"/>
    <col min="25" max="25" width="11.109375" style="184" customWidth="1"/>
    <col min="26" max="26" width="14.109375" style="184" customWidth="1"/>
    <col min="27" max="30" width="8.88671875" style="184"/>
    <col min="31" max="31" width="17.44140625" style="184" bestFit="1" customWidth="1"/>
    <col min="32" max="32" width="9.5546875" style="184" bestFit="1" customWidth="1"/>
    <col min="33" max="40" width="9.5546875" style="184" customWidth="1"/>
    <col min="41" max="41" width="8.88671875" style="184"/>
    <col min="42" max="42" width="9.5546875" style="184" bestFit="1" customWidth="1"/>
    <col min="43" max="49" width="8.88671875" style="184"/>
    <col min="50" max="50" width="10.44140625" style="184" bestFit="1" customWidth="1"/>
    <col min="51" max="51" width="9.5546875" style="184" bestFit="1" customWidth="1"/>
    <col min="52" max="79" width="8.88671875" style="184"/>
    <col min="80" max="16384" width="8.88671875" style="112"/>
  </cols>
  <sheetData>
    <row r="1" spans="1:48" ht="25.8" x14ac:dyDescent="0.5">
      <c r="A1" s="67"/>
      <c r="B1" s="61"/>
      <c r="C1" s="66" t="s">
        <v>67</v>
      </c>
      <c r="D1" s="68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48" ht="30" customHeight="1" x14ac:dyDescent="0.45">
      <c r="A2" s="63"/>
      <c r="B2" s="261"/>
      <c r="C2" s="261" t="s">
        <v>76</v>
      </c>
      <c r="D2" s="64"/>
      <c r="E2" s="64"/>
      <c r="F2" s="64"/>
      <c r="G2" s="64"/>
      <c r="H2" s="64"/>
      <c r="I2" s="64"/>
      <c r="J2" s="261"/>
      <c r="K2" s="261"/>
      <c r="L2" s="64"/>
      <c r="M2" s="64"/>
      <c r="N2" s="64"/>
      <c r="O2" s="281" t="s">
        <v>77</v>
      </c>
      <c r="P2" s="436">
        <f ca="1">TODAY()</f>
        <v>46147</v>
      </c>
      <c r="Q2" s="436"/>
      <c r="R2" s="436"/>
      <c r="S2" s="64"/>
      <c r="T2" s="64"/>
      <c r="U2" s="64"/>
      <c r="V2" s="64"/>
    </row>
    <row r="3" spans="1:48" ht="6" customHeight="1" x14ac:dyDescent="0.45">
      <c r="A3" s="70"/>
      <c r="B3" s="44"/>
      <c r="C3" s="262"/>
      <c r="D3" s="70"/>
      <c r="E3" s="70"/>
      <c r="F3" s="70"/>
      <c r="G3" s="70"/>
      <c r="H3" s="70"/>
      <c r="I3" s="70"/>
      <c r="J3" s="262"/>
      <c r="K3" s="262"/>
      <c r="L3" s="70"/>
      <c r="M3" s="70"/>
      <c r="N3" s="70"/>
      <c r="O3" s="70"/>
      <c r="P3" s="71"/>
      <c r="Q3" s="71"/>
      <c r="R3" s="70"/>
      <c r="S3" s="70"/>
      <c r="T3" s="70"/>
      <c r="U3" s="70"/>
      <c r="V3" s="70"/>
    </row>
    <row r="4" spans="1:48" ht="22.35" customHeight="1" x14ac:dyDescent="0.45">
      <c r="A4" s="70"/>
      <c r="C4" s="73" t="s">
        <v>78</v>
      </c>
      <c r="V4" s="70"/>
    </row>
    <row r="5" spans="1:48" ht="23.4" x14ac:dyDescent="0.45">
      <c r="A5" s="70"/>
      <c r="B5" s="74"/>
      <c r="C5" s="76" t="s">
        <v>79</v>
      </c>
      <c r="D5" s="74"/>
      <c r="E5" s="81">
        <f>'Introducció dades generals'!E5</f>
        <v>0</v>
      </c>
      <c r="F5" s="74"/>
      <c r="G5" s="74"/>
      <c r="H5" s="74"/>
      <c r="I5" s="74"/>
      <c r="J5" s="74"/>
      <c r="K5" s="74"/>
      <c r="L5" s="74"/>
      <c r="M5" s="74"/>
      <c r="N5" s="74"/>
      <c r="O5" s="74"/>
      <c r="P5" s="77"/>
      <c r="Q5" s="74"/>
      <c r="R5" s="74"/>
      <c r="S5" s="74"/>
      <c r="T5" s="74"/>
      <c r="U5" s="74"/>
      <c r="V5" s="70"/>
      <c r="X5" s="282" t="s">
        <v>80</v>
      </c>
    </row>
    <row r="6" spans="1:48" ht="23.4" x14ac:dyDescent="0.45">
      <c r="A6" s="70"/>
      <c r="B6" s="74"/>
      <c r="C6" s="76" t="s">
        <v>81</v>
      </c>
      <c r="D6" s="74"/>
      <c r="E6" s="81">
        <f>'Introducció dades generals'!E7</f>
        <v>0</v>
      </c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0"/>
    </row>
    <row r="7" spans="1:48" ht="23.4" x14ac:dyDescent="0.45">
      <c r="A7" s="70"/>
      <c r="B7" s="74"/>
      <c r="C7" s="76" t="s">
        <v>82</v>
      </c>
      <c r="D7" s="74"/>
      <c r="E7" s="81" t="str">
        <f>'Introducció dades generals'!E9</f>
        <v>General</v>
      </c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0"/>
    </row>
    <row r="8" spans="1:48" ht="23.4" x14ac:dyDescent="0.45">
      <c r="A8" s="70"/>
      <c r="B8" s="74"/>
      <c r="C8" s="74"/>
      <c r="D8" s="74"/>
      <c r="E8" s="75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0"/>
    </row>
    <row r="9" spans="1:48" ht="23.4" x14ac:dyDescent="0.45">
      <c r="A9" s="70"/>
      <c r="B9" s="74"/>
      <c r="C9" s="86" t="s">
        <v>83</v>
      </c>
      <c r="D9" s="87"/>
      <c r="E9" s="87"/>
      <c r="F9" s="87"/>
      <c r="G9" s="87"/>
      <c r="H9" s="87"/>
      <c r="I9" s="87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0"/>
    </row>
    <row r="10" spans="1:48" ht="23.4" x14ac:dyDescent="0.45">
      <c r="A10" s="70"/>
      <c r="B10" s="74"/>
      <c r="C10" s="74"/>
      <c r="D10" s="82" t="s">
        <v>84</v>
      </c>
      <c r="E10" s="77">
        <f>+MIN('Introducció dades consum'!$C:$C)</f>
        <v>0</v>
      </c>
      <c r="F10" s="78" t="s">
        <v>85</v>
      </c>
      <c r="G10" s="77">
        <f>+MAX('Introducció dades consum'!$C:$C)</f>
        <v>0</v>
      </c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0"/>
    </row>
    <row r="11" spans="1:48" ht="23.4" x14ac:dyDescent="0.45">
      <c r="A11" s="70"/>
      <c r="B11" s="74"/>
      <c r="C11" s="74"/>
      <c r="D11" s="82" t="s">
        <v>86</v>
      </c>
      <c r="E11" s="79">
        <f>_xlfn.DAYS(G10,E10)+1</f>
        <v>1</v>
      </c>
      <c r="F11" s="74"/>
      <c r="G11" s="74"/>
      <c r="H11" s="283" t="s">
        <v>87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0"/>
    </row>
    <row r="12" spans="1:48" ht="23.4" x14ac:dyDescent="0.45">
      <c r="A12" s="70"/>
      <c r="B12" s="74"/>
      <c r="C12" s="74"/>
      <c r="D12" s="82" t="s">
        <v>88</v>
      </c>
      <c r="E12" s="79">
        <f>E11*24</f>
        <v>24</v>
      </c>
      <c r="F12" s="74"/>
      <c r="G12" s="74"/>
      <c r="H12" s="284" t="s">
        <v>89</v>
      </c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74"/>
      <c r="V12" s="70"/>
    </row>
    <row r="13" spans="1:48" ht="23.4" x14ac:dyDescent="0.45">
      <c r="A13" s="70"/>
      <c r="B13" s="74"/>
      <c r="C13" s="74"/>
      <c r="D13" s="82" t="s">
        <v>90</v>
      </c>
      <c r="E13" s="79">
        <f>+COUNTA('Introducció dades consum'!C:C)-2</f>
        <v>0</v>
      </c>
      <c r="F13" s="80">
        <f>E13/E12</f>
        <v>0</v>
      </c>
      <c r="G13" s="83" t="s">
        <v>91</v>
      </c>
      <c r="H13" s="255"/>
      <c r="I13" s="97" t="str">
        <f>IF(E13&lt;168,"Les dades introduïdes són inferiors a una setmana",IF(F13&lt;1,"falta el consum per algunes hores",IF(F13&gt;1,"comprovar dades copiades. Si la diferència entre els valors i les hores disponibles és de 1 unitat, pot deure's al canvi horari (març o octubre)","")))</f>
        <v>Les dades introduïdes són inferiors a una setmana</v>
      </c>
      <c r="J13" s="286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0"/>
    </row>
    <row r="14" spans="1:48" ht="23.4" x14ac:dyDescent="0.45">
      <c r="A14" s="70"/>
      <c r="B14" s="74"/>
      <c r="C14" s="74"/>
      <c r="D14" s="77"/>
      <c r="E14" s="287"/>
      <c r="F14" s="77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0"/>
    </row>
    <row r="15" spans="1:48" ht="23.4" x14ac:dyDescent="0.45">
      <c r="A15" s="70"/>
      <c r="B15" s="255"/>
      <c r="C15" s="86" t="s">
        <v>92</v>
      </c>
      <c r="D15" s="86"/>
      <c r="E15" s="86"/>
      <c r="F15" s="86"/>
      <c r="G15" s="106"/>
      <c r="H15" s="106"/>
      <c r="I15" s="106"/>
      <c r="J15" s="255"/>
      <c r="K15" s="86" t="s">
        <v>261</v>
      </c>
      <c r="L15" s="86"/>
      <c r="M15" s="86"/>
      <c r="N15" s="86"/>
      <c r="O15" s="106"/>
      <c r="P15" s="106"/>
      <c r="Q15" s="106"/>
      <c r="R15" s="86"/>
      <c r="S15" s="86"/>
      <c r="T15" s="347"/>
      <c r="U15" s="74"/>
      <c r="V15" s="70"/>
      <c r="X15" s="86" t="s">
        <v>224</v>
      </c>
      <c r="Y15" s="86"/>
      <c r="Z15" s="86"/>
      <c r="AA15" s="86"/>
      <c r="AB15" s="106"/>
      <c r="AC15" s="106"/>
      <c r="AD15" s="106"/>
      <c r="AE15" s="86"/>
      <c r="AF15" s="86"/>
      <c r="AG15" s="86"/>
      <c r="AR15" s="185" t="s">
        <v>107</v>
      </c>
    </row>
    <row r="16" spans="1:48" ht="29.1" customHeight="1" x14ac:dyDescent="0.45">
      <c r="A16" s="70"/>
      <c r="B16" s="74"/>
      <c r="C16" s="74"/>
      <c r="D16" s="82" t="s">
        <v>84</v>
      </c>
      <c r="E16" s="84">
        <f>'Introducció dades generals'!E12</f>
        <v>0</v>
      </c>
      <c r="F16" s="85" t="s">
        <v>85</v>
      </c>
      <c r="G16" s="84">
        <f>'Introducció dades generals'!G12</f>
        <v>0</v>
      </c>
      <c r="H16" s="74"/>
      <c r="I16" s="74"/>
      <c r="J16" s="74"/>
      <c r="K16" s="397"/>
      <c r="L16" s="398">
        <v>1</v>
      </c>
      <c r="M16" s="398">
        <v>2</v>
      </c>
      <c r="N16" s="398">
        <v>3</v>
      </c>
      <c r="O16" s="398">
        <v>4</v>
      </c>
      <c r="P16" s="398">
        <v>5</v>
      </c>
      <c r="Q16" s="398">
        <v>6</v>
      </c>
      <c r="R16" s="398">
        <v>7</v>
      </c>
      <c r="S16" s="443" t="s">
        <v>259</v>
      </c>
      <c r="T16" s="255"/>
      <c r="U16" s="74"/>
      <c r="V16" s="70"/>
      <c r="X16" s="107"/>
      <c r="Y16" s="108"/>
      <c r="Z16" s="109">
        <v>1</v>
      </c>
      <c r="AA16" s="109">
        <v>2</v>
      </c>
      <c r="AB16" s="109">
        <v>3</v>
      </c>
      <c r="AC16" s="109">
        <v>4</v>
      </c>
      <c r="AD16" s="109">
        <v>5</v>
      </c>
      <c r="AE16" s="109">
        <v>6</v>
      </c>
      <c r="AF16" s="109">
        <v>7</v>
      </c>
      <c r="AG16" s="441" t="s">
        <v>93</v>
      </c>
      <c r="AN16" s="290" t="s">
        <v>88</v>
      </c>
      <c r="AO16" s="291" t="s">
        <v>90</v>
      </c>
      <c r="AP16" s="291" t="s">
        <v>109</v>
      </c>
      <c r="AQ16" s="291" t="s">
        <v>110</v>
      </c>
      <c r="AR16" s="291" t="s">
        <v>111</v>
      </c>
      <c r="AS16" s="291" t="s">
        <v>112</v>
      </c>
      <c r="AT16" s="291" t="s">
        <v>113</v>
      </c>
      <c r="AU16" s="291" t="s">
        <v>114</v>
      </c>
      <c r="AV16" s="292" t="s">
        <v>115</v>
      </c>
    </row>
    <row r="17" spans="1:50" ht="24" thickBot="1" x14ac:dyDescent="0.5">
      <c r="A17" s="70"/>
      <c r="B17" s="74"/>
      <c r="C17" s="74"/>
      <c r="D17" s="82" t="s">
        <v>94</v>
      </c>
      <c r="E17" s="79">
        <f>_xlfn.DAYS(G16,E16)+1</f>
        <v>1</v>
      </c>
      <c r="F17" s="74"/>
      <c r="G17" s="74"/>
      <c r="H17" s="74"/>
      <c r="I17" s="74"/>
      <c r="J17" s="74"/>
      <c r="K17" s="399" t="s">
        <v>95</v>
      </c>
      <c r="L17" s="400" t="s">
        <v>40</v>
      </c>
      <c r="M17" s="400" t="s">
        <v>41</v>
      </c>
      <c r="N17" s="400" t="s">
        <v>42</v>
      </c>
      <c r="O17" s="400" t="s">
        <v>43</v>
      </c>
      <c r="P17" s="400" t="s">
        <v>44</v>
      </c>
      <c r="Q17" s="400" t="s">
        <v>45</v>
      </c>
      <c r="R17" s="400" t="s">
        <v>46</v>
      </c>
      <c r="S17" s="444"/>
      <c r="T17" s="255"/>
      <c r="U17" s="74"/>
      <c r="V17" s="70"/>
      <c r="X17" s="107" t="s">
        <v>95</v>
      </c>
      <c r="Y17" s="108" t="s">
        <v>96</v>
      </c>
      <c r="Z17" s="109" t="s">
        <v>40</v>
      </c>
      <c r="AA17" s="109" t="s">
        <v>41</v>
      </c>
      <c r="AB17" s="109" t="s">
        <v>42</v>
      </c>
      <c r="AC17" s="109" t="s">
        <v>43</v>
      </c>
      <c r="AD17" s="109" t="s">
        <v>44</v>
      </c>
      <c r="AE17" s="109" t="s">
        <v>45</v>
      </c>
      <c r="AF17" s="109" t="s">
        <v>46</v>
      </c>
      <c r="AG17" s="441"/>
      <c r="AN17" s="294">
        <f>F26*24</f>
        <v>24</v>
      </c>
      <c r="AO17" s="295">
        <f>+COUNTIFS('Introducció dades consum'!$C:$C,"&gt;="&amp;'Resultats - informe'!D26,'Introducció dades consum'!$C:$C,"&lt;="&amp;'Resultats - informe'!E26)</f>
        <v>0</v>
      </c>
      <c r="AP17" s="296">
        <f>+AO17/AN17</f>
        <v>0</v>
      </c>
      <c r="AQ17" s="297">
        <f>+_xlfn.MAXIFS('Introducció dades consum'!$E:$E,'Introducció dades consum'!$C:$C,_xlfn.CONCAT("&gt;=",'Resultats - informe'!D26),'Introducció dades consum'!$C:$C,_xlfn.CONCAT("&lt;=",'Resultats - informe'!E26))</f>
        <v>0</v>
      </c>
      <c r="AR17" s="298" t="e">
        <f>+AQ17/H26</f>
        <v>#VALUE!</v>
      </c>
      <c r="AS17" s="298">
        <v>1</v>
      </c>
      <c r="AT17" s="297" t="e">
        <f>+AS17*H26</f>
        <v>#VALUE!</v>
      </c>
      <c r="AU17" s="299">
        <f>+COUNTIFS('Introducció dades consum'!$C:$C,"&gt;="&amp;'Resultats - informe'!D26,'Introducció dades consum'!$C:$C,"&lt;="&amp;'Resultats - informe'!E26,'Introducció dades consum'!$E:$E,"&gt;"&amp;AT17)</f>
        <v>0</v>
      </c>
      <c r="AV17" s="300" t="e">
        <f>+AU17/AO17</f>
        <v>#DIV/0!</v>
      </c>
      <c r="AW17" s="301"/>
    </row>
    <row r="18" spans="1:50" ht="24.6" thickTop="1" thickBot="1" x14ac:dyDescent="0.5">
      <c r="A18" s="70"/>
      <c r="B18" s="74"/>
      <c r="C18" s="74"/>
      <c r="D18" s="82" t="s">
        <v>97</v>
      </c>
      <c r="E18" s="79">
        <f>E17*24</f>
        <v>24</v>
      </c>
      <c r="F18" s="74"/>
      <c r="G18" s="74"/>
      <c r="H18" s="74"/>
      <c r="I18" s="74"/>
      <c r="J18" s="74"/>
      <c r="K18" s="401">
        <f>+X18</f>
        <v>0</v>
      </c>
      <c r="L18" s="402">
        <f>+Z18</f>
        <v>0</v>
      </c>
      <c r="M18" s="402">
        <f t="shared" ref="M18:R33" si="0">+AA18</f>
        <v>0</v>
      </c>
      <c r="N18" s="402">
        <f t="shared" si="0"/>
        <v>0</v>
      </c>
      <c r="O18" s="402">
        <f t="shared" si="0"/>
        <v>0</v>
      </c>
      <c r="P18" s="402">
        <f t="shared" si="0"/>
        <v>0</v>
      </c>
      <c r="Q18" s="402">
        <f t="shared" si="0"/>
        <v>0</v>
      </c>
      <c r="R18" s="402">
        <f t="shared" si="0"/>
        <v>0</v>
      </c>
      <c r="S18" s="403">
        <f t="shared" ref="S18:S41" si="1">SUM(L18:R18)</f>
        <v>0</v>
      </c>
      <c r="T18" s="255"/>
      <c r="U18" s="74"/>
      <c r="V18" s="70"/>
      <c r="X18" s="341" cm="1">
        <f t="array" ref="X18">_xlfn.IFS(Y18=0,0,Y18=1,1/24)</f>
        <v>0</v>
      </c>
      <c r="Y18" s="342">
        <f>MIN('Introducció dades consum'!D:D)</f>
        <v>0</v>
      </c>
      <c r="Z18" s="110">
        <f>IF(AND('Resultats - informe'!X18&gt;='Introducció dades generals'!$E$25,'Resultats - informe'!X18&lt;='Introducció dades generals'!$J$25),1,0)</f>
        <v>0</v>
      </c>
      <c r="AA18" s="110">
        <f>IF(AND('Resultats - informe'!X18&gt;='Introducció dades generals'!$E$27,'Resultats - informe'!X18&lt;='Introducció dades generals'!$J$27),1,0)</f>
        <v>0</v>
      </c>
      <c r="AB18" s="110">
        <f>IF(AND('Resultats - informe'!X18&gt;='Introducció dades generals'!$E$29,'Resultats - informe'!X18&lt;='Introducció dades generals'!$J$29),1,0)</f>
        <v>0</v>
      </c>
      <c r="AC18" s="110">
        <f>IF(AND('Resultats - informe'!X18&gt;='Introducció dades generals'!$E$31,'Resultats - informe'!X18&lt;='Introducció dades generals'!$J$31),1,0)</f>
        <v>0</v>
      </c>
      <c r="AD18" s="110">
        <f>IF(AND('Resultats - informe'!X18&gt;='Introducció dades generals'!$E$33,'Resultats - informe'!X18&lt;='Introducció dades generals'!$J$33),1,0)</f>
        <v>0</v>
      </c>
      <c r="AE18" s="110">
        <f>IF(AND('Resultats - informe'!X18&gt;='Introducció dades generals'!$E$35,'Resultats - informe'!X18&lt;='Introducció dades generals'!$J$35),1,0)</f>
        <v>0</v>
      </c>
      <c r="AF18" s="110">
        <f>IF(AND('Resultats - informe'!X18&gt;='Introducció dades generals'!$E$37,'Resultats - informe'!X18&lt;='Introducció dades generals'!$J$37),1,0)</f>
        <v>0</v>
      </c>
      <c r="AG18" s="345">
        <f t="shared" ref="AG18:AG42" si="2">SUM(Z18:AF18)</f>
        <v>0</v>
      </c>
      <c r="AN18" s="294">
        <f>F27*24</f>
        <v>24</v>
      </c>
      <c r="AO18" s="186">
        <f>+COUNTIFS('Introducció dades consum'!$C:$C,"&gt;="&amp;'Resultats - informe'!D27,'Introducció dades consum'!$C:$C,"&lt;="&amp;'Resultats - informe'!E27)</f>
        <v>0</v>
      </c>
      <c r="AP18" s="302">
        <f>+AO18/AN18</f>
        <v>0</v>
      </c>
      <c r="AQ18" s="303">
        <f>+_xlfn.MAXIFS('Introducció dades consum'!$E:$E,'Introducció dades consum'!$C:$C,_xlfn.CONCAT("&gt;=",'Resultats - informe'!D27),'Introducció dades consum'!$C:$C,_xlfn.CONCAT("&lt;=",'Resultats - informe'!E27))</f>
        <v>0</v>
      </c>
      <c r="AR18" s="304" t="e">
        <f>+AQ18/H27</f>
        <v>#VALUE!</v>
      </c>
      <c r="AS18" s="304">
        <v>1</v>
      </c>
      <c r="AT18" s="303" t="e">
        <f>+AS18*H27</f>
        <v>#VALUE!</v>
      </c>
      <c r="AU18" s="289">
        <f>+COUNTIFS('Introducció dades consum'!$C:$C,"&gt;="&amp;'Resultats - informe'!D27,'Introducció dades consum'!$C:$C,"&lt;="&amp;'Resultats - informe'!E27,'Introducció dades consum'!$E:$E,"&gt;"&amp;AT18)</f>
        <v>0</v>
      </c>
      <c r="AV18" s="304" t="e">
        <f>+AU18/AO18</f>
        <v>#DIV/0!</v>
      </c>
    </row>
    <row r="19" spans="1:50" ht="24.6" thickTop="1" thickBot="1" x14ac:dyDescent="0.5">
      <c r="A19" s="70"/>
      <c r="B19" s="74"/>
      <c r="C19" s="74"/>
      <c r="D19" s="82" t="s">
        <v>90</v>
      </c>
      <c r="E19" s="79">
        <f>+SUM('Introducció dades consum'!$L:$L)</f>
        <v>8958</v>
      </c>
      <c r="F19" s="80">
        <f>+E19/E18</f>
        <v>373.25</v>
      </c>
      <c r="G19" s="74"/>
      <c r="H19" s="74"/>
      <c r="I19" s="74"/>
      <c r="J19" s="74"/>
      <c r="K19" s="404">
        <f>K18+1/24</f>
        <v>4.1666666666666664E-2</v>
      </c>
      <c r="L19" s="402">
        <f t="shared" ref="L19:L41" si="3">+Z19</f>
        <v>0</v>
      </c>
      <c r="M19" s="402">
        <f t="shared" si="0"/>
        <v>0</v>
      </c>
      <c r="N19" s="402">
        <f t="shared" si="0"/>
        <v>0</v>
      </c>
      <c r="O19" s="402">
        <f t="shared" si="0"/>
        <v>0</v>
      </c>
      <c r="P19" s="402">
        <f t="shared" si="0"/>
        <v>0</v>
      </c>
      <c r="Q19" s="402">
        <f t="shared" si="0"/>
        <v>0</v>
      </c>
      <c r="R19" s="402">
        <f t="shared" si="0"/>
        <v>0</v>
      </c>
      <c r="S19" s="403">
        <f t="shared" si="1"/>
        <v>0</v>
      </c>
      <c r="T19" s="255"/>
      <c r="U19" s="74"/>
      <c r="V19" s="70"/>
      <c r="X19" s="341">
        <f>X18+1/24</f>
        <v>4.1666666666666664E-2</v>
      </c>
      <c r="Y19" s="342">
        <f>Y18+1</f>
        <v>1</v>
      </c>
      <c r="Z19" s="110">
        <f>IF(AND('Resultats - informe'!X19&gt;='Introducció dades generals'!$E$25,'Resultats - informe'!X19&lt;='Introducció dades generals'!$J$25),1,0)</f>
        <v>0</v>
      </c>
      <c r="AA19" s="110">
        <f>IF(AND('Resultats - informe'!X19&gt;='Introducció dades generals'!$E$27,'Resultats - informe'!X19&lt;='Introducció dades generals'!$J$27),1,0)</f>
        <v>0</v>
      </c>
      <c r="AB19" s="110">
        <f>IF(AND('Resultats - informe'!X19&gt;='Introducció dades generals'!$E$29,'Resultats - informe'!X19&lt;='Introducció dades generals'!$J$29),1,0)</f>
        <v>0</v>
      </c>
      <c r="AC19" s="110">
        <f>IF(AND('Resultats - informe'!X19&gt;='Introducció dades generals'!$E$31,'Resultats - informe'!X19&lt;='Introducció dades generals'!$J$31),1,0)</f>
        <v>0</v>
      </c>
      <c r="AD19" s="110">
        <f>IF(AND('Resultats - informe'!X19&gt;='Introducció dades generals'!$E$33,'Resultats - informe'!X19&lt;='Introducció dades generals'!$J$33),1,0)</f>
        <v>0</v>
      </c>
      <c r="AE19" s="110">
        <f>IF(AND('Resultats - informe'!X19&gt;='Introducció dades generals'!$E$35,'Resultats - informe'!X19&lt;='Introducció dades generals'!$J$35),1,0)</f>
        <v>0</v>
      </c>
      <c r="AF19" s="110">
        <f>IF(AND('Resultats - informe'!X19&gt;='Introducció dades generals'!$E$37,'Resultats - informe'!X19&lt;='Introducció dades generals'!$J$37),1,0)</f>
        <v>0</v>
      </c>
      <c r="AG19" s="345">
        <f t="shared" si="2"/>
        <v>0</v>
      </c>
      <c r="AN19" s="294">
        <f>F28*24</f>
        <v>24</v>
      </c>
      <c r="AO19" s="295">
        <f>+COUNTIFS('Introducció dades consum'!$C:$C,"&gt;="&amp;'Resultats - informe'!D28,'Introducció dades consum'!$C:$C,"&lt;="&amp;'Resultats - informe'!E28)</f>
        <v>0</v>
      </c>
      <c r="AP19" s="296">
        <f>+AO19/AN19</f>
        <v>0</v>
      </c>
      <c r="AQ19" s="297">
        <f>+_xlfn.MAXIFS('Introducció dades consum'!$E:$E,'Introducció dades consum'!$C:$C,_xlfn.CONCAT("&gt;=",'Resultats - informe'!D28),'Introducció dades consum'!$C:$C,_xlfn.CONCAT("&lt;=",'Resultats - informe'!E28))</f>
        <v>0</v>
      </c>
      <c r="AR19" s="298" t="e">
        <f>+AQ19/H28</f>
        <v>#VALUE!</v>
      </c>
      <c r="AS19" s="298">
        <v>1</v>
      </c>
      <c r="AT19" s="297" t="e">
        <f>+AS19*H28</f>
        <v>#VALUE!</v>
      </c>
      <c r="AU19" s="299">
        <f>+COUNTIFS('Introducció dades consum'!$C:$C,"&gt;="&amp;'Resultats - informe'!D28,'Introducció dades consum'!$C:$C,"&lt;="&amp;'Resultats - informe'!E28,'Introducció dades consum'!$E:$E,"&gt;"&amp;AT19)</f>
        <v>0</v>
      </c>
      <c r="AV19" s="300" t="e">
        <f>+AU19/AO19</f>
        <v>#DIV/0!</v>
      </c>
      <c r="AX19" s="184" t="s">
        <v>117</v>
      </c>
    </row>
    <row r="20" spans="1:50" ht="24.6" thickTop="1" thickBot="1" x14ac:dyDescent="0.5">
      <c r="A20" s="70"/>
      <c r="B20" s="74"/>
      <c r="C20" s="74"/>
      <c r="D20" s="82" t="s">
        <v>98</v>
      </c>
      <c r="E20" s="79">
        <f>+COUNTIFS('Introducció dades consum'!$K:$K,"&lt;6",'Introducció dades consum'!$L:$L,1)/24</f>
        <v>0</v>
      </c>
      <c r="F20" s="80"/>
      <c r="G20" s="74"/>
      <c r="H20" s="74"/>
      <c r="I20" s="74"/>
      <c r="J20" s="74"/>
      <c r="K20" s="404">
        <f t="shared" ref="K20:K40" si="4">K19+1/24</f>
        <v>8.3333333333333329E-2</v>
      </c>
      <c r="L20" s="402">
        <f t="shared" si="3"/>
        <v>0</v>
      </c>
      <c r="M20" s="402">
        <f t="shared" si="0"/>
        <v>0</v>
      </c>
      <c r="N20" s="402">
        <f t="shared" si="0"/>
        <v>0</v>
      </c>
      <c r="O20" s="402">
        <f t="shared" si="0"/>
        <v>0</v>
      </c>
      <c r="P20" s="402">
        <f t="shared" si="0"/>
        <v>0</v>
      </c>
      <c r="Q20" s="402">
        <f t="shared" si="0"/>
        <v>0</v>
      </c>
      <c r="R20" s="402">
        <f t="shared" si="0"/>
        <v>0</v>
      </c>
      <c r="S20" s="403">
        <f t="shared" si="1"/>
        <v>0</v>
      </c>
      <c r="T20" s="255"/>
      <c r="U20" s="74"/>
      <c r="V20" s="70"/>
      <c r="X20" s="341">
        <f t="shared" ref="X20:X42" si="5">X19+1/24</f>
        <v>8.3333333333333329E-2</v>
      </c>
      <c r="Y20" s="342">
        <f t="shared" ref="Y20:Y42" si="6">Y19+1</f>
        <v>2</v>
      </c>
      <c r="Z20" s="110">
        <f>IF(AND('Resultats - informe'!X20&gt;='Introducció dades generals'!$E$25,'Resultats - informe'!X20&lt;='Introducció dades generals'!$J$25),1,0)</f>
        <v>0</v>
      </c>
      <c r="AA20" s="110">
        <f>IF(AND('Resultats - informe'!X20&gt;='Introducció dades generals'!$E$27,'Resultats - informe'!X20&lt;='Introducció dades generals'!$J$27),1,0)</f>
        <v>0</v>
      </c>
      <c r="AB20" s="110">
        <f>IF(AND('Resultats - informe'!X20&gt;='Introducció dades generals'!$E$29,'Resultats - informe'!X20&lt;='Introducció dades generals'!$J$29),1,0)</f>
        <v>0</v>
      </c>
      <c r="AC20" s="110">
        <f>IF(AND('Resultats - informe'!X20&gt;='Introducció dades generals'!$E$31,'Resultats - informe'!X20&lt;='Introducció dades generals'!$J$31),1,0)</f>
        <v>0</v>
      </c>
      <c r="AD20" s="110">
        <f>IF(AND('Resultats - informe'!X20&gt;='Introducció dades generals'!$E$33,'Resultats - informe'!X20&lt;='Introducció dades generals'!$J$33),1,0)</f>
        <v>0</v>
      </c>
      <c r="AE20" s="110">
        <f>IF(AND('Resultats - informe'!X20&gt;='Introducció dades generals'!$E$35,'Resultats - informe'!X20&lt;='Introducció dades generals'!$J$35),1,0)</f>
        <v>0</v>
      </c>
      <c r="AF20" s="110">
        <f>IF(AND('Resultats - informe'!X20&gt;='Introducció dades generals'!$E$37,'Resultats - informe'!X20&lt;='Introducció dades generals'!$J$37),1,0)</f>
        <v>0</v>
      </c>
      <c r="AG20" s="345">
        <f t="shared" si="2"/>
        <v>0</v>
      </c>
      <c r="AN20" s="294">
        <f>F29*24</f>
        <v>24</v>
      </c>
      <c r="AO20" s="295">
        <f>+COUNTIFS('Introducció dades consum'!$C:$C,"&gt;="&amp;'Resultats - informe'!D29,'Introducció dades consum'!$C:$C,"&lt;="&amp;'Resultats - informe'!E29)</f>
        <v>0</v>
      </c>
      <c r="AP20" s="296">
        <f>+AO20/AN20</f>
        <v>0</v>
      </c>
      <c r="AQ20" s="297">
        <f>+_xlfn.MAXIFS('Introducció dades consum'!$E:$E,'Introducció dades consum'!$C:$C,_xlfn.CONCAT("&gt;=",'Resultats - informe'!D29),'Introducció dades consum'!$C:$C,_xlfn.CONCAT("&lt;=",'Resultats - informe'!E29))</f>
        <v>0</v>
      </c>
      <c r="AR20" s="298" t="e">
        <f>+AQ20/H29</f>
        <v>#VALUE!</v>
      </c>
      <c r="AS20" s="298">
        <v>2.5</v>
      </c>
      <c r="AT20" s="297" t="e">
        <f>+AS20*H29</f>
        <v>#VALUE!</v>
      </c>
      <c r="AU20" s="299">
        <f>+COUNTIFS('Introducció dades consum'!$C:$C,"&gt;="&amp;'Resultats - informe'!D29,'Introducció dades consum'!$C:$C,"&lt;="&amp;'Resultats - informe'!E29,'Introducció dades consum'!$E:$E,"&gt;"&amp;AT20)</f>
        <v>0</v>
      </c>
      <c r="AV20" s="300" t="e">
        <f>+AU20/AO20</f>
        <v>#DIV/0!</v>
      </c>
    </row>
    <row r="21" spans="1:50" ht="24.6" thickTop="1" thickBot="1" x14ac:dyDescent="0.5">
      <c r="A21" s="70"/>
      <c r="B21" s="74"/>
      <c r="C21" s="74"/>
      <c r="D21" s="82" t="s">
        <v>99</v>
      </c>
      <c r="E21" s="79">
        <f>E17-E20</f>
        <v>1</v>
      </c>
      <c r="F21" s="80"/>
      <c r="G21" s="74"/>
      <c r="H21" s="74"/>
      <c r="I21" s="74"/>
      <c r="J21" s="74"/>
      <c r="K21" s="404">
        <f t="shared" si="4"/>
        <v>0.125</v>
      </c>
      <c r="L21" s="402">
        <f t="shared" si="3"/>
        <v>0</v>
      </c>
      <c r="M21" s="402">
        <f t="shared" si="0"/>
        <v>0</v>
      </c>
      <c r="N21" s="402">
        <f t="shared" si="0"/>
        <v>0</v>
      </c>
      <c r="O21" s="402">
        <f t="shared" si="0"/>
        <v>0</v>
      </c>
      <c r="P21" s="402">
        <f t="shared" si="0"/>
        <v>0</v>
      </c>
      <c r="Q21" s="402">
        <f t="shared" si="0"/>
        <v>0</v>
      </c>
      <c r="R21" s="402">
        <f t="shared" si="0"/>
        <v>0</v>
      </c>
      <c r="S21" s="403">
        <f t="shared" si="1"/>
        <v>0</v>
      </c>
      <c r="T21" s="255"/>
      <c r="U21" s="74"/>
      <c r="V21" s="70"/>
      <c r="X21" s="341">
        <f t="shared" si="5"/>
        <v>0.125</v>
      </c>
      <c r="Y21" s="342">
        <f t="shared" si="6"/>
        <v>3</v>
      </c>
      <c r="Z21" s="110">
        <f>IF(AND('Resultats - informe'!X21&gt;='Introducció dades generals'!$E$25,'Resultats - informe'!X21&lt;='Introducció dades generals'!$J$25),1,0)</f>
        <v>0</v>
      </c>
      <c r="AA21" s="110">
        <f>IF(AND('Resultats - informe'!X21&gt;='Introducció dades generals'!$E$27,'Resultats - informe'!X21&lt;='Introducció dades generals'!$J$27),1,0)</f>
        <v>0</v>
      </c>
      <c r="AB21" s="110">
        <f>IF(AND('Resultats - informe'!X21&gt;='Introducció dades generals'!$E$29,'Resultats - informe'!X21&lt;='Introducció dades generals'!$J$29),1,0)</f>
        <v>0</v>
      </c>
      <c r="AC21" s="110">
        <f>IF(AND('Resultats - informe'!X21&gt;='Introducció dades generals'!$E$31,'Resultats - informe'!X21&lt;='Introducció dades generals'!$J$31),1,0)</f>
        <v>0</v>
      </c>
      <c r="AD21" s="110">
        <f>IF(AND('Resultats - informe'!X21&gt;='Introducció dades generals'!$E$33,'Resultats - informe'!X21&lt;='Introducció dades generals'!$J$33),1,0)</f>
        <v>0</v>
      </c>
      <c r="AE21" s="110">
        <f>IF(AND('Resultats - informe'!X21&gt;='Introducció dades generals'!$E$35,'Resultats - informe'!X21&lt;='Introducció dades generals'!$J$35),1,0)</f>
        <v>0</v>
      </c>
      <c r="AF21" s="110">
        <f>IF(AND('Resultats - informe'!X21&gt;='Introducció dades generals'!$E$37,'Resultats - informe'!X21&lt;='Introducció dades generals'!$J$37),1,0)</f>
        <v>0</v>
      </c>
      <c r="AG21" s="345">
        <f t="shared" si="2"/>
        <v>0</v>
      </c>
    </row>
    <row r="22" spans="1:50" ht="24.6" thickTop="1" thickBot="1" x14ac:dyDescent="0.5">
      <c r="A22" s="70"/>
      <c r="B22" s="74"/>
      <c r="C22" s="74"/>
      <c r="D22" s="77"/>
      <c r="E22" s="78"/>
      <c r="F22" s="77"/>
      <c r="G22" s="74"/>
      <c r="H22" s="74"/>
      <c r="I22" s="74"/>
      <c r="J22" s="74"/>
      <c r="K22" s="404">
        <f t="shared" si="4"/>
        <v>0.16666666666666666</v>
      </c>
      <c r="L22" s="402">
        <f t="shared" si="3"/>
        <v>0</v>
      </c>
      <c r="M22" s="402">
        <f t="shared" si="0"/>
        <v>0</v>
      </c>
      <c r="N22" s="402">
        <f t="shared" si="0"/>
        <v>0</v>
      </c>
      <c r="O22" s="402">
        <f t="shared" si="0"/>
        <v>0</v>
      </c>
      <c r="P22" s="402">
        <f t="shared" si="0"/>
        <v>0</v>
      </c>
      <c r="Q22" s="402">
        <f t="shared" si="0"/>
        <v>0</v>
      </c>
      <c r="R22" s="402">
        <f t="shared" si="0"/>
        <v>0</v>
      </c>
      <c r="S22" s="403">
        <f t="shared" si="1"/>
        <v>0</v>
      </c>
      <c r="T22" s="255"/>
      <c r="U22" s="74"/>
      <c r="V22" s="70"/>
      <c r="X22" s="341">
        <f t="shared" si="5"/>
        <v>0.16666666666666666</v>
      </c>
      <c r="Y22" s="342">
        <f t="shared" si="6"/>
        <v>4</v>
      </c>
      <c r="Z22" s="110">
        <f>IF(AND('Resultats - informe'!X22&gt;='Introducció dades generals'!$E$25,'Resultats - informe'!X22&lt;='Introducció dades generals'!$J$25),1,0)</f>
        <v>0</v>
      </c>
      <c r="AA22" s="110">
        <f>IF(AND('Resultats - informe'!X22&gt;='Introducció dades generals'!$E$27,'Resultats - informe'!X22&lt;='Introducció dades generals'!$J$27),1,0)</f>
        <v>0</v>
      </c>
      <c r="AB22" s="110">
        <f>IF(AND('Resultats - informe'!X22&gt;='Introducció dades generals'!$E$29,'Resultats - informe'!X22&lt;='Introducció dades generals'!$J$29),1,0)</f>
        <v>0</v>
      </c>
      <c r="AC22" s="110">
        <f>IF(AND('Resultats - informe'!X22&gt;='Introducció dades generals'!$E$31,'Resultats - informe'!X22&lt;='Introducció dades generals'!$J$31),1,0)</f>
        <v>0</v>
      </c>
      <c r="AD22" s="110">
        <f>IF(AND('Resultats - informe'!X22&gt;='Introducció dades generals'!$E$33,'Resultats - informe'!X22&lt;='Introducció dades generals'!$J$33),1,0)</f>
        <v>0</v>
      </c>
      <c r="AE22" s="110">
        <f>IF(AND('Resultats - informe'!X22&gt;='Introducció dades generals'!$E$35,'Resultats - informe'!X22&lt;='Introducció dades generals'!$J$35),1,0)</f>
        <v>0</v>
      </c>
      <c r="AF22" s="110">
        <f>IF(AND('Resultats - informe'!X22&gt;='Introducció dades generals'!$E$37,'Resultats - informe'!X22&lt;='Introducció dades generals'!$J$37),1,0)</f>
        <v>0</v>
      </c>
      <c r="AG22" s="345">
        <f t="shared" si="2"/>
        <v>0</v>
      </c>
      <c r="AN22" s="184" t="s">
        <v>100</v>
      </c>
      <c r="AO22" s="288"/>
      <c r="AP22" s="288"/>
      <c r="AQ22" s="288"/>
      <c r="AR22" s="288"/>
      <c r="AS22" s="288"/>
      <c r="AT22" s="288"/>
      <c r="AU22" s="288"/>
      <c r="AV22" s="288"/>
    </row>
    <row r="23" spans="1:50" ht="22.65" customHeight="1" thickTop="1" thickBot="1" x14ac:dyDescent="0.5">
      <c r="A23" s="70"/>
      <c r="B23" s="74"/>
      <c r="C23" s="222" t="s">
        <v>232</v>
      </c>
      <c r="D23" s="222"/>
      <c r="E23" s="222"/>
      <c r="F23" s="222"/>
      <c r="G23" s="222"/>
      <c r="H23" s="222"/>
      <c r="I23" s="222"/>
      <c r="J23" s="74"/>
      <c r="K23" s="404">
        <f t="shared" si="4"/>
        <v>0.20833333333333331</v>
      </c>
      <c r="L23" s="402">
        <f t="shared" si="3"/>
        <v>0</v>
      </c>
      <c r="M23" s="402">
        <f t="shared" si="0"/>
        <v>0</v>
      </c>
      <c r="N23" s="402">
        <f t="shared" si="0"/>
        <v>0</v>
      </c>
      <c r="O23" s="402">
        <f t="shared" si="0"/>
        <v>0</v>
      </c>
      <c r="P23" s="402">
        <f t="shared" si="0"/>
        <v>0</v>
      </c>
      <c r="Q23" s="402">
        <f t="shared" si="0"/>
        <v>0</v>
      </c>
      <c r="R23" s="402">
        <f t="shared" si="0"/>
        <v>0</v>
      </c>
      <c r="S23" s="403">
        <f t="shared" si="1"/>
        <v>0</v>
      </c>
      <c r="T23" s="255"/>
      <c r="U23" s="74"/>
      <c r="V23" s="70"/>
      <c r="X23" s="341">
        <f t="shared" si="5"/>
        <v>0.20833333333333331</v>
      </c>
      <c r="Y23" s="342">
        <f t="shared" si="6"/>
        <v>5</v>
      </c>
      <c r="Z23" s="110">
        <f>IF(AND('Resultats - informe'!X23&gt;='Introducció dades generals'!$E$25,'Resultats - informe'!X23&lt;='Introducció dades generals'!$J$25),1,0)</f>
        <v>0</v>
      </c>
      <c r="AA23" s="110">
        <f>IF(AND('Resultats - informe'!X23&gt;='Introducció dades generals'!$E$27,'Resultats - informe'!X23&lt;='Introducció dades generals'!$J$27),1,0)</f>
        <v>0</v>
      </c>
      <c r="AB23" s="110">
        <f>IF(AND('Resultats - informe'!X23&gt;='Introducció dades generals'!$E$29,'Resultats - informe'!X23&lt;='Introducció dades generals'!$J$29),1,0)</f>
        <v>0</v>
      </c>
      <c r="AC23" s="110">
        <f>IF(AND('Resultats - informe'!X23&gt;='Introducció dades generals'!$E$31,'Resultats - informe'!X23&lt;='Introducció dades generals'!$J$31),1,0)</f>
        <v>0</v>
      </c>
      <c r="AD23" s="110">
        <f>IF(AND('Resultats - informe'!X23&gt;='Introducció dades generals'!$E$33,'Resultats - informe'!X23&lt;='Introducció dades generals'!$J$33),1,0)</f>
        <v>0</v>
      </c>
      <c r="AE23" s="110">
        <f>IF(AND('Resultats - informe'!X23&gt;='Introducció dades generals'!$E$35,'Resultats - informe'!X23&lt;='Introducció dades generals'!$J$35),1,0)</f>
        <v>0</v>
      </c>
      <c r="AF23" s="110">
        <f>IF(AND('Resultats - informe'!X23&gt;='Introducció dades generals'!$E$37,'Resultats - informe'!X23&lt;='Introducció dades generals'!$J$37),1,0)</f>
        <v>0</v>
      </c>
      <c r="AG23" s="345">
        <f t="shared" si="2"/>
        <v>0</v>
      </c>
      <c r="AO23" s="206">
        <v>1</v>
      </c>
      <c r="AP23" s="289">
        <v>2</v>
      </c>
      <c r="AQ23" s="206">
        <v>3</v>
      </c>
      <c r="AR23" s="289">
        <v>4</v>
      </c>
      <c r="AS23" s="206">
        <v>5</v>
      </c>
      <c r="AT23" s="289">
        <v>6</v>
      </c>
      <c r="AU23" s="206">
        <v>7</v>
      </c>
      <c r="AV23" s="210" t="s">
        <v>108</v>
      </c>
    </row>
    <row r="24" spans="1:50" ht="29.4" customHeight="1" thickTop="1" thickBot="1" x14ac:dyDescent="0.5">
      <c r="A24" s="70"/>
      <c r="B24" s="74"/>
      <c r="C24" s="98" t="s">
        <v>101</v>
      </c>
      <c r="D24" s="98" t="s">
        <v>102</v>
      </c>
      <c r="E24" s="98" t="s">
        <v>103</v>
      </c>
      <c r="F24" s="98" t="s">
        <v>86</v>
      </c>
      <c r="G24" s="437" t="s">
        <v>104</v>
      </c>
      <c r="H24" s="439" t="s">
        <v>105</v>
      </c>
      <c r="I24" s="98" t="s">
        <v>106</v>
      </c>
      <c r="J24" s="74"/>
      <c r="K24" s="404">
        <f t="shared" si="4"/>
        <v>0.24999999999999997</v>
      </c>
      <c r="L24" s="402">
        <f t="shared" si="3"/>
        <v>0</v>
      </c>
      <c r="M24" s="402">
        <f t="shared" si="0"/>
        <v>0</v>
      </c>
      <c r="N24" s="402">
        <f t="shared" si="0"/>
        <v>0</v>
      </c>
      <c r="O24" s="402">
        <f t="shared" si="0"/>
        <v>0</v>
      </c>
      <c r="P24" s="402">
        <f t="shared" si="0"/>
        <v>0</v>
      </c>
      <c r="Q24" s="402">
        <f t="shared" si="0"/>
        <v>0</v>
      </c>
      <c r="R24" s="402">
        <f t="shared" si="0"/>
        <v>0</v>
      </c>
      <c r="S24" s="403">
        <f t="shared" si="1"/>
        <v>0</v>
      </c>
      <c r="T24" s="255"/>
      <c r="U24" s="74"/>
      <c r="V24" s="70"/>
      <c r="X24" s="341">
        <f t="shared" si="5"/>
        <v>0.24999999999999997</v>
      </c>
      <c r="Y24" s="342">
        <f t="shared" si="6"/>
        <v>6</v>
      </c>
      <c r="Z24" s="110">
        <f>IF(AND('Resultats - informe'!X24&gt;='Introducció dades generals'!$E$25,'Resultats - informe'!X24&lt;='Introducció dades generals'!$J$25),1,0)</f>
        <v>0</v>
      </c>
      <c r="AA24" s="110">
        <f>IF(AND('Resultats - informe'!X24&gt;='Introducció dades generals'!$E$27,'Resultats - informe'!X24&lt;='Introducció dades generals'!$J$27),1,0)</f>
        <v>0</v>
      </c>
      <c r="AB24" s="110">
        <f>IF(AND('Resultats - informe'!X24&gt;='Introducció dades generals'!$E$29,'Resultats - informe'!X24&lt;='Introducció dades generals'!$J$29),1,0)</f>
        <v>0</v>
      </c>
      <c r="AC24" s="110">
        <f>IF(AND('Resultats - informe'!X24&gt;='Introducció dades generals'!$E$31,'Resultats - informe'!X24&lt;='Introducció dades generals'!$J$31),1,0)</f>
        <v>0</v>
      </c>
      <c r="AD24" s="110">
        <f>IF(AND('Resultats - informe'!X24&gt;='Introducció dades generals'!$E$33,'Resultats - informe'!X24&lt;='Introducció dades generals'!$J$33),1,0)</f>
        <v>0</v>
      </c>
      <c r="AE24" s="110">
        <f>IF(AND('Resultats - informe'!X24&gt;='Introducció dades generals'!$E$35,'Resultats - informe'!X24&lt;='Introducció dades generals'!$J$35),1,0)</f>
        <v>0</v>
      </c>
      <c r="AF24" s="110">
        <f>IF(AND('Resultats - informe'!X24&gt;='Introducció dades generals'!$E$37,'Resultats - informe'!X24&lt;='Introducció dades generals'!$J$37),1,0)</f>
        <v>0</v>
      </c>
      <c r="AG24" s="345">
        <f t="shared" si="2"/>
        <v>0</v>
      </c>
      <c r="AO24" s="293" t="s">
        <v>40</v>
      </c>
      <c r="AP24" s="289" t="s">
        <v>41</v>
      </c>
      <c r="AQ24" s="293" t="s">
        <v>42</v>
      </c>
      <c r="AR24" s="289" t="s">
        <v>43</v>
      </c>
      <c r="AS24" s="293" t="s">
        <v>44</v>
      </c>
      <c r="AT24" s="289" t="s">
        <v>45</v>
      </c>
      <c r="AU24" s="293" t="s">
        <v>46</v>
      </c>
      <c r="AV24" s="293" t="s">
        <v>116</v>
      </c>
    </row>
    <row r="25" spans="1:50" ht="24.6" thickTop="1" thickBot="1" x14ac:dyDescent="0.5">
      <c r="A25" s="70"/>
      <c r="B25" s="74"/>
      <c r="C25" s="99"/>
      <c r="D25" s="99"/>
      <c r="E25" s="99"/>
      <c r="F25" s="99"/>
      <c r="G25" s="438"/>
      <c r="H25" s="440"/>
      <c r="I25" s="278" t="s">
        <v>216</v>
      </c>
      <c r="J25" s="74"/>
      <c r="K25" s="404">
        <f t="shared" si="4"/>
        <v>0.29166666666666663</v>
      </c>
      <c r="L25" s="402">
        <f t="shared" si="3"/>
        <v>0</v>
      </c>
      <c r="M25" s="402">
        <f t="shared" si="0"/>
        <v>0</v>
      </c>
      <c r="N25" s="402">
        <f t="shared" si="0"/>
        <v>0</v>
      </c>
      <c r="O25" s="402">
        <f t="shared" si="0"/>
        <v>0</v>
      </c>
      <c r="P25" s="402">
        <f t="shared" si="0"/>
        <v>0</v>
      </c>
      <c r="Q25" s="402">
        <f t="shared" si="0"/>
        <v>0</v>
      </c>
      <c r="R25" s="402">
        <f t="shared" si="0"/>
        <v>0</v>
      </c>
      <c r="S25" s="405">
        <f t="shared" si="1"/>
        <v>0</v>
      </c>
      <c r="T25" s="255"/>
      <c r="U25" s="74"/>
      <c r="V25" s="70"/>
      <c r="X25" s="341">
        <f t="shared" si="5"/>
        <v>0.29166666666666663</v>
      </c>
      <c r="Y25" s="342">
        <f t="shared" si="6"/>
        <v>7</v>
      </c>
      <c r="Z25" s="110">
        <f>IF(AND('Resultats - informe'!X25&gt;='Introducció dades generals'!$E$25,'Resultats - informe'!X25&lt;='Introducció dades generals'!$J$25),1,0)</f>
        <v>0</v>
      </c>
      <c r="AA25" s="110">
        <f>IF(AND('Resultats - informe'!X25&gt;='Introducció dades generals'!$E$27,'Resultats - informe'!X25&lt;='Introducció dades generals'!$J$27),1,0)</f>
        <v>0</v>
      </c>
      <c r="AB25" s="110">
        <f>IF(AND('Resultats - informe'!X25&gt;='Introducció dades generals'!$E$29,'Resultats - informe'!X25&lt;='Introducció dades generals'!$J$29),1,0)</f>
        <v>0</v>
      </c>
      <c r="AC25" s="110">
        <f>IF(AND('Resultats - informe'!X25&gt;='Introducció dades generals'!$E$31,'Resultats - informe'!X25&lt;='Introducció dades generals'!$J$31),1,0)</f>
        <v>0</v>
      </c>
      <c r="AD25" s="110">
        <f>IF(AND('Resultats - informe'!X25&gt;='Introducció dades generals'!$E$33,'Resultats - informe'!X25&lt;='Introducció dades generals'!$J$33),1,0)</f>
        <v>0</v>
      </c>
      <c r="AE25" s="110">
        <f>IF(AND('Resultats - informe'!X25&gt;='Introducció dades generals'!$E$35,'Resultats - informe'!X25&lt;='Introducció dades generals'!$J$35),1,0)</f>
        <v>0</v>
      </c>
      <c r="AF25" s="110">
        <f>IF(AND('Resultats - informe'!X25&gt;='Introducció dades generals'!$E$37,'Resultats - informe'!X25&lt;='Introducció dades generals'!$J$37),1,0)</f>
        <v>0</v>
      </c>
      <c r="AG25" s="346">
        <f t="shared" si="2"/>
        <v>0</v>
      </c>
      <c r="AN25" s="192">
        <f>+Y18</f>
        <v>0</v>
      </c>
      <c r="AO25" s="194">
        <f t="shared" ref="AO25:AO49" si="7">+IF(Z18=0,1,0)</f>
        <v>1</v>
      </c>
      <c r="AP25" s="196">
        <f t="shared" ref="AP25:AP49" si="8">+IF(AA18=0,1,0)</f>
        <v>1</v>
      </c>
      <c r="AQ25" s="194">
        <f t="shared" ref="AQ25:AQ49" si="9">+IF(AB18=0,1,0)</f>
        <v>1</v>
      </c>
      <c r="AR25" s="196">
        <f t="shared" ref="AR25:AR49" si="10">+IF(AC18=0,1,0)</f>
        <v>1</v>
      </c>
      <c r="AS25" s="194">
        <f t="shared" ref="AS25:AS49" si="11">+IF(AD18=0,1,0)</f>
        <v>1</v>
      </c>
      <c r="AT25" s="196">
        <f t="shared" ref="AT25:AT49" si="12">+IF(AE18=0,1,0)</f>
        <v>1</v>
      </c>
      <c r="AU25" s="194">
        <f t="shared" ref="AU25:AU49" si="13">+IF(AF18=0,1,0)</f>
        <v>1</v>
      </c>
      <c r="AV25" s="198">
        <f t="shared" ref="AV25:AV44" si="14">SUM(AO25:AU25)</f>
        <v>7</v>
      </c>
    </row>
    <row r="26" spans="1:50" ht="24.6" thickTop="1" thickBot="1" x14ac:dyDescent="0.5">
      <c r="A26" s="70"/>
      <c r="B26" s="74"/>
      <c r="C26" s="100" t="str">
        <f>'Introducció dades generals'!C15</f>
        <v>reis</v>
      </c>
      <c r="D26" s="101">
        <f>'Introducció dades generals'!E15</f>
        <v>0</v>
      </c>
      <c r="E26" s="101">
        <f>'Introducció dades generals'!G15</f>
        <v>0</v>
      </c>
      <c r="F26" s="102">
        <f>_xlfn.DAYS(E26,D26)+1</f>
        <v>1</v>
      </c>
      <c r="G26" s="103">
        <f>+SUMIFS(energia,data,"&gt;="&amp;D26,data,"&lt;="&amp;E26)</f>
        <v>0</v>
      </c>
      <c r="H26" s="104" t="str">
        <f>IFERROR(G26/AO17,"")</f>
        <v/>
      </c>
      <c r="I26" s="105" t="str">
        <f>IFERROR((H26-MIN($H$26:$H$29))/H26,"")</f>
        <v/>
      </c>
      <c r="J26" s="74"/>
      <c r="K26" s="404">
        <f t="shared" si="4"/>
        <v>0.33333333333333331</v>
      </c>
      <c r="L26" s="402">
        <f t="shared" si="3"/>
        <v>0</v>
      </c>
      <c r="M26" s="402">
        <f t="shared" si="0"/>
        <v>0</v>
      </c>
      <c r="N26" s="402">
        <f t="shared" si="0"/>
        <v>0</v>
      </c>
      <c r="O26" s="402">
        <f t="shared" si="0"/>
        <v>0</v>
      </c>
      <c r="P26" s="402">
        <f t="shared" si="0"/>
        <v>0</v>
      </c>
      <c r="Q26" s="402">
        <f t="shared" si="0"/>
        <v>0</v>
      </c>
      <c r="R26" s="402">
        <f t="shared" si="0"/>
        <v>0</v>
      </c>
      <c r="S26" s="405">
        <f t="shared" si="1"/>
        <v>0</v>
      </c>
      <c r="T26" s="255"/>
      <c r="U26" s="74"/>
      <c r="V26" s="70"/>
      <c r="X26" s="341">
        <f t="shared" si="5"/>
        <v>0.33333333333333331</v>
      </c>
      <c r="Y26" s="342">
        <f t="shared" si="6"/>
        <v>8</v>
      </c>
      <c r="Z26" s="110">
        <f>IF(AND('Resultats - informe'!X26&gt;='Introducció dades generals'!$E$25,'Resultats - informe'!X26&lt;='Introducció dades generals'!$J$25),1,0)</f>
        <v>0</v>
      </c>
      <c r="AA26" s="110">
        <f>IF(AND('Resultats - informe'!X26&gt;='Introducció dades generals'!$E$27,'Resultats - informe'!X26&lt;='Introducció dades generals'!$J$27),1,0)</f>
        <v>0</v>
      </c>
      <c r="AB26" s="110">
        <f>IF(AND('Resultats - informe'!X26&gt;='Introducció dades generals'!$E$29,'Resultats - informe'!X26&lt;='Introducció dades generals'!$J$29),1,0)</f>
        <v>0</v>
      </c>
      <c r="AC26" s="110">
        <f>IF(AND('Resultats - informe'!X26&gt;='Introducció dades generals'!$E$31,'Resultats - informe'!X26&lt;='Introducció dades generals'!$J$31),1,0)</f>
        <v>0</v>
      </c>
      <c r="AD26" s="110">
        <f>IF(AND('Resultats - informe'!X26&gt;='Introducció dades generals'!$E$33,'Resultats - informe'!X26&lt;='Introducció dades generals'!$J$33),1,0)</f>
        <v>0</v>
      </c>
      <c r="AE26" s="110">
        <f>IF(AND('Resultats - informe'!X26&gt;='Introducció dades generals'!$E$35,'Resultats - informe'!X26&lt;='Introducció dades generals'!$J$35),1,0)</f>
        <v>0</v>
      </c>
      <c r="AF26" s="110">
        <f>IF(AND('Resultats - informe'!X26&gt;='Introducció dades generals'!$E$37,'Resultats - informe'!X26&lt;='Introducció dades generals'!$J$37),1,0)</f>
        <v>0</v>
      </c>
      <c r="AG26" s="346">
        <f t="shared" si="2"/>
        <v>0</v>
      </c>
      <c r="AN26" s="191">
        <f t="shared" ref="AN26:AN44" si="15">+AN25+1</f>
        <v>1</v>
      </c>
      <c r="AO26" s="193">
        <f t="shared" si="7"/>
        <v>1</v>
      </c>
      <c r="AP26" s="195">
        <f t="shared" si="8"/>
        <v>1</v>
      </c>
      <c r="AQ26" s="193">
        <f t="shared" si="9"/>
        <v>1</v>
      </c>
      <c r="AR26" s="195">
        <f t="shared" si="10"/>
        <v>1</v>
      </c>
      <c r="AS26" s="193">
        <f t="shared" si="11"/>
        <v>1</v>
      </c>
      <c r="AT26" s="195">
        <f t="shared" si="12"/>
        <v>1</v>
      </c>
      <c r="AU26" s="193">
        <f t="shared" si="13"/>
        <v>1</v>
      </c>
      <c r="AV26" s="197">
        <f t="shared" si="14"/>
        <v>7</v>
      </c>
    </row>
    <row r="27" spans="1:50" ht="24.6" thickTop="1" thickBot="1" x14ac:dyDescent="0.5">
      <c r="A27" s="70"/>
      <c r="B27" s="74"/>
      <c r="C27" s="100" t="str">
        <f>'Introducció dades generals'!C17</f>
        <v>Set Santa</v>
      </c>
      <c r="D27" s="101">
        <f>'Introducció dades generals'!E17</f>
        <v>0</v>
      </c>
      <c r="E27" s="101">
        <f>'Introducció dades generals'!G17</f>
        <v>0</v>
      </c>
      <c r="F27" s="102">
        <f>_xlfn.DAYS(E27,D27)+1</f>
        <v>1</v>
      </c>
      <c r="G27" s="103">
        <f>+SUMIFS(energia,data,"&gt;="&amp;D27,data,"&lt;="&amp;E27)</f>
        <v>0</v>
      </c>
      <c r="H27" s="104" t="str">
        <f>IFERROR(G27/AO18,"")</f>
        <v/>
      </c>
      <c r="I27" s="105" t="str">
        <f>IFERROR((H27-MIN($H$26:$H$29))/H27,"")</f>
        <v/>
      </c>
      <c r="J27" s="74"/>
      <c r="K27" s="404">
        <f t="shared" si="4"/>
        <v>0.375</v>
      </c>
      <c r="L27" s="402">
        <f t="shared" si="3"/>
        <v>0</v>
      </c>
      <c r="M27" s="402">
        <f t="shared" si="0"/>
        <v>0</v>
      </c>
      <c r="N27" s="402">
        <f t="shared" si="0"/>
        <v>0</v>
      </c>
      <c r="O27" s="402">
        <f t="shared" si="0"/>
        <v>0</v>
      </c>
      <c r="P27" s="402">
        <f t="shared" si="0"/>
        <v>0</v>
      </c>
      <c r="Q27" s="402">
        <f t="shared" si="0"/>
        <v>0</v>
      </c>
      <c r="R27" s="402">
        <f t="shared" si="0"/>
        <v>0</v>
      </c>
      <c r="S27" s="405">
        <f t="shared" si="1"/>
        <v>0</v>
      </c>
      <c r="T27" s="255"/>
      <c r="U27" s="74"/>
      <c r="V27" s="70"/>
      <c r="X27" s="341">
        <f t="shared" si="5"/>
        <v>0.375</v>
      </c>
      <c r="Y27" s="342">
        <f t="shared" si="6"/>
        <v>9</v>
      </c>
      <c r="Z27" s="110">
        <f>IF(AND('Resultats - informe'!X27&gt;='Introducció dades generals'!$E$25,'Resultats - informe'!X27&lt;='Introducció dades generals'!$J$25),1,0)</f>
        <v>0</v>
      </c>
      <c r="AA27" s="110">
        <f>IF(AND('Resultats - informe'!X27&gt;='Introducció dades generals'!$E$27,'Resultats - informe'!X27&lt;='Introducció dades generals'!$J$27),1,0)</f>
        <v>0</v>
      </c>
      <c r="AB27" s="110">
        <f>IF(AND('Resultats - informe'!X27&gt;='Introducció dades generals'!$E$29,'Resultats - informe'!X27&lt;='Introducció dades generals'!$J$29),1,0)</f>
        <v>0</v>
      </c>
      <c r="AC27" s="110">
        <f>IF(AND('Resultats - informe'!X27&gt;='Introducció dades generals'!$E$31,'Resultats - informe'!X27&lt;='Introducció dades generals'!$J$31),1,0)</f>
        <v>0</v>
      </c>
      <c r="AD27" s="110">
        <f>IF(AND('Resultats - informe'!X27&gt;='Introducció dades generals'!$E$33,'Resultats - informe'!X27&lt;='Introducció dades generals'!$J$33),1,0)</f>
        <v>0</v>
      </c>
      <c r="AE27" s="110">
        <f>IF(AND('Resultats - informe'!X27&gt;='Introducció dades generals'!$E$35,'Resultats - informe'!X27&lt;='Introducció dades generals'!$J$35),1,0)</f>
        <v>0</v>
      </c>
      <c r="AF27" s="110">
        <f>IF(AND('Resultats - informe'!X27&gt;='Introducció dades generals'!$E$37,'Resultats - informe'!X27&lt;='Introducció dades generals'!$J$37),1,0)</f>
        <v>0</v>
      </c>
      <c r="AG27" s="346">
        <f t="shared" si="2"/>
        <v>0</v>
      </c>
      <c r="AN27" s="192">
        <f t="shared" si="15"/>
        <v>2</v>
      </c>
      <c r="AO27" s="194">
        <f t="shared" si="7"/>
        <v>1</v>
      </c>
      <c r="AP27" s="196">
        <f t="shared" si="8"/>
        <v>1</v>
      </c>
      <c r="AQ27" s="194">
        <f t="shared" si="9"/>
        <v>1</v>
      </c>
      <c r="AR27" s="196">
        <f t="shared" si="10"/>
        <v>1</v>
      </c>
      <c r="AS27" s="194">
        <f t="shared" si="11"/>
        <v>1</v>
      </c>
      <c r="AT27" s="196">
        <f t="shared" si="12"/>
        <v>1</v>
      </c>
      <c r="AU27" s="194">
        <f t="shared" si="13"/>
        <v>1</v>
      </c>
      <c r="AV27" s="198">
        <f t="shared" si="14"/>
        <v>7</v>
      </c>
    </row>
    <row r="28" spans="1:50" ht="24.6" thickTop="1" thickBot="1" x14ac:dyDescent="0.5">
      <c r="A28" s="70"/>
      <c r="B28" s="74"/>
      <c r="C28" s="100" t="str">
        <f>'Introducció dades generals'!C19</f>
        <v>Pont Agost</v>
      </c>
      <c r="D28" s="101">
        <f>'Introducció dades generals'!E19</f>
        <v>0</v>
      </c>
      <c r="E28" s="101">
        <f>'Introducció dades generals'!G19</f>
        <v>0</v>
      </c>
      <c r="F28" s="102">
        <f>_xlfn.DAYS(E28,D28)+1</f>
        <v>1</v>
      </c>
      <c r="G28" s="103">
        <f>+SUMIFS(energia,data,"&gt;="&amp;D28,data,"&lt;="&amp;E28)</f>
        <v>0</v>
      </c>
      <c r="H28" s="104" t="str">
        <f>IFERROR(G28/AO19,"")</f>
        <v/>
      </c>
      <c r="I28" s="105" t="str">
        <f>IFERROR((H28-MIN($H$26:$H$29))/H28,"")</f>
        <v/>
      </c>
      <c r="J28" s="74"/>
      <c r="K28" s="404">
        <f t="shared" si="4"/>
        <v>0.41666666666666669</v>
      </c>
      <c r="L28" s="402">
        <f t="shared" si="3"/>
        <v>0</v>
      </c>
      <c r="M28" s="402">
        <f t="shared" si="0"/>
        <v>0</v>
      </c>
      <c r="N28" s="402">
        <f t="shared" si="0"/>
        <v>0</v>
      </c>
      <c r="O28" s="402">
        <f t="shared" si="0"/>
        <v>0</v>
      </c>
      <c r="P28" s="402">
        <f t="shared" si="0"/>
        <v>0</v>
      </c>
      <c r="Q28" s="402">
        <f t="shared" si="0"/>
        <v>0</v>
      </c>
      <c r="R28" s="402">
        <f t="shared" si="0"/>
        <v>0</v>
      </c>
      <c r="S28" s="405">
        <f t="shared" si="1"/>
        <v>0</v>
      </c>
      <c r="T28" s="255"/>
      <c r="U28" s="74"/>
      <c r="V28" s="70"/>
      <c r="X28" s="341">
        <f t="shared" si="5"/>
        <v>0.41666666666666669</v>
      </c>
      <c r="Y28" s="342">
        <f t="shared" si="6"/>
        <v>10</v>
      </c>
      <c r="Z28" s="110">
        <f>IF(AND('Resultats - informe'!X28&gt;='Introducció dades generals'!$E$25,'Resultats - informe'!X28&lt;='Introducció dades generals'!$J$25),1,0)</f>
        <v>0</v>
      </c>
      <c r="AA28" s="110">
        <f>IF(AND('Resultats - informe'!X28&gt;='Introducció dades generals'!$E$27,'Resultats - informe'!X28&lt;='Introducció dades generals'!$J$27),1,0)</f>
        <v>0</v>
      </c>
      <c r="AB28" s="110">
        <f>IF(AND('Resultats - informe'!X28&gt;='Introducció dades generals'!$E$29,'Resultats - informe'!X28&lt;='Introducció dades generals'!$J$29),1,0)</f>
        <v>0</v>
      </c>
      <c r="AC28" s="110">
        <f>IF(AND('Resultats - informe'!X28&gt;='Introducció dades generals'!$E$31,'Resultats - informe'!X28&lt;='Introducció dades generals'!$J$31),1,0)</f>
        <v>0</v>
      </c>
      <c r="AD28" s="110">
        <f>IF(AND('Resultats - informe'!X28&gt;='Introducció dades generals'!$E$33,'Resultats - informe'!X28&lt;='Introducció dades generals'!$J$33),1,0)</f>
        <v>0</v>
      </c>
      <c r="AE28" s="110">
        <f>IF(AND('Resultats - informe'!X28&gt;='Introducció dades generals'!$E$35,'Resultats - informe'!X28&lt;='Introducció dades generals'!$J$35),1,0)</f>
        <v>0</v>
      </c>
      <c r="AF28" s="110">
        <f>IF(AND('Resultats - informe'!X28&gt;='Introducció dades generals'!$E$37,'Resultats - informe'!X28&lt;='Introducció dades generals'!$J$37),1,0)</f>
        <v>0</v>
      </c>
      <c r="AG28" s="346">
        <f t="shared" si="2"/>
        <v>0</v>
      </c>
      <c r="AN28" s="191">
        <f t="shared" si="15"/>
        <v>3</v>
      </c>
      <c r="AO28" s="193">
        <f t="shared" si="7"/>
        <v>1</v>
      </c>
      <c r="AP28" s="195">
        <f t="shared" si="8"/>
        <v>1</v>
      </c>
      <c r="AQ28" s="193">
        <f t="shared" si="9"/>
        <v>1</v>
      </c>
      <c r="AR28" s="195">
        <f t="shared" si="10"/>
        <v>1</v>
      </c>
      <c r="AS28" s="193">
        <f t="shared" si="11"/>
        <v>1</v>
      </c>
      <c r="AT28" s="195">
        <f t="shared" si="12"/>
        <v>1</v>
      </c>
      <c r="AU28" s="193">
        <f t="shared" si="13"/>
        <v>1</v>
      </c>
      <c r="AV28" s="197">
        <f t="shared" si="14"/>
        <v>7</v>
      </c>
    </row>
    <row r="29" spans="1:50" ht="24.6" thickTop="1" thickBot="1" x14ac:dyDescent="0.5">
      <c r="A29" s="70"/>
      <c r="B29" s="74"/>
      <c r="C29" s="100" t="str">
        <f>'Introducció dades generals'!C21</f>
        <v>Nadal</v>
      </c>
      <c r="D29" s="101">
        <f>'Introducció dades generals'!E21</f>
        <v>0</v>
      </c>
      <c r="E29" s="101">
        <f>'Introducció dades generals'!G21</f>
        <v>0</v>
      </c>
      <c r="F29" s="102">
        <f>_xlfn.DAYS(E29,D29)+1</f>
        <v>1</v>
      </c>
      <c r="G29" s="103">
        <f>+SUMIFS(energia,data,"&gt;="&amp;D29,data,"&lt;="&amp;E29)</f>
        <v>0</v>
      </c>
      <c r="H29" s="104" t="str">
        <f>IFERROR(G29/AO20,"")</f>
        <v/>
      </c>
      <c r="I29" s="105" t="str">
        <f>IFERROR((H29-MIN($H$26:$H$29))/H29,"")</f>
        <v/>
      </c>
      <c r="J29" s="74"/>
      <c r="K29" s="404">
        <f t="shared" si="4"/>
        <v>0.45833333333333337</v>
      </c>
      <c r="L29" s="402">
        <f t="shared" si="3"/>
        <v>0</v>
      </c>
      <c r="M29" s="402">
        <f t="shared" si="0"/>
        <v>0</v>
      </c>
      <c r="N29" s="402">
        <f t="shared" si="0"/>
        <v>0</v>
      </c>
      <c r="O29" s="402">
        <f t="shared" si="0"/>
        <v>0</v>
      </c>
      <c r="P29" s="402">
        <f t="shared" si="0"/>
        <v>0</v>
      </c>
      <c r="Q29" s="402">
        <f t="shared" si="0"/>
        <v>0</v>
      </c>
      <c r="R29" s="402">
        <f t="shared" si="0"/>
        <v>0</v>
      </c>
      <c r="S29" s="405">
        <f t="shared" si="1"/>
        <v>0</v>
      </c>
      <c r="T29" s="255"/>
      <c r="U29" s="305"/>
      <c r="V29" s="70"/>
      <c r="X29" s="341">
        <f t="shared" si="5"/>
        <v>0.45833333333333337</v>
      </c>
      <c r="Y29" s="342">
        <f t="shared" si="6"/>
        <v>11</v>
      </c>
      <c r="Z29" s="110">
        <f>IF(AND('Resultats - informe'!X29&gt;='Introducció dades generals'!$E$25,'Resultats - informe'!X29&lt;='Introducció dades generals'!$J$25),1,0)</f>
        <v>0</v>
      </c>
      <c r="AA29" s="110">
        <f>IF(AND('Resultats - informe'!X29&gt;='Introducció dades generals'!$E$27,'Resultats - informe'!X29&lt;='Introducció dades generals'!$J$27),1,0)</f>
        <v>0</v>
      </c>
      <c r="AB29" s="110">
        <f>IF(AND('Resultats - informe'!X29&gt;='Introducció dades generals'!$E$29,'Resultats - informe'!X29&lt;='Introducció dades generals'!$J$29),1,0)</f>
        <v>0</v>
      </c>
      <c r="AC29" s="110">
        <f>IF(AND('Resultats - informe'!X29&gt;='Introducció dades generals'!$E$31,'Resultats - informe'!X29&lt;='Introducció dades generals'!$J$31),1,0)</f>
        <v>0</v>
      </c>
      <c r="AD29" s="110">
        <f>IF(AND('Resultats - informe'!X29&gt;='Introducció dades generals'!$E$33,'Resultats - informe'!X29&lt;='Introducció dades generals'!$J$33),1,0)</f>
        <v>0</v>
      </c>
      <c r="AE29" s="110">
        <f>IF(AND('Resultats - informe'!X29&gt;='Introducció dades generals'!$E$35,'Resultats - informe'!X29&lt;='Introducció dades generals'!$J$35),1,0)</f>
        <v>0</v>
      </c>
      <c r="AF29" s="110">
        <f>IF(AND('Resultats - informe'!X29&gt;='Introducció dades generals'!$E$37,'Resultats - informe'!X29&lt;='Introducció dades generals'!$J$37),1,0)</f>
        <v>0</v>
      </c>
      <c r="AG29" s="346">
        <f t="shared" si="2"/>
        <v>0</v>
      </c>
      <c r="AN29" s="192">
        <f t="shared" si="15"/>
        <v>4</v>
      </c>
      <c r="AO29" s="194">
        <f t="shared" si="7"/>
        <v>1</v>
      </c>
      <c r="AP29" s="196">
        <f t="shared" si="8"/>
        <v>1</v>
      </c>
      <c r="AQ29" s="194">
        <f t="shared" si="9"/>
        <v>1</v>
      </c>
      <c r="AR29" s="196">
        <f t="shared" si="10"/>
        <v>1</v>
      </c>
      <c r="AS29" s="194">
        <f t="shared" si="11"/>
        <v>1</v>
      </c>
      <c r="AT29" s="196">
        <f t="shared" si="12"/>
        <v>1</v>
      </c>
      <c r="AU29" s="194">
        <f t="shared" si="13"/>
        <v>1</v>
      </c>
      <c r="AV29" s="198">
        <f t="shared" si="14"/>
        <v>7</v>
      </c>
    </row>
    <row r="30" spans="1:50" ht="24.6" thickTop="1" thickBot="1" x14ac:dyDescent="0.5">
      <c r="A30" s="70"/>
      <c r="B30" s="74"/>
      <c r="C30" s="74"/>
      <c r="D30" s="79"/>
      <c r="E30" s="80"/>
      <c r="F30" s="74"/>
      <c r="G30" s="283"/>
      <c r="H30" s="74"/>
      <c r="I30" s="74"/>
      <c r="J30" s="74"/>
      <c r="K30" s="404">
        <f t="shared" si="4"/>
        <v>0.5</v>
      </c>
      <c r="L30" s="402">
        <f t="shared" si="3"/>
        <v>0</v>
      </c>
      <c r="M30" s="402">
        <f t="shared" si="0"/>
        <v>0</v>
      </c>
      <c r="N30" s="402">
        <f t="shared" si="0"/>
        <v>0</v>
      </c>
      <c r="O30" s="402">
        <f t="shared" si="0"/>
        <v>0</v>
      </c>
      <c r="P30" s="402">
        <f t="shared" si="0"/>
        <v>0</v>
      </c>
      <c r="Q30" s="402">
        <f t="shared" si="0"/>
        <v>0</v>
      </c>
      <c r="R30" s="402">
        <f t="shared" si="0"/>
        <v>0</v>
      </c>
      <c r="S30" s="405">
        <f t="shared" si="1"/>
        <v>0</v>
      </c>
      <c r="T30" s="255"/>
      <c r="U30" s="74"/>
      <c r="V30" s="70"/>
      <c r="X30" s="341">
        <f t="shared" si="5"/>
        <v>0.5</v>
      </c>
      <c r="Y30" s="342">
        <f t="shared" si="6"/>
        <v>12</v>
      </c>
      <c r="Z30" s="110">
        <f>IF(AND('Resultats - informe'!X30&gt;='Introducció dades generals'!$E$25,'Resultats - informe'!X30&lt;='Introducció dades generals'!$J$25),1,0)</f>
        <v>0</v>
      </c>
      <c r="AA30" s="110">
        <f>IF(AND('Resultats - informe'!X30&gt;='Introducció dades generals'!$E$27,'Resultats - informe'!X30&lt;='Introducció dades generals'!$J$27),1,0)</f>
        <v>0</v>
      </c>
      <c r="AB30" s="110">
        <f>IF(AND('Resultats - informe'!X30&gt;='Introducció dades generals'!$E$29,'Resultats - informe'!X30&lt;='Introducció dades generals'!$J$29),1,0)</f>
        <v>0</v>
      </c>
      <c r="AC30" s="110">
        <f>IF(AND('Resultats - informe'!X30&gt;='Introducció dades generals'!$E$31,'Resultats - informe'!X30&lt;='Introducció dades generals'!$J$31),1,0)</f>
        <v>0</v>
      </c>
      <c r="AD30" s="110">
        <f>IF(AND('Resultats - informe'!X30&gt;='Introducció dades generals'!$E$33,'Resultats - informe'!X30&lt;='Introducció dades generals'!$J$33),1,0)</f>
        <v>0</v>
      </c>
      <c r="AE30" s="110">
        <f>IF(AND('Resultats - informe'!X30&gt;='Introducció dades generals'!$E$35,'Resultats - informe'!X30&lt;='Introducció dades generals'!$J$35),1,0)</f>
        <v>0</v>
      </c>
      <c r="AF30" s="110">
        <f>IF(AND('Resultats - informe'!X30&gt;='Introducció dades generals'!$E$37,'Resultats - informe'!X30&lt;='Introducció dades generals'!$J$37),1,0)</f>
        <v>0</v>
      </c>
      <c r="AG30" s="346">
        <f t="shared" si="2"/>
        <v>0</v>
      </c>
      <c r="AN30" s="191">
        <f t="shared" si="15"/>
        <v>5</v>
      </c>
      <c r="AO30" s="193">
        <f t="shared" si="7"/>
        <v>1</v>
      </c>
      <c r="AP30" s="195">
        <f t="shared" si="8"/>
        <v>1</v>
      </c>
      <c r="AQ30" s="193">
        <f t="shared" si="9"/>
        <v>1</v>
      </c>
      <c r="AR30" s="195">
        <f t="shared" si="10"/>
        <v>1</v>
      </c>
      <c r="AS30" s="193">
        <f t="shared" si="11"/>
        <v>1</v>
      </c>
      <c r="AT30" s="195">
        <f t="shared" si="12"/>
        <v>1</v>
      </c>
      <c r="AU30" s="193">
        <f t="shared" si="13"/>
        <v>1</v>
      </c>
      <c r="AV30" s="197">
        <f t="shared" si="14"/>
        <v>7</v>
      </c>
    </row>
    <row r="31" spans="1:50" ht="24.6" thickTop="1" thickBot="1" x14ac:dyDescent="0.5">
      <c r="A31" s="70"/>
      <c r="B31" s="74"/>
      <c r="C31" s="74"/>
      <c r="D31" s="74"/>
      <c r="E31" s="74"/>
      <c r="F31" s="74"/>
      <c r="G31" s="78"/>
      <c r="H31" s="306"/>
      <c r="I31" s="74"/>
      <c r="J31" s="74"/>
      <c r="K31" s="404">
        <f t="shared" si="4"/>
        <v>0.54166666666666663</v>
      </c>
      <c r="L31" s="402">
        <f t="shared" si="3"/>
        <v>0</v>
      </c>
      <c r="M31" s="402">
        <f t="shared" si="0"/>
        <v>0</v>
      </c>
      <c r="N31" s="402">
        <f t="shared" si="0"/>
        <v>0</v>
      </c>
      <c r="O31" s="402">
        <f t="shared" si="0"/>
        <v>0</v>
      </c>
      <c r="P31" s="402">
        <f t="shared" si="0"/>
        <v>0</v>
      </c>
      <c r="Q31" s="402">
        <f t="shared" si="0"/>
        <v>0</v>
      </c>
      <c r="R31" s="402">
        <f t="shared" si="0"/>
        <v>0</v>
      </c>
      <c r="S31" s="405">
        <f t="shared" si="1"/>
        <v>0</v>
      </c>
      <c r="T31" s="255"/>
      <c r="U31" s="74"/>
      <c r="V31" s="70"/>
      <c r="X31" s="341">
        <f t="shared" si="5"/>
        <v>0.54166666666666663</v>
      </c>
      <c r="Y31" s="342">
        <f t="shared" si="6"/>
        <v>13</v>
      </c>
      <c r="Z31" s="110">
        <f>IF(AND('Resultats - informe'!X31&gt;='Introducció dades generals'!$E$25,'Resultats - informe'!X31&lt;='Introducció dades generals'!$J$25),1,0)</f>
        <v>0</v>
      </c>
      <c r="AA31" s="110">
        <f>IF(AND('Resultats - informe'!X31&gt;='Introducció dades generals'!$E$27,'Resultats - informe'!X31&lt;='Introducció dades generals'!$J$27),1,0)</f>
        <v>0</v>
      </c>
      <c r="AB31" s="110">
        <f>IF(AND('Resultats - informe'!X31&gt;='Introducció dades generals'!$E$29,'Resultats - informe'!X31&lt;='Introducció dades generals'!$J$29),1,0)</f>
        <v>0</v>
      </c>
      <c r="AC31" s="110">
        <f>IF(AND('Resultats - informe'!X31&gt;='Introducció dades generals'!$E$31,'Resultats - informe'!X31&lt;='Introducció dades generals'!$J$31),1,0)</f>
        <v>0</v>
      </c>
      <c r="AD31" s="110">
        <f>IF(AND('Resultats - informe'!X31&gt;='Introducció dades generals'!$E$33,'Resultats - informe'!X31&lt;='Introducció dades generals'!$J$33),1,0)</f>
        <v>0</v>
      </c>
      <c r="AE31" s="110">
        <f>IF(AND('Resultats - informe'!X31&gt;='Introducció dades generals'!$E$35,'Resultats - informe'!X31&lt;='Introducció dades generals'!$J$35),1,0)</f>
        <v>0</v>
      </c>
      <c r="AF31" s="110">
        <f>IF(AND('Resultats - informe'!X31&gt;='Introducció dades generals'!$E$37,'Resultats - informe'!X31&lt;='Introducció dades generals'!$J$37),1,0)</f>
        <v>0</v>
      </c>
      <c r="AG31" s="346">
        <f t="shared" si="2"/>
        <v>0</v>
      </c>
      <c r="AN31" s="192">
        <f t="shared" si="15"/>
        <v>6</v>
      </c>
      <c r="AO31" s="194">
        <f t="shared" si="7"/>
        <v>1</v>
      </c>
      <c r="AP31" s="196">
        <f t="shared" si="8"/>
        <v>1</v>
      </c>
      <c r="AQ31" s="194">
        <f t="shared" si="9"/>
        <v>1</v>
      </c>
      <c r="AR31" s="196">
        <f t="shared" si="10"/>
        <v>1</v>
      </c>
      <c r="AS31" s="194">
        <f t="shared" si="11"/>
        <v>1</v>
      </c>
      <c r="AT31" s="196">
        <f t="shared" si="12"/>
        <v>1</v>
      </c>
      <c r="AU31" s="194">
        <f t="shared" si="13"/>
        <v>1</v>
      </c>
      <c r="AV31" s="198">
        <f t="shared" si="14"/>
        <v>7</v>
      </c>
    </row>
    <row r="32" spans="1:50" ht="24.6" customHeight="1" thickTop="1" thickBot="1" x14ac:dyDescent="0.5">
      <c r="A32" s="70"/>
      <c r="B32" s="74"/>
      <c r="C32" s="74"/>
      <c r="D32" s="74"/>
      <c r="E32" s="74"/>
      <c r="F32" s="74"/>
      <c r="G32" s="74"/>
      <c r="H32" s="306"/>
      <c r="I32" s="74"/>
      <c r="J32" s="74"/>
      <c r="K32" s="404">
        <f t="shared" si="4"/>
        <v>0.58333333333333326</v>
      </c>
      <c r="L32" s="402">
        <f t="shared" si="3"/>
        <v>0</v>
      </c>
      <c r="M32" s="402">
        <f t="shared" si="0"/>
        <v>0</v>
      </c>
      <c r="N32" s="402">
        <f t="shared" si="0"/>
        <v>0</v>
      </c>
      <c r="O32" s="402">
        <f t="shared" si="0"/>
        <v>0</v>
      </c>
      <c r="P32" s="402">
        <f t="shared" si="0"/>
        <v>0</v>
      </c>
      <c r="Q32" s="402">
        <f t="shared" si="0"/>
        <v>0</v>
      </c>
      <c r="R32" s="402">
        <f t="shared" si="0"/>
        <v>0</v>
      </c>
      <c r="S32" s="405">
        <f t="shared" si="1"/>
        <v>0</v>
      </c>
      <c r="T32" s="255"/>
      <c r="U32" s="74"/>
      <c r="V32" s="70"/>
      <c r="X32" s="341">
        <f t="shared" si="5"/>
        <v>0.58333333333333326</v>
      </c>
      <c r="Y32" s="342">
        <f t="shared" si="6"/>
        <v>14</v>
      </c>
      <c r="Z32" s="110">
        <f>IF(AND('Resultats - informe'!X32&gt;='Introducció dades generals'!$E$25,'Resultats - informe'!X32&lt;='Introducció dades generals'!$J$25),1,0)</f>
        <v>0</v>
      </c>
      <c r="AA32" s="110">
        <f>IF(AND('Resultats - informe'!X32&gt;='Introducció dades generals'!$E$27,'Resultats - informe'!X32&lt;='Introducció dades generals'!$J$27),1,0)</f>
        <v>0</v>
      </c>
      <c r="AB32" s="110">
        <f>IF(AND('Resultats - informe'!X32&gt;='Introducció dades generals'!$E$29,'Resultats - informe'!X32&lt;='Introducció dades generals'!$J$29),1,0)</f>
        <v>0</v>
      </c>
      <c r="AC32" s="110">
        <f>IF(AND('Resultats - informe'!X32&gt;='Introducció dades generals'!$E$31,'Resultats - informe'!X32&lt;='Introducció dades generals'!$J$31),1,0)</f>
        <v>0</v>
      </c>
      <c r="AD32" s="110">
        <f>IF(AND('Resultats - informe'!X32&gt;='Introducció dades generals'!$E$33,'Resultats - informe'!X32&lt;='Introducció dades generals'!$J$33),1,0)</f>
        <v>0</v>
      </c>
      <c r="AE32" s="110">
        <f>IF(AND('Resultats - informe'!X32&gt;='Introducció dades generals'!$E$35,'Resultats - informe'!X32&lt;='Introducció dades generals'!$J$35),1,0)</f>
        <v>0</v>
      </c>
      <c r="AF32" s="110">
        <f>IF(AND('Resultats - informe'!X32&gt;='Introducció dades generals'!$E$37,'Resultats - informe'!X32&lt;='Introducció dades generals'!$J$37),1,0)</f>
        <v>0</v>
      </c>
      <c r="AG32" s="346">
        <f t="shared" si="2"/>
        <v>0</v>
      </c>
      <c r="AN32" s="191">
        <f t="shared" si="15"/>
        <v>7</v>
      </c>
      <c r="AO32" s="193">
        <f t="shared" si="7"/>
        <v>1</v>
      </c>
      <c r="AP32" s="195">
        <f t="shared" si="8"/>
        <v>1</v>
      </c>
      <c r="AQ32" s="193">
        <f t="shared" si="9"/>
        <v>1</v>
      </c>
      <c r="AR32" s="195">
        <f t="shared" si="10"/>
        <v>1</v>
      </c>
      <c r="AS32" s="193">
        <f t="shared" si="11"/>
        <v>1</v>
      </c>
      <c r="AT32" s="195">
        <f t="shared" si="12"/>
        <v>1</v>
      </c>
      <c r="AU32" s="193">
        <f t="shared" si="13"/>
        <v>1</v>
      </c>
      <c r="AV32" s="197">
        <f t="shared" si="14"/>
        <v>7</v>
      </c>
    </row>
    <row r="33" spans="1:48" ht="24.6" thickTop="1" thickBot="1" x14ac:dyDescent="0.5">
      <c r="A33" s="70"/>
      <c r="B33" s="74"/>
      <c r="C33" s="74"/>
      <c r="D33" s="74"/>
      <c r="E33" s="74"/>
      <c r="F33" s="74"/>
      <c r="G33" s="74"/>
      <c r="H33" s="306"/>
      <c r="I33" s="74"/>
      <c r="J33" s="74"/>
      <c r="K33" s="404">
        <f t="shared" si="4"/>
        <v>0.62499999999999989</v>
      </c>
      <c r="L33" s="402">
        <f t="shared" si="3"/>
        <v>0</v>
      </c>
      <c r="M33" s="402">
        <f t="shared" si="0"/>
        <v>0</v>
      </c>
      <c r="N33" s="402">
        <f t="shared" si="0"/>
        <v>0</v>
      </c>
      <c r="O33" s="402">
        <f t="shared" si="0"/>
        <v>0</v>
      </c>
      <c r="P33" s="402">
        <f t="shared" si="0"/>
        <v>0</v>
      </c>
      <c r="Q33" s="402">
        <f t="shared" si="0"/>
        <v>0</v>
      </c>
      <c r="R33" s="402">
        <f t="shared" si="0"/>
        <v>0</v>
      </c>
      <c r="S33" s="405">
        <f t="shared" si="1"/>
        <v>0</v>
      </c>
      <c r="T33" s="255"/>
      <c r="U33" s="74"/>
      <c r="V33" s="70"/>
      <c r="X33" s="341">
        <f t="shared" si="5"/>
        <v>0.62499999999999989</v>
      </c>
      <c r="Y33" s="342">
        <f t="shared" si="6"/>
        <v>15</v>
      </c>
      <c r="Z33" s="110">
        <f>IF(AND('Resultats - informe'!X33&gt;='Introducció dades generals'!$E$25,'Resultats - informe'!X33&lt;='Introducció dades generals'!$J$25),1,0)</f>
        <v>0</v>
      </c>
      <c r="AA33" s="110">
        <f>IF(AND('Resultats - informe'!X33&gt;='Introducció dades generals'!$E$27,'Resultats - informe'!X33&lt;='Introducció dades generals'!$J$27),1,0)</f>
        <v>0</v>
      </c>
      <c r="AB33" s="110">
        <f>IF(AND('Resultats - informe'!X33&gt;='Introducció dades generals'!$E$29,'Resultats - informe'!X33&lt;='Introducció dades generals'!$J$29),1,0)</f>
        <v>0</v>
      </c>
      <c r="AC33" s="110">
        <f>IF(AND('Resultats - informe'!X33&gt;='Introducció dades generals'!$E$31,'Resultats - informe'!X33&lt;='Introducció dades generals'!$J$31),1,0)</f>
        <v>0</v>
      </c>
      <c r="AD33" s="110">
        <f>IF(AND('Resultats - informe'!X33&gt;='Introducció dades generals'!$E$33,'Resultats - informe'!X33&lt;='Introducció dades generals'!$J$33),1,0)</f>
        <v>0</v>
      </c>
      <c r="AE33" s="110">
        <f>IF(AND('Resultats - informe'!X33&gt;='Introducció dades generals'!$E$35,'Resultats - informe'!X33&lt;='Introducció dades generals'!$J$35),1,0)</f>
        <v>0</v>
      </c>
      <c r="AF33" s="110">
        <f>IF(AND('Resultats - informe'!X33&gt;='Introducció dades generals'!$E$37,'Resultats - informe'!X33&lt;='Introducció dades generals'!$J$37),1,0)</f>
        <v>0</v>
      </c>
      <c r="AG33" s="346">
        <f t="shared" si="2"/>
        <v>0</v>
      </c>
      <c r="AN33" s="192">
        <f t="shared" si="15"/>
        <v>8</v>
      </c>
      <c r="AO33" s="194">
        <f t="shared" si="7"/>
        <v>1</v>
      </c>
      <c r="AP33" s="196">
        <f t="shared" si="8"/>
        <v>1</v>
      </c>
      <c r="AQ33" s="194">
        <f t="shared" si="9"/>
        <v>1</v>
      </c>
      <c r="AR33" s="196">
        <f t="shared" si="10"/>
        <v>1</v>
      </c>
      <c r="AS33" s="194">
        <f t="shared" si="11"/>
        <v>1</v>
      </c>
      <c r="AT33" s="196">
        <f t="shared" si="12"/>
        <v>1</v>
      </c>
      <c r="AU33" s="194">
        <f t="shared" si="13"/>
        <v>1</v>
      </c>
      <c r="AV33" s="198">
        <f t="shared" si="14"/>
        <v>7</v>
      </c>
    </row>
    <row r="34" spans="1:48" ht="24.6" thickTop="1" thickBot="1" x14ac:dyDescent="0.5">
      <c r="A34" s="70"/>
      <c r="B34" s="74"/>
      <c r="C34" s="74"/>
      <c r="D34" s="74"/>
      <c r="E34" s="74"/>
      <c r="F34" s="74"/>
      <c r="G34" s="74"/>
      <c r="H34" s="306"/>
      <c r="I34" s="74"/>
      <c r="J34" s="74"/>
      <c r="K34" s="404">
        <f t="shared" si="4"/>
        <v>0.66666666666666652</v>
      </c>
      <c r="L34" s="402">
        <f t="shared" si="3"/>
        <v>0</v>
      </c>
      <c r="M34" s="402">
        <f t="shared" ref="M34:M41" si="16">+AA34</f>
        <v>0</v>
      </c>
      <c r="N34" s="402">
        <f t="shared" ref="N34:N41" si="17">+AB34</f>
        <v>0</v>
      </c>
      <c r="O34" s="402">
        <f t="shared" ref="O34:O41" si="18">+AC34</f>
        <v>0</v>
      </c>
      <c r="P34" s="402">
        <f t="shared" ref="P34:P41" si="19">+AD34</f>
        <v>0</v>
      </c>
      <c r="Q34" s="402">
        <f t="shared" ref="Q34:Q41" si="20">+AE34</f>
        <v>0</v>
      </c>
      <c r="R34" s="402">
        <f t="shared" ref="R34:R41" si="21">+AF34</f>
        <v>0</v>
      </c>
      <c r="S34" s="405">
        <f t="shared" si="1"/>
        <v>0</v>
      </c>
      <c r="T34" s="255"/>
      <c r="U34" s="74"/>
      <c r="V34" s="70"/>
      <c r="X34" s="341">
        <f t="shared" si="5"/>
        <v>0.66666666666666652</v>
      </c>
      <c r="Y34" s="342">
        <f t="shared" si="6"/>
        <v>16</v>
      </c>
      <c r="Z34" s="110">
        <f>IF(AND('Resultats - informe'!X34&gt;='Introducció dades generals'!$E$25,'Resultats - informe'!X34&lt;='Introducció dades generals'!$J$25),1,0)</f>
        <v>0</v>
      </c>
      <c r="AA34" s="110">
        <f>IF(AND('Resultats - informe'!X34&gt;='Introducció dades generals'!$E$27,'Resultats - informe'!X34&lt;='Introducció dades generals'!$J$27),1,0)</f>
        <v>0</v>
      </c>
      <c r="AB34" s="110">
        <f>IF(AND('Resultats - informe'!X34&gt;='Introducció dades generals'!$E$29,'Resultats - informe'!X34&lt;='Introducció dades generals'!$J$29),1,0)</f>
        <v>0</v>
      </c>
      <c r="AC34" s="110">
        <f>IF(AND('Resultats - informe'!X34&gt;='Introducció dades generals'!$E$31,'Resultats - informe'!X34&lt;='Introducció dades generals'!$J$31),1,0)</f>
        <v>0</v>
      </c>
      <c r="AD34" s="110">
        <f>IF(AND('Resultats - informe'!X34&gt;='Introducció dades generals'!$E$33,'Resultats - informe'!X34&lt;='Introducció dades generals'!$J$33),1,0)</f>
        <v>0</v>
      </c>
      <c r="AE34" s="110">
        <f>IF(AND('Resultats - informe'!X34&gt;='Introducció dades generals'!$E$35,'Resultats - informe'!X34&lt;='Introducció dades generals'!$J$35),1,0)</f>
        <v>0</v>
      </c>
      <c r="AF34" s="110">
        <f>IF(AND('Resultats - informe'!X34&gt;='Introducció dades generals'!$E$37,'Resultats - informe'!X34&lt;='Introducció dades generals'!$J$37),1,0)</f>
        <v>0</v>
      </c>
      <c r="AG34" s="346">
        <f t="shared" si="2"/>
        <v>0</v>
      </c>
      <c r="AN34" s="191">
        <f t="shared" si="15"/>
        <v>9</v>
      </c>
      <c r="AO34" s="193">
        <f t="shared" si="7"/>
        <v>1</v>
      </c>
      <c r="AP34" s="195">
        <f t="shared" si="8"/>
        <v>1</v>
      </c>
      <c r="AQ34" s="193">
        <f t="shared" si="9"/>
        <v>1</v>
      </c>
      <c r="AR34" s="195">
        <f t="shared" si="10"/>
        <v>1</v>
      </c>
      <c r="AS34" s="193">
        <f t="shared" si="11"/>
        <v>1</v>
      </c>
      <c r="AT34" s="195">
        <f t="shared" si="12"/>
        <v>1</v>
      </c>
      <c r="AU34" s="193">
        <f t="shared" si="13"/>
        <v>1</v>
      </c>
      <c r="AV34" s="197">
        <f t="shared" si="14"/>
        <v>7</v>
      </c>
    </row>
    <row r="35" spans="1:48" ht="24.6" thickTop="1" thickBot="1" x14ac:dyDescent="0.5">
      <c r="A35" s="70"/>
      <c r="B35" s="74"/>
      <c r="C35" s="74"/>
      <c r="D35" s="74"/>
      <c r="E35" s="74"/>
      <c r="F35" s="74"/>
      <c r="G35" s="74"/>
      <c r="H35" s="74"/>
      <c r="I35" s="74"/>
      <c r="J35" s="74"/>
      <c r="K35" s="404">
        <f t="shared" si="4"/>
        <v>0.70833333333333315</v>
      </c>
      <c r="L35" s="402">
        <f t="shared" si="3"/>
        <v>0</v>
      </c>
      <c r="M35" s="402">
        <f t="shared" si="16"/>
        <v>0</v>
      </c>
      <c r="N35" s="402">
        <f t="shared" si="17"/>
        <v>0</v>
      </c>
      <c r="O35" s="402">
        <f t="shared" si="18"/>
        <v>0</v>
      </c>
      <c r="P35" s="402">
        <f t="shared" si="19"/>
        <v>0</v>
      </c>
      <c r="Q35" s="402">
        <f t="shared" si="20"/>
        <v>0</v>
      </c>
      <c r="R35" s="402">
        <f t="shared" si="21"/>
        <v>0</v>
      </c>
      <c r="S35" s="405">
        <f t="shared" si="1"/>
        <v>0</v>
      </c>
      <c r="T35" s="255"/>
      <c r="U35" s="74"/>
      <c r="V35" s="70"/>
      <c r="X35" s="341">
        <f t="shared" si="5"/>
        <v>0.70833333333333315</v>
      </c>
      <c r="Y35" s="342">
        <f t="shared" si="6"/>
        <v>17</v>
      </c>
      <c r="Z35" s="110">
        <f>IF(AND('Resultats - informe'!X35&gt;='Introducció dades generals'!$E$25,'Resultats - informe'!X35&lt;='Introducció dades generals'!$J$25),1,0)</f>
        <v>0</v>
      </c>
      <c r="AA35" s="110">
        <f>IF(AND('Resultats - informe'!X35&gt;='Introducció dades generals'!$E$27,'Resultats - informe'!X35&lt;='Introducció dades generals'!$J$27),1,0)</f>
        <v>0</v>
      </c>
      <c r="AB35" s="110">
        <f>IF(AND('Resultats - informe'!X35&gt;='Introducció dades generals'!$E$29,'Resultats - informe'!X35&lt;='Introducció dades generals'!$J$29),1,0)</f>
        <v>0</v>
      </c>
      <c r="AC35" s="110">
        <f>IF(AND('Resultats - informe'!X35&gt;='Introducció dades generals'!$E$31,'Resultats - informe'!X35&lt;='Introducció dades generals'!$J$31),1,0)</f>
        <v>0</v>
      </c>
      <c r="AD35" s="110">
        <f>IF(AND('Resultats - informe'!X35&gt;='Introducció dades generals'!$E$33,'Resultats - informe'!X35&lt;='Introducció dades generals'!$J$33),1,0)</f>
        <v>0</v>
      </c>
      <c r="AE35" s="110">
        <f>IF(AND('Resultats - informe'!X35&gt;='Introducció dades generals'!$E$35,'Resultats - informe'!X35&lt;='Introducció dades generals'!$J$35),1,0)</f>
        <v>0</v>
      </c>
      <c r="AF35" s="110">
        <f>IF(AND('Resultats - informe'!X35&gt;='Introducció dades generals'!$E$37,'Resultats - informe'!X35&lt;='Introducció dades generals'!$J$37),1,0)</f>
        <v>0</v>
      </c>
      <c r="AG35" s="346">
        <f t="shared" si="2"/>
        <v>0</v>
      </c>
      <c r="AN35" s="192">
        <f t="shared" si="15"/>
        <v>10</v>
      </c>
      <c r="AO35" s="194">
        <f t="shared" si="7"/>
        <v>1</v>
      </c>
      <c r="AP35" s="196">
        <f t="shared" si="8"/>
        <v>1</v>
      </c>
      <c r="AQ35" s="194">
        <f t="shared" si="9"/>
        <v>1</v>
      </c>
      <c r="AR35" s="196">
        <f t="shared" si="10"/>
        <v>1</v>
      </c>
      <c r="AS35" s="194">
        <f t="shared" si="11"/>
        <v>1</v>
      </c>
      <c r="AT35" s="196">
        <f t="shared" si="12"/>
        <v>1</v>
      </c>
      <c r="AU35" s="194">
        <f t="shared" si="13"/>
        <v>1</v>
      </c>
      <c r="AV35" s="198">
        <f t="shared" si="14"/>
        <v>7</v>
      </c>
    </row>
    <row r="36" spans="1:48" ht="24.6" thickTop="1" thickBot="1" x14ac:dyDescent="0.5">
      <c r="A36" s="70"/>
      <c r="B36" s="74"/>
      <c r="C36" s="74"/>
      <c r="D36" s="74"/>
      <c r="E36" s="74"/>
      <c r="F36" s="74"/>
      <c r="G36" s="74"/>
      <c r="H36" s="74"/>
      <c r="I36" s="74"/>
      <c r="J36" s="74"/>
      <c r="K36" s="404">
        <f t="shared" si="4"/>
        <v>0.74999999999999978</v>
      </c>
      <c r="L36" s="402">
        <f t="shared" si="3"/>
        <v>0</v>
      </c>
      <c r="M36" s="402">
        <f t="shared" si="16"/>
        <v>0</v>
      </c>
      <c r="N36" s="402">
        <f t="shared" si="17"/>
        <v>0</v>
      </c>
      <c r="O36" s="402">
        <f t="shared" si="18"/>
        <v>0</v>
      </c>
      <c r="P36" s="402">
        <f t="shared" si="19"/>
        <v>0</v>
      </c>
      <c r="Q36" s="402">
        <f t="shared" si="20"/>
        <v>0</v>
      </c>
      <c r="R36" s="402">
        <f t="shared" si="21"/>
        <v>0</v>
      </c>
      <c r="S36" s="405">
        <f t="shared" si="1"/>
        <v>0</v>
      </c>
      <c r="T36" s="255"/>
      <c r="U36" s="74"/>
      <c r="V36" s="70"/>
      <c r="X36" s="341">
        <f t="shared" si="5"/>
        <v>0.74999999999999978</v>
      </c>
      <c r="Y36" s="342">
        <f t="shared" si="6"/>
        <v>18</v>
      </c>
      <c r="Z36" s="110">
        <f>IF(AND('Resultats - informe'!X36&gt;='Introducció dades generals'!$E$25,'Resultats - informe'!X36&lt;='Introducció dades generals'!$J$25),1,0)</f>
        <v>0</v>
      </c>
      <c r="AA36" s="110">
        <f>IF(AND('Resultats - informe'!X36&gt;='Introducció dades generals'!$E$27,'Resultats - informe'!X36&lt;='Introducció dades generals'!$J$27),1,0)</f>
        <v>0</v>
      </c>
      <c r="AB36" s="110">
        <f>IF(AND('Resultats - informe'!X36&gt;='Introducció dades generals'!$E$29,'Resultats - informe'!X36&lt;='Introducció dades generals'!$J$29),1,0)</f>
        <v>0</v>
      </c>
      <c r="AC36" s="110">
        <f>IF(AND('Resultats - informe'!X36&gt;='Introducció dades generals'!$E$31,'Resultats - informe'!X36&lt;='Introducció dades generals'!$J$31),1,0)</f>
        <v>0</v>
      </c>
      <c r="AD36" s="110">
        <f>IF(AND('Resultats - informe'!X36&gt;='Introducció dades generals'!$E$33,'Resultats - informe'!X36&lt;='Introducció dades generals'!$J$33),1,0)</f>
        <v>0</v>
      </c>
      <c r="AE36" s="110">
        <f>IF(AND('Resultats - informe'!X36&gt;='Introducció dades generals'!$E$35,'Resultats - informe'!X36&lt;='Introducció dades generals'!$J$35),1,0)</f>
        <v>0</v>
      </c>
      <c r="AF36" s="110">
        <f>IF(AND('Resultats - informe'!X36&gt;='Introducció dades generals'!$E$37,'Resultats - informe'!X36&lt;='Introducció dades generals'!$J$37),1,0)</f>
        <v>0</v>
      </c>
      <c r="AG36" s="346">
        <f t="shared" si="2"/>
        <v>0</v>
      </c>
      <c r="AN36" s="191">
        <f t="shared" si="15"/>
        <v>11</v>
      </c>
      <c r="AO36" s="193">
        <f t="shared" si="7"/>
        <v>1</v>
      </c>
      <c r="AP36" s="195">
        <f t="shared" si="8"/>
        <v>1</v>
      </c>
      <c r="AQ36" s="193">
        <f t="shared" si="9"/>
        <v>1</v>
      </c>
      <c r="AR36" s="195">
        <f t="shared" si="10"/>
        <v>1</v>
      </c>
      <c r="AS36" s="193">
        <f t="shared" si="11"/>
        <v>1</v>
      </c>
      <c r="AT36" s="195">
        <f t="shared" si="12"/>
        <v>1</v>
      </c>
      <c r="AU36" s="193">
        <f t="shared" si="13"/>
        <v>1</v>
      </c>
      <c r="AV36" s="197">
        <f t="shared" si="14"/>
        <v>7</v>
      </c>
    </row>
    <row r="37" spans="1:48" ht="24.6" thickTop="1" thickBot="1" x14ac:dyDescent="0.5">
      <c r="A37" s="70"/>
      <c r="B37" s="74"/>
      <c r="C37" s="74"/>
      <c r="D37" s="74"/>
      <c r="E37" s="74"/>
      <c r="F37" s="74"/>
      <c r="G37" s="74"/>
      <c r="H37" s="74"/>
      <c r="I37" s="74"/>
      <c r="J37" s="74"/>
      <c r="K37" s="404">
        <f t="shared" si="4"/>
        <v>0.79166666666666641</v>
      </c>
      <c r="L37" s="402">
        <f t="shared" si="3"/>
        <v>0</v>
      </c>
      <c r="M37" s="402">
        <f t="shared" si="16"/>
        <v>0</v>
      </c>
      <c r="N37" s="402">
        <f t="shared" si="17"/>
        <v>0</v>
      </c>
      <c r="O37" s="402">
        <f t="shared" si="18"/>
        <v>0</v>
      </c>
      <c r="P37" s="402">
        <f t="shared" si="19"/>
        <v>0</v>
      </c>
      <c r="Q37" s="402">
        <f t="shared" si="20"/>
        <v>0</v>
      </c>
      <c r="R37" s="402">
        <f t="shared" si="21"/>
        <v>0</v>
      </c>
      <c r="S37" s="405">
        <f t="shared" si="1"/>
        <v>0</v>
      </c>
      <c r="T37" s="255"/>
      <c r="U37" s="74"/>
      <c r="V37" s="70"/>
      <c r="X37" s="341">
        <f t="shared" si="5"/>
        <v>0.79166666666666641</v>
      </c>
      <c r="Y37" s="342">
        <f t="shared" si="6"/>
        <v>19</v>
      </c>
      <c r="Z37" s="110">
        <f>IF(AND('Resultats - informe'!X37&gt;='Introducció dades generals'!$E$25,'Resultats - informe'!X37&lt;='Introducció dades generals'!$J$25),1,0)</f>
        <v>0</v>
      </c>
      <c r="AA37" s="110">
        <f>IF(AND('Resultats - informe'!X37&gt;='Introducció dades generals'!$E$27,'Resultats - informe'!X37&lt;='Introducció dades generals'!$J$27),1,0)</f>
        <v>0</v>
      </c>
      <c r="AB37" s="110">
        <f>IF(AND('Resultats - informe'!X37&gt;='Introducció dades generals'!$E$29,'Resultats - informe'!X37&lt;='Introducció dades generals'!$J$29),1,0)</f>
        <v>0</v>
      </c>
      <c r="AC37" s="110">
        <f>IF(AND('Resultats - informe'!X37&gt;='Introducció dades generals'!$E$31,'Resultats - informe'!X37&lt;='Introducció dades generals'!$J$31),1,0)</f>
        <v>0</v>
      </c>
      <c r="AD37" s="110">
        <f>IF(AND('Resultats - informe'!X37&gt;='Introducció dades generals'!$E$33,'Resultats - informe'!X37&lt;='Introducció dades generals'!$J$33),1,0)</f>
        <v>0</v>
      </c>
      <c r="AE37" s="110">
        <f>IF(AND('Resultats - informe'!X37&gt;='Introducció dades generals'!$E$35,'Resultats - informe'!X37&lt;='Introducció dades generals'!$J$35),1,0)</f>
        <v>0</v>
      </c>
      <c r="AF37" s="110">
        <f>IF(AND('Resultats - informe'!X37&gt;='Introducció dades generals'!$E$37,'Resultats - informe'!X37&lt;='Introducció dades generals'!$J$37),1,0)</f>
        <v>0</v>
      </c>
      <c r="AG37" s="346">
        <f t="shared" si="2"/>
        <v>0</v>
      </c>
      <c r="AN37" s="192">
        <f t="shared" si="15"/>
        <v>12</v>
      </c>
      <c r="AO37" s="194">
        <f t="shared" si="7"/>
        <v>1</v>
      </c>
      <c r="AP37" s="196">
        <f t="shared" si="8"/>
        <v>1</v>
      </c>
      <c r="AQ37" s="194">
        <f t="shared" si="9"/>
        <v>1</v>
      </c>
      <c r="AR37" s="196">
        <f t="shared" si="10"/>
        <v>1</v>
      </c>
      <c r="AS37" s="194">
        <f t="shared" si="11"/>
        <v>1</v>
      </c>
      <c r="AT37" s="196">
        <f t="shared" si="12"/>
        <v>1</v>
      </c>
      <c r="AU37" s="194">
        <f t="shared" si="13"/>
        <v>1</v>
      </c>
      <c r="AV37" s="198">
        <f t="shared" si="14"/>
        <v>7</v>
      </c>
    </row>
    <row r="38" spans="1:48" ht="24.6" thickTop="1" thickBot="1" x14ac:dyDescent="0.5">
      <c r="A38" s="70"/>
      <c r="B38" s="74"/>
      <c r="C38" s="74"/>
      <c r="D38" s="74"/>
      <c r="E38" s="74"/>
      <c r="F38" s="74"/>
      <c r="G38" s="74"/>
      <c r="H38" s="74"/>
      <c r="I38" s="74"/>
      <c r="J38" s="74"/>
      <c r="K38" s="404">
        <f t="shared" si="4"/>
        <v>0.83333333333333304</v>
      </c>
      <c r="L38" s="402">
        <f t="shared" si="3"/>
        <v>0</v>
      </c>
      <c r="M38" s="402">
        <f t="shared" si="16"/>
        <v>0</v>
      </c>
      <c r="N38" s="402">
        <f t="shared" si="17"/>
        <v>0</v>
      </c>
      <c r="O38" s="402">
        <f t="shared" si="18"/>
        <v>0</v>
      </c>
      <c r="P38" s="402">
        <f t="shared" si="19"/>
        <v>0</v>
      </c>
      <c r="Q38" s="402">
        <f t="shared" si="20"/>
        <v>0</v>
      </c>
      <c r="R38" s="402">
        <f t="shared" si="21"/>
        <v>0</v>
      </c>
      <c r="S38" s="405">
        <f t="shared" si="1"/>
        <v>0</v>
      </c>
      <c r="T38" s="255"/>
      <c r="U38" s="74"/>
      <c r="V38" s="70"/>
      <c r="X38" s="341">
        <f t="shared" si="5"/>
        <v>0.83333333333333304</v>
      </c>
      <c r="Y38" s="342">
        <f t="shared" si="6"/>
        <v>20</v>
      </c>
      <c r="Z38" s="110">
        <f>IF(AND('Resultats - informe'!X38&gt;='Introducció dades generals'!$E$25,'Resultats - informe'!X38&lt;='Introducció dades generals'!$J$25),1,0)</f>
        <v>0</v>
      </c>
      <c r="AA38" s="110">
        <f>IF(AND('Resultats - informe'!X38&gt;='Introducció dades generals'!$E$27,'Resultats - informe'!X38&lt;='Introducció dades generals'!$J$27),1,0)</f>
        <v>0</v>
      </c>
      <c r="AB38" s="110">
        <f>IF(AND('Resultats - informe'!X38&gt;='Introducció dades generals'!$E$29,'Resultats - informe'!X38&lt;='Introducció dades generals'!$J$29),1,0)</f>
        <v>0</v>
      </c>
      <c r="AC38" s="110">
        <f>IF(AND('Resultats - informe'!X38&gt;='Introducció dades generals'!$E$31,'Resultats - informe'!X38&lt;='Introducció dades generals'!$J$31),1,0)</f>
        <v>0</v>
      </c>
      <c r="AD38" s="110">
        <f>IF(AND('Resultats - informe'!X38&gt;='Introducció dades generals'!$E$33,'Resultats - informe'!X38&lt;='Introducció dades generals'!$J$33),1,0)</f>
        <v>0</v>
      </c>
      <c r="AE38" s="110">
        <f>IF(AND('Resultats - informe'!X38&gt;='Introducció dades generals'!$E$35,'Resultats - informe'!X38&lt;='Introducció dades generals'!$J$35),1,0)</f>
        <v>0</v>
      </c>
      <c r="AF38" s="110">
        <f>IF(AND('Resultats - informe'!X38&gt;='Introducció dades generals'!$E$37,'Resultats - informe'!X38&lt;='Introducció dades generals'!$J$37),1,0)</f>
        <v>0</v>
      </c>
      <c r="AG38" s="346">
        <f t="shared" si="2"/>
        <v>0</v>
      </c>
      <c r="AN38" s="191">
        <f t="shared" si="15"/>
        <v>13</v>
      </c>
      <c r="AO38" s="193">
        <f t="shared" si="7"/>
        <v>1</v>
      </c>
      <c r="AP38" s="195">
        <f t="shared" si="8"/>
        <v>1</v>
      </c>
      <c r="AQ38" s="193">
        <f t="shared" si="9"/>
        <v>1</v>
      </c>
      <c r="AR38" s="195">
        <f t="shared" si="10"/>
        <v>1</v>
      </c>
      <c r="AS38" s="193">
        <f t="shared" si="11"/>
        <v>1</v>
      </c>
      <c r="AT38" s="195">
        <f t="shared" si="12"/>
        <v>1</v>
      </c>
      <c r="AU38" s="193">
        <f t="shared" si="13"/>
        <v>1</v>
      </c>
      <c r="AV38" s="197">
        <f t="shared" si="14"/>
        <v>7</v>
      </c>
    </row>
    <row r="39" spans="1:48" ht="24.6" thickTop="1" thickBot="1" x14ac:dyDescent="0.5">
      <c r="A39" s="70"/>
      <c r="B39" s="74"/>
      <c r="C39" s="74"/>
      <c r="D39" s="74"/>
      <c r="E39" s="74"/>
      <c r="F39" s="74"/>
      <c r="G39" s="74"/>
      <c r="H39" s="74"/>
      <c r="I39" s="74"/>
      <c r="J39" s="74"/>
      <c r="K39" s="404">
        <f t="shared" si="4"/>
        <v>0.87499999999999967</v>
      </c>
      <c r="L39" s="402">
        <f t="shared" si="3"/>
        <v>0</v>
      </c>
      <c r="M39" s="402">
        <f t="shared" si="16"/>
        <v>0</v>
      </c>
      <c r="N39" s="402">
        <f t="shared" si="17"/>
        <v>0</v>
      </c>
      <c r="O39" s="402">
        <f t="shared" si="18"/>
        <v>0</v>
      </c>
      <c r="P39" s="402">
        <f t="shared" si="19"/>
        <v>0</v>
      </c>
      <c r="Q39" s="402">
        <f t="shared" si="20"/>
        <v>0</v>
      </c>
      <c r="R39" s="402">
        <f t="shared" si="21"/>
        <v>0</v>
      </c>
      <c r="S39" s="403">
        <f t="shared" si="1"/>
        <v>0</v>
      </c>
      <c r="T39" s="255"/>
      <c r="U39" s="74"/>
      <c r="V39" s="70"/>
      <c r="X39" s="341">
        <f t="shared" si="5"/>
        <v>0.87499999999999967</v>
      </c>
      <c r="Y39" s="342">
        <f t="shared" si="6"/>
        <v>21</v>
      </c>
      <c r="Z39" s="110">
        <f>IF(AND('Resultats - informe'!X39&gt;='Introducció dades generals'!$E$25,'Resultats - informe'!X39&lt;='Introducció dades generals'!$J$25),1,0)</f>
        <v>0</v>
      </c>
      <c r="AA39" s="110">
        <f>IF(AND('Resultats - informe'!X39&gt;='Introducció dades generals'!$E$27,'Resultats - informe'!X39&lt;='Introducció dades generals'!$J$27),1,0)</f>
        <v>0</v>
      </c>
      <c r="AB39" s="110">
        <f>IF(AND('Resultats - informe'!X39&gt;='Introducció dades generals'!$E$29,'Resultats - informe'!X39&lt;='Introducció dades generals'!$J$29),1,0)</f>
        <v>0</v>
      </c>
      <c r="AC39" s="110">
        <f>IF(AND('Resultats - informe'!X39&gt;='Introducció dades generals'!$E$31,'Resultats - informe'!X39&lt;='Introducció dades generals'!$J$31),1,0)</f>
        <v>0</v>
      </c>
      <c r="AD39" s="110">
        <f>IF(AND('Resultats - informe'!X39&gt;='Introducció dades generals'!$E$33,'Resultats - informe'!X39&lt;='Introducció dades generals'!$J$33),1,0)</f>
        <v>0</v>
      </c>
      <c r="AE39" s="110">
        <f>IF(AND('Resultats - informe'!X39&gt;='Introducció dades generals'!$E$35,'Resultats - informe'!X39&lt;='Introducció dades generals'!$J$35),1,0)</f>
        <v>0</v>
      </c>
      <c r="AF39" s="110">
        <f>IF(AND('Resultats - informe'!X39&gt;='Introducció dades generals'!$E$37,'Resultats - informe'!X39&lt;='Introducció dades generals'!$J$37),1,0)</f>
        <v>0</v>
      </c>
      <c r="AG39" s="345">
        <f t="shared" si="2"/>
        <v>0</v>
      </c>
      <c r="AN39" s="192">
        <f t="shared" si="15"/>
        <v>14</v>
      </c>
      <c r="AO39" s="194">
        <f t="shared" si="7"/>
        <v>1</v>
      </c>
      <c r="AP39" s="196">
        <f t="shared" si="8"/>
        <v>1</v>
      </c>
      <c r="AQ39" s="194">
        <f t="shared" si="9"/>
        <v>1</v>
      </c>
      <c r="AR39" s="196">
        <f t="shared" si="10"/>
        <v>1</v>
      </c>
      <c r="AS39" s="194">
        <f t="shared" si="11"/>
        <v>1</v>
      </c>
      <c r="AT39" s="196">
        <f t="shared" si="12"/>
        <v>1</v>
      </c>
      <c r="AU39" s="194">
        <f t="shared" si="13"/>
        <v>1</v>
      </c>
      <c r="AV39" s="198">
        <f t="shared" si="14"/>
        <v>7</v>
      </c>
    </row>
    <row r="40" spans="1:48" ht="24.6" thickTop="1" thickBot="1" x14ac:dyDescent="0.5">
      <c r="A40" s="70"/>
      <c r="B40" s="74"/>
      <c r="C40" s="74"/>
      <c r="D40" s="74"/>
      <c r="E40" s="74"/>
      <c r="F40" s="74"/>
      <c r="G40" s="74"/>
      <c r="H40" s="74"/>
      <c r="I40" s="74"/>
      <c r="J40" s="74"/>
      <c r="K40" s="404">
        <f t="shared" si="4"/>
        <v>0.9166666666666663</v>
      </c>
      <c r="L40" s="402">
        <f t="shared" si="3"/>
        <v>0</v>
      </c>
      <c r="M40" s="402">
        <f t="shared" si="16"/>
        <v>0</v>
      </c>
      <c r="N40" s="402">
        <f t="shared" si="17"/>
        <v>0</v>
      </c>
      <c r="O40" s="402">
        <f t="shared" si="18"/>
        <v>0</v>
      </c>
      <c r="P40" s="402">
        <f t="shared" si="19"/>
        <v>0</v>
      </c>
      <c r="Q40" s="402">
        <f t="shared" si="20"/>
        <v>0</v>
      </c>
      <c r="R40" s="402">
        <f t="shared" si="21"/>
        <v>0</v>
      </c>
      <c r="S40" s="403">
        <f t="shared" si="1"/>
        <v>0</v>
      </c>
      <c r="T40" s="255"/>
      <c r="U40" s="74"/>
      <c r="V40" s="70"/>
      <c r="X40" s="341">
        <f t="shared" si="5"/>
        <v>0.9166666666666663</v>
      </c>
      <c r="Y40" s="342">
        <f t="shared" si="6"/>
        <v>22</v>
      </c>
      <c r="Z40" s="110">
        <f>IF(AND('Resultats - informe'!X40&gt;='Introducció dades generals'!$E$25,'Resultats - informe'!X40&lt;='Introducció dades generals'!$J$25),1,0)</f>
        <v>0</v>
      </c>
      <c r="AA40" s="110">
        <f>IF(AND('Resultats - informe'!X40&gt;='Introducció dades generals'!$E$27,'Resultats - informe'!X40&lt;='Introducció dades generals'!$J$27),1,0)</f>
        <v>0</v>
      </c>
      <c r="AB40" s="110">
        <f>IF(AND('Resultats - informe'!X40&gt;='Introducció dades generals'!$E$29,'Resultats - informe'!X40&lt;='Introducció dades generals'!$J$29),1,0)</f>
        <v>0</v>
      </c>
      <c r="AC40" s="110">
        <f>IF(AND('Resultats - informe'!X40&gt;='Introducció dades generals'!$E$31,'Resultats - informe'!X40&lt;='Introducció dades generals'!$J$31),1,0)</f>
        <v>0</v>
      </c>
      <c r="AD40" s="110">
        <f>IF(AND('Resultats - informe'!X40&gt;='Introducció dades generals'!$E$33,'Resultats - informe'!X40&lt;='Introducció dades generals'!$J$33),1,0)</f>
        <v>0</v>
      </c>
      <c r="AE40" s="110">
        <f>IF(AND('Resultats - informe'!X40&gt;='Introducció dades generals'!$E$35,'Resultats - informe'!X40&lt;='Introducció dades generals'!$J$35),1,0)</f>
        <v>0</v>
      </c>
      <c r="AF40" s="110">
        <f>IF(AND('Resultats - informe'!X40&gt;='Introducció dades generals'!$E$37,'Resultats - informe'!X40&lt;='Introducció dades generals'!$J$37),1,0)</f>
        <v>0</v>
      </c>
      <c r="AG40" s="345">
        <f t="shared" si="2"/>
        <v>0</v>
      </c>
      <c r="AN40" s="191">
        <f t="shared" si="15"/>
        <v>15</v>
      </c>
      <c r="AO40" s="193">
        <f t="shared" si="7"/>
        <v>1</v>
      </c>
      <c r="AP40" s="195">
        <f t="shared" si="8"/>
        <v>1</v>
      </c>
      <c r="AQ40" s="193">
        <f t="shared" si="9"/>
        <v>1</v>
      </c>
      <c r="AR40" s="195">
        <f t="shared" si="10"/>
        <v>1</v>
      </c>
      <c r="AS40" s="193">
        <f t="shared" si="11"/>
        <v>1</v>
      </c>
      <c r="AT40" s="195">
        <f t="shared" si="12"/>
        <v>1</v>
      </c>
      <c r="AU40" s="193">
        <f t="shared" si="13"/>
        <v>1</v>
      </c>
      <c r="AV40" s="197">
        <f t="shared" si="14"/>
        <v>7</v>
      </c>
    </row>
    <row r="41" spans="1:48" ht="24.6" thickTop="1" thickBot="1" x14ac:dyDescent="0.5">
      <c r="A41" s="70"/>
      <c r="B41" s="74"/>
      <c r="C41" s="74"/>
      <c r="D41" s="74"/>
      <c r="E41" s="74"/>
      <c r="F41" s="74"/>
      <c r="G41" s="74"/>
      <c r="H41" s="74"/>
      <c r="I41" s="74"/>
      <c r="J41" s="74"/>
      <c r="K41" s="406">
        <f>K40+1/24</f>
        <v>0.95833333333333293</v>
      </c>
      <c r="L41" s="402">
        <f t="shared" si="3"/>
        <v>0</v>
      </c>
      <c r="M41" s="402">
        <f t="shared" si="16"/>
        <v>0</v>
      </c>
      <c r="N41" s="402">
        <f t="shared" si="17"/>
        <v>0</v>
      </c>
      <c r="O41" s="402">
        <f t="shared" si="18"/>
        <v>0</v>
      </c>
      <c r="P41" s="402">
        <f t="shared" si="19"/>
        <v>0</v>
      </c>
      <c r="Q41" s="402">
        <f t="shared" si="20"/>
        <v>0</v>
      </c>
      <c r="R41" s="402">
        <f t="shared" si="21"/>
        <v>0</v>
      </c>
      <c r="S41" s="403">
        <f t="shared" si="1"/>
        <v>0</v>
      </c>
      <c r="T41" s="255"/>
      <c r="U41" s="74"/>
      <c r="V41" s="70"/>
      <c r="X41" s="341">
        <f t="shared" si="5"/>
        <v>0.95833333333333293</v>
      </c>
      <c r="Y41" s="342">
        <f t="shared" si="6"/>
        <v>23</v>
      </c>
      <c r="Z41" s="110">
        <f>IF(AND('Resultats - informe'!X41&gt;='Introducció dades generals'!$E$25,'Resultats - informe'!X41&lt;='Introducció dades generals'!$J$25),1,0)</f>
        <v>0</v>
      </c>
      <c r="AA41" s="110">
        <f>IF(AND('Resultats - informe'!X41&gt;='Introducció dades generals'!$E$27,'Resultats - informe'!X41&lt;='Introducció dades generals'!$J$27),1,0)</f>
        <v>0</v>
      </c>
      <c r="AB41" s="110">
        <f>IF(AND('Resultats - informe'!X41&gt;='Introducció dades generals'!$E$29,'Resultats - informe'!X41&lt;='Introducció dades generals'!$J$29),1,0)</f>
        <v>0</v>
      </c>
      <c r="AC41" s="110">
        <f>IF(AND('Resultats - informe'!X41&gt;='Introducció dades generals'!$E$31,'Resultats - informe'!X41&lt;='Introducció dades generals'!$J$31),1,0)</f>
        <v>0</v>
      </c>
      <c r="AD41" s="110">
        <f>IF(AND('Resultats - informe'!X41&gt;='Introducció dades generals'!$E$33,'Resultats - informe'!X41&lt;='Introducció dades generals'!$J$33),1,0)</f>
        <v>0</v>
      </c>
      <c r="AE41" s="110">
        <f>IF(AND('Resultats - informe'!X41&gt;='Introducció dades generals'!$E$35,'Resultats - informe'!X41&lt;='Introducció dades generals'!$J$35),1,0)</f>
        <v>0</v>
      </c>
      <c r="AF41" s="110">
        <f>IF(AND('Resultats - informe'!X41&gt;='Introducció dades generals'!$E$37,'Resultats - informe'!X41&lt;='Introducció dades generals'!$J$37),1,0)</f>
        <v>0</v>
      </c>
      <c r="AG41" s="345">
        <f t="shared" si="2"/>
        <v>0</v>
      </c>
      <c r="AN41" s="192">
        <f t="shared" si="15"/>
        <v>16</v>
      </c>
      <c r="AO41" s="194">
        <f t="shared" si="7"/>
        <v>1</v>
      </c>
      <c r="AP41" s="196">
        <f t="shared" si="8"/>
        <v>1</v>
      </c>
      <c r="AQ41" s="194">
        <f t="shared" si="9"/>
        <v>1</v>
      </c>
      <c r="AR41" s="196">
        <f t="shared" si="10"/>
        <v>1</v>
      </c>
      <c r="AS41" s="194">
        <f t="shared" si="11"/>
        <v>1</v>
      </c>
      <c r="AT41" s="196">
        <f t="shared" si="12"/>
        <v>1</v>
      </c>
      <c r="AU41" s="194">
        <f t="shared" si="13"/>
        <v>1</v>
      </c>
      <c r="AV41" s="198">
        <f t="shared" si="14"/>
        <v>7</v>
      </c>
    </row>
    <row r="42" spans="1:48" ht="28.8" thickTop="1" thickBot="1" x14ac:dyDescent="0.5">
      <c r="A42" s="70"/>
      <c r="B42" s="74"/>
      <c r="C42" s="74"/>
      <c r="D42" s="74"/>
      <c r="E42" s="74"/>
      <c r="F42" s="74"/>
      <c r="G42" s="74"/>
      <c r="H42" s="74"/>
      <c r="I42" s="74"/>
      <c r="J42" s="74"/>
      <c r="K42" s="407" t="s">
        <v>260</v>
      </c>
      <c r="L42" s="408">
        <f>+SUM(L18:L41)</f>
        <v>0</v>
      </c>
      <c r="M42" s="408">
        <f t="shared" ref="M42:S42" si="22">+SUM(M18:M41)</f>
        <v>0</v>
      </c>
      <c r="N42" s="408">
        <f t="shared" si="22"/>
        <v>0</v>
      </c>
      <c r="O42" s="408">
        <f t="shared" si="22"/>
        <v>0</v>
      </c>
      <c r="P42" s="408">
        <f t="shared" si="22"/>
        <v>0</v>
      </c>
      <c r="Q42" s="408">
        <f t="shared" si="22"/>
        <v>0</v>
      </c>
      <c r="R42" s="408">
        <f t="shared" si="22"/>
        <v>0</v>
      </c>
      <c r="S42" s="409">
        <f t="shared" si="22"/>
        <v>0</v>
      </c>
      <c r="T42" s="255"/>
      <c r="U42" s="74"/>
      <c r="V42" s="70"/>
      <c r="X42" s="343">
        <f t="shared" si="5"/>
        <v>0.99999999999999956</v>
      </c>
      <c r="Y42" s="344">
        <f t="shared" si="6"/>
        <v>24</v>
      </c>
      <c r="Z42" s="110">
        <f>IF(AND('Resultats - informe'!X42&gt;='Introducció dades generals'!$E$25,'Resultats - informe'!X42&lt;='Introducció dades generals'!$J$25),1,0)</f>
        <v>0</v>
      </c>
      <c r="AA42" s="110">
        <f>IF(AND('Resultats - informe'!X42&gt;='Introducció dades generals'!$E$27,'Resultats - informe'!X42&lt;='Introducció dades generals'!$J$27),1,0)</f>
        <v>0</v>
      </c>
      <c r="AB42" s="110">
        <f>IF(AND('Resultats - informe'!X42&gt;='Introducció dades generals'!$E$29,'Resultats - informe'!X42&lt;='Introducció dades generals'!$J$29),1,0)</f>
        <v>0</v>
      </c>
      <c r="AC42" s="110">
        <f>IF(AND('Resultats - informe'!X42&gt;='Introducció dades generals'!$E$31,'Resultats - informe'!X42&lt;='Introducció dades generals'!$J$31),1,0)</f>
        <v>0</v>
      </c>
      <c r="AD42" s="110">
        <f>IF(AND('Resultats - informe'!X42&gt;='Introducció dades generals'!$E$33,'Resultats - informe'!X42&lt;='Introducció dades generals'!$J$33),1,0)</f>
        <v>0</v>
      </c>
      <c r="AE42" s="110">
        <f>IF(AND('Resultats - informe'!X42&gt;='Introducció dades generals'!$E$35,'Resultats - informe'!X42&lt;='Introducció dades generals'!$J$35),1,0)</f>
        <v>0</v>
      </c>
      <c r="AF42" s="110">
        <f>IF(AND('Resultats - informe'!X42&gt;='Introducció dades generals'!$E$37,'Resultats - informe'!X42&lt;='Introducció dades generals'!$J$37),1,0)</f>
        <v>0</v>
      </c>
      <c r="AG42" s="345">
        <f t="shared" si="2"/>
        <v>0</v>
      </c>
      <c r="AN42" s="191">
        <f t="shared" si="15"/>
        <v>17</v>
      </c>
      <c r="AO42" s="193">
        <f t="shared" si="7"/>
        <v>1</v>
      </c>
      <c r="AP42" s="195">
        <f t="shared" si="8"/>
        <v>1</v>
      </c>
      <c r="AQ42" s="193">
        <f t="shared" si="9"/>
        <v>1</v>
      </c>
      <c r="AR42" s="195">
        <f t="shared" si="10"/>
        <v>1</v>
      </c>
      <c r="AS42" s="193">
        <f t="shared" si="11"/>
        <v>1</v>
      </c>
      <c r="AT42" s="195">
        <f t="shared" si="12"/>
        <v>1</v>
      </c>
      <c r="AU42" s="193">
        <f t="shared" si="13"/>
        <v>1</v>
      </c>
      <c r="AV42" s="197">
        <f t="shared" si="14"/>
        <v>7</v>
      </c>
    </row>
    <row r="43" spans="1:48" ht="29.4" customHeight="1" thickTop="1" x14ac:dyDescent="0.45">
      <c r="A43" s="70"/>
      <c r="B43" s="74"/>
      <c r="C43" s="74"/>
      <c r="D43" s="74"/>
      <c r="E43" s="74"/>
      <c r="F43" s="74"/>
      <c r="G43" s="74"/>
      <c r="H43" s="74"/>
      <c r="I43" s="74"/>
      <c r="J43" s="74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74"/>
      <c r="V43" s="70"/>
      <c r="X43" s="442" t="s">
        <v>118</v>
      </c>
      <c r="Y43" s="442"/>
      <c r="Z43" s="111">
        <f t="shared" ref="Z43:AG43" si="23">SUM(Z18:Z42)</f>
        <v>0</v>
      </c>
      <c r="AA43" s="111">
        <f t="shared" si="23"/>
        <v>0</v>
      </c>
      <c r="AB43" s="111">
        <f t="shared" si="23"/>
        <v>0</v>
      </c>
      <c r="AC43" s="111">
        <f t="shared" si="23"/>
        <v>0</v>
      </c>
      <c r="AD43" s="111">
        <f t="shared" si="23"/>
        <v>0</v>
      </c>
      <c r="AE43" s="111">
        <f t="shared" si="23"/>
        <v>0</v>
      </c>
      <c r="AF43" s="111">
        <f t="shared" si="23"/>
        <v>0</v>
      </c>
      <c r="AG43" s="322">
        <f t="shared" si="23"/>
        <v>0</v>
      </c>
      <c r="AN43" s="192">
        <f t="shared" si="15"/>
        <v>18</v>
      </c>
      <c r="AO43" s="194">
        <f t="shared" si="7"/>
        <v>1</v>
      </c>
      <c r="AP43" s="196">
        <f t="shared" si="8"/>
        <v>1</v>
      </c>
      <c r="AQ43" s="194">
        <f t="shared" si="9"/>
        <v>1</v>
      </c>
      <c r="AR43" s="196">
        <f t="shared" si="10"/>
        <v>1</v>
      </c>
      <c r="AS43" s="194">
        <f t="shared" si="11"/>
        <v>1</v>
      </c>
      <c r="AT43" s="196">
        <f t="shared" si="12"/>
        <v>1</v>
      </c>
      <c r="AU43" s="194">
        <f t="shared" si="13"/>
        <v>1</v>
      </c>
      <c r="AV43" s="198">
        <f t="shared" si="14"/>
        <v>7</v>
      </c>
    </row>
    <row r="44" spans="1:48" ht="23.4" x14ac:dyDescent="0.45">
      <c r="A44" s="70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0"/>
      <c r="AN44" s="191">
        <f t="shared" si="15"/>
        <v>19</v>
      </c>
      <c r="AO44" s="193">
        <f t="shared" si="7"/>
        <v>1</v>
      </c>
      <c r="AP44" s="195">
        <f t="shared" si="8"/>
        <v>1</v>
      </c>
      <c r="AQ44" s="193">
        <f t="shared" si="9"/>
        <v>1</v>
      </c>
      <c r="AR44" s="195">
        <f t="shared" si="10"/>
        <v>1</v>
      </c>
      <c r="AS44" s="193">
        <f t="shared" si="11"/>
        <v>1</v>
      </c>
      <c r="AT44" s="195">
        <f t="shared" si="12"/>
        <v>1</v>
      </c>
      <c r="AU44" s="193">
        <f t="shared" si="13"/>
        <v>1</v>
      </c>
      <c r="AV44" s="197">
        <f t="shared" si="14"/>
        <v>7</v>
      </c>
    </row>
    <row r="45" spans="1:48" ht="29.1" customHeight="1" x14ac:dyDescent="0.45">
      <c r="A45" s="70"/>
      <c r="B45" s="73"/>
      <c r="C45" s="222" t="s">
        <v>233</v>
      </c>
      <c r="D45" s="221"/>
      <c r="E45" s="221"/>
      <c r="F45" s="222"/>
      <c r="G45" s="222" t="s">
        <v>84</v>
      </c>
      <c r="H45" s="251">
        <f>+E16</f>
        <v>0</v>
      </c>
      <c r="I45" s="222" t="s">
        <v>85</v>
      </c>
      <c r="J45" s="251">
        <f>+G16</f>
        <v>0</v>
      </c>
      <c r="K45" s="323"/>
      <c r="L45" s="222"/>
      <c r="M45" s="222"/>
      <c r="N45" s="221"/>
      <c r="O45" s="221"/>
      <c r="P45" s="221"/>
      <c r="Q45" s="221"/>
      <c r="R45" s="221"/>
      <c r="S45" s="221"/>
      <c r="T45" s="221"/>
      <c r="V45" s="70"/>
      <c r="AN45" s="192">
        <f>+AN44+1</f>
        <v>20</v>
      </c>
      <c r="AO45" s="194">
        <f t="shared" si="7"/>
        <v>1</v>
      </c>
      <c r="AP45" s="196">
        <f t="shared" si="8"/>
        <v>1</v>
      </c>
      <c r="AQ45" s="194">
        <f t="shared" si="9"/>
        <v>1</v>
      </c>
      <c r="AR45" s="196">
        <f t="shared" si="10"/>
        <v>1</v>
      </c>
      <c r="AS45" s="194">
        <f t="shared" si="11"/>
        <v>1</v>
      </c>
      <c r="AT45" s="196">
        <f t="shared" si="12"/>
        <v>1</v>
      </c>
      <c r="AU45" s="194">
        <f t="shared" si="13"/>
        <v>1</v>
      </c>
      <c r="AV45" s="198">
        <f>SUM(AO45:AU45)</f>
        <v>7</v>
      </c>
    </row>
    <row r="46" spans="1:48" ht="23.4" customHeight="1" x14ac:dyDescent="0.45">
      <c r="A46" s="70"/>
      <c r="B46" s="95"/>
      <c r="C46" s="54"/>
      <c r="D46" s="54"/>
      <c r="E46" s="54"/>
      <c r="F46" s="54"/>
      <c r="G46" s="52"/>
      <c r="H46" s="96"/>
      <c r="I46" s="45"/>
      <c r="J46" s="96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74"/>
      <c r="V46" s="70"/>
      <c r="AN46" s="191">
        <f>+AN45+1</f>
        <v>21</v>
      </c>
      <c r="AO46" s="193">
        <f t="shared" si="7"/>
        <v>1</v>
      </c>
      <c r="AP46" s="195">
        <f t="shared" si="8"/>
        <v>1</v>
      </c>
      <c r="AQ46" s="193">
        <f t="shared" si="9"/>
        <v>1</v>
      </c>
      <c r="AR46" s="195">
        <f t="shared" si="10"/>
        <v>1</v>
      </c>
      <c r="AS46" s="193">
        <f t="shared" si="11"/>
        <v>1</v>
      </c>
      <c r="AT46" s="195">
        <f t="shared" si="12"/>
        <v>1</v>
      </c>
      <c r="AU46" s="193">
        <f t="shared" si="13"/>
        <v>1</v>
      </c>
      <c r="AV46" s="197">
        <f>SUM(AO46:AU46)</f>
        <v>7</v>
      </c>
    </row>
    <row r="47" spans="1:48" ht="23.4" x14ac:dyDescent="0.45">
      <c r="A47" s="70"/>
      <c r="B47" s="74"/>
      <c r="C47" s="54" t="s">
        <v>134</v>
      </c>
      <c r="D47" s="54"/>
      <c r="E47" s="54"/>
      <c r="F47" s="54"/>
      <c r="G47" s="52"/>
      <c r="H47" s="96"/>
      <c r="I47" s="45"/>
      <c r="J47" s="96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0"/>
      <c r="AN47" s="192">
        <f>+AN46+1</f>
        <v>22</v>
      </c>
      <c r="AO47" s="194">
        <f t="shared" si="7"/>
        <v>1</v>
      </c>
      <c r="AP47" s="196">
        <f t="shared" si="8"/>
        <v>1</v>
      </c>
      <c r="AQ47" s="194">
        <f t="shared" si="9"/>
        <v>1</v>
      </c>
      <c r="AR47" s="196">
        <f t="shared" si="10"/>
        <v>1</v>
      </c>
      <c r="AS47" s="194">
        <f t="shared" si="11"/>
        <v>1</v>
      </c>
      <c r="AT47" s="196">
        <f t="shared" si="12"/>
        <v>1</v>
      </c>
      <c r="AU47" s="194">
        <f t="shared" si="13"/>
        <v>1</v>
      </c>
      <c r="AV47" s="198">
        <f>SUM(AO47:AU47)</f>
        <v>7</v>
      </c>
    </row>
    <row r="48" spans="1:48" ht="30" x14ac:dyDescent="0.45">
      <c r="A48" s="70"/>
      <c r="B48" s="74"/>
      <c r="C48" s="74"/>
      <c r="D48" s="74"/>
      <c r="E48" s="113" t="s">
        <v>135</v>
      </c>
      <c r="F48" s="113" t="s">
        <v>136</v>
      </c>
      <c r="G48" s="113"/>
      <c r="H48" s="113" t="s">
        <v>137</v>
      </c>
      <c r="I48" s="113" t="s">
        <v>138</v>
      </c>
      <c r="J48" s="113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0"/>
      <c r="AN48" s="191">
        <f>+AN47+1</f>
        <v>23</v>
      </c>
      <c r="AO48" s="193">
        <f t="shared" si="7"/>
        <v>1</v>
      </c>
      <c r="AP48" s="195">
        <f t="shared" si="8"/>
        <v>1</v>
      </c>
      <c r="AQ48" s="193">
        <f t="shared" si="9"/>
        <v>1</v>
      </c>
      <c r="AR48" s="195">
        <f t="shared" si="10"/>
        <v>1</v>
      </c>
      <c r="AS48" s="193">
        <f t="shared" si="11"/>
        <v>1</v>
      </c>
      <c r="AT48" s="195">
        <f t="shared" si="12"/>
        <v>1</v>
      </c>
      <c r="AU48" s="193">
        <f t="shared" si="13"/>
        <v>1</v>
      </c>
      <c r="AV48" s="197">
        <f>SUM(AO48:AU48)</f>
        <v>7</v>
      </c>
    </row>
    <row r="49" spans="1:79" ht="24" thickBot="1" x14ac:dyDescent="0.5">
      <c r="A49" s="70"/>
      <c r="B49" s="74"/>
      <c r="C49" s="74"/>
      <c r="D49" s="74"/>
      <c r="E49" s="113"/>
      <c r="F49" s="113" t="s">
        <v>139</v>
      </c>
      <c r="G49" s="74"/>
      <c r="H49" s="113" t="s">
        <v>140</v>
      </c>
      <c r="I49" s="113" t="s">
        <v>141</v>
      </c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0"/>
      <c r="AN49" s="192">
        <f>+AN48+1</f>
        <v>24</v>
      </c>
      <c r="AO49" s="194">
        <f t="shared" si="7"/>
        <v>1</v>
      </c>
      <c r="AP49" s="196">
        <f t="shared" si="8"/>
        <v>1</v>
      </c>
      <c r="AQ49" s="194">
        <f t="shared" si="9"/>
        <v>1</v>
      </c>
      <c r="AR49" s="196">
        <f t="shared" si="10"/>
        <v>1</v>
      </c>
      <c r="AS49" s="194">
        <f t="shared" si="11"/>
        <v>1</v>
      </c>
      <c r="AT49" s="196">
        <f t="shared" si="12"/>
        <v>1</v>
      </c>
      <c r="AU49" s="194">
        <f t="shared" si="13"/>
        <v>1</v>
      </c>
      <c r="AV49" s="198">
        <f>SUM(AO49:AU49)</f>
        <v>7</v>
      </c>
    </row>
    <row r="50" spans="1:79" ht="43.8" x14ac:dyDescent="0.45">
      <c r="A50" s="70"/>
      <c r="B50" s="74"/>
      <c r="C50" s="318" t="s">
        <v>142</v>
      </c>
      <c r="D50" s="319"/>
      <c r="E50" s="254">
        <f>+E17</f>
        <v>1</v>
      </c>
      <c r="F50" s="254">
        <f>+SUMIFS(energia,si_analisis,1)</f>
        <v>0</v>
      </c>
      <c r="G50" s="117" t="e">
        <f>+F50/$F$50</f>
        <v>#DIV/0!</v>
      </c>
      <c r="H50" s="116"/>
      <c r="I50" s="116"/>
      <c r="J50" s="11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0"/>
      <c r="AN50" s="199" t="s">
        <v>129</v>
      </c>
      <c r="AO50" s="198">
        <f t="shared" ref="AO50:AV50" si="24">SUM(AO25:AO49)</f>
        <v>25</v>
      </c>
      <c r="AP50" s="200">
        <f t="shared" si="24"/>
        <v>25</v>
      </c>
      <c r="AQ50" s="198">
        <f t="shared" si="24"/>
        <v>25</v>
      </c>
      <c r="AR50" s="200">
        <f t="shared" si="24"/>
        <v>25</v>
      </c>
      <c r="AS50" s="198">
        <f t="shared" si="24"/>
        <v>25</v>
      </c>
      <c r="AT50" s="200">
        <f t="shared" si="24"/>
        <v>25</v>
      </c>
      <c r="AU50" s="198">
        <f t="shared" si="24"/>
        <v>25</v>
      </c>
      <c r="AV50" s="198">
        <f t="shared" si="24"/>
        <v>175</v>
      </c>
    </row>
    <row r="51" spans="1:79" ht="27" customHeight="1" x14ac:dyDescent="0.45">
      <c r="A51" s="70"/>
      <c r="B51" s="74"/>
      <c r="C51" s="118" t="s">
        <v>143</v>
      </c>
      <c r="D51" s="119"/>
      <c r="E51" s="120">
        <f>+E122</f>
        <v>0</v>
      </c>
      <c r="F51" s="307">
        <f>+SUMIFS(energia,si_analisis,1,no_vacacional,1,dia_setmana,"&lt;6")</f>
        <v>0</v>
      </c>
      <c r="G51" s="121" t="e">
        <f>+F51/$F$50</f>
        <v>#DIV/0!</v>
      </c>
      <c r="H51" s="307" t="e">
        <f>+F51/E51</f>
        <v>#DIV/0!</v>
      </c>
      <c r="I51" s="122" t="e">
        <f>+H51/24</f>
        <v>#DIV/0!</v>
      </c>
      <c r="J51" s="252" t="e">
        <f>+I51/$I$51</f>
        <v>#DIV/0!</v>
      </c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0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/>
      <c r="AN51" s="112"/>
      <c r="AO51" s="112"/>
      <c r="AP51" s="112"/>
      <c r="AQ51" s="112"/>
      <c r="AR51" s="112"/>
      <c r="AS51" s="112"/>
      <c r="AT51" s="112"/>
      <c r="AU51" s="112"/>
      <c r="AV51" s="112"/>
    </row>
    <row r="52" spans="1:79" ht="23.4" x14ac:dyDescent="0.45">
      <c r="A52" s="70"/>
      <c r="B52" s="74"/>
      <c r="C52" s="118" t="s">
        <v>144</v>
      </c>
      <c r="D52" s="119"/>
      <c r="E52" s="120">
        <f>+E123</f>
        <v>0</v>
      </c>
      <c r="F52" s="307">
        <f>+SUMIFS(energia,si_analisis,1,no_vacacional,1,dia_setmana,"&gt;5")</f>
        <v>0</v>
      </c>
      <c r="G52" s="121" t="e">
        <f>+F52/$F$50</f>
        <v>#DIV/0!</v>
      </c>
      <c r="H52" s="307" t="e">
        <f t="shared" ref="H52:H53" si="25">+F52/E52</f>
        <v>#DIV/0!</v>
      </c>
      <c r="I52" s="122" t="e">
        <f>+H52/24</f>
        <v>#DIV/0!</v>
      </c>
      <c r="J52" s="252" t="e">
        <f>+I52/$I$51</f>
        <v>#DIV/0!</v>
      </c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0"/>
    </row>
    <row r="53" spans="1:79" ht="24" thickBot="1" x14ac:dyDescent="0.5">
      <c r="A53" s="70"/>
      <c r="B53" s="74"/>
      <c r="C53" s="123" t="s">
        <v>145</v>
      </c>
      <c r="D53" s="124"/>
      <c r="E53" s="125">
        <f>+E160</f>
        <v>373.25</v>
      </c>
      <c r="F53" s="308">
        <f>+SUMIFS(energia,si_analisis,1,no_vacacional,0)</f>
        <v>0</v>
      </c>
      <c r="G53" s="126" t="e">
        <f>+F53/$F$50</f>
        <v>#DIV/0!</v>
      </c>
      <c r="H53" s="308">
        <f t="shared" si="25"/>
        <v>0</v>
      </c>
      <c r="I53" s="127">
        <f>+H53/24</f>
        <v>0</v>
      </c>
      <c r="J53" s="253" t="e">
        <f>+I53/$I$51</f>
        <v>#DIV/0!</v>
      </c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0"/>
    </row>
    <row r="54" spans="1:79" ht="23.4" x14ac:dyDescent="0.45">
      <c r="A54" s="70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0"/>
    </row>
    <row r="55" spans="1:79" ht="60" customHeight="1" x14ac:dyDescent="0.45">
      <c r="A55" s="70"/>
      <c r="B55" s="74"/>
      <c r="C55" s="54" t="s">
        <v>274</v>
      </c>
      <c r="D55" s="74"/>
      <c r="E55" s="74"/>
      <c r="F55" s="74"/>
      <c r="G55" s="78" t="s">
        <v>164</v>
      </c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0"/>
    </row>
    <row r="56" spans="1:79" s="270" customFormat="1" ht="29.4" customHeight="1" x14ac:dyDescent="0.25">
      <c r="A56" s="268"/>
      <c r="B56" s="267"/>
      <c r="C56" s="118" t="s">
        <v>270</v>
      </c>
      <c r="D56" s="119"/>
      <c r="E56" s="120"/>
      <c r="F56" s="120"/>
      <c r="G56" s="307" t="e">
        <f>+F50-G57</f>
        <v>#DIV/0!</v>
      </c>
      <c r="H56" s="121" t="e">
        <f>+G56/$F$50</f>
        <v>#DIV/0!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268"/>
      <c r="W56" s="184"/>
      <c r="X56" s="269"/>
      <c r="Y56" s="269"/>
      <c r="Z56" s="269"/>
      <c r="AA56" s="269"/>
      <c r="AB56" s="269"/>
      <c r="AC56" s="269"/>
      <c r="AD56" s="269"/>
      <c r="AE56" s="269"/>
      <c r="AF56" s="269"/>
      <c r="AG56" s="269"/>
      <c r="AH56" s="269"/>
      <c r="AI56" s="269"/>
      <c r="AJ56" s="269"/>
      <c r="AK56" s="269"/>
      <c r="AL56" s="269"/>
      <c r="AM56" s="269"/>
      <c r="AN56" s="269"/>
      <c r="AO56" s="269"/>
      <c r="AP56" s="269"/>
      <c r="AQ56" s="269"/>
      <c r="AR56" s="269"/>
      <c r="AS56" s="269"/>
      <c r="AT56" s="269"/>
      <c r="AU56" s="269"/>
      <c r="AV56" s="269"/>
      <c r="AW56" s="269"/>
      <c r="AX56" s="269"/>
      <c r="AY56" s="269"/>
      <c r="AZ56" s="269"/>
      <c r="BA56" s="269"/>
      <c r="BB56" s="269"/>
      <c r="BC56" s="269"/>
      <c r="BD56" s="269"/>
      <c r="BE56" s="269"/>
      <c r="BF56" s="269"/>
      <c r="BG56" s="269"/>
      <c r="BH56" s="269"/>
      <c r="BI56" s="269"/>
      <c r="BJ56" s="269"/>
      <c r="BK56" s="269"/>
      <c r="BL56" s="269"/>
      <c r="BM56" s="269"/>
      <c r="BN56" s="269"/>
      <c r="BO56" s="269"/>
      <c r="BP56" s="269"/>
      <c r="BQ56" s="269"/>
      <c r="BR56" s="269"/>
      <c r="BS56" s="269"/>
      <c r="BT56" s="269"/>
      <c r="BU56" s="269"/>
      <c r="BV56" s="269"/>
      <c r="BW56" s="269"/>
      <c r="BX56" s="269"/>
      <c r="BY56" s="269"/>
      <c r="BZ56" s="269"/>
      <c r="CA56" s="269"/>
    </row>
    <row r="57" spans="1:79" ht="23.4" x14ac:dyDescent="0.45">
      <c r="A57" s="70"/>
      <c r="B57" s="74"/>
      <c r="C57" s="388" t="s">
        <v>269</v>
      </c>
      <c r="D57" s="389"/>
      <c r="E57" s="390"/>
      <c r="F57" s="390"/>
      <c r="G57" s="321" t="e">
        <f>+F53+F87*E51+F92*E52</f>
        <v>#DIV/0!</v>
      </c>
      <c r="H57" s="391" t="e">
        <f>+G57/$F$50</f>
        <v>#DIV/0!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0"/>
    </row>
    <row r="58" spans="1:79" s="270" customFormat="1" ht="19.350000000000001" customHeight="1" x14ac:dyDescent="0.25">
      <c r="A58" s="268"/>
      <c r="B58" s="267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268"/>
      <c r="W58" s="184"/>
      <c r="X58" s="269"/>
      <c r="Y58" s="269"/>
      <c r="Z58" s="269"/>
      <c r="AA58" s="269"/>
      <c r="AB58" s="269"/>
      <c r="AC58" s="269"/>
      <c r="AD58" s="269"/>
      <c r="AE58" s="269"/>
      <c r="AF58" s="269"/>
      <c r="AG58" s="269"/>
      <c r="AH58" s="269"/>
      <c r="AI58" s="269"/>
      <c r="AJ58" s="269"/>
      <c r="AK58" s="269"/>
      <c r="AL58" s="269"/>
      <c r="AM58" s="269"/>
      <c r="AN58" s="269"/>
      <c r="AO58" s="269"/>
      <c r="AP58" s="269"/>
      <c r="AQ58" s="269"/>
      <c r="AR58" s="269"/>
      <c r="AS58" s="269"/>
      <c r="AT58" s="269"/>
      <c r="AU58" s="269"/>
      <c r="AV58" s="269"/>
      <c r="AW58" s="269"/>
      <c r="AX58" s="269"/>
      <c r="AY58" s="269"/>
      <c r="AZ58" s="269"/>
      <c r="BA58" s="269"/>
      <c r="BB58" s="269"/>
      <c r="BC58" s="269"/>
      <c r="BD58" s="269"/>
      <c r="BE58" s="269"/>
      <c r="BF58" s="269"/>
      <c r="BG58" s="269"/>
      <c r="BH58" s="269"/>
      <c r="BI58" s="269"/>
      <c r="BJ58" s="269"/>
      <c r="BK58" s="269"/>
      <c r="BL58" s="269"/>
      <c r="BM58" s="269"/>
      <c r="BN58" s="269"/>
      <c r="BO58" s="269"/>
      <c r="BP58" s="269"/>
      <c r="BQ58" s="269"/>
      <c r="BR58" s="269"/>
      <c r="BS58" s="269"/>
      <c r="BT58" s="269"/>
      <c r="BU58" s="269"/>
      <c r="BV58" s="269"/>
      <c r="BW58" s="269"/>
      <c r="BX58" s="269"/>
      <c r="BY58" s="269"/>
      <c r="BZ58" s="269"/>
      <c r="CA58" s="269"/>
    </row>
    <row r="59" spans="1:79" s="270" customFormat="1" ht="19.350000000000001" customHeight="1" x14ac:dyDescent="0.25">
      <c r="A59" s="268"/>
      <c r="B59" s="267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268"/>
      <c r="W59" s="184"/>
      <c r="X59" s="269"/>
      <c r="Y59" s="269"/>
      <c r="Z59" s="269"/>
      <c r="AA59" s="269"/>
      <c r="AB59" s="269"/>
      <c r="AC59" s="269"/>
      <c r="AD59" s="269"/>
      <c r="AE59" s="269"/>
      <c r="AF59" s="269"/>
      <c r="AG59" s="269"/>
      <c r="AH59" s="269"/>
      <c r="AI59" s="269"/>
      <c r="AJ59" s="269"/>
      <c r="AK59" s="269"/>
      <c r="AL59" s="269"/>
      <c r="AM59" s="269"/>
      <c r="AN59" s="269"/>
      <c r="AO59" s="269"/>
      <c r="AP59" s="269"/>
      <c r="AQ59" s="269"/>
      <c r="AR59" s="269"/>
      <c r="AS59" s="269"/>
      <c r="AT59" s="269"/>
      <c r="AU59" s="269"/>
      <c r="AV59" s="269"/>
      <c r="AW59" s="269"/>
      <c r="AX59" s="269"/>
      <c r="AY59" s="269"/>
      <c r="AZ59" s="269"/>
      <c r="BA59" s="269"/>
      <c r="BB59" s="269"/>
      <c r="BC59" s="269"/>
      <c r="BD59" s="269"/>
      <c r="BE59" s="269"/>
      <c r="BF59" s="269"/>
      <c r="BG59" s="269"/>
      <c r="BH59" s="269"/>
      <c r="BI59" s="269"/>
      <c r="BJ59" s="269"/>
      <c r="BK59" s="269"/>
      <c r="BL59" s="269"/>
      <c r="BM59" s="269"/>
      <c r="BN59" s="269"/>
      <c r="BO59" s="269"/>
      <c r="BP59" s="269"/>
      <c r="BQ59" s="269"/>
      <c r="BR59" s="269"/>
      <c r="BS59" s="269"/>
      <c r="BT59" s="269"/>
      <c r="BU59" s="269"/>
      <c r="BV59" s="269"/>
      <c r="BW59" s="269"/>
      <c r="BX59" s="269"/>
      <c r="BY59" s="269"/>
      <c r="BZ59" s="269"/>
      <c r="CA59" s="269"/>
    </row>
    <row r="60" spans="1:79" s="270" customFormat="1" ht="19.350000000000001" customHeight="1" x14ac:dyDescent="0.25">
      <c r="A60" s="268"/>
      <c r="B60" s="267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268"/>
      <c r="W60" s="184"/>
      <c r="X60" s="269"/>
      <c r="Y60" s="269"/>
      <c r="Z60" s="269"/>
      <c r="AA60" s="269"/>
      <c r="AB60" s="269"/>
      <c r="AC60" s="269"/>
      <c r="AD60" s="269"/>
      <c r="AE60" s="269"/>
      <c r="AF60" s="269"/>
      <c r="AG60" s="269"/>
      <c r="AH60" s="269"/>
      <c r="AI60" s="269"/>
      <c r="AJ60" s="269"/>
      <c r="AK60" s="269"/>
      <c r="AL60" s="269"/>
      <c r="AM60" s="269"/>
      <c r="AN60" s="269"/>
      <c r="AO60" s="269"/>
      <c r="AP60" s="269"/>
      <c r="AQ60" s="269"/>
      <c r="AR60" s="269"/>
      <c r="AS60" s="269"/>
      <c r="AT60" s="269"/>
      <c r="AU60" s="269"/>
      <c r="AV60" s="269"/>
      <c r="AW60" s="269"/>
      <c r="AX60" s="269"/>
      <c r="AY60" s="269"/>
      <c r="AZ60" s="269"/>
      <c r="BA60" s="269"/>
      <c r="BB60" s="269"/>
      <c r="BC60" s="269"/>
      <c r="BD60" s="269"/>
      <c r="BE60" s="269"/>
      <c r="BF60" s="269"/>
      <c r="BG60" s="269"/>
      <c r="BH60" s="269"/>
      <c r="BI60" s="269"/>
      <c r="BJ60" s="269"/>
      <c r="BK60" s="269"/>
      <c r="BL60" s="269"/>
      <c r="BM60" s="269"/>
      <c r="BN60" s="269"/>
      <c r="BO60" s="269"/>
      <c r="BP60" s="269"/>
      <c r="BQ60" s="269"/>
      <c r="BR60" s="269"/>
      <c r="BS60" s="269"/>
      <c r="BT60" s="269"/>
      <c r="BU60" s="269"/>
      <c r="BV60" s="269"/>
      <c r="BW60" s="269"/>
      <c r="BX60" s="269"/>
      <c r="BY60" s="269"/>
      <c r="BZ60" s="269"/>
      <c r="CA60" s="269"/>
    </row>
    <row r="61" spans="1:79" s="270" customFormat="1" ht="19.350000000000001" customHeight="1" x14ac:dyDescent="0.25">
      <c r="A61" s="268"/>
      <c r="B61" s="267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268"/>
      <c r="W61" s="184"/>
      <c r="X61" s="269"/>
      <c r="Y61" s="269"/>
      <c r="Z61" s="269"/>
      <c r="AA61" s="269"/>
      <c r="AB61" s="269"/>
      <c r="AC61" s="269"/>
      <c r="AD61" s="269"/>
      <c r="AE61" s="269"/>
      <c r="AF61" s="269"/>
      <c r="AG61" s="269"/>
      <c r="AH61" s="269"/>
      <c r="AI61" s="269"/>
      <c r="AJ61" s="269"/>
      <c r="AK61" s="269"/>
      <c r="AL61" s="269"/>
      <c r="AM61" s="269"/>
      <c r="AN61" s="269"/>
      <c r="AO61" s="269"/>
      <c r="AP61" s="269"/>
      <c r="AQ61" s="269"/>
      <c r="AR61" s="269"/>
      <c r="AS61" s="269"/>
      <c r="AT61" s="269"/>
      <c r="AU61" s="269"/>
      <c r="AV61" s="269"/>
      <c r="AW61" s="269"/>
      <c r="AX61" s="269"/>
      <c r="AY61" s="269"/>
      <c r="AZ61" s="269"/>
      <c r="BA61" s="269"/>
      <c r="BB61" s="269"/>
      <c r="BC61" s="269"/>
      <c r="BD61" s="269"/>
      <c r="BE61" s="269"/>
      <c r="BF61" s="269"/>
      <c r="BG61" s="269"/>
      <c r="BH61" s="269"/>
      <c r="BI61" s="269"/>
      <c r="BJ61" s="269"/>
      <c r="BK61" s="269"/>
      <c r="BL61" s="269"/>
      <c r="BM61" s="269"/>
      <c r="BN61" s="269"/>
      <c r="BO61" s="269"/>
      <c r="BP61" s="269"/>
      <c r="BQ61" s="269"/>
      <c r="BR61" s="269"/>
      <c r="BS61" s="269"/>
      <c r="BT61" s="269"/>
      <c r="BU61" s="269"/>
      <c r="BV61" s="269"/>
      <c r="BW61" s="269"/>
      <c r="BX61" s="269"/>
      <c r="BY61" s="269"/>
      <c r="BZ61" s="269"/>
      <c r="CA61" s="269"/>
    </row>
    <row r="62" spans="1:79" s="270" customFormat="1" ht="19.350000000000001" customHeight="1" x14ac:dyDescent="0.25">
      <c r="A62" s="268"/>
      <c r="B62" s="267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268"/>
      <c r="W62" s="184"/>
      <c r="X62" s="269"/>
      <c r="Y62" s="269"/>
      <c r="Z62" s="269"/>
      <c r="AA62" s="269"/>
      <c r="AB62" s="269"/>
      <c r="AC62" s="269"/>
      <c r="AD62" s="269"/>
      <c r="AE62" s="269"/>
      <c r="AF62" s="269"/>
      <c r="AG62" s="269"/>
      <c r="AH62" s="269"/>
      <c r="AI62" s="269"/>
      <c r="AJ62" s="269"/>
      <c r="AK62" s="269"/>
      <c r="AL62" s="269"/>
      <c r="AM62" s="269"/>
      <c r="AN62" s="269"/>
      <c r="AO62" s="269"/>
      <c r="AP62" s="269"/>
      <c r="AQ62" s="269"/>
      <c r="AR62" s="269"/>
      <c r="AS62" s="269"/>
      <c r="AT62" s="269"/>
      <c r="AU62" s="269"/>
      <c r="AV62" s="269"/>
      <c r="AW62" s="269"/>
      <c r="AX62" s="269"/>
      <c r="AY62" s="269"/>
      <c r="AZ62" s="269"/>
      <c r="BA62" s="269"/>
      <c r="BB62" s="269"/>
      <c r="BC62" s="269"/>
      <c r="BD62" s="269"/>
      <c r="BE62" s="269"/>
      <c r="BF62" s="269"/>
      <c r="BG62" s="269"/>
      <c r="BH62" s="269"/>
      <c r="BI62" s="269"/>
      <c r="BJ62" s="269"/>
      <c r="BK62" s="269"/>
      <c r="BL62" s="269"/>
      <c r="BM62" s="269"/>
      <c r="BN62" s="269"/>
      <c r="BO62" s="269"/>
      <c r="BP62" s="269"/>
      <c r="BQ62" s="269"/>
      <c r="BR62" s="269"/>
      <c r="BS62" s="269"/>
      <c r="BT62" s="269"/>
      <c r="BU62" s="269"/>
      <c r="BV62" s="269"/>
      <c r="BW62" s="269"/>
      <c r="BX62" s="269"/>
      <c r="BY62" s="269"/>
      <c r="BZ62" s="269"/>
      <c r="CA62" s="269"/>
    </row>
    <row r="63" spans="1:79" s="270" customFormat="1" ht="19.350000000000001" customHeight="1" x14ac:dyDescent="0.25">
      <c r="A63" s="268"/>
      <c r="B63" s="267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268"/>
      <c r="W63" s="184"/>
      <c r="X63" s="269"/>
      <c r="Y63" s="269"/>
      <c r="Z63" s="269"/>
      <c r="AA63" s="269"/>
      <c r="AB63" s="269"/>
      <c r="AC63" s="269"/>
      <c r="AD63" s="269"/>
      <c r="AE63" s="269"/>
      <c r="AF63" s="269"/>
      <c r="AG63" s="269"/>
      <c r="AH63" s="269"/>
      <c r="AI63" s="269"/>
      <c r="AJ63" s="269"/>
      <c r="AK63" s="269"/>
      <c r="AL63" s="269"/>
      <c r="AM63" s="269"/>
      <c r="AN63" s="269"/>
      <c r="AO63" s="269"/>
      <c r="AP63" s="269"/>
      <c r="AQ63" s="269"/>
      <c r="AR63" s="269"/>
      <c r="AS63" s="269"/>
      <c r="AT63" s="269"/>
      <c r="AU63" s="269"/>
      <c r="AV63" s="269"/>
      <c r="AW63" s="269"/>
      <c r="AX63" s="269"/>
      <c r="AY63" s="269"/>
      <c r="AZ63" s="269"/>
      <c r="BA63" s="269"/>
      <c r="BB63" s="269"/>
      <c r="BC63" s="269"/>
      <c r="BD63" s="269"/>
      <c r="BE63" s="269"/>
      <c r="BF63" s="269"/>
      <c r="BG63" s="269"/>
      <c r="BH63" s="269"/>
      <c r="BI63" s="269"/>
      <c r="BJ63" s="269"/>
      <c r="BK63" s="269"/>
      <c r="BL63" s="269"/>
      <c r="BM63" s="269"/>
      <c r="BN63" s="269"/>
      <c r="BO63" s="269"/>
      <c r="BP63" s="269"/>
      <c r="BQ63" s="269"/>
      <c r="BR63" s="269"/>
      <c r="BS63" s="269"/>
      <c r="BT63" s="269"/>
      <c r="BU63" s="269"/>
      <c r="BV63" s="269"/>
      <c r="BW63" s="269"/>
      <c r="BX63" s="269"/>
      <c r="BY63" s="269"/>
      <c r="BZ63" s="269"/>
      <c r="CA63" s="269"/>
    </row>
    <row r="64" spans="1:79" s="270" customFormat="1" ht="19.350000000000001" customHeight="1" x14ac:dyDescent="0.25">
      <c r="A64" s="268"/>
      <c r="B64" s="267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268"/>
      <c r="W64" s="184"/>
      <c r="X64" s="269"/>
      <c r="Y64" s="269"/>
      <c r="Z64" s="269"/>
      <c r="AA64" s="269"/>
      <c r="AB64" s="269"/>
      <c r="AC64" s="269"/>
      <c r="AD64" s="269"/>
      <c r="AE64" s="269"/>
      <c r="AF64" s="269"/>
      <c r="AG64" s="269"/>
      <c r="AH64" s="269"/>
      <c r="AI64" s="269"/>
      <c r="AJ64" s="269"/>
      <c r="AK64" s="269"/>
      <c r="AL64" s="269"/>
      <c r="AM64" s="269"/>
      <c r="AN64" s="269"/>
      <c r="AO64" s="269"/>
      <c r="AP64" s="269"/>
      <c r="AQ64" s="269"/>
      <c r="AR64" s="269"/>
      <c r="AS64" s="269"/>
      <c r="AT64" s="269"/>
      <c r="AU64" s="269"/>
      <c r="AV64" s="269"/>
      <c r="AW64" s="269"/>
      <c r="AX64" s="269"/>
      <c r="AY64" s="269"/>
      <c r="AZ64" s="269"/>
      <c r="BA64" s="269"/>
      <c r="BB64" s="269"/>
      <c r="BC64" s="269"/>
      <c r="BD64" s="269"/>
      <c r="BE64" s="269"/>
      <c r="BF64" s="269"/>
      <c r="BG64" s="269"/>
      <c r="BH64" s="269"/>
      <c r="BI64" s="269"/>
      <c r="BJ64" s="269"/>
      <c r="BK64" s="269"/>
      <c r="BL64" s="269"/>
      <c r="BM64" s="269"/>
      <c r="BN64" s="269"/>
      <c r="BO64" s="269"/>
      <c r="BP64" s="269"/>
      <c r="BQ64" s="269"/>
      <c r="BR64" s="269"/>
      <c r="BS64" s="269"/>
      <c r="BT64" s="269"/>
      <c r="BU64" s="269"/>
      <c r="BV64" s="269"/>
      <c r="BW64" s="269"/>
      <c r="BX64" s="269"/>
      <c r="BY64" s="269"/>
      <c r="BZ64" s="269"/>
      <c r="CA64" s="269"/>
    </row>
    <row r="65" spans="1:79" s="270" customFormat="1" ht="19.350000000000001" customHeight="1" x14ac:dyDescent="0.25">
      <c r="A65" s="268"/>
      <c r="B65" s="267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268"/>
      <c r="W65" s="184"/>
      <c r="X65" s="269"/>
      <c r="Y65" s="269"/>
      <c r="Z65" s="269"/>
      <c r="AA65" s="269"/>
      <c r="AB65" s="269"/>
      <c r="AC65" s="269"/>
      <c r="AD65" s="269"/>
      <c r="AE65" s="269"/>
      <c r="AF65" s="269"/>
      <c r="AG65" s="269"/>
      <c r="AH65" s="269"/>
      <c r="AI65" s="269"/>
      <c r="AJ65" s="269"/>
      <c r="AK65" s="269"/>
      <c r="AL65" s="269"/>
      <c r="AM65" s="269"/>
      <c r="AN65" s="269"/>
      <c r="AO65" s="269"/>
      <c r="AP65" s="269"/>
      <c r="AQ65" s="269"/>
      <c r="AR65" s="269"/>
      <c r="AS65" s="269"/>
      <c r="AT65" s="269"/>
      <c r="AU65" s="269"/>
      <c r="AV65" s="269"/>
      <c r="AW65" s="269"/>
      <c r="AX65" s="269"/>
      <c r="AY65" s="269"/>
      <c r="AZ65" s="269"/>
      <c r="BA65" s="269"/>
      <c r="BB65" s="269"/>
      <c r="BC65" s="269"/>
      <c r="BD65" s="269"/>
      <c r="BE65" s="269"/>
      <c r="BF65" s="269"/>
      <c r="BG65" s="269"/>
      <c r="BH65" s="269"/>
      <c r="BI65" s="269"/>
      <c r="BJ65" s="269"/>
      <c r="BK65" s="269"/>
      <c r="BL65" s="269"/>
      <c r="BM65" s="269"/>
      <c r="BN65" s="269"/>
      <c r="BO65" s="269"/>
      <c r="BP65" s="269"/>
      <c r="BQ65" s="269"/>
      <c r="BR65" s="269"/>
      <c r="BS65" s="269"/>
      <c r="BT65" s="269"/>
      <c r="BU65" s="269"/>
      <c r="BV65" s="269"/>
      <c r="BW65" s="269"/>
      <c r="BX65" s="269"/>
      <c r="BY65" s="269"/>
      <c r="BZ65" s="269"/>
      <c r="CA65" s="269"/>
    </row>
    <row r="66" spans="1:79" s="270" customFormat="1" ht="19.350000000000001" customHeight="1" x14ac:dyDescent="0.25">
      <c r="A66" s="268"/>
      <c r="B66" s="267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268"/>
      <c r="W66" s="184"/>
      <c r="X66" s="269"/>
      <c r="Y66" s="269"/>
      <c r="Z66" s="269"/>
      <c r="AA66" s="269"/>
      <c r="AB66" s="269"/>
      <c r="AC66" s="269"/>
      <c r="AD66" s="269"/>
      <c r="AE66" s="269"/>
      <c r="AF66" s="269"/>
      <c r="AG66" s="269"/>
      <c r="AH66" s="269"/>
      <c r="AI66" s="269"/>
      <c r="AJ66" s="269"/>
      <c r="AK66" s="269"/>
      <c r="AL66" s="269"/>
      <c r="AM66" s="269"/>
      <c r="AN66" s="269"/>
      <c r="AO66" s="269"/>
      <c r="AP66" s="269"/>
      <c r="AQ66" s="269"/>
      <c r="AR66" s="269"/>
      <c r="AS66" s="269"/>
      <c r="AT66" s="269"/>
      <c r="AU66" s="269"/>
      <c r="AV66" s="269"/>
      <c r="AW66" s="269"/>
      <c r="AX66" s="269"/>
      <c r="AY66" s="269"/>
      <c r="AZ66" s="269"/>
      <c r="BA66" s="269"/>
      <c r="BB66" s="269"/>
      <c r="BC66" s="269"/>
      <c r="BD66" s="269"/>
      <c r="BE66" s="269"/>
      <c r="BF66" s="269"/>
      <c r="BG66" s="269"/>
      <c r="BH66" s="269"/>
      <c r="BI66" s="269"/>
      <c r="BJ66" s="269"/>
      <c r="BK66" s="269"/>
      <c r="BL66" s="269"/>
      <c r="BM66" s="269"/>
      <c r="BN66" s="269"/>
      <c r="BO66" s="269"/>
      <c r="BP66" s="269"/>
      <c r="BQ66" s="269"/>
      <c r="BR66" s="269"/>
      <c r="BS66" s="269"/>
      <c r="BT66" s="269"/>
      <c r="BU66" s="269"/>
      <c r="BV66" s="269"/>
      <c r="BW66" s="269"/>
      <c r="BX66" s="269"/>
      <c r="BY66" s="269"/>
      <c r="BZ66" s="269"/>
      <c r="CA66" s="269"/>
    </row>
    <row r="67" spans="1:79" s="270" customFormat="1" ht="19.350000000000001" customHeight="1" x14ac:dyDescent="0.25">
      <c r="A67" s="268"/>
      <c r="B67" s="267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268"/>
      <c r="W67" s="184"/>
      <c r="X67" s="269"/>
      <c r="Y67" s="269"/>
      <c r="Z67" s="269"/>
      <c r="AA67" s="269"/>
      <c r="AB67" s="269"/>
      <c r="AC67" s="269"/>
      <c r="AD67" s="269"/>
      <c r="AE67" s="269"/>
      <c r="AF67" s="269"/>
      <c r="AG67" s="269"/>
      <c r="AH67" s="269"/>
      <c r="AI67" s="269"/>
      <c r="AJ67" s="269"/>
      <c r="AK67" s="269"/>
      <c r="AL67" s="269"/>
      <c r="AM67" s="269"/>
      <c r="AN67" s="269"/>
      <c r="AO67" s="269"/>
      <c r="AP67" s="269"/>
      <c r="AQ67" s="269"/>
      <c r="AR67" s="269"/>
      <c r="AS67" s="269"/>
      <c r="AT67" s="269"/>
      <c r="AU67" s="269"/>
      <c r="AV67" s="269"/>
      <c r="AW67" s="269"/>
      <c r="AX67" s="269"/>
      <c r="AY67" s="269"/>
      <c r="AZ67" s="269"/>
      <c r="BA67" s="269"/>
      <c r="BB67" s="269"/>
      <c r="BC67" s="269"/>
      <c r="BD67" s="269"/>
      <c r="BE67" s="269"/>
      <c r="BF67" s="269"/>
      <c r="BG67" s="269"/>
      <c r="BH67" s="269"/>
      <c r="BI67" s="269"/>
      <c r="BJ67" s="269"/>
      <c r="BK67" s="269"/>
      <c r="BL67" s="269"/>
      <c r="BM67" s="269"/>
      <c r="BN67" s="269"/>
      <c r="BO67" s="269"/>
      <c r="BP67" s="269"/>
      <c r="BQ67" s="269"/>
      <c r="BR67" s="269"/>
      <c r="BS67" s="269"/>
      <c r="BT67" s="269"/>
      <c r="BU67" s="269"/>
      <c r="BV67" s="269"/>
      <c r="BW67" s="269"/>
      <c r="BX67" s="269"/>
      <c r="BY67" s="269"/>
      <c r="BZ67" s="269"/>
      <c r="CA67" s="269"/>
    </row>
    <row r="68" spans="1:79" ht="23.4" x14ac:dyDescent="0.45">
      <c r="A68" s="70"/>
      <c r="B68" s="74"/>
      <c r="C68" s="54" t="s">
        <v>119</v>
      </c>
      <c r="D68" s="54"/>
      <c r="E68" s="54"/>
      <c r="F68" s="54"/>
      <c r="G68" s="52"/>
      <c r="H68" s="96"/>
      <c r="I68" s="45"/>
      <c r="J68" s="96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0"/>
    </row>
    <row r="69" spans="1:79" s="412" customFormat="1" ht="35.4" customHeight="1" thickBot="1" x14ac:dyDescent="0.5">
      <c r="A69" s="70"/>
      <c r="B69" s="78"/>
      <c r="C69" s="410"/>
      <c r="D69" s="310"/>
      <c r="E69" s="310"/>
      <c r="F69" s="310" t="s">
        <v>120</v>
      </c>
      <c r="G69" s="311" t="s">
        <v>121</v>
      </c>
      <c r="H69" s="310" t="s">
        <v>122</v>
      </c>
      <c r="I69" s="310" t="s">
        <v>123</v>
      </c>
      <c r="J69" s="411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0"/>
      <c r="W69" s="289"/>
      <c r="X69" s="289"/>
      <c r="Y69" s="289"/>
      <c r="Z69" s="289"/>
      <c r="AA69" s="289"/>
      <c r="AB69" s="289"/>
      <c r="AC69" s="289"/>
      <c r="AD69" s="289"/>
      <c r="AE69" s="289"/>
      <c r="AF69" s="289"/>
      <c r="AG69" s="289"/>
      <c r="AH69" s="289"/>
      <c r="AI69" s="289"/>
      <c r="AJ69" s="289"/>
      <c r="AK69" s="289"/>
      <c r="AL69" s="289"/>
      <c r="AM69" s="289"/>
      <c r="AN69" s="289"/>
      <c r="AO69" s="289"/>
      <c r="AP69" s="289"/>
      <c r="AQ69" s="289"/>
      <c r="AR69" s="289"/>
      <c r="AS69" s="289"/>
      <c r="AT69" s="289"/>
      <c r="AU69" s="289"/>
      <c r="AV69" s="289"/>
      <c r="AW69" s="289"/>
      <c r="AX69" s="289"/>
      <c r="AY69" s="289"/>
      <c r="AZ69" s="289"/>
      <c r="BA69" s="289"/>
      <c r="BB69" s="289"/>
      <c r="BC69" s="289"/>
      <c r="BD69" s="289"/>
      <c r="BE69" s="289"/>
      <c r="BF69" s="289"/>
      <c r="BG69" s="289"/>
      <c r="BH69" s="289"/>
      <c r="BI69" s="289"/>
      <c r="BJ69" s="289"/>
      <c r="BK69" s="289"/>
      <c r="BL69" s="289"/>
      <c r="BM69" s="289"/>
      <c r="BN69" s="289"/>
      <c r="BO69" s="289"/>
      <c r="BP69" s="289"/>
      <c r="BQ69" s="289"/>
      <c r="BR69" s="289"/>
      <c r="BS69" s="289"/>
      <c r="BT69" s="289"/>
      <c r="BU69" s="289"/>
      <c r="BV69" s="289"/>
      <c r="BW69" s="289"/>
      <c r="BX69" s="289"/>
      <c r="BY69" s="289"/>
      <c r="BZ69" s="289"/>
      <c r="CA69" s="289"/>
    </row>
    <row r="70" spans="1:79" ht="23.4" x14ac:dyDescent="0.45">
      <c r="A70" s="70"/>
      <c r="B70" s="74"/>
      <c r="C70" s="312" t="s">
        <v>124</v>
      </c>
      <c r="D70" s="312"/>
      <c r="E70" s="313" t="s">
        <v>124</v>
      </c>
      <c r="F70" s="313">
        <f>COUNTIFS(si_analisis,1,epoca,1)/24</f>
        <v>373.25</v>
      </c>
      <c r="G70" s="313">
        <f>COUNTIFS(si_analisis,1,epoca,2)/24</f>
        <v>0</v>
      </c>
      <c r="H70" s="313">
        <f>COUNTIFS(si_analisis,1,epoca,3)/24</f>
        <v>0</v>
      </c>
      <c r="I70" s="313">
        <f>SUM(F70:H70)</f>
        <v>373.25</v>
      </c>
      <c r="J70" s="255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0"/>
    </row>
    <row r="71" spans="1:79" ht="23.4" x14ac:dyDescent="0.45">
      <c r="A71" s="70"/>
      <c r="B71" s="74"/>
      <c r="C71" s="320" t="s">
        <v>125</v>
      </c>
      <c r="D71" s="320"/>
      <c r="E71" s="307" t="s">
        <v>126</v>
      </c>
      <c r="F71" s="307">
        <f>+SUMIFS(energia,si_analisis,1,epoca,1)</f>
        <v>0</v>
      </c>
      <c r="G71" s="307">
        <f>+SUMIFS(energia,si_analisis,1,epoca,2)</f>
        <v>0</v>
      </c>
      <c r="H71" s="307">
        <f>+SUMIFS(energia,si_analisis,1,epoca,3)</f>
        <v>0</v>
      </c>
      <c r="I71" s="321">
        <f t="shared" ref="I71" si="26">SUM(F71:H71)</f>
        <v>0</v>
      </c>
      <c r="J71" s="255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0"/>
    </row>
    <row r="72" spans="1:79" ht="24" thickBot="1" x14ac:dyDescent="0.5">
      <c r="A72" s="70"/>
      <c r="B72" s="74"/>
      <c r="C72" s="314" t="s">
        <v>127</v>
      </c>
      <c r="D72" s="314"/>
      <c r="E72" s="308" t="s">
        <v>128</v>
      </c>
      <c r="F72" s="308">
        <f>+F71/F70*7</f>
        <v>0</v>
      </c>
      <c r="G72" s="308" t="e">
        <f t="shared" ref="G72:H72" si="27">+G71/G70*7</f>
        <v>#DIV/0!</v>
      </c>
      <c r="H72" s="308" t="e">
        <f t="shared" si="27"/>
        <v>#DIV/0!</v>
      </c>
      <c r="I72" s="308">
        <f>+I71/I70*7</f>
        <v>0</v>
      </c>
      <c r="J72" s="309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0"/>
    </row>
    <row r="73" spans="1:79" ht="23.4" x14ac:dyDescent="0.45">
      <c r="A73" s="70"/>
      <c r="B73" s="74"/>
      <c r="C73" s="315" t="s">
        <v>130</v>
      </c>
      <c r="D73" s="307"/>
      <c r="E73" s="307"/>
      <c r="F73" s="307">
        <f>+SUMIFS(energia,si_analisis,1,no_vacacional,1,epoca,1)</f>
        <v>0</v>
      </c>
      <c r="G73" s="307">
        <f>+SUMIFS(energia,si_analisis,1,no_vacacional,1,epoca,2)</f>
        <v>0</v>
      </c>
      <c r="H73" s="307">
        <f>+SUMIFS(energia,si_analisis,1,no_vacacional,1,epoca,3)</f>
        <v>0</v>
      </c>
      <c r="I73" s="307">
        <f>SUM(F73:H73)</f>
        <v>0</v>
      </c>
      <c r="J73" s="316" t="e">
        <f>+I73/$I$71</f>
        <v>#DIV/0!</v>
      </c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0"/>
    </row>
    <row r="74" spans="1:79" ht="23.4" x14ac:dyDescent="0.45">
      <c r="A74" s="70"/>
      <c r="B74" s="74"/>
      <c r="C74" s="315" t="s">
        <v>131</v>
      </c>
      <c r="D74" s="307"/>
      <c r="E74" s="307"/>
      <c r="F74" s="307">
        <f>+SUMIFS(energia,si_analisis,1,no_vacacional,0,epoca,1)</f>
        <v>0</v>
      </c>
      <c r="G74" s="307">
        <f>+SUMIFS(energia,si_analisis,1,no_vacacional,0,epoca,2)</f>
        <v>0</v>
      </c>
      <c r="H74" s="307">
        <f>+SUMIFS(energia,si_analisis,1,no_vacacional,0,epoca,3)</f>
        <v>0</v>
      </c>
      <c r="I74" s="307">
        <f>SUM(F74:H74)</f>
        <v>0</v>
      </c>
      <c r="J74" s="317" t="e">
        <f>+I74/$I$71</f>
        <v>#DIV/0!</v>
      </c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0"/>
    </row>
    <row r="75" spans="1:79" ht="23.4" x14ac:dyDescent="0.45">
      <c r="A75" s="70"/>
      <c r="B75" s="74"/>
      <c r="C75" s="315" t="s">
        <v>132</v>
      </c>
      <c r="D75" s="307"/>
      <c r="E75" s="307"/>
      <c r="F75" s="307" t="e">
        <f>F73/COUNTIFS(si_analisis,1,no_vacacional,1,epoca,1)*24*7</f>
        <v>#DIV/0!</v>
      </c>
      <c r="G75" s="307" t="e">
        <f>G73/COUNTIFS(si_analisis,1,no_vacacional,1,epoca,2)*24*7</f>
        <v>#DIV/0!</v>
      </c>
      <c r="H75" s="307" t="e">
        <f>H73/COUNTIFS(si_analisis,1,no_vacacional,1,epoca,3)*24*7</f>
        <v>#DIV/0!</v>
      </c>
      <c r="I75" s="307" t="e">
        <f>I73/COUNTIFS(si_analisis,1,no_vacacional,1)*24*7</f>
        <v>#DIV/0!</v>
      </c>
      <c r="J75" s="307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0"/>
    </row>
    <row r="76" spans="1:79" ht="23.4" x14ac:dyDescent="0.45">
      <c r="A76" s="70"/>
      <c r="B76" s="74"/>
      <c r="C76" s="315" t="s">
        <v>133</v>
      </c>
      <c r="D76" s="307"/>
      <c r="E76" s="307"/>
      <c r="F76" s="307">
        <f>F74/COUNTIFS(si_analisis,1,no_vacacional,0,epoca,1)*24*7</f>
        <v>0</v>
      </c>
      <c r="G76" s="307" t="e">
        <f>G74/COUNTIFS(si_analisis,1,no_vacacional,0,epoca,2)*24*7</f>
        <v>#DIV/0!</v>
      </c>
      <c r="H76" s="307" t="e">
        <f>H74/COUNTIFS(si_analisis,1,no_vacacional,0,epoca,3)*24*7</f>
        <v>#DIV/0!</v>
      </c>
      <c r="I76" s="307">
        <f>I74/COUNTIFS(si_analisis,1,no_vacacional,0)*24*7</f>
        <v>0</v>
      </c>
      <c r="J76" s="307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0"/>
    </row>
    <row r="77" spans="1:79" ht="23.4" x14ac:dyDescent="0.45">
      <c r="A77" s="70"/>
      <c r="B77" s="74"/>
      <c r="C77" s="267"/>
      <c r="D77" s="156" t="s">
        <v>225</v>
      </c>
      <c r="E77" s="267"/>
      <c r="F77" s="156"/>
      <c r="G77" s="267"/>
      <c r="H77" s="267"/>
      <c r="I77" s="156"/>
      <c r="J77" s="267"/>
      <c r="K77" s="267"/>
      <c r="L77" s="267"/>
      <c r="M77" s="267"/>
      <c r="N77" s="267"/>
      <c r="O77" s="267"/>
      <c r="P77" s="267"/>
      <c r="Q77" s="267"/>
      <c r="R77" s="267"/>
      <c r="S77" s="267"/>
      <c r="T77" s="267"/>
      <c r="U77" s="267"/>
      <c r="V77" s="70"/>
    </row>
    <row r="78" spans="1:79" ht="23.4" x14ac:dyDescent="0.45">
      <c r="A78" s="70"/>
      <c r="B78" s="74"/>
      <c r="C78" s="267"/>
      <c r="D78" s="267"/>
      <c r="E78" s="267"/>
      <c r="F78" s="267"/>
      <c r="G78" s="267"/>
      <c r="H78" s="267"/>
      <c r="I78" s="267"/>
      <c r="J78" s="267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267"/>
      <c r="V78" s="70"/>
    </row>
    <row r="79" spans="1:79" ht="23.4" x14ac:dyDescent="0.45">
      <c r="A79" s="70"/>
      <c r="B79" s="74"/>
      <c r="C79" s="267"/>
      <c r="D79" s="267"/>
      <c r="E79" s="267"/>
      <c r="F79" s="267"/>
      <c r="G79" s="267"/>
      <c r="H79" s="267"/>
      <c r="I79" s="267"/>
      <c r="J79" s="267"/>
      <c r="K79" s="267"/>
      <c r="L79" s="267"/>
      <c r="M79" s="267"/>
      <c r="N79" s="267"/>
      <c r="O79" s="267"/>
      <c r="P79" s="267"/>
      <c r="Q79" s="267"/>
      <c r="R79" s="267"/>
      <c r="S79" s="267"/>
      <c r="T79" s="267"/>
      <c r="U79" s="267"/>
      <c r="V79" s="70"/>
    </row>
    <row r="80" spans="1:79" ht="23.4" x14ac:dyDescent="0.45">
      <c r="A80" s="70"/>
      <c r="B80" s="73"/>
      <c r="C80" s="222" t="s">
        <v>146</v>
      </c>
      <c r="D80" s="221"/>
      <c r="E80" s="221"/>
      <c r="F80" s="221"/>
      <c r="G80" s="223" t="s">
        <v>84</v>
      </c>
      <c r="H80" s="224">
        <f>+E16</f>
        <v>0</v>
      </c>
      <c r="I80" s="225" t="s">
        <v>85</v>
      </c>
      <c r="J80" s="224">
        <f>+G16</f>
        <v>0</v>
      </c>
      <c r="M80" s="221"/>
      <c r="N80" s="221"/>
      <c r="O80" s="221"/>
      <c r="P80" s="221"/>
      <c r="Q80" s="221"/>
      <c r="R80" s="221"/>
      <c r="S80" s="221"/>
      <c r="T80" s="221"/>
      <c r="V80" s="70"/>
    </row>
    <row r="81" spans="1:69" ht="15" customHeight="1" thickBot="1" x14ac:dyDescent="0.5">
      <c r="A81" s="70"/>
      <c r="B81" s="95"/>
      <c r="C81" s="54"/>
      <c r="D81" s="54"/>
      <c r="E81" s="54"/>
      <c r="F81" s="54"/>
      <c r="G81" s="52"/>
      <c r="H81" s="96"/>
      <c r="I81" s="45"/>
      <c r="J81" s="96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74"/>
      <c r="V81" s="70"/>
    </row>
    <row r="82" spans="1:69" ht="24" thickTop="1" x14ac:dyDescent="0.45">
      <c r="A82" s="70"/>
      <c r="B82" s="74"/>
      <c r="C82" s="86" t="s">
        <v>267</v>
      </c>
      <c r="D82" s="86"/>
      <c r="E82" s="86"/>
      <c r="F82" s="8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74"/>
      <c r="V82" s="70"/>
      <c r="BB82" s="335" t="s">
        <v>257</v>
      </c>
      <c r="BC82" s="336"/>
      <c r="BD82" s="337"/>
      <c r="BE82" s="335" t="s">
        <v>258</v>
      </c>
      <c r="BF82" s="336"/>
      <c r="BG82" s="337"/>
    </row>
    <row r="83" spans="1:69" ht="9.6" customHeight="1" thickBot="1" x14ac:dyDescent="0.5">
      <c r="A83" s="70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0"/>
      <c r="BB83" s="338"/>
      <c r="BC83" s="339"/>
      <c r="BD83" s="340"/>
      <c r="BE83" s="338"/>
      <c r="BF83" s="339"/>
      <c r="BG83" s="340"/>
      <c r="BJ83" s="184" t="s">
        <v>147</v>
      </c>
    </row>
    <row r="84" spans="1:69" ht="36" customHeight="1" thickTop="1" thickBot="1" x14ac:dyDescent="0.5">
      <c r="A84" s="70"/>
      <c r="B84" s="74"/>
      <c r="C84" s="128" t="s">
        <v>148</v>
      </c>
      <c r="D84" s="128" t="s">
        <v>149</v>
      </c>
      <c r="E84" s="74"/>
      <c r="F84" s="129" t="s">
        <v>150</v>
      </c>
      <c r="G84" s="129" t="s">
        <v>151</v>
      </c>
      <c r="H84" s="129" t="s">
        <v>152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0"/>
      <c r="AN84" s="204">
        <v>1</v>
      </c>
      <c r="AO84" s="206">
        <v>2</v>
      </c>
      <c r="AP84" s="208">
        <v>3</v>
      </c>
      <c r="AQ84" s="206">
        <v>4</v>
      </c>
      <c r="AR84" s="208">
        <v>5</v>
      </c>
      <c r="AS84" s="206">
        <v>6</v>
      </c>
      <c r="AT84" s="208">
        <v>7</v>
      </c>
      <c r="AU84" s="210" t="s">
        <v>153</v>
      </c>
      <c r="AV84" s="211" t="s">
        <v>154</v>
      </c>
      <c r="AW84" s="210" t="s">
        <v>155</v>
      </c>
      <c r="AX84" s="211" t="s">
        <v>156</v>
      </c>
      <c r="AY84" s="210" t="s">
        <v>157</v>
      </c>
      <c r="AZ84" s="211" t="s">
        <v>158</v>
      </c>
      <c r="BA84" s="210" t="s">
        <v>159</v>
      </c>
      <c r="BB84" s="334" t="s">
        <v>243</v>
      </c>
      <c r="BC84" s="334" t="s">
        <v>241</v>
      </c>
      <c r="BD84" s="334" t="s">
        <v>242</v>
      </c>
      <c r="BE84" s="331" t="s">
        <v>251</v>
      </c>
      <c r="BF84" s="331" t="s">
        <v>255</v>
      </c>
      <c r="BG84" s="331" t="s">
        <v>256</v>
      </c>
      <c r="BH84" s="331"/>
      <c r="BJ84" s="204">
        <v>1</v>
      </c>
      <c r="BK84" s="206">
        <v>2</v>
      </c>
      <c r="BL84" s="208">
        <v>3</v>
      </c>
      <c r="BM84" s="206">
        <v>4</v>
      </c>
      <c r="BN84" s="208">
        <v>5</v>
      </c>
      <c r="BO84" s="206">
        <v>6</v>
      </c>
      <c r="BP84" s="208">
        <v>7</v>
      </c>
      <c r="BQ84" s="210" t="s">
        <v>160</v>
      </c>
    </row>
    <row r="85" spans="1:69" ht="23.4" x14ac:dyDescent="0.45">
      <c r="A85" s="70"/>
      <c r="B85" s="74"/>
      <c r="C85" s="74" t="s">
        <v>161</v>
      </c>
      <c r="D85" s="115"/>
      <c r="E85" s="115"/>
      <c r="F85" s="255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0"/>
      <c r="AN85" s="205" t="s">
        <v>40</v>
      </c>
      <c r="AO85" s="207" t="s">
        <v>41</v>
      </c>
      <c r="AP85" s="209" t="s">
        <v>42</v>
      </c>
      <c r="AQ85" s="207" t="s">
        <v>43</v>
      </c>
      <c r="AR85" s="209" t="s">
        <v>44</v>
      </c>
      <c r="AS85" s="207" t="s">
        <v>45</v>
      </c>
      <c r="AT85" s="209" t="s">
        <v>46</v>
      </c>
      <c r="AU85" s="207" t="s">
        <v>162</v>
      </c>
      <c r="AV85" s="209" t="s">
        <v>162</v>
      </c>
      <c r="AW85" s="207" t="s">
        <v>162</v>
      </c>
      <c r="AX85" s="209" t="s">
        <v>163</v>
      </c>
      <c r="AY85" s="207" t="s">
        <v>162</v>
      </c>
      <c r="AZ85" s="209" t="s">
        <v>162</v>
      </c>
      <c r="BA85" s="207" t="s">
        <v>162</v>
      </c>
      <c r="BB85" s="207" t="s">
        <v>162</v>
      </c>
      <c r="BC85" s="207" t="s">
        <v>162</v>
      </c>
      <c r="BD85" s="207" t="s">
        <v>162</v>
      </c>
      <c r="BE85" s="289"/>
      <c r="BF85" s="289"/>
      <c r="BG85" s="289"/>
      <c r="BH85" s="289"/>
      <c r="BJ85" s="205" t="s">
        <v>40</v>
      </c>
      <c r="BK85" s="207" t="s">
        <v>41</v>
      </c>
      <c r="BL85" s="209" t="s">
        <v>42</v>
      </c>
      <c r="BM85" s="207" t="s">
        <v>43</v>
      </c>
      <c r="BN85" s="209" t="s">
        <v>44</v>
      </c>
      <c r="BO85" s="207" t="s">
        <v>45</v>
      </c>
      <c r="BP85" s="209" t="s">
        <v>46</v>
      </c>
      <c r="BQ85" s="207" t="s">
        <v>164</v>
      </c>
    </row>
    <row r="86" spans="1:69" ht="23.4" x14ac:dyDescent="0.45">
      <c r="A86" s="70"/>
      <c r="B86" s="74"/>
      <c r="C86" s="74"/>
      <c r="D86" s="118" t="s">
        <v>165</v>
      </c>
      <c r="E86" s="119"/>
      <c r="F86" s="122" t="e">
        <f>+SUMIFS(energia,si_analisis,1,dia_setmana,"&lt;6",si_obert,1,no_vacacional,1)/E122</f>
        <v>#DIV/0!</v>
      </c>
      <c r="G86" s="130" t="e">
        <f>+SUMIFS(si_analisis,si_analisis,1,dia_setmana,"&lt;6",si_obert,1,no_vacacional,1)/E122</f>
        <v>#DIV/0!</v>
      </c>
      <c r="H86" s="130" t="str">
        <f>+IFERROR(F86/G86,"-")</f>
        <v>-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0"/>
      <c r="AM86" s="190">
        <f>+Y18</f>
        <v>0</v>
      </c>
      <c r="AN86" s="201" t="str">
        <f t="shared" ref="AN86:AN110" si="28">IFERROR(SUMIFS(energia,dia_setmana,AN$84,hora,$AM86,si_analisis,1,no_vacacional,1)/BJ86,"-")</f>
        <v>-</v>
      </c>
      <c r="AO86" s="201" t="str">
        <f t="shared" ref="AO86:AO110" si="29">IFERROR(SUMIFS(energia,dia_setmana,AO$84,hora,$AM86,si_analisis,1,no_vacacional,1)/BK86,"-")</f>
        <v>-</v>
      </c>
      <c r="AP86" s="201" t="str">
        <f t="shared" ref="AP86:AP110" si="30">IFERROR(SUMIFS(energia,dia_setmana,AP$84,hora,$AM86,si_analisis,1,no_vacacional,1)/BL86,"-")</f>
        <v>-</v>
      </c>
      <c r="AQ86" s="201" t="str">
        <f t="shared" ref="AQ86:AQ110" si="31">IFERROR(SUMIFS(energia,dia_setmana,AQ$84,hora,$AM86,si_analisis,1,no_vacacional,1)/BM86,"-")</f>
        <v>-</v>
      </c>
      <c r="AR86" s="201" t="str">
        <f t="shared" ref="AR86:AR110" si="32">IFERROR(SUMIFS(energia,dia_setmana,AR$84,hora,$AM86,si_analisis,1,no_vacacional,1)/BN86,"-")</f>
        <v>-</v>
      </c>
      <c r="AS86" s="201" t="str">
        <f t="shared" ref="AS86:AS110" si="33">IFERROR(SUMIFS(energia,dia_setmana,AS$84,hora,$AM86,si_analisis,1,no_vacacional,1)/BO86,"-")</f>
        <v>-</v>
      </c>
      <c r="AT86" s="201" t="str">
        <f t="shared" ref="AT86:AT110" si="34">IFERROR(SUMIFS(energia,dia_setmana,AT$84,hora,$AM86,si_analisis,1,no_vacacional,1)/BP86,"-")</f>
        <v>-</v>
      </c>
      <c r="AU86" s="202" t="e">
        <f>AVERAGE(AN86:AT86)</f>
        <v>#DIV/0!</v>
      </c>
      <c r="AV86" s="202" t="e">
        <f>AVERAGE(AN86:AR86)</f>
        <v>#DIV/0!</v>
      </c>
      <c r="AW86" s="202" t="e">
        <f>AVERAGE(AS86:AT86)</f>
        <v>#DIV/0!</v>
      </c>
      <c r="AX86" s="202" t="str">
        <f t="shared" ref="AX86:AX109" si="35">+IF(SUM(Z18:AD18)&gt;1,$H$86,$H$87)</f>
        <v>-</v>
      </c>
      <c r="AY86" s="201" t="e">
        <f>+AVERAGEIFS(energia,si_analisis,1,no_vacacional,1,dia_setmana,"&lt;6",hora,'Resultats - informe'!$AM86,epoca,1)</f>
        <v>#DIV/0!</v>
      </c>
      <c r="AZ86" s="201" t="e">
        <f>+AVERAGEIFS(energia,si_analisis,1,no_vacacional,1,dia_setmana,"&lt;6",hora,'Resultats - informe'!$AM86,epoca,2)</f>
        <v>#DIV/0!</v>
      </c>
      <c r="BA86" s="201" t="e">
        <f>+AVERAGEIFS(energia,si_analisis,1,no_vacacional,1,dia_setmana,"&lt;6",hora,'Resultats - informe'!$AM86,epoca,3)</f>
        <v>#DIV/0!</v>
      </c>
      <c r="BB86" s="201" t="e">
        <f t="shared" ref="BB86:BB109" si="36">+AVERAGEIFS(ener_facturada,si_analisis,1,no_vacacional,1,dia_setmana,"&lt;6",hora,$AM86)</f>
        <v>#DIV/0!</v>
      </c>
      <c r="BC86" s="201" t="e">
        <f t="shared" ref="BC86:BC109" si="37">+AVERAGEIFS(ener_autocons,si_analisis,1,no_vacacional,1,dia_setmana,"&lt;6",hora,$AM86)</f>
        <v>#DIV/0!</v>
      </c>
      <c r="BD86" s="201" t="e">
        <f t="shared" ref="BD86:BD109" si="38">+AVERAGEIFS(ener_excedent,si_analisis,1,no_vacacional,1,dia_setmana,"&lt;6",hora,$AM86)</f>
        <v>#DIV/0!</v>
      </c>
      <c r="BE86" s="187" t="str">
        <f>IFERROR((BB86+BC86)/BC86,"-")</f>
        <v>-</v>
      </c>
      <c r="BF86" s="329" t="e">
        <f t="shared" ref="BF86:BF109" si="39">+BC86*$Q$207</f>
        <v>#DIV/0!</v>
      </c>
      <c r="BG86" s="329" t="e">
        <f>+(BB86+BC86)-BF86</f>
        <v>#DIV/0!</v>
      </c>
      <c r="BH86" s="329"/>
      <c r="BI86" s="190">
        <f>+AM86</f>
        <v>0</v>
      </c>
      <c r="BJ86" s="212">
        <f t="shared" ref="BJ86:BP95" si="40">COUNTIFS(dia_setmana,BJ$84,hora,$BI86,si_analisis,1,no_vacacional,1)</f>
        <v>0</v>
      </c>
      <c r="BK86" s="212">
        <f t="shared" si="40"/>
        <v>0</v>
      </c>
      <c r="BL86" s="212">
        <f t="shared" si="40"/>
        <v>0</v>
      </c>
      <c r="BM86" s="212">
        <f t="shared" si="40"/>
        <v>0</v>
      </c>
      <c r="BN86" s="212">
        <f t="shared" si="40"/>
        <v>0</v>
      </c>
      <c r="BO86" s="212">
        <f t="shared" si="40"/>
        <v>0</v>
      </c>
      <c r="BP86" s="212">
        <f t="shared" si="40"/>
        <v>0</v>
      </c>
      <c r="BQ86" s="212">
        <f>SUM(BJ86:BP86)</f>
        <v>0</v>
      </c>
    </row>
    <row r="87" spans="1:69" ht="23.4" x14ac:dyDescent="0.45">
      <c r="A87" s="70"/>
      <c r="B87" s="74"/>
      <c r="C87" s="74"/>
      <c r="D87" s="118" t="s">
        <v>166</v>
      </c>
      <c r="E87" s="119"/>
      <c r="F87" s="130" t="e">
        <f>+SUMIFS(energia,si_analisis,1,dia_setmana,"&lt;6",si_obert,0,no_vacacional,1)/E122</f>
        <v>#DIV/0!</v>
      </c>
      <c r="G87" s="130" t="e">
        <f>+SUMIFS(si_analisis,si_analisis,1,dia_setmana,"&lt;6",si_obert,0,no_vacacional,1)/E122</f>
        <v>#DIV/0!</v>
      </c>
      <c r="H87" s="130" t="str">
        <f t="shared" ref="H87:H88" si="41">+IFERROR(F87/G87,"-")</f>
        <v>-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0"/>
      <c r="AM87" s="190">
        <f>+AM86+1</f>
        <v>1</v>
      </c>
      <c r="AN87" s="201" t="str">
        <f t="shared" si="28"/>
        <v>-</v>
      </c>
      <c r="AO87" s="201" t="str">
        <f t="shared" si="29"/>
        <v>-</v>
      </c>
      <c r="AP87" s="201" t="str">
        <f t="shared" si="30"/>
        <v>-</v>
      </c>
      <c r="AQ87" s="201" t="str">
        <f t="shared" si="31"/>
        <v>-</v>
      </c>
      <c r="AR87" s="201" t="str">
        <f t="shared" si="32"/>
        <v>-</v>
      </c>
      <c r="AS87" s="201" t="str">
        <f t="shared" si="33"/>
        <v>-</v>
      </c>
      <c r="AT87" s="201" t="str">
        <f t="shared" si="34"/>
        <v>-</v>
      </c>
      <c r="AU87" s="202" t="e">
        <f t="shared" ref="AU87:AU109" si="42">AVERAGE(AN87:AT87)</f>
        <v>#DIV/0!</v>
      </c>
      <c r="AV87" s="202" t="e">
        <f t="shared" ref="AV87:AV95" si="43">AVERAGE(AN87:AR87)</f>
        <v>#DIV/0!</v>
      </c>
      <c r="AW87" s="202" t="e">
        <f t="shared" ref="AW87:AW110" si="44">AVERAGE(AS87:AT87)</f>
        <v>#DIV/0!</v>
      </c>
      <c r="AX87" s="202" t="str">
        <f t="shared" si="35"/>
        <v>-</v>
      </c>
      <c r="AY87" s="201" t="e">
        <f>+AVERAGEIFS(energia,si_analisis,1,no_vacacional,1,dia_setmana,"&lt;6",hora,'Resultats - informe'!$AM87,epoca,1)</f>
        <v>#DIV/0!</v>
      </c>
      <c r="AZ87" s="201" t="e">
        <f>+AVERAGEIFS(energia,si_analisis,1,no_vacacional,1,dia_setmana,"&lt;6",hora,'Resultats - informe'!$AM87,epoca,2)</f>
        <v>#DIV/0!</v>
      </c>
      <c r="BA87" s="201" t="e">
        <f>+AVERAGEIFS(energia,si_analisis,1,no_vacacional,1,dia_setmana,"&lt;6",hora,'Resultats - informe'!$AM87,epoca,3)</f>
        <v>#DIV/0!</v>
      </c>
      <c r="BB87" s="201" t="e">
        <f t="shared" si="36"/>
        <v>#DIV/0!</v>
      </c>
      <c r="BC87" s="201" t="e">
        <f t="shared" si="37"/>
        <v>#DIV/0!</v>
      </c>
      <c r="BD87" s="201" t="e">
        <f t="shared" si="38"/>
        <v>#DIV/0!</v>
      </c>
      <c r="BE87" s="187" t="str">
        <f t="shared" ref="BE87:BE109" si="45">IFERROR((BB87+BC87)/BC87,"-")</f>
        <v>-</v>
      </c>
      <c r="BF87" s="329" t="e">
        <f t="shared" si="39"/>
        <v>#DIV/0!</v>
      </c>
      <c r="BG87" s="329" t="e">
        <f t="shared" ref="BG87:BG109" si="46">+(BB87+BC87)-BF87</f>
        <v>#DIV/0!</v>
      </c>
      <c r="BH87" s="329"/>
      <c r="BI87" s="190">
        <f>+BI86+1</f>
        <v>1</v>
      </c>
      <c r="BJ87" s="212">
        <f t="shared" si="40"/>
        <v>0</v>
      </c>
      <c r="BK87" s="212">
        <f t="shared" si="40"/>
        <v>0</v>
      </c>
      <c r="BL87" s="212">
        <f t="shared" si="40"/>
        <v>0</v>
      </c>
      <c r="BM87" s="212">
        <f t="shared" si="40"/>
        <v>0</v>
      </c>
      <c r="BN87" s="212">
        <f t="shared" si="40"/>
        <v>0</v>
      </c>
      <c r="BO87" s="212">
        <f t="shared" si="40"/>
        <v>0</v>
      </c>
      <c r="BP87" s="212">
        <f t="shared" si="40"/>
        <v>0</v>
      </c>
      <c r="BQ87" s="212">
        <f t="shared" ref="BQ87:BQ102" si="47">SUM(BJ87:BP87)</f>
        <v>0</v>
      </c>
    </row>
    <row r="88" spans="1:69" ht="23.4" x14ac:dyDescent="0.45">
      <c r="A88" s="70"/>
      <c r="B88" s="74"/>
      <c r="C88" s="74"/>
      <c r="D88" s="83" t="s">
        <v>167</v>
      </c>
      <c r="E88" s="74"/>
      <c r="F88" s="130" t="e">
        <f>+SUMIFS(energia,si_analisis,1,dia_setmana,"&lt;6",no_vacacional,1)/E122</f>
        <v>#DIV/0!</v>
      </c>
      <c r="G88" s="132" t="e">
        <f>+G87+G86</f>
        <v>#DIV/0!</v>
      </c>
      <c r="H88" s="130" t="str">
        <f t="shared" si="41"/>
        <v>-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0"/>
      <c r="AM88" s="190">
        <f>+AM87+1</f>
        <v>2</v>
      </c>
      <c r="AN88" s="201" t="str">
        <f t="shared" si="28"/>
        <v>-</v>
      </c>
      <c r="AO88" s="201" t="str">
        <f t="shared" si="29"/>
        <v>-</v>
      </c>
      <c r="AP88" s="201" t="str">
        <f t="shared" si="30"/>
        <v>-</v>
      </c>
      <c r="AQ88" s="201" t="str">
        <f t="shared" si="31"/>
        <v>-</v>
      </c>
      <c r="AR88" s="201" t="str">
        <f t="shared" si="32"/>
        <v>-</v>
      </c>
      <c r="AS88" s="201" t="str">
        <f t="shared" si="33"/>
        <v>-</v>
      </c>
      <c r="AT88" s="201" t="str">
        <f t="shared" si="34"/>
        <v>-</v>
      </c>
      <c r="AU88" s="202" t="e">
        <f t="shared" si="42"/>
        <v>#DIV/0!</v>
      </c>
      <c r="AV88" s="202" t="e">
        <f t="shared" si="43"/>
        <v>#DIV/0!</v>
      </c>
      <c r="AW88" s="202" t="e">
        <f t="shared" si="44"/>
        <v>#DIV/0!</v>
      </c>
      <c r="AX88" s="202" t="str">
        <f t="shared" si="35"/>
        <v>-</v>
      </c>
      <c r="AY88" s="201" t="e">
        <f>+AVERAGEIFS(energia,si_analisis,1,no_vacacional,1,dia_setmana,"&lt;6",hora,'Resultats - informe'!$AM88,epoca,1)</f>
        <v>#DIV/0!</v>
      </c>
      <c r="AZ88" s="201" t="e">
        <f>+AVERAGEIFS(energia,si_analisis,1,no_vacacional,1,dia_setmana,"&lt;6",hora,'Resultats - informe'!$AM88,epoca,2)</f>
        <v>#DIV/0!</v>
      </c>
      <c r="BA88" s="201" t="e">
        <f>+AVERAGEIFS(energia,si_analisis,1,no_vacacional,1,dia_setmana,"&lt;6",hora,'Resultats - informe'!$AM88,epoca,3)</f>
        <v>#DIV/0!</v>
      </c>
      <c r="BB88" s="201" t="e">
        <f t="shared" si="36"/>
        <v>#DIV/0!</v>
      </c>
      <c r="BC88" s="201" t="e">
        <f t="shared" si="37"/>
        <v>#DIV/0!</v>
      </c>
      <c r="BD88" s="201" t="e">
        <f t="shared" si="38"/>
        <v>#DIV/0!</v>
      </c>
      <c r="BE88" s="187" t="str">
        <f t="shared" si="45"/>
        <v>-</v>
      </c>
      <c r="BF88" s="329" t="e">
        <f t="shared" si="39"/>
        <v>#DIV/0!</v>
      </c>
      <c r="BG88" s="329" t="e">
        <f t="shared" si="46"/>
        <v>#DIV/0!</v>
      </c>
      <c r="BH88" s="329"/>
      <c r="BI88" s="190">
        <f>+BI87+1</f>
        <v>2</v>
      </c>
      <c r="BJ88" s="212">
        <f t="shared" si="40"/>
        <v>0</v>
      </c>
      <c r="BK88" s="212">
        <f t="shared" si="40"/>
        <v>0</v>
      </c>
      <c r="BL88" s="212">
        <f t="shared" si="40"/>
        <v>0</v>
      </c>
      <c r="BM88" s="212">
        <f t="shared" si="40"/>
        <v>0</v>
      </c>
      <c r="BN88" s="212">
        <f t="shared" si="40"/>
        <v>0</v>
      </c>
      <c r="BO88" s="212">
        <f t="shared" si="40"/>
        <v>0</v>
      </c>
      <c r="BP88" s="212">
        <f t="shared" si="40"/>
        <v>0</v>
      </c>
      <c r="BQ88" s="212">
        <f t="shared" si="47"/>
        <v>0</v>
      </c>
    </row>
    <row r="89" spans="1:69" ht="24" thickBot="1" x14ac:dyDescent="0.5">
      <c r="A89" s="70"/>
      <c r="B89" s="74"/>
      <c r="C89" s="263" t="s">
        <v>168</v>
      </c>
      <c r="D89" s="123" t="s">
        <v>169</v>
      </c>
      <c r="E89" s="134"/>
      <c r="F89" s="126" t="e">
        <f>+F87/F86</f>
        <v>#DIV/0!</v>
      </c>
      <c r="G89" s="135"/>
      <c r="H89" s="271" t="str">
        <f>IFERROR(H87/H86,"-")</f>
        <v>-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0"/>
      <c r="AM89" s="190">
        <f t="shared" ref="AM89:AM110" si="48">+AM88+1</f>
        <v>3</v>
      </c>
      <c r="AN89" s="201" t="str">
        <f t="shared" si="28"/>
        <v>-</v>
      </c>
      <c r="AO89" s="201" t="str">
        <f t="shared" si="29"/>
        <v>-</v>
      </c>
      <c r="AP89" s="201" t="str">
        <f t="shared" si="30"/>
        <v>-</v>
      </c>
      <c r="AQ89" s="201" t="str">
        <f t="shared" si="31"/>
        <v>-</v>
      </c>
      <c r="AR89" s="201" t="str">
        <f t="shared" si="32"/>
        <v>-</v>
      </c>
      <c r="AS89" s="201" t="str">
        <f t="shared" si="33"/>
        <v>-</v>
      </c>
      <c r="AT89" s="201" t="str">
        <f t="shared" si="34"/>
        <v>-</v>
      </c>
      <c r="AU89" s="202" t="e">
        <f t="shared" si="42"/>
        <v>#DIV/0!</v>
      </c>
      <c r="AV89" s="202" t="e">
        <f t="shared" si="43"/>
        <v>#DIV/0!</v>
      </c>
      <c r="AW89" s="202" t="e">
        <f t="shared" si="44"/>
        <v>#DIV/0!</v>
      </c>
      <c r="AX89" s="202" t="str">
        <f t="shared" si="35"/>
        <v>-</v>
      </c>
      <c r="AY89" s="201" t="e">
        <f>+AVERAGEIFS(energia,si_analisis,1,no_vacacional,1,dia_setmana,"&lt;6",hora,'Resultats - informe'!$AM89,epoca,1)</f>
        <v>#DIV/0!</v>
      </c>
      <c r="AZ89" s="201" t="e">
        <f>+AVERAGEIFS(energia,si_analisis,1,no_vacacional,1,dia_setmana,"&lt;6",hora,'Resultats - informe'!$AM89,epoca,2)</f>
        <v>#DIV/0!</v>
      </c>
      <c r="BA89" s="201" t="e">
        <f>+AVERAGEIFS(energia,si_analisis,1,no_vacacional,1,dia_setmana,"&lt;6",hora,'Resultats - informe'!$AM89,epoca,3)</f>
        <v>#DIV/0!</v>
      </c>
      <c r="BB89" s="201" t="e">
        <f t="shared" si="36"/>
        <v>#DIV/0!</v>
      </c>
      <c r="BC89" s="201" t="e">
        <f t="shared" si="37"/>
        <v>#DIV/0!</v>
      </c>
      <c r="BD89" s="201" t="e">
        <f t="shared" si="38"/>
        <v>#DIV/0!</v>
      </c>
      <c r="BE89" s="187" t="str">
        <f t="shared" si="45"/>
        <v>-</v>
      </c>
      <c r="BF89" s="329" t="e">
        <f t="shared" si="39"/>
        <v>#DIV/0!</v>
      </c>
      <c r="BG89" s="329" t="e">
        <f t="shared" si="46"/>
        <v>#DIV/0!</v>
      </c>
      <c r="BH89" s="329"/>
      <c r="BI89" s="190">
        <f t="shared" ref="BI89:BI102" si="49">+BI88+1</f>
        <v>3</v>
      </c>
      <c r="BJ89" s="212">
        <f t="shared" si="40"/>
        <v>0</v>
      </c>
      <c r="BK89" s="212">
        <f t="shared" si="40"/>
        <v>0</v>
      </c>
      <c r="BL89" s="212">
        <f t="shared" si="40"/>
        <v>0</v>
      </c>
      <c r="BM89" s="212">
        <f t="shared" si="40"/>
        <v>0</v>
      </c>
      <c r="BN89" s="212">
        <f t="shared" si="40"/>
        <v>0</v>
      </c>
      <c r="BO89" s="212">
        <f t="shared" si="40"/>
        <v>0</v>
      </c>
      <c r="BP89" s="212">
        <f t="shared" si="40"/>
        <v>0</v>
      </c>
      <c r="BQ89" s="212">
        <f t="shared" si="47"/>
        <v>0</v>
      </c>
    </row>
    <row r="90" spans="1:69" ht="23.4" x14ac:dyDescent="0.45">
      <c r="A90" s="70"/>
      <c r="B90" s="74"/>
      <c r="C90" s="74" t="s">
        <v>170</v>
      </c>
      <c r="D90" s="115"/>
      <c r="E90" s="115"/>
      <c r="F90" s="74"/>
      <c r="G90" s="136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0"/>
      <c r="AM90" s="190">
        <f t="shared" si="48"/>
        <v>4</v>
      </c>
      <c r="AN90" s="201" t="str">
        <f t="shared" si="28"/>
        <v>-</v>
      </c>
      <c r="AO90" s="201" t="str">
        <f t="shared" si="29"/>
        <v>-</v>
      </c>
      <c r="AP90" s="201" t="str">
        <f t="shared" si="30"/>
        <v>-</v>
      </c>
      <c r="AQ90" s="201" t="str">
        <f t="shared" si="31"/>
        <v>-</v>
      </c>
      <c r="AR90" s="201" t="str">
        <f t="shared" si="32"/>
        <v>-</v>
      </c>
      <c r="AS90" s="201" t="str">
        <f t="shared" si="33"/>
        <v>-</v>
      </c>
      <c r="AT90" s="201" t="str">
        <f t="shared" si="34"/>
        <v>-</v>
      </c>
      <c r="AU90" s="202" t="e">
        <f t="shared" si="42"/>
        <v>#DIV/0!</v>
      </c>
      <c r="AV90" s="202" t="e">
        <f t="shared" si="43"/>
        <v>#DIV/0!</v>
      </c>
      <c r="AW90" s="202" t="e">
        <f t="shared" si="44"/>
        <v>#DIV/0!</v>
      </c>
      <c r="AX90" s="202" t="str">
        <f t="shared" si="35"/>
        <v>-</v>
      </c>
      <c r="AY90" s="201" t="e">
        <f>+AVERAGEIFS(energia,si_analisis,1,no_vacacional,1,dia_setmana,"&lt;6",hora,'Resultats - informe'!$AM90,epoca,1)</f>
        <v>#DIV/0!</v>
      </c>
      <c r="AZ90" s="201" t="e">
        <f>+AVERAGEIFS(energia,si_analisis,1,no_vacacional,1,dia_setmana,"&lt;6",hora,'Resultats - informe'!$AM90,epoca,2)</f>
        <v>#DIV/0!</v>
      </c>
      <c r="BA90" s="201" t="e">
        <f>+AVERAGEIFS(energia,si_analisis,1,no_vacacional,1,dia_setmana,"&lt;6",hora,'Resultats - informe'!$AM90,epoca,3)</f>
        <v>#DIV/0!</v>
      </c>
      <c r="BB90" s="201" t="e">
        <f t="shared" si="36"/>
        <v>#DIV/0!</v>
      </c>
      <c r="BC90" s="201" t="e">
        <f t="shared" si="37"/>
        <v>#DIV/0!</v>
      </c>
      <c r="BD90" s="201" t="e">
        <f t="shared" si="38"/>
        <v>#DIV/0!</v>
      </c>
      <c r="BE90" s="187" t="str">
        <f t="shared" si="45"/>
        <v>-</v>
      </c>
      <c r="BF90" s="329" t="e">
        <f t="shared" si="39"/>
        <v>#DIV/0!</v>
      </c>
      <c r="BG90" s="329" t="e">
        <f t="shared" si="46"/>
        <v>#DIV/0!</v>
      </c>
      <c r="BH90" s="329"/>
      <c r="BI90" s="190">
        <f t="shared" si="49"/>
        <v>4</v>
      </c>
      <c r="BJ90" s="212">
        <f t="shared" si="40"/>
        <v>0</v>
      </c>
      <c r="BK90" s="212">
        <f t="shared" si="40"/>
        <v>0</v>
      </c>
      <c r="BL90" s="212">
        <f t="shared" si="40"/>
        <v>0</v>
      </c>
      <c r="BM90" s="212">
        <f t="shared" si="40"/>
        <v>0</v>
      </c>
      <c r="BN90" s="212">
        <f t="shared" si="40"/>
        <v>0</v>
      </c>
      <c r="BO90" s="212">
        <f t="shared" si="40"/>
        <v>0</v>
      </c>
      <c r="BP90" s="212">
        <f t="shared" si="40"/>
        <v>0</v>
      </c>
      <c r="BQ90" s="212">
        <f t="shared" si="47"/>
        <v>0</v>
      </c>
    </row>
    <row r="91" spans="1:69" ht="23.4" x14ac:dyDescent="0.45">
      <c r="A91" s="70"/>
      <c r="B91" s="74"/>
      <c r="C91" s="74"/>
      <c r="D91" s="118" t="s">
        <v>165</v>
      </c>
      <c r="E91" s="119"/>
      <c r="F91" s="130" t="e">
        <f>+SUMIFS(energia,si_analisis,1,dia_setmana,"&gt;=6",si_obert,1,no_vacacional,1)/E123</f>
        <v>#DIV/0!</v>
      </c>
      <c r="G91" s="130" t="e">
        <f>+SUMIFS(si_analisis,si_analisis,1,dia_setmana,"&gt;=6",si_obert,1,no_vacacional,1)/E123</f>
        <v>#DIV/0!</v>
      </c>
      <c r="H91" s="130" t="str">
        <f>+IFERROR(F91/G91,"-")</f>
        <v>-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0"/>
      <c r="AM91" s="190">
        <f t="shared" si="48"/>
        <v>5</v>
      </c>
      <c r="AN91" s="201" t="str">
        <f t="shared" si="28"/>
        <v>-</v>
      </c>
      <c r="AO91" s="201" t="str">
        <f t="shared" si="29"/>
        <v>-</v>
      </c>
      <c r="AP91" s="201" t="str">
        <f t="shared" si="30"/>
        <v>-</v>
      </c>
      <c r="AQ91" s="201" t="str">
        <f t="shared" si="31"/>
        <v>-</v>
      </c>
      <c r="AR91" s="201" t="str">
        <f t="shared" si="32"/>
        <v>-</v>
      </c>
      <c r="AS91" s="201" t="str">
        <f t="shared" si="33"/>
        <v>-</v>
      </c>
      <c r="AT91" s="201" t="str">
        <f t="shared" si="34"/>
        <v>-</v>
      </c>
      <c r="AU91" s="202" t="e">
        <f t="shared" si="42"/>
        <v>#DIV/0!</v>
      </c>
      <c r="AV91" s="202" t="e">
        <f t="shared" si="43"/>
        <v>#DIV/0!</v>
      </c>
      <c r="AW91" s="202" t="e">
        <f t="shared" si="44"/>
        <v>#DIV/0!</v>
      </c>
      <c r="AX91" s="202" t="str">
        <f t="shared" si="35"/>
        <v>-</v>
      </c>
      <c r="AY91" s="201" t="e">
        <f>+AVERAGEIFS(energia,si_analisis,1,no_vacacional,1,dia_setmana,"&lt;6",hora,'Resultats - informe'!$AM91,epoca,1)</f>
        <v>#DIV/0!</v>
      </c>
      <c r="AZ91" s="201" t="e">
        <f>+AVERAGEIFS(energia,si_analisis,1,no_vacacional,1,dia_setmana,"&lt;6",hora,'Resultats - informe'!$AM91,epoca,2)</f>
        <v>#DIV/0!</v>
      </c>
      <c r="BA91" s="201" t="e">
        <f>+AVERAGEIFS(energia,si_analisis,1,no_vacacional,1,dia_setmana,"&lt;6",hora,'Resultats - informe'!$AM91,epoca,3)</f>
        <v>#DIV/0!</v>
      </c>
      <c r="BB91" s="201" t="e">
        <f t="shared" si="36"/>
        <v>#DIV/0!</v>
      </c>
      <c r="BC91" s="201" t="e">
        <f t="shared" si="37"/>
        <v>#DIV/0!</v>
      </c>
      <c r="BD91" s="201" t="e">
        <f t="shared" si="38"/>
        <v>#DIV/0!</v>
      </c>
      <c r="BE91" s="187" t="str">
        <f t="shared" si="45"/>
        <v>-</v>
      </c>
      <c r="BF91" s="329" t="e">
        <f t="shared" si="39"/>
        <v>#DIV/0!</v>
      </c>
      <c r="BG91" s="329" t="e">
        <f t="shared" si="46"/>
        <v>#DIV/0!</v>
      </c>
      <c r="BH91" s="329"/>
      <c r="BI91" s="190">
        <f t="shared" si="49"/>
        <v>5</v>
      </c>
      <c r="BJ91" s="212">
        <f t="shared" si="40"/>
        <v>0</v>
      </c>
      <c r="BK91" s="212">
        <f t="shared" si="40"/>
        <v>0</v>
      </c>
      <c r="BL91" s="212">
        <f t="shared" si="40"/>
        <v>0</v>
      </c>
      <c r="BM91" s="212">
        <f t="shared" si="40"/>
        <v>0</v>
      </c>
      <c r="BN91" s="212">
        <f t="shared" si="40"/>
        <v>0</v>
      </c>
      <c r="BO91" s="212">
        <f t="shared" si="40"/>
        <v>0</v>
      </c>
      <c r="BP91" s="212">
        <f t="shared" si="40"/>
        <v>0</v>
      </c>
      <c r="BQ91" s="212">
        <f t="shared" si="47"/>
        <v>0</v>
      </c>
    </row>
    <row r="92" spans="1:69" ht="23.4" x14ac:dyDescent="0.45">
      <c r="A92" s="70"/>
      <c r="B92" s="74"/>
      <c r="C92" s="74"/>
      <c r="D92" s="118" t="s">
        <v>166</v>
      </c>
      <c r="E92" s="119"/>
      <c r="F92" s="130" t="e">
        <f>+SUMIFS(energia,si_analisis,1,dia_setmana,"&gt;=6",si_obert,0,no_vacacional,1)/E123</f>
        <v>#DIV/0!</v>
      </c>
      <c r="G92" s="130" t="e">
        <f>+SUMIFS(si_analisis,si_analisis,1,dia_setmana,"&gt;=6",si_obert,0,no_vacacional,1)/E123</f>
        <v>#DIV/0!</v>
      </c>
      <c r="H92" s="148" t="str">
        <f t="shared" ref="H92:H93" si="50">+IFERROR(F92/G92,"-")</f>
        <v>-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0"/>
      <c r="AM92" s="190">
        <f t="shared" si="48"/>
        <v>6</v>
      </c>
      <c r="AN92" s="201" t="str">
        <f t="shared" si="28"/>
        <v>-</v>
      </c>
      <c r="AO92" s="201" t="str">
        <f t="shared" si="29"/>
        <v>-</v>
      </c>
      <c r="AP92" s="201" t="str">
        <f t="shared" si="30"/>
        <v>-</v>
      </c>
      <c r="AQ92" s="201" t="str">
        <f t="shared" si="31"/>
        <v>-</v>
      </c>
      <c r="AR92" s="201" t="str">
        <f t="shared" si="32"/>
        <v>-</v>
      </c>
      <c r="AS92" s="201" t="str">
        <f t="shared" si="33"/>
        <v>-</v>
      </c>
      <c r="AT92" s="201" t="str">
        <f t="shared" si="34"/>
        <v>-</v>
      </c>
      <c r="AU92" s="202" t="e">
        <f t="shared" si="42"/>
        <v>#DIV/0!</v>
      </c>
      <c r="AV92" s="202" t="e">
        <f t="shared" si="43"/>
        <v>#DIV/0!</v>
      </c>
      <c r="AW92" s="202" t="e">
        <f t="shared" si="44"/>
        <v>#DIV/0!</v>
      </c>
      <c r="AX92" s="202" t="str">
        <f t="shared" si="35"/>
        <v>-</v>
      </c>
      <c r="AY92" s="201" t="e">
        <f>+AVERAGEIFS(energia,si_analisis,1,no_vacacional,1,dia_setmana,"&lt;6",hora,'Resultats - informe'!$AM92,epoca,1)</f>
        <v>#DIV/0!</v>
      </c>
      <c r="AZ92" s="201" t="e">
        <f>+AVERAGEIFS(energia,si_analisis,1,no_vacacional,1,dia_setmana,"&lt;6",hora,'Resultats - informe'!$AM92,epoca,2)</f>
        <v>#DIV/0!</v>
      </c>
      <c r="BA92" s="201" t="e">
        <f>+AVERAGEIFS(energia,si_analisis,1,no_vacacional,1,dia_setmana,"&lt;6",hora,'Resultats - informe'!$AM92,epoca,3)</f>
        <v>#DIV/0!</v>
      </c>
      <c r="BB92" s="201" t="e">
        <f t="shared" si="36"/>
        <v>#DIV/0!</v>
      </c>
      <c r="BC92" s="201" t="e">
        <f t="shared" si="37"/>
        <v>#DIV/0!</v>
      </c>
      <c r="BD92" s="201" t="e">
        <f t="shared" si="38"/>
        <v>#DIV/0!</v>
      </c>
      <c r="BE92" s="187" t="str">
        <f t="shared" si="45"/>
        <v>-</v>
      </c>
      <c r="BF92" s="329" t="e">
        <f t="shared" si="39"/>
        <v>#DIV/0!</v>
      </c>
      <c r="BG92" s="329" t="e">
        <f t="shared" si="46"/>
        <v>#DIV/0!</v>
      </c>
      <c r="BH92" s="329"/>
      <c r="BI92" s="190">
        <f t="shared" si="49"/>
        <v>6</v>
      </c>
      <c r="BJ92" s="212">
        <f t="shared" si="40"/>
        <v>0</v>
      </c>
      <c r="BK92" s="212">
        <f t="shared" si="40"/>
        <v>0</v>
      </c>
      <c r="BL92" s="212">
        <f t="shared" si="40"/>
        <v>0</v>
      </c>
      <c r="BM92" s="212">
        <f t="shared" si="40"/>
        <v>0</v>
      </c>
      <c r="BN92" s="212">
        <f t="shared" si="40"/>
        <v>0</v>
      </c>
      <c r="BO92" s="212">
        <f t="shared" si="40"/>
        <v>0</v>
      </c>
      <c r="BP92" s="212">
        <f t="shared" si="40"/>
        <v>0</v>
      </c>
      <c r="BQ92" s="212">
        <f t="shared" si="47"/>
        <v>0</v>
      </c>
    </row>
    <row r="93" spans="1:69" ht="23.4" x14ac:dyDescent="0.45">
      <c r="A93" s="70"/>
      <c r="B93" s="74"/>
      <c r="C93" s="74"/>
      <c r="D93" s="83" t="s">
        <v>167</v>
      </c>
      <c r="E93" s="74"/>
      <c r="F93" s="130" t="e">
        <f>+SUMIFS(energia,si_analisis,1,dia_setmana,"&gt;=6",no_vacacional,1)/E123</f>
        <v>#DIV/0!</v>
      </c>
      <c r="G93" s="132" t="e">
        <f>+G92+G91</f>
        <v>#DIV/0!</v>
      </c>
      <c r="H93" s="130" t="str">
        <f t="shared" si="50"/>
        <v>-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0"/>
      <c r="AM93" s="190">
        <f t="shared" si="48"/>
        <v>7</v>
      </c>
      <c r="AN93" s="201" t="str">
        <f t="shared" si="28"/>
        <v>-</v>
      </c>
      <c r="AO93" s="201" t="str">
        <f t="shared" si="29"/>
        <v>-</v>
      </c>
      <c r="AP93" s="201" t="str">
        <f t="shared" si="30"/>
        <v>-</v>
      </c>
      <c r="AQ93" s="201" t="str">
        <f t="shared" si="31"/>
        <v>-</v>
      </c>
      <c r="AR93" s="201" t="str">
        <f t="shared" si="32"/>
        <v>-</v>
      </c>
      <c r="AS93" s="201" t="str">
        <f t="shared" si="33"/>
        <v>-</v>
      </c>
      <c r="AT93" s="201" t="str">
        <f t="shared" si="34"/>
        <v>-</v>
      </c>
      <c r="AU93" s="202" t="e">
        <f t="shared" si="42"/>
        <v>#DIV/0!</v>
      </c>
      <c r="AV93" s="202" t="e">
        <f t="shared" si="43"/>
        <v>#DIV/0!</v>
      </c>
      <c r="AW93" s="202" t="e">
        <f t="shared" si="44"/>
        <v>#DIV/0!</v>
      </c>
      <c r="AX93" s="202" t="str">
        <f t="shared" si="35"/>
        <v>-</v>
      </c>
      <c r="AY93" s="201" t="e">
        <f>+AVERAGEIFS(energia,si_analisis,1,no_vacacional,1,dia_setmana,"&lt;6",hora,'Resultats - informe'!$AM93,epoca,1)</f>
        <v>#DIV/0!</v>
      </c>
      <c r="AZ93" s="201" t="e">
        <f>+AVERAGEIFS(energia,si_analisis,1,no_vacacional,1,dia_setmana,"&lt;6",hora,'Resultats - informe'!$AM93,epoca,2)</f>
        <v>#DIV/0!</v>
      </c>
      <c r="BA93" s="201" t="e">
        <f>+AVERAGEIFS(energia,si_analisis,1,no_vacacional,1,dia_setmana,"&lt;6",hora,'Resultats - informe'!$AM93,epoca,3)</f>
        <v>#DIV/0!</v>
      </c>
      <c r="BB93" s="201" t="e">
        <f t="shared" si="36"/>
        <v>#DIV/0!</v>
      </c>
      <c r="BC93" s="201" t="e">
        <f t="shared" si="37"/>
        <v>#DIV/0!</v>
      </c>
      <c r="BD93" s="201" t="e">
        <f t="shared" si="38"/>
        <v>#DIV/0!</v>
      </c>
      <c r="BE93" s="187" t="str">
        <f t="shared" si="45"/>
        <v>-</v>
      </c>
      <c r="BF93" s="329" t="e">
        <f t="shared" si="39"/>
        <v>#DIV/0!</v>
      </c>
      <c r="BG93" s="329" t="e">
        <f t="shared" si="46"/>
        <v>#DIV/0!</v>
      </c>
      <c r="BH93" s="329"/>
      <c r="BI93" s="190">
        <f t="shared" si="49"/>
        <v>7</v>
      </c>
      <c r="BJ93" s="212">
        <f t="shared" si="40"/>
        <v>0</v>
      </c>
      <c r="BK93" s="212">
        <f t="shared" si="40"/>
        <v>0</v>
      </c>
      <c r="BL93" s="212">
        <f t="shared" si="40"/>
        <v>0</v>
      </c>
      <c r="BM93" s="212">
        <f t="shared" si="40"/>
        <v>0</v>
      </c>
      <c r="BN93" s="212">
        <f t="shared" si="40"/>
        <v>0</v>
      </c>
      <c r="BO93" s="212">
        <f t="shared" si="40"/>
        <v>0</v>
      </c>
      <c r="BP93" s="212">
        <f t="shared" si="40"/>
        <v>0</v>
      </c>
      <c r="BQ93" s="212">
        <f t="shared" si="47"/>
        <v>0</v>
      </c>
    </row>
    <row r="94" spans="1:69" ht="24" thickBot="1" x14ac:dyDescent="0.5">
      <c r="A94" s="70"/>
      <c r="B94" s="74"/>
      <c r="C94" s="133"/>
      <c r="D94" s="123" t="s">
        <v>169</v>
      </c>
      <c r="E94" s="134"/>
      <c r="F94" s="126">
        <f>IFERROR(F92/F91,)</f>
        <v>0</v>
      </c>
      <c r="G94" s="126"/>
      <c r="H94" s="126" t="str">
        <f>IFERROR(H92/H91,"-")</f>
        <v>-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0"/>
      <c r="AM94" s="190">
        <f t="shared" si="48"/>
        <v>8</v>
      </c>
      <c r="AN94" s="201" t="str">
        <f t="shared" si="28"/>
        <v>-</v>
      </c>
      <c r="AO94" s="201" t="str">
        <f t="shared" si="29"/>
        <v>-</v>
      </c>
      <c r="AP94" s="201" t="str">
        <f t="shared" si="30"/>
        <v>-</v>
      </c>
      <c r="AQ94" s="201" t="str">
        <f t="shared" si="31"/>
        <v>-</v>
      </c>
      <c r="AR94" s="201" t="str">
        <f t="shared" si="32"/>
        <v>-</v>
      </c>
      <c r="AS94" s="201" t="str">
        <f t="shared" si="33"/>
        <v>-</v>
      </c>
      <c r="AT94" s="201" t="str">
        <f t="shared" si="34"/>
        <v>-</v>
      </c>
      <c r="AU94" s="202" t="e">
        <f t="shared" si="42"/>
        <v>#DIV/0!</v>
      </c>
      <c r="AV94" s="202" t="e">
        <f t="shared" si="43"/>
        <v>#DIV/0!</v>
      </c>
      <c r="AW94" s="202" t="e">
        <f t="shared" si="44"/>
        <v>#DIV/0!</v>
      </c>
      <c r="AX94" s="202" t="str">
        <f t="shared" si="35"/>
        <v>-</v>
      </c>
      <c r="AY94" s="201" t="e">
        <f>+AVERAGEIFS(energia,si_analisis,1,no_vacacional,1,dia_setmana,"&lt;6",hora,'Resultats - informe'!$AM94,epoca,1)</f>
        <v>#DIV/0!</v>
      </c>
      <c r="AZ94" s="201" t="e">
        <f>+AVERAGEIFS(energia,si_analisis,1,no_vacacional,1,dia_setmana,"&lt;6",hora,'Resultats - informe'!$AM94,epoca,2)</f>
        <v>#DIV/0!</v>
      </c>
      <c r="BA94" s="201" t="e">
        <f>+AVERAGEIFS(energia,si_analisis,1,no_vacacional,1,dia_setmana,"&lt;6",hora,'Resultats - informe'!$AM94,epoca,3)</f>
        <v>#DIV/0!</v>
      </c>
      <c r="BB94" s="201" t="e">
        <f t="shared" si="36"/>
        <v>#DIV/0!</v>
      </c>
      <c r="BC94" s="201" t="e">
        <f t="shared" si="37"/>
        <v>#DIV/0!</v>
      </c>
      <c r="BD94" s="201" t="e">
        <f t="shared" si="38"/>
        <v>#DIV/0!</v>
      </c>
      <c r="BE94" s="187" t="str">
        <f t="shared" si="45"/>
        <v>-</v>
      </c>
      <c r="BF94" s="329" t="e">
        <f t="shared" si="39"/>
        <v>#DIV/0!</v>
      </c>
      <c r="BG94" s="329" t="e">
        <f t="shared" si="46"/>
        <v>#DIV/0!</v>
      </c>
      <c r="BH94" s="329"/>
      <c r="BI94" s="190">
        <f t="shared" si="49"/>
        <v>8</v>
      </c>
      <c r="BJ94" s="212">
        <f t="shared" si="40"/>
        <v>0</v>
      </c>
      <c r="BK94" s="212">
        <f t="shared" si="40"/>
        <v>0</v>
      </c>
      <c r="BL94" s="212">
        <f t="shared" si="40"/>
        <v>0</v>
      </c>
      <c r="BM94" s="212">
        <f t="shared" si="40"/>
        <v>0</v>
      </c>
      <c r="BN94" s="212">
        <f t="shared" si="40"/>
        <v>0</v>
      </c>
      <c r="BO94" s="212">
        <f t="shared" si="40"/>
        <v>0</v>
      </c>
      <c r="BP94" s="212">
        <f t="shared" si="40"/>
        <v>0</v>
      </c>
      <c r="BQ94" s="212">
        <f t="shared" si="47"/>
        <v>0</v>
      </c>
    </row>
    <row r="95" spans="1:69" ht="23.4" x14ac:dyDescent="0.45">
      <c r="A95" s="70"/>
      <c r="B95" s="74"/>
      <c r="C95" s="74" t="s">
        <v>199</v>
      </c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0"/>
      <c r="AM95" s="190">
        <f>+AM94+1</f>
        <v>9</v>
      </c>
      <c r="AN95" s="201" t="str">
        <f t="shared" si="28"/>
        <v>-</v>
      </c>
      <c r="AO95" s="201" t="str">
        <f t="shared" si="29"/>
        <v>-</v>
      </c>
      <c r="AP95" s="201" t="str">
        <f t="shared" si="30"/>
        <v>-</v>
      </c>
      <c r="AQ95" s="201" t="str">
        <f t="shared" si="31"/>
        <v>-</v>
      </c>
      <c r="AR95" s="201" t="str">
        <f t="shared" si="32"/>
        <v>-</v>
      </c>
      <c r="AS95" s="201" t="str">
        <f t="shared" si="33"/>
        <v>-</v>
      </c>
      <c r="AT95" s="201" t="str">
        <f t="shared" si="34"/>
        <v>-</v>
      </c>
      <c r="AU95" s="202" t="e">
        <f t="shared" si="42"/>
        <v>#DIV/0!</v>
      </c>
      <c r="AV95" s="202" t="e">
        <f t="shared" si="43"/>
        <v>#DIV/0!</v>
      </c>
      <c r="AW95" s="202" t="e">
        <f t="shared" si="44"/>
        <v>#DIV/0!</v>
      </c>
      <c r="AX95" s="202" t="str">
        <f t="shared" si="35"/>
        <v>-</v>
      </c>
      <c r="AY95" s="201" t="e">
        <f>+AVERAGEIFS(energia,si_analisis,1,no_vacacional,1,dia_setmana,"&lt;6",hora,'Resultats - informe'!$AM95,epoca,1)</f>
        <v>#DIV/0!</v>
      </c>
      <c r="AZ95" s="201" t="e">
        <f>+AVERAGEIFS(energia,si_analisis,1,no_vacacional,1,dia_setmana,"&lt;6",hora,'Resultats - informe'!$AM95,epoca,2)</f>
        <v>#DIV/0!</v>
      </c>
      <c r="BA95" s="201" t="e">
        <f>+AVERAGEIFS(energia,si_analisis,1,no_vacacional,1,dia_setmana,"&lt;6",hora,'Resultats - informe'!$AM95,epoca,3)</f>
        <v>#DIV/0!</v>
      </c>
      <c r="BB95" s="201" t="e">
        <f t="shared" si="36"/>
        <v>#DIV/0!</v>
      </c>
      <c r="BC95" s="201" t="e">
        <f t="shared" si="37"/>
        <v>#DIV/0!</v>
      </c>
      <c r="BD95" s="201" t="e">
        <f t="shared" si="38"/>
        <v>#DIV/0!</v>
      </c>
      <c r="BE95" s="187" t="str">
        <f t="shared" si="45"/>
        <v>-</v>
      </c>
      <c r="BF95" s="329" t="e">
        <f t="shared" si="39"/>
        <v>#DIV/0!</v>
      </c>
      <c r="BG95" s="329" t="e">
        <f t="shared" si="46"/>
        <v>#DIV/0!</v>
      </c>
      <c r="BH95" s="329"/>
      <c r="BI95" s="190">
        <f>+BI94+1</f>
        <v>9</v>
      </c>
      <c r="BJ95" s="212">
        <f t="shared" si="40"/>
        <v>0</v>
      </c>
      <c r="BK95" s="212">
        <f t="shared" si="40"/>
        <v>0</v>
      </c>
      <c r="BL95" s="212">
        <f t="shared" si="40"/>
        <v>0</v>
      </c>
      <c r="BM95" s="212">
        <f t="shared" si="40"/>
        <v>0</v>
      </c>
      <c r="BN95" s="212">
        <f t="shared" si="40"/>
        <v>0</v>
      </c>
      <c r="BO95" s="212">
        <f t="shared" si="40"/>
        <v>0</v>
      </c>
      <c r="BP95" s="212">
        <f t="shared" si="40"/>
        <v>0</v>
      </c>
      <c r="BQ95" s="212">
        <f t="shared" si="47"/>
        <v>0</v>
      </c>
    </row>
    <row r="96" spans="1:69" ht="23.4" x14ac:dyDescent="0.45">
      <c r="A96" s="70"/>
      <c r="B96" s="74"/>
      <c r="C96" s="74"/>
      <c r="D96" s="118" t="s">
        <v>171</v>
      </c>
      <c r="E96" s="137"/>
      <c r="F96" s="121"/>
      <c r="G96" s="121"/>
      <c r="H96" s="121" t="str">
        <f t="shared" ref="H96" si="51">IFERROR(H91/H86,"-")</f>
        <v>-</v>
      </c>
      <c r="I96" s="74"/>
      <c r="J96" s="74"/>
      <c r="K96" s="74"/>
      <c r="L96" s="74"/>
      <c r="M96" s="78"/>
      <c r="N96" s="74"/>
      <c r="O96" s="74"/>
      <c r="P96" s="74"/>
      <c r="Q96" s="74"/>
      <c r="R96" s="74"/>
      <c r="S96" s="74"/>
      <c r="T96" s="74"/>
      <c r="U96" s="74"/>
      <c r="V96" s="70"/>
      <c r="AM96" s="190">
        <f t="shared" si="48"/>
        <v>10</v>
      </c>
      <c r="AN96" s="201" t="str">
        <f t="shared" si="28"/>
        <v>-</v>
      </c>
      <c r="AO96" s="201" t="str">
        <f t="shared" si="29"/>
        <v>-</v>
      </c>
      <c r="AP96" s="201" t="str">
        <f t="shared" si="30"/>
        <v>-</v>
      </c>
      <c r="AQ96" s="201" t="str">
        <f t="shared" si="31"/>
        <v>-</v>
      </c>
      <c r="AR96" s="201" t="str">
        <f t="shared" si="32"/>
        <v>-</v>
      </c>
      <c r="AS96" s="201" t="str">
        <f t="shared" si="33"/>
        <v>-</v>
      </c>
      <c r="AT96" s="201" t="str">
        <f t="shared" si="34"/>
        <v>-</v>
      </c>
      <c r="AU96" s="202" t="e">
        <f t="shared" si="42"/>
        <v>#DIV/0!</v>
      </c>
      <c r="AV96" s="330" t="e">
        <f t="shared" ref="AV96:AV109" si="52">AVERAGE(AN96:AR96)</f>
        <v>#DIV/0!</v>
      </c>
      <c r="AW96" s="202" t="e">
        <f t="shared" si="44"/>
        <v>#DIV/0!</v>
      </c>
      <c r="AX96" s="202" t="str">
        <f t="shared" si="35"/>
        <v>-</v>
      </c>
      <c r="AY96" s="201" t="e">
        <f>+AVERAGEIFS(energia,si_analisis,1,no_vacacional,1,dia_setmana,"&lt;6",hora,'Resultats - informe'!$AM96,epoca,1)</f>
        <v>#DIV/0!</v>
      </c>
      <c r="AZ96" s="201" t="e">
        <f>+AVERAGEIFS(energia,si_analisis,1,no_vacacional,1,dia_setmana,"&lt;6",hora,'Resultats - informe'!$AM96,epoca,2)</f>
        <v>#DIV/0!</v>
      </c>
      <c r="BA96" s="201" t="e">
        <f>+AVERAGEIFS(energia,si_analisis,1,no_vacacional,1,dia_setmana,"&lt;6",hora,'Resultats - informe'!$AM96,epoca,3)</f>
        <v>#DIV/0!</v>
      </c>
      <c r="BB96" s="201" t="e">
        <f t="shared" si="36"/>
        <v>#DIV/0!</v>
      </c>
      <c r="BC96" s="201" t="e">
        <f t="shared" si="37"/>
        <v>#DIV/0!</v>
      </c>
      <c r="BD96" s="201" t="e">
        <f t="shared" si="38"/>
        <v>#DIV/0!</v>
      </c>
      <c r="BE96" s="187" t="str">
        <f t="shared" si="45"/>
        <v>-</v>
      </c>
      <c r="BF96" s="329" t="e">
        <f t="shared" si="39"/>
        <v>#DIV/0!</v>
      </c>
      <c r="BG96" s="329" t="e">
        <f t="shared" si="46"/>
        <v>#DIV/0!</v>
      </c>
      <c r="BH96" s="329"/>
      <c r="BI96" s="190">
        <f t="shared" si="49"/>
        <v>10</v>
      </c>
      <c r="BJ96" s="212">
        <f t="shared" ref="BJ96:BP110" si="53">COUNTIFS(dia_setmana,BJ$84,hora,$BI96,si_analisis,1,no_vacacional,1)</f>
        <v>0</v>
      </c>
      <c r="BK96" s="212">
        <f t="shared" si="53"/>
        <v>0</v>
      </c>
      <c r="BL96" s="212">
        <f t="shared" si="53"/>
        <v>0</v>
      </c>
      <c r="BM96" s="212">
        <f t="shared" si="53"/>
        <v>0</v>
      </c>
      <c r="BN96" s="212">
        <f t="shared" si="53"/>
        <v>0</v>
      </c>
      <c r="BO96" s="212">
        <f t="shared" si="53"/>
        <v>0</v>
      </c>
      <c r="BP96" s="212">
        <f t="shared" si="53"/>
        <v>0</v>
      </c>
      <c r="BQ96" s="212">
        <f t="shared" si="47"/>
        <v>0</v>
      </c>
    </row>
    <row r="97" spans="1:72" ht="23.4" x14ac:dyDescent="0.45">
      <c r="A97" s="70"/>
      <c r="B97" s="74"/>
      <c r="C97" s="264" t="s">
        <v>172</v>
      </c>
      <c r="D97" s="118" t="s">
        <v>173</v>
      </c>
      <c r="E97" s="137"/>
      <c r="F97" s="121"/>
      <c r="G97" s="121"/>
      <c r="H97" s="266" t="str">
        <f>IFERROR(H92/H87,"-")</f>
        <v>-</v>
      </c>
      <c r="I97" s="74"/>
      <c r="J97" s="74"/>
      <c r="K97" s="74"/>
      <c r="L97" s="74"/>
      <c r="M97" s="78"/>
      <c r="N97" s="74"/>
      <c r="O97" s="74"/>
      <c r="P97" s="74"/>
      <c r="Q97" s="74"/>
      <c r="R97" s="74"/>
      <c r="S97" s="74"/>
      <c r="T97" s="74"/>
      <c r="U97" s="74"/>
      <c r="V97" s="70"/>
      <c r="AM97" s="190">
        <f t="shared" si="48"/>
        <v>11</v>
      </c>
      <c r="AN97" s="201" t="str">
        <f t="shared" si="28"/>
        <v>-</v>
      </c>
      <c r="AO97" s="201" t="str">
        <f t="shared" si="29"/>
        <v>-</v>
      </c>
      <c r="AP97" s="201" t="str">
        <f t="shared" si="30"/>
        <v>-</v>
      </c>
      <c r="AQ97" s="201" t="str">
        <f t="shared" si="31"/>
        <v>-</v>
      </c>
      <c r="AR97" s="201" t="str">
        <f t="shared" si="32"/>
        <v>-</v>
      </c>
      <c r="AS97" s="201" t="str">
        <f t="shared" si="33"/>
        <v>-</v>
      </c>
      <c r="AT97" s="201" t="str">
        <f t="shared" si="34"/>
        <v>-</v>
      </c>
      <c r="AU97" s="202" t="e">
        <f t="shared" si="42"/>
        <v>#DIV/0!</v>
      </c>
      <c r="AV97" s="202" t="e">
        <f t="shared" si="52"/>
        <v>#DIV/0!</v>
      </c>
      <c r="AW97" s="202" t="e">
        <f t="shared" si="44"/>
        <v>#DIV/0!</v>
      </c>
      <c r="AX97" s="202" t="str">
        <f t="shared" si="35"/>
        <v>-</v>
      </c>
      <c r="AY97" s="201" t="e">
        <f>+AVERAGEIFS(energia,si_analisis,1,no_vacacional,1,dia_setmana,"&lt;6",hora,'Resultats - informe'!$AM97,epoca,1)</f>
        <v>#DIV/0!</v>
      </c>
      <c r="AZ97" s="201" t="e">
        <f>+AVERAGEIFS(energia,si_analisis,1,no_vacacional,1,dia_setmana,"&lt;6",hora,'Resultats - informe'!$AM97,epoca,2)</f>
        <v>#DIV/0!</v>
      </c>
      <c r="BA97" s="201" t="e">
        <f>+AVERAGEIFS(energia,si_analisis,1,no_vacacional,1,dia_setmana,"&lt;6",hora,'Resultats - informe'!$AM97,epoca,3)</f>
        <v>#DIV/0!</v>
      </c>
      <c r="BB97" s="201" t="e">
        <f t="shared" si="36"/>
        <v>#DIV/0!</v>
      </c>
      <c r="BC97" s="201" t="e">
        <f t="shared" si="37"/>
        <v>#DIV/0!</v>
      </c>
      <c r="BD97" s="201" t="e">
        <f t="shared" si="38"/>
        <v>#DIV/0!</v>
      </c>
      <c r="BE97" s="187" t="str">
        <f t="shared" si="45"/>
        <v>-</v>
      </c>
      <c r="BF97" s="329" t="e">
        <f t="shared" si="39"/>
        <v>#DIV/0!</v>
      </c>
      <c r="BG97" s="329" t="e">
        <f t="shared" si="46"/>
        <v>#DIV/0!</v>
      </c>
      <c r="BH97" s="329"/>
      <c r="BI97" s="190">
        <f t="shared" si="49"/>
        <v>11</v>
      </c>
      <c r="BJ97" s="212">
        <f t="shared" si="53"/>
        <v>0</v>
      </c>
      <c r="BK97" s="212">
        <f t="shared" si="53"/>
        <v>0</v>
      </c>
      <c r="BL97" s="212">
        <f t="shared" si="53"/>
        <v>0</v>
      </c>
      <c r="BM97" s="212">
        <f t="shared" si="53"/>
        <v>0</v>
      </c>
      <c r="BN97" s="212">
        <f t="shared" si="53"/>
        <v>0</v>
      </c>
      <c r="BO97" s="212">
        <f t="shared" si="53"/>
        <v>0</v>
      </c>
      <c r="BP97" s="212">
        <f t="shared" si="53"/>
        <v>0</v>
      </c>
      <c r="BQ97" s="212">
        <f t="shared" si="47"/>
        <v>0</v>
      </c>
    </row>
    <row r="98" spans="1:72" ht="23.4" x14ac:dyDescent="0.45">
      <c r="A98" s="70"/>
      <c r="B98" s="74"/>
      <c r="C98" s="74"/>
      <c r="D98" s="118" t="s">
        <v>174</v>
      </c>
      <c r="E98" s="137"/>
      <c r="F98" s="121" t="str">
        <f>IFERROR(F93/F88,"-")</f>
        <v>-</v>
      </c>
      <c r="G98" s="121"/>
      <c r="H98" s="121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0"/>
      <c r="AM98" s="190">
        <f t="shared" si="48"/>
        <v>12</v>
      </c>
      <c r="AN98" s="201" t="str">
        <f t="shared" si="28"/>
        <v>-</v>
      </c>
      <c r="AO98" s="201" t="str">
        <f t="shared" si="29"/>
        <v>-</v>
      </c>
      <c r="AP98" s="201" t="str">
        <f t="shared" si="30"/>
        <v>-</v>
      </c>
      <c r="AQ98" s="201" t="str">
        <f t="shared" si="31"/>
        <v>-</v>
      </c>
      <c r="AR98" s="201" t="str">
        <f t="shared" si="32"/>
        <v>-</v>
      </c>
      <c r="AS98" s="201" t="str">
        <f t="shared" si="33"/>
        <v>-</v>
      </c>
      <c r="AT98" s="201" t="str">
        <f t="shared" si="34"/>
        <v>-</v>
      </c>
      <c r="AU98" s="202" t="e">
        <f t="shared" si="42"/>
        <v>#DIV/0!</v>
      </c>
      <c r="AV98" s="202" t="e">
        <f t="shared" si="52"/>
        <v>#DIV/0!</v>
      </c>
      <c r="AW98" s="202" t="e">
        <f t="shared" si="44"/>
        <v>#DIV/0!</v>
      </c>
      <c r="AX98" s="202" t="str">
        <f t="shared" si="35"/>
        <v>-</v>
      </c>
      <c r="AY98" s="201" t="e">
        <f>+AVERAGEIFS(energia,si_analisis,1,no_vacacional,1,dia_setmana,"&lt;6",hora,'Resultats - informe'!$AM98,epoca,1)</f>
        <v>#DIV/0!</v>
      </c>
      <c r="AZ98" s="201" t="e">
        <f>+AVERAGEIFS(energia,si_analisis,1,no_vacacional,1,dia_setmana,"&lt;6",hora,'Resultats - informe'!$AM98,epoca,2)</f>
        <v>#DIV/0!</v>
      </c>
      <c r="BA98" s="201" t="e">
        <f>+AVERAGEIFS(energia,si_analisis,1,no_vacacional,1,dia_setmana,"&lt;6",hora,'Resultats - informe'!$AM98,epoca,3)</f>
        <v>#DIV/0!</v>
      </c>
      <c r="BB98" s="201" t="e">
        <f t="shared" si="36"/>
        <v>#DIV/0!</v>
      </c>
      <c r="BC98" s="201" t="e">
        <f t="shared" si="37"/>
        <v>#DIV/0!</v>
      </c>
      <c r="BD98" s="201" t="e">
        <f t="shared" si="38"/>
        <v>#DIV/0!</v>
      </c>
      <c r="BE98" s="187" t="str">
        <f t="shared" si="45"/>
        <v>-</v>
      </c>
      <c r="BF98" s="329" t="e">
        <f t="shared" si="39"/>
        <v>#DIV/0!</v>
      </c>
      <c r="BG98" s="329" t="e">
        <f t="shared" si="46"/>
        <v>#DIV/0!</v>
      </c>
      <c r="BH98" s="329"/>
      <c r="BI98" s="190">
        <f t="shared" si="49"/>
        <v>12</v>
      </c>
      <c r="BJ98" s="212">
        <f t="shared" si="53"/>
        <v>0</v>
      </c>
      <c r="BK98" s="212">
        <f t="shared" si="53"/>
        <v>0</v>
      </c>
      <c r="BL98" s="212">
        <f t="shared" si="53"/>
        <v>0</v>
      </c>
      <c r="BM98" s="212">
        <f t="shared" si="53"/>
        <v>0</v>
      </c>
      <c r="BN98" s="212">
        <f t="shared" si="53"/>
        <v>0</v>
      </c>
      <c r="BO98" s="212">
        <f t="shared" si="53"/>
        <v>0</v>
      </c>
      <c r="BP98" s="212">
        <f t="shared" si="53"/>
        <v>0</v>
      </c>
      <c r="BQ98" s="212">
        <f t="shared" si="47"/>
        <v>0</v>
      </c>
    </row>
    <row r="99" spans="1:72" ht="24" thickBot="1" x14ac:dyDescent="0.5">
      <c r="A99" s="70"/>
      <c r="B99" s="157"/>
      <c r="C99" s="263" t="s">
        <v>210</v>
      </c>
      <c r="D99" s="133" t="s">
        <v>194</v>
      </c>
      <c r="E99" s="133"/>
      <c r="F99" s="133"/>
      <c r="G99" s="133"/>
      <c r="H99" s="327" t="e">
        <f>+MIN(H26:H29)/H92</f>
        <v>#VALUE!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0"/>
      <c r="AM99" s="190">
        <f>+AM98+1</f>
        <v>13</v>
      </c>
      <c r="AN99" s="201" t="str">
        <f t="shared" si="28"/>
        <v>-</v>
      </c>
      <c r="AO99" s="201" t="str">
        <f t="shared" si="29"/>
        <v>-</v>
      </c>
      <c r="AP99" s="201" t="str">
        <f t="shared" si="30"/>
        <v>-</v>
      </c>
      <c r="AQ99" s="201" t="str">
        <f t="shared" si="31"/>
        <v>-</v>
      </c>
      <c r="AR99" s="201" t="str">
        <f t="shared" si="32"/>
        <v>-</v>
      </c>
      <c r="AS99" s="201" t="str">
        <f t="shared" si="33"/>
        <v>-</v>
      </c>
      <c r="AT99" s="201" t="str">
        <f t="shared" si="34"/>
        <v>-</v>
      </c>
      <c r="AU99" s="202" t="e">
        <f t="shared" si="42"/>
        <v>#DIV/0!</v>
      </c>
      <c r="AV99" s="202" t="e">
        <f t="shared" si="52"/>
        <v>#DIV/0!</v>
      </c>
      <c r="AW99" s="202" t="e">
        <f t="shared" si="44"/>
        <v>#DIV/0!</v>
      </c>
      <c r="AX99" s="202" t="str">
        <f t="shared" si="35"/>
        <v>-</v>
      </c>
      <c r="AY99" s="201" t="e">
        <f>+AVERAGEIFS(energia,si_analisis,1,no_vacacional,1,dia_setmana,"&lt;6",hora,'Resultats - informe'!$AM99,epoca,1)</f>
        <v>#DIV/0!</v>
      </c>
      <c r="AZ99" s="201" t="e">
        <f>+AVERAGEIFS(energia,si_analisis,1,no_vacacional,1,dia_setmana,"&lt;6",hora,'Resultats - informe'!$AM99,epoca,2)</f>
        <v>#DIV/0!</v>
      </c>
      <c r="BA99" s="201" t="e">
        <f>+AVERAGEIFS(energia,si_analisis,1,no_vacacional,1,dia_setmana,"&lt;6",hora,'Resultats - informe'!$AM99,epoca,3)</f>
        <v>#DIV/0!</v>
      </c>
      <c r="BB99" s="201" t="e">
        <f t="shared" si="36"/>
        <v>#DIV/0!</v>
      </c>
      <c r="BC99" s="201" t="e">
        <f t="shared" si="37"/>
        <v>#DIV/0!</v>
      </c>
      <c r="BD99" s="201" t="e">
        <f t="shared" si="38"/>
        <v>#DIV/0!</v>
      </c>
      <c r="BE99" s="187" t="str">
        <f t="shared" si="45"/>
        <v>-</v>
      </c>
      <c r="BF99" s="329" t="e">
        <f t="shared" si="39"/>
        <v>#DIV/0!</v>
      </c>
      <c r="BG99" s="329" t="e">
        <f t="shared" si="46"/>
        <v>#DIV/0!</v>
      </c>
      <c r="BH99" s="329"/>
      <c r="BI99" s="190">
        <f>+BI98+1</f>
        <v>13</v>
      </c>
      <c r="BJ99" s="212">
        <f t="shared" si="53"/>
        <v>0</v>
      </c>
      <c r="BK99" s="212">
        <f t="shared" si="53"/>
        <v>0</v>
      </c>
      <c r="BL99" s="212">
        <f t="shared" si="53"/>
        <v>0</v>
      </c>
      <c r="BM99" s="212">
        <f t="shared" si="53"/>
        <v>0</v>
      </c>
      <c r="BN99" s="212">
        <f t="shared" si="53"/>
        <v>0</v>
      </c>
      <c r="BO99" s="212">
        <f t="shared" si="53"/>
        <v>0</v>
      </c>
      <c r="BP99" s="212">
        <f t="shared" si="53"/>
        <v>0</v>
      </c>
      <c r="BQ99" s="212">
        <f t="shared" si="47"/>
        <v>0</v>
      </c>
      <c r="BT99" s="112"/>
    </row>
    <row r="100" spans="1:72" ht="23.4" x14ac:dyDescent="0.45">
      <c r="A100" s="70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0"/>
      <c r="AM100" s="190">
        <f t="shared" si="48"/>
        <v>14</v>
      </c>
      <c r="AN100" s="201" t="str">
        <f t="shared" si="28"/>
        <v>-</v>
      </c>
      <c r="AO100" s="201" t="str">
        <f t="shared" si="29"/>
        <v>-</v>
      </c>
      <c r="AP100" s="201" t="str">
        <f t="shared" si="30"/>
        <v>-</v>
      </c>
      <c r="AQ100" s="201" t="str">
        <f t="shared" si="31"/>
        <v>-</v>
      </c>
      <c r="AR100" s="201" t="str">
        <f t="shared" si="32"/>
        <v>-</v>
      </c>
      <c r="AS100" s="201" t="str">
        <f t="shared" si="33"/>
        <v>-</v>
      </c>
      <c r="AT100" s="201" t="str">
        <f t="shared" si="34"/>
        <v>-</v>
      </c>
      <c r="AU100" s="202" t="e">
        <f t="shared" si="42"/>
        <v>#DIV/0!</v>
      </c>
      <c r="AV100" s="202" t="e">
        <f t="shared" si="52"/>
        <v>#DIV/0!</v>
      </c>
      <c r="AW100" s="202" t="e">
        <f t="shared" si="44"/>
        <v>#DIV/0!</v>
      </c>
      <c r="AX100" s="202" t="str">
        <f t="shared" si="35"/>
        <v>-</v>
      </c>
      <c r="AY100" s="201" t="e">
        <f>+AVERAGEIFS(energia,si_analisis,1,no_vacacional,1,dia_setmana,"&lt;6",hora,'Resultats - informe'!$AM100,epoca,1)</f>
        <v>#DIV/0!</v>
      </c>
      <c r="AZ100" s="201" t="e">
        <f>+AVERAGEIFS(energia,si_analisis,1,no_vacacional,1,dia_setmana,"&lt;6",hora,'Resultats - informe'!$AM100,epoca,2)</f>
        <v>#DIV/0!</v>
      </c>
      <c r="BA100" s="201" t="e">
        <f>+AVERAGEIFS(energia,si_analisis,1,no_vacacional,1,dia_setmana,"&lt;6",hora,'Resultats - informe'!$AM100,epoca,3)</f>
        <v>#DIV/0!</v>
      </c>
      <c r="BB100" s="201" t="e">
        <f t="shared" si="36"/>
        <v>#DIV/0!</v>
      </c>
      <c r="BC100" s="201" t="e">
        <f t="shared" si="37"/>
        <v>#DIV/0!</v>
      </c>
      <c r="BD100" s="201" t="e">
        <f t="shared" si="38"/>
        <v>#DIV/0!</v>
      </c>
      <c r="BE100" s="187" t="str">
        <f t="shared" si="45"/>
        <v>-</v>
      </c>
      <c r="BF100" s="329" t="e">
        <f t="shared" si="39"/>
        <v>#DIV/0!</v>
      </c>
      <c r="BG100" s="329" t="e">
        <f t="shared" si="46"/>
        <v>#DIV/0!</v>
      </c>
      <c r="BH100" s="329"/>
      <c r="BI100" s="190">
        <f t="shared" si="49"/>
        <v>14</v>
      </c>
      <c r="BJ100" s="212">
        <f t="shared" si="53"/>
        <v>0</v>
      </c>
      <c r="BK100" s="212">
        <f t="shared" si="53"/>
        <v>0</v>
      </c>
      <c r="BL100" s="212">
        <f t="shared" si="53"/>
        <v>0</v>
      </c>
      <c r="BM100" s="212">
        <f t="shared" si="53"/>
        <v>0</v>
      </c>
      <c r="BN100" s="212">
        <f t="shared" si="53"/>
        <v>0</v>
      </c>
      <c r="BO100" s="212">
        <f t="shared" si="53"/>
        <v>0</v>
      </c>
      <c r="BP100" s="212">
        <f t="shared" si="53"/>
        <v>0</v>
      </c>
      <c r="BQ100" s="212">
        <f t="shared" si="47"/>
        <v>0</v>
      </c>
    </row>
    <row r="101" spans="1:72" ht="23.4" x14ac:dyDescent="0.45">
      <c r="A101" s="70"/>
      <c r="B101" s="74"/>
      <c r="C101" s="86" t="s">
        <v>266</v>
      </c>
      <c r="D101" s="86"/>
      <c r="E101" s="86"/>
      <c r="F101" s="8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83"/>
      <c r="V101" s="70"/>
      <c r="AM101" s="190">
        <f t="shared" si="48"/>
        <v>15</v>
      </c>
      <c r="AN101" s="201" t="str">
        <f t="shared" si="28"/>
        <v>-</v>
      </c>
      <c r="AO101" s="201" t="str">
        <f t="shared" si="29"/>
        <v>-</v>
      </c>
      <c r="AP101" s="201" t="str">
        <f t="shared" si="30"/>
        <v>-</v>
      </c>
      <c r="AQ101" s="201" t="str">
        <f t="shared" si="31"/>
        <v>-</v>
      </c>
      <c r="AR101" s="201" t="str">
        <f t="shared" si="32"/>
        <v>-</v>
      </c>
      <c r="AS101" s="201" t="str">
        <f t="shared" si="33"/>
        <v>-</v>
      </c>
      <c r="AT101" s="201" t="str">
        <f t="shared" si="34"/>
        <v>-</v>
      </c>
      <c r="AU101" s="202" t="e">
        <f t="shared" si="42"/>
        <v>#DIV/0!</v>
      </c>
      <c r="AV101" s="202" t="e">
        <f t="shared" si="52"/>
        <v>#DIV/0!</v>
      </c>
      <c r="AW101" s="202" t="e">
        <f t="shared" si="44"/>
        <v>#DIV/0!</v>
      </c>
      <c r="AX101" s="202" t="str">
        <f t="shared" si="35"/>
        <v>-</v>
      </c>
      <c r="AY101" s="201" t="e">
        <f>+AVERAGEIFS(energia,si_analisis,1,no_vacacional,1,dia_setmana,"&lt;6",hora,'Resultats - informe'!$AM101,epoca,1)</f>
        <v>#DIV/0!</v>
      </c>
      <c r="AZ101" s="201" t="e">
        <f>+AVERAGEIFS(energia,si_analisis,1,no_vacacional,1,dia_setmana,"&lt;6",hora,'Resultats - informe'!$AM101,epoca,2)</f>
        <v>#DIV/0!</v>
      </c>
      <c r="BA101" s="201" t="e">
        <f>+AVERAGEIFS(energia,si_analisis,1,no_vacacional,1,dia_setmana,"&lt;6",hora,'Resultats - informe'!$AM101,epoca,3)</f>
        <v>#DIV/0!</v>
      </c>
      <c r="BB101" s="201" t="e">
        <f t="shared" si="36"/>
        <v>#DIV/0!</v>
      </c>
      <c r="BC101" s="201" t="e">
        <f t="shared" si="37"/>
        <v>#DIV/0!</v>
      </c>
      <c r="BD101" s="201" t="e">
        <f t="shared" si="38"/>
        <v>#DIV/0!</v>
      </c>
      <c r="BE101" s="187" t="str">
        <f t="shared" si="45"/>
        <v>-</v>
      </c>
      <c r="BF101" s="329" t="e">
        <f t="shared" si="39"/>
        <v>#DIV/0!</v>
      </c>
      <c r="BG101" s="329" t="e">
        <f t="shared" si="46"/>
        <v>#DIV/0!</v>
      </c>
      <c r="BH101" s="329"/>
      <c r="BI101" s="190">
        <f t="shared" si="49"/>
        <v>15</v>
      </c>
      <c r="BJ101" s="212">
        <f t="shared" si="53"/>
        <v>0</v>
      </c>
      <c r="BK101" s="212">
        <f t="shared" si="53"/>
        <v>0</v>
      </c>
      <c r="BL101" s="212">
        <f t="shared" si="53"/>
        <v>0</v>
      </c>
      <c r="BM101" s="212">
        <f t="shared" si="53"/>
        <v>0</v>
      </c>
      <c r="BN101" s="212">
        <f t="shared" si="53"/>
        <v>0</v>
      </c>
      <c r="BO101" s="212">
        <f t="shared" si="53"/>
        <v>0</v>
      </c>
      <c r="BP101" s="212">
        <f t="shared" si="53"/>
        <v>0</v>
      </c>
      <c r="BQ101" s="212">
        <f t="shared" si="47"/>
        <v>0</v>
      </c>
    </row>
    <row r="102" spans="1:72" ht="23.4" x14ac:dyDescent="0.45">
      <c r="A102" s="70"/>
      <c r="B102" s="74"/>
      <c r="C102" s="74"/>
      <c r="D102" s="140"/>
      <c r="E102" s="140"/>
      <c r="F102" s="113" t="s">
        <v>120</v>
      </c>
      <c r="G102" s="113" t="s">
        <v>121</v>
      </c>
      <c r="H102" s="113" t="s">
        <v>122</v>
      </c>
      <c r="I102" s="141" t="s">
        <v>120</v>
      </c>
      <c r="J102" s="142" t="s">
        <v>121</v>
      </c>
      <c r="K102" s="142" t="s">
        <v>122</v>
      </c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0"/>
      <c r="AM102" s="190">
        <f t="shared" si="48"/>
        <v>16</v>
      </c>
      <c r="AN102" s="201" t="str">
        <f t="shared" si="28"/>
        <v>-</v>
      </c>
      <c r="AO102" s="201" t="str">
        <f t="shared" si="29"/>
        <v>-</v>
      </c>
      <c r="AP102" s="201" t="str">
        <f t="shared" si="30"/>
        <v>-</v>
      </c>
      <c r="AQ102" s="201" t="str">
        <f t="shared" si="31"/>
        <v>-</v>
      </c>
      <c r="AR102" s="201" t="str">
        <f t="shared" si="32"/>
        <v>-</v>
      </c>
      <c r="AS102" s="201" t="str">
        <f t="shared" si="33"/>
        <v>-</v>
      </c>
      <c r="AT102" s="201" t="str">
        <f t="shared" si="34"/>
        <v>-</v>
      </c>
      <c r="AU102" s="202" t="e">
        <f t="shared" si="42"/>
        <v>#DIV/0!</v>
      </c>
      <c r="AV102" s="202" t="e">
        <f t="shared" si="52"/>
        <v>#DIV/0!</v>
      </c>
      <c r="AW102" s="202" t="e">
        <f t="shared" si="44"/>
        <v>#DIV/0!</v>
      </c>
      <c r="AX102" s="202" t="str">
        <f t="shared" si="35"/>
        <v>-</v>
      </c>
      <c r="AY102" s="201" t="e">
        <f>+AVERAGEIFS(energia,si_analisis,1,no_vacacional,1,dia_setmana,"&lt;6",hora,'Resultats - informe'!$AM102,epoca,1)</f>
        <v>#DIV/0!</v>
      </c>
      <c r="AZ102" s="201" t="e">
        <f>+AVERAGEIFS(energia,si_analisis,1,no_vacacional,1,dia_setmana,"&lt;6",hora,'Resultats - informe'!$AM102,epoca,2)</f>
        <v>#DIV/0!</v>
      </c>
      <c r="BA102" s="201" t="e">
        <f>+AVERAGEIFS(energia,si_analisis,1,no_vacacional,1,dia_setmana,"&lt;6",hora,'Resultats - informe'!$AM102,epoca,3)</f>
        <v>#DIV/0!</v>
      </c>
      <c r="BB102" s="201" t="e">
        <f t="shared" si="36"/>
        <v>#DIV/0!</v>
      </c>
      <c r="BC102" s="201" t="e">
        <f t="shared" si="37"/>
        <v>#DIV/0!</v>
      </c>
      <c r="BD102" s="201" t="e">
        <f t="shared" si="38"/>
        <v>#DIV/0!</v>
      </c>
      <c r="BE102" s="187" t="str">
        <f t="shared" si="45"/>
        <v>-</v>
      </c>
      <c r="BF102" s="329" t="e">
        <f t="shared" si="39"/>
        <v>#DIV/0!</v>
      </c>
      <c r="BG102" s="329" t="e">
        <f t="shared" si="46"/>
        <v>#DIV/0!</v>
      </c>
      <c r="BH102" s="329"/>
      <c r="BI102" s="190">
        <f t="shared" si="49"/>
        <v>16</v>
      </c>
      <c r="BJ102" s="212">
        <f t="shared" si="53"/>
        <v>0</v>
      </c>
      <c r="BK102" s="212">
        <f t="shared" si="53"/>
        <v>0</v>
      </c>
      <c r="BL102" s="212">
        <f t="shared" si="53"/>
        <v>0</v>
      </c>
      <c r="BM102" s="212">
        <f t="shared" si="53"/>
        <v>0</v>
      </c>
      <c r="BN102" s="212">
        <f t="shared" si="53"/>
        <v>0</v>
      </c>
      <c r="BO102" s="212">
        <f t="shared" si="53"/>
        <v>0</v>
      </c>
      <c r="BP102" s="212">
        <f t="shared" si="53"/>
        <v>0</v>
      </c>
      <c r="BQ102" s="212">
        <f t="shared" si="47"/>
        <v>0</v>
      </c>
    </row>
    <row r="103" spans="1:72" ht="30.6" thickBot="1" x14ac:dyDescent="0.5">
      <c r="A103" s="70"/>
      <c r="B103" s="74"/>
      <c r="C103" s="128" t="s">
        <v>148</v>
      </c>
      <c r="D103" s="128" t="s">
        <v>149</v>
      </c>
      <c r="E103" s="74"/>
      <c r="F103" s="129" t="s">
        <v>150</v>
      </c>
      <c r="G103" s="129" t="s">
        <v>150</v>
      </c>
      <c r="H103" s="129" t="s">
        <v>150</v>
      </c>
      <c r="I103" s="143" t="s">
        <v>152</v>
      </c>
      <c r="J103" s="129" t="s">
        <v>152</v>
      </c>
      <c r="K103" s="129" t="s">
        <v>152</v>
      </c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0"/>
      <c r="AM103" s="190">
        <f t="shared" si="48"/>
        <v>17</v>
      </c>
      <c r="AN103" s="201" t="str">
        <f t="shared" si="28"/>
        <v>-</v>
      </c>
      <c r="AO103" s="201" t="str">
        <f t="shared" si="29"/>
        <v>-</v>
      </c>
      <c r="AP103" s="201" t="str">
        <f t="shared" si="30"/>
        <v>-</v>
      </c>
      <c r="AQ103" s="201" t="str">
        <f t="shared" si="31"/>
        <v>-</v>
      </c>
      <c r="AR103" s="201" t="str">
        <f t="shared" si="32"/>
        <v>-</v>
      </c>
      <c r="AS103" s="201" t="str">
        <f t="shared" si="33"/>
        <v>-</v>
      </c>
      <c r="AT103" s="201" t="str">
        <f t="shared" si="34"/>
        <v>-</v>
      </c>
      <c r="AU103" s="202" t="e">
        <f t="shared" si="42"/>
        <v>#DIV/0!</v>
      </c>
      <c r="AV103" s="202" t="e">
        <f t="shared" si="52"/>
        <v>#DIV/0!</v>
      </c>
      <c r="AW103" s="202" t="e">
        <f t="shared" si="44"/>
        <v>#DIV/0!</v>
      </c>
      <c r="AX103" s="202" t="str">
        <f t="shared" si="35"/>
        <v>-</v>
      </c>
      <c r="AY103" s="201" t="e">
        <f>+AVERAGEIFS(energia,si_analisis,1,no_vacacional,1,dia_setmana,"&lt;6",hora,'Resultats - informe'!$AM103,epoca,1)</f>
        <v>#DIV/0!</v>
      </c>
      <c r="AZ103" s="201" t="e">
        <f>+AVERAGEIFS(energia,si_analisis,1,no_vacacional,1,dia_setmana,"&lt;6",hora,'Resultats - informe'!$AM103,epoca,2)</f>
        <v>#DIV/0!</v>
      </c>
      <c r="BA103" s="201" t="e">
        <f>+AVERAGEIFS(energia,si_analisis,1,no_vacacional,1,dia_setmana,"&lt;6",hora,'Resultats - informe'!$AM103,epoca,3)</f>
        <v>#DIV/0!</v>
      </c>
      <c r="BB103" s="201" t="e">
        <f t="shared" si="36"/>
        <v>#DIV/0!</v>
      </c>
      <c r="BC103" s="201" t="e">
        <f t="shared" si="37"/>
        <v>#DIV/0!</v>
      </c>
      <c r="BD103" s="201" t="e">
        <f t="shared" si="38"/>
        <v>#DIV/0!</v>
      </c>
      <c r="BE103" s="187" t="str">
        <f t="shared" si="45"/>
        <v>-</v>
      </c>
      <c r="BF103" s="329" t="e">
        <f t="shared" si="39"/>
        <v>#DIV/0!</v>
      </c>
      <c r="BG103" s="329" t="e">
        <f t="shared" si="46"/>
        <v>#DIV/0!</v>
      </c>
      <c r="BH103" s="329"/>
      <c r="BI103" s="190">
        <f t="shared" ref="BI103:BI110" si="54">+BI102+1</f>
        <v>17</v>
      </c>
      <c r="BJ103" s="212">
        <f t="shared" si="53"/>
        <v>0</v>
      </c>
      <c r="BK103" s="212">
        <f t="shared" si="53"/>
        <v>0</v>
      </c>
      <c r="BL103" s="212">
        <f t="shared" si="53"/>
        <v>0</v>
      </c>
      <c r="BM103" s="212">
        <f t="shared" si="53"/>
        <v>0</v>
      </c>
      <c r="BN103" s="212">
        <f t="shared" si="53"/>
        <v>0</v>
      </c>
      <c r="BO103" s="212">
        <f t="shared" si="53"/>
        <v>0</v>
      </c>
      <c r="BP103" s="212">
        <f t="shared" si="53"/>
        <v>0</v>
      </c>
      <c r="BQ103" s="212">
        <f t="shared" ref="BQ103:BQ110" si="55">SUM(BJ103:BP103)</f>
        <v>0</v>
      </c>
    </row>
    <row r="104" spans="1:72" ht="23.4" x14ac:dyDescent="0.45">
      <c r="A104" s="70"/>
      <c r="B104" s="74"/>
      <c r="C104" s="74" t="s">
        <v>161</v>
      </c>
      <c r="D104" s="115"/>
      <c r="E104" s="115"/>
      <c r="F104" s="74"/>
      <c r="G104" s="74"/>
      <c r="H104" s="74"/>
      <c r="I104" s="144"/>
      <c r="J104" s="115"/>
      <c r="K104" s="115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0"/>
      <c r="AM104" s="190">
        <f>+AM103+1</f>
        <v>18</v>
      </c>
      <c r="AN104" s="201" t="str">
        <f t="shared" si="28"/>
        <v>-</v>
      </c>
      <c r="AO104" s="201" t="str">
        <f t="shared" si="29"/>
        <v>-</v>
      </c>
      <c r="AP104" s="201" t="str">
        <f t="shared" si="30"/>
        <v>-</v>
      </c>
      <c r="AQ104" s="201" t="str">
        <f t="shared" si="31"/>
        <v>-</v>
      </c>
      <c r="AR104" s="201" t="str">
        <f t="shared" si="32"/>
        <v>-</v>
      </c>
      <c r="AS104" s="201" t="str">
        <f t="shared" si="33"/>
        <v>-</v>
      </c>
      <c r="AT104" s="201" t="str">
        <f t="shared" si="34"/>
        <v>-</v>
      </c>
      <c r="AU104" s="202" t="e">
        <f t="shared" si="42"/>
        <v>#DIV/0!</v>
      </c>
      <c r="AV104" s="202" t="e">
        <f t="shared" si="52"/>
        <v>#DIV/0!</v>
      </c>
      <c r="AW104" s="202" t="e">
        <f t="shared" si="44"/>
        <v>#DIV/0!</v>
      </c>
      <c r="AX104" s="202" t="str">
        <f t="shared" si="35"/>
        <v>-</v>
      </c>
      <c r="AY104" s="201" t="e">
        <f>+AVERAGEIFS(energia,si_analisis,1,no_vacacional,1,dia_setmana,"&lt;6",hora,'Resultats - informe'!$AM104,epoca,1)</f>
        <v>#DIV/0!</v>
      </c>
      <c r="AZ104" s="201" t="e">
        <f>+AVERAGEIFS(energia,si_analisis,1,no_vacacional,1,dia_setmana,"&lt;6",hora,'Resultats - informe'!$AM104,epoca,2)</f>
        <v>#DIV/0!</v>
      </c>
      <c r="BA104" s="201" t="e">
        <f>+AVERAGEIFS(energia,si_analisis,1,no_vacacional,1,dia_setmana,"&lt;6",hora,'Resultats - informe'!$AM104,epoca,3)</f>
        <v>#DIV/0!</v>
      </c>
      <c r="BB104" s="201" t="e">
        <f t="shared" si="36"/>
        <v>#DIV/0!</v>
      </c>
      <c r="BC104" s="201" t="e">
        <f t="shared" si="37"/>
        <v>#DIV/0!</v>
      </c>
      <c r="BD104" s="201" t="e">
        <f t="shared" si="38"/>
        <v>#DIV/0!</v>
      </c>
      <c r="BE104" s="187" t="str">
        <f t="shared" si="45"/>
        <v>-</v>
      </c>
      <c r="BF104" s="329" t="e">
        <f t="shared" si="39"/>
        <v>#DIV/0!</v>
      </c>
      <c r="BG104" s="329" t="e">
        <f t="shared" si="46"/>
        <v>#DIV/0!</v>
      </c>
      <c r="BH104" s="329"/>
      <c r="BI104" s="190">
        <f>+BI103+1</f>
        <v>18</v>
      </c>
      <c r="BJ104" s="212">
        <f t="shared" si="53"/>
        <v>0</v>
      </c>
      <c r="BK104" s="212">
        <f t="shared" si="53"/>
        <v>0</v>
      </c>
      <c r="BL104" s="212">
        <f t="shared" si="53"/>
        <v>0</v>
      </c>
      <c r="BM104" s="212">
        <f t="shared" si="53"/>
        <v>0</v>
      </c>
      <c r="BN104" s="212">
        <f t="shared" si="53"/>
        <v>0</v>
      </c>
      <c r="BO104" s="212">
        <f t="shared" si="53"/>
        <v>0</v>
      </c>
      <c r="BP104" s="212">
        <f t="shared" si="53"/>
        <v>0</v>
      </c>
      <c r="BQ104" s="212">
        <f t="shared" si="55"/>
        <v>0</v>
      </c>
    </row>
    <row r="105" spans="1:72" ht="23.4" x14ac:dyDescent="0.45">
      <c r="A105" s="70"/>
      <c r="B105" s="74"/>
      <c r="C105" s="74"/>
      <c r="D105" s="118" t="s">
        <v>165</v>
      </c>
      <c r="E105" s="119"/>
      <c r="F105" s="130" t="e">
        <f t="shared" ref="F105:H106" si="56">+I105*$G86</f>
        <v>#DIV/0!</v>
      </c>
      <c r="G105" s="130" t="e">
        <f t="shared" si="56"/>
        <v>#DIV/0!</v>
      </c>
      <c r="H105" s="130" t="e">
        <f t="shared" si="56"/>
        <v>#DIV/0!</v>
      </c>
      <c r="I105" s="145" t="e">
        <f>+AVERAGEIFS(energia,si_analisis,1,no_vacacional,1,dia_setmana,"&lt;6",si_obert,1,epoca,1)</f>
        <v>#DIV/0!</v>
      </c>
      <c r="J105" s="146" t="e">
        <f>+AVERAGEIFS(energia,si_analisis,1,no_vacacional,1,dia_setmana,"&lt;6",si_obert,1,epoca,2)</f>
        <v>#DIV/0!</v>
      </c>
      <c r="K105" s="146" t="e">
        <f>+AVERAGEIFS(energia,si_analisis,1,no_vacacional,1,dia_setmana,"&lt;6",si_obert,1,epoca,3)</f>
        <v>#DIV/0!</v>
      </c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0"/>
      <c r="AM105" s="190">
        <f t="shared" si="48"/>
        <v>19</v>
      </c>
      <c r="AN105" s="201" t="str">
        <f t="shared" si="28"/>
        <v>-</v>
      </c>
      <c r="AO105" s="201" t="str">
        <f t="shared" si="29"/>
        <v>-</v>
      </c>
      <c r="AP105" s="201" t="str">
        <f t="shared" si="30"/>
        <v>-</v>
      </c>
      <c r="AQ105" s="201" t="str">
        <f t="shared" si="31"/>
        <v>-</v>
      </c>
      <c r="AR105" s="201" t="str">
        <f t="shared" si="32"/>
        <v>-</v>
      </c>
      <c r="AS105" s="201" t="str">
        <f t="shared" si="33"/>
        <v>-</v>
      </c>
      <c r="AT105" s="201" t="str">
        <f t="shared" si="34"/>
        <v>-</v>
      </c>
      <c r="AU105" s="202" t="e">
        <f t="shared" si="42"/>
        <v>#DIV/0!</v>
      </c>
      <c r="AV105" s="202" t="e">
        <f t="shared" si="52"/>
        <v>#DIV/0!</v>
      </c>
      <c r="AW105" s="202" t="e">
        <f t="shared" si="44"/>
        <v>#DIV/0!</v>
      </c>
      <c r="AX105" s="202" t="str">
        <f t="shared" si="35"/>
        <v>-</v>
      </c>
      <c r="AY105" s="201" t="e">
        <f>+AVERAGEIFS(energia,si_analisis,1,no_vacacional,1,dia_setmana,"&lt;6",hora,'Resultats - informe'!$AM105,epoca,1)</f>
        <v>#DIV/0!</v>
      </c>
      <c r="AZ105" s="201" t="e">
        <f>+AVERAGEIFS(energia,si_analisis,1,no_vacacional,1,dia_setmana,"&lt;6",hora,'Resultats - informe'!$AM105,epoca,2)</f>
        <v>#DIV/0!</v>
      </c>
      <c r="BA105" s="201" t="e">
        <f>+AVERAGEIFS(energia,si_analisis,1,no_vacacional,1,dia_setmana,"&lt;6",hora,'Resultats - informe'!$AM105,epoca,3)</f>
        <v>#DIV/0!</v>
      </c>
      <c r="BB105" s="201" t="e">
        <f t="shared" si="36"/>
        <v>#DIV/0!</v>
      </c>
      <c r="BC105" s="201" t="e">
        <f t="shared" si="37"/>
        <v>#DIV/0!</v>
      </c>
      <c r="BD105" s="201" t="e">
        <f t="shared" si="38"/>
        <v>#DIV/0!</v>
      </c>
      <c r="BE105" s="187" t="str">
        <f t="shared" si="45"/>
        <v>-</v>
      </c>
      <c r="BF105" s="329" t="e">
        <f t="shared" si="39"/>
        <v>#DIV/0!</v>
      </c>
      <c r="BG105" s="329" t="e">
        <f t="shared" si="46"/>
        <v>#DIV/0!</v>
      </c>
      <c r="BH105" s="329"/>
      <c r="BI105" s="190">
        <f t="shared" si="54"/>
        <v>19</v>
      </c>
      <c r="BJ105" s="212">
        <f t="shared" si="53"/>
        <v>0</v>
      </c>
      <c r="BK105" s="212">
        <f t="shared" si="53"/>
        <v>0</v>
      </c>
      <c r="BL105" s="212">
        <f t="shared" si="53"/>
        <v>0</v>
      </c>
      <c r="BM105" s="212">
        <f t="shared" si="53"/>
        <v>0</v>
      </c>
      <c r="BN105" s="212">
        <f t="shared" si="53"/>
        <v>0</v>
      </c>
      <c r="BO105" s="212">
        <f t="shared" si="53"/>
        <v>0</v>
      </c>
      <c r="BP105" s="212">
        <f t="shared" si="53"/>
        <v>0</v>
      </c>
      <c r="BQ105" s="212">
        <f t="shared" si="55"/>
        <v>0</v>
      </c>
    </row>
    <row r="106" spans="1:72" ht="19.350000000000001" customHeight="1" x14ac:dyDescent="0.45">
      <c r="A106" s="70"/>
      <c r="B106" s="74"/>
      <c r="C106" s="74"/>
      <c r="D106" s="118" t="s">
        <v>166</v>
      </c>
      <c r="E106" s="119"/>
      <c r="F106" s="130" t="e">
        <f t="shared" si="56"/>
        <v>#DIV/0!</v>
      </c>
      <c r="G106" s="130" t="e">
        <f t="shared" si="56"/>
        <v>#DIV/0!</v>
      </c>
      <c r="H106" s="130" t="e">
        <f t="shared" si="56"/>
        <v>#DIV/0!</v>
      </c>
      <c r="I106" s="147" t="e">
        <f>+AVERAGEIFS(energia,si_analisis,1,no_vacacional,1,dia_setmana,"&lt;6",si_obert,0,epoca,1)</f>
        <v>#DIV/0!</v>
      </c>
      <c r="J106" s="148" t="e">
        <f>+AVERAGEIFS(energia,si_analisis,1,no_vacacional,1,dia_setmana,"&lt;6",si_obert,0,epoca,2)</f>
        <v>#DIV/0!</v>
      </c>
      <c r="K106" s="148" t="e">
        <f>+AVERAGEIFS(energia,si_analisis,1,no_vacacional,1,dia_setmana,"&lt;6",si_obert,0,epoca,3)</f>
        <v>#DIV/0!</v>
      </c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0"/>
      <c r="AM106" s="190">
        <f t="shared" si="48"/>
        <v>20</v>
      </c>
      <c r="AN106" s="201" t="str">
        <f t="shared" si="28"/>
        <v>-</v>
      </c>
      <c r="AO106" s="201" t="str">
        <f t="shared" si="29"/>
        <v>-</v>
      </c>
      <c r="AP106" s="201" t="str">
        <f t="shared" si="30"/>
        <v>-</v>
      </c>
      <c r="AQ106" s="201" t="str">
        <f t="shared" si="31"/>
        <v>-</v>
      </c>
      <c r="AR106" s="201" t="str">
        <f t="shared" si="32"/>
        <v>-</v>
      </c>
      <c r="AS106" s="201" t="str">
        <f t="shared" si="33"/>
        <v>-</v>
      </c>
      <c r="AT106" s="201" t="str">
        <f t="shared" si="34"/>
        <v>-</v>
      </c>
      <c r="AU106" s="202" t="e">
        <f t="shared" si="42"/>
        <v>#DIV/0!</v>
      </c>
      <c r="AV106" s="202" t="e">
        <f t="shared" si="52"/>
        <v>#DIV/0!</v>
      </c>
      <c r="AW106" s="202" t="e">
        <f t="shared" si="44"/>
        <v>#DIV/0!</v>
      </c>
      <c r="AX106" s="202" t="str">
        <f t="shared" si="35"/>
        <v>-</v>
      </c>
      <c r="AY106" s="201" t="e">
        <f>+AVERAGEIFS(energia,si_analisis,1,no_vacacional,1,dia_setmana,"&lt;6",hora,'Resultats - informe'!$AM106,epoca,1)</f>
        <v>#DIV/0!</v>
      </c>
      <c r="AZ106" s="201" t="e">
        <f>+AVERAGEIFS(energia,si_analisis,1,no_vacacional,1,dia_setmana,"&lt;6",hora,'Resultats - informe'!$AM106,epoca,2)</f>
        <v>#DIV/0!</v>
      </c>
      <c r="BA106" s="201" t="e">
        <f>+AVERAGEIFS(energia,si_analisis,1,no_vacacional,1,dia_setmana,"&lt;6",hora,'Resultats - informe'!$AM106,epoca,3)</f>
        <v>#DIV/0!</v>
      </c>
      <c r="BB106" s="201" t="e">
        <f t="shared" si="36"/>
        <v>#DIV/0!</v>
      </c>
      <c r="BC106" s="201" t="e">
        <f t="shared" si="37"/>
        <v>#DIV/0!</v>
      </c>
      <c r="BD106" s="201" t="e">
        <f t="shared" si="38"/>
        <v>#DIV/0!</v>
      </c>
      <c r="BE106" s="187" t="str">
        <f t="shared" si="45"/>
        <v>-</v>
      </c>
      <c r="BF106" s="329" t="e">
        <f t="shared" si="39"/>
        <v>#DIV/0!</v>
      </c>
      <c r="BG106" s="329" t="e">
        <f t="shared" si="46"/>
        <v>#DIV/0!</v>
      </c>
      <c r="BH106" s="329"/>
      <c r="BI106" s="190">
        <f t="shared" si="54"/>
        <v>20</v>
      </c>
      <c r="BJ106" s="212">
        <f t="shared" si="53"/>
        <v>0</v>
      </c>
      <c r="BK106" s="212">
        <f t="shared" si="53"/>
        <v>0</v>
      </c>
      <c r="BL106" s="212">
        <f t="shared" si="53"/>
        <v>0</v>
      </c>
      <c r="BM106" s="212">
        <f t="shared" si="53"/>
        <v>0</v>
      </c>
      <c r="BN106" s="212">
        <f t="shared" si="53"/>
        <v>0</v>
      </c>
      <c r="BO106" s="212">
        <f t="shared" si="53"/>
        <v>0</v>
      </c>
      <c r="BP106" s="212">
        <f t="shared" si="53"/>
        <v>0</v>
      </c>
      <c r="BQ106" s="212">
        <f t="shared" si="55"/>
        <v>0</v>
      </c>
    </row>
    <row r="107" spans="1:72" ht="31.35" customHeight="1" x14ac:dyDescent="0.45">
      <c r="A107" s="70"/>
      <c r="B107" s="74"/>
      <c r="C107" s="74"/>
      <c r="D107" s="83" t="s">
        <v>167</v>
      </c>
      <c r="E107" s="74"/>
      <c r="F107" s="130" t="e">
        <f>SUM(F105:F106)</f>
        <v>#DIV/0!</v>
      </c>
      <c r="G107" s="149" t="e">
        <f t="shared" ref="G107:H107" si="57">SUM(G105:G106)</f>
        <v>#DIV/0!</v>
      </c>
      <c r="H107" s="149" t="e">
        <f t="shared" si="57"/>
        <v>#DIV/0!</v>
      </c>
      <c r="I107" s="147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0"/>
      <c r="AM107" s="190">
        <f t="shared" si="48"/>
        <v>21</v>
      </c>
      <c r="AN107" s="201" t="str">
        <f t="shared" si="28"/>
        <v>-</v>
      </c>
      <c r="AO107" s="201" t="str">
        <f t="shared" si="29"/>
        <v>-</v>
      </c>
      <c r="AP107" s="201" t="str">
        <f t="shared" si="30"/>
        <v>-</v>
      </c>
      <c r="AQ107" s="201" t="str">
        <f t="shared" si="31"/>
        <v>-</v>
      </c>
      <c r="AR107" s="201" t="str">
        <f t="shared" si="32"/>
        <v>-</v>
      </c>
      <c r="AS107" s="201" t="str">
        <f t="shared" si="33"/>
        <v>-</v>
      </c>
      <c r="AT107" s="201" t="str">
        <f t="shared" si="34"/>
        <v>-</v>
      </c>
      <c r="AU107" s="202" t="e">
        <f t="shared" si="42"/>
        <v>#DIV/0!</v>
      </c>
      <c r="AV107" s="202" t="e">
        <f t="shared" si="52"/>
        <v>#DIV/0!</v>
      </c>
      <c r="AW107" s="202" t="e">
        <f t="shared" si="44"/>
        <v>#DIV/0!</v>
      </c>
      <c r="AX107" s="202" t="str">
        <f t="shared" si="35"/>
        <v>-</v>
      </c>
      <c r="AY107" s="201" t="e">
        <f>+AVERAGEIFS(energia,si_analisis,1,no_vacacional,1,dia_setmana,"&lt;6",hora,'Resultats - informe'!$AM107,epoca,1)</f>
        <v>#DIV/0!</v>
      </c>
      <c r="AZ107" s="201" t="e">
        <f>+AVERAGEIFS(energia,si_analisis,1,no_vacacional,1,dia_setmana,"&lt;6",hora,'Resultats - informe'!$AM107,epoca,2)</f>
        <v>#DIV/0!</v>
      </c>
      <c r="BA107" s="201" t="e">
        <f>+AVERAGEIFS(energia,si_analisis,1,no_vacacional,1,dia_setmana,"&lt;6",hora,'Resultats - informe'!$AM107,epoca,3)</f>
        <v>#DIV/0!</v>
      </c>
      <c r="BB107" s="201" t="e">
        <f t="shared" si="36"/>
        <v>#DIV/0!</v>
      </c>
      <c r="BC107" s="201" t="e">
        <f t="shared" si="37"/>
        <v>#DIV/0!</v>
      </c>
      <c r="BD107" s="201" t="e">
        <f t="shared" si="38"/>
        <v>#DIV/0!</v>
      </c>
      <c r="BE107" s="187" t="str">
        <f t="shared" si="45"/>
        <v>-</v>
      </c>
      <c r="BF107" s="329" t="e">
        <f t="shared" si="39"/>
        <v>#DIV/0!</v>
      </c>
      <c r="BG107" s="329" t="e">
        <f t="shared" si="46"/>
        <v>#DIV/0!</v>
      </c>
      <c r="BH107" s="329"/>
      <c r="BI107" s="190">
        <f t="shared" si="54"/>
        <v>21</v>
      </c>
      <c r="BJ107" s="212">
        <f t="shared" si="53"/>
        <v>0</v>
      </c>
      <c r="BK107" s="212">
        <f t="shared" si="53"/>
        <v>0</v>
      </c>
      <c r="BL107" s="212">
        <f t="shared" si="53"/>
        <v>0</v>
      </c>
      <c r="BM107" s="212">
        <f t="shared" si="53"/>
        <v>0</v>
      </c>
      <c r="BN107" s="212">
        <f t="shared" si="53"/>
        <v>0</v>
      </c>
      <c r="BO107" s="212">
        <f t="shared" si="53"/>
        <v>0</v>
      </c>
      <c r="BP107" s="212">
        <f t="shared" si="53"/>
        <v>0</v>
      </c>
      <c r="BQ107" s="212">
        <f t="shared" si="55"/>
        <v>0</v>
      </c>
    </row>
    <row r="108" spans="1:72" ht="36.6" customHeight="1" x14ac:dyDescent="0.45">
      <c r="A108" s="70"/>
      <c r="B108" s="74"/>
      <c r="C108" s="264" t="s">
        <v>168</v>
      </c>
      <c r="D108" s="118" t="s">
        <v>169</v>
      </c>
      <c r="E108" s="137"/>
      <c r="F108" s="121" t="e">
        <f>+F106/F105</f>
        <v>#DIV/0!</v>
      </c>
      <c r="G108" s="121" t="e">
        <f>+G106/G105</f>
        <v>#DIV/0!</v>
      </c>
      <c r="H108" s="121" t="e">
        <f>+H106/H105</f>
        <v>#DIV/0!</v>
      </c>
      <c r="I108" s="265" t="str">
        <f>IFERROR(I106/I105,"-")</f>
        <v>-</v>
      </c>
      <c r="J108" s="266" t="str">
        <f>IFERROR(J106/J105,"-")</f>
        <v>-</v>
      </c>
      <c r="K108" s="266" t="str">
        <f t="shared" ref="K108" si="58">IFERROR(K106/K105,"-")</f>
        <v>-</v>
      </c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0"/>
      <c r="AM108" s="190">
        <f t="shared" si="48"/>
        <v>22</v>
      </c>
      <c r="AN108" s="201" t="str">
        <f t="shared" si="28"/>
        <v>-</v>
      </c>
      <c r="AO108" s="201" t="str">
        <f t="shared" si="29"/>
        <v>-</v>
      </c>
      <c r="AP108" s="201" t="str">
        <f t="shared" si="30"/>
        <v>-</v>
      </c>
      <c r="AQ108" s="201" t="str">
        <f t="shared" si="31"/>
        <v>-</v>
      </c>
      <c r="AR108" s="201" t="str">
        <f t="shared" si="32"/>
        <v>-</v>
      </c>
      <c r="AS108" s="201" t="str">
        <f t="shared" si="33"/>
        <v>-</v>
      </c>
      <c r="AT108" s="201" t="str">
        <f t="shared" si="34"/>
        <v>-</v>
      </c>
      <c r="AU108" s="202" t="e">
        <f t="shared" si="42"/>
        <v>#DIV/0!</v>
      </c>
      <c r="AV108" s="202" t="e">
        <f t="shared" si="52"/>
        <v>#DIV/0!</v>
      </c>
      <c r="AW108" s="202" t="e">
        <f t="shared" si="44"/>
        <v>#DIV/0!</v>
      </c>
      <c r="AX108" s="202" t="str">
        <f t="shared" si="35"/>
        <v>-</v>
      </c>
      <c r="AY108" s="201" t="e">
        <f>+AVERAGEIFS(energia,si_analisis,1,no_vacacional,1,dia_setmana,"&lt;6",hora,'Resultats - informe'!$AM108,epoca,1)</f>
        <v>#DIV/0!</v>
      </c>
      <c r="AZ108" s="201" t="e">
        <f>+AVERAGEIFS(energia,si_analisis,1,no_vacacional,1,dia_setmana,"&lt;6",hora,'Resultats - informe'!$AM108,epoca,2)</f>
        <v>#DIV/0!</v>
      </c>
      <c r="BA108" s="201" t="e">
        <f>+AVERAGEIFS(energia,si_analisis,1,no_vacacional,1,dia_setmana,"&lt;6",hora,'Resultats - informe'!$AM108,epoca,3)</f>
        <v>#DIV/0!</v>
      </c>
      <c r="BB108" s="201" t="e">
        <f t="shared" si="36"/>
        <v>#DIV/0!</v>
      </c>
      <c r="BC108" s="201" t="e">
        <f t="shared" si="37"/>
        <v>#DIV/0!</v>
      </c>
      <c r="BD108" s="201" t="e">
        <f t="shared" si="38"/>
        <v>#DIV/0!</v>
      </c>
      <c r="BE108" s="187" t="str">
        <f t="shared" si="45"/>
        <v>-</v>
      </c>
      <c r="BF108" s="329" t="e">
        <f t="shared" si="39"/>
        <v>#DIV/0!</v>
      </c>
      <c r="BG108" s="329" t="e">
        <f t="shared" si="46"/>
        <v>#DIV/0!</v>
      </c>
      <c r="BH108" s="329"/>
      <c r="BI108" s="190">
        <f t="shared" si="54"/>
        <v>22</v>
      </c>
      <c r="BJ108" s="212">
        <f t="shared" si="53"/>
        <v>0</v>
      </c>
      <c r="BK108" s="212">
        <f t="shared" si="53"/>
        <v>0</v>
      </c>
      <c r="BL108" s="212">
        <f t="shared" si="53"/>
        <v>0</v>
      </c>
      <c r="BM108" s="212">
        <f t="shared" si="53"/>
        <v>0</v>
      </c>
      <c r="BN108" s="212">
        <f t="shared" si="53"/>
        <v>0</v>
      </c>
      <c r="BO108" s="212">
        <f t="shared" si="53"/>
        <v>0</v>
      </c>
      <c r="BP108" s="212">
        <f t="shared" si="53"/>
        <v>0</v>
      </c>
      <c r="BQ108" s="212">
        <f t="shared" si="55"/>
        <v>0</v>
      </c>
    </row>
    <row r="109" spans="1:72" ht="24" thickBot="1" x14ac:dyDescent="0.5">
      <c r="A109" s="70"/>
      <c r="B109" s="74"/>
      <c r="C109" s="133"/>
      <c r="D109" s="151" t="s">
        <v>178</v>
      </c>
      <c r="E109" s="133"/>
      <c r="F109" s="133"/>
      <c r="G109" s="133"/>
      <c r="H109" s="133"/>
      <c r="I109" s="152">
        <f>_xlfn.MAXIFS(energia,si_analisis,1,no_vacacional,1,dia_setmana,"&lt;6",si_obert,1,epoca,1)</f>
        <v>0</v>
      </c>
      <c r="J109" s="153">
        <f>_xlfn.MAXIFS(energia,si_analisis,1,no_vacacional,1,dia_setmana,"&lt;6",si_obert,1,epoca,2)</f>
        <v>0</v>
      </c>
      <c r="K109" s="153">
        <f>_xlfn.MAXIFS(energia,si_analisis,1,no_vacacional,1,dia_setmana,"&lt;6",si_obert,1,epoca,3)</f>
        <v>0</v>
      </c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0"/>
      <c r="AM109" s="190">
        <f t="shared" si="48"/>
        <v>23</v>
      </c>
      <c r="AN109" s="201" t="str">
        <f t="shared" si="28"/>
        <v>-</v>
      </c>
      <c r="AO109" s="201" t="str">
        <f t="shared" si="29"/>
        <v>-</v>
      </c>
      <c r="AP109" s="201" t="str">
        <f t="shared" si="30"/>
        <v>-</v>
      </c>
      <c r="AQ109" s="201" t="str">
        <f t="shared" si="31"/>
        <v>-</v>
      </c>
      <c r="AR109" s="201" t="str">
        <f t="shared" si="32"/>
        <v>-</v>
      </c>
      <c r="AS109" s="201" t="str">
        <f t="shared" si="33"/>
        <v>-</v>
      </c>
      <c r="AT109" s="201" t="str">
        <f t="shared" si="34"/>
        <v>-</v>
      </c>
      <c r="AU109" s="202" t="e">
        <f t="shared" si="42"/>
        <v>#DIV/0!</v>
      </c>
      <c r="AV109" s="202" t="e">
        <f t="shared" si="52"/>
        <v>#DIV/0!</v>
      </c>
      <c r="AW109" s="202" t="e">
        <f t="shared" si="44"/>
        <v>#DIV/0!</v>
      </c>
      <c r="AX109" s="202" t="str">
        <f t="shared" si="35"/>
        <v>-</v>
      </c>
      <c r="AY109" s="201" t="e">
        <f>+AVERAGEIFS(energia,si_analisis,1,no_vacacional,1,dia_setmana,"&lt;6",hora,'Resultats - informe'!$AM109,epoca,1)</f>
        <v>#DIV/0!</v>
      </c>
      <c r="AZ109" s="201" t="e">
        <f>+AVERAGEIFS(energia,si_analisis,1,no_vacacional,1,dia_setmana,"&lt;6",hora,'Resultats - informe'!$AM109,epoca,2)</f>
        <v>#DIV/0!</v>
      </c>
      <c r="BA109" s="201" t="e">
        <f>+AVERAGEIFS(energia,si_analisis,1,no_vacacional,1,dia_setmana,"&lt;6",hora,'Resultats - informe'!$AM109,epoca,3)</f>
        <v>#DIV/0!</v>
      </c>
      <c r="BB109" s="201" t="e">
        <f t="shared" si="36"/>
        <v>#DIV/0!</v>
      </c>
      <c r="BC109" s="201" t="e">
        <f t="shared" si="37"/>
        <v>#DIV/0!</v>
      </c>
      <c r="BD109" s="201" t="e">
        <f t="shared" si="38"/>
        <v>#DIV/0!</v>
      </c>
      <c r="BE109" s="187" t="str">
        <f t="shared" si="45"/>
        <v>-</v>
      </c>
      <c r="BF109" s="329" t="e">
        <f t="shared" si="39"/>
        <v>#DIV/0!</v>
      </c>
      <c r="BG109" s="329" t="e">
        <f t="shared" si="46"/>
        <v>#DIV/0!</v>
      </c>
      <c r="BH109" s="329"/>
      <c r="BI109" s="190">
        <f t="shared" si="54"/>
        <v>23</v>
      </c>
      <c r="BJ109" s="212">
        <f t="shared" si="53"/>
        <v>0</v>
      </c>
      <c r="BK109" s="212">
        <f t="shared" si="53"/>
        <v>0</v>
      </c>
      <c r="BL109" s="212">
        <f t="shared" si="53"/>
        <v>0</v>
      </c>
      <c r="BM109" s="212">
        <f t="shared" si="53"/>
        <v>0</v>
      </c>
      <c r="BN109" s="212">
        <f t="shared" si="53"/>
        <v>0</v>
      </c>
      <c r="BO109" s="212">
        <f t="shared" si="53"/>
        <v>0</v>
      </c>
      <c r="BP109" s="212">
        <f t="shared" si="53"/>
        <v>0</v>
      </c>
      <c r="BQ109" s="212">
        <f t="shared" si="55"/>
        <v>0</v>
      </c>
    </row>
    <row r="110" spans="1:72" ht="23.4" x14ac:dyDescent="0.45">
      <c r="A110" s="70"/>
      <c r="B110" s="74"/>
      <c r="C110" s="74" t="s">
        <v>170</v>
      </c>
      <c r="D110" s="138"/>
      <c r="E110" s="138"/>
      <c r="F110" s="74"/>
      <c r="G110" s="74"/>
      <c r="H110" s="74"/>
      <c r="I110" s="144"/>
      <c r="J110" s="154"/>
      <c r="K110" s="15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0"/>
      <c r="AM110" s="190">
        <f t="shared" si="48"/>
        <v>24</v>
      </c>
      <c r="AN110" s="201" t="str">
        <f t="shared" si="28"/>
        <v>-</v>
      </c>
      <c r="AO110" s="201" t="str">
        <f t="shared" si="29"/>
        <v>-</v>
      </c>
      <c r="AP110" s="201" t="str">
        <f t="shared" si="30"/>
        <v>-</v>
      </c>
      <c r="AQ110" s="201" t="str">
        <f t="shared" si="31"/>
        <v>-</v>
      </c>
      <c r="AR110" s="201" t="str">
        <f t="shared" si="32"/>
        <v>-</v>
      </c>
      <c r="AS110" s="201" t="str">
        <f t="shared" si="33"/>
        <v>-</v>
      </c>
      <c r="AT110" s="201" t="str">
        <f t="shared" si="34"/>
        <v>-</v>
      </c>
      <c r="AU110" s="202"/>
      <c r="AV110" s="202"/>
      <c r="AW110" s="202" t="e">
        <f t="shared" si="44"/>
        <v>#DIV/0!</v>
      </c>
      <c r="AX110" s="202"/>
      <c r="AY110" s="201"/>
      <c r="AZ110" s="201"/>
      <c r="BA110" s="201"/>
      <c r="BC110" s="329"/>
      <c r="BD110" s="187"/>
      <c r="BE110" s="187"/>
      <c r="BF110" s="187"/>
      <c r="BG110" s="187"/>
      <c r="BH110" s="187"/>
      <c r="BI110" s="190">
        <f t="shared" si="54"/>
        <v>24</v>
      </c>
      <c r="BJ110" s="212">
        <f t="shared" si="53"/>
        <v>0</v>
      </c>
      <c r="BK110" s="212">
        <f t="shared" si="53"/>
        <v>0</v>
      </c>
      <c r="BL110" s="212">
        <f t="shared" si="53"/>
        <v>0</v>
      </c>
      <c r="BM110" s="212">
        <f t="shared" si="53"/>
        <v>0</v>
      </c>
      <c r="BN110" s="212">
        <f t="shared" si="53"/>
        <v>0</v>
      </c>
      <c r="BO110" s="212">
        <f t="shared" si="53"/>
        <v>0</v>
      </c>
      <c r="BP110" s="212">
        <f t="shared" si="53"/>
        <v>0</v>
      </c>
      <c r="BQ110" s="212">
        <f t="shared" si="55"/>
        <v>0</v>
      </c>
    </row>
    <row r="111" spans="1:72" ht="43.8" x14ac:dyDescent="0.45">
      <c r="A111" s="70"/>
      <c r="B111" s="74"/>
      <c r="C111" s="74"/>
      <c r="D111" s="118" t="s">
        <v>165</v>
      </c>
      <c r="E111" s="119"/>
      <c r="F111" s="130" t="e">
        <f t="shared" ref="F111:H112" si="59">+I111*$G91</f>
        <v>#DIV/0!</v>
      </c>
      <c r="G111" s="130" t="e">
        <f t="shared" si="59"/>
        <v>#DIV/0!</v>
      </c>
      <c r="H111" s="130" t="e">
        <f t="shared" si="59"/>
        <v>#DIV/0!</v>
      </c>
      <c r="I111" s="147">
        <f>IFERROR(AVERAGEIFS(energia,si_analisis,1,no_vacacional,1,dia_setmana,"&gt;=6",dia_setmana,"&lt;=7",si_obert,1,epoca,1),0)</f>
        <v>0</v>
      </c>
      <c r="J111" s="148">
        <f>IFERROR(AVERAGEIFS(energia,si_analisis,1,no_vacacional,1,dia_setmana,"&gt;=6",dia_setmana,"&lt;=7",si_obert,1,epoca,2),0)</f>
        <v>0</v>
      </c>
      <c r="K111" s="148">
        <f>IFERROR(AVERAGEIFS(energia,si_analisis,1,no_vacacional,1,dia_setmana,"&gt;=6",dia_setmana,"&lt;=7",si_obert,1,epoca,3),0)</f>
        <v>0</v>
      </c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0"/>
      <c r="AM111" s="203" t="s">
        <v>179</v>
      </c>
      <c r="AN111" s="201">
        <f t="shared" ref="AN111:AW111" si="60">SUM(AN86:AN110)</f>
        <v>0</v>
      </c>
      <c r="AO111" s="201">
        <f t="shared" si="60"/>
        <v>0</v>
      </c>
      <c r="AP111" s="201">
        <f t="shared" si="60"/>
        <v>0</v>
      </c>
      <c r="AQ111" s="201">
        <f t="shared" si="60"/>
        <v>0</v>
      </c>
      <c r="AR111" s="201">
        <f t="shared" si="60"/>
        <v>0</v>
      </c>
      <c r="AS111" s="201">
        <f t="shared" si="60"/>
        <v>0</v>
      </c>
      <c r="AT111" s="201">
        <f t="shared" si="60"/>
        <v>0</v>
      </c>
      <c r="AU111" s="202" t="e">
        <f t="shared" si="60"/>
        <v>#DIV/0!</v>
      </c>
      <c r="AV111" s="202" t="e">
        <f t="shared" si="60"/>
        <v>#DIV/0!</v>
      </c>
      <c r="AW111" s="202" t="e">
        <f t="shared" si="60"/>
        <v>#DIV/0!</v>
      </c>
      <c r="AX111" s="202"/>
      <c r="AY111" s="201" t="e">
        <f>SUM(AY86:AY110)</f>
        <v>#DIV/0!</v>
      </c>
      <c r="AZ111" s="201" t="e">
        <f>SUM(AZ86:AZ110)</f>
        <v>#DIV/0!</v>
      </c>
      <c r="BA111" s="201" t="e">
        <f>SUM(BA86:BA110)</f>
        <v>#DIV/0!</v>
      </c>
      <c r="BC111" s="201" t="e">
        <f>SUM(BC86:BC110)</f>
        <v>#DIV/0!</v>
      </c>
      <c r="BD111" s="187"/>
      <c r="BE111" s="187"/>
      <c r="BF111" s="187"/>
      <c r="BG111" s="187"/>
      <c r="BH111" s="187"/>
      <c r="BI111" s="203" t="s">
        <v>129</v>
      </c>
      <c r="BJ111" s="212">
        <f t="shared" ref="BJ111:BQ111" si="61">SUM(BJ86:BJ110)</f>
        <v>0</v>
      </c>
      <c r="BK111" s="212">
        <f t="shared" si="61"/>
        <v>0</v>
      </c>
      <c r="BL111" s="212">
        <f t="shared" si="61"/>
        <v>0</v>
      </c>
      <c r="BM111" s="212">
        <f t="shared" si="61"/>
        <v>0</v>
      </c>
      <c r="BN111" s="212">
        <f t="shared" si="61"/>
        <v>0</v>
      </c>
      <c r="BO111" s="212">
        <f t="shared" si="61"/>
        <v>0</v>
      </c>
      <c r="BP111" s="212">
        <f t="shared" si="61"/>
        <v>0</v>
      </c>
      <c r="BQ111" s="212">
        <f t="shared" si="61"/>
        <v>0</v>
      </c>
    </row>
    <row r="112" spans="1:72" ht="23.4" x14ac:dyDescent="0.45">
      <c r="A112" s="70"/>
      <c r="B112" s="74"/>
      <c r="C112" s="74"/>
      <c r="D112" s="118" t="s">
        <v>166</v>
      </c>
      <c r="E112" s="119"/>
      <c r="F112" s="130" t="e">
        <f t="shared" si="59"/>
        <v>#DIV/0!</v>
      </c>
      <c r="G112" s="130" t="e">
        <f t="shared" si="59"/>
        <v>#DIV/0!</v>
      </c>
      <c r="H112" s="130" t="e">
        <f t="shared" si="59"/>
        <v>#DIV/0!</v>
      </c>
      <c r="I112" s="387">
        <f>IFERROR(AVERAGEIFS(energia,si_analisis,1,no_vacacional,1,dia_setmana,"&gt;=6",dia_setmana,"&lt;=7",si_obert,0,epoca,1),0)</f>
        <v>0</v>
      </c>
      <c r="J112" s="148">
        <f>IFERROR(AVERAGEIFS(energia,si_analisis,1,no_vacacional,1,dia_setmana,"&gt;=6",dia_setmana,"&lt;=7",si_obert,0,epoca,2),0)</f>
        <v>0</v>
      </c>
      <c r="K112" s="148">
        <f>IFERROR(AVERAGEIFS(energia,si_analisis,1,no_vacacional,1,dia_setmana,"&gt;=6",dia_setmana,"&lt;=7",si_obert,0,epoca,3),0)</f>
        <v>0</v>
      </c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0"/>
      <c r="AM112" s="212" t="s">
        <v>180</v>
      </c>
      <c r="AN112" s="201">
        <f t="shared" ref="AN112:AT112" si="62">+SUMPRODUCT(AN86:AN110,Z$18:Z$42)</f>
        <v>0</v>
      </c>
      <c r="AO112" s="201">
        <f t="shared" si="62"/>
        <v>0</v>
      </c>
      <c r="AP112" s="201">
        <f t="shared" si="62"/>
        <v>0</v>
      </c>
      <c r="AQ112" s="201">
        <f t="shared" si="62"/>
        <v>0</v>
      </c>
      <c r="AR112" s="201">
        <f t="shared" si="62"/>
        <v>0</v>
      </c>
      <c r="AS112" s="201">
        <f t="shared" si="62"/>
        <v>0</v>
      </c>
      <c r="AT112" s="201">
        <f t="shared" si="62"/>
        <v>0</v>
      </c>
      <c r="AY112" s="201" t="e">
        <f>+AVERAGEIFS('Introducció dades consum'!$E:$E,'Introducció dades consum'!$L:$L,1,'Introducció dades consum'!$M:$M,1,'Introducció dades consum'!$K:$K,"&lt;6",'Introducció dades consum'!$N:$N,1,'Introducció dades consum'!$O:$O,1)*$G$86</f>
        <v>#DIV/0!</v>
      </c>
      <c r="AZ112" s="201" t="e">
        <f>+AVERAGEIFS('Introducció dades consum'!$E:$E,'Introducció dades consum'!$L:$L,1,'Introducció dades consum'!$M:$M,1,'Introducció dades consum'!$K:$K,"&lt;6",'Introducció dades consum'!$N:$N,1,'Introducció dades consum'!$O:$O,2)*$G$86</f>
        <v>#DIV/0!</v>
      </c>
      <c r="BA112" s="201" t="e">
        <f>+AVERAGEIFS('Introducció dades consum'!$E:$E,'Introducció dades consum'!$L:$L,1,'Introducció dades consum'!$M:$M,1,'Introducció dades consum'!$K:$K,"&lt;6",'Introducció dades consum'!$N:$N,1,'Introducció dades consum'!$O:$O,3)*$G$86</f>
        <v>#DIV/0!</v>
      </c>
      <c r="BC112" s="187"/>
      <c r="BD112" s="187"/>
      <c r="BE112" s="187"/>
      <c r="BF112" s="187"/>
      <c r="BG112" s="187"/>
      <c r="BH112" s="187"/>
      <c r="BI112" s="212" t="s">
        <v>181</v>
      </c>
      <c r="BJ112" s="201">
        <f>+BJ111/24</f>
        <v>0</v>
      </c>
      <c r="BK112" s="201">
        <f t="shared" ref="BK112:BP112" si="63">+BK111/24</f>
        <v>0</v>
      </c>
      <c r="BL112" s="201">
        <f t="shared" si="63"/>
        <v>0</v>
      </c>
      <c r="BM112" s="201">
        <f t="shared" si="63"/>
        <v>0</v>
      </c>
      <c r="BN112" s="201">
        <f t="shared" si="63"/>
        <v>0</v>
      </c>
      <c r="BO112" s="201">
        <f t="shared" si="63"/>
        <v>0</v>
      </c>
      <c r="BP112" s="201">
        <f t="shared" si="63"/>
        <v>0</v>
      </c>
      <c r="BQ112" s="212">
        <f>SUM(BJ111:BP111)</f>
        <v>0</v>
      </c>
    </row>
    <row r="113" spans="1:103" ht="24.6" customHeight="1" x14ac:dyDescent="0.45">
      <c r="A113" s="70"/>
      <c r="B113" s="74"/>
      <c r="C113" s="74"/>
      <c r="D113" s="83" t="s">
        <v>167</v>
      </c>
      <c r="E113" s="74"/>
      <c r="F113" s="149" t="e">
        <f t="shared" ref="F113:H113" si="64">+F112+F111</f>
        <v>#DIV/0!</v>
      </c>
      <c r="G113" s="149" t="e">
        <f t="shared" si="64"/>
        <v>#DIV/0!</v>
      </c>
      <c r="H113" s="149" t="e">
        <f t="shared" si="64"/>
        <v>#DIV/0!</v>
      </c>
      <c r="I113" s="147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0"/>
      <c r="AM113" s="212" t="s">
        <v>182</v>
      </c>
      <c r="AN113" s="201">
        <f>+AN111-AN112</f>
        <v>0</v>
      </c>
      <c r="AO113" s="201">
        <f t="shared" ref="AO113:AT113" si="65">+AO111-AO112</f>
        <v>0</v>
      </c>
      <c r="AP113" s="201">
        <f t="shared" si="65"/>
        <v>0</v>
      </c>
      <c r="AQ113" s="201">
        <f t="shared" si="65"/>
        <v>0</v>
      </c>
      <c r="AR113" s="201">
        <f t="shared" si="65"/>
        <v>0</v>
      </c>
      <c r="AS113" s="201">
        <f t="shared" si="65"/>
        <v>0</v>
      </c>
      <c r="AT113" s="201">
        <f t="shared" si="65"/>
        <v>0</v>
      </c>
      <c r="AY113" s="201" t="e">
        <f>+AY111-AY112</f>
        <v>#DIV/0!</v>
      </c>
      <c r="AZ113" s="201" t="e">
        <f t="shared" ref="AZ113:BA113" si="66">+AZ111-AZ112</f>
        <v>#DIV/0!</v>
      </c>
      <c r="BA113" s="201" t="e">
        <f t="shared" si="66"/>
        <v>#DIV/0!</v>
      </c>
      <c r="BC113" s="187"/>
      <c r="BD113" s="187"/>
      <c r="BE113" s="187"/>
      <c r="BF113" s="187"/>
      <c r="BG113" s="187"/>
      <c r="BH113" s="187"/>
    </row>
    <row r="114" spans="1:103" ht="18" customHeight="1" thickBot="1" x14ac:dyDescent="0.5">
      <c r="A114" s="70"/>
      <c r="B114" s="74"/>
      <c r="C114" s="133"/>
      <c r="D114" s="123" t="s">
        <v>169</v>
      </c>
      <c r="E114" s="134"/>
      <c r="F114" s="126" t="str">
        <f>+IFERROR(F112/F111,"-")</f>
        <v>-</v>
      </c>
      <c r="G114" s="126" t="str">
        <f t="shared" ref="G114:H114" si="67">+IFERROR(G112/G111,"-")</f>
        <v>-</v>
      </c>
      <c r="H114" s="126" t="str">
        <f t="shared" si="67"/>
        <v>-</v>
      </c>
      <c r="I114" s="155" t="str">
        <f>IFERROR(I112/I111,"-")</f>
        <v>-</v>
      </c>
      <c r="J114" s="126" t="str">
        <f>IFERROR(J112/J111,"-")</f>
        <v>-</v>
      </c>
      <c r="K114" s="126" t="str">
        <f>IFERROR(K112/K111,"-")</f>
        <v>-</v>
      </c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0"/>
      <c r="AM114" s="203" t="s">
        <v>179</v>
      </c>
      <c r="AN114" s="187"/>
      <c r="AO114" s="187"/>
      <c r="AP114" s="187">
        <f>+AVERAGE(AN111:AR111)</f>
        <v>0</v>
      </c>
      <c r="AQ114" s="187"/>
      <c r="AR114" s="187"/>
      <c r="AS114" s="213">
        <f>+AVERAGE(AS111:AT111)</f>
        <v>0</v>
      </c>
      <c r="AT114" s="214"/>
      <c r="AY114" s="184">
        <f>COUNTIFS('Introducció dades consum'!$L:$L,1,'Introducció dades consum'!$M:$M,1,'Introducció dades consum'!$K:$K,"&lt;6",'Introducció dades consum'!$N:$N,1,'Introducció dades consum'!$O:$O,1)</f>
        <v>0</v>
      </c>
      <c r="AZ114" s="184">
        <f>COUNTIFS('Introducció dades consum'!$L:$L,1,'Introducció dades consum'!$M:$M,1,'Introducció dades consum'!$K:$K,"&lt;6",'Introducció dades consum'!$N:$N,1,'Introducció dades consum'!$O:$O,2)</f>
        <v>0</v>
      </c>
      <c r="BA114" s="184">
        <f>COUNTIFS('Introducció dades consum'!$L:$L,1,'Introducció dades consum'!$M:$M,1,'Introducció dades consum'!$K:$K,"&lt;6",'Introducció dades consum'!$N:$N,1,'Introducció dades consum'!$O:$O,3)</f>
        <v>0</v>
      </c>
    </row>
    <row r="115" spans="1:103" ht="23.4" x14ac:dyDescent="0.45">
      <c r="A115" s="70"/>
      <c r="B115" s="74"/>
      <c r="C115" s="74" t="s">
        <v>199</v>
      </c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0"/>
      <c r="AM115" s="212" t="s">
        <v>180</v>
      </c>
      <c r="AN115" s="215"/>
      <c r="AO115" s="216"/>
      <c r="AP115" s="216">
        <f>+AVERAGE(AN112:AR112)</f>
        <v>0</v>
      </c>
      <c r="AQ115" s="216"/>
      <c r="AR115" s="216"/>
      <c r="AS115" s="217">
        <f>+AVERAGE(AS112:AT112)</f>
        <v>0</v>
      </c>
      <c r="AT115" s="218"/>
      <c r="AY115" s="184" t="e">
        <f>+AY114*I105</f>
        <v>#DIV/0!</v>
      </c>
      <c r="AZ115" s="184" t="e">
        <f>+AZ114*J105</f>
        <v>#DIV/0!</v>
      </c>
      <c r="BA115" s="184" t="e">
        <f>+BA114*K105</f>
        <v>#DIV/0!</v>
      </c>
    </row>
    <row r="116" spans="1:103" ht="23.4" x14ac:dyDescent="0.45">
      <c r="A116" s="70"/>
      <c r="B116" s="74"/>
      <c r="C116" s="74"/>
      <c r="D116" s="118" t="s">
        <v>197</v>
      </c>
      <c r="E116" s="137"/>
      <c r="F116" s="121" t="str">
        <f t="shared" ref="F116:K116" si="68">IFERROR(F111/F105,"-")</f>
        <v>-</v>
      </c>
      <c r="G116" s="121" t="str">
        <f t="shared" si="68"/>
        <v>-</v>
      </c>
      <c r="H116" s="121" t="str">
        <f t="shared" si="68"/>
        <v>-</v>
      </c>
      <c r="I116" s="150" t="str">
        <f t="shared" si="68"/>
        <v>-</v>
      </c>
      <c r="J116" s="121" t="str">
        <f t="shared" si="68"/>
        <v>-</v>
      </c>
      <c r="K116" s="121" t="str">
        <f t="shared" si="68"/>
        <v>-</v>
      </c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0"/>
      <c r="AM116" s="212" t="s">
        <v>182</v>
      </c>
      <c r="AN116" s="215"/>
      <c r="AO116" s="216"/>
      <c r="AP116" s="216">
        <f>+AVERAGE(AN113:AR113)</f>
        <v>0</v>
      </c>
      <c r="AQ116" s="216"/>
      <c r="AR116" s="216"/>
      <c r="AS116" s="217">
        <f>+AVERAGE(AS113:AT113)</f>
        <v>0</v>
      </c>
      <c r="AT116" s="218"/>
      <c r="AY116" s="184" t="e">
        <f>+SUM(AY115:BA115)/SUM(AY114:BA114)</f>
        <v>#DIV/0!</v>
      </c>
    </row>
    <row r="117" spans="1:103" ht="23.4" x14ac:dyDescent="0.45">
      <c r="A117" s="70"/>
      <c r="B117" s="74"/>
      <c r="C117" s="264" t="s">
        <v>172</v>
      </c>
      <c r="D117" s="118" t="s">
        <v>196</v>
      </c>
      <c r="E117" s="137"/>
      <c r="F117" s="121"/>
      <c r="G117" s="121"/>
      <c r="H117" s="121"/>
      <c r="I117" s="150" t="str">
        <f>IFERROR(I112/I106,"-")</f>
        <v>-</v>
      </c>
      <c r="J117" s="121" t="str">
        <f>IFERROR(J112/J106,"-")</f>
        <v>-</v>
      </c>
      <c r="K117" s="121" t="str">
        <f>IFERROR(K112/K106,"-")</f>
        <v>-</v>
      </c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0"/>
      <c r="AM117" s="186"/>
      <c r="AN117" s="187"/>
      <c r="AO117" s="187"/>
      <c r="AP117" s="187"/>
      <c r="AQ117" s="187"/>
      <c r="AR117" s="187"/>
      <c r="AS117" s="188"/>
      <c r="AT117" s="187"/>
    </row>
    <row r="118" spans="1:103" ht="24" thickBot="1" x14ac:dyDescent="0.5">
      <c r="A118" s="70"/>
      <c r="B118" s="74"/>
      <c r="C118" s="133"/>
      <c r="D118" s="123" t="s">
        <v>198</v>
      </c>
      <c r="E118" s="134"/>
      <c r="F118" s="126" t="str">
        <f>IFERROR(F113/F107,"-")</f>
        <v>-</v>
      </c>
      <c r="G118" s="126" t="str">
        <f>IFERROR(G113/G107,"-")</f>
        <v>-</v>
      </c>
      <c r="H118" s="126" t="str">
        <f>IFERROR(H113/H107,"-")</f>
        <v>-</v>
      </c>
      <c r="I118" s="155"/>
      <c r="J118" s="126"/>
      <c r="K118" s="126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0"/>
    </row>
    <row r="119" spans="1:103" ht="23.4" x14ac:dyDescent="0.45">
      <c r="A119" s="70"/>
      <c r="B119" s="74"/>
      <c r="C119" s="74"/>
      <c r="D119" s="156" t="s">
        <v>225</v>
      </c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0"/>
    </row>
    <row r="120" spans="1:103" ht="24" thickBot="1" x14ac:dyDescent="0.5">
      <c r="A120" s="70"/>
      <c r="B120" s="74"/>
      <c r="C120" s="133" t="s">
        <v>273</v>
      </c>
      <c r="D120" s="133"/>
      <c r="E120" s="128" t="s">
        <v>175</v>
      </c>
      <c r="F120" s="128" t="s">
        <v>120</v>
      </c>
      <c r="G120" s="129" t="s">
        <v>121</v>
      </c>
      <c r="H120" s="128" t="s">
        <v>122</v>
      </c>
      <c r="I120" s="74"/>
      <c r="J120" s="79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0"/>
    </row>
    <row r="121" spans="1:103" ht="23.4" x14ac:dyDescent="0.45">
      <c r="A121" s="70"/>
      <c r="B121" s="74"/>
      <c r="C121" s="138" t="s">
        <v>176</v>
      </c>
      <c r="D121" s="138"/>
      <c r="E121" s="139">
        <f>+E123+E122</f>
        <v>0</v>
      </c>
      <c r="F121" s="139">
        <f>COUNTIFS(si_analisis,1,no_vacacional,1,epoca,1)/24</f>
        <v>0</v>
      </c>
      <c r="G121" s="139">
        <f>COUNTIFS(si_analisis,1,no_vacacional,1,epoca,2)/24</f>
        <v>0</v>
      </c>
      <c r="H121" s="139">
        <f>COUNTIFS(si_analisis,1,no_vacacional,1,epoca,3)/24</f>
        <v>0</v>
      </c>
      <c r="I121" s="79"/>
      <c r="J121" s="79"/>
      <c r="K121" s="79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0"/>
      <c r="AM121" s="269"/>
      <c r="AN121" s="269"/>
      <c r="AO121" s="269"/>
      <c r="AP121" s="269"/>
      <c r="AQ121" s="269"/>
      <c r="AR121" s="269"/>
      <c r="AS121" s="269"/>
      <c r="AT121" s="269"/>
      <c r="AU121" s="269"/>
      <c r="AV121" s="269"/>
      <c r="AW121" s="269"/>
      <c r="AX121" s="269"/>
      <c r="AY121" s="269"/>
      <c r="AZ121" s="269"/>
      <c r="BA121" s="269"/>
      <c r="BB121" s="269"/>
      <c r="BC121" s="269"/>
      <c r="BD121" s="269"/>
      <c r="BE121" s="269"/>
      <c r="BF121" s="269"/>
      <c r="BG121" s="269"/>
      <c r="BH121" s="269"/>
      <c r="BI121" s="269"/>
      <c r="BJ121" s="269"/>
      <c r="BK121" s="269"/>
      <c r="BL121" s="269"/>
      <c r="BM121" s="269"/>
      <c r="BN121" s="269"/>
      <c r="BO121" s="269"/>
      <c r="BP121" s="269"/>
      <c r="BQ121" s="269"/>
    </row>
    <row r="122" spans="1:103" ht="23.4" x14ac:dyDescent="0.45">
      <c r="A122" s="70"/>
      <c r="B122" s="74"/>
      <c r="C122" s="119" t="s">
        <v>177</v>
      </c>
      <c r="D122" s="119"/>
      <c r="E122" s="120">
        <f>COUNTIFS(si_analisis,1,no_vacacional,1,dia_setmana,"&lt;6")/24</f>
        <v>0</v>
      </c>
      <c r="F122" s="120">
        <f>COUNTIFS(si_analisis,1,no_vacacional,1,dia_setmana,"&lt;6",epoca,1)/24</f>
        <v>0</v>
      </c>
      <c r="G122" s="120">
        <f>COUNTIFS(si_analisis,1,no_vacacional,1,dia_setmana,"&lt;6",epoca,2)/24</f>
        <v>0</v>
      </c>
      <c r="H122" s="120">
        <f>COUNTIFS(si_analisis,1,no_vacacional,1,dia_setmana,"&lt;6",epoca,3)/24</f>
        <v>0</v>
      </c>
      <c r="I122" s="79"/>
      <c r="J122" s="79"/>
      <c r="K122" s="79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0"/>
      <c r="AM122" s="269"/>
      <c r="AN122" s="269"/>
      <c r="AO122" s="269"/>
      <c r="AP122" s="269"/>
      <c r="AQ122" s="269"/>
      <c r="AR122" s="269"/>
      <c r="AS122" s="269"/>
      <c r="AT122" s="269"/>
      <c r="AU122" s="269"/>
      <c r="AV122" s="269"/>
      <c r="AW122" s="269"/>
      <c r="AX122" s="269"/>
      <c r="AY122" s="269"/>
      <c r="AZ122" s="269"/>
      <c r="BA122" s="269"/>
      <c r="BB122" s="269"/>
      <c r="BC122" s="269"/>
      <c r="BD122" s="269"/>
      <c r="BE122" s="269"/>
      <c r="BF122" s="269"/>
      <c r="BG122" s="269"/>
      <c r="BH122" s="269"/>
      <c r="BI122" s="269"/>
      <c r="BJ122" s="269"/>
      <c r="BK122" s="269"/>
      <c r="BL122" s="269"/>
      <c r="BM122" s="269"/>
      <c r="BN122" s="269"/>
      <c r="BO122" s="269"/>
      <c r="BP122" s="269"/>
      <c r="BQ122" s="269"/>
    </row>
    <row r="123" spans="1:103" ht="24" thickBot="1" x14ac:dyDescent="0.5">
      <c r="A123" s="70"/>
      <c r="B123" s="74"/>
      <c r="C123" s="124" t="s">
        <v>99</v>
      </c>
      <c r="D123" s="124"/>
      <c r="E123" s="125">
        <f>ROUND(COUNTIFS(si_analisis,1,no_vacacional,1,dia_setmana,"&gt;=6")/24,0)</f>
        <v>0</v>
      </c>
      <c r="F123" s="125">
        <f>ROUND(COUNTIFS(si_analisis,1,no_vacacional,1,dia_setmana,"&gt;=6",epoca,1)/24,0)</f>
        <v>0</v>
      </c>
      <c r="G123" s="125">
        <f>ROUND(COUNTIFS(si_analisis,1,no_vacacional,1,dia_setmana,"&gt;=6",epoca,2)/24,0)</f>
        <v>0</v>
      </c>
      <c r="H123" s="125">
        <f>ROUND(COUNTIFS(si_analisis,1,no_vacacional,1,dia_setmana,"&gt;=6",epoca,3)/24,0)</f>
        <v>0</v>
      </c>
      <c r="I123" s="79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0"/>
      <c r="AM123" s="269"/>
      <c r="AN123" s="269"/>
      <c r="AO123" s="269"/>
      <c r="AP123" s="269"/>
      <c r="AQ123" s="269"/>
      <c r="AR123" s="269"/>
      <c r="AS123" s="269"/>
      <c r="AT123" s="269"/>
      <c r="AU123" s="269"/>
      <c r="AV123" s="269"/>
      <c r="AW123" s="269"/>
      <c r="AX123" s="269"/>
      <c r="AY123" s="269"/>
      <c r="AZ123" s="269"/>
      <c r="BA123" s="269"/>
      <c r="BB123" s="269"/>
      <c r="BC123" s="269"/>
      <c r="BD123" s="269"/>
      <c r="BE123" s="269"/>
      <c r="BF123" s="269"/>
      <c r="BG123" s="269"/>
      <c r="BH123" s="269"/>
      <c r="BI123" s="269"/>
      <c r="BJ123" s="269"/>
      <c r="BK123" s="269"/>
      <c r="BL123" s="269"/>
      <c r="BM123" s="269"/>
      <c r="BN123" s="269"/>
      <c r="BO123" s="269"/>
      <c r="BP123" s="269"/>
      <c r="BQ123" s="269"/>
      <c r="BR123" s="269"/>
      <c r="BS123" s="269"/>
      <c r="BT123" s="269"/>
      <c r="BU123" s="269"/>
      <c r="BV123" s="269"/>
      <c r="BW123" s="269"/>
      <c r="BX123" s="269"/>
      <c r="BY123" s="269"/>
      <c r="BZ123" s="269"/>
      <c r="CA123" s="269"/>
      <c r="CB123" s="270"/>
      <c r="CC123" s="270"/>
      <c r="CD123" s="270"/>
      <c r="CE123" s="270"/>
      <c r="CF123" s="270"/>
      <c r="CG123" s="270"/>
      <c r="CH123" s="270"/>
      <c r="CI123" s="270"/>
      <c r="CJ123" s="270"/>
      <c r="CK123" s="270"/>
      <c r="CL123" s="270"/>
      <c r="CM123" s="270"/>
      <c r="CN123" s="270"/>
      <c r="CO123" s="270"/>
      <c r="CP123" s="270"/>
      <c r="CQ123" s="270"/>
      <c r="CR123" s="270"/>
      <c r="CS123" s="270"/>
      <c r="CT123" s="270"/>
      <c r="CU123" s="270"/>
      <c r="CV123" s="270"/>
      <c r="CW123" s="270"/>
      <c r="CX123" s="270"/>
      <c r="CY123" s="270"/>
    </row>
    <row r="124" spans="1:103" s="270" customFormat="1" ht="23.4" x14ac:dyDescent="0.45">
      <c r="A124" s="70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0"/>
      <c r="W124" s="184"/>
      <c r="X124" s="269"/>
      <c r="Y124" s="269"/>
      <c r="Z124" s="269"/>
      <c r="AA124" s="269"/>
      <c r="AB124" s="269"/>
      <c r="AC124" s="269"/>
      <c r="AD124" s="269"/>
      <c r="AE124" s="269"/>
      <c r="AF124" s="269"/>
      <c r="AG124" s="269"/>
      <c r="AH124" s="269"/>
      <c r="AI124" s="269"/>
      <c r="AJ124" s="269"/>
      <c r="AK124" s="269"/>
      <c r="AL124" s="269"/>
      <c r="AM124" s="184"/>
      <c r="AN124" s="184"/>
      <c r="AO124" s="184"/>
      <c r="AP124" s="184"/>
      <c r="AQ124" s="184"/>
      <c r="AR124" s="184"/>
      <c r="AS124" s="184"/>
      <c r="AT124" s="184"/>
      <c r="AU124" s="184"/>
      <c r="AV124" s="184"/>
      <c r="AW124" s="184"/>
      <c r="AX124" s="184"/>
      <c r="AY124" s="184"/>
      <c r="AZ124" s="184"/>
      <c r="BA124" s="184"/>
      <c r="BB124" s="184"/>
      <c r="BC124" s="184"/>
      <c r="BD124" s="184"/>
      <c r="BE124" s="184"/>
      <c r="BF124" s="184"/>
      <c r="BG124" s="184"/>
      <c r="BH124" s="184"/>
      <c r="BI124" s="184"/>
      <c r="BJ124" s="184"/>
      <c r="BK124" s="184"/>
      <c r="BL124" s="184"/>
      <c r="BM124" s="184"/>
      <c r="BN124" s="184"/>
      <c r="BO124" s="184"/>
      <c r="BP124" s="184"/>
      <c r="BQ124" s="184"/>
      <c r="BR124" s="269"/>
      <c r="BS124" s="269"/>
      <c r="BT124" s="269"/>
      <c r="BU124" s="269"/>
      <c r="BV124" s="269"/>
      <c r="BW124" s="269"/>
      <c r="BX124" s="269"/>
      <c r="BY124" s="269"/>
      <c r="BZ124" s="269"/>
      <c r="CA124" s="269"/>
    </row>
    <row r="125" spans="1:103" s="270" customFormat="1" ht="23.4" x14ac:dyDescent="0.45">
      <c r="A125" s="70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0"/>
      <c r="W125" s="184"/>
      <c r="X125" s="269"/>
      <c r="Y125" s="269"/>
      <c r="Z125" s="269"/>
      <c r="AA125" s="269"/>
      <c r="AB125" s="269"/>
      <c r="AC125" s="269"/>
      <c r="AD125" s="269"/>
      <c r="AE125" s="269"/>
      <c r="AF125" s="269"/>
      <c r="AG125" s="269"/>
      <c r="AH125" s="269"/>
      <c r="AI125" s="269"/>
      <c r="AJ125" s="269"/>
      <c r="AK125" s="269"/>
      <c r="AL125" s="269"/>
      <c r="AM125" s="189"/>
      <c r="AN125" s="184"/>
      <c r="AO125" s="184"/>
      <c r="AP125" s="184"/>
      <c r="AQ125" s="184"/>
      <c r="AR125" s="184"/>
      <c r="AS125" s="184"/>
      <c r="AT125" s="184"/>
      <c r="AU125" s="184"/>
      <c r="AV125" s="184"/>
      <c r="AW125" s="184"/>
      <c r="AX125" s="184"/>
      <c r="AY125" s="184"/>
      <c r="AZ125" s="184"/>
      <c r="BA125" s="184"/>
      <c r="BB125" s="184"/>
      <c r="BC125" s="184"/>
      <c r="BD125" s="184"/>
      <c r="BE125" s="184"/>
      <c r="BF125" s="184"/>
      <c r="BG125" s="184"/>
      <c r="BH125" s="184"/>
      <c r="BI125" s="184"/>
      <c r="BJ125" s="184"/>
      <c r="BK125" s="184"/>
      <c r="BL125" s="184"/>
      <c r="BM125" s="184"/>
      <c r="BN125" s="184"/>
      <c r="BO125" s="184"/>
      <c r="BP125" s="184"/>
      <c r="BQ125" s="184"/>
      <c r="BR125" s="269"/>
      <c r="BS125" s="269"/>
      <c r="BT125" s="269"/>
      <c r="BU125" s="269"/>
      <c r="BV125" s="269"/>
      <c r="BW125" s="269"/>
      <c r="BX125" s="269"/>
      <c r="BY125" s="269"/>
      <c r="BZ125" s="269"/>
      <c r="CA125" s="269"/>
    </row>
    <row r="126" spans="1:103" s="270" customFormat="1" ht="23.4" x14ac:dyDescent="0.45">
      <c r="A126" s="70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0"/>
      <c r="W126" s="184"/>
      <c r="X126" s="269"/>
      <c r="Y126" s="269"/>
      <c r="Z126" s="269"/>
      <c r="AA126" s="269"/>
      <c r="AB126" s="269"/>
      <c r="AC126" s="269"/>
      <c r="AD126" s="269"/>
      <c r="AE126" s="269"/>
      <c r="AF126" s="269"/>
      <c r="AG126" s="269"/>
      <c r="AH126" s="269"/>
      <c r="AI126" s="269"/>
      <c r="AJ126" s="269"/>
      <c r="AK126" s="269"/>
      <c r="AL126" s="269"/>
      <c r="AM126" s="189"/>
      <c r="AN126" s="184"/>
      <c r="AO126" s="184"/>
      <c r="AP126" s="184"/>
      <c r="AQ126" s="184"/>
      <c r="AR126" s="184"/>
      <c r="AS126" s="184"/>
      <c r="AT126" s="184"/>
      <c r="AU126" s="184"/>
      <c r="AV126" s="184"/>
      <c r="AW126" s="184"/>
      <c r="AX126" s="184"/>
      <c r="AY126" s="184"/>
      <c r="AZ126" s="184"/>
      <c r="BA126" s="184"/>
      <c r="BB126" s="184"/>
      <c r="BC126" s="184"/>
      <c r="BD126" s="184"/>
      <c r="BE126" s="184"/>
      <c r="BF126" s="184"/>
      <c r="BG126" s="184"/>
      <c r="BH126" s="184"/>
      <c r="BI126" s="184"/>
      <c r="BJ126" s="184"/>
      <c r="BK126" s="184"/>
      <c r="BL126" s="184"/>
      <c r="BM126" s="184"/>
      <c r="BN126" s="184"/>
      <c r="BO126" s="184"/>
      <c r="BP126" s="184"/>
      <c r="BQ126" s="184"/>
      <c r="BR126" s="184"/>
      <c r="BS126" s="184"/>
      <c r="BT126" s="184"/>
      <c r="BU126" s="184"/>
      <c r="BV126" s="184"/>
      <c r="BW126" s="184"/>
      <c r="BX126" s="184"/>
      <c r="BY126" s="184"/>
      <c r="BZ126" s="184"/>
      <c r="CA126" s="184"/>
      <c r="CB126" s="112"/>
      <c r="CC126" s="112"/>
      <c r="CD126" s="112"/>
      <c r="CE126" s="112"/>
      <c r="CF126" s="112"/>
      <c r="CG126" s="112"/>
      <c r="CH126" s="112"/>
      <c r="CI126" s="112"/>
      <c r="CJ126" s="112"/>
      <c r="CK126" s="112"/>
      <c r="CL126" s="112"/>
      <c r="CM126" s="112"/>
      <c r="CN126" s="112"/>
      <c r="CO126" s="112"/>
      <c r="CP126" s="112"/>
      <c r="CQ126" s="112"/>
      <c r="CR126" s="112"/>
      <c r="CS126" s="112"/>
      <c r="CT126" s="112"/>
      <c r="CU126" s="112"/>
      <c r="CV126" s="112"/>
      <c r="CW126" s="112"/>
      <c r="CX126" s="112"/>
      <c r="CY126" s="112"/>
    </row>
    <row r="127" spans="1:103" ht="23.4" x14ac:dyDescent="0.45">
      <c r="A127" s="70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0"/>
      <c r="AM127" s="189"/>
    </row>
    <row r="128" spans="1:103" ht="23.4" x14ac:dyDescent="0.45">
      <c r="A128" s="70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0"/>
      <c r="AM128" s="189"/>
    </row>
    <row r="129" spans="1:72" ht="23.4" x14ac:dyDescent="0.45">
      <c r="A129" s="70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0"/>
    </row>
    <row r="130" spans="1:72" ht="23.4" x14ac:dyDescent="0.45">
      <c r="A130" s="70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0"/>
    </row>
    <row r="131" spans="1:72" ht="23.4" x14ac:dyDescent="0.45">
      <c r="A131" s="70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0"/>
      <c r="BI131" s="184" t="s">
        <v>187</v>
      </c>
    </row>
    <row r="132" spans="1:72" ht="23.4" x14ac:dyDescent="0.45">
      <c r="A132" s="70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0"/>
    </row>
    <row r="133" spans="1:72" ht="71.400000000000006" x14ac:dyDescent="0.45">
      <c r="A133" s="70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0"/>
      <c r="AN133" s="204">
        <v>1</v>
      </c>
      <c r="AO133" s="206">
        <v>2</v>
      </c>
      <c r="AP133" s="208">
        <v>3</v>
      </c>
      <c r="AQ133" s="206">
        <v>4</v>
      </c>
      <c r="AR133" s="208">
        <v>5</v>
      </c>
      <c r="AS133" s="206">
        <v>6</v>
      </c>
      <c r="AT133" s="208">
        <v>7</v>
      </c>
      <c r="AU133" s="210" t="s">
        <v>188</v>
      </c>
      <c r="AV133" s="219" t="s">
        <v>189</v>
      </c>
      <c r="BJ133" s="204">
        <v>1</v>
      </c>
      <c r="BK133" s="206">
        <v>2</v>
      </c>
      <c r="BL133" s="208">
        <v>3</v>
      </c>
      <c r="BM133" s="206">
        <v>4</v>
      </c>
      <c r="BN133" s="208">
        <v>5</v>
      </c>
      <c r="BO133" s="206">
        <v>6</v>
      </c>
      <c r="BP133" s="208">
        <v>7</v>
      </c>
    </row>
    <row r="134" spans="1:72" ht="43.8" x14ac:dyDescent="0.45">
      <c r="A134" s="70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0"/>
      <c r="AN134" s="205" t="s">
        <v>40</v>
      </c>
      <c r="AO134" s="207" t="s">
        <v>41</v>
      </c>
      <c r="AP134" s="209" t="s">
        <v>42</v>
      </c>
      <c r="AQ134" s="207" t="s">
        <v>43</v>
      </c>
      <c r="AR134" s="209" t="s">
        <v>44</v>
      </c>
      <c r="AS134" s="207" t="s">
        <v>45</v>
      </c>
      <c r="AT134" s="209" t="s">
        <v>46</v>
      </c>
      <c r="AU134" s="207" t="s">
        <v>162</v>
      </c>
      <c r="AV134" s="220" t="s">
        <v>163</v>
      </c>
      <c r="BJ134" s="205" t="s">
        <v>40</v>
      </c>
      <c r="BK134" s="207" t="s">
        <v>41</v>
      </c>
      <c r="BL134" s="209" t="s">
        <v>42</v>
      </c>
      <c r="BM134" s="207" t="s">
        <v>43</v>
      </c>
      <c r="BN134" s="209" t="s">
        <v>44</v>
      </c>
      <c r="BO134" s="207" t="s">
        <v>45</v>
      </c>
      <c r="BP134" s="209" t="s">
        <v>46</v>
      </c>
      <c r="BQ134" s="210" t="s">
        <v>160</v>
      </c>
    </row>
    <row r="135" spans="1:72" ht="23.4" x14ac:dyDescent="0.45">
      <c r="A135" s="70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0"/>
      <c r="AM135" s="190">
        <f>+Y18</f>
        <v>0</v>
      </c>
      <c r="AN135" s="201" t="str">
        <f t="shared" ref="AN135:AN159" si="69">IFERROR(SUMIFS(energia,dia_setmana,AN$133,hora,$AM135,si_analisis,1,no_vacacional,0)/BJ135,"-")</f>
        <v>-</v>
      </c>
      <c r="AO135" s="201" t="str">
        <f t="shared" ref="AO135:AO159" si="70">IFERROR(SUMIFS(energia,dia_setmana,AO$133,hora,$AM135,si_analisis,1,no_vacacional,0)/BK135,"-")</f>
        <v>-</v>
      </c>
      <c r="AP135" s="201" t="str">
        <f t="shared" ref="AP135:AP159" si="71">IFERROR(SUMIFS(energia,dia_setmana,AP$133,hora,$AM135,si_analisis,1,no_vacacional,0)/BL135,"-")</f>
        <v>-</v>
      </c>
      <c r="AQ135" s="201" t="str">
        <f t="shared" ref="AQ135:AQ159" si="72">IFERROR(SUMIFS(energia,dia_setmana,AQ$133,hora,$AM135,si_analisis,1,no_vacacional,0)/BM135,"-")</f>
        <v>-</v>
      </c>
      <c r="AR135" s="201" t="str">
        <f t="shared" ref="AR135:AR159" si="73">IFERROR(SUMIFS(energia,dia_setmana,AR$133,hora,$AM135,si_analisis,1,no_vacacional,0)/BN135,"-")</f>
        <v>-</v>
      </c>
      <c r="AS135" s="201" t="str">
        <f t="shared" ref="AS135:AS159" si="74">IFERROR(SUMIFS(energia,dia_setmana,AS$133,hora,$AM135,si_analisis,1,no_vacacional,0)/BO135,"-")</f>
        <v>-</v>
      </c>
      <c r="AT135" s="201" t="str">
        <f t="shared" ref="AT135:AT159" si="75">IFERROR(SUMIFS(energia,dia_setmana,AT$133,hora,$AM135,si_analisis,1,no_vacacional,0)/BP135,"-")</f>
        <v>-</v>
      </c>
      <c r="AU135" s="386" t="e">
        <f>AVERAGE(AN135:AT135)</f>
        <v>#DIV/0!</v>
      </c>
      <c r="AV135" s="202" t="e">
        <f>+AVERAGE($AU$135:$AU$159)</f>
        <v>#DIV/0!</v>
      </c>
      <c r="BI135" s="190">
        <f>+AM135</f>
        <v>0</v>
      </c>
      <c r="BJ135" s="212">
        <f>COUNTIFS(dia_setmana,BJ$133,hora,$BI135,si_analisis,1,no_vacacional,0)</f>
        <v>0</v>
      </c>
      <c r="BK135" s="212">
        <f t="shared" ref="BJ135:BP144" si="76">COUNTIFS(dia_setmana,BK$133,hora,$BI135,si_analisis,1,no_vacacional,0)</f>
        <v>0</v>
      </c>
      <c r="BL135" s="212">
        <f t="shared" si="76"/>
        <v>0</v>
      </c>
      <c r="BM135" s="212">
        <f t="shared" si="76"/>
        <v>0</v>
      </c>
      <c r="BN135" s="212">
        <f t="shared" si="76"/>
        <v>0</v>
      </c>
      <c r="BO135" s="212">
        <f t="shared" si="76"/>
        <v>0</v>
      </c>
      <c r="BP135" s="212">
        <f t="shared" si="76"/>
        <v>0</v>
      </c>
      <c r="BQ135" s="207" t="s">
        <v>164</v>
      </c>
    </row>
    <row r="136" spans="1:72" ht="23.4" x14ac:dyDescent="0.45">
      <c r="A136" s="70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0"/>
      <c r="AM136" s="190">
        <f>+AM135+1</f>
        <v>1</v>
      </c>
      <c r="AN136" s="201" t="str">
        <f t="shared" si="69"/>
        <v>-</v>
      </c>
      <c r="AO136" s="201" t="str">
        <f t="shared" si="70"/>
        <v>-</v>
      </c>
      <c r="AP136" s="201" t="str">
        <f t="shared" si="71"/>
        <v>-</v>
      </c>
      <c r="AQ136" s="201" t="str">
        <f t="shared" si="72"/>
        <v>-</v>
      </c>
      <c r="AR136" s="201" t="str">
        <f t="shared" si="73"/>
        <v>-</v>
      </c>
      <c r="AS136" s="201" t="str">
        <f t="shared" si="74"/>
        <v>-</v>
      </c>
      <c r="AT136" s="201" t="str">
        <f t="shared" si="75"/>
        <v>-</v>
      </c>
      <c r="AU136" s="385" t="e">
        <f t="shared" ref="AU136:AU158" si="77">AVERAGE(AN136:AT136)</f>
        <v>#DIV/0!</v>
      </c>
      <c r="AV136" s="202" t="e">
        <f>+AV135</f>
        <v>#DIV/0!</v>
      </c>
      <c r="BI136" s="190">
        <f>+BI135+1</f>
        <v>1</v>
      </c>
      <c r="BJ136" s="212">
        <f t="shared" si="76"/>
        <v>0</v>
      </c>
      <c r="BK136" s="212">
        <f t="shared" si="76"/>
        <v>0</v>
      </c>
      <c r="BL136" s="212">
        <f t="shared" si="76"/>
        <v>0</v>
      </c>
      <c r="BM136" s="212">
        <f t="shared" si="76"/>
        <v>0</v>
      </c>
      <c r="BN136" s="212">
        <f t="shared" si="76"/>
        <v>0</v>
      </c>
      <c r="BO136" s="212">
        <f t="shared" si="76"/>
        <v>0</v>
      </c>
      <c r="BP136" s="212">
        <f t="shared" si="76"/>
        <v>0</v>
      </c>
      <c r="BQ136" s="212">
        <f t="shared" ref="BQ136:BQ158" si="78">SUM(BJ135:BP135)</f>
        <v>0</v>
      </c>
    </row>
    <row r="137" spans="1:72" ht="23.4" x14ac:dyDescent="0.45">
      <c r="A137" s="70"/>
      <c r="B137" s="74"/>
      <c r="C137" s="86" t="s">
        <v>268</v>
      </c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74"/>
      <c r="V137" s="70"/>
      <c r="AM137" s="190">
        <f>+AM136+1</f>
        <v>2</v>
      </c>
      <c r="AN137" s="201" t="str">
        <f t="shared" si="69"/>
        <v>-</v>
      </c>
      <c r="AO137" s="201" t="str">
        <f t="shared" si="70"/>
        <v>-</v>
      </c>
      <c r="AP137" s="201" t="str">
        <f t="shared" si="71"/>
        <v>-</v>
      </c>
      <c r="AQ137" s="201" t="str">
        <f t="shared" si="72"/>
        <v>-</v>
      </c>
      <c r="AR137" s="201" t="str">
        <f t="shared" si="73"/>
        <v>-</v>
      </c>
      <c r="AS137" s="201" t="str">
        <f t="shared" si="74"/>
        <v>-</v>
      </c>
      <c r="AT137" s="201" t="str">
        <f t="shared" si="75"/>
        <v>-</v>
      </c>
      <c r="AU137" s="385" t="e">
        <f t="shared" si="77"/>
        <v>#DIV/0!</v>
      </c>
      <c r="AV137" s="202" t="e">
        <f t="shared" ref="AV137:AV158" si="79">+AV136</f>
        <v>#DIV/0!</v>
      </c>
      <c r="BI137" s="190">
        <f>+BI136+1</f>
        <v>2</v>
      </c>
      <c r="BJ137" s="212">
        <f t="shared" si="76"/>
        <v>0</v>
      </c>
      <c r="BK137" s="212">
        <f t="shared" si="76"/>
        <v>0</v>
      </c>
      <c r="BL137" s="212">
        <f t="shared" si="76"/>
        <v>0</v>
      </c>
      <c r="BM137" s="212">
        <f t="shared" si="76"/>
        <v>0</v>
      </c>
      <c r="BN137" s="212">
        <f t="shared" si="76"/>
        <v>0</v>
      </c>
      <c r="BO137" s="212">
        <f t="shared" si="76"/>
        <v>0</v>
      </c>
      <c r="BP137" s="212">
        <f t="shared" si="76"/>
        <v>0</v>
      </c>
      <c r="BQ137" s="212">
        <f t="shared" si="78"/>
        <v>0</v>
      </c>
    </row>
    <row r="138" spans="1:72" ht="23.4" x14ac:dyDescent="0.45">
      <c r="A138" s="70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0"/>
      <c r="AM138" s="190">
        <f t="shared" ref="AM138:AM158" si="80">+AM137+1</f>
        <v>3</v>
      </c>
      <c r="AN138" s="201" t="str">
        <f t="shared" si="69"/>
        <v>-</v>
      </c>
      <c r="AO138" s="201" t="str">
        <f t="shared" si="70"/>
        <v>-</v>
      </c>
      <c r="AP138" s="201" t="str">
        <f t="shared" si="71"/>
        <v>-</v>
      </c>
      <c r="AQ138" s="201" t="str">
        <f t="shared" si="72"/>
        <v>-</v>
      </c>
      <c r="AR138" s="201" t="str">
        <f t="shared" si="73"/>
        <v>-</v>
      </c>
      <c r="AS138" s="201" t="str">
        <f t="shared" si="74"/>
        <v>-</v>
      </c>
      <c r="AT138" s="201" t="str">
        <f t="shared" si="75"/>
        <v>-</v>
      </c>
      <c r="AU138" s="385" t="e">
        <f t="shared" si="77"/>
        <v>#DIV/0!</v>
      </c>
      <c r="AV138" s="202" t="e">
        <f t="shared" si="79"/>
        <v>#DIV/0!</v>
      </c>
      <c r="BI138" s="190">
        <f t="shared" ref="BI138:BI158" si="81">+BI137+1</f>
        <v>3</v>
      </c>
      <c r="BJ138" s="212">
        <f t="shared" si="76"/>
        <v>0</v>
      </c>
      <c r="BK138" s="212">
        <f t="shared" si="76"/>
        <v>0</v>
      </c>
      <c r="BL138" s="212">
        <f t="shared" si="76"/>
        <v>0</v>
      </c>
      <c r="BM138" s="212">
        <f t="shared" si="76"/>
        <v>0</v>
      </c>
      <c r="BN138" s="212">
        <f t="shared" si="76"/>
        <v>0</v>
      </c>
      <c r="BO138" s="212">
        <f t="shared" si="76"/>
        <v>0</v>
      </c>
      <c r="BP138" s="212">
        <f t="shared" si="76"/>
        <v>0</v>
      </c>
      <c r="BQ138" s="212">
        <f t="shared" si="78"/>
        <v>0</v>
      </c>
    </row>
    <row r="139" spans="1:72" ht="30.6" thickBot="1" x14ac:dyDescent="0.5">
      <c r="A139" s="70"/>
      <c r="B139" s="74"/>
      <c r="C139" s="128" t="s">
        <v>148</v>
      </c>
      <c r="D139" s="128" t="s">
        <v>149</v>
      </c>
      <c r="E139" s="74"/>
      <c r="F139" s="129" t="s">
        <v>150</v>
      </c>
      <c r="G139" s="129" t="s">
        <v>151</v>
      </c>
      <c r="H139" s="129" t="s">
        <v>152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0"/>
      <c r="AM139" s="190">
        <f t="shared" si="80"/>
        <v>4</v>
      </c>
      <c r="AN139" s="201" t="str">
        <f t="shared" si="69"/>
        <v>-</v>
      </c>
      <c r="AO139" s="201" t="str">
        <f t="shared" si="70"/>
        <v>-</v>
      </c>
      <c r="AP139" s="201" t="str">
        <f t="shared" si="71"/>
        <v>-</v>
      </c>
      <c r="AQ139" s="201" t="str">
        <f t="shared" si="72"/>
        <v>-</v>
      </c>
      <c r="AR139" s="201" t="str">
        <f t="shared" si="73"/>
        <v>-</v>
      </c>
      <c r="AS139" s="201" t="str">
        <f t="shared" si="74"/>
        <v>-</v>
      </c>
      <c r="AT139" s="201" t="str">
        <f t="shared" si="75"/>
        <v>-</v>
      </c>
      <c r="AU139" s="385" t="e">
        <f t="shared" si="77"/>
        <v>#DIV/0!</v>
      </c>
      <c r="AV139" s="202" t="e">
        <f t="shared" si="79"/>
        <v>#DIV/0!</v>
      </c>
      <c r="BI139" s="190">
        <f t="shared" si="81"/>
        <v>4</v>
      </c>
      <c r="BJ139" s="212">
        <f t="shared" si="76"/>
        <v>0</v>
      </c>
      <c r="BK139" s="212">
        <f t="shared" si="76"/>
        <v>0</v>
      </c>
      <c r="BL139" s="212">
        <f t="shared" si="76"/>
        <v>0</v>
      </c>
      <c r="BM139" s="212">
        <f t="shared" si="76"/>
        <v>0</v>
      </c>
      <c r="BN139" s="212">
        <f t="shared" si="76"/>
        <v>0</v>
      </c>
      <c r="BO139" s="212">
        <f t="shared" si="76"/>
        <v>0</v>
      </c>
      <c r="BP139" s="212">
        <f t="shared" si="76"/>
        <v>0</v>
      </c>
      <c r="BQ139" s="212">
        <f t="shared" si="78"/>
        <v>0</v>
      </c>
    </row>
    <row r="140" spans="1:72" ht="23.4" x14ac:dyDescent="0.45">
      <c r="A140" s="70"/>
      <c r="B140" s="78"/>
      <c r="C140" s="74" t="s">
        <v>161</v>
      </c>
      <c r="D140" s="115"/>
      <c r="E140" s="115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0"/>
      <c r="AM140" s="190">
        <f>+AM139+1</f>
        <v>5</v>
      </c>
      <c r="AN140" s="201" t="str">
        <f t="shared" si="69"/>
        <v>-</v>
      </c>
      <c r="AO140" s="201" t="str">
        <f t="shared" si="70"/>
        <v>-</v>
      </c>
      <c r="AP140" s="201" t="str">
        <f t="shared" si="71"/>
        <v>-</v>
      </c>
      <c r="AQ140" s="201" t="str">
        <f t="shared" si="72"/>
        <v>-</v>
      </c>
      <c r="AR140" s="201" t="str">
        <f t="shared" si="73"/>
        <v>-</v>
      </c>
      <c r="AS140" s="201" t="str">
        <f t="shared" si="74"/>
        <v>-</v>
      </c>
      <c r="AT140" s="201" t="str">
        <f t="shared" si="75"/>
        <v>-</v>
      </c>
      <c r="AU140" s="385" t="e">
        <f t="shared" si="77"/>
        <v>#DIV/0!</v>
      </c>
      <c r="AV140" s="202" t="e">
        <f>+AV139</f>
        <v>#DIV/0!</v>
      </c>
      <c r="BI140" s="190">
        <f>+BI139+1</f>
        <v>5</v>
      </c>
      <c r="BJ140" s="212">
        <f t="shared" si="76"/>
        <v>0</v>
      </c>
      <c r="BK140" s="212">
        <f t="shared" si="76"/>
        <v>0</v>
      </c>
      <c r="BL140" s="212">
        <f t="shared" si="76"/>
        <v>0</v>
      </c>
      <c r="BM140" s="212">
        <f t="shared" si="76"/>
        <v>0</v>
      </c>
      <c r="BN140" s="212">
        <f t="shared" si="76"/>
        <v>0</v>
      </c>
      <c r="BO140" s="212">
        <f t="shared" si="76"/>
        <v>0</v>
      </c>
      <c r="BP140" s="212">
        <f t="shared" si="76"/>
        <v>0</v>
      </c>
      <c r="BQ140" s="212">
        <f>SUM(BJ139:BP139)</f>
        <v>0</v>
      </c>
    </row>
    <row r="141" spans="1:72" ht="42.6" customHeight="1" x14ac:dyDescent="0.45">
      <c r="A141" s="70"/>
      <c r="B141" s="157"/>
      <c r="C141" s="74"/>
      <c r="D141" s="118" t="s">
        <v>165</v>
      </c>
      <c r="E141" s="119"/>
      <c r="F141" s="130">
        <f>SUMPRODUCT(AN135:AR159,$Z$18:$AD$42)/5</f>
        <v>0</v>
      </c>
      <c r="G141" s="131">
        <f>+SUM($Z$18:$AD$42)/5</f>
        <v>0</v>
      </c>
      <c r="H141" s="158" t="str">
        <f>+IFERROR(F141/G141,"-")</f>
        <v>-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0"/>
      <c r="AM141" s="190">
        <f t="shared" si="80"/>
        <v>6</v>
      </c>
      <c r="AN141" s="201" t="str">
        <f t="shared" si="69"/>
        <v>-</v>
      </c>
      <c r="AO141" s="201" t="str">
        <f t="shared" si="70"/>
        <v>-</v>
      </c>
      <c r="AP141" s="201" t="str">
        <f t="shared" si="71"/>
        <v>-</v>
      </c>
      <c r="AQ141" s="201" t="str">
        <f t="shared" si="72"/>
        <v>-</v>
      </c>
      <c r="AR141" s="201" t="str">
        <f t="shared" si="73"/>
        <v>-</v>
      </c>
      <c r="AS141" s="201" t="str">
        <f t="shared" si="74"/>
        <v>-</v>
      </c>
      <c r="AT141" s="201" t="str">
        <f t="shared" si="75"/>
        <v>-</v>
      </c>
      <c r="AU141" s="385" t="e">
        <f t="shared" si="77"/>
        <v>#DIV/0!</v>
      </c>
      <c r="AV141" s="202" t="e">
        <f t="shared" si="79"/>
        <v>#DIV/0!</v>
      </c>
      <c r="BI141" s="190">
        <f t="shared" si="81"/>
        <v>6</v>
      </c>
      <c r="BJ141" s="212">
        <f t="shared" si="76"/>
        <v>0</v>
      </c>
      <c r="BK141" s="212">
        <f t="shared" si="76"/>
        <v>0</v>
      </c>
      <c r="BL141" s="212">
        <f t="shared" si="76"/>
        <v>0</v>
      </c>
      <c r="BM141" s="212">
        <f t="shared" si="76"/>
        <v>0</v>
      </c>
      <c r="BN141" s="212">
        <f t="shared" si="76"/>
        <v>0</v>
      </c>
      <c r="BO141" s="212">
        <f t="shared" si="76"/>
        <v>0</v>
      </c>
      <c r="BP141" s="212">
        <f t="shared" si="76"/>
        <v>0</v>
      </c>
      <c r="BQ141" s="212">
        <f t="shared" si="78"/>
        <v>0</v>
      </c>
      <c r="BT141" s="112"/>
    </row>
    <row r="142" spans="1:72" ht="18.600000000000001" customHeight="1" x14ac:dyDescent="0.45">
      <c r="A142" s="70"/>
      <c r="B142" s="157"/>
      <c r="C142" s="74"/>
      <c r="D142" s="118" t="s">
        <v>166</v>
      </c>
      <c r="E142" s="119"/>
      <c r="F142" s="130">
        <f>SUMPRODUCT(AN135:AR159,$AO$25:$AS$49)/5</f>
        <v>0</v>
      </c>
      <c r="G142" s="131">
        <f>24-G141</f>
        <v>24</v>
      </c>
      <c r="H142" s="158">
        <f t="shared" ref="H142:H143" si="82">+IFERROR(F142/G142,"-")</f>
        <v>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0"/>
      <c r="AM142" s="190">
        <f t="shared" si="80"/>
        <v>7</v>
      </c>
      <c r="AN142" s="201" t="str">
        <f t="shared" si="69"/>
        <v>-</v>
      </c>
      <c r="AO142" s="201" t="str">
        <f t="shared" si="70"/>
        <v>-</v>
      </c>
      <c r="AP142" s="201" t="str">
        <f t="shared" si="71"/>
        <v>-</v>
      </c>
      <c r="AQ142" s="201" t="str">
        <f t="shared" si="72"/>
        <v>-</v>
      </c>
      <c r="AR142" s="201" t="str">
        <f t="shared" si="73"/>
        <v>-</v>
      </c>
      <c r="AS142" s="201" t="str">
        <f t="shared" si="74"/>
        <v>-</v>
      </c>
      <c r="AT142" s="201" t="str">
        <f t="shared" si="75"/>
        <v>-</v>
      </c>
      <c r="AU142" s="385" t="e">
        <f t="shared" si="77"/>
        <v>#DIV/0!</v>
      </c>
      <c r="AV142" s="202" t="e">
        <f t="shared" si="79"/>
        <v>#DIV/0!</v>
      </c>
      <c r="BI142" s="190">
        <f t="shared" si="81"/>
        <v>7</v>
      </c>
      <c r="BJ142" s="212">
        <f t="shared" si="76"/>
        <v>0</v>
      </c>
      <c r="BK142" s="212">
        <f t="shared" si="76"/>
        <v>0</v>
      </c>
      <c r="BL142" s="212">
        <f t="shared" si="76"/>
        <v>0</v>
      </c>
      <c r="BM142" s="212">
        <f t="shared" si="76"/>
        <v>0</v>
      </c>
      <c r="BN142" s="212">
        <f t="shared" si="76"/>
        <v>0</v>
      </c>
      <c r="BO142" s="212">
        <f t="shared" si="76"/>
        <v>0</v>
      </c>
      <c r="BP142" s="212">
        <f t="shared" si="76"/>
        <v>0</v>
      </c>
      <c r="BQ142" s="212">
        <f t="shared" si="78"/>
        <v>0</v>
      </c>
      <c r="BT142" s="112"/>
    </row>
    <row r="143" spans="1:72" ht="23.4" x14ac:dyDescent="0.45">
      <c r="A143" s="70"/>
      <c r="B143" s="157"/>
      <c r="C143" s="74"/>
      <c r="D143" s="83" t="s">
        <v>167</v>
      </c>
      <c r="E143" s="74"/>
      <c r="F143" s="130">
        <f>+SUM(AN135:AR158)/5</f>
        <v>0</v>
      </c>
      <c r="G143" s="132">
        <f>+G142+G141</f>
        <v>24</v>
      </c>
      <c r="H143" s="158">
        <f t="shared" si="82"/>
        <v>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0"/>
      <c r="AM143" s="190">
        <f t="shared" si="80"/>
        <v>8</v>
      </c>
      <c r="AN143" s="201" t="str">
        <f t="shared" si="69"/>
        <v>-</v>
      </c>
      <c r="AO143" s="201" t="str">
        <f t="shared" si="70"/>
        <v>-</v>
      </c>
      <c r="AP143" s="201" t="str">
        <f t="shared" si="71"/>
        <v>-</v>
      </c>
      <c r="AQ143" s="201" t="str">
        <f t="shared" si="72"/>
        <v>-</v>
      </c>
      <c r="AR143" s="201" t="str">
        <f t="shared" si="73"/>
        <v>-</v>
      </c>
      <c r="AS143" s="201" t="str">
        <f t="shared" si="74"/>
        <v>-</v>
      </c>
      <c r="AT143" s="201" t="str">
        <f t="shared" si="75"/>
        <v>-</v>
      </c>
      <c r="AU143" s="385" t="e">
        <f t="shared" si="77"/>
        <v>#DIV/0!</v>
      </c>
      <c r="AV143" s="202" t="e">
        <f t="shared" si="79"/>
        <v>#DIV/0!</v>
      </c>
      <c r="BI143" s="190">
        <f t="shared" si="81"/>
        <v>8</v>
      </c>
      <c r="BJ143" s="212">
        <f t="shared" si="76"/>
        <v>0</v>
      </c>
      <c r="BK143" s="212">
        <f t="shared" si="76"/>
        <v>0</v>
      </c>
      <c r="BL143" s="212">
        <f t="shared" si="76"/>
        <v>0</v>
      </c>
      <c r="BM143" s="212">
        <f t="shared" si="76"/>
        <v>0</v>
      </c>
      <c r="BN143" s="212">
        <f t="shared" si="76"/>
        <v>0</v>
      </c>
      <c r="BO143" s="212">
        <f t="shared" si="76"/>
        <v>0</v>
      </c>
      <c r="BP143" s="212">
        <f t="shared" si="76"/>
        <v>0</v>
      </c>
      <c r="BQ143" s="212">
        <f t="shared" si="78"/>
        <v>0</v>
      </c>
      <c r="BT143" s="112"/>
    </row>
    <row r="144" spans="1:72" ht="19.350000000000001" customHeight="1" thickBot="1" x14ac:dyDescent="0.5">
      <c r="A144" s="70"/>
      <c r="B144" s="157"/>
      <c r="C144" s="128" t="s">
        <v>168</v>
      </c>
      <c r="D144" s="123" t="s">
        <v>169</v>
      </c>
      <c r="E144" s="134"/>
      <c r="F144" s="126" t="e">
        <f>+F142/F141</f>
        <v>#DIV/0!</v>
      </c>
      <c r="G144" s="135"/>
      <c r="H144" s="271" t="str">
        <f>IFERROR(H142/H141,"-")</f>
        <v>-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0"/>
      <c r="AM144" s="190">
        <f>+AM148+1</f>
        <v>10</v>
      </c>
      <c r="AN144" s="201" t="str">
        <f t="shared" si="69"/>
        <v>-</v>
      </c>
      <c r="AO144" s="201" t="str">
        <f t="shared" si="70"/>
        <v>-</v>
      </c>
      <c r="AP144" s="201" t="str">
        <f t="shared" si="71"/>
        <v>-</v>
      </c>
      <c r="AQ144" s="201" t="str">
        <f t="shared" si="72"/>
        <v>-</v>
      </c>
      <c r="AR144" s="201" t="str">
        <f t="shared" si="73"/>
        <v>-</v>
      </c>
      <c r="AS144" s="201" t="str">
        <f t="shared" si="74"/>
        <v>-</v>
      </c>
      <c r="AT144" s="201" t="str">
        <f t="shared" si="75"/>
        <v>-</v>
      </c>
      <c r="AU144" s="385" t="e">
        <f t="shared" si="77"/>
        <v>#DIV/0!</v>
      </c>
      <c r="AV144" s="202" t="e">
        <f>+AV148</f>
        <v>#DIV/0!</v>
      </c>
      <c r="BI144" s="190">
        <f>+BI148+1</f>
        <v>10</v>
      </c>
      <c r="BJ144" s="212">
        <f t="shared" si="76"/>
        <v>0</v>
      </c>
      <c r="BK144" s="212">
        <f t="shared" si="76"/>
        <v>0</v>
      </c>
      <c r="BL144" s="212">
        <f t="shared" si="76"/>
        <v>0</v>
      </c>
      <c r="BM144" s="212">
        <f t="shared" si="76"/>
        <v>0</v>
      </c>
      <c r="BN144" s="212">
        <f t="shared" si="76"/>
        <v>0</v>
      </c>
      <c r="BO144" s="212">
        <f t="shared" si="76"/>
        <v>0</v>
      </c>
      <c r="BP144" s="212">
        <f t="shared" si="76"/>
        <v>0</v>
      </c>
      <c r="BQ144" s="212">
        <f t="shared" si="78"/>
        <v>0</v>
      </c>
      <c r="BT144" s="112"/>
    </row>
    <row r="145" spans="1:72" ht="35.4" customHeight="1" x14ac:dyDescent="0.45">
      <c r="A145" s="70"/>
      <c r="B145" s="157"/>
      <c r="C145" s="74" t="s">
        <v>170</v>
      </c>
      <c r="D145" s="115"/>
      <c r="E145" s="115"/>
      <c r="F145" s="74"/>
      <c r="G145" s="136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0"/>
      <c r="AM145" s="190">
        <f t="shared" si="80"/>
        <v>11</v>
      </c>
      <c r="AN145" s="201" t="str">
        <f t="shared" si="69"/>
        <v>-</v>
      </c>
      <c r="AO145" s="201" t="str">
        <f t="shared" si="70"/>
        <v>-</v>
      </c>
      <c r="AP145" s="201" t="str">
        <f t="shared" si="71"/>
        <v>-</v>
      </c>
      <c r="AQ145" s="201" t="str">
        <f t="shared" si="72"/>
        <v>-</v>
      </c>
      <c r="AR145" s="201" t="str">
        <f t="shared" si="73"/>
        <v>-</v>
      </c>
      <c r="AS145" s="201" t="str">
        <f t="shared" si="74"/>
        <v>-</v>
      </c>
      <c r="AT145" s="201" t="str">
        <f t="shared" si="75"/>
        <v>-</v>
      </c>
      <c r="AU145" s="385" t="e">
        <f t="shared" si="77"/>
        <v>#DIV/0!</v>
      </c>
      <c r="AV145" s="202" t="e">
        <f t="shared" si="79"/>
        <v>#DIV/0!</v>
      </c>
      <c r="BI145" s="190">
        <f t="shared" si="81"/>
        <v>11</v>
      </c>
      <c r="BJ145" s="212">
        <f t="shared" ref="BJ145:BP159" si="83">COUNTIFS(dia_setmana,BJ$133,hora,$BI145,si_analisis,1,no_vacacional,0)</f>
        <v>0</v>
      </c>
      <c r="BK145" s="212">
        <f t="shared" si="83"/>
        <v>0</v>
      </c>
      <c r="BL145" s="212">
        <f t="shared" si="83"/>
        <v>0</v>
      </c>
      <c r="BM145" s="212">
        <f t="shared" si="83"/>
        <v>0</v>
      </c>
      <c r="BN145" s="212">
        <f t="shared" si="83"/>
        <v>0</v>
      </c>
      <c r="BO145" s="212">
        <f t="shared" si="83"/>
        <v>0</v>
      </c>
      <c r="BP145" s="212">
        <f t="shared" si="83"/>
        <v>0</v>
      </c>
      <c r="BQ145" s="212">
        <f t="shared" si="78"/>
        <v>0</v>
      </c>
      <c r="BT145" s="112"/>
    </row>
    <row r="146" spans="1:72" ht="23.4" x14ac:dyDescent="0.45">
      <c r="A146" s="70"/>
      <c r="B146" s="157"/>
      <c r="C146" s="74"/>
      <c r="D146" s="118" t="s">
        <v>165</v>
      </c>
      <c r="E146" s="119"/>
      <c r="F146" s="122">
        <f>SUMPRODUCT($AS$135:$AT$159,$AE$18:$AF$42)/2</f>
        <v>0</v>
      </c>
      <c r="G146" s="131">
        <f>+SUM($AE$18:$AF$42)/2</f>
        <v>0</v>
      </c>
      <c r="H146" s="130">
        <f>+IFERROR(F146/G146,)</f>
        <v>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0"/>
      <c r="AM146" s="190">
        <f t="shared" si="80"/>
        <v>12</v>
      </c>
      <c r="AN146" s="201" t="str">
        <f t="shared" si="69"/>
        <v>-</v>
      </c>
      <c r="AO146" s="201" t="str">
        <f t="shared" si="70"/>
        <v>-</v>
      </c>
      <c r="AP146" s="201" t="str">
        <f t="shared" si="71"/>
        <v>-</v>
      </c>
      <c r="AQ146" s="201" t="str">
        <f t="shared" si="72"/>
        <v>-</v>
      </c>
      <c r="AR146" s="201" t="str">
        <f t="shared" si="73"/>
        <v>-</v>
      </c>
      <c r="AS146" s="201" t="str">
        <f t="shared" si="74"/>
        <v>-</v>
      </c>
      <c r="AT146" s="201" t="str">
        <f t="shared" si="75"/>
        <v>-</v>
      </c>
      <c r="AU146" s="385" t="e">
        <f t="shared" si="77"/>
        <v>#DIV/0!</v>
      </c>
      <c r="AV146" s="202" t="e">
        <f t="shared" si="79"/>
        <v>#DIV/0!</v>
      </c>
      <c r="BI146" s="190">
        <f t="shared" si="81"/>
        <v>12</v>
      </c>
      <c r="BJ146" s="212">
        <f t="shared" si="83"/>
        <v>0</v>
      </c>
      <c r="BK146" s="212">
        <f t="shared" si="83"/>
        <v>0</v>
      </c>
      <c r="BL146" s="212">
        <f t="shared" si="83"/>
        <v>0</v>
      </c>
      <c r="BM146" s="212">
        <f t="shared" si="83"/>
        <v>0</v>
      </c>
      <c r="BN146" s="212">
        <f t="shared" si="83"/>
        <v>0</v>
      </c>
      <c r="BO146" s="212">
        <f t="shared" si="83"/>
        <v>0</v>
      </c>
      <c r="BP146" s="212">
        <f t="shared" si="83"/>
        <v>0</v>
      </c>
      <c r="BQ146" s="212">
        <f t="shared" si="78"/>
        <v>0</v>
      </c>
      <c r="BT146" s="112"/>
    </row>
    <row r="147" spans="1:72" ht="23.4" x14ac:dyDescent="0.45">
      <c r="A147" s="70"/>
      <c r="B147" s="157"/>
      <c r="C147" s="74"/>
      <c r="D147" s="118" t="s">
        <v>166</v>
      </c>
      <c r="E147" s="119"/>
      <c r="F147" s="122">
        <f>SUMPRODUCT($AS$135:$AT$159,$AT$25:$AU$49)/2</f>
        <v>0</v>
      </c>
      <c r="G147" s="131">
        <f>24-G146</f>
        <v>24</v>
      </c>
      <c r="H147" s="148">
        <f t="shared" ref="H147:H148" si="84">+IFERROR(F147/G147,"-")</f>
        <v>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0"/>
      <c r="AM147" s="190">
        <f t="shared" si="80"/>
        <v>13</v>
      </c>
      <c r="AN147" s="201" t="str">
        <f t="shared" si="69"/>
        <v>-</v>
      </c>
      <c r="AO147" s="201" t="str">
        <f t="shared" si="70"/>
        <v>-</v>
      </c>
      <c r="AP147" s="201" t="str">
        <f t="shared" si="71"/>
        <v>-</v>
      </c>
      <c r="AQ147" s="201" t="str">
        <f t="shared" si="72"/>
        <v>-</v>
      </c>
      <c r="AR147" s="201" t="str">
        <f t="shared" si="73"/>
        <v>-</v>
      </c>
      <c r="AS147" s="201" t="str">
        <f t="shared" si="74"/>
        <v>-</v>
      </c>
      <c r="AT147" s="201" t="str">
        <f t="shared" si="75"/>
        <v>-</v>
      </c>
      <c r="AU147" s="385" t="e">
        <f t="shared" si="77"/>
        <v>#DIV/0!</v>
      </c>
      <c r="AV147" s="202" t="e">
        <f t="shared" si="79"/>
        <v>#DIV/0!</v>
      </c>
      <c r="BI147" s="190">
        <f t="shared" si="81"/>
        <v>13</v>
      </c>
      <c r="BJ147" s="212">
        <f t="shared" si="83"/>
        <v>0</v>
      </c>
      <c r="BK147" s="212">
        <f t="shared" si="83"/>
        <v>0</v>
      </c>
      <c r="BL147" s="212">
        <f t="shared" si="83"/>
        <v>0</v>
      </c>
      <c r="BM147" s="212">
        <f t="shared" si="83"/>
        <v>0</v>
      </c>
      <c r="BN147" s="212">
        <f t="shared" si="83"/>
        <v>0</v>
      </c>
      <c r="BO147" s="212">
        <f t="shared" si="83"/>
        <v>0</v>
      </c>
      <c r="BP147" s="212">
        <f t="shared" si="83"/>
        <v>0</v>
      </c>
      <c r="BQ147" s="212">
        <f t="shared" si="78"/>
        <v>0</v>
      </c>
      <c r="BT147" s="112"/>
    </row>
    <row r="148" spans="1:72" ht="23.4" x14ac:dyDescent="0.45">
      <c r="A148" s="70"/>
      <c r="B148" s="157"/>
      <c r="C148" s="74"/>
      <c r="D148" s="118" t="s">
        <v>167</v>
      </c>
      <c r="E148" s="119"/>
      <c r="F148" s="122">
        <f>+SUM($AS$135:$AT$159)/2</f>
        <v>0</v>
      </c>
      <c r="G148" s="131">
        <f>+G147+G146</f>
        <v>24</v>
      </c>
      <c r="H148" s="148">
        <f t="shared" si="84"/>
        <v>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0"/>
      <c r="AM148" s="190">
        <f>+AM143+1</f>
        <v>9</v>
      </c>
      <c r="AN148" s="201" t="str">
        <f t="shared" si="69"/>
        <v>-</v>
      </c>
      <c r="AO148" s="201" t="str">
        <f t="shared" si="70"/>
        <v>-</v>
      </c>
      <c r="AP148" s="201" t="str">
        <f t="shared" si="71"/>
        <v>-</v>
      </c>
      <c r="AQ148" s="201" t="str">
        <f t="shared" si="72"/>
        <v>-</v>
      </c>
      <c r="AR148" s="201" t="str">
        <f t="shared" si="73"/>
        <v>-</v>
      </c>
      <c r="AS148" s="201" t="str">
        <f t="shared" si="74"/>
        <v>-</v>
      </c>
      <c r="AT148" s="201" t="str">
        <f t="shared" si="75"/>
        <v>-</v>
      </c>
      <c r="AU148" s="385" t="e">
        <f>AVERAGE(AN148:AT148)</f>
        <v>#DIV/0!</v>
      </c>
      <c r="AV148" s="202" t="e">
        <f>+AV143</f>
        <v>#DIV/0!</v>
      </c>
      <c r="BI148" s="190">
        <f>+BI143+1</f>
        <v>9</v>
      </c>
      <c r="BJ148" s="212">
        <f t="shared" si="83"/>
        <v>0</v>
      </c>
      <c r="BK148" s="212">
        <f t="shared" si="83"/>
        <v>0</v>
      </c>
      <c r="BL148" s="212">
        <f t="shared" si="83"/>
        <v>0</v>
      </c>
      <c r="BM148" s="212">
        <f t="shared" si="83"/>
        <v>0</v>
      </c>
      <c r="BN148" s="212">
        <f t="shared" si="83"/>
        <v>0</v>
      </c>
      <c r="BO148" s="212">
        <f t="shared" si="83"/>
        <v>0</v>
      </c>
      <c r="BP148" s="212">
        <f t="shared" si="83"/>
        <v>0</v>
      </c>
      <c r="BQ148" s="212">
        <f t="shared" si="78"/>
        <v>0</v>
      </c>
      <c r="BT148" s="112"/>
    </row>
    <row r="149" spans="1:72" ht="24" thickBot="1" x14ac:dyDescent="0.5">
      <c r="A149" s="70"/>
      <c r="B149" s="157"/>
      <c r="C149" s="133"/>
      <c r="D149" s="83" t="s">
        <v>169</v>
      </c>
      <c r="E149" s="74"/>
      <c r="F149" s="159" t="str">
        <f>+IFERROR(F147/F146,"-")</f>
        <v>-</v>
      </c>
      <c r="G149" s="132"/>
      <c r="H149" s="160" t="str">
        <f>IFERROR(H147/H146,"-")</f>
        <v>-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0"/>
      <c r="AM149" s="190">
        <f>+AM147+1</f>
        <v>14</v>
      </c>
      <c r="AN149" s="201" t="str">
        <f t="shared" si="69"/>
        <v>-</v>
      </c>
      <c r="AO149" s="201" t="str">
        <f t="shared" si="70"/>
        <v>-</v>
      </c>
      <c r="AP149" s="201" t="str">
        <f t="shared" si="71"/>
        <v>-</v>
      </c>
      <c r="AQ149" s="201" t="str">
        <f t="shared" si="72"/>
        <v>-</v>
      </c>
      <c r="AR149" s="201" t="str">
        <f t="shared" si="73"/>
        <v>-</v>
      </c>
      <c r="AS149" s="201" t="str">
        <f t="shared" si="74"/>
        <v>-</v>
      </c>
      <c r="AT149" s="201" t="str">
        <f t="shared" si="75"/>
        <v>-</v>
      </c>
      <c r="AU149" s="385" t="e">
        <f t="shared" si="77"/>
        <v>#DIV/0!</v>
      </c>
      <c r="AV149" s="202" t="e">
        <f>+AV147</f>
        <v>#DIV/0!</v>
      </c>
      <c r="BI149" s="190">
        <f>+BI147+1</f>
        <v>14</v>
      </c>
      <c r="BJ149" s="212">
        <f t="shared" si="83"/>
        <v>0</v>
      </c>
      <c r="BK149" s="212">
        <f t="shared" si="83"/>
        <v>0</v>
      </c>
      <c r="BL149" s="212">
        <f t="shared" si="83"/>
        <v>0</v>
      </c>
      <c r="BM149" s="212">
        <f t="shared" si="83"/>
        <v>0</v>
      </c>
      <c r="BN149" s="212">
        <f t="shared" si="83"/>
        <v>0</v>
      </c>
      <c r="BO149" s="212">
        <f t="shared" si="83"/>
        <v>0</v>
      </c>
      <c r="BP149" s="212">
        <f t="shared" si="83"/>
        <v>0</v>
      </c>
      <c r="BQ149" s="212">
        <f t="shared" si="78"/>
        <v>0</v>
      </c>
      <c r="BT149" s="112"/>
    </row>
    <row r="150" spans="1:72" ht="23.4" x14ac:dyDescent="0.45">
      <c r="A150" s="70"/>
      <c r="B150" s="157"/>
      <c r="C150" s="74" t="s">
        <v>183</v>
      </c>
      <c r="D150" s="115"/>
      <c r="E150" s="115"/>
      <c r="F150" s="115"/>
      <c r="G150" s="115"/>
      <c r="H150" s="115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0"/>
      <c r="AM150" s="190">
        <f t="shared" si="80"/>
        <v>15</v>
      </c>
      <c r="AN150" s="201" t="str">
        <f t="shared" si="69"/>
        <v>-</v>
      </c>
      <c r="AO150" s="201" t="str">
        <f t="shared" si="70"/>
        <v>-</v>
      </c>
      <c r="AP150" s="201" t="str">
        <f t="shared" si="71"/>
        <v>-</v>
      </c>
      <c r="AQ150" s="201" t="str">
        <f t="shared" si="72"/>
        <v>-</v>
      </c>
      <c r="AR150" s="201" t="str">
        <f t="shared" si="73"/>
        <v>-</v>
      </c>
      <c r="AS150" s="201" t="str">
        <f t="shared" si="74"/>
        <v>-</v>
      </c>
      <c r="AT150" s="201" t="str">
        <f t="shared" si="75"/>
        <v>-</v>
      </c>
      <c r="AU150" s="385" t="e">
        <f t="shared" si="77"/>
        <v>#DIV/0!</v>
      </c>
      <c r="AV150" s="202" t="e">
        <f t="shared" si="79"/>
        <v>#DIV/0!</v>
      </c>
      <c r="BI150" s="190">
        <f t="shared" si="81"/>
        <v>15</v>
      </c>
      <c r="BJ150" s="212">
        <f t="shared" si="83"/>
        <v>0</v>
      </c>
      <c r="BK150" s="212">
        <f t="shared" si="83"/>
        <v>0</v>
      </c>
      <c r="BL150" s="212">
        <f t="shared" si="83"/>
        <v>0</v>
      </c>
      <c r="BM150" s="212">
        <f t="shared" si="83"/>
        <v>0</v>
      </c>
      <c r="BN150" s="212">
        <f t="shared" si="83"/>
        <v>0</v>
      </c>
      <c r="BO150" s="212">
        <f t="shared" si="83"/>
        <v>0</v>
      </c>
      <c r="BP150" s="212">
        <f t="shared" si="83"/>
        <v>0</v>
      </c>
      <c r="BQ150" s="212">
        <f t="shared" si="78"/>
        <v>0</v>
      </c>
      <c r="BT150" s="112"/>
    </row>
    <row r="151" spans="1:72" ht="23.4" x14ac:dyDescent="0.45">
      <c r="A151" s="70"/>
      <c r="B151" s="157"/>
      <c r="C151" s="74"/>
      <c r="D151" s="161" t="s">
        <v>184</v>
      </c>
      <c r="E151" s="162"/>
      <c r="F151" s="163"/>
      <c r="G151" s="163"/>
      <c r="H151" s="163" t="str">
        <f>IFERROR(H146/H141,"-")</f>
        <v>-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0"/>
      <c r="AM151" s="190">
        <f t="shared" si="80"/>
        <v>16</v>
      </c>
      <c r="AN151" s="201" t="str">
        <f t="shared" si="69"/>
        <v>-</v>
      </c>
      <c r="AO151" s="201" t="str">
        <f t="shared" si="70"/>
        <v>-</v>
      </c>
      <c r="AP151" s="201" t="str">
        <f t="shared" si="71"/>
        <v>-</v>
      </c>
      <c r="AQ151" s="201" t="str">
        <f t="shared" si="72"/>
        <v>-</v>
      </c>
      <c r="AR151" s="201" t="str">
        <f t="shared" si="73"/>
        <v>-</v>
      </c>
      <c r="AS151" s="201" t="str">
        <f t="shared" si="74"/>
        <v>-</v>
      </c>
      <c r="AT151" s="201" t="str">
        <f t="shared" si="75"/>
        <v>-</v>
      </c>
      <c r="AU151" s="385" t="e">
        <f t="shared" si="77"/>
        <v>#DIV/0!</v>
      </c>
      <c r="AV151" s="202" t="e">
        <f t="shared" si="79"/>
        <v>#DIV/0!</v>
      </c>
      <c r="BI151" s="190">
        <f t="shared" si="81"/>
        <v>16</v>
      </c>
      <c r="BJ151" s="212">
        <f t="shared" si="83"/>
        <v>0</v>
      </c>
      <c r="BK151" s="212">
        <f t="shared" si="83"/>
        <v>0</v>
      </c>
      <c r="BL151" s="212">
        <f t="shared" si="83"/>
        <v>0</v>
      </c>
      <c r="BM151" s="212">
        <f t="shared" si="83"/>
        <v>0</v>
      </c>
      <c r="BN151" s="212">
        <f t="shared" si="83"/>
        <v>0</v>
      </c>
      <c r="BO151" s="212">
        <f t="shared" si="83"/>
        <v>0</v>
      </c>
      <c r="BP151" s="212">
        <f t="shared" si="83"/>
        <v>0</v>
      </c>
      <c r="BQ151" s="212">
        <f t="shared" si="78"/>
        <v>0</v>
      </c>
      <c r="BT151" s="112"/>
    </row>
    <row r="152" spans="1:72" ht="23.4" x14ac:dyDescent="0.45">
      <c r="A152" s="70"/>
      <c r="B152" s="157"/>
      <c r="C152" s="78" t="s">
        <v>172</v>
      </c>
      <c r="D152" s="164" t="s">
        <v>185</v>
      </c>
      <c r="E152" s="165"/>
      <c r="F152" s="166"/>
      <c r="G152" s="166"/>
      <c r="H152" s="166" t="str">
        <f>IFERROR(H147/H142,"-")</f>
        <v>-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0"/>
      <c r="AM152" s="190">
        <f t="shared" si="80"/>
        <v>17</v>
      </c>
      <c r="AN152" s="201" t="str">
        <f t="shared" si="69"/>
        <v>-</v>
      </c>
      <c r="AO152" s="201" t="str">
        <f t="shared" si="70"/>
        <v>-</v>
      </c>
      <c r="AP152" s="201" t="str">
        <f t="shared" si="71"/>
        <v>-</v>
      </c>
      <c r="AQ152" s="201" t="str">
        <f t="shared" si="72"/>
        <v>-</v>
      </c>
      <c r="AR152" s="201" t="str">
        <f t="shared" si="73"/>
        <v>-</v>
      </c>
      <c r="AS152" s="201" t="str">
        <f t="shared" si="74"/>
        <v>-</v>
      </c>
      <c r="AT152" s="201" t="str">
        <f t="shared" si="75"/>
        <v>-</v>
      </c>
      <c r="AU152" s="385" t="e">
        <f t="shared" si="77"/>
        <v>#DIV/0!</v>
      </c>
      <c r="AV152" s="202" t="e">
        <f t="shared" si="79"/>
        <v>#DIV/0!</v>
      </c>
      <c r="BI152" s="190">
        <f t="shared" si="81"/>
        <v>17</v>
      </c>
      <c r="BJ152" s="212">
        <f t="shared" si="83"/>
        <v>0</v>
      </c>
      <c r="BK152" s="212">
        <f t="shared" si="83"/>
        <v>0</v>
      </c>
      <c r="BL152" s="212">
        <f t="shared" si="83"/>
        <v>0</v>
      </c>
      <c r="BM152" s="212">
        <f t="shared" si="83"/>
        <v>0</v>
      </c>
      <c r="BN152" s="212">
        <f t="shared" si="83"/>
        <v>0</v>
      </c>
      <c r="BO152" s="212">
        <f t="shared" si="83"/>
        <v>0</v>
      </c>
      <c r="BP152" s="212">
        <f t="shared" si="83"/>
        <v>0</v>
      </c>
      <c r="BQ152" s="212">
        <f t="shared" si="78"/>
        <v>0</v>
      </c>
      <c r="BT152" s="112"/>
    </row>
    <row r="153" spans="1:72" ht="23.4" x14ac:dyDescent="0.45">
      <c r="A153" s="70"/>
      <c r="B153" s="157"/>
      <c r="C153" s="74"/>
      <c r="D153" s="118" t="s">
        <v>186</v>
      </c>
      <c r="E153" s="137"/>
      <c r="F153" s="121" t="str">
        <f>IFERROR(F148/F143,"-")</f>
        <v>-</v>
      </c>
      <c r="G153" s="121"/>
      <c r="H153" s="121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0"/>
      <c r="AM153" s="190">
        <f t="shared" si="80"/>
        <v>18</v>
      </c>
      <c r="AN153" s="201" t="str">
        <f t="shared" si="69"/>
        <v>-</v>
      </c>
      <c r="AO153" s="201" t="str">
        <f t="shared" si="70"/>
        <v>-</v>
      </c>
      <c r="AP153" s="201" t="str">
        <f t="shared" si="71"/>
        <v>-</v>
      </c>
      <c r="AQ153" s="201" t="str">
        <f t="shared" si="72"/>
        <v>-</v>
      </c>
      <c r="AR153" s="201" t="str">
        <f t="shared" si="73"/>
        <v>-</v>
      </c>
      <c r="AS153" s="201" t="str">
        <f t="shared" si="74"/>
        <v>-</v>
      </c>
      <c r="AT153" s="201" t="str">
        <f t="shared" si="75"/>
        <v>-</v>
      </c>
      <c r="AU153" s="385" t="e">
        <f t="shared" si="77"/>
        <v>#DIV/0!</v>
      </c>
      <c r="AV153" s="202" t="e">
        <f t="shared" si="79"/>
        <v>#DIV/0!</v>
      </c>
      <c r="BI153" s="190">
        <f t="shared" si="81"/>
        <v>18</v>
      </c>
      <c r="BJ153" s="212">
        <f t="shared" si="83"/>
        <v>0</v>
      </c>
      <c r="BK153" s="212">
        <f t="shared" si="83"/>
        <v>0</v>
      </c>
      <c r="BL153" s="212">
        <f t="shared" si="83"/>
        <v>0</v>
      </c>
      <c r="BM153" s="212">
        <f t="shared" si="83"/>
        <v>0</v>
      </c>
      <c r="BN153" s="212">
        <f t="shared" si="83"/>
        <v>0</v>
      </c>
      <c r="BO153" s="212">
        <f t="shared" si="83"/>
        <v>0</v>
      </c>
      <c r="BP153" s="212">
        <f t="shared" si="83"/>
        <v>0</v>
      </c>
      <c r="BQ153" s="212">
        <f t="shared" si="78"/>
        <v>0</v>
      </c>
      <c r="BT153" s="112"/>
    </row>
    <row r="154" spans="1:72" ht="24" thickBot="1" x14ac:dyDescent="0.5">
      <c r="A154" s="70"/>
      <c r="B154" s="157"/>
      <c r="C154" s="263" t="s">
        <v>210</v>
      </c>
      <c r="D154" s="167" t="s">
        <v>190</v>
      </c>
      <c r="E154" s="168"/>
      <c r="F154" s="169"/>
      <c r="G154" s="170"/>
      <c r="H154" s="271" t="e">
        <f>+H147/H92</f>
        <v>#VALUE!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0"/>
      <c r="AM154" s="190">
        <f t="shared" si="80"/>
        <v>19</v>
      </c>
      <c r="AN154" s="201" t="str">
        <f t="shared" si="69"/>
        <v>-</v>
      </c>
      <c r="AO154" s="201" t="str">
        <f t="shared" si="70"/>
        <v>-</v>
      </c>
      <c r="AP154" s="201" t="str">
        <f t="shared" si="71"/>
        <v>-</v>
      </c>
      <c r="AQ154" s="201" t="str">
        <f t="shared" si="72"/>
        <v>-</v>
      </c>
      <c r="AR154" s="201" t="str">
        <f t="shared" si="73"/>
        <v>-</v>
      </c>
      <c r="AS154" s="201" t="str">
        <f t="shared" si="74"/>
        <v>-</v>
      </c>
      <c r="AT154" s="201" t="str">
        <f t="shared" si="75"/>
        <v>-</v>
      </c>
      <c r="AU154" s="385" t="e">
        <f t="shared" si="77"/>
        <v>#DIV/0!</v>
      </c>
      <c r="AV154" s="202" t="e">
        <f t="shared" si="79"/>
        <v>#DIV/0!</v>
      </c>
      <c r="BI154" s="190">
        <f t="shared" si="81"/>
        <v>19</v>
      </c>
      <c r="BJ154" s="212">
        <f t="shared" si="83"/>
        <v>0</v>
      </c>
      <c r="BK154" s="212">
        <f t="shared" si="83"/>
        <v>0</v>
      </c>
      <c r="BL154" s="212">
        <f t="shared" si="83"/>
        <v>0</v>
      </c>
      <c r="BM154" s="212">
        <f t="shared" si="83"/>
        <v>0</v>
      </c>
      <c r="BN154" s="212">
        <f t="shared" si="83"/>
        <v>0</v>
      </c>
      <c r="BO154" s="212">
        <f t="shared" si="83"/>
        <v>0</v>
      </c>
      <c r="BP154" s="212">
        <f t="shared" si="83"/>
        <v>0</v>
      </c>
      <c r="BQ154" s="212">
        <f t="shared" si="78"/>
        <v>0</v>
      </c>
      <c r="BT154" s="112"/>
    </row>
    <row r="155" spans="1:72" ht="23.4" x14ac:dyDescent="0.45">
      <c r="A155" s="70"/>
      <c r="B155" s="157"/>
      <c r="C155" s="171" t="s">
        <v>191</v>
      </c>
      <c r="D155" s="172"/>
      <c r="E155" s="173"/>
      <c r="F155" s="174"/>
      <c r="G155" s="172"/>
      <c r="H155" s="280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0"/>
      <c r="AM155" s="190">
        <f t="shared" si="80"/>
        <v>20</v>
      </c>
      <c r="AN155" s="201" t="str">
        <f t="shared" si="69"/>
        <v>-</v>
      </c>
      <c r="AO155" s="201" t="str">
        <f t="shared" si="70"/>
        <v>-</v>
      </c>
      <c r="AP155" s="201" t="str">
        <f t="shared" si="71"/>
        <v>-</v>
      </c>
      <c r="AQ155" s="201" t="str">
        <f t="shared" si="72"/>
        <v>-</v>
      </c>
      <c r="AR155" s="201" t="str">
        <f t="shared" si="73"/>
        <v>-</v>
      </c>
      <c r="AS155" s="201" t="str">
        <f t="shared" si="74"/>
        <v>-</v>
      </c>
      <c r="AT155" s="201" t="str">
        <f t="shared" si="75"/>
        <v>-</v>
      </c>
      <c r="AU155" s="385" t="e">
        <f t="shared" si="77"/>
        <v>#DIV/0!</v>
      </c>
      <c r="AV155" s="202" t="e">
        <f t="shared" si="79"/>
        <v>#DIV/0!</v>
      </c>
      <c r="BI155" s="190">
        <f t="shared" si="81"/>
        <v>20</v>
      </c>
      <c r="BJ155" s="212">
        <f t="shared" si="83"/>
        <v>0</v>
      </c>
      <c r="BK155" s="212">
        <f t="shared" si="83"/>
        <v>0</v>
      </c>
      <c r="BL155" s="212">
        <f t="shared" si="83"/>
        <v>0</v>
      </c>
      <c r="BM155" s="212">
        <f t="shared" si="83"/>
        <v>0</v>
      </c>
      <c r="BN155" s="212">
        <f t="shared" si="83"/>
        <v>0</v>
      </c>
      <c r="BO155" s="212">
        <f t="shared" si="83"/>
        <v>0</v>
      </c>
      <c r="BP155" s="212">
        <f t="shared" si="83"/>
        <v>0</v>
      </c>
      <c r="BQ155" s="212">
        <f t="shared" si="78"/>
        <v>0</v>
      </c>
      <c r="BT155" s="112"/>
    </row>
    <row r="156" spans="1:72" ht="23.4" x14ac:dyDescent="0.45">
      <c r="A156" s="70"/>
      <c r="B156" s="157"/>
      <c r="C156" s="99"/>
      <c r="D156" s="175" t="s">
        <v>192</v>
      </c>
      <c r="E156" s="138"/>
      <c r="F156" s="176">
        <f>+SUM(AN135:AT159)/7</f>
        <v>0</v>
      </c>
      <c r="G156" s="177">
        <v>24</v>
      </c>
      <c r="H156" s="178">
        <f>+IFERROR(F156/G156,"-")</f>
        <v>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0"/>
      <c r="AM156" s="190">
        <f t="shared" si="80"/>
        <v>21</v>
      </c>
      <c r="AN156" s="201" t="str">
        <f t="shared" si="69"/>
        <v>-</v>
      </c>
      <c r="AO156" s="201" t="str">
        <f t="shared" si="70"/>
        <v>-</v>
      </c>
      <c r="AP156" s="201" t="str">
        <f t="shared" si="71"/>
        <v>-</v>
      </c>
      <c r="AQ156" s="201" t="str">
        <f t="shared" si="72"/>
        <v>-</v>
      </c>
      <c r="AR156" s="201" t="str">
        <f t="shared" si="73"/>
        <v>-</v>
      </c>
      <c r="AS156" s="201" t="str">
        <f t="shared" si="74"/>
        <v>-</v>
      </c>
      <c r="AT156" s="201" t="str">
        <f t="shared" si="75"/>
        <v>-</v>
      </c>
      <c r="AU156" s="385" t="e">
        <f t="shared" si="77"/>
        <v>#DIV/0!</v>
      </c>
      <c r="AV156" s="202" t="e">
        <f t="shared" si="79"/>
        <v>#DIV/0!</v>
      </c>
      <c r="BI156" s="190">
        <f t="shared" si="81"/>
        <v>21</v>
      </c>
      <c r="BJ156" s="212">
        <f t="shared" si="83"/>
        <v>0</v>
      </c>
      <c r="BK156" s="212">
        <f t="shared" si="83"/>
        <v>0</v>
      </c>
      <c r="BL156" s="212">
        <f t="shared" si="83"/>
        <v>0</v>
      </c>
      <c r="BM156" s="212">
        <f t="shared" si="83"/>
        <v>0</v>
      </c>
      <c r="BN156" s="212">
        <f t="shared" si="83"/>
        <v>0</v>
      </c>
      <c r="BO156" s="212">
        <f t="shared" si="83"/>
        <v>0</v>
      </c>
      <c r="BP156" s="212">
        <f t="shared" si="83"/>
        <v>0</v>
      </c>
      <c r="BQ156" s="212">
        <f t="shared" si="78"/>
        <v>0</v>
      </c>
      <c r="BT156" s="112"/>
    </row>
    <row r="157" spans="1:72" ht="24" thickBot="1" x14ac:dyDescent="0.5">
      <c r="A157" s="70"/>
      <c r="B157" s="157"/>
      <c r="C157" s="133"/>
      <c r="D157" s="124" t="s">
        <v>193</v>
      </c>
      <c r="E157" s="124"/>
      <c r="F157" s="124"/>
      <c r="G157" s="124"/>
      <c r="H157" s="328">
        <f>+MIN(H26:H29)</f>
        <v>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0"/>
      <c r="AM157" s="190">
        <f t="shared" si="80"/>
        <v>22</v>
      </c>
      <c r="AN157" s="201" t="str">
        <f t="shared" si="69"/>
        <v>-</v>
      </c>
      <c r="AO157" s="201" t="str">
        <f t="shared" si="70"/>
        <v>-</v>
      </c>
      <c r="AP157" s="201" t="str">
        <f t="shared" si="71"/>
        <v>-</v>
      </c>
      <c r="AQ157" s="201" t="str">
        <f t="shared" si="72"/>
        <v>-</v>
      </c>
      <c r="AR157" s="201" t="str">
        <f t="shared" si="73"/>
        <v>-</v>
      </c>
      <c r="AS157" s="201" t="str">
        <f t="shared" si="74"/>
        <v>-</v>
      </c>
      <c r="AT157" s="201" t="str">
        <f t="shared" si="75"/>
        <v>-</v>
      </c>
      <c r="AU157" s="385" t="e">
        <f t="shared" si="77"/>
        <v>#DIV/0!</v>
      </c>
      <c r="AV157" s="202" t="e">
        <f t="shared" si="79"/>
        <v>#DIV/0!</v>
      </c>
      <c r="BI157" s="190">
        <f t="shared" si="81"/>
        <v>22</v>
      </c>
      <c r="BJ157" s="212">
        <f t="shared" si="83"/>
        <v>0</v>
      </c>
      <c r="BK157" s="212">
        <f t="shared" si="83"/>
        <v>0</v>
      </c>
      <c r="BL157" s="212">
        <f t="shared" si="83"/>
        <v>0</v>
      </c>
      <c r="BM157" s="212">
        <f t="shared" si="83"/>
        <v>0</v>
      </c>
      <c r="BN157" s="212">
        <f t="shared" si="83"/>
        <v>0</v>
      </c>
      <c r="BO157" s="212">
        <f t="shared" si="83"/>
        <v>0</v>
      </c>
      <c r="BP157" s="212">
        <f t="shared" si="83"/>
        <v>0</v>
      </c>
      <c r="BQ157" s="212">
        <f t="shared" si="78"/>
        <v>0</v>
      </c>
      <c r="BT157" s="112"/>
    </row>
    <row r="158" spans="1:72" ht="23.4" x14ac:dyDescent="0.45">
      <c r="A158" s="70"/>
      <c r="B158" s="157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0"/>
      <c r="AM158" s="190">
        <f t="shared" si="80"/>
        <v>23</v>
      </c>
      <c r="AN158" s="201" t="str">
        <f t="shared" si="69"/>
        <v>-</v>
      </c>
      <c r="AO158" s="201" t="str">
        <f t="shared" si="70"/>
        <v>-</v>
      </c>
      <c r="AP158" s="201" t="str">
        <f t="shared" si="71"/>
        <v>-</v>
      </c>
      <c r="AQ158" s="201" t="str">
        <f t="shared" si="72"/>
        <v>-</v>
      </c>
      <c r="AR158" s="201" t="str">
        <f t="shared" si="73"/>
        <v>-</v>
      </c>
      <c r="AS158" s="201" t="str">
        <f t="shared" si="74"/>
        <v>-</v>
      </c>
      <c r="AT158" s="201" t="str">
        <f t="shared" si="75"/>
        <v>-</v>
      </c>
      <c r="AU158" s="385" t="e">
        <f t="shared" si="77"/>
        <v>#DIV/0!</v>
      </c>
      <c r="AV158" s="202" t="e">
        <f t="shared" si="79"/>
        <v>#DIV/0!</v>
      </c>
      <c r="BI158" s="190">
        <f t="shared" si="81"/>
        <v>23</v>
      </c>
      <c r="BJ158" s="212">
        <f t="shared" si="83"/>
        <v>0</v>
      </c>
      <c r="BK158" s="212">
        <f t="shared" si="83"/>
        <v>0</v>
      </c>
      <c r="BL158" s="212">
        <f t="shared" si="83"/>
        <v>0</v>
      </c>
      <c r="BM158" s="212">
        <f t="shared" si="83"/>
        <v>0</v>
      </c>
      <c r="BN158" s="212">
        <f t="shared" si="83"/>
        <v>0</v>
      </c>
      <c r="BO158" s="212">
        <f t="shared" si="83"/>
        <v>0</v>
      </c>
      <c r="BP158" s="212">
        <f t="shared" si="83"/>
        <v>0</v>
      </c>
      <c r="BQ158" s="212">
        <f t="shared" si="78"/>
        <v>0</v>
      </c>
      <c r="BT158" s="112"/>
    </row>
    <row r="159" spans="1:72" ht="24" thickBot="1" x14ac:dyDescent="0.5">
      <c r="A159" s="70"/>
      <c r="B159" s="157"/>
      <c r="C159" s="133"/>
      <c r="D159" s="133"/>
      <c r="E159" s="128" t="s">
        <v>175</v>
      </c>
      <c r="F159" s="128" t="s">
        <v>120</v>
      </c>
      <c r="G159" s="128" t="s">
        <v>121</v>
      </c>
      <c r="H159" s="128" t="s">
        <v>122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0"/>
      <c r="AM159" s="190">
        <f>+AM158+1</f>
        <v>24</v>
      </c>
      <c r="AN159" s="201" t="str">
        <f t="shared" si="69"/>
        <v>-</v>
      </c>
      <c r="AO159" s="201" t="str">
        <f t="shared" si="70"/>
        <v>-</v>
      </c>
      <c r="AP159" s="201" t="str">
        <f t="shared" si="71"/>
        <v>-</v>
      </c>
      <c r="AQ159" s="201" t="str">
        <f t="shared" si="72"/>
        <v>-</v>
      </c>
      <c r="AR159" s="201" t="str">
        <f t="shared" si="73"/>
        <v>-</v>
      </c>
      <c r="AS159" s="201" t="str">
        <f t="shared" si="74"/>
        <v>-</v>
      </c>
      <c r="AT159" s="201" t="str">
        <f t="shared" si="75"/>
        <v>-</v>
      </c>
      <c r="AU159" s="202"/>
      <c r="AV159" s="202"/>
      <c r="BI159" s="190">
        <f>+BI158+1</f>
        <v>24</v>
      </c>
      <c r="BJ159" s="212">
        <f t="shared" si="83"/>
        <v>0</v>
      </c>
      <c r="BK159" s="212">
        <f t="shared" si="83"/>
        <v>0</v>
      </c>
      <c r="BL159" s="212">
        <f t="shared" si="83"/>
        <v>0</v>
      </c>
      <c r="BM159" s="212">
        <f t="shared" si="83"/>
        <v>0</v>
      </c>
      <c r="BN159" s="212">
        <f t="shared" si="83"/>
        <v>0</v>
      </c>
      <c r="BO159" s="212">
        <f t="shared" si="83"/>
        <v>0</v>
      </c>
      <c r="BP159" s="212">
        <f t="shared" si="83"/>
        <v>0</v>
      </c>
      <c r="BQ159" s="212">
        <f>SUM(BJ158:BP158)</f>
        <v>0</v>
      </c>
      <c r="BT159" s="112"/>
    </row>
    <row r="160" spans="1:72" ht="31.65" customHeight="1" x14ac:dyDescent="0.45">
      <c r="A160" s="70"/>
      <c r="B160" s="157"/>
      <c r="C160" s="138" t="s">
        <v>195</v>
      </c>
      <c r="D160" s="138"/>
      <c r="E160" s="139">
        <f>COUNTIFS(si_analisis,1,no_vacacional,0)/24</f>
        <v>373.25</v>
      </c>
      <c r="F160" s="139">
        <f>COUNTIFS(si_analisis,1,no_vacacional,0,epoca,1)/24</f>
        <v>373.25</v>
      </c>
      <c r="G160" s="139">
        <f>COUNTIFS(si_analisis,1,no_vacacional,0,epoca,2)/24</f>
        <v>0</v>
      </c>
      <c r="H160" s="139">
        <f>COUNTIFS(si_analisis,1,no_vacacional,0,epoca,3)/24</f>
        <v>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0"/>
      <c r="AM160" s="203" t="s">
        <v>179</v>
      </c>
      <c r="AN160" s="201">
        <f t="shared" ref="AN160:AU160" si="85">SUM(AN135:AN159)</f>
        <v>0</v>
      </c>
      <c r="AO160" s="201">
        <f t="shared" si="85"/>
        <v>0</v>
      </c>
      <c r="AP160" s="201">
        <f t="shared" si="85"/>
        <v>0</v>
      </c>
      <c r="AQ160" s="201">
        <f t="shared" si="85"/>
        <v>0</v>
      </c>
      <c r="AR160" s="201">
        <f t="shared" si="85"/>
        <v>0</v>
      </c>
      <c r="AS160" s="201">
        <f t="shared" si="85"/>
        <v>0</v>
      </c>
      <c r="AT160" s="201">
        <f t="shared" si="85"/>
        <v>0</v>
      </c>
      <c r="AU160" s="202" t="e">
        <f t="shared" si="85"/>
        <v>#DIV/0!</v>
      </c>
      <c r="AV160" s="202"/>
      <c r="BI160" s="203" t="s">
        <v>129</v>
      </c>
      <c r="BJ160" s="212">
        <f t="shared" ref="BJ160:BP160" si="86">SUM(BJ135:BJ159)</f>
        <v>0</v>
      </c>
      <c r="BK160" s="212">
        <f t="shared" si="86"/>
        <v>0</v>
      </c>
      <c r="BL160" s="212">
        <f t="shared" si="86"/>
        <v>0</v>
      </c>
      <c r="BM160" s="212">
        <f t="shared" si="86"/>
        <v>0</v>
      </c>
      <c r="BN160" s="212">
        <f t="shared" si="86"/>
        <v>0</v>
      </c>
      <c r="BO160" s="212">
        <f t="shared" si="86"/>
        <v>0</v>
      </c>
      <c r="BP160" s="212">
        <f t="shared" si="86"/>
        <v>0</v>
      </c>
      <c r="BQ160" s="212">
        <f>SUM(BJ159:BP159)</f>
        <v>0</v>
      </c>
      <c r="BT160" s="112"/>
    </row>
    <row r="161" spans="1:72" ht="23.4" x14ac:dyDescent="0.45">
      <c r="A161" s="70"/>
      <c r="B161" s="157"/>
      <c r="C161" s="179" t="s">
        <v>177</v>
      </c>
      <c r="D161" s="179"/>
      <c r="E161" s="180">
        <f>COUNTIFS(si_analisis,1,no_vacacional,0,dia_setmana,"&lt;6")/24</f>
        <v>0</v>
      </c>
      <c r="F161" s="180">
        <f>COUNTIFS(si_analisis,1,no_vacacional,0,dia_setmana,"&lt;6",epoca,1)/24</f>
        <v>0</v>
      </c>
      <c r="G161" s="180">
        <f>COUNTIFS(si_analisis,1,no_vacacional,0,dia_setmana,"&lt;6",epoca,2)/24</f>
        <v>0</v>
      </c>
      <c r="H161" s="180">
        <f>COUNTIFS(si_analisis,1,no_vacacional,0,dia_setmana,"&lt;6",epoca,3)/24</f>
        <v>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0"/>
      <c r="AM161" s="212" t="s">
        <v>180</v>
      </c>
      <c r="AN161" s="201">
        <f t="shared" ref="AN161:AT161" si="87">+SUMPRODUCT(AN135:AN159,Z$18:Z$42)</f>
        <v>0</v>
      </c>
      <c r="AO161" s="201">
        <f t="shared" si="87"/>
        <v>0</v>
      </c>
      <c r="AP161" s="201">
        <f t="shared" si="87"/>
        <v>0</v>
      </c>
      <c r="AQ161" s="201">
        <f t="shared" si="87"/>
        <v>0</v>
      </c>
      <c r="AR161" s="201">
        <f t="shared" si="87"/>
        <v>0</v>
      </c>
      <c r="AS161" s="201">
        <f t="shared" si="87"/>
        <v>0</v>
      </c>
      <c r="AT161" s="201">
        <f t="shared" si="87"/>
        <v>0</v>
      </c>
      <c r="BI161" s="212" t="s">
        <v>181</v>
      </c>
      <c r="BJ161" s="201">
        <f>+BJ160/24</f>
        <v>0</v>
      </c>
      <c r="BK161" s="201">
        <f t="shared" ref="BK161" si="88">+BK160/24</f>
        <v>0</v>
      </c>
      <c r="BL161" s="201">
        <f t="shared" ref="BL161" si="89">+BL160/24</f>
        <v>0</v>
      </c>
      <c r="BM161" s="201">
        <f t="shared" ref="BM161" si="90">+BM160/24</f>
        <v>0</v>
      </c>
      <c r="BN161" s="201">
        <f t="shared" ref="BN161" si="91">+BN160/24</f>
        <v>0</v>
      </c>
      <c r="BO161" s="201">
        <f t="shared" ref="BO161" si="92">+BO160/24</f>
        <v>0</v>
      </c>
      <c r="BP161" s="201">
        <f t="shared" ref="BP161" si="93">+BP160/24</f>
        <v>0</v>
      </c>
      <c r="BQ161" s="212">
        <f>SUM(BQ136:BQ160)</f>
        <v>0</v>
      </c>
      <c r="BT161" s="112"/>
    </row>
    <row r="162" spans="1:72" ht="24" thickBot="1" x14ac:dyDescent="0.5">
      <c r="A162" s="70"/>
      <c r="B162" s="157"/>
      <c r="C162" s="181" t="s">
        <v>99</v>
      </c>
      <c r="D162" s="181"/>
      <c r="E162" s="182">
        <f>COUNTIFS(si_analisis,1,no_vacacional,0,dia_setmana,"&gt;=6",dia_setmana,"&lt;=7")/24</f>
        <v>373.25</v>
      </c>
      <c r="F162" s="182">
        <f>COUNTIFS(si_analisis,1,no_vacacional,0,dia_setmana,"&gt;=6",dia_setmana,"&lt;=7",epoca,1)/24</f>
        <v>373.25</v>
      </c>
      <c r="G162" s="182">
        <f>COUNTIFS(si_analisis,1,no_vacacional,0,dia_setmana,"&gt;=6",dia_setmana,"&lt;=7",epoca,2)/24</f>
        <v>0</v>
      </c>
      <c r="H162" s="182">
        <f>COUNTIFS(si_analisis,1,no_vacacional,0,dia_setmana,"&gt;=6",dia_setmana,"&lt;=7",epoca,3)/24</f>
        <v>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0"/>
      <c r="AM162" s="212" t="s">
        <v>182</v>
      </c>
      <c r="AN162" s="201">
        <f>+AN160-AN161</f>
        <v>0</v>
      </c>
      <c r="AO162" s="201">
        <f t="shared" ref="AO162" si="94">+AO160-AO161</f>
        <v>0</v>
      </c>
      <c r="AP162" s="201">
        <f t="shared" ref="AP162" si="95">+AP160-AP161</f>
        <v>0</v>
      </c>
      <c r="AQ162" s="201">
        <f t="shared" ref="AQ162" si="96">+AQ160-AQ161</f>
        <v>0</v>
      </c>
      <c r="AR162" s="201">
        <f t="shared" ref="AR162" si="97">+AR160-AR161</f>
        <v>0</v>
      </c>
      <c r="AS162" s="201">
        <f t="shared" ref="AS162" si="98">+AS160-AS161</f>
        <v>0</v>
      </c>
      <c r="AT162" s="201">
        <f t="shared" ref="AT162" si="99">+AT160-AT161</f>
        <v>0</v>
      </c>
      <c r="BQ162" s="212">
        <f>SUM(BJ160:BP160)</f>
        <v>0</v>
      </c>
      <c r="BT162" s="112"/>
    </row>
    <row r="163" spans="1:72" ht="23.4" x14ac:dyDescent="0.45">
      <c r="A163" s="70"/>
      <c r="B163" s="157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0"/>
      <c r="AM163" s="203" t="s">
        <v>179</v>
      </c>
      <c r="AN163" s="215"/>
      <c r="AO163" s="216"/>
      <c r="AP163" s="216">
        <f>+AVERAGE(AN160:AR160)</f>
        <v>0</v>
      </c>
      <c r="AQ163" s="216"/>
      <c r="AR163" s="216"/>
      <c r="AS163" s="217">
        <f>+AVERAGE(AS160:AT160)</f>
        <v>0</v>
      </c>
      <c r="AT163" s="218"/>
      <c r="BT163" s="112"/>
    </row>
    <row r="164" spans="1:72" ht="23.4" x14ac:dyDescent="0.45">
      <c r="A164" s="70"/>
      <c r="B164" s="157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0"/>
      <c r="AM164" s="212" t="s">
        <v>180</v>
      </c>
      <c r="AN164" s="215"/>
      <c r="AO164" s="216"/>
      <c r="AP164" s="216">
        <f>+AVERAGE(AN161:AR161)</f>
        <v>0</v>
      </c>
      <c r="AQ164" s="216"/>
      <c r="AR164" s="216"/>
      <c r="AS164" s="217">
        <f>+AVERAGE(AS161:AT161)</f>
        <v>0</v>
      </c>
      <c r="AT164" s="218"/>
      <c r="BT164" s="112"/>
    </row>
    <row r="165" spans="1:72" ht="23.4" x14ac:dyDescent="0.45">
      <c r="A165" s="70"/>
      <c r="B165" s="157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0"/>
      <c r="AM165" s="212" t="s">
        <v>182</v>
      </c>
      <c r="AN165" s="215"/>
      <c r="AO165" s="216"/>
      <c r="AP165" s="216">
        <f>+AVERAGE(AN162:AR162)</f>
        <v>0</v>
      </c>
      <c r="AQ165" s="216"/>
      <c r="AR165" s="216"/>
      <c r="AS165" s="217">
        <f>+AVERAGE(AS162:AT162)</f>
        <v>0</v>
      </c>
      <c r="AT165" s="218"/>
      <c r="BT165" s="112"/>
    </row>
    <row r="166" spans="1:72" ht="23.4" x14ac:dyDescent="0.45">
      <c r="A166" s="70"/>
      <c r="B166" s="157"/>
      <c r="C166" s="74"/>
      <c r="D166" s="74"/>
      <c r="E166" s="74"/>
      <c r="F166" s="78"/>
      <c r="G166" s="77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0"/>
      <c r="AN166" s="112"/>
      <c r="AO166" s="112"/>
      <c r="AP166" s="112"/>
      <c r="AQ166" s="112"/>
      <c r="AR166" s="112"/>
      <c r="AS166" s="112"/>
      <c r="AT166" s="112"/>
      <c r="AU166" s="112"/>
      <c r="AV166" s="112"/>
      <c r="AW166" s="112"/>
      <c r="AX166" s="112"/>
      <c r="AY166" s="112"/>
      <c r="AZ166" s="112"/>
      <c r="BA166" s="112"/>
      <c r="BB166" s="112"/>
      <c r="BC166" s="112"/>
      <c r="BD166" s="112"/>
      <c r="BE166" s="112"/>
      <c r="BF166" s="112"/>
      <c r="BG166" s="112"/>
      <c r="BH166" s="112"/>
      <c r="BI166" s="112"/>
      <c r="BJ166" s="112"/>
      <c r="BK166" s="112"/>
      <c r="BL166" s="112"/>
      <c r="BM166" s="112"/>
      <c r="BN166" s="112"/>
      <c r="BO166" s="112"/>
      <c r="BP166" s="112"/>
      <c r="BQ166" s="112"/>
      <c r="BT166" s="112"/>
    </row>
    <row r="167" spans="1:72" ht="23.4" x14ac:dyDescent="0.45">
      <c r="A167" s="70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0"/>
      <c r="AN167" s="112"/>
      <c r="AO167" s="112"/>
      <c r="AP167" s="112"/>
      <c r="AQ167" s="112"/>
      <c r="AR167" s="112"/>
      <c r="AS167" s="112"/>
      <c r="AT167" s="112"/>
      <c r="AU167" s="112"/>
      <c r="AV167" s="112"/>
      <c r="AW167" s="112"/>
      <c r="AX167" s="112"/>
      <c r="AY167" s="112"/>
      <c r="AZ167" s="112"/>
      <c r="BA167" s="112"/>
      <c r="BB167" s="112"/>
      <c r="BC167" s="112"/>
      <c r="BD167" s="112"/>
      <c r="BE167" s="112"/>
      <c r="BF167" s="112"/>
      <c r="BG167" s="112"/>
      <c r="BH167" s="112"/>
      <c r="BI167" s="112"/>
      <c r="BJ167" s="112"/>
      <c r="BK167" s="112"/>
      <c r="BL167" s="112"/>
      <c r="BM167" s="112"/>
      <c r="BN167" s="112"/>
      <c r="BO167" s="112"/>
      <c r="BP167" s="112"/>
      <c r="BQ167" s="112"/>
      <c r="BR167" s="112"/>
      <c r="BS167" s="112"/>
      <c r="BT167" s="112"/>
    </row>
    <row r="168" spans="1:72" ht="23.4" x14ac:dyDescent="0.45">
      <c r="A168" s="70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0"/>
      <c r="AN168" s="112"/>
      <c r="AO168" s="112"/>
      <c r="AP168" s="112"/>
      <c r="AQ168" s="112"/>
      <c r="AR168" s="112"/>
      <c r="AS168" s="112"/>
      <c r="AT168" s="112"/>
      <c r="AU168" s="112"/>
      <c r="AV168" s="112"/>
      <c r="AW168" s="112"/>
      <c r="AX168" s="112"/>
      <c r="AY168" s="112"/>
      <c r="AZ168" s="112"/>
      <c r="BA168" s="112"/>
      <c r="BB168" s="112"/>
      <c r="BC168" s="112"/>
      <c r="BD168" s="112"/>
      <c r="BE168" s="112"/>
      <c r="BF168" s="112"/>
      <c r="BG168" s="112"/>
      <c r="BH168" s="112"/>
      <c r="BI168" s="112"/>
      <c r="BJ168" s="112"/>
      <c r="BK168" s="112"/>
      <c r="BL168" s="112"/>
      <c r="BM168" s="112"/>
      <c r="BN168" s="112"/>
      <c r="BO168" s="112"/>
      <c r="BP168" s="112"/>
      <c r="BQ168" s="112"/>
      <c r="BR168" s="112"/>
      <c r="BS168" s="112"/>
      <c r="BT168" s="112"/>
    </row>
    <row r="169" spans="1:72" ht="23.4" x14ac:dyDescent="0.45">
      <c r="A169" s="70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0"/>
      <c r="AN169" s="112"/>
      <c r="AO169" s="112"/>
      <c r="AP169" s="112"/>
      <c r="AQ169" s="112"/>
      <c r="AR169" s="112"/>
      <c r="AS169" s="112"/>
      <c r="AT169" s="112"/>
      <c r="AU169" s="112"/>
      <c r="AV169" s="112"/>
      <c r="AW169" s="112"/>
      <c r="AX169" s="112"/>
      <c r="AY169" s="112"/>
      <c r="AZ169" s="112"/>
      <c r="BA169" s="112"/>
      <c r="BB169" s="112"/>
      <c r="BC169" s="112"/>
      <c r="BD169" s="112"/>
      <c r="BE169" s="112"/>
      <c r="BF169" s="112"/>
      <c r="BG169" s="112"/>
      <c r="BH169" s="112"/>
      <c r="BI169" s="112"/>
      <c r="BJ169" s="112"/>
      <c r="BK169" s="112"/>
      <c r="BL169" s="112"/>
      <c r="BM169" s="112"/>
      <c r="BN169" s="112"/>
      <c r="BO169" s="112"/>
      <c r="BP169" s="112"/>
      <c r="BQ169" s="112"/>
      <c r="BR169" s="112"/>
      <c r="BS169" s="112"/>
      <c r="BT169" s="112"/>
    </row>
    <row r="170" spans="1:72" ht="23.4" x14ac:dyDescent="0.45">
      <c r="A170" s="70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0"/>
      <c r="AN170" s="112"/>
      <c r="AO170" s="112"/>
      <c r="AP170" s="112"/>
      <c r="AQ170" s="112"/>
      <c r="AR170" s="112"/>
      <c r="AS170" s="112"/>
      <c r="AT170" s="112"/>
      <c r="AU170" s="112"/>
      <c r="AV170" s="112"/>
      <c r="AW170" s="112"/>
      <c r="AX170" s="112"/>
      <c r="AY170" s="112"/>
      <c r="AZ170" s="112"/>
      <c r="BA170" s="112"/>
      <c r="BB170" s="112"/>
      <c r="BC170" s="112"/>
      <c r="BD170" s="112"/>
      <c r="BE170" s="112"/>
      <c r="BF170" s="112"/>
      <c r="BG170" s="112"/>
      <c r="BH170" s="112"/>
      <c r="BI170" s="112"/>
      <c r="BJ170" s="112"/>
      <c r="BK170" s="112"/>
      <c r="BL170" s="112"/>
      <c r="BM170" s="112"/>
      <c r="BN170" s="112"/>
      <c r="BO170" s="112"/>
      <c r="BP170" s="112"/>
      <c r="BQ170" s="112"/>
      <c r="BR170" s="112"/>
      <c r="BS170" s="112"/>
      <c r="BT170" s="112"/>
    </row>
    <row r="171" spans="1:72" ht="23.4" x14ac:dyDescent="0.45">
      <c r="A171" s="70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0"/>
      <c r="AN171" s="112"/>
      <c r="AO171" s="112"/>
      <c r="AP171" s="112"/>
      <c r="AQ171" s="112"/>
      <c r="AR171" s="112"/>
      <c r="AS171" s="112"/>
      <c r="AT171" s="112"/>
      <c r="AU171" s="112"/>
      <c r="AV171" s="112"/>
      <c r="AW171" s="112"/>
      <c r="AX171" s="112"/>
      <c r="AY171" s="112"/>
      <c r="AZ171" s="112"/>
      <c r="BA171" s="112"/>
      <c r="BB171" s="112"/>
      <c r="BC171" s="112"/>
      <c r="BD171" s="112"/>
      <c r="BE171" s="112"/>
      <c r="BF171" s="112"/>
      <c r="BG171" s="112"/>
      <c r="BH171" s="112"/>
      <c r="BI171" s="112"/>
      <c r="BJ171" s="112"/>
      <c r="BK171" s="112"/>
      <c r="BL171" s="112"/>
      <c r="BM171" s="112"/>
      <c r="BN171" s="112"/>
      <c r="BO171" s="112"/>
      <c r="BP171" s="112"/>
      <c r="BQ171" s="112"/>
      <c r="BR171" s="112"/>
      <c r="BS171" s="112"/>
      <c r="BT171" s="112"/>
    </row>
    <row r="172" spans="1:72" ht="23.4" x14ac:dyDescent="0.45">
      <c r="A172" s="70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0"/>
      <c r="AN172" s="112"/>
      <c r="AO172" s="112"/>
      <c r="AP172" s="112"/>
      <c r="AQ172" s="112"/>
      <c r="AR172" s="112"/>
      <c r="AS172" s="112"/>
      <c r="AT172" s="112"/>
      <c r="AU172" s="112"/>
      <c r="AV172" s="112"/>
      <c r="AW172" s="112"/>
      <c r="AX172" s="112"/>
      <c r="AY172" s="112"/>
      <c r="AZ172" s="112"/>
      <c r="BA172" s="112"/>
      <c r="BB172" s="112"/>
      <c r="BC172" s="112"/>
      <c r="BD172" s="112"/>
      <c r="BE172" s="112"/>
      <c r="BF172" s="112"/>
      <c r="BG172" s="112"/>
      <c r="BH172" s="112"/>
      <c r="BI172" s="112"/>
      <c r="BJ172" s="112"/>
      <c r="BK172" s="112"/>
      <c r="BL172" s="112"/>
      <c r="BM172" s="112"/>
      <c r="BN172" s="112"/>
      <c r="BO172" s="112"/>
      <c r="BP172" s="112"/>
      <c r="BQ172" s="112"/>
      <c r="BR172" s="112"/>
      <c r="BS172" s="112"/>
      <c r="BT172" s="112"/>
    </row>
    <row r="173" spans="1:72" ht="23.4" x14ac:dyDescent="0.45">
      <c r="A173" s="70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0"/>
      <c r="AN173" s="112"/>
      <c r="AO173" s="112"/>
      <c r="AP173" s="112"/>
      <c r="AQ173" s="112"/>
      <c r="AR173" s="112"/>
      <c r="AS173" s="112"/>
      <c r="AT173" s="112"/>
      <c r="AU173" s="112"/>
      <c r="AV173" s="112"/>
      <c r="AW173" s="112"/>
      <c r="AX173" s="112"/>
      <c r="AY173" s="112"/>
      <c r="AZ173" s="112"/>
      <c r="BA173" s="112"/>
      <c r="BB173" s="112"/>
      <c r="BC173" s="112"/>
      <c r="BD173" s="112"/>
      <c r="BE173" s="112"/>
      <c r="BF173" s="112"/>
      <c r="BG173" s="112"/>
      <c r="BH173" s="112"/>
      <c r="BI173" s="112"/>
      <c r="BJ173" s="112"/>
      <c r="BK173" s="112"/>
      <c r="BL173" s="112"/>
      <c r="BM173" s="112"/>
      <c r="BN173" s="112"/>
      <c r="BO173" s="112"/>
      <c r="BP173" s="112"/>
      <c r="BQ173" s="112"/>
      <c r="BR173" s="112"/>
      <c r="BS173" s="112"/>
      <c r="BT173" s="112"/>
    </row>
    <row r="174" spans="1:72" ht="23.4" x14ac:dyDescent="0.45">
      <c r="A174" s="70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0"/>
      <c r="AN174" s="112"/>
      <c r="AO174" s="112"/>
      <c r="AP174" s="112"/>
      <c r="AQ174" s="112"/>
      <c r="AR174" s="112"/>
      <c r="AS174" s="112"/>
      <c r="AT174" s="112"/>
      <c r="AU174" s="112"/>
      <c r="AV174" s="112"/>
      <c r="AW174" s="112"/>
      <c r="AX174" s="112"/>
      <c r="AY174" s="112"/>
      <c r="AZ174" s="112"/>
      <c r="BA174" s="112"/>
      <c r="BB174" s="112"/>
      <c r="BC174" s="112"/>
      <c r="BD174" s="112"/>
      <c r="BE174" s="112"/>
      <c r="BF174" s="112"/>
      <c r="BG174" s="112"/>
      <c r="BH174" s="112"/>
      <c r="BI174" s="112"/>
      <c r="BJ174" s="112"/>
      <c r="BK174" s="112"/>
      <c r="BL174" s="112"/>
      <c r="BM174" s="112"/>
      <c r="BN174" s="112"/>
      <c r="BO174" s="112"/>
      <c r="BP174" s="112"/>
      <c r="BQ174" s="112"/>
      <c r="BR174" s="112"/>
      <c r="BS174" s="112"/>
      <c r="BT174" s="112"/>
    </row>
    <row r="175" spans="1:72" ht="23.4" x14ac:dyDescent="0.45">
      <c r="A175" s="70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0"/>
      <c r="AN175" s="112"/>
      <c r="AO175" s="112"/>
      <c r="AP175" s="112"/>
      <c r="AQ175" s="112"/>
      <c r="AR175" s="112"/>
      <c r="AS175" s="112"/>
      <c r="AT175" s="112"/>
      <c r="AU175" s="112"/>
      <c r="AV175" s="112"/>
      <c r="AW175" s="112"/>
      <c r="AX175" s="112"/>
      <c r="AY175" s="112"/>
      <c r="AZ175" s="112"/>
      <c r="BA175" s="112"/>
      <c r="BB175" s="112"/>
      <c r="BC175" s="112"/>
      <c r="BD175" s="112"/>
      <c r="BE175" s="112"/>
      <c r="BF175" s="112"/>
      <c r="BG175" s="112"/>
      <c r="BH175" s="112"/>
      <c r="BI175" s="112"/>
      <c r="BJ175" s="112"/>
      <c r="BK175" s="112"/>
      <c r="BL175" s="112"/>
      <c r="BM175" s="112"/>
      <c r="BN175" s="112"/>
      <c r="BO175" s="112"/>
      <c r="BP175" s="112"/>
      <c r="BQ175" s="112"/>
      <c r="BR175" s="112"/>
      <c r="BS175" s="112"/>
      <c r="BT175" s="112"/>
    </row>
    <row r="176" spans="1:72" ht="23.4" x14ac:dyDescent="0.45">
      <c r="A176" s="70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0"/>
      <c r="BR176" s="112"/>
      <c r="BS176" s="112"/>
      <c r="BT176" s="112"/>
    </row>
    <row r="177" spans="1:22" ht="23.4" x14ac:dyDescent="0.45">
      <c r="A177" s="70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0"/>
    </row>
    <row r="178" spans="1:22" ht="23.4" x14ac:dyDescent="0.45">
      <c r="A178" s="70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0"/>
    </row>
    <row r="179" spans="1:22" ht="23.4" x14ac:dyDescent="0.45">
      <c r="A179" s="70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0"/>
    </row>
    <row r="180" spans="1:22" ht="23.4" x14ac:dyDescent="0.45">
      <c r="A180" s="70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0"/>
    </row>
    <row r="181" spans="1:22" ht="23.4" x14ac:dyDescent="0.45">
      <c r="A181" s="70"/>
      <c r="B181" s="74"/>
      <c r="C181" s="255"/>
      <c r="D181" s="255"/>
      <c r="E181" s="255"/>
      <c r="F181" s="255"/>
      <c r="G181" s="255"/>
      <c r="H181" s="255"/>
      <c r="I181" s="255"/>
      <c r="J181" s="255"/>
      <c r="K181" s="255"/>
      <c r="L181" s="255"/>
      <c r="M181" s="255"/>
      <c r="N181" s="255"/>
      <c r="O181" s="255"/>
      <c r="P181" s="255"/>
      <c r="Q181" s="255"/>
      <c r="R181" s="255"/>
      <c r="S181" s="255"/>
      <c r="T181" s="255"/>
      <c r="U181" s="255"/>
      <c r="V181" s="70"/>
    </row>
    <row r="182" spans="1:22" ht="23.4" x14ac:dyDescent="0.45">
      <c r="A182" s="70"/>
      <c r="B182" s="73"/>
      <c r="C182" s="222" t="s">
        <v>244</v>
      </c>
      <c r="D182" s="221"/>
      <c r="E182" s="221"/>
      <c r="F182" s="221"/>
      <c r="G182" s="223" t="s">
        <v>84</v>
      </c>
      <c r="H182" s="224">
        <f>+E16</f>
        <v>0</v>
      </c>
      <c r="I182" s="225" t="s">
        <v>85</v>
      </c>
      <c r="J182" s="224">
        <f>+G16</f>
        <v>0</v>
      </c>
      <c r="M182" s="221"/>
      <c r="N182" s="221"/>
      <c r="O182" s="221"/>
      <c r="P182" s="221"/>
      <c r="Q182" s="221"/>
      <c r="R182" s="221"/>
      <c r="S182" s="221"/>
      <c r="T182" s="221"/>
      <c r="V182" s="70"/>
    </row>
    <row r="183" spans="1:22" ht="23.4" x14ac:dyDescent="0.45">
      <c r="A183" s="70"/>
      <c r="B183" s="95"/>
      <c r="C183" s="83" t="s">
        <v>90</v>
      </c>
      <c r="D183" s="255"/>
      <c r="E183" s="79">
        <f>+COUNTA('Introducció dades consum'!G:G)-2</f>
        <v>-1</v>
      </c>
      <c r="F183" s="80">
        <f>E183/E12</f>
        <v>-4.1666666666666664E-2</v>
      </c>
      <c r="G183" s="83" t="s">
        <v>91</v>
      </c>
      <c r="H183" s="96"/>
      <c r="I183" s="45"/>
      <c r="J183" s="96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74"/>
      <c r="V183" s="70"/>
    </row>
    <row r="184" spans="1:22" ht="23.4" x14ac:dyDescent="0.45">
      <c r="A184" s="70"/>
      <c r="B184" s="74"/>
      <c r="C184" s="76" t="s">
        <v>134</v>
      </c>
      <c r="D184" s="76"/>
      <c r="E184" s="76"/>
      <c r="F184" s="76"/>
      <c r="G184" s="348"/>
      <c r="H184" s="183"/>
      <c r="I184" s="264"/>
      <c r="J184" s="183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0"/>
    </row>
    <row r="185" spans="1:22" ht="43.8" x14ac:dyDescent="0.45">
      <c r="A185" s="70"/>
      <c r="B185" s="74"/>
      <c r="C185" s="74"/>
      <c r="D185" s="74"/>
      <c r="E185" s="113" t="s">
        <v>245</v>
      </c>
      <c r="F185" s="113" t="s">
        <v>248</v>
      </c>
      <c r="G185" s="113" t="s">
        <v>247</v>
      </c>
      <c r="H185" s="113" t="s">
        <v>249</v>
      </c>
      <c r="I185" s="113" t="s">
        <v>250</v>
      </c>
      <c r="J185" s="113" t="s">
        <v>246</v>
      </c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0"/>
    </row>
    <row r="186" spans="1:22" ht="24" thickBot="1" x14ac:dyDescent="0.5">
      <c r="A186" s="70"/>
      <c r="B186" s="74"/>
      <c r="C186" s="74"/>
      <c r="D186" s="74"/>
      <c r="E186" s="113" t="s">
        <v>164</v>
      </c>
      <c r="F186" s="113" t="s">
        <v>164</v>
      </c>
      <c r="G186" s="113" t="s">
        <v>164</v>
      </c>
      <c r="H186" s="113" t="s">
        <v>164</v>
      </c>
      <c r="I186" s="113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0"/>
    </row>
    <row r="187" spans="1:22" ht="23.4" x14ac:dyDescent="0.45">
      <c r="A187" s="70"/>
      <c r="B187" s="74"/>
      <c r="C187" s="318" t="s">
        <v>142</v>
      </c>
      <c r="D187" s="319"/>
      <c r="E187" s="254">
        <f>SUM(E188:E190)</f>
        <v>0</v>
      </c>
      <c r="F187" s="254">
        <f t="shared" ref="F187" si="100">SUM(F188:F190)</f>
        <v>0</v>
      </c>
      <c r="G187" s="254">
        <f>+E187+F187</f>
        <v>0</v>
      </c>
      <c r="H187" s="254">
        <f>SUM(H188:H190)</f>
        <v>4716.4380000000046</v>
      </c>
      <c r="I187" s="117" t="e">
        <f>+F187/G187</f>
        <v>#DIV/0!</v>
      </c>
      <c r="J187" s="117">
        <f>+F187/(F187+H187)</f>
        <v>0</v>
      </c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0"/>
    </row>
    <row r="188" spans="1:22" ht="23.4" x14ac:dyDescent="0.45">
      <c r="A188" s="70"/>
      <c r="B188" s="74"/>
      <c r="C188" s="118" t="s">
        <v>143</v>
      </c>
      <c r="D188" s="119"/>
      <c r="E188" s="307">
        <f>+SUMIFS(ener_facturada,si_analisis,1,no_vacacional,1,dia_setmana,"&lt;6")</f>
        <v>0</v>
      </c>
      <c r="F188" s="307">
        <f>+SUMIFS(ener_autocons,si_analisis,1,no_vacacional,1,dia_setmana,"&lt;6")</f>
        <v>0</v>
      </c>
      <c r="G188" s="307">
        <f>+E188+F188</f>
        <v>0</v>
      </c>
      <c r="H188" s="307">
        <f>+SUMIFS(ener_excedent,si_analisis,1,no_vacacional,1,dia_setmana,"&lt;6")</f>
        <v>0</v>
      </c>
      <c r="I188" s="266" t="e">
        <f t="shared" ref="I188:I190" si="101">+F188/G188</f>
        <v>#DIV/0!</v>
      </c>
      <c r="J188" s="121" t="e">
        <f t="shared" ref="J188:J190" si="102">+F188/(F188+H188)</f>
        <v>#DIV/0!</v>
      </c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0"/>
    </row>
    <row r="189" spans="1:22" ht="23.4" customHeight="1" x14ac:dyDescent="0.45">
      <c r="A189" s="70"/>
      <c r="B189" s="74"/>
      <c r="C189" s="118" t="s">
        <v>144</v>
      </c>
      <c r="D189" s="119"/>
      <c r="E189" s="307">
        <f>+SUMIFS(ener_facturada,si_analisis,1,no_vacacional,1,dia_setmana,"&gt;5")</f>
        <v>0</v>
      </c>
      <c r="F189" s="307">
        <f>+SUMIFS(ener_autocons,si_analisis,1,no_vacacional,1,dia_setmana,"&gt;5")</f>
        <v>0</v>
      </c>
      <c r="G189" s="307">
        <f>+E189+F189</f>
        <v>0</v>
      </c>
      <c r="H189" s="307">
        <f>+SUMIFS(ener_excedent,si_analisis,1,no_vacacional,1,dia_setmana,"&gt;5")</f>
        <v>0</v>
      </c>
      <c r="I189" s="266" t="e">
        <f>+F189/G189</f>
        <v>#DIV/0!</v>
      </c>
      <c r="J189" s="121" t="e">
        <f t="shared" si="102"/>
        <v>#DIV/0!</v>
      </c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0"/>
    </row>
    <row r="190" spans="1:22" ht="36" customHeight="1" thickBot="1" x14ac:dyDescent="0.5">
      <c r="A190" s="70"/>
      <c r="B190" s="74"/>
      <c r="C190" s="123" t="s">
        <v>145</v>
      </c>
      <c r="D190" s="124"/>
      <c r="E190" s="308">
        <f>+SUMIFS(ener_facturada,si_analisis,1,no_vacacional,0)</f>
        <v>0</v>
      </c>
      <c r="F190" s="308">
        <f>+SUMIFS(ener_autocons,si_analisis,1,no_vacacional,0)</f>
        <v>0</v>
      </c>
      <c r="G190" s="308">
        <f>+E190+F190</f>
        <v>0</v>
      </c>
      <c r="H190" s="308">
        <f>+SUMIFS(ener_excedent,si_analisis,1,no_vacacional,0)</f>
        <v>4716.4380000000046</v>
      </c>
      <c r="I190" s="271" t="e">
        <f t="shared" si="101"/>
        <v>#DIV/0!</v>
      </c>
      <c r="J190" s="126">
        <f t="shared" si="102"/>
        <v>0</v>
      </c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0"/>
    </row>
    <row r="191" spans="1:22" ht="23.4" x14ac:dyDescent="0.45">
      <c r="A191" s="70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0"/>
    </row>
    <row r="192" spans="1:22" ht="23.4" x14ac:dyDescent="0.45">
      <c r="A192" s="70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0"/>
    </row>
    <row r="193" spans="1:79" ht="23.4" x14ac:dyDescent="0.45">
      <c r="A193" s="70"/>
      <c r="B193" s="267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268"/>
    </row>
    <row r="194" spans="1:79" ht="27" customHeight="1" x14ac:dyDescent="0.25">
      <c r="A194" s="268"/>
      <c r="B194" s="267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268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/>
      <c r="AH194" s="112"/>
      <c r="AI194" s="112"/>
      <c r="AJ194" s="112"/>
      <c r="AK194" s="112"/>
      <c r="AL194" s="112"/>
    </row>
    <row r="195" spans="1:79" x14ac:dyDescent="0.25">
      <c r="A195" s="268"/>
      <c r="B195" s="267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268"/>
    </row>
    <row r="196" spans="1:79" x14ac:dyDescent="0.25">
      <c r="A196" s="268"/>
      <c r="B196" s="255"/>
      <c r="C196" s="255"/>
      <c r="D196" s="255"/>
      <c r="E196" s="255"/>
      <c r="F196" s="255"/>
      <c r="G196" s="255"/>
      <c r="H196" s="255"/>
      <c r="I196" s="255"/>
      <c r="J196" s="255"/>
      <c r="K196" s="255"/>
      <c r="L196" s="255"/>
      <c r="M196" s="255"/>
      <c r="N196" s="255"/>
      <c r="O196" s="255"/>
      <c r="P196" s="255"/>
      <c r="Q196" s="255"/>
      <c r="R196" s="255"/>
      <c r="S196" s="255"/>
      <c r="T196" s="255"/>
      <c r="U196" s="255"/>
      <c r="V196" s="333"/>
    </row>
    <row r="197" spans="1:79" ht="23.4" x14ac:dyDescent="0.45">
      <c r="A197" s="332"/>
      <c r="B197" s="255"/>
      <c r="C197" s="255"/>
      <c r="D197" s="255"/>
      <c r="E197" s="255"/>
      <c r="F197" s="255"/>
      <c r="G197" s="255"/>
      <c r="H197" s="255"/>
      <c r="I197" s="255"/>
      <c r="J197" s="255"/>
      <c r="K197" s="255"/>
      <c r="L197" s="255"/>
      <c r="M197" s="255"/>
      <c r="N197" s="255"/>
      <c r="O197" s="255"/>
      <c r="P197" s="255"/>
      <c r="Q197" s="255"/>
      <c r="R197" s="255"/>
      <c r="S197" s="255"/>
      <c r="T197" s="255"/>
      <c r="U197" s="255"/>
      <c r="V197" s="333"/>
    </row>
    <row r="198" spans="1:79" x14ac:dyDescent="0.25">
      <c r="A198" s="333"/>
      <c r="B198" s="255"/>
      <c r="C198" s="255"/>
      <c r="D198" s="255"/>
      <c r="E198" s="255"/>
      <c r="F198" s="255"/>
      <c r="G198" s="255"/>
      <c r="H198" s="255"/>
      <c r="I198" s="255"/>
      <c r="J198" s="255"/>
      <c r="K198" s="255"/>
      <c r="L198" s="255"/>
      <c r="M198" s="255"/>
      <c r="N198" s="255"/>
      <c r="O198" s="255"/>
      <c r="P198" s="255"/>
      <c r="Q198" s="255"/>
      <c r="R198" s="255"/>
      <c r="S198" s="255"/>
      <c r="T198" s="255"/>
      <c r="U198" s="255"/>
      <c r="V198" s="333"/>
    </row>
    <row r="199" spans="1:79" s="270" customFormat="1" x14ac:dyDescent="0.25">
      <c r="A199" s="333"/>
      <c r="B199" s="255"/>
      <c r="C199" s="255"/>
      <c r="D199" s="255"/>
      <c r="E199" s="255"/>
      <c r="F199" s="255"/>
      <c r="G199" s="255"/>
      <c r="H199" s="255"/>
      <c r="I199" s="255"/>
      <c r="J199" s="255"/>
      <c r="K199" s="255"/>
      <c r="L199" s="255"/>
      <c r="M199" s="255"/>
      <c r="N199" s="255"/>
      <c r="O199" s="255"/>
      <c r="P199" s="255"/>
      <c r="Q199" s="255"/>
      <c r="R199" s="255"/>
      <c r="S199" s="255"/>
      <c r="T199" s="255"/>
      <c r="U199" s="255"/>
      <c r="V199" s="333"/>
      <c r="W199" s="184"/>
      <c r="X199" s="269"/>
      <c r="Y199" s="269"/>
      <c r="Z199" s="269"/>
      <c r="AA199" s="269"/>
      <c r="AB199" s="269"/>
      <c r="AC199" s="269"/>
      <c r="AD199" s="269"/>
      <c r="AE199" s="269"/>
      <c r="AF199" s="269"/>
      <c r="AG199" s="269"/>
      <c r="AH199" s="269"/>
      <c r="AI199" s="269"/>
      <c r="AJ199" s="269"/>
      <c r="AK199" s="269"/>
      <c r="AL199" s="269"/>
      <c r="AM199" s="269"/>
      <c r="AN199" s="269"/>
      <c r="AO199" s="269"/>
      <c r="AP199" s="269"/>
      <c r="AQ199" s="269"/>
      <c r="AR199" s="269"/>
      <c r="AS199" s="269"/>
      <c r="AT199" s="269"/>
      <c r="AU199" s="269"/>
      <c r="AV199" s="269"/>
      <c r="AW199" s="269"/>
      <c r="AX199" s="269"/>
      <c r="AY199" s="269"/>
      <c r="AZ199" s="269"/>
      <c r="BA199" s="269"/>
      <c r="BB199" s="269"/>
      <c r="BC199" s="269"/>
      <c r="BD199" s="269"/>
      <c r="BE199" s="269"/>
      <c r="BF199" s="269"/>
      <c r="BG199" s="269"/>
      <c r="BH199" s="269"/>
      <c r="BI199" s="269"/>
      <c r="BJ199" s="269"/>
      <c r="BK199" s="269"/>
      <c r="BL199" s="269"/>
      <c r="BM199" s="269"/>
      <c r="BN199" s="269"/>
      <c r="BO199" s="269"/>
      <c r="BP199" s="269"/>
      <c r="BQ199" s="269"/>
      <c r="BR199" s="269"/>
      <c r="BS199" s="269"/>
      <c r="BT199" s="269"/>
      <c r="BU199" s="269"/>
      <c r="BV199" s="269"/>
      <c r="BW199" s="269"/>
      <c r="BX199" s="269"/>
      <c r="BY199" s="269"/>
      <c r="BZ199" s="269"/>
      <c r="CA199" s="269"/>
    </row>
    <row r="200" spans="1:79" s="270" customFormat="1" x14ac:dyDescent="0.25">
      <c r="A200" s="333"/>
      <c r="B200" s="255"/>
      <c r="C200" s="255"/>
      <c r="D200" s="255"/>
      <c r="E200" s="255"/>
      <c r="F200" s="255"/>
      <c r="G200" s="255"/>
      <c r="H200" s="255"/>
      <c r="I200" s="255"/>
      <c r="J200" s="255"/>
      <c r="K200" s="255"/>
      <c r="L200" s="255"/>
      <c r="M200" s="255"/>
      <c r="N200" s="255"/>
      <c r="O200" s="255"/>
      <c r="P200" s="255"/>
      <c r="Q200" s="255"/>
      <c r="R200" s="255"/>
      <c r="S200" s="255"/>
      <c r="T200" s="255"/>
      <c r="U200" s="255"/>
      <c r="V200" s="333"/>
      <c r="W200" s="184"/>
      <c r="X200" s="269"/>
      <c r="Y200" s="269"/>
      <c r="Z200" s="269"/>
      <c r="AA200" s="269"/>
      <c r="AB200" s="269"/>
      <c r="AC200" s="269"/>
      <c r="AD200" s="269"/>
      <c r="AE200" s="269"/>
      <c r="AF200" s="269"/>
      <c r="AG200" s="269"/>
      <c r="AH200" s="269"/>
      <c r="AI200" s="269"/>
      <c r="AJ200" s="269"/>
      <c r="AK200" s="269"/>
      <c r="AL200" s="269"/>
      <c r="AM200" s="269"/>
      <c r="AN200" s="269"/>
      <c r="AO200" s="269"/>
      <c r="AP200" s="269"/>
      <c r="AQ200" s="269"/>
      <c r="AR200" s="269"/>
      <c r="AS200" s="269"/>
      <c r="AT200" s="269"/>
      <c r="AU200" s="269"/>
      <c r="AV200" s="269"/>
      <c r="AW200" s="269"/>
      <c r="AX200" s="269"/>
      <c r="AY200" s="269"/>
      <c r="AZ200" s="269"/>
      <c r="BA200" s="269"/>
      <c r="BB200" s="269"/>
      <c r="BC200" s="269"/>
      <c r="BD200" s="269"/>
      <c r="BE200" s="269"/>
      <c r="BF200" s="269"/>
      <c r="BG200" s="269"/>
      <c r="BH200" s="269"/>
      <c r="BI200" s="269"/>
      <c r="BJ200" s="269"/>
      <c r="BK200" s="269"/>
      <c r="BL200" s="269"/>
      <c r="BM200" s="269"/>
      <c r="BN200" s="269"/>
      <c r="BO200" s="269"/>
      <c r="BP200" s="269"/>
      <c r="BQ200" s="269"/>
      <c r="BR200" s="269"/>
      <c r="BS200" s="269"/>
      <c r="BT200" s="269"/>
      <c r="BU200" s="269"/>
      <c r="BV200" s="269"/>
      <c r="BW200" s="269"/>
      <c r="BX200" s="269"/>
      <c r="BY200" s="269"/>
      <c r="BZ200" s="269"/>
      <c r="CA200" s="269"/>
    </row>
    <row r="201" spans="1:79" s="270" customFormat="1" x14ac:dyDescent="0.25">
      <c r="A201" s="333"/>
      <c r="B201" s="255"/>
      <c r="C201" s="255"/>
      <c r="D201" s="255"/>
      <c r="E201" s="255"/>
      <c r="F201" s="255"/>
      <c r="G201" s="255"/>
      <c r="H201" s="255"/>
      <c r="I201" s="255"/>
      <c r="J201" s="255"/>
      <c r="K201" s="255"/>
      <c r="L201" s="255"/>
      <c r="M201" s="255"/>
      <c r="N201" s="255"/>
      <c r="O201" s="255"/>
      <c r="P201" s="255"/>
      <c r="Q201" s="255"/>
      <c r="R201" s="255"/>
      <c r="S201" s="255"/>
      <c r="T201" s="255"/>
      <c r="U201" s="255"/>
      <c r="V201" s="333"/>
      <c r="W201" s="184"/>
      <c r="X201" s="269"/>
      <c r="Y201" s="269"/>
      <c r="Z201" s="269"/>
      <c r="AA201" s="269"/>
      <c r="AB201" s="269"/>
      <c r="AC201" s="269"/>
      <c r="AD201" s="269"/>
      <c r="AE201" s="269"/>
      <c r="AF201" s="269"/>
      <c r="AG201" s="269"/>
      <c r="AH201" s="269"/>
      <c r="AI201" s="269"/>
      <c r="AJ201" s="269"/>
      <c r="AK201" s="269"/>
      <c r="AL201" s="269"/>
      <c r="AM201" s="269"/>
      <c r="AN201" s="269"/>
      <c r="AO201" s="269"/>
      <c r="AP201" s="269"/>
      <c r="AQ201" s="269"/>
      <c r="AR201" s="269"/>
      <c r="AS201" s="269"/>
      <c r="AT201" s="269"/>
      <c r="AU201" s="269"/>
      <c r="AV201" s="269"/>
      <c r="AW201" s="269"/>
      <c r="AX201" s="269"/>
      <c r="AY201" s="269"/>
      <c r="AZ201" s="269"/>
      <c r="BA201" s="269"/>
      <c r="BB201" s="269"/>
      <c r="BC201" s="269"/>
      <c r="BD201" s="269"/>
      <c r="BE201" s="269"/>
      <c r="BF201" s="269"/>
      <c r="BG201" s="269"/>
      <c r="BH201" s="269"/>
      <c r="BI201" s="269"/>
      <c r="BJ201" s="269"/>
      <c r="BK201" s="269"/>
      <c r="BL201" s="269"/>
      <c r="BM201" s="269"/>
      <c r="BN201" s="269"/>
      <c r="BO201" s="269"/>
      <c r="BP201" s="269"/>
      <c r="BQ201" s="269"/>
      <c r="BR201" s="269"/>
      <c r="BS201" s="269"/>
      <c r="BT201" s="269"/>
      <c r="BU201" s="269"/>
      <c r="BV201" s="269"/>
      <c r="BW201" s="269"/>
      <c r="BX201" s="269"/>
      <c r="BY201" s="269"/>
      <c r="BZ201" s="269"/>
      <c r="CA201" s="269"/>
    </row>
    <row r="202" spans="1:79" x14ac:dyDescent="0.25">
      <c r="A202" s="333"/>
      <c r="B202" s="255"/>
      <c r="C202" s="255"/>
      <c r="D202" s="255"/>
      <c r="E202" s="255"/>
      <c r="F202" s="255"/>
      <c r="G202" s="255"/>
      <c r="H202" s="255"/>
      <c r="I202" s="255"/>
      <c r="J202" s="255"/>
      <c r="K202" s="255"/>
      <c r="L202" s="255"/>
      <c r="M202" s="255"/>
      <c r="N202" s="255"/>
      <c r="O202" s="255"/>
      <c r="P202" s="255"/>
      <c r="Q202" s="255"/>
      <c r="R202" s="255"/>
      <c r="S202" s="255"/>
      <c r="T202" s="255"/>
      <c r="U202" s="255"/>
      <c r="V202" s="333"/>
    </row>
    <row r="203" spans="1:79" ht="6" customHeight="1" x14ac:dyDescent="0.25">
      <c r="A203" s="333"/>
      <c r="B203" s="255"/>
      <c r="C203" s="255"/>
      <c r="D203" s="255"/>
      <c r="E203" s="255"/>
      <c r="F203" s="255"/>
      <c r="G203" s="255"/>
      <c r="H203" s="255"/>
      <c r="I203" s="255"/>
      <c r="J203" s="255"/>
      <c r="K203" s="255"/>
      <c r="L203" s="255"/>
      <c r="M203" s="255"/>
      <c r="N203" s="255"/>
      <c r="O203" s="255"/>
      <c r="P203" s="255"/>
      <c r="Q203" s="255"/>
      <c r="R203" s="255"/>
      <c r="S203" s="255"/>
      <c r="T203" s="255"/>
      <c r="U203" s="255"/>
      <c r="V203" s="333"/>
    </row>
    <row r="204" spans="1:79" x14ac:dyDescent="0.25">
      <c r="A204" s="333"/>
      <c r="B204" s="255"/>
      <c r="C204" s="255"/>
      <c r="D204" s="255"/>
      <c r="E204" s="255"/>
      <c r="F204" s="255"/>
      <c r="G204" s="255"/>
      <c r="H204" s="255"/>
      <c r="I204" s="255"/>
      <c r="J204" s="255"/>
      <c r="K204" s="255"/>
      <c r="L204" s="255"/>
      <c r="M204" s="255"/>
      <c r="N204" s="255"/>
      <c r="O204" s="255"/>
      <c r="P204" s="255"/>
      <c r="Q204" s="255"/>
      <c r="R204" s="255"/>
      <c r="S204" s="255"/>
      <c r="T204" s="255"/>
      <c r="U204" s="255"/>
      <c r="V204" s="333"/>
    </row>
    <row r="205" spans="1:79" x14ac:dyDescent="0.25">
      <c r="A205" s="333"/>
      <c r="B205" s="255"/>
      <c r="C205" s="255"/>
      <c r="D205" s="255"/>
      <c r="E205" s="255"/>
      <c r="F205" s="255"/>
      <c r="G205" s="255"/>
      <c r="H205" s="255"/>
      <c r="I205" s="255"/>
      <c r="J205" s="255"/>
      <c r="K205" s="255"/>
      <c r="L205" s="255"/>
      <c r="M205" s="255"/>
      <c r="N205" s="255"/>
      <c r="O205" s="255"/>
      <c r="P205" s="255"/>
      <c r="Q205" s="255"/>
      <c r="R205" s="255"/>
      <c r="S205" s="255"/>
      <c r="T205" s="255"/>
      <c r="U205" s="255"/>
      <c r="V205" s="333"/>
    </row>
    <row r="206" spans="1:79" x14ac:dyDescent="0.25">
      <c r="A206" s="333"/>
      <c r="B206" s="255"/>
      <c r="C206" s="255"/>
      <c r="D206" s="255"/>
      <c r="E206" s="255"/>
      <c r="F206" s="255"/>
      <c r="G206" s="255"/>
      <c r="H206" s="255"/>
      <c r="I206" s="255"/>
      <c r="J206" s="255"/>
      <c r="K206" s="255"/>
      <c r="L206" s="255"/>
      <c r="M206" s="349"/>
      <c r="N206" s="350"/>
      <c r="O206" s="350"/>
      <c r="P206" s="350"/>
      <c r="Q206" s="350"/>
      <c r="R206" s="350"/>
      <c r="S206" s="350"/>
      <c r="T206" s="351"/>
      <c r="U206" s="255"/>
      <c r="V206" s="333"/>
    </row>
    <row r="207" spans="1:79" ht="14.4" x14ac:dyDescent="0.3">
      <c r="A207" s="333"/>
      <c r="B207" s="255"/>
      <c r="C207" s="255"/>
      <c r="D207" s="255"/>
      <c r="E207" s="255"/>
      <c r="F207" s="255"/>
      <c r="G207" s="255"/>
      <c r="H207" s="255"/>
      <c r="I207" s="255"/>
      <c r="J207" s="255"/>
      <c r="K207" s="255"/>
      <c r="L207" s="255"/>
      <c r="M207" s="352" t="s">
        <v>252</v>
      </c>
      <c r="N207" s="347"/>
      <c r="O207" s="347"/>
      <c r="P207" s="347"/>
      <c r="Q207" s="353">
        <f>+MIN(BE86:BE109)</f>
        <v>0</v>
      </c>
      <c r="R207" s="347" t="s">
        <v>253</v>
      </c>
      <c r="S207" s="347"/>
      <c r="T207" s="354"/>
      <c r="U207" s="255"/>
      <c r="V207" s="333"/>
    </row>
    <row r="208" spans="1:79" x14ac:dyDescent="0.25">
      <c r="A208" s="333"/>
      <c r="B208" s="255"/>
      <c r="C208" s="255"/>
      <c r="D208" s="255"/>
      <c r="E208" s="255"/>
      <c r="F208" s="255"/>
      <c r="G208" s="255"/>
      <c r="H208" s="255"/>
      <c r="I208" s="255"/>
      <c r="J208" s="255"/>
      <c r="K208" s="255"/>
      <c r="L208" s="255"/>
      <c r="M208" s="355" t="s">
        <v>254</v>
      </c>
      <c r="N208" s="255"/>
      <c r="O208" s="255"/>
      <c r="P208" s="255"/>
      <c r="Q208" s="255"/>
      <c r="R208" s="255"/>
      <c r="S208" s="255"/>
      <c r="T208" s="354"/>
      <c r="U208" s="255"/>
      <c r="V208" s="333"/>
    </row>
    <row r="209" spans="1:22" x14ac:dyDescent="0.25">
      <c r="A209" s="333"/>
      <c r="B209" s="255"/>
      <c r="C209" s="255"/>
      <c r="D209" s="255"/>
      <c r="E209" s="255"/>
      <c r="F209" s="255"/>
      <c r="G209" s="255"/>
      <c r="H209" s="255"/>
      <c r="I209" s="255"/>
      <c r="J209" s="255"/>
      <c r="K209" s="255"/>
      <c r="L209" s="255"/>
      <c r="M209" s="355" t="s">
        <v>262</v>
      </c>
      <c r="N209" s="255"/>
      <c r="O209" s="255"/>
      <c r="P209" s="255"/>
      <c r="Q209" s="356" t="e">
        <f>+F187*Q207/G187</f>
        <v>#DIV/0!</v>
      </c>
      <c r="R209" s="255" t="s">
        <v>265</v>
      </c>
      <c r="S209" s="255"/>
      <c r="T209" s="354"/>
      <c r="U209" s="255"/>
      <c r="V209" s="333"/>
    </row>
    <row r="210" spans="1:22" x14ac:dyDescent="0.25">
      <c r="A210" s="333"/>
      <c r="B210" s="255"/>
      <c r="C210" s="255"/>
      <c r="D210" s="255"/>
      <c r="E210" s="255"/>
      <c r="F210" s="255"/>
      <c r="G210" s="255"/>
      <c r="H210" s="255"/>
      <c r="I210" s="255"/>
      <c r="J210" s="255"/>
      <c r="K210" s="255"/>
      <c r="L210" s="255"/>
      <c r="M210" s="357" t="s">
        <v>263</v>
      </c>
      <c r="N210" s="312"/>
      <c r="O210" s="312"/>
      <c r="P210" s="312"/>
      <c r="Q210" s="358" t="e">
        <f>+(G187-F187*Q207)/E187</f>
        <v>#DIV/0!</v>
      </c>
      <c r="R210" s="312"/>
      <c r="S210" s="312"/>
      <c r="T210" s="359"/>
      <c r="U210" s="255"/>
      <c r="V210" s="333"/>
    </row>
    <row r="211" spans="1:22" x14ac:dyDescent="0.25">
      <c r="A211" s="333"/>
      <c r="B211" s="255"/>
      <c r="C211" s="255"/>
      <c r="D211" s="255"/>
      <c r="E211" s="255"/>
      <c r="F211" s="255"/>
      <c r="G211" s="255"/>
      <c r="H211" s="255"/>
      <c r="I211" s="255"/>
      <c r="J211" s="255"/>
      <c r="K211" s="255"/>
      <c r="L211" s="255"/>
      <c r="M211" s="255"/>
      <c r="N211" s="255"/>
      <c r="O211" s="255"/>
      <c r="P211" s="255"/>
      <c r="Q211" s="255"/>
      <c r="R211" s="255"/>
      <c r="S211" s="255"/>
      <c r="T211" s="255"/>
      <c r="U211" s="255"/>
      <c r="V211" s="333"/>
    </row>
    <row r="212" spans="1:22" ht="23.4" x14ac:dyDescent="0.45">
      <c r="A212" s="333"/>
      <c r="B212" s="332"/>
      <c r="C212" s="332"/>
      <c r="D212" s="332"/>
      <c r="E212" s="332"/>
      <c r="F212" s="333"/>
      <c r="G212" s="332"/>
      <c r="H212" s="332"/>
      <c r="I212" s="332"/>
      <c r="J212" s="332"/>
      <c r="K212" s="332"/>
      <c r="L212" s="332"/>
      <c r="M212" s="332"/>
      <c r="N212" s="332"/>
      <c r="O212" s="332"/>
      <c r="P212" s="332"/>
      <c r="Q212" s="332"/>
      <c r="R212" s="332"/>
      <c r="S212" s="332"/>
      <c r="T212" s="332"/>
      <c r="U212" s="70"/>
      <c r="V212" s="333"/>
    </row>
    <row r="213" spans="1:22" ht="23.4" x14ac:dyDescent="0.45">
      <c r="A213" s="332"/>
    </row>
  </sheetData>
  <sheetProtection sheet="1" objects="1" scenarios="1" autoFilter="0" pivotTables="0"/>
  <mergeCells count="6">
    <mergeCell ref="P2:R2"/>
    <mergeCell ref="G24:G25"/>
    <mergeCell ref="H24:H25"/>
    <mergeCell ref="AG16:AG17"/>
    <mergeCell ref="X43:Y43"/>
    <mergeCell ref="S16:S17"/>
  </mergeCells>
  <phoneticPr fontId="21" type="noConversion"/>
  <conditionalFormatting sqref="F13">
    <cfRule type="expression" dxfId="13" priority="20">
      <formula>$F$13&lt;1</formula>
    </cfRule>
  </conditionalFormatting>
  <conditionalFormatting sqref="F19">
    <cfRule type="expression" dxfId="12" priority="84">
      <formula>$F$19&lt;1</formula>
    </cfRule>
  </conditionalFormatting>
  <conditionalFormatting sqref="F183">
    <cfRule type="cellIs" dxfId="11" priority="2" operator="lessThan">
      <formula>1</formula>
    </cfRule>
    <cfRule type="expression" dxfId="10" priority="3">
      <formula>$F$13&lt;1</formula>
    </cfRule>
  </conditionalFormatting>
  <conditionalFormatting sqref="H11:T11">
    <cfRule type="expression" dxfId="9" priority="108">
      <formula>$E$13&lt;168</formula>
    </cfRule>
  </conditionalFormatting>
  <conditionalFormatting sqref="I13:T13">
    <cfRule type="expression" dxfId="8" priority="106">
      <formula>$F$13&lt;&gt;1</formula>
    </cfRule>
  </conditionalFormatting>
  <conditionalFormatting sqref="L18:R41">
    <cfRule type="cellIs" dxfId="7" priority="7" operator="equal">
      <formula>0</formula>
    </cfRule>
  </conditionalFormatting>
  <conditionalFormatting sqref="M207:T210">
    <cfRule type="expression" dxfId="6" priority="1">
      <formula>$F$183&lt;1</formula>
    </cfRule>
  </conditionalFormatting>
  <conditionalFormatting sqref="S18:S41">
    <cfRule type="cellIs" dxfId="5" priority="4" operator="equal">
      <formula>0</formula>
    </cfRule>
  </conditionalFormatting>
  <conditionalFormatting sqref="X42:Y42">
    <cfRule type="cellIs" dxfId="4" priority="18" operator="equal">
      <formula>0</formula>
    </cfRule>
  </conditionalFormatting>
  <conditionalFormatting sqref="Z18:AF42">
    <cfRule type="cellIs" dxfId="3" priority="19" operator="equal">
      <formula>0</formula>
    </cfRule>
  </conditionalFormatting>
  <conditionalFormatting sqref="AG18:AG42">
    <cfRule type="cellIs" dxfId="2" priority="16" operator="equal">
      <formula>0</formula>
    </cfRule>
  </conditionalFormatting>
  <conditionalFormatting sqref="AP17:AP20">
    <cfRule type="expression" dxfId="1" priority="112">
      <formula>AP17&lt;1</formula>
    </cfRule>
    <cfRule type="expression" dxfId="0" priority="113">
      <formula>$F$13&lt;1</formula>
    </cfRule>
  </conditionalFormatting>
  <dataValidations count="2">
    <dataValidation type="date" allowBlank="1" showInputMessage="1" showErrorMessage="1" errorTitle="data fora de rang" error="cal indicar dates d'anàlisis dins el rang disponible" sqref="G16" xr:uid="{B585BE6A-5B04-4EBB-9C82-6709868397C4}">
      <formula1>E10</formula1>
      <formula2>G10</formula2>
    </dataValidation>
    <dataValidation type="date" allowBlank="1" showInputMessage="1" showErrorMessage="1" errorTitle="dates fora de rang" error="cal indicar dates dintre de les dades disponibles_x000a_" sqref="D26:E29" xr:uid="{261399FD-B1A1-4FC5-9782-6557683A1D05}">
      <formula1>$E$10</formula1>
      <formula2>$G$10</formula2>
    </dataValidation>
  </dataValidations>
  <pageMargins left="0.59055118110236227" right="0.19685039370078741" top="0.74803149606299213" bottom="0.74803149606299213" header="0.31496062992125984" footer="0.31496062992125984"/>
  <pageSetup paperSize="9" scale="43" fitToHeight="0" orientation="portrait" r:id="rId1"/>
  <headerFooter>
    <oddFooter>&amp;L&amp;A&amp;C&amp;P/&amp;N&amp;R&amp;F</oddFooter>
  </headerFooter>
  <rowBreaks count="3" manualBreakCount="3">
    <brk id="67" max="21" man="1"/>
    <brk id="123" max="21" man="1"/>
    <brk id="181" max="21" man="1"/>
  </rowBreaks>
  <ignoredErrors>
    <ignoredError sqref="L18" unlocked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1" id="{FEF1DE0C-6AED-4CD7-A98F-2E1F0549A541}">
            <x14:iconSet iconSet="3Symbols2" custom="1">
              <x14:cfvo type="percent">
                <xm:f>0</xm:f>
              </x14:cfvo>
              <x14:cfvo type="num">
                <xm:f>0.8</xm:f>
              </x14:cfvo>
              <x14:cfvo type="num">
                <xm:f>1.1000000000000001</xm:f>
              </x14:cfvo>
              <x14:cfIcon iconSet="3Flags" iconId="2"/>
              <x14:cfIcon iconSet="3Symbols2" iconId="2"/>
              <x14:cfIcon iconSet="3Symbols2" iconId="0"/>
            </x14:iconSet>
          </x14:cfRule>
          <xm:sqref>F153</xm:sqref>
        </x14:conditionalFormatting>
        <x14:conditionalFormatting xmlns:xm="http://schemas.microsoft.com/office/excel/2006/main">
          <x14:cfRule type="iconSet" priority="39" id="{9722B0EC-3647-45E7-B361-6C42C97E2646}">
            <x14:iconSet iconSet="3Symbols2" custom="1">
              <x14:cfvo type="percent">
                <xm:f>0</xm:f>
              </x14:cfvo>
              <x14:cfvo type="num" gte="0">
                <xm:f>0.2</xm:f>
              </x14:cfvo>
              <x14:cfvo type="num">
                <xm:f>0.5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G94</xm:sqref>
        </x14:conditionalFormatting>
        <x14:conditionalFormatting xmlns:xm="http://schemas.microsoft.com/office/excel/2006/main">
          <x14:cfRule type="iconSet" priority="14" id="{F9A6B8C2-0EA1-4D6B-9F9E-8EA733EA36B1}">
            <x14:iconSet iconSet="3Symbols2" custom="1">
              <x14:cfvo type="percent">
                <xm:f>0</xm:f>
              </x14:cfvo>
              <x14:cfvo type="num" gte="0">
                <xm:f>0.2</xm:f>
              </x14:cfvo>
              <x14:cfvo type="num" gte="0">
                <xm:f>0.5</xm:f>
              </x14:cfvo>
              <x14:cfIcon iconSet="3Symbols2" iconId="2"/>
              <x14:cfIcon iconSet="3Flags" iconId="2"/>
              <x14:cfIcon iconSet="3Symbols2" iconId="0"/>
            </x14:iconSet>
          </x14:cfRule>
          <xm:sqref>H89</xm:sqref>
        </x14:conditionalFormatting>
        <x14:conditionalFormatting xmlns:xm="http://schemas.microsoft.com/office/excel/2006/main">
          <x14:cfRule type="iconSet" priority="13" id="{420B924C-BF1C-4A17-AE31-BC934922CAEE}">
            <x14:iconSet iconSet="3Symbols2" custom="1">
              <x14:cfvo type="percent">
                <xm:f>0</xm:f>
              </x14:cfvo>
              <x14:cfvo type="num">
                <xm:f>0.8</xm:f>
              </x14:cfvo>
              <x14:cfvo type="num">
                <xm:f>1.1000000000000001</xm:f>
              </x14:cfvo>
              <x14:cfIcon iconSet="3Flags" iconId="2"/>
              <x14:cfIcon iconSet="3Symbols2" iconId="2"/>
              <x14:cfIcon iconSet="3Symbols2" iconId="0"/>
            </x14:iconSet>
          </x14:cfRule>
          <xm:sqref>H97</xm:sqref>
        </x14:conditionalFormatting>
        <x14:conditionalFormatting xmlns:xm="http://schemas.microsoft.com/office/excel/2006/main">
          <x14:cfRule type="iconSet" priority="8" id="{01FF682E-47D5-4CC7-AA44-BCC101A2E039}">
            <x14:iconSet iconSet="3Symbols2" custom="1">
              <x14:cfvo type="percent">
                <xm:f>0</xm:f>
              </x14:cfvo>
              <x14:cfvo type="num">
                <xm:f>0.8</xm:f>
              </x14:cfvo>
              <x14:cfvo type="num">
                <xm:f>1</xm:f>
              </x14:cfvo>
              <x14:cfIcon iconSet="3Flags" iconId="2"/>
              <x14:cfIcon iconSet="3Symbols2" iconId="2"/>
              <x14:cfIcon iconSet="3Symbols2" iconId="0"/>
            </x14:iconSet>
          </x14:cfRule>
          <xm:sqref>H99</xm:sqref>
        </x14:conditionalFormatting>
        <x14:conditionalFormatting xmlns:xm="http://schemas.microsoft.com/office/excel/2006/main">
          <x14:cfRule type="iconSet" priority="10" id="{71D9EAEC-A7E5-4567-A0EE-4D0FEA2AED5A}">
            <x14:iconSet iconSet="3Symbols2" custom="1">
              <x14:cfvo type="percent">
                <xm:f>0</xm:f>
              </x14:cfvo>
              <x14:cfvo type="num" gte="0">
                <xm:f>0.2</xm:f>
              </x14:cfvo>
              <x14:cfvo type="num" gte="0">
                <xm:f>0.5</xm:f>
              </x14:cfvo>
              <x14:cfIcon iconSet="3Symbols2" iconId="2"/>
              <x14:cfIcon iconSet="3Flags" iconId="2"/>
              <x14:cfIcon iconSet="3Symbols2" iconId="0"/>
            </x14:iconSet>
          </x14:cfRule>
          <xm:sqref>H144</xm:sqref>
        </x14:conditionalFormatting>
        <x14:conditionalFormatting xmlns:xm="http://schemas.microsoft.com/office/excel/2006/main">
          <x14:cfRule type="iconSet" priority="27" id="{40E9694D-8FF1-44E9-9437-190BA4286491}">
            <x14:iconSet iconSet="3Symbols2" custom="1">
              <x14:cfvo type="percent">
                <xm:f>0</xm:f>
              </x14:cfvo>
              <x14:cfvo type="num" gte="0">
                <xm:f>0.8</xm:f>
              </x14:cfvo>
              <x14:cfvo type="num">
                <xm:f>1.1000000000000001</xm:f>
              </x14:cfvo>
              <x14:cfIcon iconSet="3Flags" iconId="2"/>
              <x14:cfIcon iconSet="3Symbols2" iconId="2"/>
              <x14:cfIcon iconSet="3Symbols2" iconId="0"/>
            </x14:iconSet>
          </x14:cfRule>
          <xm:sqref>H152</xm:sqref>
        </x14:conditionalFormatting>
        <x14:conditionalFormatting xmlns:xm="http://schemas.microsoft.com/office/excel/2006/main">
          <x14:cfRule type="iconSet" priority="9" id="{DFB4BE04-E50A-408D-B7D1-F52A30120BCD}">
            <x14:iconSet iconSet="3Symbols2" custom="1">
              <x14:cfvo type="percent">
                <xm:f>0</xm:f>
              </x14:cfvo>
              <x14:cfvo type="num">
                <xm:f>0.8</xm:f>
              </x14:cfvo>
              <x14:cfvo type="num">
                <xm:f>1.1000000000000001</xm:f>
              </x14:cfvo>
              <x14:cfIcon iconSet="3Flags" iconId="2"/>
              <x14:cfIcon iconSet="3Symbols2" iconId="2"/>
              <x14:cfIcon iconSet="3Symbols2" iconId="0"/>
            </x14:iconSet>
          </x14:cfRule>
          <xm:sqref>H154</xm:sqref>
        </x14:conditionalFormatting>
        <x14:conditionalFormatting xmlns:xm="http://schemas.microsoft.com/office/excel/2006/main">
          <x14:cfRule type="iconSet" priority="50" id="{00000000-000E-0000-0600-000023000000}">
            <x14:iconSet iconSet="3Flags" custom="1">
              <x14:cfvo type="percent">
                <xm:f>0</xm:f>
              </x14:cfvo>
              <x14:cfvo type="percent" gte="0">
                <xm:f>20</xm:f>
              </x14:cfvo>
              <x14:cfvo type="percent" gte="0">
                <xm:f>50</xm:f>
              </x14:cfvo>
              <x14:cfIcon iconSet="3Symbols2" iconId="2"/>
              <x14:cfIcon iconSet="3Flags" iconId="2"/>
              <x14:cfIcon iconSet="3Symbols2" iconId="0"/>
            </x14:iconSet>
          </x14:cfRule>
          <xm:sqref>I26:I29</xm:sqref>
        </x14:conditionalFormatting>
        <x14:conditionalFormatting xmlns:xm="http://schemas.microsoft.com/office/excel/2006/main">
          <x14:cfRule type="iconSet" priority="12" id="{3EE8E2F8-0D65-4354-A56B-98E01CA28E40}">
            <x14:iconSet iconSet="3Symbols2" custom="1">
              <x14:cfvo type="percent">
                <xm:f>0</xm:f>
              </x14:cfvo>
              <x14:cfvo type="num" gte="0">
                <xm:f>0.2</xm:f>
              </x14:cfvo>
              <x14:cfvo type="num" gte="0">
                <xm:f>0.5</xm:f>
              </x14:cfvo>
              <x14:cfIcon iconSet="3Symbols2" iconId="2"/>
              <x14:cfIcon iconSet="3Flags" iconId="2"/>
              <x14:cfIcon iconSet="3Symbols2" iconId="0"/>
            </x14:iconSet>
          </x14:cfRule>
          <xm:sqref>I108:K108</xm:sqref>
        </x14:conditionalFormatting>
        <x14:conditionalFormatting xmlns:xm="http://schemas.microsoft.com/office/excel/2006/main">
          <x14:cfRule type="iconSet" priority="22" id="{D3DCEFCC-E87D-4E23-A923-1BC3AEC2EE4F}">
            <x14:iconSet iconSet="3Symbols2" custom="1">
              <x14:cfvo type="percent">
                <xm:f>0</xm:f>
              </x14:cfvo>
              <x14:cfvo type="num">
                <xm:f>0.8</xm:f>
              </x14:cfvo>
              <x14:cfvo type="num" gte="0">
                <xm:f>1.1000000000000001</xm:f>
              </x14:cfvo>
              <x14:cfIcon iconSet="3Flags" iconId="2"/>
              <x14:cfIcon iconSet="3Symbols2" iconId="2"/>
              <x14:cfIcon iconSet="3Symbols2" iconId="0"/>
            </x14:iconSet>
          </x14:cfRule>
          <xm:sqref>I117:K117</xm:sqref>
        </x14:conditionalFormatting>
        <x14:conditionalFormatting xmlns:xm="http://schemas.microsoft.com/office/excel/2006/main">
          <x14:cfRule type="iconSet" priority="5" id="{12D245F5-5886-4E85-92D5-906BD1EB26B3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NoIcons" iconId="0"/>
              <x14:cfIcon iconSet="3Symbols2" iconId="2"/>
              <x14:cfIcon iconSet="3Symbols2" iconId="2"/>
            </x14:iconSet>
          </x14:cfRule>
          <xm:sqref>L18:R41</xm:sqref>
        </x14:conditionalFormatting>
        <x14:conditionalFormatting xmlns:xm="http://schemas.microsoft.com/office/excel/2006/main">
          <x14:cfRule type="iconSet" priority="17" id="{136C9DF2-DE22-4FBD-AA2E-40965061B204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NoIcons" iconId="0"/>
              <x14:cfIcon iconSet="3Symbols2" iconId="2"/>
              <x14:cfIcon iconSet="3Symbols2" iconId="2"/>
            </x14:iconSet>
          </x14:cfRule>
          <xm:sqref>Z18:AF42</xm:sqref>
        </x14:conditionalFormatting>
        <x14:conditionalFormatting xmlns:xm="http://schemas.microsoft.com/office/excel/2006/main">
          <x14:cfRule type="iconSet" priority="71" id="{E02488C0-488E-4730-A454-26FEE7ACA8D4}">
            <x14:iconSet iconSet="3Symbols2" custom="1">
              <x14:cfvo type="percent">
                <xm:f>0</xm:f>
              </x14:cfvo>
              <x14:cfvo type="num">
                <xm:f>$BQ$111</xm:f>
              </x14:cfvo>
              <x14:cfvo type="num" gte="0">
                <xm:f>$BQ$111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BQ112</xm:sqref>
        </x14:conditionalFormatting>
        <x14:conditionalFormatting xmlns:xm="http://schemas.microsoft.com/office/excel/2006/main">
          <x14:cfRule type="iconSet" priority="117" id="{EB82972C-2F65-4243-9CDE-8DC1191DD968}">
            <x14:iconSet iconSet="3Symbols2" custom="1">
              <x14:cfvo type="percent">
                <xm:f>0</xm:f>
              </x14:cfvo>
              <x14:cfvo type="num">
                <xm:f>$BQ$111</xm:f>
              </x14:cfvo>
              <x14:cfvo type="num" gte="0">
                <xm:f>$BQ$111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BQ162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ED0AB-DEFC-4E2F-B0B0-42CA3A41A6EC}">
  <sheetPr codeName="Full5">
    <tabColor theme="8" tint="0.39997558519241921"/>
    <pageSetUpPr fitToPage="1"/>
  </sheetPr>
  <dimension ref="A1:NF402"/>
  <sheetViews>
    <sheetView zoomScale="70" zoomScaleNormal="70" zoomScaleSheetLayoutView="85" workbookViewId="0">
      <pane ySplit="4" topLeftCell="A5" activePane="bottomLeft" state="frozen"/>
      <selection activeCell="A3" sqref="A3"/>
      <selection pane="bottomLeft"/>
    </sheetView>
  </sheetViews>
  <sheetFormatPr defaultColWidth="8.88671875" defaultRowHeight="17.399999999999999" customHeight="1" x14ac:dyDescent="0.3"/>
  <cols>
    <col min="1" max="1" width="1.44140625" style="10" customWidth="1"/>
    <col min="2" max="2" width="20.5546875" style="10" bestFit="1" customWidth="1"/>
    <col min="3" max="3" width="15.5546875" style="383" bestFit="1" customWidth="1"/>
    <col min="4" max="4" width="16.5546875" style="10" customWidth="1"/>
    <col min="5" max="5" width="36.109375" style="10" bestFit="1" customWidth="1"/>
    <col min="6" max="20" width="10.88671875" style="10" bestFit="1" customWidth="1"/>
    <col min="21" max="21" width="2.109375" style="10" customWidth="1"/>
    <col min="22" max="368" width="10.88671875" style="10" bestFit="1" customWidth="1"/>
    <col min="369" max="369" width="11.88671875" style="10" bestFit="1" customWidth="1"/>
    <col min="370" max="370" width="12.88671875" style="10" bestFit="1" customWidth="1"/>
    <col min="371" max="735" width="10.88671875" style="10" bestFit="1" customWidth="1"/>
    <col min="736" max="736" width="15.5546875" style="10" bestFit="1" customWidth="1"/>
    <col min="737" max="737" width="12.88671875" style="10" bestFit="1" customWidth="1"/>
    <col min="738" max="1102" width="10.88671875" style="10" bestFit="1" customWidth="1"/>
    <col min="1103" max="1103" width="15.5546875" style="10" bestFit="1" customWidth="1"/>
    <col min="1104" max="1104" width="12.88671875" style="10" bestFit="1" customWidth="1"/>
    <col min="1105" max="1469" width="10.88671875" style="10" bestFit="1" customWidth="1"/>
    <col min="1470" max="1470" width="15.5546875" style="10" bestFit="1" customWidth="1"/>
    <col min="1471" max="1471" width="12.88671875" style="10" bestFit="1" customWidth="1"/>
    <col min="1472" max="1836" width="10.88671875" style="10" bestFit="1" customWidth="1"/>
    <col min="1837" max="1837" width="15.5546875" style="10" bestFit="1" customWidth="1"/>
    <col min="1838" max="1838" width="12.88671875" style="10" bestFit="1" customWidth="1"/>
    <col min="1839" max="2203" width="10.88671875" style="10" bestFit="1" customWidth="1"/>
    <col min="2204" max="2204" width="15.5546875" style="10" bestFit="1" customWidth="1"/>
    <col min="2205" max="2205" width="12.88671875" style="10" bestFit="1" customWidth="1"/>
    <col min="2206" max="2570" width="10.88671875" style="10" bestFit="1" customWidth="1"/>
    <col min="2571" max="2571" width="15.5546875" style="10" bestFit="1" customWidth="1"/>
    <col min="2572" max="2572" width="12.88671875" style="10" bestFit="1" customWidth="1"/>
    <col min="2573" max="2937" width="10.88671875" style="10" bestFit="1" customWidth="1"/>
    <col min="2938" max="2938" width="15.5546875" style="10" bestFit="1" customWidth="1"/>
    <col min="2939" max="2939" width="12.88671875" style="10" bestFit="1" customWidth="1"/>
    <col min="2940" max="3304" width="10.88671875" style="10" bestFit="1" customWidth="1"/>
    <col min="3305" max="3305" width="15.5546875" style="10" bestFit="1" customWidth="1"/>
    <col min="3306" max="3306" width="12.88671875" style="10" bestFit="1" customWidth="1"/>
    <col min="3307" max="3671" width="10.88671875" style="10" bestFit="1" customWidth="1"/>
    <col min="3672" max="3672" width="15.5546875" style="10" bestFit="1" customWidth="1"/>
    <col min="3673" max="3673" width="12.88671875" style="10" bestFit="1" customWidth="1"/>
    <col min="3674" max="4038" width="10.88671875" style="10" bestFit="1" customWidth="1"/>
    <col min="4039" max="4039" width="15.5546875" style="10" bestFit="1" customWidth="1"/>
    <col min="4040" max="4040" width="12.88671875" style="10" bestFit="1" customWidth="1"/>
    <col min="4041" max="4405" width="10.88671875" style="10" bestFit="1" customWidth="1"/>
    <col min="4406" max="4406" width="15.5546875" style="10" bestFit="1" customWidth="1"/>
    <col min="4407" max="4407" width="12.88671875" style="10" bestFit="1" customWidth="1"/>
    <col min="4408" max="4772" width="10.88671875" style="10" bestFit="1" customWidth="1"/>
    <col min="4773" max="4773" width="15.5546875" style="10" bestFit="1" customWidth="1"/>
    <col min="4774" max="4774" width="12.88671875" style="10" bestFit="1" customWidth="1"/>
    <col min="4775" max="5139" width="10.88671875" style="10" bestFit="1" customWidth="1"/>
    <col min="5140" max="5140" width="15.5546875" style="10" bestFit="1" customWidth="1"/>
    <col min="5141" max="5141" width="12.88671875" style="10" bestFit="1" customWidth="1"/>
    <col min="5142" max="5506" width="10.88671875" style="10" bestFit="1" customWidth="1"/>
    <col min="5507" max="5507" width="15.5546875" style="10" bestFit="1" customWidth="1"/>
    <col min="5508" max="5508" width="12.88671875" style="10" bestFit="1" customWidth="1"/>
    <col min="5509" max="5873" width="10.88671875" style="10" bestFit="1" customWidth="1"/>
    <col min="5874" max="5874" width="15.5546875" style="10" bestFit="1" customWidth="1"/>
    <col min="5875" max="5875" width="12.88671875" style="10" bestFit="1" customWidth="1"/>
    <col min="5876" max="6240" width="10.88671875" style="10" bestFit="1" customWidth="1"/>
    <col min="6241" max="6241" width="15.5546875" style="10" bestFit="1" customWidth="1"/>
    <col min="6242" max="6242" width="12.88671875" style="10" bestFit="1" customWidth="1"/>
    <col min="6243" max="6607" width="10.88671875" style="10" bestFit="1" customWidth="1"/>
    <col min="6608" max="6608" width="15.5546875" style="10" bestFit="1" customWidth="1"/>
    <col min="6609" max="6609" width="12.88671875" style="10" bestFit="1" customWidth="1"/>
    <col min="6610" max="6974" width="10.88671875" style="10" bestFit="1" customWidth="1"/>
    <col min="6975" max="6975" width="15.5546875" style="10" bestFit="1" customWidth="1"/>
    <col min="6976" max="6976" width="12.88671875" style="10" bestFit="1" customWidth="1"/>
    <col min="6977" max="7341" width="10.88671875" style="10" bestFit="1" customWidth="1"/>
    <col min="7342" max="7342" width="15.5546875" style="10" bestFit="1" customWidth="1"/>
    <col min="7343" max="7343" width="12.88671875" style="10" bestFit="1" customWidth="1"/>
    <col min="7344" max="7708" width="10.88671875" style="10" bestFit="1" customWidth="1"/>
    <col min="7709" max="7709" width="15.5546875" style="10" bestFit="1" customWidth="1"/>
    <col min="7710" max="7710" width="12.88671875" style="10" bestFit="1" customWidth="1"/>
    <col min="7711" max="8075" width="10.88671875" style="10" bestFit="1" customWidth="1"/>
    <col min="8076" max="8076" width="15.5546875" style="10" bestFit="1" customWidth="1"/>
    <col min="8077" max="8077" width="12.88671875" style="10" bestFit="1" customWidth="1"/>
    <col min="8078" max="8442" width="10.88671875" style="10" bestFit="1" customWidth="1"/>
    <col min="8443" max="8443" width="15.5546875" style="10" bestFit="1" customWidth="1"/>
    <col min="8444" max="8444" width="12.88671875" style="10" bestFit="1" customWidth="1"/>
    <col min="8445" max="8809" width="10.88671875" style="10" bestFit="1" customWidth="1"/>
    <col min="8810" max="8810" width="15.5546875" style="10" bestFit="1" customWidth="1"/>
    <col min="8811" max="8811" width="12.88671875" style="10" bestFit="1" customWidth="1"/>
    <col min="8812" max="9176" width="10.88671875" style="10" bestFit="1" customWidth="1"/>
    <col min="9177" max="9177" width="15.5546875" style="10" bestFit="1" customWidth="1"/>
    <col min="9178" max="9178" width="12.88671875" style="10" bestFit="1" customWidth="1"/>
    <col min="9179" max="9543" width="10.88671875" style="10" bestFit="1" customWidth="1"/>
    <col min="9544" max="9544" width="15.5546875" style="10" bestFit="1" customWidth="1"/>
    <col min="9545" max="9545" width="12.88671875" style="10" bestFit="1" customWidth="1"/>
    <col min="9546" max="9910" width="10.88671875" style="10" bestFit="1" customWidth="1"/>
    <col min="9911" max="9911" width="15.5546875" style="10" bestFit="1" customWidth="1"/>
    <col min="9912" max="9912" width="12.88671875" style="10" bestFit="1" customWidth="1"/>
    <col min="9913" max="10277" width="10.88671875" style="10" bestFit="1" customWidth="1"/>
    <col min="10278" max="10278" width="15.5546875" style="10" bestFit="1" customWidth="1"/>
    <col min="10279" max="10279" width="12.88671875" style="10" bestFit="1" customWidth="1"/>
    <col min="10280" max="10644" width="10.88671875" style="10" bestFit="1" customWidth="1"/>
    <col min="10645" max="10645" width="15.5546875" style="10" bestFit="1" customWidth="1"/>
    <col min="10646" max="10646" width="12.88671875" style="10" bestFit="1" customWidth="1"/>
    <col min="10647" max="11011" width="10.88671875" style="10" bestFit="1" customWidth="1"/>
    <col min="11012" max="11012" width="15.5546875" style="10" bestFit="1" customWidth="1"/>
    <col min="11013" max="11013" width="12.88671875" style="10" bestFit="1" customWidth="1"/>
    <col min="11014" max="11378" width="10.88671875" style="10" bestFit="1" customWidth="1"/>
    <col min="11379" max="11379" width="15.5546875" style="10" bestFit="1" customWidth="1"/>
    <col min="11380" max="11380" width="12.88671875" style="10" bestFit="1" customWidth="1"/>
    <col min="11381" max="11745" width="10.88671875" style="10" bestFit="1" customWidth="1"/>
    <col min="11746" max="11746" width="15.5546875" style="10" bestFit="1" customWidth="1"/>
    <col min="11747" max="11747" width="12.88671875" style="10" bestFit="1" customWidth="1"/>
    <col min="11748" max="12112" width="10.88671875" style="10" bestFit="1" customWidth="1"/>
    <col min="12113" max="12113" width="15.5546875" style="10" bestFit="1" customWidth="1"/>
    <col min="12114" max="12114" width="12.88671875" style="10" bestFit="1" customWidth="1"/>
    <col min="12115" max="12479" width="10.88671875" style="10" bestFit="1" customWidth="1"/>
    <col min="12480" max="12480" width="15.5546875" style="10" bestFit="1" customWidth="1"/>
    <col min="12481" max="12481" width="12.88671875" style="10" bestFit="1" customWidth="1"/>
    <col min="12482" max="12846" width="10.88671875" style="10" bestFit="1" customWidth="1"/>
    <col min="12847" max="12847" width="15.5546875" style="10" bestFit="1" customWidth="1"/>
    <col min="12848" max="12848" width="12.88671875" style="10" bestFit="1" customWidth="1"/>
    <col min="12849" max="13213" width="10.88671875" style="10" bestFit="1" customWidth="1"/>
    <col min="13214" max="13214" width="15.5546875" style="10" bestFit="1" customWidth="1"/>
    <col min="13215" max="13215" width="12.88671875" style="10" bestFit="1" customWidth="1"/>
    <col min="13216" max="13580" width="10.88671875" style="10" bestFit="1" customWidth="1"/>
    <col min="13581" max="13581" width="15.5546875" style="10" bestFit="1" customWidth="1"/>
    <col min="13582" max="13582" width="12.88671875" style="10" bestFit="1" customWidth="1"/>
    <col min="13583" max="13947" width="10.88671875" style="10" bestFit="1" customWidth="1"/>
    <col min="13948" max="13948" width="15.5546875" style="10" bestFit="1" customWidth="1"/>
    <col min="13949" max="13949" width="12.88671875" style="10" bestFit="1" customWidth="1"/>
    <col min="13950" max="14314" width="10.88671875" style="10" bestFit="1" customWidth="1"/>
    <col min="14315" max="14315" width="15.5546875" style="10" bestFit="1" customWidth="1"/>
    <col min="14316" max="14316" width="12.88671875" style="10" bestFit="1" customWidth="1"/>
    <col min="14317" max="14681" width="10.88671875" style="10" bestFit="1" customWidth="1"/>
    <col min="14682" max="14682" width="15.5546875" style="10" bestFit="1" customWidth="1"/>
    <col min="14683" max="14683" width="12.88671875" style="10" bestFit="1" customWidth="1"/>
    <col min="14684" max="15048" width="10.88671875" style="10" bestFit="1" customWidth="1"/>
    <col min="15049" max="15049" width="15.5546875" style="10" bestFit="1" customWidth="1"/>
    <col min="15050" max="15050" width="12.88671875" style="10" bestFit="1" customWidth="1"/>
    <col min="15051" max="15415" width="10.88671875" style="10" bestFit="1" customWidth="1"/>
    <col min="15416" max="15416" width="15.5546875" style="10" bestFit="1" customWidth="1"/>
    <col min="15417" max="15417" width="12.88671875" style="10" bestFit="1" customWidth="1"/>
    <col min="15418" max="15782" width="10.88671875" style="10" bestFit="1" customWidth="1"/>
    <col min="15783" max="15783" width="15.5546875" style="10" bestFit="1" customWidth="1"/>
    <col min="15784" max="15784" width="12.88671875" style="10" bestFit="1" customWidth="1"/>
    <col min="15785" max="16149" width="10.88671875" style="10" bestFit="1" customWidth="1"/>
    <col min="16150" max="16150" width="15.5546875" style="10" bestFit="1" customWidth="1"/>
    <col min="16151" max="16151" width="12.88671875" style="10" bestFit="1" customWidth="1"/>
    <col min="16152" max="16384" width="10.88671875" style="10" bestFit="1" customWidth="1"/>
  </cols>
  <sheetData>
    <row r="1" spans="1:370" ht="28.65" customHeight="1" x14ac:dyDescent="0.5">
      <c r="A1" s="61"/>
      <c r="B1" s="66" t="s">
        <v>62</v>
      </c>
      <c r="C1" s="378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2"/>
      <c r="W1" s="62"/>
      <c r="X1" s="62"/>
      <c r="Y1" s="62"/>
      <c r="Z1" s="62"/>
      <c r="AA1" s="62"/>
      <c r="AB1" s="62"/>
      <c r="AC1" s="62"/>
    </row>
    <row r="2" spans="1:370" ht="20.399999999999999" customHeight="1" x14ac:dyDescent="0.45">
      <c r="A2" s="63"/>
      <c r="B2" s="261" t="s">
        <v>63</v>
      </c>
      <c r="C2" s="379" t="str">
        <f>+'Introducció dades generals'!E7&amp;" - "&amp;'Introducció dades generals'!E5</f>
        <v xml:space="preserve"> - </v>
      </c>
      <c r="D2" s="64"/>
      <c r="E2" s="64"/>
      <c r="F2" s="64"/>
      <c r="G2" s="64"/>
      <c r="H2" s="64"/>
      <c r="I2" s="261"/>
      <c r="J2" s="261"/>
      <c r="K2" s="64"/>
      <c r="L2" s="64"/>
      <c r="M2" s="64"/>
      <c r="N2" s="64"/>
      <c r="O2" s="65"/>
      <c r="P2" s="65"/>
      <c r="Q2" s="64"/>
      <c r="R2" s="64"/>
      <c r="S2" s="64"/>
      <c r="T2" s="64"/>
      <c r="U2" s="64"/>
      <c r="V2" s="62"/>
      <c r="W2" s="62"/>
      <c r="X2" s="62"/>
      <c r="Y2" s="62"/>
      <c r="Z2" s="62"/>
      <c r="AA2" s="62"/>
      <c r="AB2" s="62"/>
      <c r="AC2" s="62"/>
    </row>
    <row r="3" spans="1:370" ht="17.399999999999999" customHeight="1" x14ac:dyDescent="0.45">
      <c r="A3" s="44"/>
      <c r="B3" s="262"/>
      <c r="C3" s="380"/>
      <c r="D3" s="70"/>
      <c r="E3" s="70"/>
      <c r="F3" s="70"/>
      <c r="G3" s="70"/>
      <c r="H3" s="70"/>
      <c r="I3" s="262"/>
      <c r="J3" s="262"/>
      <c r="K3" s="70"/>
      <c r="L3" s="70"/>
      <c r="M3" s="70"/>
      <c r="N3" s="70"/>
      <c r="O3" s="71"/>
      <c r="P3" s="71"/>
      <c r="Q3" s="70"/>
      <c r="R3" s="70"/>
      <c r="S3" s="70"/>
      <c r="T3" s="70"/>
      <c r="U3" s="44"/>
      <c r="V3" s="62"/>
      <c r="W3" s="62"/>
      <c r="X3" s="62"/>
      <c r="Y3" s="62"/>
      <c r="Z3" s="62"/>
      <c r="AA3" s="62"/>
      <c r="AB3" s="62"/>
      <c r="AC3" s="62"/>
    </row>
    <row r="4" spans="1:370" s="245" customFormat="1" ht="14.4" x14ac:dyDescent="0.3">
      <c r="A4" s="376"/>
      <c r="B4" s="377" t="s">
        <v>64</v>
      </c>
      <c r="C4" s="414" t="s">
        <v>272</v>
      </c>
      <c r="D4"/>
      <c r="U4" s="376"/>
      <c r="V4" s="326"/>
      <c r="W4" s="326"/>
      <c r="X4" s="326"/>
      <c r="Y4" s="326"/>
      <c r="Z4" s="326"/>
      <c r="AA4" s="326"/>
      <c r="AB4" s="326"/>
      <c r="AC4" s="326"/>
      <c r="AD4" s="326"/>
      <c r="AE4" s="326"/>
      <c r="AF4" s="326"/>
      <c r="AG4" s="326"/>
      <c r="AH4" s="326"/>
      <c r="AI4" s="326"/>
      <c r="AJ4" s="326"/>
      <c r="AK4" s="326"/>
      <c r="AL4" s="326"/>
      <c r="AM4" s="326"/>
      <c r="AN4" s="326"/>
      <c r="AO4" s="326"/>
      <c r="AP4" s="326"/>
      <c r="AQ4" s="326"/>
      <c r="AR4" s="326"/>
      <c r="AS4" s="326"/>
      <c r="AT4" s="326"/>
      <c r="AU4" s="326"/>
      <c r="AV4" s="326"/>
      <c r="AW4" s="326"/>
      <c r="AX4" s="326"/>
      <c r="AY4" s="326"/>
      <c r="AZ4" s="326"/>
    </row>
    <row r="5" spans="1:370" customFormat="1" ht="14.4" x14ac:dyDescent="0.3">
      <c r="A5" s="44"/>
      <c r="B5" s="69">
        <v>45292</v>
      </c>
      <c r="C5" s="381">
        <v>107</v>
      </c>
      <c r="U5" s="44"/>
      <c r="V5" s="249" t="s">
        <v>264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</row>
    <row r="6" spans="1:370" customFormat="1" ht="14.4" x14ac:dyDescent="0.3">
      <c r="A6" s="44"/>
      <c r="B6" s="69">
        <v>45293</v>
      </c>
      <c r="C6" s="381">
        <v>1002</v>
      </c>
      <c r="U6" s="44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</row>
    <row r="7" spans="1:370" customFormat="1" ht="14.4" x14ac:dyDescent="0.3">
      <c r="A7" s="44"/>
      <c r="B7" s="69">
        <v>45294</v>
      </c>
      <c r="C7" s="381">
        <v>817</v>
      </c>
      <c r="U7" s="44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</row>
    <row r="8" spans="1:370" ht="14.4" x14ac:dyDescent="0.3">
      <c r="A8" s="44"/>
      <c r="B8" s="69">
        <v>45295</v>
      </c>
      <c r="C8" s="381">
        <v>760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 s="44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</row>
    <row r="9" spans="1:370" ht="14.4" x14ac:dyDescent="0.3">
      <c r="A9" s="44"/>
      <c r="B9" s="69">
        <v>45296</v>
      </c>
      <c r="C9" s="381">
        <v>599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 s="44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</row>
    <row r="10" spans="1:370" ht="14.4" x14ac:dyDescent="0.3">
      <c r="A10" s="44"/>
      <c r="B10" s="69">
        <v>45297</v>
      </c>
      <c r="C10" s="381">
        <v>254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 s="44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</row>
    <row r="11" spans="1:370" ht="14.4" x14ac:dyDescent="0.3">
      <c r="A11" s="44"/>
      <c r="B11" s="69">
        <v>45298</v>
      </c>
      <c r="C11" s="381">
        <v>445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 s="44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</row>
    <row r="12" spans="1:370" ht="14.4" x14ac:dyDescent="0.3">
      <c r="A12" s="44"/>
      <c r="B12" s="69">
        <v>45299</v>
      </c>
      <c r="C12" s="381">
        <v>965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 s="44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</row>
    <row r="13" spans="1:370" ht="14.4" x14ac:dyDescent="0.3">
      <c r="A13" s="44"/>
      <c r="B13" s="69">
        <v>45300</v>
      </c>
      <c r="C13" s="381">
        <v>973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 s="44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</row>
    <row r="14" spans="1:370" ht="14.4" x14ac:dyDescent="0.3">
      <c r="A14" s="44"/>
      <c r="B14" s="69">
        <v>45301</v>
      </c>
      <c r="C14" s="381">
        <v>922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 s="4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</row>
    <row r="15" spans="1:370" ht="14.4" x14ac:dyDescent="0.3">
      <c r="A15" s="44"/>
      <c r="B15" s="69">
        <v>45302</v>
      </c>
      <c r="C15" s="381">
        <v>890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 s="44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</row>
    <row r="16" spans="1:370" ht="14.4" x14ac:dyDescent="0.3">
      <c r="A16" s="44"/>
      <c r="B16" s="69">
        <v>45303</v>
      </c>
      <c r="C16" s="381">
        <v>864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 s="44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</row>
    <row r="17" spans="1:370" ht="14.4" x14ac:dyDescent="0.3">
      <c r="A17" s="44"/>
      <c r="B17" s="69">
        <v>45304</v>
      </c>
      <c r="C17" s="381">
        <v>718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 s="44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</row>
    <row r="18" spans="1:370" ht="14.4" x14ac:dyDescent="0.3">
      <c r="A18" s="44"/>
      <c r="B18" s="69">
        <v>45305</v>
      </c>
      <c r="C18" s="381">
        <v>378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 s="44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</row>
    <row r="19" spans="1:370" ht="14.4" x14ac:dyDescent="0.3">
      <c r="A19" s="44"/>
      <c r="B19" s="69">
        <v>45306</v>
      </c>
      <c r="C19" s="381">
        <v>754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 s="44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</row>
    <row r="20" spans="1:370" ht="14.4" x14ac:dyDescent="0.3">
      <c r="A20" s="44"/>
      <c r="B20" s="69">
        <v>45307</v>
      </c>
      <c r="C20" s="381">
        <v>662</v>
      </c>
      <c r="D20"/>
      <c r="E20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44"/>
    </row>
    <row r="21" spans="1:370" ht="14.4" x14ac:dyDescent="0.3">
      <c r="A21" s="44"/>
      <c r="B21" s="69">
        <v>45308</v>
      </c>
      <c r="C21" s="381">
        <v>569</v>
      </c>
      <c r="D21"/>
      <c r="E21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44"/>
    </row>
    <row r="22" spans="1:370" ht="14.4" x14ac:dyDescent="0.3">
      <c r="A22" s="44"/>
      <c r="B22" s="69">
        <v>45309</v>
      </c>
      <c r="C22" s="381">
        <v>412</v>
      </c>
      <c r="D22"/>
      <c r="E22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44"/>
    </row>
    <row r="23" spans="1:370" ht="14.4" x14ac:dyDescent="0.3">
      <c r="A23" s="44"/>
      <c r="B23" s="69">
        <v>45310</v>
      </c>
      <c r="C23" s="381">
        <v>601</v>
      </c>
      <c r="D23"/>
      <c r="E23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44"/>
      <c r="V23" s="249" t="s">
        <v>65</v>
      </c>
    </row>
    <row r="24" spans="1:370" ht="14.4" x14ac:dyDescent="0.3">
      <c r="A24" s="44"/>
      <c r="B24" s="69">
        <v>45311</v>
      </c>
      <c r="C24" s="381">
        <v>556</v>
      </c>
      <c r="D24"/>
      <c r="E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44"/>
    </row>
    <row r="25" spans="1:370" ht="14.4" x14ac:dyDescent="0.3">
      <c r="A25" s="44"/>
      <c r="B25" s="69">
        <v>45312</v>
      </c>
      <c r="C25" s="381">
        <v>342</v>
      </c>
      <c r="D25"/>
      <c r="E25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44"/>
    </row>
    <row r="26" spans="1:370" ht="14.4" x14ac:dyDescent="0.3">
      <c r="A26" s="44"/>
      <c r="B26" s="69">
        <v>45313</v>
      </c>
      <c r="C26" s="381">
        <v>570</v>
      </c>
      <c r="D26"/>
      <c r="E26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44"/>
    </row>
    <row r="27" spans="1:370" ht="14.4" x14ac:dyDescent="0.3">
      <c r="A27" s="44"/>
      <c r="B27" s="69">
        <v>45314</v>
      </c>
      <c r="C27" s="381">
        <v>630</v>
      </c>
      <c r="D27"/>
      <c r="E27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44"/>
    </row>
    <row r="28" spans="1:370" ht="14.4" x14ac:dyDescent="0.3">
      <c r="A28" s="44"/>
      <c r="B28" s="69">
        <v>45315</v>
      </c>
      <c r="C28" s="381">
        <v>597</v>
      </c>
      <c r="D28"/>
      <c r="E28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44"/>
    </row>
    <row r="29" spans="1:370" ht="14.4" x14ac:dyDescent="0.3">
      <c r="A29" s="44"/>
      <c r="B29" s="69">
        <v>45316</v>
      </c>
      <c r="C29" s="381">
        <v>539</v>
      </c>
      <c r="D29"/>
      <c r="E29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44"/>
    </row>
    <row r="30" spans="1:370" ht="14.4" x14ac:dyDescent="0.3">
      <c r="A30" s="44"/>
      <c r="B30" s="69">
        <v>45317</v>
      </c>
      <c r="C30" s="381">
        <v>867</v>
      </c>
      <c r="D30"/>
      <c r="E30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44"/>
    </row>
    <row r="31" spans="1:370" ht="14.4" x14ac:dyDescent="0.3">
      <c r="A31" s="44"/>
      <c r="B31" s="69">
        <v>45318</v>
      </c>
      <c r="C31" s="381">
        <v>772</v>
      </c>
      <c r="D31"/>
      <c r="E31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44"/>
    </row>
    <row r="32" spans="1:370" ht="14.4" x14ac:dyDescent="0.3">
      <c r="A32" s="44"/>
      <c r="B32" s="69">
        <v>45319</v>
      </c>
      <c r="C32" s="381">
        <v>593</v>
      </c>
      <c r="D32"/>
      <c r="E32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44"/>
    </row>
    <row r="33" spans="1:21" ht="14.4" x14ac:dyDescent="0.3">
      <c r="A33" s="44"/>
      <c r="B33" s="69">
        <v>45320</v>
      </c>
      <c r="C33" s="381">
        <v>756</v>
      </c>
      <c r="D33"/>
      <c r="E33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44"/>
    </row>
    <row r="34" spans="1:21" ht="14.4" x14ac:dyDescent="0.3">
      <c r="A34" s="44"/>
      <c r="B34" s="69">
        <v>45321</v>
      </c>
      <c r="C34" s="381">
        <v>814</v>
      </c>
      <c r="D34"/>
      <c r="E3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44"/>
    </row>
    <row r="35" spans="1:21" ht="14.4" x14ac:dyDescent="0.3">
      <c r="A35" s="44"/>
      <c r="B35" s="69">
        <v>45322</v>
      </c>
      <c r="C35" s="381">
        <v>689</v>
      </c>
      <c r="D35"/>
      <c r="E35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44"/>
    </row>
    <row r="36" spans="1:21" ht="14.4" x14ac:dyDescent="0.3">
      <c r="A36" s="44"/>
      <c r="B36" s="69">
        <v>45323</v>
      </c>
      <c r="C36" s="381">
        <v>773</v>
      </c>
      <c r="D36"/>
      <c r="E36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44"/>
    </row>
    <row r="37" spans="1:21" ht="14.4" x14ac:dyDescent="0.3">
      <c r="A37" s="44"/>
      <c r="B37" s="69">
        <v>45324</v>
      </c>
      <c r="C37" s="381">
        <v>668</v>
      </c>
      <c r="D37"/>
      <c r="E37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44"/>
    </row>
    <row r="38" spans="1:21" ht="14.4" x14ac:dyDescent="0.3">
      <c r="A38" s="44"/>
      <c r="B38" s="69">
        <v>45325</v>
      </c>
      <c r="C38" s="381">
        <v>365</v>
      </c>
      <c r="D38"/>
      <c r="E38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44"/>
    </row>
    <row r="39" spans="1:21" ht="14.4" x14ac:dyDescent="0.3">
      <c r="A39" s="44"/>
      <c r="B39" s="69">
        <v>45326</v>
      </c>
      <c r="C39" s="381">
        <v>341</v>
      </c>
      <c r="D39"/>
      <c r="E39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44"/>
    </row>
    <row r="40" spans="1:21" ht="14.4" x14ac:dyDescent="0.3">
      <c r="A40" s="44"/>
      <c r="B40" s="69">
        <v>45327</v>
      </c>
      <c r="C40" s="381">
        <v>631</v>
      </c>
      <c r="D40"/>
      <c r="E40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44"/>
    </row>
    <row r="41" spans="1:21" ht="14.4" x14ac:dyDescent="0.3">
      <c r="A41" s="44"/>
      <c r="B41" s="69">
        <v>45328</v>
      </c>
      <c r="C41" s="381">
        <v>760</v>
      </c>
      <c r="D41"/>
      <c r="E41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44"/>
    </row>
    <row r="42" spans="1:21" ht="14.4" x14ac:dyDescent="0.3">
      <c r="A42" s="44"/>
      <c r="B42" s="69">
        <v>45329</v>
      </c>
      <c r="C42" s="381">
        <v>634</v>
      </c>
      <c r="D42"/>
      <c r="E42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44"/>
    </row>
    <row r="43" spans="1:21" ht="14.4" x14ac:dyDescent="0.3">
      <c r="A43" s="44"/>
      <c r="B43" s="69">
        <v>45330</v>
      </c>
      <c r="C43" s="381">
        <v>660</v>
      </c>
      <c r="D43"/>
      <c r="E43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44"/>
    </row>
    <row r="44" spans="1:21" ht="14.4" x14ac:dyDescent="0.3">
      <c r="A44" s="44"/>
      <c r="B44" s="69">
        <v>45331</v>
      </c>
      <c r="C44" s="381">
        <v>535</v>
      </c>
      <c r="D44"/>
      <c r="E4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44"/>
    </row>
    <row r="45" spans="1:21" ht="14.4" x14ac:dyDescent="0.3">
      <c r="A45" s="44"/>
      <c r="B45" s="69">
        <v>45332</v>
      </c>
      <c r="C45" s="381">
        <v>462</v>
      </c>
      <c r="D45"/>
      <c r="E45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44"/>
    </row>
    <row r="46" spans="1:21" ht="14.4" x14ac:dyDescent="0.3">
      <c r="A46" s="44"/>
      <c r="B46" s="69">
        <v>45333</v>
      </c>
      <c r="C46" s="381">
        <v>262</v>
      </c>
      <c r="D46"/>
      <c r="E46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44"/>
    </row>
    <row r="47" spans="1:21" ht="14.4" x14ac:dyDescent="0.3">
      <c r="A47" s="44"/>
      <c r="B47" s="69">
        <v>45334</v>
      </c>
      <c r="C47" s="381">
        <v>595</v>
      </c>
      <c r="D47"/>
      <c r="E47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44"/>
    </row>
    <row r="48" spans="1:21" ht="14.4" x14ac:dyDescent="0.3">
      <c r="A48" s="44"/>
      <c r="B48" s="69">
        <v>45335</v>
      </c>
      <c r="C48" s="381">
        <v>645</v>
      </c>
      <c r="D48"/>
      <c r="E48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44"/>
    </row>
    <row r="49" spans="1:21" ht="14.4" x14ac:dyDescent="0.3">
      <c r="A49" s="44"/>
      <c r="B49" s="69">
        <v>45336</v>
      </c>
      <c r="C49" s="381">
        <v>468</v>
      </c>
      <c r="D49"/>
      <c r="E49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44"/>
    </row>
    <row r="50" spans="1:21" ht="14.4" x14ac:dyDescent="0.3">
      <c r="A50" s="44"/>
      <c r="B50" s="69">
        <v>45337</v>
      </c>
      <c r="C50" s="381">
        <v>575</v>
      </c>
      <c r="D50"/>
      <c r="E50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44"/>
    </row>
    <row r="51" spans="1:21" ht="14.4" x14ac:dyDescent="0.3">
      <c r="A51" s="44"/>
      <c r="B51" s="69">
        <v>45338</v>
      </c>
      <c r="C51" s="381">
        <v>521</v>
      </c>
      <c r="D51"/>
      <c r="E51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44"/>
    </row>
    <row r="52" spans="1:21" ht="14.4" x14ac:dyDescent="0.3">
      <c r="A52" s="44"/>
      <c r="B52" s="69">
        <v>45339</v>
      </c>
      <c r="C52" s="381">
        <v>335</v>
      </c>
      <c r="D52"/>
      <c r="E52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44"/>
    </row>
    <row r="53" spans="1:21" ht="14.4" x14ac:dyDescent="0.3">
      <c r="A53" s="44"/>
      <c r="B53" s="69">
        <v>45340</v>
      </c>
      <c r="C53" s="381">
        <v>197</v>
      </c>
      <c r="D53"/>
      <c r="E53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44"/>
    </row>
    <row r="54" spans="1:21" ht="14.4" x14ac:dyDescent="0.3">
      <c r="A54" s="44"/>
      <c r="B54" s="69">
        <v>45341</v>
      </c>
      <c r="C54" s="381">
        <v>553</v>
      </c>
      <c r="D54"/>
      <c r="E5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44"/>
    </row>
    <row r="55" spans="1:21" ht="14.4" x14ac:dyDescent="0.3">
      <c r="A55" s="44"/>
      <c r="B55" s="69">
        <v>45342</v>
      </c>
      <c r="C55" s="381">
        <v>623</v>
      </c>
      <c r="D55"/>
      <c r="E55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44"/>
    </row>
    <row r="56" spans="1:21" ht="14.4" x14ac:dyDescent="0.3">
      <c r="A56" s="44"/>
      <c r="B56" s="69">
        <v>45343</v>
      </c>
      <c r="C56" s="381">
        <v>582</v>
      </c>
      <c r="D56"/>
      <c r="E56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44"/>
    </row>
    <row r="57" spans="1:21" ht="14.4" x14ac:dyDescent="0.3">
      <c r="A57" s="44"/>
      <c r="B57" s="69">
        <v>45344</v>
      </c>
      <c r="C57" s="381">
        <v>568</v>
      </c>
      <c r="D57"/>
      <c r="E57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44"/>
    </row>
    <row r="58" spans="1:21" ht="14.4" x14ac:dyDescent="0.3">
      <c r="A58" s="44"/>
      <c r="B58" s="69">
        <v>45345</v>
      </c>
      <c r="C58" s="381">
        <v>564</v>
      </c>
      <c r="D58"/>
      <c r="E58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44"/>
    </row>
    <row r="59" spans="1:21" ht="14.4" x14ac:dyDescent="0.3">
      <c r="A59" s="44"/>
      <c r="B59" s="69">
        <v>45346</v>
      </c>
      <c r="C59" s="381">
        <v>445</v>
      </c>
      <c r="D59"/>
      <c r="E59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44"/>
    </row>
    <row r="60" spans="1:21" ht="14.4" x14ac:dyDescent="0.3">
      <c r="A60" s="44"/>
      <c r="B60" s="69">
        <v>45347</v>
      </c>
      <c r="C60" s="381">
        <v>228</v>
      </c>
      <c r="D60"/>
      <c r="E60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44"/>
    </row>
    <row r="61" spans="1:21" ht="14.4" x14ac:dyDescent="0.3">
      <c r="A61" s="44"/>
      <c r="B61" s="69">
        <v>45348</v>
      </c>
      <c r="C61" s="381">
        <v>549</v>
      </c>
      <c r="D61"/>
      <c r="E61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44"/>
    </row>
    <row r="62" spans="1:21" ht="14.4" x14ac:dyDescent="0.3">
      <c r="A62" s="44"/>
      <c r="B62" s="69">
        <v>45349</v>
      </c>
      <c r="C62" s="381">
        <v>702</v>
      </c>
      <c r="D62"/>
      <c r="E62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44"/>
    </row>
    <row r="63" spans="1:21" ht="14.4" x14ac:dyDescent="0.3">
      <c r="A63" s="44"/>
      <c r="B63" s="69">
        <v>45350</v>
      </c>
      <c r="C63" s="381">
        <v>471</v>
      </c>
      <c r="D63"/>
      <c r="E63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44"/>
    </row>
    <row r="64" spans="1:21" ht="14.4" x14ac:dyDescent="0.3">
      <c r="A64" s="44"/>
      <c r="B64" s="69">
        <v>45352</v>
      </c>
      <c r="C64" s="381">
        <v>480</v>
      </c>
      <c r="D64"/>
      <c r="E6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44"/>
    </row>
    <row r="65" spans="1:21" ht="14.4" x14ac:dyDescent="0.3">
      <c r="A65" s="44"/>
      <c r="B65" s="69">
        <v>45353</v>
      </c>
      <c r="C65" s="381">
        <v>318</v>
      </c>
      <c r="D65"/>
      <c r="E65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44"/>
    </row>
    <row r="66" spans="1:21" ht="14.4" x14ac:dyDescent="0.3">
      <c r="A66" s="44"/>
      <c r="B66" s="69">
        <v>45354</v>
      </c>
      <c r="C66" s="381">
        <v>183</v>
      </c>
      <c r="D66"/>
      <c r="E66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44"/>
    </row>
    <row r="67" spans="1:21" ht="14.4" x14ac:dyDescent="0.3">
      <c r="A67" s="44"/>
      <c r="B67" s="69">
        <v>45355</v>
      </c>
      <c r="C67" s="381">
        <v>608</v>
      </c>
      <c r="D67"/>
      <c r="E67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44"/>
    </row>
    <row r="68" spans="1:21" ht="14.4" x14ac:dyDescent="0.3">
      <c r="A68" s="44"/>
      <c r="B68" s="69">
        <v>45356</v>
      </c>
      <c r="C68" s="381">
        <v>653</v>
      </c>
      <c r="D68"/>
      <c r="E68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44"/>
    </row>
    <row r="69" spans="1:21" ht="14.4" x14ac:dyDescent="0.3">
      <c r="A69" s="44"/>
      <c r="B69" s="69">
        <v>45357</v>
      </c>
      <c r="C69" s="381">
        <v>505</v>
      </c>
      <c r="D69"/>
      <c r="E69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44"/>
    </row>
    <row r="70" spans="1:21" ht="14.4" x14ac:dyDescent="0.3">
      <c r="A70" s="44"/>
      <c r="B70" s="69">
        <v>45358</v>
      </c>
      <c r="C70" s="381">
        <v>642</v>
      </c>
      <c r="D70"/>
      <c r="E70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44"/>
    </row>
    <row r="71" spans="1:21" ht="14.4" x14ac:dyDescent="0.3">
      <c r="A71" s="44"/>
      <c r="B71" s="69">
        <v>45359</v>
      </c>
      <c r="C71" s="381">
        <v>520</v>
      </c>
      <c r="D71"/>
      <c r="E71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44"/>
    </row>
    <row r="72" spans="1:21" ht="14.4" x14ac:dyDescent="0.3">
      <c r="A72" s="44"/>
      <c r="B72" s="69">
        <v>45360</v>
      </c>
      <c r="C72" s="381">
        <v>390</v>
      </c>
      <c r="D72"/>
      <c r="E72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44"/>
    </row>
    <row r="73" spans="1:21" ht="14.4" x14ac:dyDescent="0.3">
      <c r="A73" s="44"/>
      <c r="B73" s="69">
        <v>45361</v>
      </c>
      <c r="C73" s="381">
        <v>182</v>
      </c>
      <c r="D73"/>
      <c r="E73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44"/>
    </row>
    <row r="74" spans="1:21" ht="14.4" x14ac:dyDescent="0.3">
      <c r="A74" s="44"/>
      <c r="B74" s="69">
        <v>45362</v>
      </c>
      <c r="C74" s="381">
        <v>549</v>
      </c>
      <c r="D74"/>
      <c r="E7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44"/>
    </row>
    <row r="75" spans="1:21" ht="14.4" x14ac:dyDescent="0.3">
      <c r="A75" s="44"/>
      <c r="B75" s="69">
        <v>45363</v>
      </c>
      <c r="C75" s="381">
        <v>656</v>
      </c>
      <c r="D75"/>
      <c r="E75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44"/>
    </row>
    <row r="76" spans="1:21" ht="14.4" x14ac:dyDescent="0.3">
      <c r="A76" s="44"/>
      <c r="B76" s="69">
        <v>45364</v>
      </c>
      <c r="C76" s="381">
        <v>511</v>
      </c>
      <c r="D76"/>
      <c r="E76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44"/>
    </row>
    <row r="77" spans="1:21" ht="14.4" x14ac:dyDescent="0.3">
      <c r="A77" s="44"/>
      <c r="B77" s="69">
        <v>45365</v>
      </c>
      <c r="C77" s="381">
        <v>583</v>
      </c>
      <c r="D77"/>
      <c r="E77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44"/>
    </row>
    <row r="78" spans="1:21" ht="14.4" x14ac:dyDescent="0.3">
      <c r="A78" s="44"/>
      <c r="B78" s="69">
        <v>45366</v>
      </c>
      <c r="C78" s="381">
        <v>429</v>
      </c>
      <c r="D78"/>
      <c r="E78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44"/>
    </row>
    <row r="79" spans="1:21" ht="14.4" x14ac:dyDescent="0.3">
      <c r="A79" s="44"/>
      <c r="B79" s="69">
        <v>45367</v>
      </c>
      <c r="C79" s="381">
        <v>293</v>
      </c>
      <c r="D79"/>
      <c r="E79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44"/>
    </row>
    <row r="80" spans="1:21" ht="14.4" x14ac:dyDescent="0.3">
      <c r="A80" s="44"/>
      <c r="B80" s="69">
        <v>45368</v>
      </c>
      <c r="C80" s="381">
        <v>174</v>
      </c>
      <c r="D80"/>
      <c r="E80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44"/>
    </row>
    <row r="81" spans="1:21" ht="14.4" x14ac:dyDescent="0.3">
      <c r="A81" s="44"/>
      <c r="B81" s="69">
        <v>45369</v>
      </c>
      <c r="C81" s="381">
        <v>402</v>
      </c>
      <c r="D81"/>
      <c r="E81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44"/>
    </row>
    <row r="82" spans="1:21" ht="14.4" x14ac:dyDescent="0.3">
      <c r="A82" s="44"/>
      <c r="B82" s="69">
        <v>45370</v>
      </c>
      <c r="C82" s="381">
        <v>490</v>
      </c>
      <c r="D82"/>
      <c r="E82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44"/>
    </row>
    <row r="83" spans="1:21" ht="14.4" x14ac:dyDescent="0.3">
      <c r="A83" s="44"/>
      <c r="B83" s="69">
        <v>45371</v>
      </c>
      <c r="C83" s="381">
        <v>446</v>
      </c>
      <c r="D83"/>
      <c r="E83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44"/>
    </row>
    <row r="84" spans="1:21" ht="14.4" x14ac:dyDescent="0.3">
      <c r="A84" s="44"/>
      <c r="B84" s="69">
        <v>45372</v>
      </c>
      <c r="C84" s="381">
        <v>508</v>
      </c>
      <c r="D84"/>
      <c r="E8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44"/>
    </row>
    <row r="85" spans="1:21" ht="14.4" x14ac:dyDescent="0.3">
      <c r="A85" s="44"/>
      <c r="B85" s="69">
        <v>45373</v>
      </c>
      <c r="C85" s="381">
        <v>374</v>
      </c>
      <c r="D85"/>
      <c r="E85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44"/>
    </row>
    <row r="86" spans="1:21" ht="14.4" x14ac:dyDescent="0.3">
      <c r="A86" s="44"/>
      <c r="B86" s="69">
        <v>45374</v>
      </c>
      <c r="C86" s="381">
        <v>268</v>
      </c>
      <c r="D86"/>
      <c r="E86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44"/>
    </row>
    <row r="87" spans="1:21" ht="14.4" x14ac:dyDescent="0.3">
      <c r="A87" s="44"/>
      <c r="B87" s="69">
        <v>45375</v>
      </c>
      <c r="C87" s="381">
        <v>170</v>
      </c>
      <c r="D87"/>
      <c r="E87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44"/>
    </row>
    <row r="88" spans="1:21" ht="14.4" x14ac:dyDescent="0.3">
      <c r="A88" s="44"/>
      <c r="B88" s="69">
        <v>45376</v>
      </c>
      <c r="C88" s="381">
        <v>268</v>
      </c>
      <c r="D88"/>
      <c r="E88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44"/>
    </row>
    <row r="89" spans="1:21" ht="14.4" x14ac:dyDescent="0.3">
      <c r="A89" s="44"/>
      <c r="B89" s="69">
        <v>45377</v>
      </c>
      <c r="C89" s="381">
        <v>293</v>
      </c>
      <c r="D89"/>
      <c r="E89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44"/>
    </row>
    <row r="90" spans="1:21" ht="14.4" x14ac:dyDescent="0.3">
      <c r="A90" s="44"/>
      <c r="B90" s="69">
        <v>45378</v>
      </c>
      <c r="C90" s="381">
        <v>318</v>
      </c>
      <c r="D90"/>
      <c r="E90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44"/>
    </row>
    <row r="91" spans="1:21" ht="14.4" x14ac:dyDescent="0.3">
      <c r="A91" s="44"/>
      <c r="B91" s="69">
        <v>45379</v>
      </c>
      <c r="C91" s="381">
        <v>225</v>
      </c>
      <c r="D91"/>
      <c r="E91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44"/>
    </row>
    <row r="92" spans="1:21" ht="14.4" x14ac:dyDescent="0.3">
      <c r="A92" s="44"/>
      <c r="B92" s="69">
        <v>45380</v>
      </c>
      <c r="C92" s="381">
        <v>172</v>
      </c>
      <c r="D92"/>
      <c r="E92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44"/>
    </row>
    <row r="93" spans="1:21" ht="14.4" x14ac:dyDescent="0.3">
      <c r="A93" s="44"/>
      <c r="B93" s="69">
        <v>45381</v>
      </c>
      <c r="C93" s="381">
        <v>177</v>
      </c>
      <c r="D93"/>
      <c r="E93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44"/>
    </row>
    <row r="94" spans="1:21" ht="14.4" x14ac:dyDescent="0.3">
      <c r="A94" s="44"/>
      <c r="B94" s="69">
        <v>45382</v>
      </c>
      <c r="C94" s="381">
        <v>165</v>
      </c>
      <c r="D94"/>
      <c r="E9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44"/>
    </row>
    <row r="95" spans="1:21" ht="14.4" x14ac:dyDescent="0.3">
      <c r="A95" s="44"/>
      <c r="B95" s="69">
        <v>45383</v>
      </c>
      <c r="C95" s="381">
        <v>181</v>
      </c>
      <c r="D95"/>
      <c r="E95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44"/>
    </row>
    <row r="96" spans="1:21" ht="14.4" x14ac:dyDescent="0.3">
      <c r="A96" s="44"/>
      <c r="B96" s="69">
        <v>45384</v>
      </c>
      <c r="C96" s="381">
        <v>586</v>
      </c>
      <c r="D96"/>
      <c r="E96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44"/>
    </row>
    <row r="97" spans="1:21" ht="14.4" x14ac:dyDescent="0.3">
      <c r="A97" s="44"/>
      <c r="B97" s="69">
        <v>45385</v>
      </c>
      <c r="C97" s="381">
        <v>434</v>
      </c>
      <c r="D97"/>
      <c r="E97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44"/>
    </row>
    <row r="98" spans="1:21" ht="14.4" x14ac:dyDescent="0.3">
      <c r="A98" s="44"/>
      <c r="B98" s="69">
        <v>45386</v>
      </c>
      <c r="C98" s="381">
        <v>545</v>
      </c>
      <c r="D98"/>
      <c r="E98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44"/>
    </row>
    <row r="99" spans="1:21" ht="14.4" x14ac:dyDescent="0.3">
      <c r="A99" s="44"/>
      <c r="B99" s="69">
        <v>45387</v>
      </c>
      <c r="C99" s="381">
        <v>417</v>
      </c>
      <c r="D99"/>
      <c r="E99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44"/>
    </row>
    <row r="100" spans="1:21" ht="14.4" x14ac:dyDescent="0.3">
      <c r="A100" s="44"/>
      <c r="B100" s="69">
        <v>45388</v>
      </c>
      <c r="C100" s="381">
        <v>254</v>
      </c>
      <c r="D100"/>
      <c r="E100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44"/>
    </row>
    <row r="101" spans="1:21" ht="14.4" x14ac:dyDescent="0.3">
      <c r="A101" s="44"/>
      <c r="B101" s="69">
        <v>45389</v>
      </c>
      <c r="C101" s="381">
        <v>193</v>
      </c>
      <c r="D101"/>
      <c r="E101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44"/>
    </row>
    <row r="102" spans="1:21" ht="14.4" x14ac:dyDescent="0.3">
      <c r="A102" s="44"/>
      <c r="B102" s="69">
        <v>45390</v>
      </c>
      <c r="C102" s="381">
        <v>430</v>
      </c>
      <c r="D102"/>
      <c r="E102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44"/>
    </row>
    <row r="103" spans="1:21" ht="14.4" x14ac:dyDescent="0.3">
      <c r="A103" s="44"/>
      <c r="B103" s="69">
        <v>45391</v>
      </c>
      <c r="C103" s="381">
        <v>453</v>
      </c>
      <c r="D103"/>
      <c r="E103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44"/>
    </row>
    <row r="104" spans="1:21" ht="14.4" x14ac:dyDescent="0.3">
      <c r="A104" s="44"/>
      <c r="B104" s="69">
        <v>45392</v>
      </c>
      <c r="C104" s="381">
        <v>357</v>
      </c>
      <c r="D104"/>
      <c r="E10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44"/>
    </row>
    <row r="105" spans="1:21" ht="14.4" x14ac:dyDescent="0.3">
      <c r="A105" s="44"/>
      <c r="B105" s="69">
        <v>45393</v>
      </c>
      <c r="C105" s="381">
        <v>489</v>
      </c>
      <c r="D105"/>
      <c r="E105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44"/>
    </row>
    <row r="106" spans="1:21" ht="14.4" x14ac:dyDescent="0.3">
      <c r="A106" s="44"/>
      <c r="B106" s="69">
        <v>45394</v>
      </c>
      <c r="C106" s="381">
        <v>366</v>
      </c>
      <c r="D106"/>
      <c r="E106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44"/>
    </row>
    <row r="107" spans="1:21" ht="14.4" x14ac:dyDescent="0.3">
      <c r="A107" s="44"/>
      <c r="B107" s="69">
        <v>45395</v>
      </c>
      <c r="C107" s="381">
        <v>251</v>
      </c>
      <c r="D107"/>
      <c r="E107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44"/>
    </row>
    <row r="108" spans="1:21" ht="14.4" x14ac:dyDescent="0.3">
      <c r="A108" s="44"/>
      <c r="B108" s="69">
        <v>45396</v>
      </c>
      <c r="C108" s="381">
        <v>164</v>
      </c>
      <c r="D108"/>
      <c r="E108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44"/>
    </row>
    <row r="109" spans="1:21" ht="14.4" x14ac:dyDescent="0.3">
      <c r="A109" s="44"/>
      <c r="B109" s="69">
        <v>45397</v>
      </c>
      <c r="C109" s="381">
        <v>306</v>
      </c>
      <c r="D109"/>
      <c r="E109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44"/>
    </row>
    <row r="110" spans="1:21" ht="14.4" x14ac:dyDescent="0.3">
      <c r="A110" s="44"/>
      <c r="B110" s="69">
        <v>45398</v>
      </c>
      <c r="C110" s="381">
        <v>387</v>
      </c>
      <c r="D110"/>
      <c r="E110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44"/>
    </row>
    <row r="111" spans="1:21" ht="14.4" x14ac:dyDescent="0.3">
      <c r="A111" s="44"/>
      <c r="B111" s="69">
        <v>45399</v>
      </c>
      <c r="C111" s="381">
        <v>332</v>
      </c>
      <c r="D111"/>
      <c r="E111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44"/>
    </row>
    <row r="112" spans="1:21" ht="14.4" x14ac:dyDescent="0.3">
      <c r="A112" s="44"/>
      <c r="B112" s="69">
        <v>45400</v>
      </c>
      <c r="C112" s="381">
        <v>470</v>
      </c>
      <c r="D112"/>
      <c r="E112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44"/>
    </row>
    <row r="113" spans="1:21" ht="14.4" x14ac:dyDescent="0.3">
      <c r="A113" s="44"/>
      <c r="B113" s="69">
        <v>45401</v>
      </c>
      <c r="C113" s="381">
        <v>316</v>
      </c>
      <c r="D113"/>
      <c r="E113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44"/>
    </row>
    <row r="114" spans="1:21" ht="14.4" x14ac:dyDescent="0.3">
      <c r="A114" s="44"/>
      <c r="B114" s="69">
        <v>45402</v>
      </c>
      <c r="C114" s="381">
        <v>256</v>
      </c>
      <c r="D114"/>
      <c r="E11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44"/>
    </row>
    <row r="115" spans="1:21" ht="14.4" x14ac:dyDescent="0.3">
      <c r="A115" s="44"/>
      <c r="B115" s="69">
        <v>45403</v>
      </c>
      <c r="C115" s="381">
        <v>169</v>
      </c>
      <c r="D115"/>
      <c r="E115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44"/>
    </row>
    <row r="116" spans="1:21" ht="14.4" x14ac:dyDescent="0.3">
      <c r="A116" s="44"/>
      <c r="B116" s="69">
        <v>45404</v>
      </c>
      <c r="C116" s="381">
        <v>440</v>
      </c>
      <c r="D116"/>
      <c r="E116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44"/>
    </row>
    <row r="117" spans="1:21" ht="14.4" x14ac:dyDescent="0.3">
      <c r="A117" s="44"/>
      <c r="B117" s="69">
        <v>45405</v>
      </c>
      <c r="C117" s="381">
        <v>574</v>
      </c>
      <c r="D117"/>
      <c r="E117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44"/>
    </row>
    <row r="118" spans="1:21" ht="14.4" x14ac:dyDescent="0.3">
      <c r="A118" s="44"/>
      <c r="B118" s="69">
        <v>45406</v>
      </c>
      <c r="C118" s="381">
        <v>342</v>
      </c>
      <c r="D118"/>
      <c r="E118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44"/>
    </row>
    <row r="119" spans="1:21" ht="14.4" x14ac:dyDescent="0.3">
      <c r="A119" s="44"/>
      <c r="B119" s="69">
        <v>45407</v>
      </c>
      <c r="C119" s="381">
        <v>463</v>
      </c>
      <c r="D119"/>
      <c r="E119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44"/>
    </row>
    <row r="120" spans="1:21" ht="14.4" x14ac:dyDescent="0.3">
      <c r="A120" s="44"/>
      <c r="B120" s="69">
        <v>45408</v>
      </c>
      <c r="C120" s="381">
        <v>330</v>
      </c>
      <c r="D120"/>
      <c r="E120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44"/>
    </row>
    <row r="121" spans="1:21" ht="14.4" x14ac:dyDescent="0.3">
      <c r="A121" s="44"/>
      <c r="B121" s="69">
        <v>45409</v>
      </c>
      <c r="C121" s="381">
        <v>314</v>
      </c>
      <c r="D121"/>
      <c r="E121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44"/>
    </row>
    <row r="122" spans="1:21" ht="14.4" x14ac:dyDescent="0.3">
      <c r="A122" s="44"/>
      <c r="B122" s="69">
        <v>45410</v>
      </c>
      <c r="C122" s="381">
        <v>164</v>
      </c>
      <c r="D122"/>
      <c r="E122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44"/>
    </row>
    <row r="123" spans="1:21" ht="14.4" x14ac:dyDescent="0.3">
      <c r="A123" s="44"/>
      <c r="B123" s="69">
        <v>45411</v>
      </c>
      <c r="C123" s="381">
        <v>451</v>
      </c>
      <c r="D123"/>
      <c r="E123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44"/>
    </row>
    <row r="124" spans="1:21" ht="14.4" x14ac:dyDescent="0.3">
      <c r="A124" s="44"/>
      <c r="B124" s="69">
        <v>45412</v>
      </c>
      <c r="C124" s="381">
        <v>506</v>
      </c>
      <c r="D124"/>
      <c r="E1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44"/>
    </row>
    <row r="125" spans="1:21" ht="14.4" x14ac:dyDescent="0.3">
      <c r="A125" s="44"/>
      <c r="B125" s="69">
        <v>45413</v>
      </c>
      <c r="C125" s="381">
        <v>174</v>
      </c>
      <c r="D125"/>
      <c r="E125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44"/>
    </row>
    <row r="126" spans="1:21" ht="14.4" x14ac:dyDescent="0.3">
      <c r="A126" s="44"/>
      <c r="B126" s="69">
        <v>45414</v>
      </c>
      <c r="C126" s="381">
        <v>471</v>
      </c>
      <c r="D126"/>
      <c r="E126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44"/>
    </row>
    <row r="127" spans="1:21" ht="14.4" x14ac:dyDescent="0.3">
      <c r="A127" s="44"/>
      <c r="B127" s="69">
        <v>45415</v>
      </c>
      <c r="C127" s="381">
        <v>315</v>
      </c>
      <c r="D127"/>
      <c r="E127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44"/>
    </row>
    <row r="128" spans="1:21" ht="14.4" x14ac:dyDescent="0.3">
      <c r="A128" s="44"/>
      <c r="B128" s="69">
        <v>45416</v>
      </c>
      <c r="C128" s="381">
        <v>222</v>
      </c>
      <c r="D128"/>
      <c r="E128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44"/>
    </row>
    <row r="129" spans="1:21" ht="14.4" x14ac:dyDescent="0.3">
      <c r="A129" s="44"/>
      <c r="B129" s="69">
        <v>45417</v>
      </c>
      <c r="C129" s="381">
        <v>167</v>
      </c>
      <c r="D129"/>
      <c r="E129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44"/>
    </row>
    <row r="130" spans="1:21" ht="14.4" x14ac:dyDescent="0.3">
      <c r="A130" s="44"/>
      <c r="B130" s="69">
        <v>45418</v>
      </c>
      <c r="C130" s="381">
        <v>332</v>
      </c>
      <c r="D130"/>
      <c r="E130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44"/>
    </row>
    <row r="131" spans="1:21" ht="14.4" x14ac:dyDescent="0.3">
      <c r="A131" s="44"/>
      <c r="B131" s="69">
        <v>45419</v>
      </c>
      <c r="C131" s="381">
        <v>283</v>
      </c>
      <c r="D131"/>
      <c r="E131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44"/>
    </row>
    <row r="132" spans="1:21" ht="14.4" x14ac:dyDescent="0.3">
      <c r="A132" s="44"/>
      <c r="B132" s="69">
        <v>45420</v>
      </c>
      <c r="C132" s="381">
        <v>295</v>
      </c>
      <c r="D132"/>
      <c r="E132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44"/>
    </row>
    <row r="133" spans="1:21" ht="14.4" x14ac:dyDescent="0.3">
      <c r="A133" s="44"/>
      <c r="B133" s="69">
        <v>45421</v>
      </c>
      <c r="C133" s="381">
        <v>311</v>
      </c>
      <c r="D133"/>
      <c r="E133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44"/>
    </row>
    <row r="134" spans="1:21" ht="14.4" x14ac:dyDescent="0.3">
      <c r="A134" s="44"/>
      <c r="B134" s="69">
        <v>45422</v>
      </c>
      <c r="C134" s="381">
        <v>274</v>
      </c>
      <c r="D134"/>
      <c r="E13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44"/>
    </row>
    <row r="135" spans="1:21" ht="14.4" x14ac:dyDescent="0.3">
      <c r="A135" s="44"/>
      <c r="B135" s="69">
        <v>45423</v>
      </c>
      <c r="C135" s="381">
        <v>258</v>
      </c>
      <c r="D135"/>
      <c r="E135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44"/>
    </row>
    <row r="136" spans="1:21" ht="14.4" x14ac:dyDescent="0.3">
      <c r="A136" s="44"/>
      <c r="B136" s="69">
        <v>45424</v>
      </c>
      <c r="C136" s="381">
        <v>198</v>
      </c>
      <c r="D136"/>
      <c r="E136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44"/>
    </row>
    <row r="137" spans="1:21" ht="14.4" x14ac:dyDescent="0.3">
      <c r="A137" s="44"/>
      <c r="B137" s="69">
        <v>45425</v>
      </c>
      <c r="C137" s="381">
        <v>334</v>
      </c>
      <c r="D137"/>
      <c r="E137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44"/>
    </row>
    <row r="138" spans="1:21" ht="14.4" x14ac:dyDescent="0.3">
      <c r="A138" s="44"/>
      <c r="B138" s="69">
        <v>45426</v>
      </c>
      <c r="C138" s="381">
        <v>346</v>
      </c>
      <c r="D138"/>
      <c r="E138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44"/>
    </row>
    <row r="139" spans="1:21" ht="14.4" x14ac:dyDescent="0.3">
      <c r="A139" s="44"/>
      <c r="B139" s="69">
        <v>45427</v>
      </c>
      <c r="C139" s="381">
        <v>320</v>
      </c>
      <c r="D139"/>
      <c r="E139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44"/>
    </row>
    <row r="140" spans="1:21" ht="14.4" x14ac:dyDescent="0.3">
      <c r="A140" s="44"/>
      <c r="B140" s="69">
        <v>45428</v>
      </c>
      <c r="C140" s="381">
        <v>385</v>
      </c>
      <c r="D140"/>
      <c r="E140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44"/>
    </row>
    <row r="141" spans="1:21" ht="14.4" x14ac:dyDescent="0.3">
      <c r="A141" s="44"/>
      <c r="B141" s="69">
        <v>45429</v>
      </c>
      <c r="C141" s="381">
        <v>311</v>
      </c>
      <c r="D141"/>
      <c r="E141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44"/>
    </row>
    <row r="142" spans="1:21" ht="14.4" x14ac:dyDescent="0.3">
      <c r="A142" s="44"/>
      <c r="B142" s="69">
        <v>45430</v>
      </c>
      <c r="C142" s="381">
        <v>238</v>
      </c>
      <c r="D142"/>
      <c r="E142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44"/>
    </row>
    <row r="143" spans="1:21" ht="14.4" x14ac:dyDescent="0.3">
      <c r="A143" s="44"/>
      <c r="B143" s="69">
        <v>45431</v>
      </c>
      <c r="C143" s="381">
        <v>183</v>
      </c>
      <c r="D143"/>
      <c r="E143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44"/>
    </row>
    <row r="144" spans="1:21" ht="14.4" x14ac:dyDescent="0.3">
      <c r="A144" s="44"/>
      <c r="B144" s="69">
        <v>45432</v>
      </c>
      <c r="C144" s="381">
        <v>157</v>
      </c>
      <c r="D144"/>
      <c r="E14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44"/>
    </row>
    <row r="145" spans="1:21" ht="14.4" x14ac:dyDescent="0.3">
      <c r="A145" s="44"/>
      <c r="B145" s="69">
        <v>45433</v>
      </c>
      <c r="C145" s="381">
        <v>334</v>
      </c>
      <c r="D145"/>
      <c r="E145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44"/>
    </row>
    <row r="146" spans="1:21" ht="14.4" x14ac:dyDescent="0.3">
      <c r="A146" s="44"/>
      <c r="B146" s="69">
        <v>45434</v>
      </c>
      <c r="C146" s="381">
        <v>316</v>
      </c>
      <c r="D146"/>
      <c r="E146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44"/>
    </row>
    <row r="147" spans="1:21" ht="14.4" x14ac:dyDescent="0.3">
      <c r="A147" s="44"/>
      <c r="B147" s="69">
        <v>45435</v>
      </c>
      <c r="C147" s="381">
        <v>380</v>
      </c>
      <c r="D147"/>
      <c r="E147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44"/>
    </row>
    <row r="148" spans="1:21" ht="14.4" x14ac:dyDescent="0.3">
      <c r="A148" s="44"/>
      <c r="B148" s="69">
        <v>45436</v>
      </c>
      <c r="C148" s="381">
        <v>306</v>
      </c>
      <c r="D148"/>
      <c r="E148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44"/>
    </row>
    <row r="149" spans="1:21" ht="14.4" x14ac:dyDescent="0.3">
      <c r="A149" s="44"/>
      <c r="B149" s="69">
        <v>45437</v>
      </c>
      <c r="C149" s="381">
        <v>284</v>
      </c>
      <c r="D149"/>
      <c r="E149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44"/>
    </row>
    <row r="150" spans="1:21" ht="14.4" x14ac:dyDescent="0.3">
      <c r="A150" s="44"/>
      <c r="B150" s="69">
        <v>45438</v>
      </c>
      <c r="C150" s="381">
        <v>187</v>
      </c>
      <c r="D150"/>
      <c r="E150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44"/>
    </row>
    <row r="151" spans="1:21" ht="14.4" x14ac:dyDescent="0.3">
      <c r="A151" s="44"/>
      <c r="B151" s="69">
        <v>45439</v>
      </c>
      <c r="C151" s="381">
        <v>378</v>
      </c>
      <c r="D151"/>
      <c r="E151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44"/>
    </row>
    <row r="152" spans="1:21" ht="14.4" x14ac:dyDescent="0.3">
      <c r="A152" s="44"/>
      <c r="B152" s="69">
        <v>45440</v>
      </c>
      <c r="C152" s="381">
        <v>350</v>
      </c>
      <c r="D152"/>
      <c r="E152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44"/>
    </row>
    <row r="153" spans="1:21" ht="14.4" x14ac:dyDescent="0.3">
      <c r="A153" s="44"/>
      <c r="B153" s="69">
        <v>45441</v>
      </c>
      <c r="C153" s="381">
        <v>373</v>
      </c>
      <c r="D153"/>
      <c r="E153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44"/>
    </row>
    <row r="154" spans="1:21" ht="14.4" x14ac:dyDescent="0.3">
      <c r="A154" s="44"/>
      <c r="B154" s="69">
        <v>45442</v>
      </c>
      <c r="C154" s="381">
        <v>422</v>
      </c>
      <c r="D154"/>
      <c r="E15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44"/>
    </row>
    <row r="155" spans="1:21" ht="14.4" x14ac:dyDescent="0.3">
      <c r="A155" s="44"/>
      <c r="B155" s="69">
        <v>45443</v>
      </c>
      <c r="C155" s="381">
        <v>422</v>
      </c>
      <c r="D155"/>
      <c r="E155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44"/>
    </row>
    <row r="156" spans="1:21" ht="14.4" x14ac:dyDescent="0.3">
      <c r="A156" s="44"/>
      <c r="B156" s="69">
        <v>45444</v>
      </c>
      <c r="C156" s="381">
        <v>340</v>
      </c>
      <c r="D156"/>
      <c r="E156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44"/>
    </row>
    <row r="157" spans="1:21" ht="14.4" x14ac:dyDescent="0.3">
      <c r="A157" s="44"/>
      <c r="B157" s="69">
        <v>45445</v>
      </c>
      <c r="C157" s="381">
        <v>265</v>
      </c>
      <c r="D157"/>
      <c r="E157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44"/>
    </row>
    <row r="158" spans="1:21" ht="14.4" x14ac:dyDescent="0.3">
      <c r="A158" s="44"/>
      <c r="B158" s="69">
        <v>45446</v>
      </c>
      <c r="C158" s="381">
        <v>501</v>
      </c>
      <c r="D158"/>
      <c r="E158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44"/>
    </row>
    <row r="159" spans="1:21" ht="14.4" x14ac:dyDescent="0.3">
      <c r="A159" s="44"/>
      <c r="B159" s="69">
        <v>45447</v>
      </c>
      <c r="C159" s="381">
        <v>508</v>
      </c>
      <c r="D159"/>
      <c r="E159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44"/>
    </row>
    <row r="160" spans="1:21" ht="14.4" x14ac:dyDescent="0.3">
      <c r="A160" s="44"/>
      <c r="B160" s="69">
        <v>45448</v>
      </c>
      <c r="C160" s="381">
        <v>469</v>
      </c>
      <c r="D160"/>
      <c r="E160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44"/>
    </row>
    <row r="161" spans="1:21" ht="14.4" x14ac:dyDescent="0.3">
      <c r="A161" s="44"/>
      <c r="B161" s="69">
        <v>45449</v>
      </c>
      <c r="C161" s="381">
        <v>475</v>
      </c>
      <c r="D161"/>
      <c r="E161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44"/>
    </row>
    <row r="162" spans="1:21" ht="14.4" x14ac:dyDescent="0.3">
      <c r="A162" s="44"/>
      <c r="B162" s="69">
        <v>45450</v>
      </c>
      <c r="C162" s="381">
        <v>434</v>
      </c>
      <c r="D162"/>
      <c r="E162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44"/>
    </row>
    <row r="163" spans="1:21" ht="14.4" x14ac:dyDescent="0.3">
      <c r="A163" s="44"/>
      <c r="B163" s="69">
        <v>45451</v>
      </c>
      <c r="C163" s="381">
        <v>319</v>
      </c>
      <c r="D163"/>
      <c r="E163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44"/>
    </row>
    <row r="164" spans="1:21" ht="14.4" x14ac:dyDescent="0.3">
      <c r="A164" s="44"/>
      <c r="B164" s="69">
        <v>45452</v>
      </c>
      <c r="C164" s="381">
        <v>213</v>
      </c>
      <c r="D164"/>
      <c r="E16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44"/>
    </row>
    <row r="165" spans="1:21" ht="14.4" x14ac:dyDescent="0.3">
      <c r="A165" s="44"/>
      <c r="B165" s="69">
        <v>45453</v>
      </c>
      <c r="C165" s="381">
        <v>418</v>
      </c>
      <c r="D165"/>
      <c r="E165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44"/>
    </row>
    <row r="166" spans="1:21" ht="14.4" x14ac:dyDescent="0.3">
      <c r="A166" s="44"/>
      <c r="B166" s="69">
        <v>45454</v>
      </c>
      <c r="C166" s="381">
        <v>438</v>
      </c>
      <c r="D166"/>
      <c r="E166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44"/>
    </row>
    <row r="167" spans="1:21" ht="14.4" x14ac:dyDescent="0.3">
      <c r="A167" s="44"/>
      <c r="B167" s="69">
        <v>45455</v>
      </c>
      <c r="C167" s="381">
        <v>357</v>
      </c>
      <c r="D167"/>
      <c r="E167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44"/>
    </row>
    <row r="168" spans="1:21" ht="14.4" x14ac:dyDescent="0.3">
      <c r="A168" s="44"/>
      <c r="B168" s="69">
        <v>45456</v>
      </c>
      <c r="C168" s="381">
        <v>390</v>
      </c>
      <c r="D168"/>
      <c r="E168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44"/>
    </row>
    <row r="169" spans="1:21" ht="14.4" x14ac:dyDescent="0.3">
      <c r="A169" s="44"/>
      <c r="B169" s="69">
        <v>45457</v>
      </c>
      <c r="C169" s="381">
        <v>409</v>
      </c>
      <c r="D169"/>
      <c r="E169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44"/>
    </row>
    <row r="170" spans="1:21" ht="14.4" x14ac:dyDescent="0.3">
      <c r="A170" s="44"/>
      <c r="B170" s="69">
        <v>45458</v>
      </c>
      <c r="C170" s="381">
        <v>351</v>
      </c>
      <c r="D170"/>
      <c r="E170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44"/>
    </row>
    <row r="171" spans="1:21" ht="14.4" x14ac:dyDescent="0.3">
      <c r="A171" s="44"/>
      <c r="B171" s="69">
        <v>45459</v>
      </c>
      <c r="C171" s="381">
        <v>268</v>
      </c>
      <c r="D171"/>
      <c r="E171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44"/>
    </row>
    <row r="172" spans="1:21" ht="14.4" x14ac:dyDescent="0.3">
      <c r="A172" s="44"/>
      <c r="B172" s="69">
        <v>45460</v>
      </c>
      <c r="C172" s="381">
        <v>530</v>
      </c>
      <c r="D172"/>
      <c r="E172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44"/>
    </row>
    <row r="173" spans="1:21" ht="14.4" x14ac:dyDescent="0.3">
      <c r="A173" s="44"/>
      <c r="B173" s="69">
        <v>45461</v>
      </c>
      <c r="C173" s="381">
        <v>493</v>
      </c>
      <c r="D173"/>
      <c r="E173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44"/>
    </row>
    <row r="174" spans="1:21" ht="14.4" x14ac:dyDescent="0.3">
      <c r="A174" s="44"/>
      <c r="B174" s="69">
        <v>45462</v>
      </c>
      <c r="C174" s="381">
        <v>510</v>
      </c>
      <c r="D174"/>
      <c r="E17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44"/>
    </row>
    <row r="175" spans="1:21" ht="14.4" x14ac:dyDescent="0.3">
      <c r="A175" s="44"/>
      <c r="B175" s="69">
        <v>45463</v>
      </c>
      <c r="C175" s="381">
        <v>480</v>
      </c>
      <c r="D175"/>
      <c r="E175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44"/>
    </row>
    <row r="176" spans="1:21" ht="14.4" x14ac:dyDescent="0.3">
      <c r="A176" s="44"/>
      <c r="B176" s="69">
        <v>45464</v>
      </c>
      <c r="C176" s="381">
        <v>403</v>
      </c>
      <c r="D176"/>
      <c r="E176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44"/>
    </row>
    <row r="177" spans="1:21" ht="14.4" x14ac:dyDescent="0.3">
      <c r="A177" s="44"/>
      <c r="B177" s="69">
        <v>45465</v>
      </c>
      <c r="C177" s="381">
        <v>214</v>
      </c>
      <c r="D177"/>
      <c r="E177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44"/>
    </row>
    <row r="178" spans="1:21" ht="14.4" x14ac:dyDescent="0.3">
      <c r="A178" s="44"/>
      <c r="B178" s="69">
        <v>45466</v>
      </c>
      <c r="C178" s="381">
        <v>170</v>
      </c>
      <c r="D178"/>
      <c r="E178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44"/>
    </row>
    <row r="179" spans="1:21" ht="14.4" x14ac:dyDescent="0.3">
      <c r="A179" s="44"/>
      <c r="B179" s="69">
        <v>45467</v>
      </c>
      <c r="C179" s="381">
        <v>154</v>
      </c>
      <c r="D179"/>
      <c r="E179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44"/>
    </row>
    <row r="180" spans="1:21" ht="14.4" x14ac:dyDescent="0.3">
      <c r="A180" s="44"/>
      <c r="B180" s="69">
        <v>45468</v>
      </c>
      <c r="C180" s="381">
        <v>635</v>
      </c>
      <c r="D180"/>
      <c r="E180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44"/>
    </row>
    <row r="181" spans="1:21" ht="14.4" x14ac:dyDescent="0.3">
      <c r="A181" s="44"/>
      <c r="B181" s="69">
        <v>45469</v>
      </c>
      <c r="C181" s="381">
        <v>523</v>
      </c>
      <c r="D181"/>
      <c r="E181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44"/>
    </row>
    <row r="182" spans="1:21" ht="14.4" x14ac:dyDescent="0.3">
      <c r="A182" s="44"/>
      <c r="B182" s="69">
        <v>45470</v>
      </c>
      <c r="C182" s="381">
        <v>627</v>
      </c>
      <c r="D182"/>
      <c r="E182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44"/>
    </row>
    <row r="183" spans="1:21" ht="14.4" x14ac:dyDescent="0.3">
      <c r="A183" s="44"/>
      <c r="B183" s="69">
        <v>45471</v>
      </c>
      <c r="C183" s="381">
        <v>473</v>
      </c>
      <c r="D183"/>
      <c r="E183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44"/>
    </row>
    <row r="184" spans="1:21" ht="14.4" x14ac:dyDescent="0.3">
      <c r="A184" s="44"/>
      <c r="B184" s="69">
        <v>45472</v>
      </c>
      <c r="C184" s="381">
        <v>190</v>
      </c>
      <c r="D184"/>
      <c r="E18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44"/>
    </row>
    <row r="185" spans="1:21" ht="14.4" x14ac:dyDescent="0.3">
      <c r="A185" s="44"/>
      <c r="B185" s="69">
        <v>45473</v>
      </c>
      <c r="C185" s="381">
        <v>184</v>
      </c>
      <c r="D185"/>
      <c r="E185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44"/>
    </row>
    <row r="186" spans="1:21" ht="14.4" x14ac:dyDescent="0.3">
      <c r="A186" s="44"/>
      <c r="B186" s="69">
        <v>45474</v>
      </c>
      <c r="C186" s="381">
        <v>472</v>
      </c>
      <c r="D186"/>
      <c r="E186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44"/>
    </row>
    <row r="187" spans="1:21" ht="14.4" x14ac:dyDescent="0.3">
      <c r="A187" s="44"/>
      <c r="B187" s="69">
        <v>45475</v>
      </c>
      <c r="C187" s="381">
        <v>576</v>
      </c>
      <c r="D187"/>
      <c r="E187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44"/>
    </row>
    <row r="188" spans="1:21" ht="14.4" x14ac:dyDescent="0.3">
      <c r="A188" s="44"/>
      <c r="B188" s="69">
        <v>45476</v>
      </c>
      <c r="C188" s="381">
        <v>432</v>
      </c>
      <c r="D188"/>
      <c r="E188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44"/>
    </row>
    <row r="189" spans="1:21" ht="14.4" x14ac:dyDescent="0.3">
      <c r="A189" s="44"/>
      <c r="B189" s="69">
        <v>45477</v>
      </c>
      <c r="C189" s="381">
        <v>521</v>
      </c>
      <c r="D189"/>
      <c r="E189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44"/>
    </row>
    <row r="190" spans="1:21" ht="14.4" x14ac:dyDescent="0.3">
      <c r="A190" s="44"/>
      <c r="B190" s="69">
        <v>45478</v>
      </c>
      <c r="C190" s="381">
        <v>438</v>
      </c>
      <c r="D190"/>
      <c r="E190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44"/>
    </row>
    <row r="191" spans="1:21" ht="14.4" x14ac:dyDescent="0.3">
      <c r="A191" s="44"/>
      <c r="B191" s="69">
        <v>45479</v>
      </c>
      <c r="C191" s="381">
        <v>141</v>
      </c>
      <c r="D191"/>
      <c r="E191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44"/>
    </row>
    <row r="192" spans="1:21" ht="14.4" x14ac:dyDescent="0.3">
      <c r="A192" s="44"/>
      <c r="B192" s="69">
        <v>45480</v>
      </c>
      <c r="C192" s="381">
        <v>136</v>
      </c>
      <c r="D192"/>
      <c r="E192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44"/>
    </row>
    <row r="193" spans="1:21" ht="14.4" x14ac:dyDescent="0.3">
      <c r="A193" s="44"/>
      <c r="B193" s="69">
        <v>45481</v>
      </c>
      <c r="C193" s="381">
        <v>584</v>
      </c>
      <c r="D193"/>
      <c r="E193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44"/>
    </row>
    <row r="194" spans="1:21" ht="14.4" x14ac:dyDescent="0.3">
      <c r="A194" s="44"/>
      <c r="B194" s="69">
        <v>45482</v>
      </c>
      <c r="C194" s="381">
        <v>716</v>
      </c>
      <c r="D194"/>
      <c r="E19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44"/>
    </row>
    <row r="195" spans="1:21" ht="14.4" x14ac:dyDescent="0.3">
      <c r="A195" s="44"/>
      <c r="B195" s="69">
        <v>45483</v>
      </c>
      <c r="C195" s="381">
        <v>566</v>
      </c>
      <c r="D195"/>
      <c r="E195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44"/>
    </row>
    <row r="196" spans="1:21" ht="14.4" x14ac:dyDescent="0.3">
      <c r="A196" s="44"/>
      <c r="B196" s="69">
        <v>45484</v>
      </c>
      <c r="C196" s="381">
        <v>683</v>
      </c>
      <c r="D196"/>
      <c r="E196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44"/>
    </row>
    <row r="197" spans="1:21" ht="14.4" x14ac:dyDescent="0.3">
      <c r="A197" s="44"/>
      <c r="B197" s="69">
        <v>45485</v>
      </c>
      <c r="C197" s="381">
        <v>528</v>
      </c>
      <c r="D197"/>
      <c r="E197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44"/>
    </row>
    <row r="198" spans="1:21" ht="14.4" x14ac:dyDescent="0.3">
      <c r="A198" s="44"/>
      <c r="B198" s="69">
        <v>45486</v>
      </c>
      <c r="C198" s="381">
        <v>145</v>
      </c>
      <c r="D198"/>
      <c r="E198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44"/>
    </row>
    <row r="199" spans="1:21" ht="14.4" x14ac:dyDescent="0.3">
      <c r="A199" s="44"/>
      <c r="B199" s="69">
        <v>45487</v>
      </c>
      <c r="C199" s="381">
        <v>145</v>
      </c>
      <c r="D199"/>
      <c r="E199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44"/>
    </row>
    <row r="200" spans="1:21" ht="14.4" x14ac:dyDescent="0.3">
      <c r="A200" s="44"/>
      <c r="B200" s="69">
        <v>45488</v>
      </c>
      <c r="C200" s="381">
        <v>670</v>
      </c>
      <c r="D200"/>
      <c r="E200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44"/>
    </row>
    <row r="201" spans="1:21" ht="14.4" x14ac:dyDescent="0.3">
      <c r="A201" s="44"/>
      <c r="B201" s="69">
        <v>45489</v>
      </c>
      <c r="C201" s="381">
        <v>728</v>
      </c>
      <c r="D201"/>
      <c r="E201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44"/>
    </row>
    <row r="202" spans="1:21" ht="14.4" x14ac:dyDescent="0.3">
      <c r="A202" s="44"/>
      <c r="B202" s="69">
        <v>45490</v>
      </c>
      <c r="C202" s="381">
        <v>487</v>
      </c>
      <c r="D202"/>
      <c r="E202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44"/>
    </row>
    <row r="203" spans="1:21" ht="14.4" x14ac:dyDescent="0.3">
      <c r="A203" s="44"/>
      <c r="B203" s="69">
        <v>45491</v>
      </c>
      <c r="C203" s="381">
        <v>671</v>
      </c>
      <c r="D203"/>
      <c r="E203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44"/>
    </row>
    <row r="204" spans="1:21" ht="14.4" x14ac:dyDescent="0.3">
      <c r="A204" s="44"/>
      <c r="B204" s="69">
        <v>45492</v>
      </c>
      <c r="C204" s="381">
        <v>584</v>
      </c>
      <c r="D204"/>
      <c r="E20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44"/>
    </row>
    <row r="205" spans="1:21" ht="14.4" x14ac:dyDescent="0.3">
      <c r="A205" s="44"/>
      <c r="B205" s="69">
        <v>45493</v>
      </c>
      <c r="C205" s="381">
        <v>156</v>
      </c>
      <c r="D205"/>
      <c r="E205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44"/>
    </row>
    <row r="206" spans="1:21" ht="14.4" x14ac:dyDescent="0.3">
      <c r="A206" s="44"/>
      <c r="B206" s="69">
        <v>45494</v>
      </c>
      <c r="C206" s="381">
        <v>147</v>
      </c>
      <c r="D206"/>
      <c r="E206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44"/>
    </row>
    <row r="207" spans="1:21" ht="14.4" x14ac:dyDescent="0.3">
      <c r="A207" s="44"/>
      <c r="B207" s="69">
        <v>45495</v>
      </c>
      <c r="C207" s="381">
        <v>540</v>
      </c>
      <c r="D207"/>
      <c r="E207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44"/>
    </row>
    <row r="208" spans="1:21" ht="14.4" x14ac:dyDescent="0.3">
      <c r="A208" s="44"/>
      <c r="B208" s="69">
        <v>45496</v>
      </c>
      <c r="C208" s="381">
        <v>753</v>
      </c>
      <c r="D208"/>
      <c r="E208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44"/>
    </row>
    <row r="209" spans="1:21" ht="14.4" x14ac:dyDescent="0.3">
      <c r="A209" s="44"/>
      <c r="B209" s="69">
        <v>45497</v>
      </c>
      <c r="C209" s="381">
        <v>538</v>
      </c>
      <c r="D209"/>
      <c r="E209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44"/>
    </row>
    <row r="210" spans="1:21" ht="14.4" x14ac:dyDescent="0.3">
      <c r="A210" s="44"/>
      <c r="B210" s="69">
        <v>45498</v>
      </c>
      <c r="C210" s="381">
        <v>719</v>
      </c>
      <c r="D210"/>
      <c r="E210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44"/>
    </row>
    <row r="211" spans="1:21" ht="14.4" x14ac:dyDescent="0.3">
      <c r="A211" s="44"/>
      <c r="B211" s="69">
        <v>45499</v>
      </c>
      <c r="C211" s="381">
        <v>588</v>
      </c>
      <c r="D211"/>
      <c r="E211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44"/>
    </row>
    <row r="212" spans="1:21" ht="14.4" x14ac:dyDescent="0.3">
      <c r="A212" s="44"/>
      <c r="B212" s="69">
        <v>45500</v>
      </c>
      <c r="C212" s="381">
        <v>169</v>
      </c>
      <c r="D212"/>
      <c r="E212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44"/>
    </row>
    <row r="213" spans="1:21" ht="14.4" x14ac:dyDescent="0.3">
      <c r="A213" s="44"/>
      <c r="B213" s="69">
        <v>45501</v>
      </c>
      <c r="C213" s="381">
        <v>153</v>
      </c>
      <c r="D213"/>
      <c r="E213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44"/>
    </row>
    <row r="214" spans="1:21" ht="14.4" x14ac:dyDescent="0.3">
      <c r="A214" s="44"/>
      <c r="B214" s="69">
        <v>45502</v>
      </c>
      <c r="C214" s="381">
        <v>710</v>
      </c>
      <c r="D214"/>
      <c r="E21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44"/>
    </row>
    <row r="215" spans="1:21" ht="14.4" x14ac:dyDescent="0.3">
      <c r="A215" s="44"/>
      <c r="B215" s="69">
        <v>45503</v>
      </c>
      <c r="C215" s="381">
        <v>887</v>
      </c>
      <c r="D215"/>
      <c r="E215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44"/>
    </row>
    <row r="216" spans="1:21" ht="14.4" x14ac:dyDescent="0.3">
      <c r="A216" s="44"/>
      <c r="B216" s="69">
        <v>45504</v>
      </c>
      <c r="C216" s="381">
        <v>619</v>
      </c>
      <c r="D216"/>
      <c r="E216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44"/>
    </row>
    <row r="217" spans="1:21" ht="14.4" x14ac:dyDescent="0.3">
      <c r="A217" s="44"/>
      <c r="B217" s="69">
        <v>45505</v>
      </c>
      <c r="C217" s="381">
        <v>766</v>
      </c>
      <c r="D217"/>
      <c r="E217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44"/>
    </row>
    <row r="218" spans="1:21" ht="14.4" x14ac:dyDescent="0.3">
      <c r="A218" s="44"/>
      <c r="B218" s="69">
        <v>45506</v>
      </c>
      <c r="C218" s="381">
        <v>600</v>
      </c>
      <c r="D218"/>
      <c r="E218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44"/>
    </row>
    <row r="219" spans="1:21" ht="14.4" x14ac:dyDescent="0.3">
      <c r="A219" s="44"/>
      <c r="B219" s="69">
        <v>45507</v>
      </c>
      <c r="C219" s="381">
        <v>161</v>
      </c>
      <c r="D219"/>
      <c r="E219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44"/>
    </row>
    <row r="220" spans="1:21" ht="14.4" x14ac:dyDescent="0.3">
      <c r="A220" s="44"/>
      <c r="B220" s="69">
        <v>45508</v>
      </c>
      <c r="C220" s="381">
        <v>148</v>
      </c>
      <c r="D220"/>
      <c r="E220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44"/>
    </row>
    <row r="221" spans="1:21" ht="14.4" x14ac:dyDescent="0.3">
      <c r="A221" s="44"/>
      <c r="B221" s="69">
        <v>45509</v>
      </c>
      <c r="C221" s="381">
        <v>188</v>
      </c>
      <c r="D221"/>
      <c r="E221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44"/>
    </row>
    <row r="222" spans="1:21" ht="14.4" x14ac:dyDescent="0.3">
      <c r="A222" s="44"/>
      <c r="B222" s="69">
        <v>45510</v>
      </c>
      <c r="C222" s="381">
        <v>252</v>
      </c>
      <c r="D222"/>
      <c r="E222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44"/>
    </row>
    <row r="223" spans="1:21" ht="14.4" x14ac:dyDescent="0.3">
      <c r="A223" s="44"/>
      <c r="B223" s="69">
        <v>45511</v>
      </c>
      <c r="C223" s="381">
        <v>161</v>
      </c>
      <c r="D223"/>
      <c r="E223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44"/>
    </row>
    <row r="224" spans="1:21" ht="14.4" x14ac:dyDescent="0.3">
      <c r="A224" s="44"/>
      <c r="B224" s="69">
        <v>45512</v>
      </c>
      <c r="C224" s="381">
        <v>222</v>
      </c>
      <c r="D224"/>
      <c r="E2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44"/>
    </row>
    <row r="225" spans="1:21" ht="14.4" x14ac:dyDescent="0.3">
      <c r="A225" s="44"/>
      <c r="B225" s="69">
        <v>45513</v>
      </c>
      <c r="C225" s="381">
        <v>174</v>
      </c>
      <c r="D225"/>
      <c r="E225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44"/>
    </row>
    <row r="226" spans="1:21" ht="14.4" x14ac:dyDescent="0.3">
      <c r="A226" s="44"/>
      <c r="B226" s="69">
        <v>45514</v>
      </c>
      <c r="C226" s="381">
        <v>164</v>
      </c>
      <c r="D226"/>
      <c r="E226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44"/>
    </row>
    <row r="227" spans="1:21" ht="14.4" x14ac:dyDescent="0.3">
      <c r="A227" s="44"/>
      <c r="B227" s="69">
        <v>45515</v>
      </c>
      <c r="C227" s="381">
        <v>169</v>
      </c>
      <c r="D227"/>
      <c r="E227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44"/>
    </row>
    <row r="228" spans="1:21" ht="14.4" x14ac:dyDescent="0.3">
      <c r="A228" s="44"/>
      <c r="B228" s="69">
        <v>45516</v>
      </c>
      <c r="C228" s="381">
        <v>185</v>
      </c>
      <c r="D228"/>
      <c r="E228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44"/>
    </row>
    <row r="229" spans="1:21" ht="14.4" x14ac:dyDescent="0.3">
      <c r="A229" s="44"/>
      <c r="B229" s="69">
        <v>45517</v>
      </c>
      <c r="C229" s="381">
        <v>219</v>
      </c>
      <c r="D229"/>
      <c r="E229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44"/>
    </row>
    <row r="230" spans="1:21" ht="14.4" x14ac:dyDescent="0.3">
      <c r="A230" s="44"/>
      <c r="B230" s="69">
        <v>45518</v>
      </c>
      <c r="C230" s="381">
        <v>159</v>
      </c>
      <c r="D230"/>
      <c r="E230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44"/>
    </row>
    <row r="231" spans="1:21" ht="14.4" x14ac:dyDescent="0.3">
      <c r="A231" s="44"/>
      <c r="B231" s="69">
        <v>45519</v>
      </c>
      <c r="C231" s="381">
        <v>143</v>
      </c>
      <c r="D231"/>
      <c r="E231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44"/>
    </row>
    <row r="232" spans="1:21" ht="14.4" x14ac:dyDescent="0.3">
      <c r="A232" s="44"/>
      <c r="B232" s="69">
        <v>45520</v>
      </c>
      <c r="C232" s="381">
        <v>143</v>
      </c>
      <c r="D232"/>
      <c r="E232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44"/>
    </row>
    <row r="233" spans="1:21" ht="14.4" x14ac:dyDescent="0.3">
      <c r="A233" s="44"/>
      <c r="B233" s="69">
        <v>45521</v>
      </c>
      <c r="C233" s="381">
        <v>148</v>
      </c>
      <c r="D233"/>
      <c r="E233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44"/>
    </row>
    <row r="234" spans="1:21" ht="14.4" x14ac:dyDescent="0.3">
      <c r="A234" s="44"/>
      <c r="B234" s="69">
        <v>45522</v>
      </c>
      <c r="C234" s="381">
        <v>130</v>
      </c>
      <c r="D234"/>
      <c r="E23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44"/>
    </row>
    <row r="235" spans="1:21" ht="14.4" x14ac:dyDescent="0.3">
      <c r="A235" s="44"/>
      <c r="B235" s="69">
        <v>45523</v>
      </c>
      <c r="C235" s="381">
        <v>684</v>
      </c>
      <c r="D235"/>
      <c r="E235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44"/>
    </row>
    <row r="236" spans="1:21" ht="14.4" x14ac:dyDescent="0.3">
      <c r="A236" s="44"/>
      <c r="B236" s="69">
        <v>45524</v>
      </c>
      <c r="C236" s="381">
        <v>712</v>
      </c>
      <c r="D236"/>
      <c r="E236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44"/>
    </row>
    <row r="237" spans="1:21" ht="14.4" x14ac:dyDescent="0.3">
      <c r="A237" s="44"/>
      <c r="B237" s="69">
        <v>45525</v>
      </c>
      <c r="C237" s="381">
        <v>536</v>
      </c>
      <c r="D237"/>
      <c r="E237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44"/>
    </row>
    <row r="238" spans="1:21" ht="14.4" x14ac:dyDescent="0.3">
      <c r="A238" s="44"/>
      <c r="B238" s="69">
        <v>45526</v>
      </c>
      <c r="C238" s="381">
        <v>672</v>
      </c>
      <c r="D238"/>
      <c r="E238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44"/>
    </row>
    <row r="239" spans="1:21" ht="14.4" x14ac:dyDescent="0.3">
      <c r="A239" s="44"/>
      <c r="B239" s="69">
        <v>45527</v>
      </c>
      <c r="C239" s="381">
        <v>520</v>
      </c>
      <c r="D239"/>
      <c r="E239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44"/>
    </row>
    <row r="240" spans="1:21" ht="14.4" x14ac:dyDescent="0.3">
      <c r="A240" s="44"/>
      <c r="B240" s="69">
        <v>45528</v>
      </c>
      <c r="C240" s="381">
        <v>141</v>
      </c>
      <c r="D240"/>
      <c r="E240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44"/>
    </row>
    <row r="241" spans="1:21" ht="14.4" x14ac:dyDescent="0.3">
      <c r="A241" s="44"/>
      <c r="B241" s="69">
        <v>45529</v>
      </c>
      <c r="C241" s="381">
        <v>132</v>
      </c>
      <c r="D241"/>
      <c r="E241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44"/>
    </row>
    <row r="242" spans="1:21" ht="14.4" x14ac:dyDescent="0.3">
      <c r="A242" s="44"/>
      <c r="B242" s="69">
        <v>45530</v>
      </c>
      <c r="C242" s="381">
        <v>539</v>
      </c>
      <c r="D242"/>
      <c r="E242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44"/>
    </row>
    <row r="243" spans="1:21" ht="14.4" x14ac:dyDescent="0.3">
      <c r="A243" s="44"/>
      <c r="B243" s="69">
        <v>45531</v>
      </c>
      <c r="C243" s="381">
        <v>678</v>
      </c>
      <c r="D243"/>
      <c r="E243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44"/>
    </row>
    <row r="244" spans="1:21" ht="14.4" x14ac:dyDescent="0.3">
      <c r="A244" s="44"/>
      <c r="B244" s="69">
        <v>45532</v>
      </c>
      <c r="C244" s="381">
        <v>534</v>
      </c>
      <c r="D244"/>
      <c r="E24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44"/>
    </row>
    <row r="245" spans="1:21" ht="14.4" x14ac:dyDescent="0.3">
      <c r="A245" s="44"/>
      <c r="B245" s="69">
        <v>45533</v>
      </c>
      <c r="C245" s="381">
        <v>639</v>
      </c>
      <c r="D245"/>
      <c r="E245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44"/>
    </row>
    <row r="246" spans="1:21" ht="14.4" x14ac:dyDescent="0.3">
      <c r="A246" s="44"/>
      <c r="B246" s="69">
        <v>45534</v>
      </c>
      <c r="C246" s="381">
        <v>480</v>
      </c>
      <c r="D246"/>
      <c r="E246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44"/>
    </row>
    <row r="247" spans="1:21" ht="14.4" x14ac:dyDescent="0.3">
      <c r="A247" s="44"/>
      <c r="B247" s="69">
        <v>45535</v>
      </c>
      <c r="C247" s="381">
        <v>142</v>
      </c>
      <c r="D247"/>
      <c r="E247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44"/>
    </row>
    <row r="248" spans="1:21" ht="14.4" x14ac:dyDescent="0.3">
      <c r="A248" s="44"/>
      <c r="B248" s="69">
        <v>45536</v>
      </c>
      <c r="C248" s="381">
        <v>133</v>
      </c>
      <c r="D248"/>
      <c r="E248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44"/>
    </row>
    <row r="249" spans="1:21" ht="17.399999999999999" customHeight="1" x14ac:dyDescent="0.45">
      <c r="A249" s="44"/>
      <c r="B249" s="69">
        <v>45537</v>
      </c>
      <c r="C249" s="381">
        <v>558</v>
      </c>
      <c r="D249" s="72">
        <f t="shared" ref="D249:D261" si="0">+B249</f>
        <v>45537</v>
      </c>
      <c r="E249" s="70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44"/>
    </row>
    <row r="250" spans="1:21" ht="17.399999999999999" customHeight="1" x14ac:dyDescent="0.45">
      <c r="A250" s="44"/>
      <c r="B250" s="69">
        <v>45538</v>
      </c>
      <c r="C250" s="381">
        <v>543</v>
      </c>
      <c r="D250" s="72">
        <f t="shared" si="0"/>
        <v>45538</v>
      </c>
      <c r="E250" s="70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44"/>
    </row>
    <row r="251" spans="1:21" ht="17.399999999999999" customHeight="1" x14ac:dyDescent="0.45">
      <c r="A251" s="44"/>
      <c r="B251" s="69">
        <v>45539</v>
      </c>
      <c r="C251" s="381">
        <v>418</v>
      </c>
      <c r="D251" s="72">
        <f t="shared" si="0"/>
        <v>45539</v>
      </c>
      <c r="E251" s="70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44"/>
    </row>
    <row r="252" spans="1:21" ht="17.399999999999999" customHeight="1" x14ac:dyDescent="0.45">
      <c r="A252" s="44"/>
      <c r="B252" s="69">
        <v>45540</v>
      </c>
      <c r="C252" s="381">
        <v>440</v>
      </c>
      <c r="D252" s="72">
        <f t="shared" si="0"/>
        <v>45540</v>
      </c>
      <c r="E252" s="70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44"/>
    </row>
    <row r="253" spans="1:21" ht="17.399999999999999" customHeight="1" x14ac:dyDescent="0.45">
      <c r="A253" s="44"/>
      <c r="B253" s="69">
        <v>45541</v>
      </c>
      <c r="C253" s="381">
        <v>417</v>
      </c>
      <c r="D253" s="72">
        <f t="shared" si="0"/>
        <v>45541</v>
      </c>
      <c r="E253" s="70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44"/>
    </row>
    <row r="254" spans="1:21" ht="17.399999999999999" customHeight="1" x14ac:dyDescent="0.45">
      <c r="A254" s="44"/>
      <c r="B254" s="69">
        <v>45542</v>
      </c>
      <c r="C254" s="381">
        <v>166</v>
      </c>
      <c r="D254" s="72">
        <f t="shared" si="0"/>
        <v>45542</v>
      </c>
      <c r="E254" s="70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44"/>
    </row>
    <row r="255" spans="1:21" ht="17.399999999999999" customHeight="1" x14ac:dyDescent="0.45">
      <c r="A255" s="44"/>
      <c r="B255" s="69">
        <v>45543</v>
      </c>
      <c r="C255" s="381">
        <v>179</v>
      </c>
      <c r="D255" s="72">
        <f t="shared" si="0"/>
        <v>45543</v>
      </c>
      <c r="E255" s="70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44"/>
    </row>
    <row r="256" spans="1:21" ht="17.399999999999999" customHeight="1" x14ac:dyDescent="0.45">
      <c r="A256" s="44"/>
      <c r="B256" s="69">
        <v>45544</v>
      </c>
      <c r="C256" s="381">
        <v>510</v>
      </c>
      <c r="D256" s="72">
        <f t="shared" si="0"/>
        <v>45544</v>
      </c>
      <c r="E256" s="70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44"/>
    </row>
    <row r="257" spans="1:21" ht="17.399999999999999" customHeight="1" x14ac:dyDescent="0.45">
      <c r="A257" s="44"/>
      <c r="B257" s="69">
        <v>45545</v>
      </c>
      <c r="C257" s="381">
        <v>511</v>
      </c>
      <c r="D257" s="72">
        <f t="shared" si="0"/>
        <v>45545</v>
      </c>
      <c r="E257" s="70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44"/>
    </row>
    <row r="258" spans="1:21" ht="17.399999999999999" customHeight="1" x14ac:dyDescent="0.45">
      <c r="A258" s="44"/>
      <c r="B258" s="69">
        <v>45546</v>
      </c>
      <c r="C258" s="381">
        <v>168</v>
      </c>
      <c r="D258" s="72">
        <f t="shared" si="0"/>
        <v>45546</v>
      </c>
      <c r="E258" s="70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44"/>
    </row>
    <row r="259" spans="1:21" ht="17.399999999999999" customHeight="1" x14ac:dyDescent="0.45">
      <c r="A259" s="44"/>
      <c r="B259" s="69">
        <v>45547</v>
      </c>
      <c r="C259" s="381">
        <v>511</v>
      </c>
      <c r="D259" s="72">
        <f t="shared" si="0"/>
        <v>45547</v>
      </c>
      <c r="E259" s="70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44"/>
    </row>
    <row r="260" spans="1:21" ht="17.399999999999999" customHeight="1" x14ac:dyDescent="0.45">
      <c r="A260" s="44"/>
      <c r="B260" s="69">
        <v>45548</v>
      </c>
      <c r="C260" s="381">
        <v>397</v>
      </c>
      <c r="D260" s="72">
        <f t="shared" si="0"/>
        <v>45548</v>
      </c>
      <c r="E260" s="70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44"/>
    </row>
    <row r="261" spans="1:21" ht="17.399999999999999" customHeight="1" x14ac:dyDescent="0.45">
      <c r="A261" s="44"/>
      <c r="B261" s="69">
        <v>45549</v>
      </c>
      <c r="C261" s="381">
        <v>214</v>
      </c>
      <c r="D261" s="72">
        <f t="shared" si="0"/>
        <v>45549</v>
      </c>
      <c r="E261" s="70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44"/>
    </row>
    <row r="262" spans="1:21" ht="17.399999999999999" customHeight="1" x14ac:dyDescent="0.45">
      <c r="A262" s="44"/>
      <c r="B262" s="69">
        <v>45550</v>
      </c>
      <c r="C262" s="381">
        <v>223</v>
      </c>
      <c r="D262" s="72">
        <f t="shared" ref="D262:D325" si="1">+B262</f>
        <v>45550</v>
      </c>
      <c r="E262" s="70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44"/>
    </row>
    <row r="263" spans="1:21" ht="17.399999999999999" customHeight="1" x14ac:dyDescent="0.45">
      <c r="A263" s="44"/>
      <c r="B263" s="69">
        <v>45551</v>
      </c>
      <c r="C263" s="381">
        <v>377</v>
      </c>
      <c r="D263" s="72">
        <f t="shared" si="1"/>
        <v>45551</v>
      </c>
      <c r="E263" s="70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44"/>
    </row>
    <row r="264" spans="1:21" ht="17.399999999999999" customHeight="1" x14ac:dyDescent="0.45">
      <c r="A264" s="44"/>
      <c r="B264" s="69">
        <v>45552</v>
      </c>
      <c r="C264" s="381">
        <v>403</v>
      </c>
      <c r="D264" s="72">
        <f t="shared" si="1"/>
        <v>45552</v>
      </c>
      <c r="E264" s="70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44"/>
    </row>
    <row r="265" spans="1:21" ht="17.399999999999999" customHeight="1" x14ac:dyDescent="0.45">
      <c r="A265" s="44"/>
      <c r="B265" s="69">
        <v>45553</v>
      </c>
      <c r="C265" s="381">
        <v>354</v>
      </c>
      <c r="D265" s="72">
        <f t="shared" si="1"/>
        <v>45553</v>
      </c>
      <c r="E265" s="70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44"/>
    </row>
    <row r="266" spans="1:21" ht="17.399999999999999" customHeight="1" x14ac:dyDescent="0.45">
      <c r="A266" s="44"/>
      <c r="B266" s="69">
        <v>45554</v>
      </c>
      <c r="C266" s="381">
        <v>439</v>
      </c>
      <c r="D266" s="72">
        <f t="shared" si="1"/>
        <v>45554</v>
      </c>
      <c r="E266" s="70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44"/>
    </row>
    <row r="267" spans="1:21" ht="17.399999999999999" customHeight="1" x14ac:dyDescent="0.45">
      <c r="A267" s="44"/>
      <c r="B267" s="69">
        <v>45555</v>
      </c>
      <c r="C267" s="381">
        <v>323</v>
      </c>
      <c r="D267" s="72">
        <f t="shared" si="1"/>
        <v>45555</v>
      </c>
      <c r="E267" s="70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44"/>
    </row>
    <row r="268" spans="1:21" ht="17.399999999999999" customHeight="1" x14ac:dyDescent="0.45">
      <c r="A268" s="44"/>
      <c r="B268" s="69">
        <v>45556</v>
      </c>
      <c r="C268" s="381">
        <v>221</v>
      </c>
      <c r="D268" s="72">
        <f t="shared" si="1"/>
        <v>45556</v>
      </c>
      <c r="E268" s="70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44"/>
    </row>
    <row r="269" spans="1:21" ht="17.399999999999999" customHeight="1" x14ac:dyDescent="0.45">
      <c r="A269" s="44"/>
      <c r="B269" s="69">
        <v>45557</v>
      </c>
      <c r="C269" s="381">
        <v>149</v>
      </c>
      <c r="D269" s="72">
        <f t="shared" si="1"/>
        <v>45557</v>
      </c>
      <c r="E269" s="70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44"/>
    </row>
    <row r="270" spans="1:21" ht="17.399999999999999" customHeight="1" x14ac:dyDescent="0.45">
      <c r="A270" s="44"/>
      <c r="B270" s="69">
        <v>45558</v>
      </c>
      <c r="C270" s="381">
        <v>304</v>
      </c>
      <c r="D270" s="72">
        <f t="shared" si="1"/>
        <v>45558</v>
      </c>
      <c r="E270" s="70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44"/>
    </row>
    <row r="271" spans="1:21" ht="17.399999999999999" customHeight="1" x14ac:dyDescent="0.45">
      <c r="A271" s="44"/>
      <c r="B271" s="69">
        <v>45559</v>
      </c>
      <c r="C271" s="381">
        <v>373</v>
      </c>
      <c r="D271" s="72">
        <f t="shared" si="1"/>
        <v>45559</v>
      </c>
      <c r="E271" s="70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44"/>
    </row>
    <row r="272" spans="1:21" ht="17.399999999999999" customHeight="1" x14ac:dyDescent="0.45">
      <c r="A272" s="44"/>
      <c r="B272" s="69">
        <v>45560</v>
      </c>
      <c r="C272" s="381">
        <v>336</v>
      </c>
      <c r="D272" s="72">
        <f t="shared" si="1"/>
        <v>45560</v>
      </c>
      <c r="E272" s="70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44"/>
    </row>
    <row r="273" spans="1:21" ht="17.399999999999999" customHeight="1" x14ac:dyDescent="0.45">
      <c r="A273" s="44"/>
      <c r="B273" s="69">
        <v>45561</v>
      </c>
      <c r="C273" s="381">
        <v>425</v>
      </c>
      <c r="D273" s="72">
        <f t="shared" si="1"/>
        <v>45561</v>
      </c>
      <c r="E273" s="70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44"/>
    </row>
    <row r="274" spans="1:21" ht="17.399999999999999" customHeight="1" x14ac:dyDescent="0.45">
      <c r="A274" s="44"/>
      <c r="B274" s="69">
        <v>45562</v>
      </c>
      <c r="C274" s="381">
        <v>352</v>
      </c>
      <c r="D274" s="72">
        <f t="shared" si="1"/>
        <v>45562</v>
      </c>
      <c r="E274" s="70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44"/>
    </row>
    <row r="275" spans="1:21" ht="17.399999999999999" customHeight="1" x14ac:dyDescent="0.45">
      <c r="A275" s="44"/>
      <c r="B275" s="69">
        <v>45563</v>
      </c>
      <c r="C275" s="381">
        <v>158</v>
      </c>
      <c r="D275" s="72">
        <f t="shared" si="1"/>
        <v>45563</v>
      </c>
      <c r="E275" s="70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44"/>
    </row>
    <row r="276" spans="1:21" ht="17.399999999999999" customHeight="1" x14ac:dyDescent="0.45">
      <c r="A276" s="44"/>
      <c r="B276" s="69">
        <v>45564</v>
      </c>
      <c r="C276" s="381">
        <v>136</v>
      </c>
      <c r="D276" s="72">
        <f t="shared" si="1"/>
        <v>45564</v>
      </c>
      <c r="E276" s="70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44"/>
    </row>
    <row r="277" spans="1:21" ht="17.399999999999999" customHeight="1" x14ac:dyDescent="0.45">
      <c r="A277" s="44"/>
      <c r="B277" s="69">
        <v>45565</v>
      </c>
      <c r="C277" s="381">
        <v>145</v>
      </c>
      <c r="D277" s="72">
        <f t="shared" si="1"/>
        <v>45565</v>
      </c>
      <c r="E277" s="70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44"/>
    </row>
    <row r="278" spans="1:21" ht="17.399999999999999" customHeight="1" x14ac:dyDescent="0.45">
      <c r="A278" s="44"/>
      <c r="B278" s="69">
        <v>45566</v>
      </c>
      <c r="C278" s="381">
        <v>376</v>
      </c>
      <c r="D278" s="72">
        <f t="shared" si="1"/>
        <v>45566</v>
      </c>
      <c r="E278" s="70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44"/>
    </row>
    <row r="279" spans="1:21" ht="17.399999999999999" customHeight="1" x14ac:dyDescent="0.45">
      <c r="A279" s="44"/>
      <c r="B279" s="69">
        <v>45567</v>
      </c>
      <c r="C279" s="381">
        <v>311</v>
      </c>
      <c r="D279" s="72">
        <f t="shared" si="1"/>
        <v>45567</v>
      </c>
      <c r="E279" s="70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44"/>
    </row>
    <row r="280" spans="1:21" ht="17.399999999999999" customHeight="1" x14ac:dyDescent="0.45">
      <c r="A280" s="44"/>
      <c r="B280" s="69">
        <v>45568</v>
      </c>
      <c r="C280" s="381">
        <v>388</v>
      </c>
      <c r="D280" s="72">
        <f t="shared" si="1"/>
        <v>45568</v>
      </c>
      <c r="E280" s="70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44"/>
    </row>
    <row r="281" spans="1:21" ht="17.399999999999999" customHeight="1" x14ac:dyDescent="0.45">
      <c r="A281" s="44"/>
      <c r="B281" s="69">
        <v>45569</v>
      </c>
      <c r="C281" s="381">
        <v>300</v>
      </c>
      <c r="D281" s="72">
        <f t="shared" si="1"/>
        <v>45569</v>
      </c>
      <c r="E281" s="70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44"/>
    </row>
    <row r="282" spans="1:21" ht="17.399999999999999" customHeight="1" x14ac:dyDescent="0.45">
      <c r="A282" s="44"/>
      <c r="B282" s="69">
        <v>45570</v>
      </c>
      <c r="C282" s="381">
        <v>196</v>
      </c>
      <c r="D282" s="72">
        <f t="shared" si="1"/>
        <v>45570</v>
      </c>
      <c r="E282" s="70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44"/>
    </row>
    <row r="283" spans="1:21" ht="17.399999999999999" customHeight="1" x14ac:dyDescent="0.45">
      <c r="A283" s="44"/>
      <c r="B283" s="69">
        <v>45571</v>
      </c>
      <c r="C283" s="381">
        <v>134</v>
      </c>
      <c r="D283" s="72">
        <f t="shared" si="1"/>
        <v>45571</v>
      </c>
      <c r="E283" s="70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44"/>
    </row>
    <row r="284" spans="1:21" ht="17.399999999999999" customHeight="1" x14ac:dyDescent="0.45">
      <c r="A284" s="44"/>
      <c r="B284" s="69">
        <v>45572</v>
      </c>
      <c r="C284" s="381">
        <v>317</v>
      </c>
      <c r="D284" s="72">
        <f t="shared" si="1"/>
        <v>45572</v>
      </c>
      <c r="E284" s="70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44"/>
    </row>
    <row r="285" spans="1:21" ht="17.399999999999999" customHeight="1" x14ac:dyDescent="0.45">
      <c r="A285" s="44"/>
      <c r="B285" s="69">
        <v>45573</v>
      </c>
      <c r="C285" s="381">
        <v>387</v>
      </c>
      <c r="D285" s="72">
        <f t="shared" si="1"/>
        <v>45573</v>
      </c>
      <c r="E285" s="70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44"/>
    </row>
    <row r="286" spans="1:21" ht="17.399999999999999" customHeight="1" x14ac:dyDescent="0.45">
      <c r="A286" s="44"/>
      <c r="B286" s="69">
        <v>45574</v>
      </c>
      <c r="C286" s="381">
        <v>315</v>
      </c>
      <c r="D286" s="72">
        <f t="shared" si="1"/>
        <v>45574</v>
      </c>
      <c r="E286" s="70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44"/>
    </row>
    <row r="287" spans="1:21" ht="17.399999999999999" customHeight="1" x14ac:dyDescent="0.45">
      <c r="A287" s="44"/>
      <c r="B287" s="69">
        <v>45575</v>
      </c>
      <c r="C287" s="381">
        <v>365</v>
      </c>
      <c r="D287" s="72">
        <f t="shared" si="1"/>
        <v>45575</v>
      </c>
      <c r="E287" s="70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44"/>
    </row>
    <row r="288" spans="1:21" ht="17.399999999999999" customHeight="1" x14ac:dyDescent="0.45">
      <c r="A288" s="44"/>
      <c r="B288" s="69">
        <v>45576</v>
      </c>
      <c r="C288" s="381">
        <v>296</v>
      </c>
      <c r="D288" s="72">
        <f t="shared" si="1"/>
        <v>45576</v>
      </c>
      <c r="E288" s="70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44"/>
    </row>
    <row r="289" spans="1:21" ht="17.399999999999999" customHeight="1" x14ac:dyDescent="0.45">
      <c r="A289" s="44"/>
      <c r="B289" s="69">
        <v>45577</v>
      </c>
      <c r="C289" s="381">
        <v>167</v>
      </c>
      <c r="D289" s="72">
        <f t="shared" si="1"/>
        <v>45577</v>
      </c>
      <c r="E289" s="70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44"/>
    </row>
    <row r="290" spans="1:21" ht="17.399999999999999" customHeight="1" x14ac:dyDescent="0.45">
      <c r="A290" s="44"/>
      <c r="B290" s="69">
        <v>45578</v>
      </c>
      <c r="C290" s="381">
        <v>133</v>
      </c>
      <c r="D290" s="72">
        <f t="shared" si="1"/>
        <v>45578</v>
      </c>
      <c r="E290" s="70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44"/>
    </row>
    <row r="291" spans="1:21" ht="17.399999999999999" customHeight="1" x14ac:dyDescent="0.45">
      <c r="A291" s="44"/>
      <c r="B291" s="69">
        <v>45579</v>
      </c>
      <c r="C291" s="381">
        <v>288</v>
      </c>
      <c r="D291" s="72">
        <f t="shared" si="1"/>
        <v>45579</v>
      </c>
      <c r="E291" s="70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44"/>
    </row>
    <row r="292" spans="1:21" ht="17.399999999999999" customHeight="1" x14ac:dyDescent="0.45">
      <c r="A292" s="44"/>
      <c r="B292" s="69">
        <v>45580</v>
      </c>
      <c r="C292" s="381">
        <v>351</v>
      </c>
      <c r="D292" s="72">
        <f t="shared" si="1"/>
        <v>45580</v>
      </c>
      <c r="E292" s="70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44"/>
    </row>
    <row r="293" spans="1:21" ht="17.399999999999999" customHeight="1" x14ac:dyDescent="0.45">
      <c r="A293" s="44"/>
      <c r="B293" s="69">
        <v>45581</v>
      </c>
      <c r="C293" s="381">
        <v>310</v>
      </c>
      <c r="D293" s="72">
        <f t="shared" si="1"/>
        <v>45581</v>
      </c>
      <c r="E293" s="70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44"/>
    </row>
    <row r="294" spans="1:21" ht="17.399999999999999" customHeight="1" x14ac:dyDescent="0.45">
      <c r="A294" s="44"/>
      <c r="B294" s="69">
        <v>45582</v>
      </c>
      <c r="C294" s="381">
        <v>334</v>
      </c>
      <c r="D294" s="72">
        <f t="shared" si="1"/>
        <v>45582</v>
      </c>
      <c r="E294" s="70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44"/>
    </row>
    <row r="295" spans="1:21" ht="17.399999999999999" customHeight="1" x14ac:dyDescent="0.45">
      <c r="A295" s="44"/>
      <c r="B295" s="69">
        <v>45583</v>
      </c>
      <c r="C295" s="381">
        <v>266</v>
      </c>
      <c r="D295" s="72">
        <f t="shared" si="1"/>
        <v>45583</v>
      </c>
      <c r="E295" s="70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44"/>
    </row>
    <row r="296" spans="1:21" ht="17.399999999999999" customHeight="1" x14ac:dyDescent="0.45">
      <c r="A296" s="44"/>
      <c r="B296" s="69">
        <v>45584</v>
      </c>
      <c r="C296" s="381">
        <v>214</v>
      </c>
      <c r="D296" s="72">
        <f t="shared" si="1"/>
        <v>45584</v>
      </c>
      <c r="E296" s="70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44"/>
    </row>
    <row r="297" spans="1:21" ht="17.399999999999999" customHeight="1" x14ac:dyDescent="0.45">
      <c r="A297" s="44"/>
      <c r="B297" s="69">
        <v>45585</v>
      </c>
      <c r="C297" s="381">
        <v>141</v>
      </c>
      <c r="D297" s="72">
        <f t="shared" si="1"/>
        <v>45585</v>
      </c>
      <c r="E297" s="70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44"/>
    </row>
    <row r="298" spans="1:21" ht="17.399999999999999" customHeight="1" x14ac:dyDescent="0.45">
      <c r="A298" s="44"/>
      <c r="B298" s="69">
        <v>45586</v>
      </c>
      <c r="C298" s="381">
        <v>291</v>
      </c>
      <c r="D298" s="72">
        <f t="shared" si="1"/>
        <v>45586</v>
      </c>
      <c r="E298" s="70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44"/>
    </row>
    <row r="299" spans="1:21" ht="17.399999999999999" customHeight="1" x14ac:dyDescent="0.45">
      <c r="A299" s="44"/>
      <c r="B299" s="69">
        <v>45587</v>
      </c>
      <c r="C299" s="381">
        <v>348</v>
      </c>
      <c r="D299" s="72">
        <f t="shared" si="1"/>
        <v>45587</v>
      </c>
      <c r="E299" s="70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44"/>
    </row>
    <row r="300" spans="1:21" ht="17.399999999999999" customHeight="1" x14ac:dyDescent="0.45">
      <c r="A300" s="44"/>
      <c r="B300" s="69">
        <v>45588</v>
      </c>
      <c r="C300" s="381">
        <v>284</v>
      </c>
      <c r="D300" s="72">
        <f t="shared" si="1"/>
        <v>45588</v>
      </c>
      <c r="E300" s="70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44"/>
    </row>
    <row r="301" spans="1:21" ht="17.399999999999999" customHeight="1" x14ac:dyDescent="0.45">
      <c r="A301" s="44"/>
      <c r="B301" s="69">
        <v>45589</v>
      </c>
      <c r="C301" s="381">
        <v>334</v>
      </c>
      <c r="D301" s="72">
        <f t="shared" si="1"/>
        <v>45589</v>
      </c>
      <c r="E301" s="70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44"/>
    </row>
    <row r="302" spans="1:21" ht="17.399999999999999" customHeight="1" x14ac:dyDescent="0.45">
      <c r="A302" s="44"/>
      <c r="B302" s="69">
        <v>45590</v>
      </c>
      <c r="C302" s="381">
        <v>261</v>
      </c>
      <c r="D302" s="72">
        <f t="shared" si="1"/>
        <v>45590</v>
      </c>
      <c r="E302" s="70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44"/>
    </row>
    <row r="303" spans="1:21" ht="17.399999999999999" customHeight="1" x14ac:dyDescent="0.45">
      <c r="A303" s="44"/>
      <c r="B303" s="69">
        <v>45591</v>
      </c>
      <c r="C303" s="381">
        <v>257</v>
      </c>
      <c r="D303" s="72">
        <f t="shared" si="1"/>
        <v>45591</v>
      </c>
      <c r="E303" s="70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44"/>
    </row>
    <row r="304" spans="1:21" ht="17.399999999999999" customHeight="1" x14ac:dyDescent="0.45">
      <c r="A304" s="44"/>
      <c r="B304" s="69">
        <v>45592</v>
      </c>
      <c r="C304" s="381">
        <v>150</v>
      </c>
      <c r="D304" s="72">
        <f t="shared" si="1"/>
        <v>45592</v>
      </c>
      <c r="E304" s="70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44"/>
    </row>
    <row r="305" spans="1:21" ht="17.399999999999999" customHeight="1" x14ac:dyDescent="0.45">
      <c r="A305" s="44"/>
      <c r="B305" s="69">
        <v>45593</v>
      </c>
      <c r="C305" s="381">
        <v>355</v>
      </c>
      <c r="D305" s="72">
        <f t="shared" si="1"/>
        <v>45593</v>
      </c>
      <c r="E305" s="70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44"/>
    </row>
    <row r="306" spans="1:21" ht="17.399999999999999" customHeight="1" x14ac:dyDescent="0.45">
      <c r="A306" s="44"/>
      <c r="B306" s="69">
        <v>45594</v>
      </c>
      <c r="C306" s="381">
        <v>333</v>
      </c>
      <c r="D306" s="72">
        <f t="shared" si="1"/>
        <v>45594</v>
      </c>
      <c r="E306" s="70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44"/>
    </row>
    <row r="307" spans="1:21" ht="17.399999999999999" customHeight="1" x14ac:dyDescent="0.45">
      <c r="A307" s="44"/>
      <c r="B307" s="69">
        <v>45595</v>
      </c>
      <c r="C307" s="381">
        <v>301</v>
      </c>
      <c r="D307" s="72">
        <f t="shared" si="1"/>
        <v>45595</v>
      </c>
      <c r="E307" s="70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44"/>
    </row>
    <row r="308" spans="1:21" ht="17.399999999999999" customHeight="1" x14ac:dyDescent="0.45">
      <c r="A308" s="44"/>
      <c r="B308" s="69">
        <v>45596</v>
      </c>
      <c r="C308" s="381">
        <v>262</v>
      </c>
      <c r="D308" s="72">
        <f t="shared" si="1"/>
        <v>45596</v>
      </c>
      <c r="E308" s="70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44"/>
    </row>
    <row r="309" spans="1:21" ht="17.399999999999999" customHeight="1" x14ac:dyDescent="0.45">
      <c r="A309" s="44"/>
      <c r="B309" s="69">
        <v>45597</v>
      </c>
      <c r="C309" s="381">
        <v>141</v>
      </c>
      <c r="D309" s="72">
        <f t="shared" si="1"/>
        <v>45597</v>
      </c>
      <c r="E309" s="70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44"/>
    </row>
    <row r="310" spans="1:21" ht="17.399999999999999" customHeight="1" x14ac:dyDescent="0.45">
      <c r="A310" s="44"/>
      <c r="B310" s="69">
        <v>45598</v>
      </c>
      <c r="C310" s="381">
        <v>141</v>
      </c>
      <c r="D310" s="72">
        <f t="shared" si="1"/>
        <v>45598</v>
      </c>
      <c r="E310" s="70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44"/>
    </row>
    <row r="311" spans="1:21" ht="17.399999999999999" customHeight="1" x14ac:dyDescent="0.45">
      <c r="A311" s="44"/>
      <c r="B311" s="69">
        <v>45599</v>
      </c>
      <c r="C311" s="381">
        <v>134</v>
      </c>
      <c r="D311" s="72">
        <f t="shared" si="1"/>
        <v>45599</v>
      </c>
      <c r="E311" s="70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44"/>
    </row>
    <row r="312" spans="1:21" ht="17.399999999999999" customHeight="1" x14ac:dyDescent="0.45">
      <c r="A312" s="44"/>
      <c r="B312" s="69">
        <v>45600</v>
      </c>
      <c r="C312" s="381">
        <v>333</v>
      </c>
      <c r="D312" s="72">
        <f t="shared" si="1"/>
        <v>45600</v>
      </c>
      <c r="E312" s="70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44"/>
    </row>
    <row r="313" spans="1:21" ht="17.399999999999999" customHeight="1" x14ac:dyDescent="0.45">
      <c r="A313" s="44"/>
      <c r="B313" s="69">
        <v>45601</v>
      </c>
      <c r="C313" s="381">
        <v>321</v>
      </c>
      <c r="D313" s="72">
        <f t="shared" si="1"/>
        <v>45601</v>
      </c>
      <c r="E313" s="70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44"/>
    </row>
    <row r="314" spans="1:21" ht="17.399999999999999" customHeight="1" x14ac:dyDescent="0.45">
      <c r="A314" s="44"/>
      <c r="B314" s="69">
        <v>45602</v>
      </c>
      <c r="C314" s="381">
        <v>258</v>
      </c>
      <c r="D314" s="72">
        <f t="shared" si="1"/>
        <v>45602</v>
      </c>
      <c r="E314" s="70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44"/>
    </row>
    <row r="315" spans="1:21" ht="17.399999999999999" customHeight="1" x14ac:dyDescent="0.45">
      <c r="A315" s="44"/>
      <c r="B315" s="69">
        <v>45603</v>
      </c>
      <c r="C315" s="381">
        <v>372</v>
      </c>
      <c r="D315" s="72">
        <f t="shared" si="1"/>
        <v>45603</v>
      </c>
      <c r="E315" s="70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44"/>
    </row>
    <row r="316" spans="1:21" ht="17.399999999999999" customHeight="1" x14ac:dyDescent="0.45">
      <c r="A316" s="44"/>
      <c r="B316" s="69">
        <v>45604</v>
      </c>
      <c r="C316" s="381">
        <v>317</v>
      </c>
      <c r="D316" s="72">
        <f t="shared" si="1"/>
        <v>45604</v>
      </c>
      <c r="E316" s="70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44"/>
    </row>
    <row r="317" spans="1:21" ht="17.399999999999999" customHeight="1" x14ac:dyDescent="0.45">
      <c r="A317" s="44"/>
      <c r="B317" s="69">
        <v>45605</v>
      </c>
      <c r="C317" s="381">
        <v>223</v>
      </c>
      <c r="D317" s="72">
        <f t="shared" si="1"/>
        <v>45605</v>
      </c>
      <c r="E317" s="70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44"/>
    </row>
    <row r="318" spans="1:21" ht="17.399999999999999" customHeight="1" x14ac:dyDescent="0.45">
      <c r="A318" s="44"/>
      <c r="B318" s="69">
        <v>45606</v>
      </c>
      <c r="C318" s="381">
        <v>154</v>
      </c>
      <c r="D318" s="72">
        <f t="shared" si="1"/>
        <v>45606</v>
      </c>
      <c r="E318" s="70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44"/>
    </row>
    <row r="319" spans="1:21" ht="17.399999999999999" customHeight="1" x14ac:dyDescent="0.45">
      <c r="A319" s="44"/>
      <c r="B319" s="69">
        <v>45607</v>
      </c>
      <c r="C319" s="381">
        <v>337</v>
      </c>
      <c r="D319" s="72">
        <f t="shared" si="1"/>
        <v>45607</v>
      </c>
      <c r="E319" s="70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44"/>
    </row>
    <row r="320" spans="1:21" ht="17.399999999999999" customHeight="1" x14ac:dyDescent="0.45">
      <c r="A320" s="44"/>
      <c r="B320" s="69">
        <v>45608</v>
      </c>
      <c r="C320" s="381">
        <v>447</v>
      </c>
      <c r="D320" s="72">
        <f t="shared" si="1"/>
        <v>45608</v>
      </c>
      <c r="E320" s="70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44"/>
    </row>
    <row r="321" spans="1:21" ht="17.399999999999999" customHeight="1" x14ac:dyDescent="0.45">
      <c r="A321" s="44"/>
      <c r="B321" s="69">
        <v>45609</v>
      </c>
      <c r="C321" s="381">
        <v>398</v>
      </c>
      <c r="D321" s="72">
        <f t="shared" si="1"/>
        <v>45609</v>
      </c>
      <c r="E321" s="70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44"/>
    </row>
    <row r="322" spans="1:21" ht="17.399999999999999" customHeight="1" x14ac:dyDescent="0.45">
      <c r="A322" s="44"/>
      <c r="B322" s="69">
        <v>45610</v>
      </c>
      <c r="C322" s="381">
        <v>465</v>
      </c>
      <c r="D322" s="72">
        <f t="shared" si="1"/>
        <v>45610</v>
      </c>
      <c r="E322" s="70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44"/>
    </row>
    <row r="323" spans="1:21" ht="17.399999999999999" customHeight="1" x14ac:dyDescent="0.45">
      <c r="A323" s="44"/>
      <c r="B323" s="69">
        <v>45611</v>
      </c>
      <c r="C323" s="381">
        <v>394</v>
      </c>
      <c r="D323" s="72">
        <f t="shared" si="1"/>
        <v>45611</v>
      </c>
      <c r="E323" s="70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44"/>
    </row>
    <row r="324" spans="1:21" ht="17.399999999999999" customHeight="1" x14ac:dyDescent="0.45">
      <c r="A324" s="44"/>
      <c r="B324" s="69">
        <v>45612</v>
      </c>
      <c r="C324" s="381">
        <v>288</v>
      </c>
      <c r="D324" s="72">
        <f t="shared" si="1"/>
        <v>45612</v>
      </c>
      <c r="E324" s="70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44"/>
    </row>
    <row r="325" spans="1:21" ht="17.399999999999999" customHeight="1" x14ac:dyDescent="0.45">
      <c r="A325" s="44"/>
      <c r="B325" s="69">
        <v>45613</v>
      </c>
      <c r="C325" s="381">
        <v>159</v>
      </c>
      <c r="D325" s="72">
        <f t="shared" si="1"/>
        <v>45613</v>
      </c>
      <c r="E325" s="70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44"/>
    </row>
    <row r="326" spans="1:21" ht="17.399999999999999" customHeight="1" x14ac:dyDescent="0.45">
      <c r="A326" s="44"/>
      <c r="B326" s="69">
        <v>45614</v>
      </c>
      <c r="C326" s="381">
        <v>493</v>
      </c>
      <c r="D326" s="72">
        <f t="shared" ref="D326:D389" si="2">+B326</f>
        <v>45614</v>
      </c>
      <c r="E326" s="70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44"/>
    </row>
    <row r="327" spans="1:21" ht="17.399999999999999" customHeight="1" x14ac:dyDescent="0.45">
      <c r="A327" s="44"/>
      <c r="B327" s="69">
        <v>45615</v>
      </c>
      <c r="C327" s="381">
        <v>658</v>
      </c>
      <c r="D327" s="72">
        <f t="shared" si="2"/>
        <v>45615</v>
      </c>
      <c r="E327" s="70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44"/>
    </row>
    <row r="328" spans="1:21" ht="17.399999999999999" customHeight="1" x14ac:dyDescent="0.45">
      <c r="A328" s="44"/>
      <c r="B328" s="69">
        <v>45616</v>
      </c>
      <c r="C328" s="381">
        <v>484</v>
      </c>
      <c r="D328" s="72">
        <f t="shared" si="2"/>
        <v>45616</v>
      </c>
      <c r="E328" s="70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44"/>
    </row>
    <row r="329" spans="1:21" ht="17.399999999999999" customHeight="1" x14ac:dyDescent="0.45">
      <c r="A329" s="44"/>
      <c r="B329" s="69">
        <v>45617</v>
      </c>
      <c r="C329" s="381">
        <v>618</v>
      </c>
      <c r="D329" s="72">
        <f t="shared" si="2"/>
        <v>45617</v>
      </c>
      <c r="E329" s="70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44"/>
    </row>
    <row r="330" spans="1:21" ht="17.399999999999999" customHeight="1" x14ac:dyDescent="0.45">
      <c r="A330" s="44"/>
      <c r="B330" s="69">
        <v>45618</v>
      </c>
      <c r="C330" s="381">
        <v>468</v>
      </c>
      <c r="D330" s="72">
        <f t="shared" si="2"/>
        <v>45618</v>
      </c>
      <c r="E330" s="70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44"/>
    </row>
    <row r="331" spans="1:21" ht="17.399999999999999" customHeight="1" x14ac:dyDescent="0.45">
      <c r="A331" s="44"/>
      <c r="B331" s="69">
        <v>45619</v>
      </c>
      <c r="C331" s="381">
        <v>361</v>
      </c>
      <c r="D331" s="72">
        <f t="shared" si="2"/>
        <v>45619</v>
      </c>
      <c r="E331" s="70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44"/>
    </row>
    <row r="332" spans="1:21" ht="17.399999999999999" customHeight="1" x14ac:dyDescent="0.45">
      <c r="A332" s="44"/>
      <c r="B332" s="69">
        <v>45620</v>
      </c>
      <c r="C332" s="381">
        <v>201</v>
      </c>
      <c r="D332" s="72">
        <f t="shared" si="2"/>
        <v>45620</v>
      </c>
      <c r="E332" s="70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44"/>
    </row>
    <row r="333" spans="1:21" ht="17.399999999999999" customHeight="1" x14ac:dyDescent="0.45">
      <c r="A333" s="44"/>
      <c r="B333" s="69">
        <v>45621</v>
      </c>
      <c r="C333" s="381">
        <v>486</v>
      </c>
      <c r="D333" s="72">
        <f t="shared" si="2"/>
        <v>45621</v>
      </c>
      <c r="E333" s="70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44"/>
    </row>
    <row r="334" spans="1:21" ht="17.399999999999999" customHeight="1" x14ac:dyDescent="0.45">
      <c r="A334" s="44"/>
      <c r="B334" s="69">
        <v>45622</v>
      </c>
      <c r="C334" s="381">
        <v>498</v>
      </c>
      <c r="D334" s="72">
        <f t="shared" si="2"/>
        <v>45622</v>
      </c>
      <c r="E334" s="70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44"/>
    </row>
    <row r="335" spans="1:21" ht="17.399999999999999" customHeight="1" x14ac:dyDescent="0.45">
      <c r="A335" s="44"/>
      <c r="B335" s="69">
        <v>45623</v>
      </c>
      <c r="C335" s="381">
        <v>510</v>
      </c>
      <c r="D335" s="72">
        <f t="shared" si="2"/>
        <v>45623</v>
      </c>
      <c r="E335" s="70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44"/>
    </row>
    <row r="336" spans="1:21" ht="17.399999999999999" customHeight="1" x14ac:dyDescent="0.45">
      <c r="A336" s="44"/>
      <c r="B336" s="69">
        <v>45624</v>
      </c>
      <c r="C336" s="381">
        <v>648</v>
      </c>
      <c r="D336" s="72">
        <f t="shared" si="2"/>
        <v>45624</v>
      </c>
      <c r="E336" s="70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44"/>
    </row>
    <row r="337" spans="1:21" ht="17.399999999999999" customHeight="1" x14ac:dyDescent="0.45">
      <c r="A337" s="44"/>
      <c r="B337" s="69">
        <v>45625</v>
      </c>
      <c r="C337" s="381">
        <v>511</v>
      </c>
      <c r="D337" s="72">
        <f t="shared" si="2"/>
        <v>45625</v>
      </c>
      <c r="E337" s="70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44"/>
    </row>
    <row r="338" spans="1:21" ht="17.399999999999999" customHeight="1" x14ac:dyDescent="0.45">
      <c r="A338" s="44"/>
      <c r="B338" s="69">
        <v>45626</v>
      </c>
      <c r="C338" s="381">
        <v>408</v>
      </c>
      <c r="D338" s="72">
        <f t="shared" si="2"/>
        <v>45626</v>
      </c>
      <c r="E338" s="70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44"/>
    </row>
    <row r="339" spans="1:21" ht="17.399999999999999" customHeight="1" x14ac:dyDescent="0.45">
      <c r="A339" s="44"/>
      <c r="B339" s="69">
        <v>45627</v>
      </c>
      <c r="C339" s="381">
        <v>180</v>
      </c>
      <c r="D339" s="72">
        <f t="shared" si="2"/>
        <v>45627</v>
      </c>
      <c r="E339" s="70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44"/>
    </row>
    <row r="340" spans="1:21" ht="17.399999999999999" customHeight="1" x14ac:dyDescent="0.45">
      <c r="A340" s="44"/>
      <c r="B340" s="69">
        <v>45628</v>
      </c>
      <c r="C340" s="381">
        <v>455</v>
      </c>
      <c r="D340" s="72">
        <f t="shared" si="2"/>
        <v>45628</v>
      </c>
      <c r="E340" s="70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44"/>
    </row>
    <row r="341" spans="1:21" ht="17.399999999999999" customHeight="1" x14ac:dyDescent="0.45">
      <c r="A341" s="44"/>
      <c r="B341" s="69">
        <v>45629</v>
      </c>
      <c r="C341" s="381">
        <v>586</v>
      </c>
      <c r="D341" s="72">
        <f t="shared" si="2"/>
        <v>45629</v>
      </c>
      <c r="E341" s="70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44"/>
    </row>
    <row r="342" spans="1:21" ht="17.399999999999999" customHeight="1" x14ac:dyDescent="0.45">
      <c r="A342" s="44"/>
      <c r="B342" s="69">
        <v>45630</v>
      </c>
      <c r="C342" s="381">
        <v>528</v>
      </c>
      <c r="D342" s="72">
        <f t="shared" si="2"/>
        <v>45630</v>
      </c>
      <c r="E342" s="70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44"/>
    </row>
    <row r="343" spans="1:21" ht="17.399999999999999" customHeight="1" x14ac:dyDescent="0.45">
      <c r="A343" s="44"/>
      <c r="B343" s="69">
        <v>45631</v>
      </c>
      <c r="C343" s="381">
        <v>723</v>
      </c>
      <c r="D343" s="72">
        <f t="shared" si="2"/>
        <v>45631</v>
      </c>
      <c r="E343" s="70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44"/>
    </row>
    <row r="344" spans="1:21" ht="17.399999999999999" customHeight="1" x14ac:dyDescent="0.45">
      <c r="A344" s="44"/>
      <c r="B344" s="69">
        <v>45632</v>
      </c>
      <c r="C344" s="381">
        <v>232</v>
      </c>
      <c r="D344" s="72">
        <f t="shared" si="2"/>
        <v>45632</v>
      </c>
      <c r="E344" s="70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44"/>
    </row>
    <row r="345" spans="1:21" ht="17.399999999999999" customHeight="1" x14ac:dyDescent="0.45">
      <c r="A345" s="44"/>
      <c r="B345" s="69">
        <v>45633</v>
      </c>
      <c r="C345" s="381">
        <v>219</v>
      </c>
      <c r="D345" s="72">
        <f t="shared" si="2"/>
        <v>45633</v>
      </c>
      <c r="E345" s="70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44"/>
    </row>
    <row r="346" spans="1:21" ht="17.399999999999999" customHeight="1" x14ac:dyDescent="0.45">
      <c r="A346" s="44"/>
      <c r="B346" s="69">
        <v>45634</v>
      </c>
      <c r="C346" s="381">
        <v>227</v>
      </c>
      <c r="D346" s="72">
        <f t="shared" si="2"/>
        <v>45634</v>
      </c>
      <c r="E346" s="70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44"/>
    </row>
    <row r="347" spans="1:21" ht="17.399999999999999" customHeight="1" x14ac:dyDescent="0.45">
      <c r="A347" s="44"/>
      <c r="B347" s="69">
        <v>45635</v>
      </c>
      <c r="C347" s="381">
        <v>718</v>
      </c>
      <c r="D347" s="72">
        <f t="shared" si="2"/>
        <v>45635</v>
      </c>
      <c r="E347" s="70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44"/>
    </row>
    <row r="348" spans="1:21" ht="17.399999999999999" customHeight="1" x14ac:dyDescent="0.45">
      <c r="A348" s="44"/>
      <c r="B348" s="69">
        <v>45636</v>
      </c>
      <c r="C348" s="381">
        <v>973</v>
      </c>
      <c r="D348" s="72">
        <f t="shared" si="2"/>
        <v>45636</v>
      </c>
      <c r="E348" s="70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44"/>
    </row>
    <row r="349" spans="1:21" ht="17.399999999999999" customHeight="1" x14ac:dyDescent="0.45">
      <c r="A349" s="44"/>
      <c r="B349" s="69">
        <v>45637</v>
      </c>
      <c r="C349" s="381">
        <v>694</v>
      </c>
      <c r="D349" s="72">
        <f t="shared" si="2"/>
        <v>45637</v>
      </c>
      <c r="E349" s="70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44"/>
    </row>
    <row r="350" spans="1:21" ht="17.399999999999999" customHeight="1" x14ac:dyDescent="0.45">
      <c r="A350" s="44"/>
      <c r="B350" s="69">
        <v>45638</v>
      </c>
      <c r="C350" s="381">
        <v>887</v>
      </c>
      <c r="D350" s="72">
        <f t="shared" si="2"/>
        <v>45638</v>
      </c>
      <c r="E350" s="70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44"/>
    </row>
    <row r="351" spans="1:21" ht="17.399999999999999" customHeight="1" x14ac:dyDescent="0.45">
      <c r="A351" s="44"/>
      <c r="B351" s="69">
        <v>45639</v>
      </c>
      <c r="C351" s="381">
        <v>659</v>
      </c>
      <c r="D351" s="72">
        <f t="shared" si="2"/>
        <v>45639</v>
      </c>
      <c r="E351" s="70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44"/>
    </row>
    <row r="352" spans="1:21" ht="17.399999999999999" customHeight="1" x14ac:dyDescent="0.45">
      <c r="A352" s="44"/>
      <c r="B352" s="69">
        <v>45640</v>
      </c>
      <c r="C352" s="381">
        <v>497</v>
      </c>
      <c r="D352" s="72">
        <f t="shared" si="2"/>
        <v>45640</v>
      </c>
      <c r="E352" s="70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44"/>
    </row>
    <row r="353" spans="1:21" ht="17.399999999999999" customHeight="1" x14ac:dyDescent="0.45">
      <c r="A353" s="44"/>
      <c r="B353" s="69">
        <v>45641</v>
      </c>
      <c r="C353" s="381">
        <v>256</v>
      </c>
      <c r="D353" s="72">
        <f t="shared" si="2"/>
        <v>45641</v>
      </c>
      <c r="E353" s="70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44"/>
    </row>
    <row r="354" spans="1:21" ht="17.399999999999999" customHeight="1" x14ac:dyDescent="0.45">
      <c r="A354" s="44"/>
      <c r="B354" s="69">
        <v>45642</v>
      </c>
      <c r="C354" s="381">
        <v>748</v>
      </c>
      <c r="D354" s="72">
        <f t="shared" si="2"/>
        <v>45642</v>
      </c>
      <c r="E354" s="70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44"/>
    </row>
    <row r="355" spans="1:21" ht="17.399999999999999" customHeight="1" x14ac:dyDescent="0.45">
      <c r="A355" s="44"/>
      <c r="B355" s="69">
        <v>45643</v>
      </c>
      <c r="C355" s="381">
        <v>939</v>
      </c>
      <c r="D355" s="72">
        <f t="shared" si="2"/>
        <v>45643</v>
      </c>
      <c r="E355" s="70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44"/>
    </row>
    <row r="356" spans="1:21" ht="17.399999999999999" customHeight="1" x14ac:dyDescent="0.45">
      <c r="A356" s="44"/>
      <c r="B356" s="69">
        <v>45644</v>
      </c>
      <c r="C356" s="381">
        <v>704</v>
      </c>
      <c r="D356" s="72">
        <f t="shared" si="2"/>
        <v>45644</v>
      </c>
      <c r="E356" s="70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44"/>
    </row>
    <row r="357" spans="1:21" ht="17.399999999999999" customHeight="1" x14ac:dyDescent="0.45">
      <c r="A357" s="44"/>
      <c r="B357" s="69">
        <v>45645</v>
      </c>
      <c r="C357" s="381">
        <v>778</v>
      </c>
      <c r="D357" s="72">
        <f t="shared" si="2"/>
        <v>45645</v>
      </c>
      <c r="E357" s="70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44"/>
    </row>
    <row r="358" spans="1:21" ht="17.399999999999999" customHeight="1" x14ac:dyDescent="0.45">
      <c r="A358" s="44"/>
      <c r="B358" s="69">
        <v>45646</v>
      </c>
      <c r="C358" s="381">
        <v>602</v>
      </c>
      <c r="D358" s="72">
        <f t="shared" si="2"/>
        <v>45646</v>
      </c>
      <c r="E358" s="70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44"/>
    </row>
    <row r="359" spans="1:21" ht="17.399999999999999" customHeight="1" x14ac:dyDescent="0.45">
      <c r="A359" s="44"/>
      <c r="B359" s="69">
        <v>45647</v>
      </c>
      <c r="C359" s="381">
        <v>514</v>
      </c>
      <c r="D359" s="72">
        <f t="shared" si="2"/>
        <v>45647</v>
      </c>
      <c r="E359" s="70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44"/>
    </row>
    <row r="360" spans="1:21" ht="17.399999999999999" customHeight="1" x14ac:dyDescent="0.45">
      <c r="A360" s="44"/>
      <c r="B360" s="69">
        <v>45648</v>
      </c>
      <c r="C360" s="381">
        <v>241</v>
      </c>
      <c r="D360" s="72">
        <f t="shared" si="2"/>
        <v>45648</v>
      </c>
      <c r="E360" s="70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44"/>
    </row>
    <row r="361" spans="1:21" ht="17.399999999999999" customHeight="1" x14ac:dyDescent="0.45">
      <c r="A361" s="44"/>
      <c r="B361" s="69">
        <v>45649</v>
      </c>
      <c r="C361" s="381">
        <v>819</v>
      </c>
      <c r="D361" s="72">
        <f t="shared" si="2"/>
        <v>45649</v>
      </c>
      <c r="E361" s="70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44"/>
    </row>
    <row r="362" spans="1:21" ht="17.399999999999999" customHeight="1" x14ac:dyDescent="0.45">
      <c r="A362" s="44"/>
      <c r="B362" s="69">
        <v>45650</v>
      </c>
      <c r="C362" s="381">
        <v>647</v>
      </c>
      <c r="D362" s="72">
        <f t="shared" si="2"/>
        <v>45650</v>
      </c>
      <c r="E362" s="70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44"/>
    </row>
    <row r="363" spans="1:21" ht="17.399999999999999" customHeight="1" x14ac:dyDescent="0.45">
      <c r="A363" s="44"/>
      <c r="B363" s="69">
        <v>45651</v>
      </c>
      <c r="C363" s="381">
        <v>233</v>
      </c>
      <c r="D363" s="72">
        <f t="shared" si="2"/>
        <v>45651</v>
      </c>
      <c r="E363" s="70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44"/>
    </row>
    <row r="364" spans="1:21" ht="17.399999999999999" customHeight="1" x14ac:dyDescent="0.45">
      <c r="A364" s="44"/>
      <c r="B364" s="69">
        <v>45652</v>
      </c>
      <c r="C364" s="381">
        <v>235</v>
      </c>
      <c r="D364" s="72">
        <f t="shared" si="2"/>
        <v>45652</v>
      </c>
      <c r="E364" s="70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44"/>
    </row>
    <row r="365" spans="1:21" ht="17.399999999999999" customHeight="1" x14ac:dyDescent="0.45">
      <c r="A365" s="44"/>
      <c r="B365" s="69">
        <v>45653</v>
      </c>
      <c r="C365" s="381">
        <v>819</v>
      </c>
      <c r="D365" s="72">
        <f t="shared" si="2"/>
        <v>45653</v>
      </c>
      <c r="E365" s="70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44"/>
    </row>
    <row r="366" spans="1:21" ht="17.399999999999999" customHeight="1" x14ac:dyDescent="0.45">
      <c r="A366" s="44"/>
      <c r="B366" s="69">
        <v>45654</v>
      </c>
      <c r="C366" s="381">
        <v>329</v>
      </c>
      <c r="D366" s="72">
        <f t="shared" si="2"/>
        <v>45654</v>
      </c>
      <c r="E366" s="70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44"/>
    </row>
    <row r="367" spans="1:21" ht="17.399999999999999" customHeight="1" x14ac:dyDescent="0.45">
      <c r="A367" s="44"/>
      <c r="B367" s="69">
        <v>45655</v>
      </c>
      <c r="C367" s="381">
        <v>327</v>
      </c>
      <c r="D367" s="72">
        <f t="shared" si="2"/>
        <v>45655</v>
      </c>
      <c r="E367" s="70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44"/>
    </row>
    <row r="368" spans="1:21" ht="17.399999999999999" customHeight="1" x14ac:dyDescent="0.45">
      <c r="A368" s="44"/>
      <c r="B368" s="69">
        <v>45656</v>
      </c>
      <c r="C368" s="381">
        <v>891</v>
      </c>
      <c r="D368" s="72">
        <f t="shared" si="2"/>
        <v>45656</v>
      </c>
      <c r="E368" s="70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44"/>
    </row>
    <row r="369" spans="1:21" ht="17.399999999999999" customHeight="1" x14ac:dyDescent="0.45">
      <c r="A369" s="44"/>
      <c r="B369" s="69">
        <v>45657</v>
      </c>
      <c r="C369" s="381">
        <v>743</v>
      </c>
      <c r="D369" s="72">
        <f t="shared" si="2"/>
        <v>45657</v>
      </c>
      <c r="E369" s="70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44"/>
    </row>
    <row r="370" spans="1:21" ht="17.399999999999999" customHeight="1" x14ac:dyDescent="0.45">
      <c r="A370" s="44"/>
      <c r="B370" s="415">
        <v>45657.916712962964</v>
      </c>
      <c r="C370" s="381">
        <v>8</v>
      </c>
      <c r="D370" s="72">
        <f t="shared" si="2"/>
        <v>45657.916712962964</v>
      </c>
      <c r="E370" s="70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44"/>
    </row>
    <row r="371" spans="1:21" ht="17.399999999999999" customHeight="1" x14ac:dyDescent="0.45">
      <c r="A371" s="44"/>
      <c r="B371" s="415">
        <v>45657.958333333336</v>
      </c>
      <c r="C371" s="381">
        <v>8</v>
      </c>
      <c r="D371" s="72">
        <f t="shared" si="2"/>
        <v>45657.958333333336</v>
      </c>
      <c r="E371" s="70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44"/>
    </row>
    <row r="372" spans="1:21" ht="17.399999999999999" customHeight="1" x14ac:dyDescent="0.3">
      <c r="A372" s="44"/>
      <c r="B372" s="2" t="s">
        <v>66</v>
      </c>
      <c r="C372" s="381">
        <v>152124</v>
      </c>
      <c r="D372" s="72" t="str">
        <f t="shared" si="2"/>
        <v>Total general</v>
      </c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</row>
    <row r="373" spans="1:21" ht="17.399999999999999" customHeight="1" x14ac:dyDescent="0.3">
      <c r="B373"/>
      <c r="C373" s="382"/>
      <c r="D373" s="72">
        <f t="shared" si="2"/>
        <v>0</v>
      </c>
    </row>
    <row r="374" spans="1:21" ht="17.399999999999999" customHeight="1" x14ac:dyDescent="0.3">
      <c r="B374"/>
      <c r="C374" s="382"/>
      <c r="D374" s="72">
        <f t="shared" si="2"/>
        <v>0</v>
      </c>
    </row>
    <row r="375" spans="1:21" ht="17.399999999999999" customHeight="1" x14ac:dyDescent="0.3">
      <c r="B375"/>
      <c r="C375" s="382"/>
      <c r="D375" s="72">
        <f t="shared" si="2"/>
        <v>0</v>
      </c>
    </row>
    <row r="376" spans="1:21" ht="17.399999999999999" customHeight="1" x14ac:dyDescent="0.3">
      <c r="B376"/>
      <c r="C376" s="382"/>
      <c r="D376" s="72">
        <f t="shared" si="2"/>
        <v>0</v>
      </c>
    </row>
    <row r="377" spans="1:21" ht="17.399999999999999" customHeight="1" x14ac:dyDescent="0.3">
      <c r="B377"/>
      <c r="C377" s="382"/>
      <c r="D377" s="72">
        <f t="shared" si="2"/>
        <v>0</v>
      </c>
    </row>
    <row r="378" spans="1:21" ht="17.399999999999999" customHeight="1" x14ac:dyDescent="0.3">
      <c r="B378"/>
      <c r="C378" s="382"/>
      <c r="D378" s="72">
        <f t="shared" si="2"/>
        <v>0</v>
      </c>
    </row>
    <row r="379" spans="1:21" ht="17.399999999999999" customHeight="1" x14ac:dyDescent="0.3">
      <c r="B379"/>
      <c r="C379" s="382"/>
      <c r="D379" s="72">
        <f t="shared" si="2"/>
        <v>0</v>
      </c>
    </row>
    <row r="380" spans="1:21" ht="17.399999999999999" customHeight="1" x14ac:dyDescent="0.3">
      <c r="B380"/>
      <c r="C380" s="382"/>
      <c r="D380" s="72">
        <f t="shared" si="2"/>
        <v>0</v>
      </c>
    </row>
    <row r="381" spans="1:21" ht="17.399999999999999" customHeight="1" x14ac:dyDescent="0.3">
      <c r="B381"/>
      <c r="C381" s="382"/>
      <c r="D381" s="72">
        <f t="shared" si="2"/>
        <v>0</v>
      </c>
    </row>
    <row r="382" spans="1:21" ht="17.399999999999999" customHeight="1" x14ac:dyDescent="0.3">
      <c r="B382"/>
      <c r="C382" s="382"/>
      <c r="D382" s="72">
        <f t="shared" si="2"/>
        <v>0</v>
      </c>
    </row>
    <row r="383" spans="1:21" ht="17.399999999999999" customHeight="1" x14ac:dyDescent="0.3">
      <c r="B383"/>
      <c r="C383" s="382"/>
      <c r="D383" s="72">
        <f t="shared" si="2"/>
        <v>0</v>
      </c>
    </row>
    <row r="384" spans="1:21" ht="17.399999999999999" customHeight="1" x14ac:dyDescent="0.3">
      <c r="B384"/>
      <c r="C384" s="382"/>
      <c r="D384" s="72">
        <f t="shared" si="2"/>
        <v>0</v>
      </c>
    </row>
    <row r="385" spans="2:4" ht="17.399999999999999" customHeight="1" x14ac:dyDescent="0.3">
      <c r="B385"/>
      <c r="C385" s="382"/>
      <c r="D385" s="72">
        <f t="shared" si="2"/>
        <v>0</v>
      </c>
    </row>
    <row r="386" spans="2:4" ht="17.399999999999999" customHeight="1" x14ac:dyDescent="0.3">
      <c r="B386"/>
      <c r="C386" s="382"/>
      <c r="D386" s="72">
        <f t="shared" si="2"/>
        <v>0</v>
      </c>
    </row>
    <row r="387" spans="2:4" ht="17.399999999999999" customHeight="1" x14ac:dyDescent="0.3">
      <c r="B387"/>
      <c r="C387" s="382"/>
      <c r="D387" s="72">
        <f t="shared" si="2"/>
        <v>0</v>
      </c>
    </row>
    <row r="388" spans="2:4" ht="17.399999999999999" customHeight="1" x14ac:dyDescent="0.3">
      <c r="B388"/>
      <c r="C388" s="382"/>
      <c r="D388" s="72">
        <f t="shared" si="2"/>
        <v>0</v>
      </c>
    </row>
    <row r="389" spans="2:4" ht="17.399999999999999" customHeight="1" x14ac:dyDescent="0.3">
      <c r="B389"/>
      <c r="C389" s="382"/>
      <c r="D389" s="72">
        <f t="shared" si="2"/>
        <v>0</v>
      </c>
    </row>
    <row r="390" spans="2:4" ht="17.399999999999999" customHeight="1" x14ac:dyDescent="0.3">
      <c r="B390"/>
      <c r="C390" s="382"/>
      <c r="D390" s="72">
        <f t="shared" ref="D390:D402" si="3">+B390</f>
        <v>0</v>
      </c>
    </row>
    <row r="391" spans="2:4" ht="17.399999999999999" customHeight="1" x14ac:dyDescent="0.3">
      <c r="B391"/>
      <c r="C391" s="382"/>
      <c r="D391" s="72">
        <f t="shared" si="3"/>
        <v>0</v>
      </c>
    </row>
    <row r="392" spans="2:4" ht="17.399999999999999" customHeight="1" x14ac:dyDescent="0.3">
      <c r="B392"/>
      <c r="C392" s="382"/>
      <c r="D392" s="72">
        <f t="shared" si="3"/>
        <v>0</v>
      </c>
    </row>
    <row r="393" spans="2:4" ht="17.399999999999999" customHeight="1" x14ac:dyDescent="0.3">
      <c r="B393"/>
      <c r="C393" s="382"/>
      <c r="D393" s="72">
        <f t="shared" si="3"/>
        <v>0</v>
      </c>
    </row>
    <row r="394" spans="2:4" ht="17.399999999999999" customHeight="1" x14ac:dyDescent="0.3">
      <c r="B394"/>
      <c r="C394" s="382"/>
      <c r="D394" s="72">
        <f t="shared" si="3"/>
        <v>0</v>
      </c>
    </row>
    <row r="395" spans="2:4" ht="17.399999999999999" customHeight="1" x14ac:dyDescent="0.3">
      <c r="B395"/>
      <c r="C395" s="382"/>
      <c r="D395" s="72">
        <f t="shared" si="3"/>
        <v>0</v>
      </c>
    </row>
    <row r="396" spans="2:4" ht="17.399999999999999" customHeight="1" x14ac:dyDescent="0.3">
      <c r="B396"/>
      <c r="C396" s="382"/>
      <c r="D396" s="72">
        <f t="shared" si="3"/>
        <v>0</v>
      </c>
    </row>
    <row r="397" spans="2:4" ht="17.399999999999999" customHeight="1" x14ac:dyDescent="0.3">
      <c r="B397"/>
      <c r="C397" s="382"/>
      <c r="D397" s="72">
        <f t="shared" si="3"/>
        <v>0</v>
      </c>
    </row>
    <row r="398" spans="2:4" ht="17.399999999999999" customHeight="1" x14ac:dyDescent="0.3">
      <c r="B398"/>
      <c r="C398" s="382"/>
      <c r="D398" s="72">
        <f t="shared" si="3"/>
        <v>0</v>
      </c>
    </row>
    <row r="399" spans="2:4" ht="17.399999999999999" customHeight="1" x14ac:dyDescent="0.3">
      <c r="B399"/>
      <c r="C399" s="382"/>
      <c r="D399" s="72">
        <f t="shared" si="3"/>
        <v>0</v>
      </c>
    </row>
    <row r="400" spans="2:4" ht="17.399999999999999" customHeight="1" x14ac:dyDescent="0.3">
      <c r="B400"/>
      <c r="C400" s="382"/>
      <c r="D400" s="72">
        <f t="shared" si="3"/>
        <v>0</v>
      </c>
    </row>
    <row r="401" spans="2:4" ht="17.399999999999999" customHeight="1" x14ac:dyDescent="0.3">
      <c r="B401"/>
      <c r="C401" s="382"/>
      <c r="D401" s="72">
        <f t="shared" si="3"/>
        <v>0</v>
      </c>
    </row>
    <row r="402" spans="2:4" ht="17.399999999999999" customHeight="1" x14ac:dyDescent="0.3">
      <c r="B402"/>
      <c r="C402" s="382"/>
      <c r="D402" s="72">
        <f t="shared" si="3"/>
        <v>0</v>
      </c>
    </row>
  </sheetData>
  <sheetProtection sheet="1" sort="0" autoFilter="0" pivotTables="0"/>
  <pageMargins left="0.70866141732283472" right="0.70866141732283472" top="0.74803149606299213" bottom="0.74803149606299213" header="0.31496062992125984" footer="0.31496062992125984"/>
  <pageSetup paperSize="9" scale="51" orientation="landscape" r:id="rId2"/>
  <headerFooter>
    <oddFooter>&amp;L&amp;A&amp;C&amp;P/&amp;N&amp;R&amp;F</oddFooter>
  </headerFooter>
  <drawing r:id="rId3"/>
  <extLst>
    <ext xmlns:x15="http://schemas.microsoft.com/office/spreadsheetml/2010/11/main" uri="{7E03D99C-DC04-49d9-9315-930204A7B6E9}">
      <x15:timelineRefs>
        <x15:timelineRef r:id="rId4"/>
      </x15:timelineRef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6CA1B-648E-4D0F-9310-06FF01818135}">
  <sheetPr codeName="Full6">
    <tabColor theme="8" tint="0.59999389629810485"/>
    <pageSetUpPr fitToPage="1"/>
  </sheetPr>
  <dimension ref="A1:NE4409"/>
  <sheetViews>
    <sheetView zoomScale="70" zoomScaleNormal="70" workbookViewId="0">
      <pane ySplit="2" topLeftCell="A3" activePane="bottomLeft" state="frozen"/>
      <selection activeCell="A3" sqref="A3"/>
      <selection pane="bottomLeft"/>
    </sheetView>
  </sheetViews>
  <sheetFormatPr defaultColWidth="8.88671875" defaultRowHeight="14.4" x14ac:dyDescent="0.3"/>
  <cols>
    <col min="1" max="1" width="1.5546875" style="10" customWidth="1"/>
    <col min="2" max="2" width="20.5546875" style="10" bestFit="1" customWidth="1"/>
    <col min="3" max="3" width="8" style="10" bestFit="1" customWidth="1"/>
    <col min="4" max="4" width="17.44140625" style="10" customWidth="1"/>
    <col min="5" max="5" width="36.109375" style="10" bestFit="1" customWidth="1"/>
    <col min="6" max="6" width="5.109375" style="10" bestFit="1" customWidth="1"/>
    <col min="7" max="7" width="3.88671875" style="10" bestFit="1" customWidth="1"/>
    <col min="8" max="8" width="5.109375" style="10" bestFit="1" customWidth="1"/>
    <col min="9" max="9" width="4.88671875" style="10" bestFit="1" customWidth="1"/>
    <col min="10" max="10" width="3.109375" style="10" bestFit="1" customWidth="1"/>
    <col min="11" max="11" width="3" style="10" bestFit="1" customWidth="1"/>
    <col min="12" max="13" width="3.5546875" style="10" bestFit="1" customWidth="1"/>
    <col min="14" max="14" width="4.109375" style="10" bestFit="1" customWidth="1"/>
    <col min="15" max="15" width="3.88671875" style="10" bestFit="1" customWidth="1"/>
    <col min="16" max="16" width="11.88671875" style="10" bestFit="1" customWidth="1"/>
    <col min="17" max="20" width="21.5546875" style="10" bestFit="1" customWidth="1"/>
    <col min="21" max="21" width="2.5546875" style="10" customWidth="1"/>
    <col min="22" max="368" width="21.5546875" style="10" bestFit="1" customWidth="1"/>
    <col min="369" max="369" width="11.88671875" style="10" bestFit="1" customWidth="1"/>
    <col min="370" max="16384" width="8.88671875" style="10"/>
  </cols>
  <sheetData>
    <row r="1" spans="1:369" ht="25.8" x14ac:dyDescent="0.5">
      <c r="A1" s="61"/>
      <c r="B1" s="66" t="s">
        <v>67</v>
      </c>
      <c r="C1" s="68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2"/>
      <c r="W1" s="62"/>
      <c r="X1" s="62"/>
      <c r="Y1" s="62"/>
      <c r="Z1" s="62"/>
      <c r="AA1" s="62"/>
      <c r="AB1" s="62"/>
      <c r="AC1" s="62"/>
    </row>
    <row r="2" spans="1:369" ht="23.4" x14ac:dyDescent="0.45">
      <c r="A2" s="63"/>
      <c r="B2" s="261" t="s">
        <v>68</v>
      </c>
      <c r="C2" s="250" t="str">
        <f>+'Introducció dades generals'!E7&amp;" - "&amp;'Introducció dades generals'!E5</f>
        <v xml:space="preserve"> - </v>
      </c>
      <c r="D2" s="64"/>
      <c r="E2" s="64"/>
      <c r="F2" s="64"/>
      <c r="G2" s="64"/>
      <c r="H2" s="64"/>
      <c r="I2" s="261"/>
      <c r="J2" s="261"/>
      <c r="K2" s="64"/>
      <c r="L2" s="64"/>
      <c r="M2" s="64"/>
      <c r="N2" s="64"/>
      <c r="O2" s="65"/>
      <c r="P2" s="65"/>
      <c r="Q2" s="64"/>
      <c r="R2" s="64"/>
      <c r="S2" s="64"/>
      <c r="T2" s="64"/>
      <c r="U2" s="64"/>
      <c r="V2" s="62"/>
      <c r="W2" s="62"/>
      <c r="X2" s="62"/>
      <c r="Y2" s="62"/>
      <c r="Z2" s="62"/>
      <c r="AA2" s="62"/>
      <c r="AB2" s="62"/>
      <c r="AC2" s="62"/>
    </row>
    <row r="3" spans="1:369" ht="6" customHeight="1" x14ac:dyDescent="0.45">
      <c r="A3" s="44"/>
      <c r="B3" s="262"/>
      <c r="C3" s="70"/>
      <c r="D3" s="70"/>
      <c r="E3" s="70"/>
      <c r="F3" s="70"/>
      <c r="G3" s="70"/>
      <c r="H3" s="70"/>
      <c r="I3" s="262"/>
      <c r="J3" s="262"/>
      <c r="K3" s="70"/>
      <c r="L3" s="70"/>
      <c r="M3" s="70"/>
      <c r="N3" s="70"/>
      <c r="O3" s="71"/>
      <c r="P3" s="71"/>
      <c r="Q3" s="70"/>
      <c r="R3" s="70"/>
      <c r="S3" s="70"/>
      <c r="T3" s="70"/>
      <c r="U3" s="44"/>
      <c r="V3" s="62"/>
      <c r="W3" s="62"/>
      <c r="X3" s="62"/>
      <c r="Y3" s="62"/>
      <c r="Z3" s="62"/>
      <c r="AA3" s="62"/>
      <c r="AB3" s="62"/>
      <c r="AC3" s="62"/>
    </row>
    <row r="4" spans="1:369" s="326" customFormat="1" ht="57.6" x14ac:dyDescent="0.3">
      <c r="A4" s="376"/>
      <c r="B4" s="377" t="s">
        <v>64</v>
      </c>
      <c r="C4" s="413" t="s">
        <v>272</v>
      </c>
      <c r="D4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376"/>
      <c r="V4" s="392" t="s">
        <v>264</v>
      </c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5"/>
      <c r="EW4" s="245"/>
      <c r="EX4" s="245"/>
      <c r="EY4" s="245"/>
      <c r="EZ4" s="245"/>
      <c r="FA4" s="245"/>
      <c r="FB4" s="245"/>
      <c r="FC4" s="245"/>
      <c r="FD4" s="245"/>
      <c r="FE4" s="245"/>
      <c r="FF4" s="245"/>
      <c r="FG4" s="245"/>
      <c r="FH4" s="245"/>
      <c r="FI4" s="245"/>
      <c r="FJ4" s="245"/>
      <c r="FK4" s="245"/>
      <c r="FL4" s="245"/>
      <c r="FM4" s="245"/>
      <c r="FN4" s="245"/>
      <c r="FO4" s="245"/>
      <c r="FP4" s="245"/>
      <c r="FQ4" s="245"/>
      <c r="FR4" s="245"/>
      <c r="FS4" s="245"/>
      <c r="FT4" s="245"/>
      <c r="FU4" s="245"/>
      <c r="FV4" s="245"/>
      <c r="FW4" s="245"/>
      <c r="FX4" s="245"/>
      <c r="FY4" s="245"/>
      <c r="FZ4" s="245"/>
      <c r="GA4" s="245"/>
      <c r="GB4" s="245"/>
      <c r="GC4" s="245"/>
      <c r="GD4" s="245"/>
      <c r="GE4" s="245"/>
      <c r="GF4" s="245"/>
      <c r="GG4" s="245"/>
      <c r="GH4" s="245"/>
      <c r="GI4" s="245"/>
      <c r="GJ4" s="245"/>
      <c r="GK4" s="245"/>
      <c r="GL4" s="245"/>
      <c r="GM4" s="245"/>
      <c r="GN4" s="245"/>
      <c r="GO4" s="245"/>
      <c r="GP4" s="245"/>
      <c r="GQ4" s="245"/>
      <c r="GR4" s="245"/>
      <c r="GS4" s="245"/>
      <c r="GT4" s="245"/>
      <c r="GU4" s="245"/>
      <c r="GV4" s="245"/>
      <c r="GW4" s="245"/>
      <c r="GX4" s="245"/>
      <c r="GY4" s="245"/>
      <c r="GZ4" s="245"/>
      <c r="HA4" s="245"/>
      <c r="HB4" s="245"/>
      <c r="HC4" s="245"/>
      <c r="HD4" s="245"/>
      <c r="HE4" s="245"/>
      <c r="HF4" s="245"/>
      <c r="HG4" s="245"/>
      <c r="HH4" s="245"/>
      <c r="HI4" s="245"/>
      <c r="HJ4" s="245"/>
      <c r="HK4" s="245"/>
      <c r="HL4" s="245"/>
      <c r="HM4" s="245"/>
      <c r="HN4" s="245"/>
      <c r="HO4" s="245"/>
      <c r="HP4" s="245"/>
      <c r="HQ4" s="245"/>
      <c r="HR4" s="245"/>
      <c r="HS4" s="245"/>
      <c r="HT4" s="245"/>
      <c r="HU4" s="245"/>
      <c r="HV4" s="245"/>
      <c r="HW4" s="245"/>
      <c r="HX4" s="245"/>
      <c r="HY4" s="245"/>
      <c r="HZ4" s="245"/>
      <c r="IA4" s="245"/>
      <c r="IB4" s="245"/>
      <c r="IC4" s="245"/>
      <c r="ID4" s="245"/>
      <c r="IE4" s="245"/>
      <c r="IF4" s="245"/>
      <c r="IG4" s="245"/>
      <c r="IH4" s="245"/>
      <c r="II4" s="245"/>
      <c r="IJ4" s="245"/>
      <c r="IK4" s="245"/>
      <c r="IL4" s="245"/>
      <c r="IM4" s="245"/>
      <c r="IN4" s="245"/>
      <c r="IO4" s="245"/>
      <c r="IP4" s="245"/>
      <c r="IQ4" s="245"/>
      <c r="IR4" s="245"/>
      <c r="IS4" s="245"/>
      <c r="IT4" s="245"/>
      <c r="IU4" s="245"/>
      <c r="IV4" s="245"/>
      <c r="IW4" s="245"/>
      <c r="IX4" s="245"/>
      <c r="IY4" s="245"/>
      <c r="IZ4" s="245"/>
      <c r="JA4" s="245"/>
      <c r="JB4" s="245"/>
      <c r="JC4" s="245"/>
      <c r="JD4" s="245"/>
      <c r="JE4" s="245"/>
      <c r="JF4" s="245"/>
      <c r="JG4" s="245"/>
      <c r="JH4" s="245"/>
      <c r="JI4" s="245"/>
      <c r="JJ4" s="245"/>
      <c r="JK4" s="245"/>
      <c r="JL4" s="245"/>
      <c r="JM4" s="245"/>
      <c r="JN4" s="245"/>
      <c r="JO4" s="245"/>
      <c r="JP4" s="245"/>
      <c r="JQ4" s="245"/>
      <c r="JR4" s="245"/>
      <c r="JS4" s="245"/>
      <c r="JT4" s="245"/>
      <c r="JU4" s="245"/>
      <c r="JV4" s="245"/>
      <c r="JW4" s="245"/>
      <c r="JX4" s="245"/>
      <c r="JY4" s="245"/>
      <c r="JZ4" s="245"/>
      <c r="KA4" s="245"/>
      <c r="KB4" s="245"/>
      <c r="KC4" s="245"/>
      <c r="KD4" s="245"/>
      <c r="KE4" s="245"/>
      <c r="KF4" s="245"/>
      <c r="KG4" s="245"/>
      <c r="KH4" s="245"/>
      <c r="KI4" s="245"/>
      <c r="KJ4" s="245"/>
      <c r="KK4" s="245"/>
      <c r="KL4" s="245"/>
      <c r="KM4" s="245"/>
      <c r="KN4" s="245"/>
      <c r="KO4" s="245"/>
      <c r="KP4" s="245"/>
      <c r="KQ4" s="245"/>
      <c r="KR4" s="245"/>
      <c r="KS4" s="245"/>
      <c r="KT4" s="245"/>
      <c r="KU4" s="245"/>
      <c r="KV4" s="245"/>
      <c r="KW4" s="245"/>
      <c r="KX4" s="245"/>
      <c r="KY4" s="245"/>
      <c r="KZ4" s="245"/>
      <c r="LA4" s="245"/>
      <c r="LB4" s="245"/>
      <c r="LC4" s="245"/>
      <c r="LD4" s="245"/>
      <c r="LE4" s="245"/>
      <c r="LF4" s="245"/>
      <c r="LG4" s="245"/>
      <c r="LH4" s="245"/>
      <c r="LI4" s="245"/>
      <c r="LJ4" s="245"/>
      <c r="LK4" s="245"/>
      <c r="LL4" s="245"/>
      <c r="LM4" s="245"/>
      <c r="LN4" s="245"/>
      <c r="LO4" s="245"/>
      <c r="LP4" s="245"/>
      <c r="LQ4" s="245"/>
      <c r="LR4" s="245"/>
      <c r="LS4" s="245"/>
      <c r="LT4" s="245"/>
      <c r="LU4" s="245"/>
      <c r="LV4" s="245"/>
      <c r="LW4" s="245"/>
      <c r="LX4" s="245"/>
      <c r="LY4" s="245"/>
      <c r="LZ4" s="245"/>
      <c r="MA4" s="245"/>
      <c r="MB4" s="245"/>
      <c r="MC4" s="245"/>
      <c r="MD4" s="245"/>
      <c r="ME4" s="245"/>
      <c r="MF4" s="245"/>
      <c r="MG4" s="245"/>
      <c r="MH4" s="245"/>
      <c r="MI4" s="245"/>
      <c r="MJ4" s="245"/>
      <c r="MK4" s="245"/>
      <c r="ML4" s="245"/>
      <c r="MM4" s="245"/>
      <c r="MN4" s="245"/>
      <c r="MO4" s="245"/>
      <c r="MP4" s="245"/>
      <c r="MQ4" s="245"/>
      <c r="MR4" s="245"/>
      <c r="MS4" s="245"/>
      <c r="MT4" s="245"/>
      <c r="MU4" s="245"/>
      <c r="MV4" s="245"/>
      <c r="MW4" s="245"/>
      <c r="MX4" s="245"/>
      <c r="MY4" s="245"/>
      <c r="MZ4" s="245"/>
      <c r="NA4" s="245"/>
      <c r="NB4" s="245"/>
      <c r="NC4" s="245"/>
      <c r="ND4" s="245"/>
      <c r="NE4" s="245"/>
    </row>
    <row r="5" spans="1:369" x14ac:dyDescent="0.3">
      <c r="A5" s="44"/>
      <c r="B5" s="1" t="s">
        <v>69</v>
      </c>
      <c r="C5" s="384">
        <v>20417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44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</row>
    <row r="6" spans="1:369" x14ac:dyDescent="0.3">
      <c r="A6" s="44"/>
      <c r="B6" s="1" t="s">
        <v>70</v>
      </c>
      <c r="C6" s="384">
        <v>14712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 s="44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</row>
    <row r="7" spans="1:369" x14ac:dyDescent="0.3">
      <c r="A7" s="44"/>
      <c r="B7" s="1" t="s">
        <v>71</v>
      </c>
      <c r="C7" s="384">
        <v>11952</v>
      </c>
      <c r="D7"/>
      <c r="E7"/>
      <c r="F7"/>
      <c r="G7"/>
      <c r="H7"/>
      <c r="I7"/>
      <c r="J7"/>
      <c r="K7"/>
      <c r="L7"/>
      <c r="M7"/>
      <c r="N7"/>
      <c r="O7"/>
      <c r="P7"/>
      <c r="Q7" s="24"/>
      <c r="R7" s="24"/>
      <c r="S7" s="24"/>
      <c r="T7" s="24"/>
      <c r="U7" s="44"/>
    </row>
    <row r="8" spans="1:369" x14ac:dyDescent="0.3">
      <c r="A8" s="44"/>
      <c r="B8" s="1" t="s">
        <v>72</v>
      </c>
      <c r="C8" s="384">
        <v>10940</v>
      </c>
      <c r="D8"/>
      <c r="E8"/>
      <c r="F8"/>
      <c r="G8"/>
      <c r="H8"/>
      <c r="I8"/>
      <c r="J8"/>
      <c r="K8"/>
      <c r="L8"/>
      <c r="M8"/>
      <c r="N8"/>
      <c r="O8"/>
      <c r="P8"/>
      <c r="Q8" s="24"/>
      <c r="R8" s="24"/>
      <c r="S8" s="24"/>
      <c r="T8" s="24"/>
      <c r="U8" s="44"/>
    </row>
    <row r="9" spans="1:369" x14ac:dyDescent="0.3">
      <c r="A9" s="44"/>
      <c r="B9" s="1" t="s">
        <v>73</v>
      </c>
      <c r="C9" s="384">
        <v>9326</v>
      </c>
      <c r="D9"/>
      <c r="E9"/>
      <c r="F9"/>
      <c r="G9"/>
      <c r="H9"/>
      <c r="I9"/>
      <c r="J9"/>
      <c r="K9"/>
      <c r="L9"/>
      <c r="M9"/>
      <c r="N9"/>
      <c r="O9"/>
      <c r="P9"/>
      <c r="Q9" s="24"/>
      <c r="R9" s="24"/>
      <c r="S9" s="24"/>
      <c r="T9" s="24"/>
      <c r="U9" s="44"/>
    </row>
    <row r="10" spans="1:369" x14ac:dyDescent="0.3">
      <c r="A10" s="44"/>
      <c r="B10" s="1" t="s">
        <v>74</v>
      </c>
      <c r="C10" s="384">
        <v>11741</v>
      </c>
      <c r="D10"/>
      <c r="E10"/>
      <c r="F10"/>
      <c r="G10"/>
      <c r="H10"/>
      <c r="I10"/>
      <c r="J10"/>
      <c r="K10"/>
      <c r="L10"/>
      <c r="M10"/>
      <c r="N10"/>
      <c r="O10"/>
      <c r="P10"/>
      <c r="Q10" s="24"/>
      <c r="R10" s="24"/>
      <c r="S10" s="24"/>
      <c r="T10" s="24"/>
      <c r="U10" s="44"/>
    </row>
    <row r="11" spans="1:369" x14ac:dyDescent="0.3">
      <c r="A11" s="44"/>
      <c r="B11" s="1" t="s">
        <v>75</v>
      </c>
      <c r="C11" s="384">
        <v>15202</v>
      </c>
      <c r="D11"/>
      <c r="E11"/>
      <c r="F11"/>
      <c r="G11"/>
      <c r="H11"/>
      <c r="I11"/>
      <c r="J11"/>
      <c r="K11"/>
      <c r="L11"/>
      <c r="M11"/>
      <c r="N11"/>
      <c r="O11"/>
      <c r="P11"/>
      <c r="Q11" s="24"/>
      <c r="R11" s="24"/>
      <c r="S11" s="24"/>
      <c r="T11" s="24"/>
      <c r="U11" s="44"/>
    </row>
    <row r="12" spans="1:369" x14ac:dyDescent="0.3">
      <c r="A12" s="44"/>
      <c r="B12" s="1" t="s">
        <v>238</v>
      </c>
      <c r="C12" s="384">
        <v>10541</v>
      </c>
      <c r="D12"/>
      <c r="E12"/>
      <c r="F12"/>
      <c r="G12"/>
      <c r="H12"/>
      <c r="I12"/>
      <c r="J12"/>
      <c r="K12"/>
      <c r="L12"/>
      <c r="M12"/>
      <c r="N12"/>
      <c r="O12"/>
      <c r="P12"/>
      <c r="Q12" s="24"/>
      <c r="R12" s="24"/>
      <c r="S12" s="24"/>
      <c r="T12" s="24"/>
      <c r="U12" s="44"/>
    </row>
    <row r="13" spans="1:369" x14ac:dyDescent="0.3">
      <c r="A13" s="44"/>
      <c r="B13" s="1" t="s">
        <v>278</v>
      </c>
      <c r="C13" s="384">
        <v>9883</v>
      </c>
      <c r="D13"/>
      <c r="E13"/>
      <c r="F13"/>
      <c r="G13"/>
      <c r="H13"/>
      <c r="I13"/>
      <c r="J13"/>
      <c r="K13"/>
      <c r="L13"/>
      <c r="M13"/>
      <c r="N13"/>
      <c r="O13"/>
      <c r="P13"/>
      <c r="Q13" s="24"/>
      <c r="R13" s="24"/>
      <c r="S13" s="24"/>
      <c r="T13" s="24"/>
      <c r="U13" s="44"/>
    </row>
    <row r="14" spans="1:369" x14ac:dyDescent="0.3">
      <c r="A14" s="44"/>
      <c r="B14" s="1" t="s">
        <v>279</v>
      </c>
      <c r="C14" s="384">
        <v>8765</v>
      </c>
      <c r="D14"/>
      <c r="E14"/>
      <c r="F14"/>
      <c r="G14"/>
      <c r="H14"/>
      <c r="I14"/>
      <c r="J14"/>
      <c r="K14"/>
      <c r="L14"/>
      <c r="M14"/>
      <c r="N14"/>
      <c r="O14"/>
      <c r="P14"/>
      <c r="Q14" s="24"/>
      <c r="R14" s="24"/>
      <c r="S14" s="24"/>
      <c r="T14" s="24"/>
      <c r="U14" s="44"/>
    </row>
    <row r="15" spans="1:369" x14ac:dyDescent="0.3">
      <c r="A15" s="44"/>
      <c r="B15" s="1" t="s">
        <v>280</v>
      </c>
      <c r="C15" s="384">
        <v>11226</v>
      </c>
      <c r="D15"/>
      <c r="E15"/>
      <c r="F15"/>
      <c r="G15"/>
      <c r="H15"/>
      <c r="I15"/>
      <c r="J15"/>
      <c r="K15"/>
      <c r="L15"/>
      <c r="M15"/>
      <c r="N15"/>
      <c r="O15"/>
      <c r="P15"/>
      <c r="Q15" s="24"/>
      <c r="R15" s="24"/>
      <c r="S15" s="24"/>
      <c r="T15" s="24"/>
      <c r="U15" s="44"/>
    </row>
    <row r="16" spans="1:369" x14ac:dyDescent="0.3">
      <c r="A16" s="44"/>
      <c r="B16" s="1" t="s">
        <v>281</v>
      </c>
      <c r="C16" s="384">
        <v>17419</v>
      </c>
      <c r="D16"/>
      <c r="E16"/>
      <c r="F16"/>
      <c r="G16"/>
      <c r="H16"/>
      <c r="I16"/>
      <c r="J16"/>
      <c r="K16"/>
      <c r="L16"/>
      <c r="M16"/>
      <c r="N16"/>
      <c r="O16"/>
      <c r="P16"/>
      <c r="Q16" s="24"/>
      <c r="R16" s="24"/>
      <c r="S16" s="24"/>
      <c r="T16" s="24"/>
      <c r="U16" s="44"/>
    </row>
    <row r="17" spans="1:21" x14ac:dyDescent="0.3">
      <c r="A17" s="44"/>
      <c r="B17" s="1" t="s">
        <v>66</v>
      </c>
      <c r="C17" s="384">
        <v>152124</v>
      </c>
      <c r="D17"/>
      <c r="E17"/>
      <c r="F17"/>
      <c r="G17"/>
      <c r="H17"/>
      <c r="I17"/>
      <c r="J17"/>
      <c r="K17"/>
      <c r="L17"/>
      <c r="M17"/>
      <c r="N17"/>
      <c r="O17"/>
      <c r="P17"/>
      <c r="Q17" s="24"/>
      <c r="R17" s="24"/>
      <c r="S17" s="24"/>
      <c r="T17" s="24"/>
      <c r="U17" s="44"/>
    </row>
    <row r="18" spans="1:21" x14ac:dyDescent="0.3">
      <c r="A18" s="44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24"/>
      <c r="R18" s="24"/>
      <c r="S18" s="24"/>
      <c r="T18" s="24"/>
      <c r="U18" s="44"/>
    </row>
    <row r="19" spans="1:21" x14ac:dyDescent="0.3">
      <c r="A19" s="44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24"/>
      <c r="R19" s="24"/>
      <c r="S19" s="24"/>
      <c r="T19" s="24"/>
      <c r="U19" s="44"/>
    </row>
    <row r="20" spans="1:21" x14ac:dyDescent="0.3">
      <c r="A20" s="44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 s="24"/>
      <c r="R20" s="24"/>
      <c r="S20" s="24"/>
      <c r="T20" s="24"/>
      <c r="U20" s="44"/>
    </row>
    <row r="21" spans="1:21" x14ac:dyDescent="0.3">
      <c r="A21" s="44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 s="24"/>
      <c r="R21" s="24"/>
      <c r="S21" s="24"/>
      <c r="T21" s="24"/>
      <c r="U21" s="44"/>
    </row>
    <row r="22" spans="1:21" x14ac:dyDescent="0.3">
      <c r="A22" s="44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 s="24"/>
      <c r="R22" s="24"/>
      <c r="S22" s="24"/>
      <c r="T22" s="24"/>
      <c r="U22" s="44"/>
    </row>
    <row r="23" spans="1:21" x14ac:dyDescent="0.3">
      <c r="A23" s="44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 s="24"/>
      <c r="R23" s="24"/>
      <c r="S23" s="24"/>
      <c r="T23" s="24"/>
      <c r="U23" s="44"/>
    </row>
    <row r="24" spans="1:21" x14ac:dyDescent="0.3">
      <c r="A24" s="4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 s="24"/>
      <c r="R24" s="24"/>
      <c r="S24" s="24"/>
      <c r="T24" s="24"/>
      <c r="U24" s="44"/>
    </row>
    <row r="25" spans="1:21" x14ac:dyDescent="0.3">
      <c r="A25" s="44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 s="24"/>
      <c r="R25" s="24"/>
      <c r="S25" s="24"/>
      <c r="T25" s="24"/>
      <c r="U25" s="44"/>
    </row>
    <row r="26" spans="1:21" x14ac:dyDescent="0.3">
      <c r="A26" s="44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24"/>
      <c r="R26" s="24"/>
      <c r="S26" s="24"/>
      <c r="T26" s="24"/>
      <c r="U26" s="44"/>
    </row>
    <row r="27" spans="1:21" x14ac:dyDescent="0.3">
      <c r="A27" s="44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 s="24"/>
      <c r="R27" s="24"/>
      <c r="S27" s="24"/>
      <c r="T27" s="24"/>
      <c r="U27" s="44"/>
    </row>
    <row r="28" spans="1:21" x14ac:dyDescent="0.3">
      <c r="A28" s="44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 s="24"/>
      <c r="R28" s="24"/>
      <c r="S28" s="24"/>
      <c r="T28" s="24"/>
      <c r="U28" s="44"/>
    </row>
    <row r="29" spans="1:21" x14ac:dyDescent="0.3">
      <c r="A29" s="44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 s="24"/>
      <c r="R29" s="24"/>
      <c r="S29" s="24"/>
      <c r="T29" s="24"/>
      <c r="U29" s="44"/>
    </row>
    <row r="30" spans="1:21" x14ac:dyDescent="0.3">
      <c r="A30" s="44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 s="24"/>
      <c r="R30" s="24"/>
      <c r="S30" s="24"/>
      <c r="T30" s="24"/>
      <c r="U30" s="44"/>
    </row>
    <row r="31" spans="1:21" x14ac:dyDescent="0.3">
      <c r="A31" s="44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 s="24"/>
      <c r="R31" s="24"/>
      <c r="S31" s="24"/>
      <c r="T31" s="24"/>
      <c r="U31" s="44"/>
    </row>
    <row r="32" spans="1:21" x14ac:dyDescent="0.3">
      <c r="A32" s="44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 s="24"/>
      <c r="R32" s="24"/>
      <c r="S32" s="24"/>
      <c r="T32" s="24"/>
      <c r="U32" s="44"/>
    </row>
    <row r="33" spans="1:22" x14ac:dyDescent="0.3">
      <c r="A33" s="44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 s="24"/>
      <c r="R33" s="24"/>
      <c r="S33" s="24"/>
      <c r="T33" s="24"/>
      <c r="U33" s="44"/>
      <c r="V33" s="249" t="s">
        <v>65</v>
      </c>
    </row>
    <row r="34" spans="1:22" x14ac:dyDescent="0.3">
      <c r="A34" s="4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 s="24"/>
      <c r="R34" s="24"/>
      <c r="S34" s="24"/>
      <c r="T34" s="24"/>
      <c r="U34" s="44"/>
    </row>
    <row r="35" spans="1:22" x14ac:dyDescent="0.3">
      <c r="A35" s="44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 s="24"/>
      <c r="R35" s="24"/>
      <c r="S35" s="24"/>
      <c r="T35" s="24"/>
      <c r="U35" s="44"/>
    </row>
    <row r="36" spans="1:22" x14ac:dyDescent="0.3">
      <c r="A36" s="44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 s="24"/>
      <c r="R36" s="24"/>
      <c r="S36" s="24"/>
      <c r="T36" s="24"/>
      <c r="U36" s="44"/>
    </row>
    <row r="37" spans="1:22" x14ac:dyDescent="0.3">
      <c r="A37" s="44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 s="24"/>
      <c r="R37" s="24"/>
      <c r="S37" s="24"/>
      <c r="T37" s="24"/>
      <c r="U37" s="44"/>
    </row>
    <row r="38" spans="1:22" x14ac:dyDescent="0.3">
      <c r="A38" s="44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 s="24"/>
      <c r="R38" s="24"/>
      <c r="S38" s="24"/>
      <c r="T38" s="24"/>
      <c r="U38" s="44"/>
    </row>
    <row r="39" spans="1:22" x14ac:dyDescent="0.3">
      <c r="A39" s="44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 s="24"/>
      <c r="R39" s="24"/>
      <c r="S39" s="24"/>
      <c r="T39" s="24"/>
      <c r="U39" s="44"/>
    </row>
    <row r="40" spans="1:22" x14ac:dyDescent="0.3">
      <c r="A40" s="44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 s="24"/>
      <c r="R40" s="24"/>
      <c r="S40" s="24"/>
      <c r="T40" s="24"/>
      <c r="U40" s="44"/>
    </row>
    <row r="41" spans="1:22" x14ac:dyDescent="0.3">
      <c r="A41" s="44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 s="24"/>
      <c r="R41" s="24"/>
      <c r="S41" s="24"/>
      <c r="T41" s="24"/>
      <c r="U41" s="44"/>
    </row>
    <row r="42" spans="1:22" x14ac:dyDescent="0.3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</row>
    <row r="43" spans="1:22" x14ac:dyDescent="0.3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22" x14ac:dyDescent="0.3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22" x14ac:dyDescent="0.3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22" x14ac:dyDescent="0.3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1:22" x14ac:dyDescent="0.3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22" x14ac:dyDescent="0.3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2:16" x14ac:dyDescent="0.3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2:16" x14ac:dyDescent="0.3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2:16" x14ac:dyDescent="0.3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2:16" x14ac:dyDescent="0.3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2:16" x14ac:dyDescent="0.3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2:16" x14ac:dyDescent="0.3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2:16" x14ac:dyDescent="0.3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2:16" x14ac:dyDescent="0.3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2:16" x14ac:dyDescent="0.3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2:16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2:16" x14ac:dyDescent="0.3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2:16" x14ac:dyDescent="0.3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2:16" x14ac:dyDescent="0.3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2:16" x14ac:dyDescent="0.3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2:16" x14ac:dyDescent="0.3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2:16" x14ac:dyDescent="0.3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2:16" x14ac:dyDescent="0.3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2:16" x14ac:dyDescent="0.3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2:16" x14ac:dyDescent="0.3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2:16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6" x14ac:dyDescent="0.3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2:16" x14ac:dyDescent="0.3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2:16" x14ac:dyDescent="0.3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2:16" x14ac:dyDescent="0.3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2:16" x14ac:dyDescent="0.3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2:16" x14ac:dyDescent="0.3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2:16" x14ac:dyDescent="0.3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2:16" x14ac:dyDescent="0.3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2:16" x14ac:dyDescent="0.3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2:16" x14ac:dyDescent="0.3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2:16" x14ac:dyDescent="0.3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2:16" x14ac:dyDescent="0.3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2:16" x14ac:dyDescent="0.3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2:16" x14ac:dyDescent="0.3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2:16" x14ac:dyDescent="0.3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2:16" x14ac:dyDescent="0.3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2:16" x14ac:dyDescent="0.3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2:16" x14ac:dyDescent="0.3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2:16" x14ac:dyDescent="0.3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2:16" x14ac:dyDescent="0.3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2:16" x14ac:dyDescent="0.3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2:16" x14ac:dyDescent="0.3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2:16" x14ac:dyDescent="0.3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2:16" x14ac:dyDescent="0.3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2:16" x14ac:dyDescent="0.3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2:16" x14ac:dyDescent="0.3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2:16" x14ac:dyDescent="0.3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2:16" x14ac:dyDescent="0.3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2:16" x14ac:dyDescent="0.3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2:16" x14ac:dyDescent="0.3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2:16" x14ac:dyDescent="0.3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2:16" x14ac:dyDescent="0.3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2:16" x14ac:dyDescent="0.3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2:16" x14ac:dyDescent="0.3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2:16" x14ac:dyDescent="0.3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2:16" x14ac:dyDescent="0.3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2:16" x14ac:dyDescent="0.3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2:16" x14ac:dyDescent="0.3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2:16" x14ac:dyDescent="0.3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2:16" x14ac:dyDescent="0.3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2:16" x14ac:dyDescent="0.3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2:16" x14ac:dyDescent="0.3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2:16" x14ac:dyDescent="0.3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2:16" x14ac:dyDescent="0.3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2:16" x14ac:dyDescent="0.3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2:16" x14ac:dyDescent="0.3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2:16" x14ac:dyDescent="0.3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2:16" x14ac:dyDescent="0.3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2:16" x14ac:dyDescent="0.3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2:16" x14ac:dyDescent="0.3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2:16" x14ac:dyDescent="0.3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2:16" x14ac:dyDescent="0.3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2:16" x14ac:dyDescent="0.3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2:16" x14ac:dyDescent="0.3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2:16" x14ac:dyDescent="0.3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2:16" x14ac:dyDescent="0.3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2:16" x14ac:dyDescent="0.3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2:16" x14ac:dyDescent="0.3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2:16" x14ac:dyDescent="0.3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2:16" x14ac:dyDescent="0.3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2:16" x14ac:dyDescent="0.3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2:16" x14ac:dyDescent="0.3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2:16" x14ac:dyDescent="0.3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2:16" x14ac:dyDescent="0.3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2:16" x14ac:dyDescent="0.3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2:16" x14ac:dyDescent="0.3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2:16" x14ac:dyDescent="0.3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2:16" x14ac:dyDescent="0.3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2:16" x14ac:dyDescent="0.3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2:16" x14ac:dyDescent="0.3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2:16" x14ac:dyDescent="0.3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2:16" x14ac:dyDescent="0.3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2:16" x14ac:dyDescent="0.3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2:16" x14ac:dyDescent="0.3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2:16" x14ac:dyDescent="0.3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2:16" x14ac:dyDescent="0.3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2:16" x14ac:dyDescent="0.3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2:16" x14ac:dyDescent="0.3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2:16" x14ac:dyDescent="0.3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2:16" x14ac:dyDescent="0.3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2:16" x14ac:dyDescent="0.3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2:16" x14ac:dyDescent="0.3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2:16" x14ac:dyDescent="0.3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2:16" x14ac:dyDescent="0.3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2:16" x14ac:dyDescent="0.3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2:16" x14ac:dyDescent="0.3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2:16" x14ac:dyDescent="0.3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2:16" x14ac:dyDescent="0.3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2:16" x14ac:dyDescent="0.3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2:16" x14ac:dyDescent="0.3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2:16" x14ac:dyDescent="0.3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2:16" x14ac:dyDescent="0.3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2:16" x14ac:dyDescent="0.3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2:16" x14ac:dyDescent="0.3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2:16" x14ac:dyDescent="0.3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2:16" x14ac:dyDescent="0.3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2:16" x14ac:dyDescent="0.3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  <row r="166" spans="2:16" x14ac:dyDescent="0.3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spans="2:16" x14ac:dyDescent="0.3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</row>
    <row r="168" spans="2:16" x14ac:dyDescent="0.3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</row>
    <row r="169" spans="2:16" x14ac:dyDescent="0.3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  <row r="170" spans="2:16" x14ac:dyDescent="0.3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</row>
    <row r="171" spans="2:16" x14ac:dyDescent="0.3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</row>
    <row r="172" spans="2:16" x14ac:dyDescent="0.3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</row>
    <row r="173" spans="2:16" x14ac:dyDescent="0.3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</row>
    <row r="174" spans="2:16" x14ac:dyDescent="0.3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2:16" x14ac:dyDescent="0.3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2:16" x14ac:dyDescent="0.3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2:16" x14ac:dyDescent="0.3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2:16" x14ac:dyDescent="0.3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2:16" x14ac:dyDescent="0.3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2:16" x14ac:dyDescent="0.3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2:16" x14ac:dyDescent="0.3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2:16" x14ac:dyDescent="0.3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2:16" x14ac:dyDescent="0.3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2:16" x14ac:dyDescent="0.3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2:16" x14ac:dyDescent="0.3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2:16" x14ac:dyDescent="0.3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2:16" x14ac:dyDescent="0.3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</row>
    <row r="188" spans="2:16" x14ac:dyDescent="0.3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</row>
    <row r="189" spans="2:16" x14ac:dyDescent="0.3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</row>
    <row r="190" spans="2:16" x14ac:dyDescent="0.3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</row>
    <row r="191" spans="2:16" x14ac:dyDescent="0.3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</row>
    <row r="192" spans="2:16" x14ac:dyDescent="0.3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</row>
    <row r="193" spans="2:16" x14ac:dyDescent="0.3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</row>
    <row r="194" spans="2:16" x14ac:dyDescent="0.3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</row>
    <row r="195" spans="2:16" x14ac:dyDescent="0.3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</row>
    <row r="196" spans="2:16" x14ac:dyDescent="0.3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</row>
    <row r="197" spans="2:16" x14ac:dyDescent="0.3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</row>
    <row r="198" spans="2:16" x14ac:dyDescent="0.3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</row>
    <row r="199" spans="2:16" x14ac:dyDescent="0.3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</row>
    <row r="200" spans="2:16" x14ac:dyDescent="0.3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</row>
    <row r="201" spans="2:16" x14ac:dyDescent="0.3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</row>
    <row r="202" spans="2:16" x14ac:dyDescent="0.3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</row>
    <row r="203" spans="2:16" x14ac:dyDescent="0.3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</row>
    <row r="204" spans="2:16" x14ac:dyDescent="0.3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</row>
    <row r="205" spans="2:16" x14ac:dyDescent="0.3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</row>
    <row r="206" spans="2:16" x14ac:dyDescent="0.3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</row>
    <row r="207" spans="2:16" x14ac:dyDescent="0.3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</row>
    <row r="208" spans="2:16" x14ac:dyDescent="0.3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</row>
    <row r="209" spans="2:16" x14ac:dyDescent="0.3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</row>
    <row r="210" spans="2:16" x14ac:dyDescent="0.3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</row>
    <row r="211" spans="2:16" x14ac:dyDescent="0.3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</row>
    <row r="212" spans="2:16" x14ac:dyDescent="0.3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</row>
    <row r="213" spans="2:16" x14ac:dyDescent="0.3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</row>
    <row r="214" spans="2:16" x14ac:dyDescent="0.3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</row>
    <row r="215" spans="2:16" x14ac:dyDescent="0.3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</row>
    <row r="216" spans="2:16" x14ac:dyDescent="0.3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</row>
    <row r="217" spans="2:16" x14ac:dyDescent="0.3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</row>
    <row r="218" spans="2:16" x14ac:dyDescent="0.3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</row>
    <row r="219" spans="2:16" x14ac:dyDescent="0.3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</row>
    <row r="220" spans="2:16" x14ac:dyDescent="0.3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</row>
    <row r="221" spans="2:16" x14ac:dyDescent="0.3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</row>
    <row r="222" spans="2:16" x14ac:dyDescent="0.3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</row>
    <row r="223" spans="2:16" x14ac:dyDescent="0.3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</row>
    <row r="224" spans="2:16" x14ac:dyDescent="0.3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</row>
    <row r="225" spans="2:16" x14ac:dyDescent="0.3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</row>
    <row r="226" spans="2:16" x14ac:dyDescent="0.3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</row>
    <row r="227" spans="2:16" x14ac:dyDescent="0.3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</row>
    <row r="228" spans="2:16" x14ac:dyDescent="0.3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</row>
    <row r="229" spans="2:16" x14ac:dyDescent="0.3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</row>
    <row r="230" spans="2:16" x14ac:dyDescent="0.3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</row>
    <row r="231" spans="2:16" x14ac:dyDescent="0.3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</row>
    <row r="232" spans="2:16" x14ac:dyDescent="0.3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</row>
    <row r="233" spans="2:16" x14ac:dyDescent="0.3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</row>
    <row r="234" spans="2:16" x14ac:dyDescent="0.3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</row>
    <row r="235" spans="2:16" x14ac:dyDescent="0.3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</row>
    <row r="236" spans="2:16" x14ac:dyDescent="0.3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</row>
    <row r="237" spans="2:16" x14ac:dyDescent="0.3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</row>
    <row r="238" spans="2:16" x14ac:dyDescent="0.3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</row>
    <row r="239" spans="2:16" x14ac:dyDescent="0.3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</row>
    <row r="240" spans="2:16" x14ac:dyDescent="0.3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</row>
    <row r="241" spans="2:16" x14ac:dyDescent="0.3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</row>
    <row r="242" spans="2:16" x14ac:dyDescent="0.3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</row>
    <row r="243" spans="2:16" x14ac:dyDescent="0.3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</row>
    <row r="244" spans="2:16" x14ac:dyDescent="0.3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</row>
    <row r="245" spans="2:16" x14ac:dyDescent="0.3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</row>
    <row r="246" spans="2:16" x14ac:dyDescent="0.3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</row>
    <row r="247" spans="2:16" x14ac:dyDescent="0.3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</row>
    <row r="248" spans="2:16" x14ac:dyDescent="0.3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</row>
    <row r="249" spans="2:16" x14ac:dyDescent="0.3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</row>
    <row r="250" spans="2:16" x14ac:dyDescent="0.3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</row>
    <row r="251" spans="2:16" x14ac:dyDescent="0.3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</row>
    <row r="252" spans="2:16" x14ac:dyDescent="0.3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</row>
    <row r="253" spans="2:16" x14ac:dyDescent="0.3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</row>
    <row r="254" spans="2:16" x14ac:dyDescent="0.3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</row>
    <row r="255" spans="2:16" x14ac:dyDescent="0.3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</row>
    <row r="256" spans="2:16" x14ac:dyDescent="0.3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</row>
    <row r="257" spans="2:16" x14ac:dyDescent="0.3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</row>
    <row r="258" spans="2:16" x14ac:dyDescent="0.3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</row>
    <row r="259" spans="2:16" x14ac:dyDescent="0.3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</row>
    <row r="260" spans="2:16" x14ac:dyDescent="0.3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</row>
    <row r="261" spans="2:16" x14ac:dyDescent="0.3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</row>
    <row r="262" spans="2:16" x14ac:dyDescent="0.3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</row>
    <row r="263" spans="2:16" x14ac:dyDescent="0.3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</row>
    <row r="264" spans="2:16" x14ac:dyDescent="0.3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</row>
    <row r="265" spans="2:16" x14ac:dyDescent="0.3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</row>
    <row r="266" spans="2:16" x14ac:dyDescent="0.3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</row>
    <row r="267" spans="2:16" x14ac:dyDescent="0.3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</row>
    <row r="268" spans="2:16" x14ac:dyDescent="0.3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</row>
    <row r="269" spans="2:16" x14ac:dyDescent="0.3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</row>
    <row r="270" spans="2:16" x14ac:dyDescent="0.3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</row>
    <row r="271" spans="2:16" x14ac:dyDescent="0.3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</row>
    <row r="272" spans="2:16" x14ac:dyDescent="0.3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</row>
    <row r="273" spans="2:16" x14ac:dyDescent="0.3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</row>
    <row r="274" spans="2:16" x14ac:dyDescent="0.3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</row>
    <row r="275" spans="2:16" x14ac:dyDescent="0.3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</row>
    <row r="276" spans="2:16" x14ac:dyDescent="0.3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</row>
    <row r="277" spans="2:16" x14ac:dyDescent="0.3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</row>
    <row r="278" spans="2:16" x14ac:dyDescent="0.3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</row>
    <row r="279" spans="2:16" x14ac:dyDescent="0.3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</row>
    <row r="280" spans="2:16" x14ac:dyDescent="0.3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</row>
    <row r="281" spans="2:16" x14ac:dyDescent="0.3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</row>
    <row r="282" spans="2:16" x14ac:dyDescent="0.3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</row>
    <row r="283" spans="2:16" x14ac:dyDescent="0.3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</row>
    <row r="284" spans="2:16" x14ac:dyDescent="0.3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</row>
    <row r="285" spans="2:16" x14ac:dyDescent="0.3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</row>
    <row r="286" spans="2:16" x14ac:dyDescent="0.3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</row>
    <row r="287" spans="2:16" x14ac:dyDescent="0.3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</row>
    <row r="288" spans="2:16" x14ac:dyDescent="0.3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</row>
    <row r="289" spans="2:16" x14ac:dyDescent="0.3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</row>
    <row r="290" spans="2:16" x14ac:dyDescent="0.3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</row>
    <row r="291" spans="2:16" x14ac:dyDescent="0.3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</row>
    <row r="292" spans="2:16" x14ac:dyDescent="0.3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</row>
    <row r="293" spans="2:16" x14ac:dyDescent="0.3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</row>
    <row r="294" spans="2:16" x14ac:dyDescent="0.3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</row>
    <row r="295" spans="2:16" x14ac:dyDescent="0.3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</row>
    <row r="296" spans="2:16" x14ac:dyDescent="0.3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</row>
    <row r="297" spans="2:16" x14ac:dyDescent="0.3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</row>
    <row r="298" spans="2:16" x14ac:dyDescent="0.3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</row>
    <row r="299" spans="2:16" x14ac:dyDescent="0.3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</row>
    <row r="300" spans="2:16" x14ac:dyDescent="0.3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</row>
    <row r="301" spans="2:16" x14ac:dyDescent="0.3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</row>
    <row r="302" spans="2:16" x14ac:dyDescent="0.3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</row>
    <row r="303" spans="2:16" x14ac:dyDescent="0.3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</row>
    <row r="304" spans="2:16" x14ac:dyDescent="0.3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</row>
    <row r="305" spans="2:16" x14ac:dyDescent="0.3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</row>
    <row r="306" spans="2:16" x14ac:dyDescent="0.3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</row>
    <row r="307" spans="2:16" x14ac:dyDescent="0.3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</row>
    <row r="308" spans="2:16" x14ac:dyDescent="0.3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</row>
    <row r="309" spans="2:16" x14ac:dyDescent="0.3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</row>
    <row r="310" spans="2:16" x14ac:dyDescent="0.3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</row>
    <row r="311" spans="2:16" x14ac:dyDescent="0.3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</row>
    <row r="312" spans="2:16" x14ac:dyDescent="0.3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</row>
    <row r="313" spans="2:16" x14ac:dyDescent="0.3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</row>
    <row r="314" spans="2:16" x14ac:dyDescent="0.3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</row>
    <row r="315" spans="2:16" x14ac:dyDescent="0.3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</row>
    <row r="316" spans="2:16" x14ac:dyDescent="0.3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</row>
    <row r="317" spans="2:16" x14ac:dyDescent="0.3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</row>
    <row r="318" spans="2:16" x14ac:dyDescent="0.3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</row>
    <row r="319" spans="2:16" x14ac:dyDescent="0.3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</row>
    <row r="320" spans="2:16" x14ac:dyDescent="0.3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</row>
    <row r="321" spans="2:16" x14ac:dyDescent="0.3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</row>
    <row r="322" spans="2:16" x14ac:dyDescent="0.3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</row>
    <row r="323" spans="2:16" x14ac:dyDescent="0.3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</row>
    <row r="324" spans="2:16" x14ac:dyDescent="0.3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</row>
    <row r="325" spans="2:16" x14ac:dyDescent="0.3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</row>
    <row r="326" spans="2:16" x14ac:dyDescent="0.3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</row>
    <row r="327" spans="2:16" x14ac:dyDescent="0.3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</row>
    <row r="328" spans="2:16" x14ac:dyDescent="0.3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</row>
    <row r="329" spans="2:16" x14ac:dyDescent="0.3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</row>
    <row r="330" spans="2:16" x14ac:dyDescent="0.3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</row>
    <row r="331" spans="2:16" x14ac:dyDescent="0.3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</row>
    <row r="332" spans="2:16" x14ac:dyDescent="0.3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</row>
    <row r="333" spans="2:16" x14ac:dyDescent="0.3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</row>
    <row r="334" spans="2:16" x14ac:dyDescent="0.3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</row>
    <row r="335" spans="2:16" x14ac:dyDescent="0.3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</row>
    <row r="336" spans="2:16" x14ac:dyDescent="0.3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</row>
    <row r="337" spans="2:16" x14ac:dyDescent="0.3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</row>
    <row r="338" spans="2:16" x14ac:dyDescent="0.3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</row>
    <row r="339" spans="2:16" x14ac:dyDescent="0.3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</row>
    <row r="340" spans="2:16" x14ac:dyDescent="0.3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</row>
    <row r="341" spans="2:16" x14ac:dyDescent="0.3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</row>
    <row r="342" spans="2:16" x14ac:dyDescent="0.3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  <row r="343" spans="2:16" x14ac:dyDescent="0.3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</row>
    <row r="344" spans="2:16" x14ac:dyDescent="0.3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</row>
    <row r="345" spans="2:16" x14ac:dyDescent="0.3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</row>
    <row r="346" spans="2:16" x14ac:dyDescent="0.3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</row>
    <row r="347" spans="2:16" x14ac:dyDescent="0.3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</row>
    <row r="348" spans="2:16" x14ac:dyDescent="0.3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</row>
    <row r="349" spans="2:16" x14ac:dyDescent="0.3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</row>
    <row r="350" spans="2:16" x14ac:dyDescent="0.3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</row>
    <row r="351" spans="2:16" x14ac:dyDescent="0.3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</row>
    <row r="352" spans="2:16" x14ac:dyDescent="0.3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</row>
    <row r="353" spans="2:16" x14ac:dyDescent="0.3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</row>
    <row r="354" spans="2:16" x14ac:dyDescent="0.3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</row>
    <row r="355" spans="2:16" x14ac:dyDescent="0.3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</row>
    <row r="356" spans="2:16" x14ac:dyDescent="0.3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</row>
    <row r="357" spans="2:16" x14ac:dyDescent="0.3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</row>
    <row r="358" spans="2:16" x14ac:dyDescent="0.3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</row>
    <row r="359" spans="2:16" x14ac:dyDescent="0.3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</row>
    <row r="360" spans="2:16" x14ac:dyDescent="0.3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</row>
    <row r="361" spans="2:16" x14ac:dyDescent="0.3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</row>
    <row r="362" spans="2:16" x14ac:dyDescent="0.3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</row>
    <row r="363" spans="2:16" x14ac:dyDescent="0.3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</row>
    <row r="364" spans="2:16" x14ac:dyDescent="0.3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</row>
    <row r="365" spans="2:16" x14ac:dyDescent="0.3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</row>
    <row r="366" spans="2:16" x14ac:dyDescent="0.3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</row>
    <row r="367" spans="2:16" x14ac:dyDescent="0.3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</row>
    <row r="368" spans="2:16" x14ac:dyDescent="0.3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</row>
    <row r="369" spans="2:16" x14ac:dyDescent="0.3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</row>
    <row r="370" spans="2:16" x14ac:dyDescent="0.3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</row>
    <row r="371" spans="2:16" x14ac:dyDescent="0.3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</row>
    <row r="372" spans="2:16" x14ac:dyDescent="0.3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</row>
    <row r="373" spans="2:16" x14ac:dyDescent="0.3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</row>
    <row r="374" spans="2:16" x14ac:dyDescent="0.3">
      <c r="B374"/>
      <c r="C374"/>
    </row>
    <row r="375" spans="2:16" x14ac:dyDescent="0.3">
      <c r="B375"/>
      <c r="C375"/>
    </row>
    <row r="376" spans="2:16" x14ac:dyDescent="0.3">
      <c r="B376"/>
      <c r="C376"/>
    </row>
    <row r="377" spans="2:16" x14ac:dyDescent="0.3">
      <c r="B377"/>
      <c r="C377"/>
    </row>
    <row r="378" spans="2:16" x14ac:dyDescent="0.3">
      <c r="B378"/>
      <c r="C378"/>
    </row>
    <row r="379" spans="2:16" x14ac:dyDescent="0.3">
      <c r="B379"/>
      <c r="C379"/>
    </row>
    <row r="380" spans="2:16" x14ac:dyDescent="0.3">
      <c r="B380"/>
      <c r="C380"/>
    </row>
    <row r="381" spans="2:16" x14ac:dyDescent="0.3">
      <c r="B381"/>
      <c r="C381"/>
    </row>
    <row r="382" spans="2:16" x14ac:dyDescent="0.3">
      <c r="B382"/>
      <c r="C382"/>
    </row>
    <row r="383" spans="2:16" x14ac:dyDescent="0.3">
      <c r="B383"/>
      <c r="C383"/>
    </row>
    <row r="384" spans="2:16" x14ac:dyDescent="0.3">
      <c r="B384"/>
      <c r="C384"/>
    </row>
    <row r="385" spans="2:3" x14ac:dyDescent="0.3">
      <c r="B385"/>
      <c r="C385"/>
    </row>
    <row r="386" spans="2:3" x14ac:dyDescent="0.3">
      <c r="B386"/>
      <c r="C386"/>
    </row>
    <row r="387" spans="2:3" x14ac:dyDescent="0.3">
      <c r="B387"/>
      <c r="C387"/>
    </row>
    <row r="388" spans="2:3" x14ac:dyDescent="0.3">
      <c r="B388"/>
      <c r="C388"/>
    </row>
    <row r="389" spans="2:3" x14ac:dyDescent="0.3">
      <c r="B389"/>
      <c r="C389"/>
    </row>
    <row r="390" spans="2:3" x14ac:dyDescent="0.3">
      <c r="B390"/>
      <c r="C390"/>
    </row>
    <row r="391" spans="2:3" x14ac:dyDescent="0.3">
      <c r="B391"/>
      <c r="C391"/>
    </row>
    <row r="392" spans="2:3" x14ac:dyDescent="0.3">
      <c r="B392"/>
      <c r="C392"/>
    </row>
    <row r="393" spans="2:3" x14ac:dyDescent="0.3">
      <c r="B393"/>
      <c r="C393"/>
    </row>
    <row r="394" spans="2:3" x14ac:dyDescent="0.3">
      <c r="B394"/>
      <c r="C394"/>
    </row>
    <row r="395" spans="2:3" x14ac:dyDescent="0.3">
      <c r="B395"/>
      <c r="C395"/>
    </row>
    <row r="396" spans="2:3" x14ac:dyDescent="0.3">
      <c r="B396"/>
      <c r="C396"/>
    </row>
    <row r="397" spans="2:3" x14ac:dyDescent="0.3">
      <c r="B397"/>
      <c r="C397"/>
    </row>
    <row r="398" spans="2:3" x14ac:dyDescent="0.3">
      <c r="B398"/>
      <c r="C398"/>
    </row>
    <row r="399" spans="2:3" x14ac:dyDescent="0.3">
      <c r="B399"/>
      <c r="C399"/>
    </row>
    <row r="400" spans="2:3" x14ac:dyDescent="0.3">
      <c r="B400"/>
      <c r="C400"/>
    </row>
    <row r="401" spans="2:3" x14ac:dyDescent="0.3">
      <c r="B401"/>
      <c r="C401"/>
    </row>
    <row r="402" spans="2:3" x14ac:dyDescent="0.3">
      <c r="B402"/>
      <c r="C402"/>
    </row>
    <row r="403" spans="2:3" x14ac:dyDescent="0.3">
      <c r="B403"/>
      <c r="C403"/>
    </row>
    <row r="404" spans="2:3" x14ac:dyDescent="0.3">
      <c r="B404"/>
      <c r="C404"/>
    </row>
    <row r="405" spans="2:3" x14ac:dyDescent="0.3">
      <c r="B405"/>
      <c r="C405"/>
    </row>
    <row r="406" spans="2:3" x14ac:dyDescent="0.3">
      <c r="B406"/>
      <c r="C406"/>
    </row>
    <row r="407" spans="2:3" x14ac:dyDescent="0.3">
      <c r="B407"/>
      <c r="C407"/>
    </row>
    <row r="408" spans="2:3" x14ac:dyDescent="0.3">
      <c r="B408"/>
      <c r="C408"/>
    </row>
    <row r="409" spans="2:3" x14ac:dyDescent="0.3">
      <c r="B409"/>
      <c r="C409"/>
    </row>
    <row r="410" spans="2:3" x14ac:dyDescent="0.3">
      <c r="B410"/>
      <c r="C410"/>
    </row>
    <row r="411" spans="2:3" x14ac:dyDescent="0.3">
      <c r="B411"/>
      <c r="C411"/>
    </row>
    <row r="412" spans="2:3" x14ac:dyDescent="0.3">
      <c r="B412"/>
      <c r="C412"/>
    </row>
    <row r="413" spans="2:3" x14ac:dyDescent="0.3">
      <c r="B413"/>
      <c r="C413"/>
    </row>
    <row r="414" spans="2:3" x14ac:dyDescent="0.3">
      <c r="B414"/>
      <c r="C414"/>
    </row>
    <row r="415" spans="2:3" x14ac:dyDescent="0.3">
      <c r="B415"/>
      <c r="C415"/>
    </row>
    <row r="416" spans="2:3" x14ac:dyDescent="0.3">
      <c r="B416"/>
      <c r="C416"/>
    </row>
    <row r="417" spans="2:3" x14ac:dyDescent="0.3">
      <c r="B417"/>
      <c r="C417"/>
    </row>
    <row r="418" spans="2:3" x14ac:dyDescent="0.3">
      <c r="B418"/>
      <c r="C418"/>
    </row>
    <row r="419" spans="2:3" x14ac:dyDescent="0.3">
      <c r="B419"/>
      <c r="C419"/>
    </row>
    <row r="420" spans="2:3" x14ac:dyDescent="0.3">
      <c r="B420"/>
      <c r="C420"/>
    </row>
    <row r="421" spans="2:3" x14ac:dyDescent="0.3">
      <c r="B421"/>
      <c r="C421"/>
    </row>
    <row r="422" spans="2:3" x14ac:dyDescent="0.3">
      <c r="B422"/>
      <c r="C422"/>
    </row>
    <row r="423" spans="2:3" x14ac:dyDescent="0.3">
      <c r="B423"/>
      <c r="C423"/>
    </row>
    <row r="424" spans="2:3" x14ac:dyDescent="0.3">
      <c r="B424"/>
      <c r="C424"/>
    </row>
    <row r="425" spans="2:3" x14ac:dyDescent="0.3">
      <c r="B425"/>
      <c r="C425"/>
    </row>
    <row r="426" spans="2:3" x14ac:dyDescent="0.3">
      <c r="B426"/>
      <c r="C426"/>
    </row>
    <row r="427" spans="2:3" x14ac:dyDescent="0.3">
      <c r="B427"/>
      <c r="C427"/>
    </row>
    <row r="428" spans="2:3" x14ac:dyDescent="0.3">
      <c r="B428"/>
      <c r="C428"/>
    </row>
    <row r="429" spans="2:3" x14ac:dyDescent="0.3">
      <c r="B429"/>
      <c r="C429"/>
    </row>
    <row r="430" spans="2:3" x14ac:dyDescent="0.3">
      <c r="B430"/>
      <c r="C430"/>
    </row>
    <row r="431" spans="2:3" x14ac:dyDescent="0.3">
      <c r="B431"/>
      <c r="C431"/>
    </row>
    <row r="432" spans="2:3" x14ac:dyDescent="0.3">
      <c r="B432"/>
      <c r="C432"/>
    </row>
    <row r="433" spans="2:3" x14ac:dyDescent="0.3">
      <c r="B433"/>
      <c r="C433"/>
    </row>
    <row r="434" spans="2:3" x14ac:dyDescent="0.3">
      <c r="B434"/>
      <c r="C434"/>
    </row>
    <row r="435" spans="2:3" x14ac:dyDescent="0.3">
      <c r="B435"/>
      <c r="C435"/>
    </row>
    <row r="436" spans="2:3" x14ac:dyDescent="0.3">
      <c r="B436"/>
      <c r="C436"/>
    </row>
    <row r="437" spans="2:3" x14ac:dyDescent="0.3">
      <c r="B437"/>
      <c r="C437"/>
    </row>
    <row r="438" spans="2:3" x14ac:dyDescent="0.3">
      <c r="B438"/>
      <c r="C438"/>
    </row>
    <row r="439" spans="2:3" x14ac:dyDescent="0.3">
      <c r="B439"/>
      <c r="C439"/>
    </row>
    <row r="440" spans="2:3" x14ac:dyDescent="0.3">
      <c r="B440"/>
      <c r="C440"/>
    </row>
    <row r="441" spans="2:3" x14ac:dyDescent="0.3">
      <c r="B441"/>
      <c r="C441"/>
    </row>
    <row r="442" spans="2:3" x14ac:dyDescent="0.3">
      <c r="B442"/>
      <c r="C442"/>
    </row>
    <row r="443" spans="2:3" x14ac:dyDescent="0.3">
      <c r="B443"/>
      <c r="C443"/>
    </row>
    <row r="444" spans="2:3" x14ac:dyDescent="0.3">
      <c r="B444"/>
      <c r="C444"/>
    </row>
    <row r="445" spans="2:3" x14ac:dyDescent="0.3">
      <c r="B445"/>
      <c r="C445"/>
    </row>
    <row r="446" spans="2:3" x14ac:dyDescent="0.3">
      <c r="B446"/>
      <c r="C446"/>
    </row>
    <row r="447" spans="2:3" x14ac:dyDescent="0.3">
      <c r="B447"/>
      <c r="C447"/>
    </row>
    <row r="448" spans="2:3" x14ac:dyDescent="0.3">
      <c r="B448"/>
      <c r="C448"/>
    </row>
    <row r="449" spans="2:3" x14ac:dyDescent="0.3">
      <c r="B449"/>
      <c r="C449"/>
    </row>
    <row r="450" spans="2:3" x14ac:dyDescent="0.3">
      <c r="B450"/>
      <c r="C450"/>
    </row>
    <row r="451" spans="2:3" x14ac:dyDescent="0.3">
      <c r="B451"/>
      <c r="C451"/>
    </row>
    <row r="452" spans="2:3" x14ac:dyDescent="0.3">
      <c r="B452"/>
      <c r="C452"/>
    </row>
    <row r="453" spans="2:3" x14ac:dyDescent="0.3">
      <c r="B453"/>
      <c r="C453"/>
    </row>
    <row r="454" spans="2:3" x14ac:dyDescent="0.3">
      <c r="B454"/>
      <c r="C454"/>
    </row>
    <row r="455" spans="2:3" x14ac:dyDescent="0.3">
      <c r="B455"/>
      <c r="C455"/>
    </row>
    <row r="456" spans="2:3" x14ac:dyDescent="0.3">
      <c r="B456"/>
      <c r="C456"/>
    </row>
    <row r="457" spans="2:3" x14ac:dyDescent="0.3">
      <c r="B457"/>
      <c r="C457"/>
    </row>
    <row r="458" spans="2:3" x14ac:dyDescent="0.3">
      <c r="B458"/>
      <c r="C458"/>
    </row>
    <row r="459" spans="2:3" x14ac:dyDescent="0.3">
      <c r="B459"/>
      <c r="C459"/>
    </row>
    <row r="460" spans="2:3" x14ac:dyDescent="0.3">
      <c r="B460"/>
      <c r="C460"/>
    </row>
    <row r="461" spans="2:3" x14ac:dyDescent="0.3">
      <c r="B461"/>
      <c r="C461"/>
    </row>
    <row r="462" spans="2:3" x14ac:dyDescent="0.3">
      <c r="B462"/>
      <c r="C462"/>
    </row>
    <row r="463" spans="2:3" x14ac:dyDescent="0.3">
      <c r="B463"/>
      <c r="C463"/>
    </row>
    <row r="464" spans="2:3" x14ac:dyDescent="0.3">
      <c r="B464"/>
      <c r="C464"/>
    </row>
    <row r="465" spans="2:3" x14ac:dyDescent="0.3">
      <c r="B465"/>
      <c r="C465"/>
    </row>
    <row r="466" spans="2:3" x14ac:dyDescent="0.3">
      <c r="B466"/>
      <c r="C466"/>
    </row>
    <row r="467" spans="2:3" x14ac:dyDescent="0.3">
      <c r="B467"/>
      <c r="C467"/>
    </row>
    <row r="468" spans="2:3" x14ac:dyDescent="0.3">
      <c r="B468"/>
      <c r="C468"/>
    </row>
    <row r="469" spans="2:3" x14ac:dyDescent="0.3">
      <c r="B469"/>
      <c r="C469"/>
    </row>
    <row r="470" spans="2:3" x14ac:dyDescent="0.3">
      <c r="B470"/>
      <c r="C470"/>
    </row>
    <row r="471" spans="2:3" x14ac:dyDescent="0.3">
      <c r="B471"/>
      <c r="C471"/>
    </row>
    <row r="472" spans="2:3" x14ac:dyDescent="0.3">
      <c r="B472"/>
      <c r="C472"/>
    </row>
    <row r="473" spans="2:3" x14ac:dyDescent="0.3">
      <c r="B473"/>
      <c r="C473"/>
    </row>
    <row r="474" spans="2:3" x14ac:dyDescent="0.3">
      <c r="B474"/>
      <c r="C474"/>
    </row>
    <row r="475" spans="2:3" x14ac:dyDescent="0.3">
      <c r="B475"/>
      <c r="C475"/>
    </row>
    <row r="476" spans="2:3" x14ac:dyDescent="0.3">
      <c r="B476"/>
      <c r="C476"/>
    </row>
    <row r="477" spans="2:3" x14ac:dyDescent="0.3">
      <c r="B477"/>
      <c r="C477"/>
    </row>
    <row r="478" spans="2:3" x14ac:dyDescent="0.3">
      <c r="B478"/>
      <c r="C478"/>
    </row>
    <row r="479" spans="2:3" x14ac:dyDescent="0.3">
      <c r="B479"/>
      <c r="C479"/>
    </row>
    <row r="480" spans="2:3" x14ac:dyDescent="0.3">
      <c r="B480"/>
      <c r="C480"/>
    </row>
    <row r="481" spans="2:3" x14ac:dyDescent="0.3">
      <c r="B481"/>
      <c r="C481"/>
    </row>
    <row r="482" spans="2:3" x14ac:dyDescent="0.3">
      <c r="B482"/>
      <c r="C482"/>
    </row>
    <row r="483" spans="2:3" x14ac:dyDescent="0.3">
      <c r="B483"/>
      <c r="C483"/>
    </row>
    <row r="484" spans="2:3" x14ac:dyDescent="0.3">
      <c r="B484"/>
      <c r="C484"/>
    </row>
    <row r="485" spans="2:3" x14ac:dyDescent="0.3">
      <c r="B485"/>
      <c r="C485"/>
    </row>
    <row r="486" spans="2:3" x14ac:dyDescent="0.3">
      <c r="B486"/>
      <c r="C486"/>
    </row>
    <row r="487" spans="2:3" x14ac:dyDescent="0.3">
      <c r="B487"/>
      <c r="C487"/>
    </row>
    <row r="488" spans="2:3" x14ac:dyDescent="0.3">
      <c r="B488"/>
      <c r="C488"/>
    </row>
    <row r="489" spans="2:3" x14ac:dyDescent="0.3">
      <c r="B489"/>
      <c r="C489"/>
    </row>
    <row r="490" spans="2:3" x14ac:dyDescent="0.3">
      <c r="B490"/>
      <c r="C490"/>
    </row>
    <row r="491" spans="2:3" x14ac:dyDescent="0.3">
      <c r="B491"/>
      <c r="C491"/>
    </row>
    <row r="492" spans="2:3" x14ac:dyDescent="0.3">
      <c r="B492"/>
      <c r="C492"/>
    </row>
    <row r="493" spans="2:3" x14ac:dyDescent="0.3">
      <c r="B493"/>
      <c r="C493"/>
    </row>
    <row r="494" spans="2:3" x14ac:dyDescent="0.3">
      <c r="B494"/>
      <c r="C494"/>
    </row>
    <row r="495" spans="2:3" x14ac:dyDescent="0.3">
      <c r="B495"/>
      <c r="C495"/>
    </row>
    <row r="496" spans="2:3" x14ac:dyDescent="0.3">
      <c r="B496"/>
      <c r="C496"/>
    </row>
    <row r="497" spans="2:3" x14ac:dyDescent="0.3">
      <c r="B497"/>
      <c r="C497"/>
    </row>
    <row r="498" spans="2:3" x14ac:dyDescent="0.3">
      <c r="B498"/>
      <c r="C498"/>
    </row>
    <row r="499" spans="2:3" x14ac:dyDescent="0.3">
      <c r="B499"/>
      <c r="C499"/>
    </row>
    <row r="500" spans="2:3" x14ac:dyDescent="0.3">
      <c r="B500"/>
      <c r="C500"/>
    </row>
    <row r="501" spans="2:3" x14ac:dyDescent="0.3">
      <c r="B501"/>
      <c r="C501"/>
    </row>
    <row r="502" spans="2:3" x14ac:dyDescent="0.3">
      <c r="B502"/>
      <c r="C502"/>
    </row>
    <row r="503" spans="2:3" x14ac:dyDescent="0.3">
      <c r="B503"/>
      <c r="C503"/>
    </row>
    <row r="504" spans="2:3" x14ac:dyDescent="0.3">
      <c r="B504"/>
      <c r="C504"/>
    </row>
    <row r="505" spans="2:3" x14ac:dyDescent="0.3">
      <c r="B505"/>
      <c r="C505"/>
    </row>
    <row r="506" spans="2:3" x14ac:dyDescent="0.3">
      <c r="B506"/>
      <c r="C506"/>
    </row>
    <row r="507" spans="2:3" x14ac:dyDescent="0.3">
      <c r="B507"/>
      <c r="C507"/>
    </row>
    <row r="508" spans="2:3" x14ac:dyDescent="0.3">
      <c r="B508"/>
      <c r="C508"/>
    </row>
    <row r="509" spans="2:3" x14ac:dyDescent="0.3">
      <c r="B509"/>
      <c r="C509"/>
    </row>
    <row r="510" spans="2:3" x14ac:dyDescent="0.3">
      <c r="B510"/>
      <c r="C510"/>
    </row>
    <row r="511" spans="2:3" x14ac:dyDescent="0.3">
      <c r="B511"/>
      <c r="C511"/>
    </row>
    <row r="512" spans="2:3" x14ac:dyDescent="0.3">
      <c r="B512"/>
      <c r="C512"/>
    </row>
    <row r="513" spans="2:3" x14ac:dyDescent="0.3">
      <c r="B513"/>
      <c r="C513"/>
    </row>
    <row r="514" spans="2:3" x14ac:dyDescent="0.3">
      <c r="B514"/>
      <c r="C514"/>
    </row>
    <row r="515" spans="2:3" x14ac:dyDescent="0.3">
      <c r="B515"/>
      <c r="C515"/>
    </row>
    <row r="516" spans="2:3" x14ac:dyDescent="0.3">
      <c r="B516"/>
      <c r="C516"/>
    </row>
    <row r="517" spans="2:3" x14ac:dyDescent="0.3">
      <c r="B517"/>
      <c r="C517"/>
    </row>
    <row r="518" spans="2:3" x14ac:dyDescent="0.3">
      <c r="B518"/>
      <c r="C518"/>
    </row>
    <row r="519" spans="2:3" x14ac:dyDescent="0.3">
      <c r="B519"/>
      <c r="C519"/>
    </row>
    <row r="520" spans="2:3" x14ac:dyDescent="0.3">
      <c r="B520"/>
      <c r="C520"/>
    </row>
    <row r="521" spans="2:3" x14ac:dyDescent="0.3">
      <c r="B521"/>
      <c r="C521"/>
    </row>
    <row r="522" spans="2:3" x14ac:dyDescent="0.3">
      <c r="B522"/>
      <c r="C522"/>
    </row>
    <row r="523" spans="2:3" x14ac:dyDescent="0.3">
      <c r="B523"/>
      <c r="C523"/>
    </row>
    <row r="524" spans="2:3" x14ac:dyDescent="0.3">
      <c r="B524"/>
      <c r="C524"/>
    </row>
    <row r="525" spans="2:3" x14ac:dyDescent="0.3">
      <c r="B525"/>
      <c r="C525"/>
    </row>
    <row r="526" spans="2:3" x14ac:dyDescent="0.3">
      <c r="B526"/>
      <c r="C526"/>
    </row>
    <row r="527" spans="2:3" x14ac:dyDescent="0.3">
      <c r="B527"/>
      <c r="C527"/>
    </row>
    <row r="528" spans="2:3" x14ac:dyDescent="0.3">
      <c r="B528"/>
      <c r="C528"/>
    </row>
    <row r="529" spans="2:3" x14ac:dyDescent="0.3">
      <c r="B529"/>
      <c r="C529"/>
    </row>
    <row r="530" spans="2:3" x14ac:dyDescent="0.3">
      <c r="B530"/>
      <c r="C530"/>
    </row>
    <row r="531" spans="2:3" x14ac:dyDescent="0.3">
      <c r="B531"/>
      <c r="C531"/>
    </row>
    <row r="532" spans="2:3" x14ac:dyDescent="0.3">
      <c r="B532"/>
      <c r="C532"/>
    </row>
    <row r="533" spans="2:3" x14ac:dyDescent="0.3">
      <c r="B533"/>
      <c r="C533"/>
    </row>
    <row r="534" spans="2:3" x14ac:dyDescent="0.3">
      <c r="B534"/>
      <c r="C534"/>
    </row>
    <row r="535" spans="2:3" x14ac:dyDescent="0.3">
      <c r="B535"/>
      <c r="C535"/>
    </row>
    <row r="536" spans="2:3" x14ac:dyDescent="0.3">
      <c r="B536"/>
      <c r="C536"/>
    </row>
    <row r="537" spans="2:3" x14ac:dyDescent="0.3">
      <c r="B537"/>
      <c r="C537"/>
    </row>
    <row r="538" spans="2:3" x14ac:dyDescent="0.3">
      <c r="B538"/>
      <c r="C538"/>
    </row>
    <row r="539" spans="2:3" x14ac:dyDescent="0.3">
      <c r="B539"/>
      <c r="C539"/>
    </row>
    <row r="540" spans="2:3" x14ac:dyDescent="0.3">
      <c r="B540"/>
      <c r="C540"/>
    </row>
    <row r="541" spans="2:3" x14ac:dyDescent="0.3">
      <c r="B541"/>
      <c r="C541"/>
    </row>
    <row r="542" spans="2:3" x14ac:dyDescent="0.3">
      <c r="B542"/>
      <c r="C542"/>
    </row>
    <row r="543" spans="2:3" x14ac:dyDescent="0.3">
      <c r="B543"/>
      <c r="C543"/>
    </row>
    <row r="544" spans="2:3" x14ac:dyDescent="0.3">
      <c r="B544"/>
      <c r="C544"/>
    </row>
    <row r="545" spans="2:3" x14ac:dyDescent="0.3">
      <c r="B545"/>
      <c r="C545"/>
    </row>
    <row r="546" spans="2:3" x14ac:dyDescent="0.3">
      <c r="B546"/>
      <c r="C546"/>
    </row>
    <row r="547" spans="2:3" x14ac:dyDescent="0.3">
      <c r="B547"/>
      <c r="C547"/>
    </row>
    <row r="548" spans="2:3" x14ac:dyDescent="0.3">
      <c r="B548"/>
      <c r="C548"/>
    </row>
    <row r="549" spans="2:3" x14ac:dyDescent="0.3">
      <c r="B549"/>
      <c r="C549"/>
    </row>
    <row r="550" spans="2:3" x14ac:dyDescent="0.3">
      <c r="B550"/>
      <c r="C550"/>
    </row>
    <row r="551" spans="2:3" x14ac:dyDescent="0.3">
      <c r="B551"/>
      <c r="C551"/>
    </row>
    <row r="552" spans="2:3" x14ac:dyDescent="0.3">
      <c r="B552"/>
      <c r="C552"/>
    </row>
    <row r="553" spans="2:3" x14ac:dyDescent="0.3">
      <c r="B553"/>
      <c r="C553"/>
    </row>
    <row r="554" spans="2:3" x14ac:dyDescent="0.3">
      <c r="B554"/>
      <c r="C554"/>
    </row>
    <row r="555" spans="2:3" x14ac:dyDescent="0.3">
      <c r="B555"/>
      <c r="C555"/>
    </row>
    <row r="556" spans="2:3" x14ac:dyDescent="0.3">
      <c r="B556"/>
      <c r="C556"/>
    </row>
    <row r="557" spans="2:3" x14ac:dyDescent="0.3">
      <c r="B557"/>
      <c r="C557"/>
    </row>
    <row r="558" spans="2:3" x14ac:dyDescent="0.3">
      <c r="B558"/>
      <c r="C558"/>
    </row>
    <row r="559" spans="2:3" x14ac:dyDescent="0.3">
      <c r="B559"/>
      <c r="C559"/>
    </row>
    <row r="560" spans="2:3" x14ac:dyDescent="0.3">
      <c r="B560"/>
      <c r="C560"/>
    </row>
    <row r="561" spans="2:3" x14ac:dyDescent="0.3">
      <c r="B561"/>
      <c r="C561"/>
    </row>
    <row r="562" spans="2:3" x14ac:dyDescent="0.3">
      <c r="B562"/>
      <c r="C562"/>
    </row>
    <row r="563" spans="2:3" x14ac:dyDescent="0.3">
      <c r="B563"/>
      <c r="C563"/>
    </row>
    <row r="564" spans="2:3" x14ac:dyDescent="0.3">
      <c r="B564"/>
      <c r="C564"/>
    </row>
    <row r="565" spans="2:3" x14ac:dyDescent="0.3">
      <c r="B565"/>
      <c r="C565"/>
    </row>
    <row r="566" spans="2:3" x14ac:dyDescent="0.3">
      <c r="B566"/>
      <c r="C566"/>
    </row>
    <row r="567" spans="2:3" x14ac:dyDescent="0.3">
      <c r="B567"/>
      <c r="C567"/>
    </row>
    <row r="568" spans="2:3" x14ac:dyDescent="0.3">
      <c r="B568"/>
      <c r="C568"/>
    </row>
    <row r="569" spans="2:3" x14ac:dyDescent="0.3">
      <c r="B569"/>
      <c r="C569"/>
    </row>
    <row r="570" spans="2:3" x14ac:dyDescent="0.3">
      <c r="B570"/>
      <c r="C570"/>
    </row>
    <row r="571" spans="2:3" x14ac:dyDescent="0.3">
      <c r="B571"/>
      <c r="C571"/>
    </row>
    <row r="572" spans="2:3" x14ac:dyDescent="0.3">
      <c r="B572"/>
      <c r="C572"/>
    </row>
    <row r="573" spans="2:3" x14ac:dyDescent="0.3">
      <c r="B573"/>
      <c r="C573"/>
    </row>
    <row r="574" spans="2:3" x14ac:dyDescent="0.3">
      <c r="B574"/>
      <c r="C574"/>
    </row>
    <row r="575" spans="2:3" x14ac:dyDescent="0.3">
      <c r="B575"/>
      <c r="C575"/>
    </row>
    <row r="576" spans="2:3" x14ac:dyDescent="0.3">
      <c r="B576"/>
      <c r="C576"/>
    </row>
    <row r="577" spans="2:3" x14ac:dyDescent="0.3">
      <c r="B577"/>
      <c r="C577"/>
    </row>
    <row r="578" spans="2:3" x14ac:dyDescent="0.3">
      <c r="B578"/>
      <c r="C578"/>
    </row>
    <row r="579" spans="2:3" x14ac:dyDescent="0.3">
      <c r="B579"/>
      <c r="C579"/>
    </row>
    <row r="580" spans="2:3" x14ac:dyDescent="0.3">
      <c r="B580"/>
      <c r="C580"/>
    </row>
    <row r="581" spans="2:3" x14ac:dyDescent="0.3">
      <c r="B581"/>
      <c r="C581"/>
    </row>
    <row r="582" spans="2:3" x14ac:dyDescent="0.3">
      <c r="B582"/>
      <c r="C582"/>
    </row>
    <row r="583" spans="2:3" x14ac:dyDescent="0.3">
      <c r="B583"/>
      <c r="C583"/>
    </row>
    <row r="584" spans="2:3" x14ac:dyDescent="0.3">
      <c r="B584"/>
      <c r="C584"/>
    </row>
    <row r="585" spans="2:3" x14ac:dyDescent="0.3">
      <c r="B585"/>
      <c r="C585"/>
    </row>
    <row r="586" spans="2:3" x14ac:dyDescent="0.3">
      <c r="B586"/>
      <c r="C586"/>
    </row>
    <row r="587" spans="2:3" x14ac:dyDescent="0.3">
      <c r="B587"/>
      <c r="C587"/>
    </row>
    <row r="588" spans="2:3" x14ac:dyDescent="0.3">
      <c r="B588"/>
      <c r="C588"/>
    </row>
    <row r="589" spans="2:3" x14ac:dyDescent="0.3">
      <c r="B589"/>
      <c r="C589"/>
    </row>
    <row r="590" spans="2:3" x14ac:dyDescent="0.3">
      <c r="B590"/>
      <c r="C590"/>
    </row>
    <row r="591" spans="2:3" x14ac:dyDescent="0.3">
      <c r="B591"/>
      <c r="C591"/>
    </row>
    <row r="592" spans="2:3" x14ac:dyDescent="0.3">
      <c r="B592"/>
      <c r="C592"/>
    </row>
    <row r="593" spans="2:3" x14ac:dyDescent="0.3">
      <c r="B593"/>
      <c r="C593"/>
    </row>
    <row r="594" spans="2:3" x14ac:dyDescent="0.3">
      <c r="B594"/>
      <c r="C594"/>
    </row>
    <row r="595" spans="2:3" x14ac:dyDescent="0.3">
      <c r="B595"/>
      <c r="C595"/>
    </row>
    <row r="596" spans="2:3" x14ac:dyDescent="0.3">
      <c r="B596"/>
      <c r="C596"/>
    </row>
    <row r="597" spans="2:3" x14ac:dyDescent="0.3">
      <c r="B597"/>
      <c r="C597"/>
    </row>
    <row r="598" spans="2:3" x14ac:dyDescent="0.3">
      <c r="B598"/>
      <c r="C598"/>
    </row>
    <row r="599" spans="2:3" x14ac:dyDescent="0.3">
      <c r="B599"/>
      <c r="C599"/>
    </row>
    <row r="600" spans="2:3" x14ac:dyDescent="0.3">
      <c r="B600"/>
      <c r="C600"/>
    </row>
    <row r="601" spans="2:3" x14ac:dyDescent="0.3">
      <c r="B601"/>
      <c r="C601"/>
    </row>
    <row r="602" spans="2:3" x14ac:dyDescent="0.3">
      <c r="B602"/>
      <c r="C602"/>
    </row>
    <row r="603" spans="2:3" x14ac:dyDescent="0.3">
      <c r="B603"/>
      <c r="C603"/>
    </row>
    <row r="604" spans="2:3" x14ac:dyDescent="0.3">
      <c r="B604"/>
      <c r="C604"/>
    </row>
    <row r="605" spans="2:3" x14ac:dyDescent="0.3">
      <c r="B605"/>
      <c r="C605"/>
    </row>
    <row r="606" spans="2:3" x14ac:dyDescent="0.3">
      <c r="B606"/>
      <c r="C606"/>
    </row>
    <row r="607" spans="2:3" x14ac:dyDescent="0.3">
      <c r="B607"/>
      <c r="C607"/>
    </row>
    <row r="608" spans="2:3" x14ac:dyDescent="0.3">
      <c r="B608"/>
      <c r="C608"/>
    </row>
    <row r="609" spans="2:3" x14ac:dyDescent="0.3">
      <c r="B609"/>
      <c r="C609"/>
    </row>
    <row r="610" spans="2:3" x14ac:dyDescent="0.3">
      <c r="B610"/>
      <c r="C610"/>
    </row>
    <row r="611" spans="2:3" x14ac:dyDescent="0.3">
      <c r="B611"/>
      <c r="C611"/>
    </row>
    <row r="612" spans="2:3" x14ac:dyDescent="0.3">
      <c r="B612"/>
      <c r="C612"/>
    </row>
    <row r="613" spans="2:3" x14ac:dyDescent="0.3">
      <c r="B613"/>
      <c r="C613"/>
    </row>
    <row r="614" spans="2:3" x14ac:dyDescent="0.3">
      <c r="B614"/>
      <c r="C614"/>
    </row>
    <row r="615" spans="2:3" x14ac:dyDescent="0.3">
      <c r="B615"/>
      <c r="C615"/>
    </row>
    <row r="616" spans="2:3" x14ac:dyDescent="0.3">
      <c r="B616"/>
      <c r="C616"/>
    </row>
    <row r="617" spans="2:3" x14ac:dyDescent="0.3">
      <c r="B617"/>
      <c r="C617"/>
    </row>
    <row r="618" spans="2:3" x14ac:dyDescent="0.3">
      <c r="B618"/>
      <c r="C618"/>
    </row>
    <row r="619" spans="2:3" x14ac:dyDescent="0.3">
      <c r="B619"/>
      <c r="C619"/>
    </row>
    <row r="620" spans="2:3" x14ac:dyDescent="0.3">
      <c r="B620"/>
      <c r="C620"/>
    </row>
    <row r="621" spans="2:3" x14ac:dyDescent="0.3">
      <c r="B621"/>
      <c r="C621"/>
    </row>
    <row r="622" spans="2:3" x14ac:dyDescent="0.3">
      <c r="B622"/>
      <c r="C622"/>
    </row>
    <row r="623" spans="2:3" x14ac:dyDescent="0.3">
      <c r="B623"/>
      <c r="C623"/>
    </row>
    <row r="624" spans="2:3" x14ac:dyDescent="0.3">
      <c r="B624"/>
      <c r="C624"/>
    </row>
    <row r="625" spans="2:3" x14ac:dyDescent="0.3">
      <c r="B625"/>
      <c r="C625"/>
    </row>
    <row r="626" spans="2:3" x14ac:dyDescent="0.3">
      <c r="B626"/>
      <c r="C626"/>
    </row>
    <row r="627" spans="2:3" x14ac:dyDescent="0.3">
      <c r="B627"/>
      <c r="C627"/>
    </row>
    <row r="628" spans="2:3" x14ac:dyDescent="0.3">
      <c r="B628"/>
      <c r="C628"/>
    </row>
    <row r="629" spans="2:3" x14ac:dyDescent="0.3">
      <c r="B629"/>
      <c r="C629"/>
    </row>
    <row r="630" spans="2:3" x14ac:dyDescent="0.3">
      <c r="B630"/>
      <c r="C630"/>
    </row>
    <row r="631" spans="2:3" x14ac:dyDescent="0.3">
      <c r="B631"/>
      <c r="C631"/>
    </row>
    <row r="632" spans="2:3" x14ac:dyDescent="0.3">
      <c r="B632"/>
      <c r="C632"/>
    </row>
    <row r="633" spans="2:3" x14ac:dyDescent="0.3">
      <c r="B633"/>
      <c r="C633"/>
    </row>
    <row r="634" spans="2:3" x14ac:dyDescent="0.3">
      <c r="B634"/>
      <c r="C634"/>
    </row>
    <row r="635" spans="2:3" x14ac:dyDescent="0.3">
      <c r="B635"/>
      <c r="C635"/>
    </row>
    <row r="636" spans="2:3" x14ac:dyDescent="0.3">
      <c r="B636"/>
      <c r="C636"/>
    </row>
    <row r="637" spans="2:3" x14ac:dyDescent="0.3">
      <c r="B637"/>
      <c r="C637"/>
    </row>
    <row r="638" spans="2:3" x14ac:dyDescent="0.3">
      <c r="B638"/>
      <c r="C638"/>
    </row>
    <row r="639" spans="2:3" x14ac:dyDescent="0.3">
      <c r="B639"/>
      <c r="C639"/>
    </row>
    <row r="640" spans="2:3" x14ac:dyDescent="0.3">
      <c r="B640"/>
      <c r="C640"/>
    </row>
    <row r="641" spans="2:3" x14ac:dyDescent="0.3">
      <c r="B641"/>
      <c r="C641"/>
    </row>
    <row r="642" spans="2:3" x14ac:dyDescent="0.3">
      <c r="B642"/>
      <c r="C642"/>
    </row>
    <row r="643" spans="2:3" x14ac:dyDescent="0.3">
      <c r="B643"/>
      <c r="C643"/>
    </row>
    <row r="644" spans="2:3" x14ac:dyDescent="0.3">
      <c r="B644"/>
      <c r="C644"/>
    </row>
    <row r="645" spans="2:3" x14ac:dyDescent="0.3">
      <c r="B645"/>
      <c r="C645"/>
    </row>
    <row r="646" spans="2:3" x14ac:dyDescent="0.3">
      <c r="B646"/>
      <c r="C646"/>
    </row>
    <row r="647" spans="2:3" x14ac:dyDescent="0.3">
      <c r="B647"/>
      <c r="C647"/>
    </row>
    <row r="648" spans="2:3" x14ac:dyDescent="0.3">
      <c r="B648"/>
      <c r="C648"/>
    </row>
    <row r="649" spans="2:3" x14ac:dyDescent="0.3">
      <c r="B649"/>
      <c r="C649"/>
    </row>
    <row r="650" spans="2:3" x14ac:dyDescent="0.3">
      <c r="B650"/>
      <c r="C650"/>
    </row>
    <row r="651" spans="2:3" x14ac:dyDescent="0.3">
      <c r="B651"/>
      <c r="C651"/>
    </row>
    <row r="652" spans="2:3" x14ac:dyDescent="0.3">
      <c r="B652"/>
      <c r="C652"/>
    </row>
    <row r="653" spans="2:3" x14ac:dyDescent="0.3">
      <c r="B653"/>
      <c r="C653"/>
    </row>
    <row r="654" spans="2:3" x14ac:dyDescent="0.3">
      <c r="B654"/>
      <c r="C654"/>
    </row>
    <row r="655" spans="2:3" x14ac:dyDescent="0.3">
      <c r="B655"/>
      <c r="C655"/>
    </row>
    <row r="656" spans="2:3" x14ac:dyDescent="0.3">
      <c r="B656"/>
      <c r="C656"/>
    </row>
    <row r="657" spans="2:3" x14ac:dyDescent="0.3">
      <c r="B657"/>
      <c r="C657"/>
    </row>
    <row r="658" spans="2:3" x14ac:dyDescent="0.3">
      <c r="B658"/>
      <c r="C658"/>
    </row>
    <row r="659" spans="2:3" x14ac:dyDescent="0.3">
      <c r="B659"/>
      <c r="C659"/>
    </row>
    <row r="660" spans="2:3" x14ac:dyDescent="0.3">
      <c r="B660"/>
      <c r="C660"/>
    </row>
    <row r="661" spans="2:3" x14ac:dyDescent="0.3">
      <c r="B661"/>
      <c r="C661"/>
    </row>
    <row r="662" spans="2:3" x14ac:dyDescent="0.3">
      <c r="B662"/>
      <c r="C662"/>
    </row>
    <row r="663" spans="2:3" x14ac:dyDescent="0.3">
      <c r="B663"/>
      <c r="C663"/>
    </row>
    <row r="664" spans="2:3" x14ac:dyDescent="0.3">
      <c r="B664"/>
      <c r="C664"/>
    </row>
    <row r="665" spans="2:3" x14ac:dyDescent="0.3">
      <c r="B665"/>
      <c r="C665"/>
    </row>
    <row r="666" spans="2:3" x14ac:dyDescent="0.3">
      <c r="B666"/>
      <c r="C666"/>
    </row>
    <row r="667" spans="2:3" x14ac:dyDescent="0.3">
      <c r="B667"/>
      <c r="C667"/>
    </row>
    <row r="668" spans="2:3" x14ac:dyDescent="0.3">
      <c r="B668"/>
      <c r="C668"/>
    </row>
    <row r="669" spans="2:3" x14ac:dyDescent="0.3">
      <c r="B669"/>
      <c r="C669"/>
    </row>
    <row r="670" spans="2:3" x14ac:dyDescent="0.3">
      <c r="B670"/>
      <c r="C670"/>
    </row>
    <row r="671" spans="2:3" x14ac:dyDescent="0.3">
      <c r="B671"/>
      <c r="C671"/>
    </row>
    <row r="672" spans="2:3" x14ac:dyDescent="0.3">
      <c r="B672"/>
      <c r="C672"/>
    </row>
    <row r="673" spans="2:3" x14ac:dyDescent="0.3">
      <c r="B673"/>
      <c r="C673"/>
    </row>
    <row r="674" spans="2:3" x14ac:dyDescent="0.3">
      <c r="B674"/>
      <c r="C674"/>
    </row>
    <row r="675" spans="2:3" x14ac:dyDescent="0.3">
      <c r="B675"/>
      <c r="C675"/>
    </row>
    <row r="676" spans="2:3" x14ac:dyDescent="0.3">
      <c r="B676"/>
      <c r="C676"/>
    </row>
    <row r="677" spans="2:3" x14ac:dyDescent="0.3">
      <c r="B677"/>
      <c r="C677"/>
    </row>
    <row r="678" spans="2:3" x14ac:dyDescent="0.3">
      <c r="B678"/>
      <c r="C678"/>
    </row>
    <row r="679" spans="2:3" x14ac:dyDescent="0.3">
      <c r="B679"/>
      <c r="C679"/>
    </row>
    <row r="680" spans="2:3" x14ac:dyDescent="0.3">
      <c r="B680"/>
      <c r="C680"/>
    </row>
    <row r="681" spans="2:3" x14ac:dyDescent="0.3">
      <c r="B681"/>
      <c r="C681"/>
    </row>
    <row r="682" spans="2:3" x14ac:dyDescent="0.3">
      <c r="B682"/>
      <c r="C682"/>
    </row>
    <row r="683" spans="2:3" x14ac:dyDescent="0.3">
      <c r="B683"/>
      <c r="C683"/>
    </row>
    <row r="684" spans="2:3" x14ac:dyDescent="0.3">
      <c r="B684"/>
      <c r="C684"/>
    </row>
    <row r="685" spans="2:3" x14ac:dyDescent="0.3">
      <c r="B685"/>
      <c r="C685"/>
    </row>
    <row r="686" spans="2:3" x14ac:dyDescent="0.3">
      <c r="B686"/>
      <c r="C686"/>
    </row>
    <row r="687" spans="2:3" x14ac:dyDescent="0.3">
      <c r="B687"/>
      <c r="C687"/>
    </row>
    <row r="688" spans="2:3" x14ac:dyDescent="0.3">
      <c r="B688"/>
      <c r="C688"/>
    </row>
    <row r="689" spans="2:3" x14ac:dyDescent="0.3">
      <c r="B689"/>
      <c r="C689"/>
    </row>
    <row r="690" spans="2:3" x14ac:dyDescent="0.3">
      <c r="B690"/>
      <c r="C690"/>
    </row>
    <row r="691" spans="2:3" x14ac:dyDescent="0.3">
      <c r="B691"/>
      <c r="C691"/>
    </row>
    <row r="692" spans="2:3" x14ac:dyDescent="0.3">
      <c r="B692"/>
      <c r="C692"/>
    </row>
    <row r="693" spans="2:3" x14ac:dyDescent="0.3">
      <c r="B693"/>
      <c r="C693"/>
    </row>
    <row r="694" spans="2:3" x14ac:dyDescent="0.3">
      <c r="B694"/>
      <c r="C694"/>
    </row>
    <row r="695" spans="2:3" x14ac:dyDescent="0.3">
      <c r="B695"/>
      <c r="C695"/>
    </row>
    <row r="696" spans="2:3" x14ac:dyDescent="0.3">
      <c r="B696"/>
      <c r="C696"/>
    </row>
    <row r="697" spans="2:3" x14ac:dyDescent="0.3">
      <c r="B697"/>
      <c r="C697"/>
    </row>
    <row r="698" spans="2:3" x14ac:dyDescent="0.3">
      <c r="B698"/>
      <c r="C698"/>
    </row>
    <row r="699" spans="2:3" x14ac:dyDescent="0.3">
      <c r="B699"/>
      <c r="C699"/>
    </row>
    <row r="700" spans="2:3" x14ac:dyDescent="0.3">
      <c r="B700"/>
      <c r="C700"/>
    </row>
    <row r="701" spans="2:3" x14ac:dyDescent="0.3">
      <c r="B701"/>
      <c r="C701"/>
    </row>
    <row r="702" spans="2:3" x14ac:dyDescent="0.3">
      <c r="B702"/>
      <c r="C702"/>
    </row>
    <row r="703" spans="2:3" x14ac:dyDescent="0.3">
      <c r="B703"/>
      <c r="C703"/>
    </row>
    <row r="704" spans="2:3" x14ac:dyDescent="0.3">
      <c r="B704"/>
      <c r="C704"/>
    </row>
    <row r="705" spans="2:3" x14ac:dyDescent="0.3">
      <c r="B705"/>
      <c r="C705"/>
    </row>
    <row r="706" spans="2:3" x14ac:dyDescent="0.3">
      <c r="B706"/>
      <c r="C706"/>
    </row>
    <row r="707" spans="2:3" x14ac:dyDescent="0.3">
      <c r="B707"/>
      <c r="C707"/>
    </row>
    <row r="708" spans="2:3" x14ac:dyDescent="0.3">
      <c r="B708"/>
      <c r="C708"/>
    </row>
    <row r="709" spans="2:3" x14ac:dyDescent="0.3">
      <c r="B709"/>
      <c r="C709"/>
    </row>
    <row r="710" spans="2:3" x14ac:dyDescent="0.3">
      <c r="B710"/>
      <c r="C710"/>
    </row>
    <row r="711" spans="2:3" x14ac:dyDescent="0.3">
      <c r="B711"/>
      <c r="C711"/>
    </row>
    <row r="712" spans="2:3" x14ac:dyDescent="0.3">
      <c r="B712"/>
      <c r="C712"/>
    </row>
    <row r="713" spans="2:3" x14ac:dyDescent="0.3">
      <c r="B713"/>
      <c r="C713"/>
    </row>
    <row r="714" spans="2:3" x14ac:dyDescent="0.3">
      <c r="B714"/>
      <c r="C714"/>
    </row>
    <row r="715" spans="2:3" x14ac:dyDescent="0.3">
      <c r="B715"/>
      <c r="C715"/>
    </row>
    <row r="716" spans="2:3" x14ac:dyDescent="0.3">
      <c r="B716"/>
      <c r="C716"/>
    </row>
    <row r="717" spans="2:3" x14ac:dyDescent="0.3">
      <c r="B717"/>
      <c r="C717"/>
    </row>
    <row r="718" spans="2:3" x14ac:dyDescent="0.3">
      <c r="B718"/>
      <c r="C718"/>
    </row>
    <row r="719" spans="2:3" x14ac:dyDescent="0.3">
      <c r="B719"/>
      <c r="C719"/>
    </row>
    <row r="720" spans="2:3" x14ac:dyDescent="0.3">
      <c r="B720"/>
      <c r="C720"/>
    </row>
    <row r="721" spans="2:3" x14ac:dyDescent="0.3">
      <c r="B721"/>
      <c r="C721"/>
    </row>
    <row r="722" spans="2:3" x14ac:dyDescent="0.3">
      <c r="B722"/>
      <c r="C722"/>
    </row>
    <row r="723" spans="2:3" x14ac:dyDescent="0.3">
      <c r="B723"/>
      <c r="C723"/>
    </row>
    <row r="724" spans="2:3" x14ac:dyDescent="0.3">
      <c r="B724"/>
      <c r="C724"/>
    </row>
    <row r="725" spans="2:3" x14ac:dyDescent="0.3">
      <c r="B725"/>
      <c r="C725"/>
    </row>
    <row r="726" spans="2:3" x14ac:dyDescent="0.3">
      <c r="B726"/>
      <c r="C726"/>
    </row>
    <row r="727" spans="2:3" x14ac:dyDescent="0.3">
      <c r="B727"/>
      <c r="C727"/>
    </row>
    <row r="728" spans="2:3" x14ac:dyDescent="0.3">
      <c r="B728"/>
      <c r="C728"/>
    </row>
    <row r="729" spans="2:3" x14ac:dyDescent="0.3">
      <c r="B729"/>
      <c r="C729"/>
    </row>
    <row r="730" spans="2:3" x14ac:dyDescent="0.3">
      <c r="B730"/>
      <c r="C730"/>
    </row>
    <row r="731" spans="2:3" x14ac:dyDescent="0.3">
      <c r="B731"/>
      <c r="C731"/>
    </row>
    <row r="732" spans="2:3" x14ac:dyDescent="0.3">
      <c r="B732"/>
      <c r="C732"/>
    </row>
    <row r="733" spans="2:3" x14ac:dyDescent="0.3">
      <c r="B733"/>
      <c r="C733"/>
    </row>
    <row r="734" spans="2:3" x14ac:dyDescent="0.3">
      <c r="B734"/>
      <c r="C734"/>
    </row>
    <row r="735" spans="2:3" x14ac:dyDescent="0.3">
      <c r="B735"/>
      <c r="C735"/>
    </row>
    <row r="736" spans="2:3" x14ac:dyDescent="0.3">
      <c r="B736"/>
      <c r="C736"/>
    </row>
    <row r="737" spans="2:3" x14ac:dyDescent="0.3">
      <c r="B737"/>
      <c r="C737"/>
    </row>
    <row r="738" spans="2:3" x14ac:dyDescent="0.3">
      <c r="B738"/>
      <c r="C738"/>
    </row>
    <row r="739" spans="2:3" x14ac:dyDescent="0.3">
      <c r="B739"/>
      <c r="C739"/>
    </row>
    <row r="740" spans="2:3" x14ac:dyDescent="0.3">
      <c r="B740"/>
      <c r="C740"/>
    </row>
    <row r="741" spans="2:3" x14ac:dyDescent="0.3">
      <c r="B741"/>
      <c r="C741"/>
    </row>
    <row r="742" spans="2:3" x14ac:dyDescent="0.3">
      <c r="B742"/>
      <c r="C742"/>
    </row>
    <row r="743" spans="2:3" x14ac:dyDescent="0.3">
      <c r="B743"/>
      <c r="C743"/>
    </row>
    <row r="744" spans="2:3" x14ac:dyDescent="0.3">
      <c r="B744"/>
      <c r="C744"/>
    </row>
    <row r="745" spans="2:3" x14ac:dyDescent="0.3">
      <c r="B745"/>
      <c r="C745"/>
    </row>
    <row r="746" spans="2:3" x14ac:dyDescent="0.3">
      <c r="B746"/>
      <c r="C746"/>
    </row>
    <row r="747" spans="2:3" x14ac:dyDescent="0.3">
      <c r="B747"/>
      <c r="C747"/>
    </row>
    <row r="748" spans="2:3" x14ac:dyDescent="0.3">
      <c r="B748"/>
      <c r="C748"/>
    </row>
    <row r="749" spans="2:3" x14ac:dyDescent="0.3">
      <c r="B749"/>
      <c r="C749"/>
    </row>
    <row r="750" spans="2:3" x14ac:dyDescent="0.3">
      <c r="B750"/>
      <c r="C750"/>
    </row>
    <row r="751" spans="2:3" x14ac:dyDescent="0.3">
      <c r="B751"/>
      <c r="C751"/>
    </row>
    <row r="752" spans="2:3" x14ac:dyDescent="0.3">
      <c r="B752"/>
      <c r="C752"/>
    </row>
    <row r="753" spans="2:3" x14ac:dyDescent="0.3">
      <c r="B753"/>
      <c r="C753"/>
    </row>
    <row r="754" spans="2:3" x14ac:dyDescent="0.3">
      <c r="B754"/>
      <c r="C754"/>
    </row>
    <row r="755" spans="2:3" x14ac:dyDescent="0.3">
      <c r="B755"/>
      <c r="C755"/>
    </row>
    <row r="756" spans="2:3" x14ac:dyDescent="0.3">
      <c r="B756"/>
      <c r="C756"/>
    </row>
    <row r="757" spans="2:3" x14ac:dyDescent="0.3">
      <c r="B757"/>
      <c r="C757"/>
    </row>
    <row r="758" spans="2:3" x14ac:dyDescent="0.3">
      <c r="B758"/>
      <c r="C758"/>
    </row>
    <row r="759" spans="2:3" x14ac:dyDescent="0.3">
      <c r="B759"/>
      <c r="C759"/>
    </row>
    <row r="760" spans="2:3" x14ac:dyDescent="0.3">
      <c r="B760"/>
      <c r="C760"/>
    </row>
    <row r="761" spans="2:3" x14ac:dyDescent="0.3">
      <c r="B761"/>
      <c r="C761"/>
    </row>
    <row r="762" spans="2:3" x14ac:dyDescent="0.3">
      <c r="B762"/>
      <c r="C762"/>
    </row>
    <row r="763" spans="2:3" x14ac:dyDescent="0.3">
      <c r="B763"/>
      <c r="C763"/>
    </row>
    <row r="764" spans="2:3" x14ac:dyDescent="0.3">
      <c r="B764"/>
      <c r="C764"/>
    </row>
    <row r="765" spans="2:3" x14ac:dyDescent="0.3">
      <c r="B765"/>
      <c r="C765"/>
    </row>
    <row r="766" spans="2:3" x14ac:dyDescent="0.3">
      <c r="B766"/>
      <c r="C766"/>
    </row>
    <row r="767" spans="2:3" x14ac:dyDescent="0.3">
      <c r="B767"/>
      <c r="C767"/>
    </row>
    <row r="768" spans="2:3" x14ac:dyDescent="0.3">
      <c r="B768"/>
      <c r="C768"/>
    </row>
    <row r="769" spans="2:3" x14ac:dyDescent="0.3">
      <c r="B769"/>
      <c r="C769"/>
    </row>
    <row r="770" spans="2:3" x14ac:dyDescent="0.3">
      <c r="B770"/>
      <c r="C770"/>
    </row>
    <row r="771" spans="2:3" x14ac:dyDescent="0.3">
      <c r="B771"/>
      <c r="C771"/>
    </row>
    <row r="772" spans="2:3" x14ac:dyDescent="0.3">
      <c r="B772"/>
      <c r="C772"/>
    </row>
    <row r="773" spans="2:3" x14ac:dyDescent="0.3">
      <c r="B773"/>
      <c r="C773"/>
    </row>
    <row r="774" spans="2:3" x14ac:dyDescent="0.3">
      <c r="B774"/>
      <c r="C774"/>
    </row>
    <row r="775" spans="2:3" x14ac:dyDescent="0.3">
      <c r="B775"/>
      <c r="C775"/>
    </row>
    <row r="776" spans="2:3" x14ac:dyDescent="0.3">
      <c r="B776"/>
      <c r="C776"/>
    </row>
    <row r="777" spans="2:3" x14ac:dyDescent="0.3">
      <c r="B777"/>
      <c r="C777"/>
    </row>
    <row r="778" spans="2:3" x14ac:dyDescent="0.3">
      <c r="B778"/>
      <c r="C778"/>
    </row>
    <row r="779" spans="2:3" x14ac:dyDescent="0.3">
      <c r="B779"/>
      <c r="C779"/>
    </row>
    <row r="780" spans="2:3" x14ac:dyDescent="0.3">
      <c r="B780"/>
      <c r="C780"/>
    </row>
    <row r="781" spans="2:3" x14ac:dyDescent="0.3">
      <c r="B781"/>
      <c r="C781"/>
    </row>
    <row r="782" spans="2:3" x14ac:dyDescent="0.3">
      <c r="B782"/>
      <c r="C782"/>
    </row>
    <row r="783" spans="2:3" x14ac:dyDescent="0.3">
      <c r="B783"/>
      <c r="C783"/>
    </row>
    <row r="784" spans="2:3" x14ac:dyDescent="0.3">
      <c r="B784"/>
      <c r="C784"/>
    </row>
    <row r="785" spans="2:3" x14ac:dyDescent="0.3">
      <c r="B785"/>
      <c r="C785"/>
    </row>
    <row r="786" spans="2:3" x14ac:dyDescent="0.3">
      <c r="B786"/>
      <c r="C786"/>
    </row>
    <row r="787" spans="2:3" x14ac:dyDescent="0.3">
      <c r="B787"/>
      <c r="C787"/>
    </row>
    <row r="788" spans="2:3" x14ac:dyDescent="0.3">
      <c r="B788"/>
      <c r="C788"/>
    </row>
    <row r="789" spans="2:3" x14ac:dyDescent="0.3">
      <c r="B789"/>
      <c r="C789"/>
    </row>
    <row r="790" spans="2:3" x14ac:dyDescent="0.3">
      <c r="B790"/>
      <c r="C790"/>
    </row>
    <row r="791" spans="2:3" x14ac:dyDescent="0.3">
      <c r="B791"/>
      <c r="C791"/>
    </row>
    <row r="792" spans="2:3" x14ac:dyDescent="0.3">
      <c r="B792"/>
      <c r="C792"/>
    </row>
    <row r="793" spans="2:3" x14ac:dyDescent="0.3">
      <c r="B793"/>
      <c r="C793"/>
    </row>
    <row r="794" spans="2:3" x14ac:dyDescent="0.3">
      <c r="B794"/>
      <c r="C794"/>
    </row>
    <row r="795" spans="2:3" x14ac:dyDescent="0.3">
      <c r="B795"/>
      <c r="C795"/>
    </row>
    <row r="796" spans="2:3" x14ac:dyDescent="0.3">
      <c r="B796"/>
      <c r="C796"/>
    </row>
    <row r="797" spans="2:3" x14ac:dyDescent="0.3">
      <c r="B797"/>
      <c r="C797"/>
    </row>
    <row r="798" spans="2:3" x14ac:dyDescent="0.3">
      <c r="B798"/>
      <c r="C798"/>
    </row>
    <row r="799" spans="2:3" x14ac:dyDescent="0.3">
      <c r="B799"/>
      <c r="C799"/>
    </row>
    <row r="800" spans="2:3" x14ac:dyDescent="0.3">
      <c r="B800"/>
      <c r="C800"/>
    </row>
    <row r="801" spans="2:3" x14ac:dyDescent="0.3">
      <c r="B801"/>
      <c r="C801"/>
    </row>
    <row r="802" spans="2:3" x14ac:dyDescent="0.3">
      <c r="B802"/>
      <c r="C802"/>
    </row>
    <row r="803" spans="2:3" x14ac:dyDescent="0.3">
      <c r="B803"/>
      <c r="C803"/>
    </row>
    <row r="804" spans="2:3" x14ac:dyDescent="0.3">
      <c r="B804"/>
      <c r="C804"/>
    </row>
    <row r="805" spans="2:3" x14ac:dyDescent="0.3">
      <c r="B805"/>
      <c r="C805"/>
    </row>
    <row r="806" spans="2:3" x14ac:dyDescent="0.3">
      <c r="B806"/>
      <c r="C806"/>
    </row>
    <row r="807" spans="2:3" x14ac:dyDescent="0.3">
      <c r="B807"/>
      <c r="C807"/>
    </row>
    <row r="808" spans="2:3" x14ac:dyDescent="0.3">
      <c r="B808"/>
      <c r="C808"/>
    </row>
    <row r="809" spans="2:3" x14ac:dyDescent="0.3">
      <c r="B809"/>
      <c r="C809"/>
    </row>
    <row r="810" spans="2:3" x14ac:dyDescent="0.3">
      <c r="B810"/>
      <c r="C810"/>
    </row>
    <row r="811" spans="2:3" x14ac:dyDescent="0.3">
      <c r="B811"/>
      <c r="C811"/>
    </row>
    <row r="812" spans="2:3" x14ac:dyDescent="0.3">
      <c r="B812"/>
      <c r="C812"/>
    </row>
    <row r="813" spans="2:3" x14ac:dyDescent="0.3">
      <c r="B813"/>
      <c r="C813"/>
    </row>
    <row r="814" spans="2:3" x14ac:dyDescent="0.3">
      <c r="B814"/>
      <c r="C814"/>
    </row>
    <row r="815" spans="2:3" x14ac:dyDescent="0.3">
      <c r="B815"/>
      <c r="C815"/>
    </row>
    <row r="816" spans="2:3" x14ac:dyDescent="0.3">
      <c r="B816"/>
      <c r="C816"/>
    </row>
    <row r="817" spans="2:3" x14ac:dyDescent="0.3">
      <c r="B817"/>
      <c r="C817"/>
    </row>
    <row r="818" spans="2:3" x14ac:dyDescent="0.3">
      <c r="B818"/>
      <c r="C818"/>
    </row>
    <row r="819" spans="2:3" x14ac:dyDescent="0.3">
      <c r="B819"/>
      <c r="C819"/>
    </row>
    <row r="820" spans="2:3" x14ac:dyDescent="0.3">
      <c r="B820"/>
      <c r="C820"/>
    </row>
    <row r="821" spans="2:3" x14ac:dyDescent="0.3">
      <c r="B821"/>
      <c r="C821"/>
    </row>
    <row r="822" spans="2:3" x14ac:dyDescent="0.3">
      <c r="B822"/>
      <c r="C822"/>
    </row>
    <row r="823" spans="2:3" x14ac:dyDescent="0.3">
      <c r="B823"/>
      <c r="C823"/>
    </row>
    <row r="824" spans="2:3" x14ac:dyDescent="0.3">
      <c r="B824"/>
      <c r="C824"/>
    </row>
    <row r="825" spans="2:3" x14ac:dyDescent="0.3">
      <c r="B825"/>
      <c r="C825"/>
    </row>
    <row r="826" spans="2:3" x14ac:dyDescent="0.3">
      <c r="B826"/>
      <c r="C826"/>
    </row>
    <row r="827" spans="2:3" x14ac:dyDescent="0.3">
      <c r="B827"/>
      <c r="C827"/>
    </row>
    <row r="828" spans="2:3" x14ac:dyDescent="0.3">
      <c r="B828"/>
      <c r="C828"/>
    </row>
    <row r="829" spans="2:3" x14ac:dyDescent="0.3">
      <c r="B829"/>
      <c r="C829"/>
    </row>
    <row r="830" spans="2:3" x14ac:dyDescent="0.3">
      <c r="B830"/>
      <c r="C830"/>
    </row>
    <row r="831" spans="2:3" x14ac:dyDescent="0.3">
      <c r="B831"/>
      <c r="C831"/>
    </row>
    <row r="832" spans="2:3" x14ac:dyDescent="0.3">
      <c r="B832"/>
      <c r="C832"/>
    </row>
    <row r="833" spans="2:3" x14ac:dyDescent="0.3">
      <c r="B833"/>
      <c r="C833"/>
    </row>
    <row r="834" spans="2:3" x14ac:dyDescent="0.3">
      <c r="B834"/>
      <c r="C834"/>
    </row>
    <row r="835" spans="2:3" x14ac:dyDescent="0.3">
      <c r="B835"/>
      <c r="C835"/>
    </row>
    <row r="836" spans="2:3" x14ac:dyDescent="0.3">
      <c r="B836"/>
      <c r="C836"/>
    </row>
    <row r="837" spans="2:3" x14ac:dyDescent="0.3">
      <c r="B837"/>
      <c r="C837"/>
    </row>
    <row r="838" spans="2:3" x14ac:dyDescent="0.3">
      <c r="B838"/>
      <c r="C838"/>
    </row>
    <row r="839" spans="2:3" x14ac:dyDescent="0.3">
      <c r="B839"/>
      <c r="C839"/>
    </row>
    <row r="840" spans="2:3" x14ac:dyDescent="0.3">
      <c r="B840"/>
      <c r="C840"/>
    </row>
    <row r="841" spans="2:3" x14ac:dyDescent="0.3">
      <c r="B841"/>
      <c r="C841"/>
    </row>
    <row r="842" spans="2:3" x14ac:dyDescent="0.3">
      <c r="B842"/>
      <c r="C842"/>
    </row>
    <row r="843" spans="2:3" x14ac:dyDescent="0.3">
      <c r="B843"/>
      <c r="C843"/>
    </row>
    <row r="844" spans="2:3" x14ac:dyDescent="0.3">
      <c r="B844"/>
      <c r="C844"/>
    </row>
    <row r="845" spans="2:3" x14ac:dyDescent="0.3">
      <c r="B845"/>
      <c r="C845"/>
    </row>
    <row r="846" spans="2:3" x14ac:dyDescent="0.3">
      <c r="B846"/>
      <c r="C846"/>
    </row>
    <row r="847" spans="2:3" x14ac:dyDescent="0.3">
      <c r="B847"/>
      <c r="C847"/>
    </row>
    <row r="848" spans="2:3" x14ac:dyDescent="0.3">
      <c r="B848"/>
      <c r="C848"/>
    </row>
    <row r="849" spans="2:3" x14ac:dyDescent="0.3">
      <c r="B849"/>
      <c r="C849"/>
    </row>
    <row r="850" spans="2:3" x14ac:dyDescent="0.3">
      <c r="B850"/>
      <c r="C850"/>
    </row>
    <row r="851" spans="2:3" x14ac:dyDescent="0.3">
      <c r="B851"/>
      <c r="C851"/>
    </row>
    <row r="852" spans="2:3" x14ac:dyDescent="0.3">
      <c r="B852"/>
      <c r="C852"/>
    </row>
    <row r="853" spans="2:3" x14ac:dyDescent="0.3">
      <c r="B853"/>
      <c r="C853"/>
    </row>
    <row r="854" spans="2:3" x14ac:dyDescent="0.3">
      <c r="B854"/>
      <c r="C854"/>
    </row>
    <row r="855" spans="2:3" x14ac:dyDescent="0.3">
      <c r="B855"/>
      <c r="C855"/>
    </row>
    <row r="856" spans="2:3" x14ac:dyDescent="0.3">
      <c r="B856"/>
      <c r="C856"/>
    </row>
    <row r="857" spans="2:3" x14ac:dyDescent="0.3">
      <c r="B857"/>
      <c r="C857"/>
    </row>
    <row r="858" spans="2:3" x14ac:dyDescent="0.3">
      <c r="B858"/>
      <c r="C858"/>
    </row>
    <row r="859" spans="2:3" x14ac:dyDescent="0.3">
      <c r="B859"/>
      <c r="C859"/>
    </row>
    <row r="860" spans="2:3" x14ac:dyDescent="0.3">
      <c r="B860"/>
      <c r="C860"/>
    </row>
    <row r="861" spans="2:3" x14ac:dyDescent="0.3">
      <c r="B861"/>
      <c r="C861"/>
    </row>
    <row r="862" spans="2:3" x14ac:dyDescent="0.3">
      <c r="B862"/>
      <c r="C862"/>
    </row>
    <row r="863" spans="2:3" x14ac:dyDescent="0.3">
      <c r="B863"/>
      <c r="C863"/>
    </row>
    <row r="864" spans="2:3" x14ac:dyDescent="0.3">
      <c r="B864"/>
      <c r="C864"/>
    </row>
    <row r="865" spans="2:3" x14ac:dyDescent="0.3">
      <c r="B865"/>
      <c r="C865"/>
    </row>
    <row r="866" spans="2:3" x14ac:dyDescent="0.3">
      <c r="B866"/>
      <c r="C866"/>
    </row>
    <row r="867" spans="2:3" x14ac:dyDescent="0.3">
      <c r="B867"/>
      <c r="C867"/>
    </row>
    <row r="868" spans="2:3" x14ac:dyDescent="0.3">
      <c r="B868"/>
      <c r="C868"/>
    </row>
    <row r="869" spans="2:3" x14ac:dyDescent="0.3">
      <c r="B869"/>
      <c r="C869"/>
    </row>
    <row r="870" spans="2:3" x14ac:dyDescent="0.3">
      <c r="B870"/>
      <c r="C870"/>
    </row>
    <row r="871" spans="2:3" x14ac:dyDescent="0.3">
      <c r="B871"/>
      <c r="C871"/>
    </row>
    <row r="872" spans="2:3" x14ac:dyDescent="0.3">
      <c r="B872"/>
      <c r="C872"/>
    </row>
    <row r="873" spans="2:3" x14ac:dyDescent="0.3">
      <c r="B873"/>
      <c r="C873"/>
    </row>
    <row r="874" spans="2:3" x14ac:dyDescent="0.3">
      <c r="B874"/>
      <c r="C874"/>
    </row>
    <row r="875" spans="2:3" x14ac:dyDescent="0.3">
      <c r="B875"/>
      <c r="C875"/>
    </row>
    <row r="876" spans="2:3" x14ac:dyDescent="0.3">
      <c r="B876"/>
      <c r="C876"/>
    </row>
    <row r="877" spans="2:3" x14ac:dyDescent="0.3">
      <c r="B877"/>
      <c r="C877"/>
    </row>
    <row r="878" spans="2:3" x14ac:dyDescent="0.3">
      <c r="B878"/>
      <c r="C878"/>
    </row>
    <row r="879" spans="2:3" x14ac:dyDescent="0.3">
      <c r="B879"/>
      <c r="C879"/>
    </row>
    <row r="880" spans="2:3" x14ac:dyDescent="0.3">
      <c r="B880"/>
      <c r="C880"/>
    </row>
    <row r="881" spans="2:3" x14ac:dyDescent="0.3">
      <c r="B881"/>
      <c r="C881"/>
    </row>
    <row r="882" spans="2:3" x14ac:dyDescent="0.3">
      <c r="B882"/>
      <c r="C882"/>
    </row>
    <row r="883" spans="2:3" x14ac:dyDescent="0.3">
      <c r="B883"/>
      <c r="C883"/>
    </row>
    <row r="884" spans="2:3" x14ac:dyDescent="0.3">
      <c r="B884"/>
      <c r="C884"/>
    </row>
    <row r="885" spans="2:3" x14ac:dyDescent="0.3">
      <c r="B885"/>
      <c r="C885"/>
    </row>
    <row r="886" spans="2:3" x14ac:dyDescent="0.3">
      <c r="B886"/>
      <c r="C886"/>
    </row>
    <row r="887" spans="2:3" x14ac:dyDescent="0.3">
      <c r="B887"/>
      <c r="C887"/>
    </row>
    <row r="888" spans="2:3" x14ac:dyDescent="0.3">
      <c r="B888"/>
      <c r="C888"/>
    </row>
    <row r="889" spans="2:3" x14ac:dyDescent="0.3">
      <c r="B889"/>
      <c r="C889"/>
    </row>
    <row r="890" spans="2:3" x14ac:dyDescent="0.3">
      <c r="B890"/>
      <c r="C890"/>
    </row>
    <row r="891" spans="2:3" x14ac:dyDescent="0.3">
      <c r="B891"/>
      <c r="C891"/>
    </row>
    <row r="892" spans="2:3" x14ac:dyDescent="0.3">
      <c r="B892"/>
      <c r="C892"/>
    </row>
    <row r="893" spans="2:3" x14ac:dyDescent="0.3">
      <c r="B893"/>
      <c r="C893"/>
    </row>
    <row r="894" spans="2:3" x14ac:dyDescent="0.3">
      <c r="B894"/>
      <c r="C894"/>
    </row>
    <row r="895" spans="2:3" x14ac:dyDescent="0.3">
      <c r="B895"/>
      <c r="C895"/>
    </row>
    <row r="896" spans="2:3" x14ac:dyDescent="0.3">
      <c r="B896"/>
      <c r="C896"/>
    </row>
    <row r="897" spans="2:3" x14ac:dyDescent="0.3">
      <c r="B897"/>
      <c r="C897"/>
    </row>
    <row r="898" spans="2:3" x14ac:dyDescent="0.3">
      <c r="B898"/>
      <c r="C898"/>
    </row>
    <row r="899" spans="2:3" x14ac:dyDescent="0.3">
      <c r="B899"/>
      <c r="C899"/>
    </row>
    <row r="900" spans="2:3" x14ac:dyDescent="0.3">
      <c r="B900"/>
      <c r="C900"/>
    </row>
    <row r="901" spans="2:3" x14ac:dyDescent="0.3">
      <c r="B901"/>
      <c r="C901"/>
    </row>
    <row r="902" spans="2:3" x14ac:dyDescent="0.3">
      <c r="B902"/>
      <c r="C902"/>
    </row>
    <row r="903" spans="2:3" x14ac:dyDescent="0.3">
      <c r="B903"/>
      <c r="C903"/>
    </row>
    <row r="904" spans="2:3" x14ac:dyDescent="0.3">
      <c r="B904"/>
      <c r="C904"/>
    </row>
    <row r="905" spans="2:3" x14ac:dyDescent="0.3">
      <c r="B905"/>
      <c r="C905"/>
    </row>
    <row r="906" spans="2:3" x14ac:dyDescent="0.3">
      <c r="B906"/>
      <c r="C906"/>
    </row>
    <row r="907" spans="2:3" x14ac:dyDescent="0.3">
      <c r="B907"/>
      <c r="C907"/>
    </row>
    <row r="908" spans="2:3" x14ac:dyDescent="0.3">
      <c r="B908"/>
      <c r="C908"/>
    </row>
    <row r="909" spans="2:3" x14ac:dyDescent="0.3">
      <c r="B909"/>
      <c r="C909"/>
    </row>
    <row r="910" spans="2:3" x14ac:dyDescent="0.3">
      <c r="B910"/>
      <c r="C910"/>
    </row>
    <row r="911" spans="2:3" x14ac:dyDescent="0.3">
      <c r="B911"/>
      <c r="C911"/>
    </row>
    <row r="912" spans="2:3" x14ac:dyDescent="0.3">
      <c r="B912"/>
      <c r="C912"/>
    </row>
    <row r="913" spans="2:3" x14ac:dyDescent="0.3">
      <c r="B913"/>
      <c r="C913"/>
    </row>
    <row r="914" spans="2:3" x14ac:dyDescent="0.3">
      <c r="B914"/>
      <c r="C914"/>
    </row>
    <row r="915" spans="2:3" x14ac:dyDescent="0.3">
      <c r="B915"/>
      <c r="C915"/>
    </row>
    <row r="916" spans="2:3" x14ac:dyDescent="0.3">
      <c r="B916"/>
      <c r="C916"/>
    </row>
    <row r="917" spans="2:3" x14ac:dyDescent="0.3">
      <c r="B917"/>
      <c r="C917"/>
    </row>
    <row r="918" spans="2:3" x14ac:dyDescent="0.3">
      <c r="B918"/>
      <c r="C918"/>
    </row>
    <row r="919" spans="2:3" x14ac:dyDescent="0.3">
      <c r="B919"/>
      <c r="C919"/>
    </row>
    <row r="920" spans="2:3" x14ac:dyDescent="0.3">
      <c r="B920"/>
      <c r="C920"/>
    </row>
    <row r="921" spans="2:3" x14ac:dyDescent="0.3">
      <c r="B921"/>
      <c r="C921"/>
    </row>
    <row r="922" spans="2:3" x14ac:dyDescent="0.3">
      <c r="B922"/>
      <c r="C922"/>
    </row>
    <row r="923" spans="2:3" x14ac:dyDescent="0.3">
      <c r="B923"/>
      <c r="C923"/>
    </row>
    <row r="924" spans="2:3" x14ac:dyDescent="0.3">
      <c r="B924"/>
      <c r="C924"/>
    </row>
    <row r="925" spans="2:3" x14ac:dyDescent="0.3">
      <c r="B925"/>
      <c r="C925"/>
    </row>
    <row r="926" spans="2:3" x14ac:dyDescent="0.3">
      <c r="B926"/>
      <c r="C926"/>
    </row>
    <row r="927" spans="2:3" x14ac:dyDescent="0.3">
      <c r="B927"/>
      <c r="C927"/>
    </row>
    <row r="928" spans="2:3" x14ac:dyDescent="0.3">
      <c r="B928"/>
      <c r="C928"/>
    </row>
    <row r="929" spans="2:3" x14ac:dyDescent="0.3">
      <c r="B929"/>
      <c r="C929"/>
    </row>
    <row r="930" spans="2:3" x14ac:dyDescent="0.3">
      <c r="B930"/>
      <c r="C930"/>
    </row>
    <row r="931" spans="2:3" x14ac:dyDescent="0.3">
      <c r="B931"/>
      <c r="C931"/>
    </row>
    <row r="932" spans="2:3" x14ac:dyDescent="0.3">
      <c r="B932"/>
      <c r="C932"/>
    </row>
    <row r="933" spans="2:3" x14ac:dyDescent="0.3">
      <c r="B933"/>
      <c r="C933"/>
    </row>
    <row r="934" spans="2:3" x14ac:dyDescent="0.3">
      <c r="B934"/>
      <c r="C934"/>
    </row>
    <row r="935" spans="2:3" x14ac:dyDescent="0.3">
      <c r="B935"/>
      <c r="C935"/>
    </row>
    <row r="936" spans="2:3" x14ac:dyDescent="0.3">
      <c r="B936"/>
      <c r="C936"/>
    </row>
    <row r="937" spans="2:3" x14ac:dyDescent="0.3">
      <c r="B937"/>
      <c r="C937"/>
    </row>
    <row r="938" spans="2:3" x14ac:dyDescent="0.3">
      <c r="B938"/>
      <c r="C938"/>
    </row>
    <row r="939" spans="2:3" x14ac:dyDescent="0.3">
      <c r="B939"/>
      <c r="C939"/>
    </row>
    <row r="940" spans="2:3" x14ac:dyDescent="0.3">
      <c r="B940"/>
      <c r="C940"/>
    </row>
    <row r="941" spans="2:3" x14ac:dyDescent="0.3">
      <c r="B941"/>
      <c r="C941"/>
    </row>
    <row r="942" spans="2:3" x14ac:dyDescent="0.3">
      <c r="B942"/>
      <c r="C942"/>
    </row>
    <row r="943" spans="2:3" x14ac:dyDescent="0.3">
      <c r="B943"/>
      <c r="C943"/>
    </row>
    <row r="944" spans="2:3" x14ac:dyDescent="0.3">
      <c r="B944"/>
      <c r="C944"/>
    </row>
    <row r="945" spans="2:3" x14ac:dyDescent="0.3">
      <c r="B945"/>
      <c r="C945"/>
    </row>
    <row r="946" spans="2:3" x14ac:dyDescent="0.3">
      <c r="B946"/>
      <c r="C946"/>
    </row>
    <row r="947" spans="2:3" x14ac:dyDescent="0.3">
      <c r="B947"/>
      <c r="C947"/>
    </row>
    <row r="948" spans="2:3" x14ac:dyDescent="0.3">
      <c r="B948"/>
      <c r="C948"/>
    </row>
    <row r="949" spans="2:3" x14ac:dyDescent="0.3">
      <c r="B949"/>
      <c r="C949"/>
    </row>
    <row r="950" spans="2:3" x14ac:dyDescent="0.3">
      <c r="B950"/>
      <c r="C950"/>
    </row>
    <row r="951" spans="2:3" x14ac:dyDescent="0.3">
      <c r="B951"/>
      <c r="C951"/>
    </row>
    <row r="952" spans="2:3" x14ac:dyDescent="0.3">
      <c r="B952"/>
      <c r="C952"/>
    </row>
    <row r="953" spans="2:3" x14ac:dyDescent="0.3">
      <c r="B953"/>
      <c r="C953"/>
    </row>
    <row r="954" spans="2:3" x14ac:dyDescent="0.3">
      <c r="B954"/>
      <c r="C954"/>
    </row>
    <row r="955" spans="2:3" x14ac:dyDescent="0.3">
      <c r="B955"/>
      <c r="C955"/>
    </row>
    <row r="956" spans="2:3" x14ac:dyDescent="0.3">
      <c r="B956"/>
      <c r="C956"/>
    </row>
    <row r="957" spans="2:3" x14ac:dyDescent="0.3">
      <c r="B957"/>
      <c r="C957"/>
    </row>
    <row r="958" spans="2:3" x14ac:dyDescent="0.3">
      <c r="B958"/>
      <c r="C958"/>
    </row>
    <row r="959" spans="2:3" x14ac:dyDescent="0.3">
      <c r="B959"/>
      <c r="C959"/>
    </row>
    <row r="960" spans="2:3" x14ac:dyDescent="0.3">
      <c r="B960"/>
      <c r="C960"/>
    </row>
    <row r="961" spans="2:3" x14ac:dyDescent="0.3">
      <c r="B961"/>
      <c r="C961"/>
    </row>
    <row r="962" spans="2:3" x14ac:dyDescent="0.3">
      <c r="B962"/>
      <c r="C962"/>
    </row>
    <row r="963" spans="2:3" x14ac:dyDescent="0.3">
      <c r="B963"/>
      <c r="C963"/>
    </row>
    <row r="964" spans="2:3" x14ac:dyDescent="0.3">
      <c r="B964"/>
      <c r="C964"/>
    </row>
    <row r="965" spans="2:3" x14ac:dyDescent="0.3">
      <c r="B965"/>
      <c r="C965"/>
    </row>
    <row r="966" spans="2:3" x14ac:dyDescent="0.3">
      <c r="B966"/>
      <c r="C966"/>
    </row>
    <row r="967" spans="2:3" x14ac:dyDescent="0.3">
      <c r="B967"/>
      <c r="C967"/>
    </row>
    <row r="968" spans="2:3" x14ac:dyDescent="0.3">
      <c r="B968"/>
      <c r="C968"/>
    </row>
    <row r="969" spans="2:3" x14ac:dyDescent="0.3">
      <c r="B969"/>
      <c r="C969"/>
    </row>
    <row r="970" spans="2:3" x14ac:dyDescent="0.3">
      <c r="B970"/>
      <c r="C970"/>
    </row>
    <row r="971" spans="2:3" x14ac:dyDescent="0.3">
      <c r="B971"/>
      <c r="C971"/>
    </row>
    <row r="972" spans="2:3" x14ac:dyDescent="0.3">
      <c r="B972"/>
      <c r="C972"/>
    </row>
    <row r="973" spans="2:3" x14ac:dyDescent="0.3">
      <c r="B973"/>
      <c r="C973"/>
    </row>
    <row r="974" spans="2:3" x14ac:dyDescent="0.3">
      <c r="B974"/>
      <c r="C974"/>
    </row>
    <row r="975" spans="2:3" x14ac:dyDescent="0.3">
      <c r="B975"/>
      <c r="C975"/>
    </row>
    <row r="976" spans="2:3" x14ac:dyDescent="0.3">
      <c r="B976"/>
      <c r="C976"/>
    </row>
    <row r="977" spans="2:3" x14ac:dyDescent="0.3">
      <c r="B977"/>
      <c r="C977"/>
    </row>
    <row r="978" spans="2:3" x14ac:dyDescent="0.3">
      <c r="B978"/>
      <c r="C978"/>
    </row>
    <row r="979" spans="2:3" x14ac:dyDescent="0.3">
      <c r="B979"/>
      <c r="C979"/>
    </row>
    <row r="980" spans="2:3" x14ac:dyDescent="0.3">
      <c r="B980"/>
      <c r="C980"/>
    </row>
    <row r="981" spans="2:3" x14ac:dyDescent="0.3">
      <c r="B981"/>
      <c r="C981"/>
    </row>
    <row r="982" spans="2:3" x14ac:dyDescent="0.3">
      <c r="B982"/>
      <c r="C982"/>
    </row>
    <row r="983" spans="2:3" x14ac:dyDescent="0.3">
      <c r="B983"/>
      <c r="C983"/>
    </row>
    <row r="984" spans="2:3" x14ac:dyDescent="0.3">
      <c r="B984"/>
      <c r="C984"/>
    </row>
    <row r="985" spans="2:3" x14ac:dyDescent="0.3">
      <c r="B985"/>
      <c r="C985"/>
    </row>
    <row r="986" spans="2:3" x14ac:dyDescent="0.3">
      <c r="B986"/>
      <c r="C986"/>
    </row>
    <row r="987" spans="2:3" x14ac:dyDescent="0.3">
      <c r="B987"/>
      <c r="C987"/>
    </row>
    <row r="988" spans="2:3" x14ac:dyDescent="0.3">
      <c r="B988"/>
      <c r="C988"/>
    </row>
    <row r="989" spans="2:3" x14ac:dyDescent="0.3">
      <c r="B989"/>
      <c r="C989"/>
    </row>
    <row r="990" spans="2:3" x14ac:dyDescent="0.3">
      <c r="B990"/>
      <c r="C990"/>
    </row>
    <row r="991" spans="2:3" x14ac:dyDescent="0.3">
      <c r="B991"/>
      <c r="C991"/>
    </row>
    <row r="992" spans="2:3" x14ac:dyDescent="0.3">
      <c r="B992"/>
      <c r="C992"/>
    </row>
    <row r="993" spans="2:3" x14ac:dyDescent="0.3">
      <c r="B993"/>
      <c r="C993"/>
    </row>
    <row r="994" spans="2:3" x14ac:dyDescent="0.3">
      <c r="B994"/>
      <c r="C994"/>
    </row>
    <row r="995" spans="2:3" x14ac:dyDescent="0.3">
      <c r="B995"/>
      <c r="C995"/>
    </row>
    <row r="996" spans="2:3" x14ac:dyDescent="0.3">
      <c r="B996"/>
      <c r="C996"/>
    </row>
    <row r="997" spans="2:3" x14ac:dyDescent="0.3">
      <c r="B997"/>
      <c r="C997"/>
    </row>
    <row r="998" spans="2:3" x14ac:dyDescent="0.3">
      <c r="B998"/>
      <c r="C998"/>
    </row>
    <row r="999" spans="2:3" x14ac:dyDescent="0.3">
      <c r="B999"/>
      <c r="C999"/>
    </row>
    <row r="1000" spans="2:3" x14ac:dyDescent="0.3">
      <c r="B1000"/>
      <c r="C1000"/>
    </row>
    <row r="1001" spans="2:3" x14ac:dyDescent="0.3">
      <c r="B1001"/>
      <c r="C1001"/>
    </row>
    <row r="1002" spans="2:3" x14ac:dyDescent="0.3">
      <c r="B1002"/>
      <c r="C1002"/>
    </row>
    <row r="1003" spans="2:3" x14ac:dyDescent="0.3">
      <c r="B1003"/>
      <c r="C1003"/>
    </row>
    <row r="1004" spans="2:3" x14ac:dyDescent="0.3">
      <c r="B1004"/>
      <c r="C1004"/>
    </row>
    <row r="1005" spans="2:3" x14ac:dyDescent="0.3">
      <c r="B1005"/>
      <c r="C1005"/>
    </row>
    <row r="1006" spans="2:3" x14ac:dyDescent="0.3">
      <c r="B1006"/>
      <c r="C1006"/>
    </row>
    <row r="1007" spans="2:3" x14ac:dyDescent="0.3">
      <c r="B1007"/>
      <c r="C1007"/>
    </row>
    <row r="1008" spans="2:3" x14ac:dyDescent="0.3">
      <c r="B1008"/>
      <c r="C1008"/>
    </row>
    <row r="1009" spans="2:3" x14ac:dyDescent="0.3">
      <c r="B1009"/>
      <c r="C1009"/>
    </row>
    <row r="1010" spans="2:3" x14ac:dyDescent="0.3">
      <c r="B1010"/>
      <c r="C1010"/>
    </row>
    <row r="1011" spans="2:3" x14ac:dyDescent="0.3">
      <c r="B1011"/>
      <c r="C1011"/>
    </row>
    <row r="1012" spans="2:3" x14ac:dyDescent="0.3">
      <c r="B1012"/>
      <c r="C1012"/>
    </row>
    <row r="1013" spans="2:3" x14ac:dyDescent="0.3">
      <c r="B1013"/>
      <c r="C1013"/>
    </row>
    <row r="1014" spans="2:3" x14ac:dyDescent="0.3">
      <c r="B1014"/>
      <c r="C1014"/>
    </row>
    <row r="1015" spans="2:3" x14ac:dyDescent="0.3">
      <c r="B1015"/>
      <c r="C1015"/>
    </row>
    <row r="1016" spans="2:3" x14ac:dyDescent="0.3">
      <c r="B1016"/>
      <c r="C1016"/>
    </row>
    <row r="1017" spans="2:3" x14ac:dyDescent="0.3">
      <c r="B1017"/>
      <c r="C1017"/>
    </row>
    <row r="1018" spans="2:3" x14ac:dyDescent="0.3">
      <c r="B1018"/>
      <c r="C1018"/>
    </row>
    <row r="1019" spans="2:3" x14ac:dyDescent="0.3">
      <c r="B1019"/>
      <c r="C1019"/>
    </row>
    <row r="1020" spans="2:3" x14ac:dyDescent="0.3">
      <c r="B1020"/>
      <c r="C1020"/>
    </row>
    <row r="1021" spans="2:3" x14ac:dyDescent="0.3">
      <c r="B1021"/>
      <c r="C1021"/>
    </row>
    <row r="1022" spans="2:3" x14ac:dyDescent="0.3">
      <c r="B1022"/>
      <c r="C1022"/>
    </row>
    <row r="1023" spans="2:3" x14ac:dyDescent="0.3">
      <c r="B1023"/>
      <c r="C1023"/>
    </row>
    <row r="1024" spans="2:3" x14ac:dyDescent="0.3">
      <c r="B1024"/>
      <c r="C1024"/>
    </row>
    <row r="1025" spans="2:3" x14ac:dyDescent="0.3">
      <c r="B1025"/>
      <c r="C1025"/>
    </row>
    <row r="1026" spans="2:3" x14ac:dyDescent="0.3">
      <c r="B1026"/>
      <c r="C1026"/>
    </row>
    <row r="1027" spans="2:3" x14ac:dyDescent="0.3">
      <c r="B1027"/>
      <c r="C1027"/>
    </row>
    <row r="1028" spans="2:3" x14ac:dyDescent="0.3">
      <c r="B1028"/>
      <c r="C1028"/>
    </row>
    <row r="1029" spans="2:3" x14ac:dyDescent="0.3">
      <c r="B1029"/>
      <c r="C1029"/>
    </row>
    <row r="1030" spans="2:3" x14ac:dyDescent="0.3">
      <c r="B1030"/>
      <c r="C1030"/>
    </row>
    <row r="1031" spans="2:3" x14ac:dyDescent="0.3">
      <c r="B1031"/>
      <c r="C1031"/>
    </row>
    <row r="1032" spans="2:3" x14ac:dyDescent="0.3">
      <c r="B1032"/>
      <c r="C1032"/>
    </row>
    <row r="1033" spans="2:3" x14ac:dyDescent="0.3">
      <c r="B1033"/>
      <c r="C1033"/>
    </row>
    <row r="1034" spans="2:3" x14ac:dyDescent="0.3">
      <c r="B1034"/>
      <c r="C1034"/>
    </row>
    <row r="1035" spans="2:3" x14ac:dyDescent="0.3">
      <c r="B1035"/>
      <c r="C1035"/>
    </row>
    <row r="1036" spans="2:3" x14ac:dyDescent="0.3">
      <c r="B1036"/>
      <c r="C1036"/>
    </row>
    <row r="1037" spans="2:3" x14ac:dyDescent="0.3">
      <c r="B1037"/>
      <c r="C1037"/>
    </row>
    <row r="1038" spans="2:3" x14ac:dyDescent="0.3">
      <c r="B1038"/>
      <c r="C1038"/>
    </row>
    <row r="1039" spans="2:3" x14ac:dyDescent="0.3">
      <c r="B1039"/>
      <c r="C1039"/>
    </row>
    <row r="1040" spans="2:3" x14ac:dyDescent="0.3">
      <c r="B1040"/>
      <c r="C1040"/>
    </row>
    <row r="1041" spans="2:3" x14ac:dyDescent="0.3">
      <c r="B1041"/>
      <c r="C1041"/>
    </row>
    <row r="1042" spans="2:3" x14ac:dyDescent="0.3">
      <c r="B1042"/>
      <c r="C1042"/>
    </row>
    <row r="1043" spans="2:3" x14ac:dyDescent="0.3">
      <c r="B1043"/>
      <c r="C1043"/>
    </row>
    <row r="1044" spans="2:3" x14ac:dyDescent="0.3">
      <c r="B1044"/>
      <c r="C1044"/>
    </row>
    <row r="1045" spans="2:3" x14ac:dyDescent="0.3">
      <c r="B1045"/>
      <c r="C1045"/>
    </row>
    <row r="1046" spans="2:3" x14ac:dyDescent="0.3">
      <c r="B1046"/>
      <c r="C1046"/>
    </row>
    <row r="1047" spans="2:3" x14ac:dyDescent="0.3">
      <c r="B1047"/>
      <c r="C1047"/>
    </row>
    <row r="1048" spans="2:3" x14ac:dyDescent="0.3">
      <c r="B1048"/>
      <c r="C1048"/>
    </row>
    <row r="1049" spans="2:3" x14ac:dyDescent="0.3">
      <c r="B1049"/>
      <c r="C1049"/>
    </row>
    <row r="1050" spans="2:3" x14ac:dyDescent="0.3">
      <c r="B1050"/>
      <c r="C1050"/>
    </row>
    <row r="1051" spans="2:3" x14ac:dyDescent="0.3">
      <c r="B1051"/>
      <c r="C1051"/>
    </row>
    <row r="1052" spans="2:3" x14ac:dyDescent="0.3">
      <c r="B1052"/>
      <c r="C1052"/>
    </row>
    <row r="1053" spans="2:3" x14ac:dyDescent="0.3">
      <c r="B1053"/>
      <c r="C1053"/>
    </row>
    <row r="1054" spans="2:3" x14ac:dyDescent="0.3">
      <c r="B1054"/>
      <c r="C1054"/>
    </row>
    <row r="1055" spans="2:3" x14ac:dyDescent="0.3">
      <c r="B1055"/>
      <c r="C1055"/>
    </row>
    <row r="1056" spans="2:3" x14ac:dyDescent="0.3">
      <c r="B1056"/>
      <c r="C1056"/>
    </row>
    <row r="1057" spans="2:3" x14ac:dyDescent="0.3">
      <c r="B1057"/>
      <c r="C1057"/>
    </row>
    <row r="1058" spans="2:3" x14ac:dyDescent="0.3">
      <c r="B1058"/>
      <c r="C1058"/>
    </row>
    <row r="1059" spans="2:3" x14ac:dyDescent="0.3">
      <c r="B1059"/>
      <c r="C1059"/>
    </row>
    <row r="1060" spans="2:3" x14ac:dyDescent="0.3">
      <c r="B1060"/>
      <c r="C1060"/>
    </row>
    <row r="1061" spans="2:3" x14ac:dyDescent="0.3">
      <c r="B1061"/>
      <c r="C1061"/>
    </row>
    <row r="1062" spans="2:3" x14ac:dyDescent="0.3">
      <c r="B1062"/>
      <c r="C1062"/>
    </row>
    <row r="1063" spans="2:3" x14ac:dyDescent="0.3">
      <c r="B1063"/>
      <c r="C1063"/>
    </row>
    <row r="1064" spans="2:3" x14ac:dyDescent="0.3">
      <c r="B1064"/>
      <c r="C1064"/>
    </row>
    <row r="1065" spans="2:3" x14ac:dyDescent="0.3">
      <c r="B1065"/>
      <c r="C1065"/>
    </row>
    <row r="1066" spans="2:3" x14ac:dyDescent="0.3">
      <c r="B1066"/>
      <c r="C1066"/>
    </row>
    <row r="1067" spans="2:3" x14ac:dyDescent="0.3">
      <c r="B1067"/>
      <c r="C1067"/>
    </row>
    <row r="1068" spans="2:3" x14ac:dyDescent="0.3">
      <c r="B1068"/>
      <c r="C1068"/>
    </row>
    <row r="1069" spans="2:3" x14ac:dyDescent="0.3">
      <c r="B1069"/>
      <c r="C1069"/>
    </row>
    <row r="1070" spans="2:3" x14ac:dyDescent="0.3">
      <c r="B1070"/>
      <c r="C1070"/>
    </row>
    <row r="1071" spans="2:3" x14ac:dyDescent="0.3">
      <c r="B1071"/>
      <c r="C1071"/>
    </row>
    <row r="1072" spans="2:3" x14ac:dyDescent="0.3">
      <c r="B1072"/>
      <c r="C1072"/>
    </row>
    <row r="1073" spans="2:3" x14ac:dyDescent="0.3">
      <c r="B1073"/>
      <c r="C1073"/>
    </row>
    <row r="1074" spans="2:3" x14ac:dyDescent="0.3">
      <c r="B1074"/>
      <c r="C1074"/>
    </row>
    <row r="1075" spans="2:3" x14ac:dyDescent="0.3">
      <c r="B1075"/>
      <c r="C1075"/>
    </row>
    <row r="1076" spans="2:3" x14ac:dyDescent="0.3">
      <c r="B1076"/>
      <c r="C1076"/>
    </row>
    <row r="1077" spans="2:3" x14ac:dyDescent="0.3">
      <c r="B1077"/>
      <c r="C1077"/>
    </row>
    <row r="1078" spans="2:3" x14ac:dyDescent="0.3">
      <c r="B1078"/>
      <c r="C1078"/>
    </row>
    <row r="1079" spans="2:3" x14ac:dyDescent="0.3">
      <c r="B1079"/>
      <c r="C1079"/>
    </row>
    <row r="1080" spans="2:3" x14ac:dyDescent="0.3">
      <c r="B1080"/>
      <c r="C1080"/>
    </row>
    <row r="1081" spans="2:3" x14ac:dyDescent="0.3">
      <c r="B1081"/>
      <c r="C1081"/>
    </row>
    <row r="1082" spans="2:3" x14ac:dyDescent="0.3">
      <c r="B1082"/>
      <c r="C1082"/>
    </row>
    <row r="1083" spans="2:3" x14ac:dyDescent="0.3">
      <c r="B1083"/>
      <c r="C1083"/>
    </row>
    <row r="1084" spans="2:3" x14ac:dyDescent="0.3">
      <c r="B1084"/>
      <c r="C1084"/>
    </row>
    <row r="1085" spans="2:3" x14ac:dyDescent="0.3">
      <c r="B1085"/>
      <c r="C1085"/>
    </row>
    <row r="1086" spans="2:3" x14ac:dyDescent="0.3">
      <c r="B1086"/>
      <c r="C1086"/>
    </row>
    <row r="1087" spans="2:3" x14ac:dyDescent="0.3">
      <c r="B1087"/>
      <c r="C1087"/>
    </row>
    <row r="1088" spans="2:3" x14ac:dyDescent="0.3">
      <c r="B1088"/>
      <c r="C1088"/>
    </row>
    <row r="1089" spans="2:3" x14ac:dyDescent="0.3">
      <c r="B1089"/>
      <c r="C1089"/>
    </row>
    <row r="1090" spans="2:3" x14ac:dyDescent="0.3">
      <c r="B1090"/>
      <c r="C1090"/>
    </row>
    <row r="1091" spans="2:3" x14ac:dyDescent="0.3">
      <c r="B1091"/>
      <c r="C1091"/>
    </row>
    <row r="1092" spans="2:3" x14ac:dyDescent="0.3">
      <c r="B1092"/>
      <c r="C1092"/>
    </row>
    <row r="1093" spans="2:3" x14ac:dyDescent="0.3">
      <c r="B1093"/>
      <c r="C1093"/>
    </row>
    <row r="1094" spans="2:3" x14ac:dyDescent="0.3">
      <c r="B1094"/>
      <c r="C1094"/>
    </row>
    <row r="1095" spans="2:3" x14ac:dyDescent="0.3">
      <c r="B1095"/>
      <c r="C1095"/>
    </row>
    <row r="1096" spans="2:3" x14ac:dyDescent="0.3">
      <c r="B1096"/>
      <c r="C1096"/>
    </row>
    <row r="1097" spans="2:3" x14ac:dyDescent="0.3">
      <c r="B1097"/>
      <c r="C1097"/>
    </row>
    <row r="1098" spans="2:3" x14ac:dyDescent="0.3">
      <c r="B1098"/>
      <c r="C1098"/>
    </row>
    <row r="1099" spans="2:3" x14ac:dyDescent="0.3">
      <c r="B1099"/>
      <c r="C1099"/>
    </row>
    <row r="1100" spans="2:3" x14ac:dyDescent="0.3">
      <c r="B1100"/>
      <c r="C1100"/>
    </row>
    <row r="1101" spans="2:3" x14ac:dyDescent="0.3">
      <c r="B1101"/>
      <c r="C1101"/>
    </row>
    <row r="1102" spans="2:3" x14ac:dyDescent="0.3">
      <c r="B1102"/>
      <c r="C1102"/>
    </row>
    <row r="1103" spans="2:3" x14ac:dyDescent="0.3">
      <c r="B1103"/>
      <c r="C1103"/>
    </row>
    <row r="1104" spans="2:3" x14ac:dyDescent="0.3">
      <c r="B1104"/>
      <c r="C1104"/>
    </row>
    <row r="1105" spans="2:3" x14ac:dyDescent="0.3">
      <c r="B1105"/>
      <c r="C1105"/>
    </row>
    <row r="1106" spans="2:3" x14ac:dyDescent="0.3">
      <c r="B1106"/>
      <c r="C1106"/>
    </row>
    <row r="1107" spans="2:3" x14ac:dyDescent="0.3">
      <c r="B1107"/>
      <c r="C1107"/>
    </row>
    <row r="1108" spans="2:3" x14ac:dyDescent="0.3">
      <c r="B1108"/>
      <c r="C1108"/>
    </row>
    <row r="1109" spans="2:3" x14ac:dyDescent="0.3">
      <c r="B1109"/>
      <c r="C1109"/>
    </row>
    <row r="1110" spans="2:3" x14ac:dyDescent="0.3">
      <c r="B1110"/>
      <c r="C1110"/>
    </row>
    <row r="1111" spans="2:3" x14ac:dyDescent="0.3">
      <c r="B1111"/>
      <c r="C1111"/>
    </row>
    <row r="1112" spans="2:3" x14ac:dyDescent="0.3">
      <c r="B1112"/>
      <c r="C1112"/>
    </row>
    <row r="1113" spans="2:3" x14ac:dyDescent="0.3">
      <c r="B1113"/>
      <c r="C1113"/>
    </row>
    <row r="1114" spans="2:3" x14ac:dyDescent="0.3">
      <c r="B1114"/>
      <c r="C1114"/>
    </row>
    <row r="1115" spans="2:3" x14ac:dyDescent="0.3">
      <c r="B1115"/>
      <c r="C1115"/>
    </row>
    <row r="1116" spans="2:3" x14ac:dyDescent="0.3">
      <c r="B1116"/>
      <c r="C1116"/>
    </row>
    <row r="1117" spans="2:3" x14ac:dyDescent="0.3">
      <c r="B1117"/>
      <c r="C1117"/>
    </row>
    <row r="1118" spans="2:3" x14ac:dyDescent="0.3">
      <c r="B1118"/>
      <c r="C1118"/>
    </row>
    <row r="1119" spans="2:3" x14ac:dyDescent="0.3">
      <c r="B1119"/>
      <c r="C1119"/>
    </row>
    <row r="1120" spans="2:3" x14ac:dyDescent="0.3">
      <c r="B1120"/>
      <c r="C1120"/>
    </row>
    <row r="1121" spans="2:3" x14ac:dyDescent="0.3">
      <c r="B1121"/>
      <c r="C1121"/>
    </row>
    <row r="1122" spans="2:3" x14ac:dyDescent="0.3">
      <c r="B1122"/>
      <c r="C1122"/>
    </row>
    <row r="1123" spans="2:3" x14ac:dyDescent="0.3">
      <c r="B1123"/>
      <c r="C1123"/>
    </row>
    <row r="1124" spans="2:3" x14ac:dyDescent="0.3">
      <c r="B1124"/>
      <c r="C1124"/>
    </row>
    <row r="1125" spans="2:3" x14ac:dyDescent="0.3">
      <c r="B1125"/>
      <c r="C1125"/>
    </row>
    <row r="1126" spans="2:3" x14ac:dyDescent="0.3">
      <c r="B1126"/>
      <c r="C1126"/>
    </row>
    <row r="1127" spans="2:3" x14ac:dyDescent="0.3">
      <c r="B1127"/>
      <c r="C1127"/>
    </row>
    <row r="1128" spans="2:3" x14ac:dyDescent="0.3">
      <c r="B1128"/>
      <c r="C1128"/>
    </row>
    <row r="1129" spans="2:3" x14ac:dyDescent="0.3">
      <c r="B1129"/>
      <c r="C1129"/>
    </row>
    <row r="1130" spans="2:3" x14ac:dyDescent="0.3">
      <c r="B1130"/>
      <c r="C1130"/>
    </row>
    <row r="1131" spans="2:3" x14ac:dyDescent="0.3">
      <c r="B1131"/>
      <c r="C1131"/>
    </row>
    <row r="1132" spans="2:3" x14ac:dyDescent="0.3">
      <c r="B1132"/>
      <c r="C1132"/>
    </row>
    <row r="1133" spans="2:3" x14ac:dyDescent="0.3">
      <c r="B1133"/>
      <c r="C1133"/>
    </row>
    <row r="1134" spans="2:3" x14ac:dyDescent="0.3">
      <c r="B1134"/>
      <c r="C1134"/>
    </row>
    <row r="1135" spans="2:3" x14ac:dyDescent="0.3">
      <c r="B1135"/>
      <c r="C1135"/>
    </row>
    <row r="1136" spans="2:3" x14ac:dyDescent="0.3">
      <c r="B1136"/>
      <c r="C1136"/>
    </row>
    <row r="1137" spans="2:3" x14ac:dyDescent="0.3">
      <c r="B1137"/>
      <c r="C1137"/>
    </row>
    <row r="1138" spans="2:3" x14ac:dyDescent="0.3">
      <c r="B1138"/>
      <c r="C1138"/>
    </row>
    <row r="1139" spans="2:3" x14ac:dyDescent="0.3">
      <c r="B1139"/>
      <c r="C1139"/>
    </row>
    <row r="1140" spans="2:3" x14ac:dyDescent="0.3">
      <c r="B1140"/>
      <c r="C1140"/>
    </row>
    <row r="1141" spans="2:3" x14ac:dyDescent="0.3">
      <c r="B1141"/>
      <c r="C1141"/>
    </row>
    <row r="1142" spans="2:3" x14ac:dyDescent="0.3">
      <c r="B1142"/>
      <c r="C1142"/>
    </row>
    <row r="1143" spans="2:3" x14ac:dyDescent="0.3">
      <c r="B1143"/>
      <c r="C1143"/>
    </row>
    <row r="1144" spans="2:3" x14ac:dyDescent="0.3">
      <c r="B1144"/>
      <c r="C1144"/>
    </row>
    <row r="1145" spans="2:3" x14ac:dyDescent="0.3">
      <c r="B1145"/>
      <c r="C1145"/>
    </row>
    <row r="1146" spans="2:3" x14ac:dyDescent="0.3">
      <c r="B1146"/>
      <c r="C1146"/>
    </row>
    <row r="1147" spans="2:3" x14ac:dyDescent="0.3">
      <c r="B1147"/>
      <c r="C1147"/>
    </row>
    <row r="1148" spans="2:3" x14ac:dyDescent="0.3">
      <c r="B1148"/>
      <c r="C1148"/>
    </row>
    <row r="1149" spans="2:3" x14ac:dyDescent="0.3">
      <c r="B1149"/>
      <c r="C1149"/>
    </row>
    <row r="1150" spans="2:3" x14ac:dyDescent="0.3">
      <c r="B1150"/>
      <c r="C1150"/>
    </row>
    <row r="1151" spans="2:3" x14ac:dyDescent="0.3">
      <c r="B1151"/>
      <c r="C1151"/>
    </row>
    <row r="1152" spans="2:3" x14ac:dyDescent="0.3">
      <c r="B1152"/>
      <c r="C1152"/>
    </row>
    <row r="1153" spans="2:3" x14ac:dyDescent="0.3">
      <c r="B1153"/>
      <c r="C1153"/>
    </row>
    <row r="1154" spans="2:3" x14ac:dyDescent="0.3">
      <c r="B1154"/>
      <c r="C1154"/>
    </row>
    <row r="1155" spans="2:3" x14ac:dyDescent="0.3">
      <c r="B1155"/>
      <c r="C1155"/>
    </row>
    <row r="1156" spans="2:3" x14ac:dyDescent="0.3">
      <c r="B1156"/>
      <c r="C1156"/>
    </row>
    <row r="1157" spans="2:3" x14ac:dyDescent="0.3">
      <c r="B1157"/>
      <c r="C1157"/>
    </row>
    <row r="1158" spans="2:3" x14ac:dyDescent="0.3">
      <c r="B1158"/>
      <c r="C1158"/>
    </row>
    <row r="1159" spans="2:3" x14ac:dyDescent="0.3">
      <c r="B1159"/>
      <c r="C1159"/>
    </row>
    <row r="1160" spans="2:3" x14ac:dyDescent="0.3">
      <c r="B1160"/>
      <c r="C1160"/>
    </row>
    <row r="1161" spans="2:3" x14ac:dyDescent="0.3">
      <c r="B1161"/>
      <c r="C1161"/>
    </row>
    <row r="1162" spans="2:3" x14ac:dyDescent="0.3">
      <c r="B1162"/>
      <c r="C1162"/>
    </row>
    <row r="1163" spans="2:3" x14ac:dyDescent="0.3">
      <c r="B1163"/>
      <c r="C1163"/>
    </row>
    <row r="1164" spans="2:3" x14ac:dyDescent="0.3">
      <c r="B1164"/>
      <c r="C1164"/>
    </row>
    <row r="1165" spans="2:3" x14ac:dyDescent="0.3">
      <c r="B1165"/>
      <c r="C1165"/>
    </row>
    <row r="1166" spans="2:3" x14ac:dyDescent="0.3">
      <c r="B1166"/>
      <c r="C1166"/>
    </row>
    <row r="1167" spans="2:3" x14ac:dyDescent="0.3">
      <c r="B1167"/>
      <c r="C1167"/>
    </row>
    <row r="1168" spans="2:3" x14ac:dyDescent="0.3">
      <c r="B1168"/>
      <c r="C1168"/>
    </row>
    <row r="1169" spans="2:3" x14ac:dyDescent="0.3">
      <c r="B1169"/>
      <c r="C1169"/>
    </row>
    <row r="1170" spans="2:3" x14ac:dyDescent="0.3">
      <c r="B1170"/>
      <c r="C1170"/>
    </row>
    <row r="1171" spans="2:3" x14ac:dyDescent="0.3">
      <c r="B1171"/>
      <c r="C1171"/>
    </row>
    <row r="1172" spans="2:3" x14ac:dyDescent="0.3">
      <c r="B1172"/>
      <c r="C1172"/>
    </row>
    <row r="1173" spans="2:3" x14ac:dyDescent="0.3">
      <c r="B1173"/>
      <c r="C1173"/>
    </row>
    <row r="1174" spans="2:3" x14ac:dyDescent="0.3">
      <c r="B1174"/>
      <c r="C1174"/>
    </row>
    <row r="1175" spans="2:3" x14ac:dyDescent="0.3">
      <c r="B1175"/>
      <c r="C1175"/>
    </row>
    <row r="1176" spans="2:3" x14ac:dyDescent="0.3">
      <c r="B1176"/>
      <c r="C1176"/>
    </row>
    <row r="1177" spans="2:3" x14ac:dyDescent="0.3">
      <c r="B1177"/>
      <c r="C1177"/>
    </row>
    <row r="1178" spans="2:3" x14ac:dyDescent="0.3">
      <c r="B1178"/>
      <c r="C1178"/>
    </row>
    <row r="1179" spans="2:3" x14ac:dyDescent="0.3">
      <c r="B1179"/>
      <c r="C1179"/>
    </row>
    <row r="1180" spans="2:3" x14ac:dyDescent="0.3">
      <c r="B1180"/>
      <c r="C1180"/>
    </row>
    <row r="1181" spans="2:3" x14ac:dyDescent="0.3">
      <c r="B1181"/>
      <c r="C1181"/>
    </row>
    <row r="1182" spans="2:3" x14ac:dyDescent="0.3">
      <c r="B1182"/>
      <c r="C1182"/>
    </row>
    <row r="1183" spans="2:3" x14ac:dyDescent="0.3">
      <c r="B1183"/>
      <c r="C1183"/>
    </row>
    <row r="1184" spans="2:3" x14ac:dyDescent="0.3">
      <c r="B1184"/>
      <c r="C1184"/>
    </row>
    <row r="1185" spans="2:3" x14ac:dyDescent="0.3">
      <c r="B1185"/>
      <c r="C1185"/>
    </row>
    <row r="1186" spans="2:3" x14ac:dyDescent="0.3">
      <c r="B1186"/>
      <c r="C1186"/>
    </row>
    <row r="1187" spans="2:3" x14ac:dyDescent="0.3">
      <c r="B1187"/>
      <c r="C1187"/>
    </row>
    <row r="1188" spans="2:3" x14ac:dyDescent="0.3">
      <c r="B1188"/>
      <c r="C1188"/>
    </row>
    <row r="1189" spans="2:3" x14ac:dyDescent="0.3">
      <c r="B1189"/>
      <c r="C1189"/>
    </row>
    <row r="1190" spans="2:3" x14ac:dyDescent="0.3">
      <c r="B1190"/>
      <c r="C1190"/>
    </row>
    <row r="1191" spans="2:3" x14ac:dyDescent="0.3">
      <c r="B1191"/>
      <c r="C1191"/>
    </row>
    <row r="1192" spans="2:3" x14ac:dyDescent="0.3">
      <c r="B1192"/>
      <c r="C1192"/>
    </row>
    <row r="1193" spans="2:3" x14ac:dyDescent="0.3">
      <c r="B1193"/>
      <c r="C1193"/>
    </row>
    <row r="1194" spans="2:3" x14ac:dyDescent="0.3">
      <c r="B1194"/>
      <c r="C1194"/>
    </row>
    <row r="1195" spans="2:3" x14ac:dyDescent="0.3">
      <c r="B1195"/>
      <c r="C1195"/>
    </row>
    <row r="1196" spans="2:3" x14ac:dyDescent="0.3">
      <c r="B1196"/>
      <c r="C1196"/>
    </row>
    <row r="1197" spans="2:3" x14ac:dyDescent="0.3">
      <c r="B1197"/>
      <c r="C1197"/>
    </row>
    <row r="1198" spans="2:3" x14ac:dyDescent="0.3">
      <c r="B1198"/>
      <c r="C1198"/>
    </row>
    <row r="1199" spans="2:3" x14ac:dyDescent="0.3">
      <c r="B1199"/>
      <c r="C1199"/>
    </row>
    <row r="1200" spans="2:3" x14ac:dyDescent="0.3">
      <c r="B1200"/>
      <c r="C1200"/>
    </row>
    <row r="1201" spans="2:3" x14ac:dyDescent="0.3">
      <c r="B1201"/>
      <c r="C1201"/>
    </row>
    <row r="1202" spans="2:3" x14ac:dyDescent="0.3">
      <c r="B1202"/>
      <c r="C1202"/>
    </row>
    <row r="1203" spans="2:3" x14ac:dyDescent="0.3">
      <c r="B1203"/>
      <c r="C1203"/>
    </row>
    <row r="1204" spans="2:3" x14ac:dyDescent="0.3">
      <c r="B1204"/>
      <c r="C1204"/>
    </row>
    <row r="1205" spans="2:3" x14ac:dyDescent="0.3">
      <c r="B1205"/>
      <c r="C1205"/>
    </row>
    <row r="1206" spans="2:3" x14ac:dyDescent="0.3">
      <c r="B1206"/>
      <c r="C1206"/>
    </row>
    <row r="1207" spans="2:3" x14ac:dyDescent="0.3">
      <c r="B1207"/>
      <c r="C1207"/>
    </row>
    <row r="1208" spans="2:3" x14ac:dyDescent="0.3">
      <c r="B1208"/>
      <c r="C1208"/>
    </row>
    <row r="1209" spans="2:3" x14ac:dyDescent="0.3">
      <c r="B1209"/>
      <c r="C1209"/>
    </row>
    <row r="1210" spans="2:3" x14ac:dyDescent="0.3">
      <c r="B1210"/>
      <c r="C1210"/>
    </row>
    <row r="1211" spans="2:3" x14ac:dyDescent="0.3">
      <c r="B1211"/>
      <c r="C1211"/>
    </row>
    <row r="1212" spans="2:3" x14ac:dyDescent="0.3">
      <c r="B1212"/>
      <c r="C1212"/>
    </row>
    <row r="1213" spans="2:3" x14ac:dyDescent="0.3">
      <c r="B1213"/>
      <c r="C1213"/>
    </row>
    <row r="1214" spans="2:3" x14ac:dyDescent="0.3">
      <c r="B1214"/>
      <c r="C1214"/>
    </row>
    <row r="1215" spans="2:3" x14ac:dyDescent="0.3">
      <c r="B1215"/>
      <c r="C1215"/>
    </row>
    <row r="1216" spans="2:3" x14ac:dyDescent="0.3">
      <c r="B1216"/>
      <c r="C1216"/>
    </row>
    <row r="1217" spans="2:3" x14ac:dyDescent="0.3">
      <c r="B1217"/>
      <c r="C1217"/>
    </row>
    <row r="1218" spans="2:3" x14ac:dyDescent="0.3">
      <c r="B1218"/>
      <c r="C1218"/>
    </row>
    <row r="1219" spans="2:3" x14ac:dyDescent="0.3">
      <c r="B1219"/>
      <c r="C1219"/>
    </row>
    <row r="1220" spans="2:3" x14ac:dyDescent="0.3">
      <c r="B1220"/>
      <c r="C1220"/>
    </row>
    <row r="1221" spans="2:3" x14ac:dyDescent="0.3">
      <c r="B1221"/>
      <c r="C1221"/>
    </row>
    <row r="1222" spans="2:3" x14ac:dyDescent="0.3">
      <c r="B1222"/>
      <c r="C1222"/>
    </row>
    <row r="1223" spans="2:3" x14ac:dyDescent="0.3">
      <c r="B1223"/>
      <c r="C1223"/>
    </row>
    <row r="1224" spans="2:3" x14ac:dyDescent="0.3">
      <c r="B1224"/>
      <c r="C1224"/>
    </row>
    <row r="1225" spans="2:3" x14ac:dyDescent="0.3">
      <c r="B1225"/>
      <c r="C1225"/>
    </row>
    <row r="1226" spans="2:3" x14ac:dyDescent="0.3">
      <c r="B1226"/>
      <c r="C1226"/>
    </row>
    <row r="1227" spans="2:3" x14ac:dyDescent="0.3">
      <c r="B1227"/>
      <c r="C1227"/>
    </row>
    <row r="1228" spans="2:3" x14ac:dyDescent="0.3">
      <c r="B1228"/>
      <c r="C1228"/>
    </row>
    <row r="1229" spans="2:3" x14ac:dyDescent="0.3">
      <c r="B1229"/>
      <c r="C1229"/>
    </row>
    <row r="1230" spans="2:3" x14ac:dyDescent="0.3">
      <c r="B1230"/>
      <c r="C1230"/>
    </row>
    <row r="1231" spans="2:3" x14ac:dyDescent="0.3">
      <c r="B1231"/>
      <c r="C1231"/>
    </row>
    <row r="1232" spans="2:3" x14ac:dyDescent="0.3">
      <c r="B1232"/>
      <c r="C1232"/>
    </row>
    <row r="1233" spans="2:3" x14ac:dyDescent="0.3">
      <c r="B1233"/>
      <c r="C1233"/>
    </row>
    <row r="1234" spans="2:3" x14ac:dyDescent="0.3">
      <c r="B1234"/>
      <c r="C1234"/>
    </row>
    <row r="1235" spans="2:3" x14ac:dyDescent="0.3">
      <c r="B1235"/>
      <c r="C1235"/>
    </row>
    <row r="1236" spans="2:3" x14ac:dyDescent="0.3">
      <c r="B1236"/>
      <c r="C1236"/>
    </row>
    <row r="1237" spans="2:3" x14ac:dyDescent="0.3">
      <c r="B1237"/>
      <c r="C1237"/>
    </row>
    <row r="1238" spans="2:3" x14ac:dyDescent="0.3">
      <c r="B1238"/>
      <c r="C1238"/>
    </row>
    <row r="1239" spans="2:3" x14ac:dyDescent="0.3">
      <c r="B1239"/>
      <c r="C1239"/>
    </row>
    <row r="1240" spans="2:3" x14ac:dyDescent="0.3">
      <c r="B1240"/>
      <c r="C1240"/>
    </row>
    <row r="1241" spans="2:3" x14ac:dyDescent="0.3">
      <c r="B1241"/>
      <c r="C1241"/>
    </row>
    <row r="1242" spans="2:3" x14ac:dyDescent="0.3">
      <c r="B1242"/>
      <c r="C1242"/>
    </row>
    <row r="1243" spans="2:3" x14ac:dyDescent="0.3">
      <c r="B1243"/>
      <c r="C1243"/>
    </row>
    <row r="1244" spans="2:3" x14ac:dyDescent="0.3">
      <c r="B1244"/>
      <c r="C1244"/>
    </row>
    <row r="1245" spans="2:3" x14ac:dyDescent="0.3">
      <c r="B1245"/>
      <c r="C1245"/>
    </row>
    <row r="1246" spans="2:3" x14ac:dyDescent="0.3">
      <c r="B1246"/>
      <c r="C1246"/>
    </row>
    <row r="1247" spans="2:3" x14ac:dyDescent="0.3">
      <c r="B1247"/>
      <c r="C1247"/>
    </row>
    <row r="1248" spans="2:3" x14ac:dyDescent="0.3">
      <c r="B1248"/>
      <c r="C1248"/>
    </row>
    <row r="1249" spans="2:3" x14ac:dyDescent="0.3">
      <c r="B1249"/>
      <c r="C1249"/>
    </row>
    <row r="1250" spans="2:3" x14ac:dyDescent="0.3">
      <c r="B1250"/>
      <c r="C1250"/>
    </row>
    <row r="1251" spans="2:3" x14ac:dyDescent="0.3">
      <c r="B1251"/>
      <c r="C1251"/>
    </row>
    <row r="1252" spans="2:3" x14ac:dyDescent="0.3">
      <c r="B1252"/>
      <c r="C1252"/>
    </row>
    <row r="1253" spans="2:3" x14ac:dyDescent="0.3">
      <c r="B1253"/>
      <c r="C1253"/>
    </row>
    <row r="1254" spans="2:3" x14ac:dyDescent="0.3">
      <c r="B1254"/>
      <c r="C1254"/>
    </row>
    <row r="1255" spans="2:3" x14ac:dyDescent="0.3">
      <c r="B1255"/>
      <c r="C1255"/>
    </row>
    <row r="1256" spans="2:3" x14ac:dyDescent="0.3">
      <c r="B1256"/>
      <c r="C1256"/>
    </row>
    <row r="1257" spans="2:3" x14ac:dyDescent="0.3">
      <c r="B1257"/>
      <c r="C1257"/>
    </row>
    <row r="1258" spans="2:3" x14ac:dyDescent="0.3">
      <c r="B1258"/>
      <c r="C1258"/>
    </row>
    <row r="1259" spans="2:3" x14ac:dyDescent="0.3">
      <c r="B1259"/>
      <c r="C1259"/>
    </row>
    <row r="1260" spans="2:3" x14ac:dyDescent="0.3">
      <c r="B1260"/>
      <c r="C1260"/>
    </row>
    <row r="1261" spans="2:3" x14ac:dyDescent="0.3">
      <c r="B1261"/>
      <c r="C1261"/>
    </row>
    <row r="1262" spans="2:3" x14ac:dyDescent="0.3">
      <c r="B1262"/>
      <c r="C1262"/>
    </row>
    <row r="1263" spans="2:3" x14ac:dyDescent="0.3">
      <c r="B1263"/>
      <c r="C1263"/>
    </row>
    <row r="1264" spans="2:3" x14ac:dyDescent="0.3">
      <c r="B1264"/>
      <c r="C1264"/>
    </row>
    <row r="1265" spans="2:3" x14ac:dyDescent="0.3">
      <c r="B1265"/>
      <c r="C1265"/>
    </row>
    <row r="1266" spans="2:3" x14ac:dyDescent="0.3">
      <c r="B1266"/>
      <c r="C1266"/>
    </row>
    <row r="1267" spans="2:3" x14ac:dyDescent="0.3">
      <c r="B1267"/>
      <c r="C1267"/>
    </row>
    <row r="1268" spans="2:3" x14ac:dyDescent="0.3">
      <c r="B1268"/>
      <c r="C1268"/>
    </row>
    <row r="1269" spans="2:3" x14ac:dyDescent="0.3">
      <c r="B1269"/>
      <c r="C1269"/>
    </row>
    <row r="1270" spans="2:3" x14ac:dyDescent="0.3">
      <c r="B1270"/>
      <c r="C1270"/>
    </row>
    <row r="1271" spans="2:3" x14ac:dyDescent="0.3">
      <c r="B1271"/>
      <c r="C1271"/>
    </row>
    <row r="1272" spans="2:3" x14ac:dyDescent="0.3">
      <c r="B1272"/>
      <c r="C1272"/>
    </row>
    <row r="1273" spans="2:3" x14ac:dyDescent="0.3">
      <c r="B1273"/>
      <c r="C1273"/>
    </row>
    <row r="1274" spans="2:3" x14ac:dyDescent="0.3">
      <c r="B1274"/>
      <c r="C1274"/>
    </row>
    <row r="1275" spans="2:3" x14ac:dyDescent="0.3">
      <c r="B1275"/>
      <c r="C1275"/>
    </row>
    <row r="1276" spans="2:3" x14ac:dyDescent="0.3">
      <c r="B1276"/>
      <c r="C1276"/>
    </row>
    <row r="1277" spans="2:3" x14ac:dyDescent="0.3">
      <c r="B1277"/>
      <c r="C1277"/>
    </row>
    <row r="1278" spans="2:3" x14ac:dyDescent="0.3">
      <c r="B1278"/>
      <c r="C1278"/>
    </row>
    <row r="1279" spans="2:3" x14ac:dyDescent="0.3">
      <c r="B1279"/>
      <c r="C1279"/>
    </row>
    <row r="1280" spans="2:3" x14ac:dyDescent="0.3">
      <c r="B1280"/>
      <c r="C1280"/>
    </row>
    <row r="1281" spans="2:3" x14ac:dyDescent="0.3">
      <c r="B1281"/>
      <c r="C1281"/>
    </row>
    <row r="1282" spans="2:3" x14ac:dyDescent="0.3">
      <c r="B1282"/>
      <c r="C1282"/>
    </row>
    <row r="1283" spans="2:3" x14ac:dyDescent="0.3">
      <c r="B1283"/>
      <c r="C1283"/>
    </row>
    <row r="1284" spans="2:3" x14ac:dyDescent="0.3">
      <c r="B1284"/>
      <c r="C1284"/>
    </row>
    <row r="1285" spans="2:3" x14ac:dyDescent="0.3">
      <c r="B1285"/>
      <c r="C1285"/>
    </row>
    <row r="1286" spans="2:3" x14ac:dyDescent="0.3">
      <c r="B1286"/>
      <c r="C1286"/>
    </row>
    <row r="1287" spans="2:3" x14ac:dyDescent="0.3">
      <c r="B1287"/>
      <c r="C1287"/>
    </row>
    <row r="1288" spans="2:3" x14ac:dyDescent="0.3">
      <c r="B1288"/>
      <c r="C1288"/>
    </row>
    <row r="1289" spans="2:3" x14ac:dyDescent="0.3">
      <c r="B1289"/>
      <c r="C1289"/>
    </row>
    <row r="1290" spans="2:3" x14ac:dyDescent="0.3">
      <c r="B1290"/>
      <c r="C1290"/>
    </row>
    <row r="1291" spans="2:3" x14ac:dyDescent="0.3">
      <c r="B1291"/>
      <c r="C1291"/>
    </row>
    <row r="1292" spans="2:3" x14ac:dyDescent="0.3">
      <c r="B1292"/>
      <c r="C1292"/>
    </row>
    <row r="1293" spans="2:3" x14ac:dyDescent="0.3">
      <c r="B1293"/>
      <c r="C1293"/>
    </row>
    <row r="1294" spans="2:3" x14ac:dyDescent="0.3">
      <c r="B1294"/>
      <c r="C1294"/>
    </row>
    <row r="1295" spans="2:3" x14ac:dyDescent="0.3">
      <c r="B1295"/>
      <c r="C1295"/>
    </row>
    <row r="1296" spans="2:3" x14ac:dyDescent="0.3">
      <c r="B1296"/>
      <c r="C1296"/>
    </row>
    <row r="1297" spans="2:3" x14ac:dyDescent="0.3">
      <c r="B1297"/>
      <c r="C1297"/>
    </row>
    <row r="1298" spans="2:3" x14ac:dyDescent="0.3">
      <c r="B1298"/>
      <c r="C1298"/>
    </row>
    <row r="1299" spans="2:3" x14ac:dyDescent="0.3">
      <c r="B1299"/>
      <c r="C1299"/>
    </row>
    <row r="1300" spans="2:3" x14ac:dyDescent="0.3">
      <c r="B1300"/>
      <c r="C1300"/>
    </row>
    <row r="1301" spans="2:3" x14ac:dyDescent="0.3">
      <c r="B1301"/>
      <c r="C1301"/>
    </row>
    <row r="1302" spans="2:3" x14ac:dyDescent="0.3">
      <c r="B1302"/>
      <c r="C1302"/>
    </row>
    <row r="1303" spans="2:3" x14ac:dyDescent="0.3">
      <c r="B1303"/>
      <c r="C1303"/>
    </row>
    <row r="1304" spans="2:3" x14ac:dyDescent="0.3">
      <c r="B1304"/>
      <c r="C1304"/>
    </row>
    <row r="1305" spans="2:3" x14ac:dyDescent="0.3">
      <c r="B1305"/>
      <c r="C1305"/>
    </row>
    <row r="1306" spans="2:3" x14ac:dyDescent="0.3">
      <c r="B1306"/>
      <c r="C1306"/>
    </row>
    <row r="1307" spans="2:3" x14ac:dyDescent="0.3">
      <c r="B1307"/>
      <c r="C1307"/>
    </row>
    <row r="1308" spans="2:3" x14ac:dyDescent="0.3">
      <c r="B1308"/>
      <c r="C1308"/>
    </row>
    <row r="1309" spans="2:3" x14ac:dyDescent="0.3">
      <c r="B1309"/>
      <c r="C1309"/>
    </row>
    <row r="1310" spans="2:3" x14ac:dyDescent="0.3">
      <c r="B1310"/>
      <c r="C1310"/>
    </row>
    <row r="1311" spans="2:3" x14ac:dyDescent="0.3">
      <c r="B1311"/>
      <c r="C1311"/>
    </row>
    <row r="1312" spans="2:3" x14ac:dyDescent="0.3">
      <c r="B1312"/>
      <c r="C1312"/>
    </row>
    <row r="1313" spans="2:3" x14ac:dyDescent="0.3">
      <c r="B1313"/>
      <c r="C1313"/>
    </row>
    <row r="1314" spans="2:3" x14ac:dyDescent="0.3">
      <c r="B1314"/>
      <c r="C1314"/>
    </row>
    <row r="1315" spans="2:3" x14ac:dyDescent="0.3">
      <c r="B1315"/>
      <c r="C1315"/>
    </row>
    <row r="1316" spans="2:3" x14ac:dyDescent="0.3">
      <c r="B1316"/>
      <c r="C1316"/>
    </row>
    <row r="1317" spans="2:3" x14ac:dyDescent="0.3">
      <c r="B1317"/>
      <c r="C1317"/>
    </row>
    <row r="1318" spans="2:3" x14ac:dyDescent="0.3">
      <c r="B1318"/>
      <c r="C1318"/>
    </row>
    <row r="1319" spans="2:3" x14ac:dyDescent="0.3">
      <c r="B1319"/>
      <c r="C1319"/>
    </row>
    <row r="1320" spans="2:3" x14ac:dyDescent="0.3">
      <c r="B1320"/>
      <c r="C1320"/>
    </row>
    <row r="1321" spans="2:3" x14ac:dyDescent="0.3">
      <c r="B1321"/>
      <c r="C1321"/>
    </row>
    <row r="1322" spans="2:3" x14ac:dyDescent="0.3">
      <c r="B1322"/>
      <c r="C1322"/>
    </row>
    <row r="1323" spans="2:3" x14ac:dyDescent="0.3">
      <c r="B1323"/>
      <c r="C1323"/>
    </row>
    <row r="1324" spans="2:3" x14ac:dyDescent="0.3">
      <c r="B1324"/>
      <c r="C1324"/>
    </row>
    <row r="1325" spans="2:3" x14ac:dyDescent="0.3">
      <c r="B1325"/>
      <c r="C1325"/>
    </row>
    <row r="1326" spans="2:3" x14ac:dyDescent="0.3">
      <c r="B1326"/>
      <c r="C1326"/>
    </row>
    <row r="1327" spans="2:3" x14ac:dyDescent="0.3">
      <c r="B1327"/>
      <c r="C1327"/>
    </row>
    <row r="1328" spans="2:3" x14ac:dyDescent="0.3">
      <c r="B1328"/>
      <c r="C1328"/>
    </row>
    <row r="1329" spans="2:3" x14ac:dyDescent="0.3">
      <c r="B1329"/>
      <c r="C1329"/>
    </row>
    <row r="1330" spans="2:3" x14ac:dyDescent="0.3">
      <c r="B1330"/>
      <c r="C1330"/>
    </row>
    <row r="1331" spans="2:3" x14ac:dyDescent="0.3">
      <c r="B1331"/>
      <c r="C1331"/>
    </row>
    <row r="1332" spans="2:3" x14ac:dyDescent="0.3">
      <c r="B1332"/>
      <c r="C1332"/>
    </row>
    <row r="1333" spans="2:3" x14ac:dyDescent="0.3">
      <c r="B1333"/>
      <c r="C1333"/>
    </row>
    <row r="1334" spans="2:3" x14ac:dyDescent="0.3">
      <c r="B1334"/>
      <c r="C1334"/>
    </row>
    <row r="1335" spans="2:3" x14ac:dyDescent="0.3">
      <c r="B1335"/>
      <c r="C1335"/>
    </row>
    <row r="1336" spans="2:3" x14ac:dyDescent="0.3">
      <c r="B1336"/>
      <c r="C1336"/>
    </row>
    <row r="1337" spans="2:3" x14ac:dyDescent="0.3">
      <c r="B1337"/>
      <c r="C1337"/>
    </row>
    <row r="1338" spans="2:3" x14ac:dyDescent="0.3">
      <c r="B1338"/>
      <c r="C1338"/>
    </row>
    <row r="1339" spans="2:3" x14ac:dyDescent="0.3">
      <c r="B1339"/>
      <c r="C1339"/>
    </row>
    <row r="1340" spans="2:3" x14ac:dyDescent="0.3">
      <c r="B1340"/>
      <c r="C1340"/>
    </row>
    <row r="1341" spans="2:3" x14ac:dyDescent="0.3">
      <c r="B1341"/>
      <c r="C1341"/>
    </row>
    <row r="1342" spans="2:3" x14ac:dyDescent="0.3">
      <c r="B1342"/>
      <c r="C1342"/>
    </row>
    <row r="1343" spans="2:3" x14ac:dyDescent="0.3">
      <c r="B1343"/>
      <c r="C1343"/>
    </row>
    <row r="1344" spans="2:3" x14ac:dyDescent="0.3">
      <c r="B1344"/>
      <c r="C1344"/>
    </row>
    <row r="1345" spans="2:3" x14ac:dyDescent="0.3">
      <c r="B1345"/>
      <c r="C1345"/>
    </row>
    <row r="1346" spans="2:3" x14ac:dyDescent="0.3">
      <c r="B1346"/>
      <c r="C1346"/>
    </row>
    <row r="1347" spans="2:3" x14ac:dyDescent="0.3">
      <c r="B1347"/>
      <c r="C1347"/>
    </row>
    <row r="1348" spans="2:3" x14ac:dyDescent="0.3">
      <c r="B1348"/>
      <c r="C1348"/>
    </row>
    <row r="1349" spans="2:3" x14ac:dyDescent="0.3">
      <c r="B1349"/>
      <c r="C1349"/>
    </row>
    <row r="1350" spans="2:3" x14ac:dyDescent="0.3">
      <c r="B1350"/>
      <c r="C1350"/>
    </row>
    <row r="1351" spans="2:3" x14ac:dyDescent="0.3">
      <c r="B1351"/>
      <c r="C1351"/>
    </row>
    <row r="1352" spans="2:3" x14ac:dyDescent="0.3">
      <c r="B1352"/>
      <c r="C1352"/>
    </row>
    <row r="1353" spans="2:3" x14ac:dyDescent="0.3">
      <c r="B1353"/>
      <c r="C1353"/>
    </row>
    <row r="1354" spans="2:3" x14ac:dyDescent="0.3">
      <c r="B1354"/>
      <c r="C1354"/>
    </row>
    <row r="1355" spans="2:3" x14ac:dyDescent="0.3">
      <c r="B1355"/>
      <c r="C1355"/>
    </row>
    <row r="1356" spans="2:3" x14ac:dyDescent="0.3">
      <c r="B1356"/>
      <c r="C1356"/>
    </row>
    <row r="1357" spans="2:3" x14ac:dyDescent="0.3">
      <c r="B1357"/>
      <c r="C1357"/>
    </row>
    <row r="1358" spans="2:3" x14ac:dyDescent="0.3">
      <c r="B1358"/>
      <c r="C1358"/>
    </row>
    <row r="1359" spans="2:3" x14ac:dyDescent="0.3">
      <c r="B1359"/>
      <c r="C1359"/>
    </row>
    <row r="1360" spans="2:3" x14ac:dyDescent="0.3">
      <c r="B1360"/>
      <c r="C1360"/>
    </row>
    <row r="1361" spans="2:3" x14ac:dyDescent="0.3">
      <c r="B1361"/>
      <c r="C1361"/>
    </row>
    <row r="1362" spans="2:3" x14ac:dyDescent="0.3">
      <c r="B1362"/>
      <c r="C1362"/>
    </row>
    <row r="1363" spans="2:3" x14ac:dyDescent="0.3">
      <c r="B1363"/>
      <c r="C1363"/>
    </row>
    <row r="1364" spans="2:3" x14ac:dyDescent="0.3">
      <c r="B1364"/>
      <c r="C1364"/>
    </row>
    <row r="1365" spans="2:3" x14ac:dyDescent="0.3">
      <c r="B1365"/>
      <c r="C1365"/>
    </row>
    <row r="1366" spans="2:3" x14ac:dyDescent="0.3">
      <c r="B1366"/>
      <c r="C1366"/>
    </row>
    <row r="1367" spans="2:3" x14ac:dyDescent="0.3">
      <c r="B1367"/>
      <c r="C1367"/>
    </row>
    <row r="1368" spans="2:3" x14ac:dyDescent="0.3">
      <c r="B1368"/>
      <c r="C1368"/>
    </row>
    <row r="1369" spans="2:3" x14ac:dyDescent="0.3">
      <c r="B1369"/>
      <c r="C1369"/>
    </row>
    <row r="1370" spans="2:3" x14ac:dyDescent="0.3">
      <c r="B1370"/>
      <c r="C1370"/>
    </row>
    <row r="1371" spans="2:3" x14ac:dyDescent="0.3">
      <c r="B1371"/>
      <c r="C1371"/>
    </row>
    <row r="1372" spans="2:3" x14ac:dyDescent="0.3">
      <c r="B1372"/>
      <c r="C1372"/>
    </row>
    <row r="1373" spans="2:3" x14ac:dyDescent="0.3">
      <c r="B1373"/>
      <c r="C1373"/>
    </row>
    <row r="1374" spans="2:3" x14ac:dyDescent="0.3">
      <c r="B1374"/>
      <c r="C1374"/>
    </row>
    <row r="1375" spans="2:3" x14ac:dyDescent="0.3">
      <c r="B1375"/>
      <c r="C1375"/>
    </row>
    <row r="1376" spans="2:3" x14ac:dyDescent="0.3">
      <c r="B1376"/>
      <c r="C1376"/>
    </row>
    <row r="1377" spans="2:3" x14ac:dyDescent="0.3">
      <c r="B1377"/>
      <c r="C1377"/>
    </row>
    <row r="1378" spans="2:3" x14ac:dyDescent="0.3">
      <c r="B1378"/>
      <c r="C1378"/>
    </row>
    <row r="1379" spans="2:3" x14ac:dyDescent="0.3">
      <c r="B1379"/>
      <c r="C1379"/>
    </row>
    <row r="1380" spans="2:3" x14ac:dyDescent="0.3">
      <c r="B1380"/>
      <c r="C1380"/>
    </row>
    <row r="1381" spans="2:3" x14ac:dyDescent="0.3">
      <c r="B1381"/>
      <c r="C1381"/>
    </row>
    <row r="1382" spans="2:3" x14ac:dyDescent="0.3">
      <c r="B1382"/>
      <c r="C1382"/>
    </row>
    <row r="1383" spans="2:3" x14ac:dyDescent="0.3">
      <c r="B1383"/>
      <c r="C1383"/>
    </row>
    <row r="1384" spans="2:3" x14ac:dyDescent="0.3">
      <c r="B1384"/>
      <c r="C1384"/>
    </row>
    <row r="1385" spans="2:3" x14ac:dyDescent="0.3">
      <c r="B1385"/>
      <c r="C1385"/>
    </row>
    <row r="1386" spans="2:3" x14ac:dyDescent="0.3">
      <c r="B1386"/>
      <c r="C1386"/>
    </row>
    <row r="1387" spans="2:3" x14ac:dyDescent="0.3">
      <c r="B1387"/>
      <c r="C1387"/>
    </row>
    <row r="1388" spans="2:3" x14ac:dyDescent="0.3">
      <c r="B1388"/>
      <c r="C1388"/>
    </row>
    <row r="1389" spans="2:3" x14ac:dyDescent="0.3">
      <c r="B1389"/>
      <c r="C1389"/>
    </row>
    <row r="1390" spans="2:3" x14ac:dyDescent="0.3">
      <c r="B1390"/>
      <c r="C1390"/>
    </row>
    <row r="1391" spans="2:3" x14ac:dyDescent="0.3">
      <c r="B1391"/>
      <c r="C1391"/>
    </row>
    <row r="1392" spans="2:3" x14ac:dyDescent="0.3">
      <c r="B1392"/>
      <c r="C1392"/>
    </row>
    <row r="1393" spans="2:3" x14ac:dyDescent="0.3">
      <c r="B1393"/>
      <c r="C1393"/>
    </row>
    <row r="1394" spans="2:3" x14ac:dyDescent="0.3">
      <c r="B1394"/>
      <c r="C1394"/>
    </row>
    <row r="1395" spans="2:3" x14ac:dyDescent="0.3">
      <c r="B1395"/>
      <c r="C1395"/>
    </row>
    <row r="1396" spans="2:3" x14ac:dyDescent="0.3">
      <c r="B1396"/>
      <c r="C1396"/>
    </row>
    <row r="1397" spans="2:3" x14ac:dyDescent="0.3">
      <c r="B1397"/>
      <c r="C1397"/>
    </row>
    <row r="1398" spans="2:3" x14ac:dyDescent="0.3">
      <c r="B1398"/>
      <c r="C1398"/>
    </row>
    <row r="1399" spans="2:3" x14ac:dyDescent="0.3">
      <c r="B1399"/>
      <c r="C1399"/>
    </row>
    <row r="1400" spans="2:3" x14ac:dyDescent="0.3">
      <c r="B1400"/>
      <c r="C1400"/>
    </row>
    <row r="1401" spans="2:3" x14ac:dyDescent="0.3">
      <c r="B1401"/>
      <c r="C1401"/>
    </row>
    <row r="1402" spans="2:3" x14ac:dyDescent="0.3">
      <c r="B1402"/>
      <c r="C1402"/>
    </row>
    <row r="1403" spans="2:3" x14ac:dyDescent="0.3">
      <c r="B1403"/>
      <c r="C1403"/>
    </row>
    <row r="1404" spans="2:3" x14ac:dyDescent="0.3">
      <c r="B1404"/>
      <c r="C1404"/>
    </row>
    <row r="1405" spans="2:3" x14ac:dyDescent="0.3">
      <c r="B1405"/>
      <c r="C1405"/>
    </row>
    <row r="1406" spans="2:3" x14ac:dyDescent="0.3">
      <c r="B1406"/>
      <c r="C1406"/>
    </row>
    <row r="1407" spans="2:3" x14ac:dyDescent="0.3">
      <c r="B1407"/>
      <c r="C1407"/>
    </row>
    <row r="1408" spans="2:3" x14ac:dyDescent="0.3">
      <c r="B1408"/>
      <c r="C1408"/>
    </row>
    <row r="1409" spans="2:3" x14ac:dyDescent="0.3">
      <c r="B1409"/>
      <c r="C1409"/>
    </row>
    <row r="1410" spans="2:3" x14ac:dyDescent="0.3">
      <c r="B1410"/>
      <c r="C1410"/>
    </row>
    <row r="1411" spans="2:3" x14ac:dyDescent="0.3">
      <c r="B1411"/>
      <c r="C1411"/>
    </row>
    <row r="1412" spans="2:3" x14ac:dyDescent="0.3">
      <c r="B1412"/>
      <c r="C1412"/>
    </row>
    <row r="1413" spans="2:3" x14ac:dyDescent="0.3">
      <c r="B1413"/>
      <c r="C1413"/>
    </row>
    <row r="1414" spans="2:3" x14ac:dyDescent="0.3">
      <c r="B1414"/>
      <c r="C1414"/>
    </row>
    <row r="1415" spans="2:3" x14ac:dyDescent="0.3">
      <c r="B1415"/>
      <c r="C1415"/>
    </row>
    <row r="1416" spans="2:3" x14ac:dyDescent="0.3">
      <c r="B1416"/>
      <c r="C1416"/>
    </row>
    <row r="1417" spans="2:3" x14ac:dyDescent="0.3">
      <c r="B1417"/>
      <c r="C1417"/>
    </row>
    <row r="1418" spans="2:3" x14ac:dyDescent="0.3">
      <c r="B1418"/>
      <c r="C1418"/>
    </row>
    <row r="1419" spans="2:3" x14ac:dyDescent="0.3">
      <c r="B1419"/>
      <c r="C1419"/>
    </row>
    <row r="1420" spans="2:3" x14ac:dyDescent="0.3">
      <c r="B1420"/>
      <c r="C1420"/>
    </row>
    <row r="1421" spans="2:3" x14ac:dyDescent="0.3">
      <c r="B1421"/>
      <c r="C1421"/>
    </row>
    <row r="1422" spans="2:3" x14ac:dyDescent="0.3">
      <c r="B1422"/>
      <c r="C1422"/>
    </row>
    <row r="1423" spans="2:3" x14ac:dyDescent="0.3">
      <c r="B1423"/>
      <c r="C1423"/>
    </row>
    <row r="1424" spans="2:3" x14ac:dyDescent="0.3">
      <c r="B1424"/>
      <c r="C1424"/>
    </row>
    <row r="1425" spans="2:3" x14ac:dyDescent="0.3">
      <c r="B1425"/>
      <c r="C1425"/>
    </row>
    <row r="1426" spans="2:3" x14ac:dyDescent="0.3">
      <c r="B1426"/>
      <c r="C1426"/>
    </row>
    <row r="1427" spans="2:3" x14ac:dyDescent="0.3">
      <c r="B1427"/>
      <c r="C1427"/>
    </row>
    <row r="1428" spans="2:3" x14ac:dyDescent="0.3">
      <c r="B1428"/>
      <c r="C1428"/>
    </row>
    <row r="1429" spans="2:3" x14ac:dyDescent="0.3">
      <c r="B1429"/>
      <c r="C1429"/>
    </row>
    <row r="1430" spans="2:3" x14ac:dyDescent="0.3">
      <c r="B1430"/>
      <c r="C1430"/>
    </row>
    <row r="1431" spans="2:3" x14ac:dyDescent="0.3">
      <c r="B1431"/>
      <c r="C1431"/>
    </row>
    <row r="1432" spans="2:3" x14ac:dyDescent="0.3">
      <c r="B1432"/>
      <c r="C1432"/>
    </row>
    <row r="1433" spans="2:3" x14ac:dyDescent="0.3">
      <c r="B1433"/>
      <c r="C1433"/>
    </row>
    <row r="1434" spans="2:3" x14ac:dyDescent="0.3">
      <c r="B1434"/>
      <c r="C1434"/>
    </row>
    <row r="1435" spans="2:3" x14ac:dyDescent="0.3">
      <c r="B1435"/>
      <c r="C1435"/>
    </row>
    <row r="1436" spans="2:3" x14ac:dyDescent="0.3">
      <c r="B1436"/>
      <c r="C1436"/>
    </row>
    <row r="1437" spans="2:3" x14ac:dyDescent="0.3">
      <c r="B1437"/>
      <c r="C1437"/>
    </row>
    <row r="1438" spans="2:3" x14ac:dyDescent="0.3">
      <c r="B1438"/>
      <c r="C1438"/>
    </row>
    <row r="1439" spans="2:3" x14ac:dyDescent="0.3">
      <c r="B1439"/>
      <c r="C1439"/>
    </row>
    <row r="1440" spans="2:3" x14ac:dyDescent="0.3">
      <c r="B1440"/>
      <c r="C1440"/>
    </row>
    <row r="1441" spans="2:3" x14ac:dyDescent="0.3">
      <c r="B1441"/>
      <c r="C1441"/>
    </row>
    <row r="1442" spans="2:3" x14ac:dyDescent="0.3">
      <c r="B1442"/>
      <c r="C1442"/>
    </row>
    <row r="1443" spans="2:3" x14ac:dyDescent="0.3">
      <c r="B1443"/>
      <c r="C1443"/>
    </row>
    <row r="1444" spans="2:3" x14ac:dyDescent="0.3">
      <c r="B1444"/>
      <c r="C1444"/>
    </row>
    <row r="1445" spans="2:3" x14ac:dyDescent="0.3">
      <c r="B1445"/>
      <c r="C1445"/>
    </row>
    <row r="1446" spans="2:3" x14ac:dyDescent="0.3">
      <c r="B1446"/>
      <c r="C1446"/>
    </row>
    <row r="1447" spans="2:3" x14ac:dyDescent="0.3">
      <c r="B1447"/>
      <c r="C1447"/>
    </row>
    <row r="1448" spans="2:3" x14ac:dyDescent="0.3">
      <c r="B1448"/>
      <c r="C1448"/>
    </row>
    <row r="1449" spans="2:3" x14ac:dyDescent="0.3">
      <c r="B1449"/>
      <c r="C1449"/>
    </row>
    <row r="1450" spans="2:3" x14ac:dyDescent="0.3">
      <c r="B1450"/>
      <c r="C1450"/>
    </row>
    <row r="1451" spans="2:3" x14ac:dyDescent="0.3">
      <c r="B1451"/>
      <c r="C1451"/>
    </row>
    <row r="1452" spans="2:3" x14ac:dyDescent="0.3">
      <c r="B1452"/>
      <c r="C1452"/>
    </row>
    <row r="1453" spans="2:3" x14ac:dyDescent="0.3">
      <c r="B1453"/>
      <c r="C1453"/>
    </row>
    <row r="1454" spans="2:3" x14ac:dyDescent="0.3">
      <c r="B1454"/>
      <c r="C1454"/>
    </row>
    <row r="1455" spans="2:3" x14ac:dyDescent="0.3">
      <c r="B1455"/>
      <c r="C1455"/>
    </row>
    <row r="1456" spans="2:3" x14ac:dyDescent="0.3">
      <c r="B1456"/>
      <c r="C1456"/>
    </row>
    <row r="1457" spans="2:3" x14ac:dyDescent="0.3">
      <c r="B1457"/>
      <c r="C1457"/>
    </row>
    <row r="1458" spans="2:3" x14ac:dyDescent="0.3">
      <c r="B1458"/>
      <c r="C1458"/>
    </row>
    <row r="1459" spans="2:3" x14ac:dyDescent="0.3">
      <c r="B1459"/>
      <c r="C1459"/>
    </row>
    <row r="1460" spans="2:3" x14ac:dyDescent="0.3">
      <c r="B1460"/>
      <c r="C1460"/>
    </row>
    <row r="1461" spans="2:3" x14ac:dyDescent="0.3">
      <c r="B1461"/>
      <c r="C1461"/>
    </row>
    <row r="1462" spans="2:3" x14ac:dyDescent="0.3">
      <c r="B1462"/>
      <c r="C1462"/>
    </row>
    <row r="1463" spans="2:3" x14ac:dyDescent="0.3">
      <c r="B1463"/>
      <c r="C1463"/>
    </row>
    <row r="1464" spans="2:3" x14ac:dyDescent="0.3">
      <c r="B1464"/>
      <c r="C1464"/>
    </row>
    <row r="1465" spans="2:3" x14ac:dyDescent="0.3">
      <c r="B1465"/>
      <c r="C1465"/>
    </row>
    <row r="1466" spans="2:3" x14ac:dyDescent="0.3">
      <c r="B1466"/>
      <c r="C1466"/>
    </row>
    <row r="1467" spans="2:3" x14ac:dyDescent="0.3">
      <c r="B1467"/>
      <c r="C1467"/>
    </row>
    <row r="1468" spans="2:3" x14ac:dyDescent="0.3">
      <c r="B1468"/>
      <c r="C1468"/>
    </row>
    <row r="1469" spans="2:3" x14ac:dyDescent="0.3">
      <c r="B1469"/>
      <c r="C1469"/>
    </row>
    <row r="1470" spans="2:3" x14ac:dyDescent="0.3">
      <c r="B1470"/>
      <c r="C1470"/>
    </row>
    <row r="1471" spans="2:3" x14ac:dyDescent="0.3">
      <c r="B1471"/>
      <c r="C1471"/>
    </row>
    <row r="1472" spans="2:3" x14ac:dyDescent="0.3">
      <c r="B1472"/>
      <c r="C1472"/>
    </row>
    <row r="1473" spans="2:3" x14ac:dyDescent="0.3">
      <c r="B1473"/>
      <c r="C1473"/>
    </row>
    <row r="1474" spans="2:3" x14ac:dyDescent="0.3">
      <c r="B1474"/>
      <c r="C1474"/>
    </row>
    <row r="1475" spans="2:3" x14ac:dyDescent="0.3">
      <c r="B1475"/>
      <c r="C1475"/>
    </row>
    <row r="1476" spans="2:3" x14ac:dyDescent="0.3">
      <c r="B1476"/>
      <c r="C1476"/>
    </row>
    <row r="1477" spans="2:3" x14ac:dyDescent="0.3">
      <c r="B1477"/>
      <c r="C1477"/>
    </row>
    <row r="1478" spans="2:3" x14ac:dyDescent="0.3">
      <c r="B1478"/>
      <c r="C1478"/>
    </row>
    <row r="1479" spans="2:3" x14ac:dyDescent="0.3">
      <c r="B1479"/>
      <c r="C1479"/>
    </row>
    <row r="1480" spans="2:3" x14ac:dyDescent="0.3">
      <c r="B1480"/>
      <c r="C1480"/>
    </row>
    <row r="1481" spans="2:3" x14ac:dyDescent="0.3">
      <c r="B1481"/>
      <c r="C1481"/>
    </row>
    <row r="1482" spans="2:3" x14ac:dyDescent="0.3">
      <c r="B1482"/>
      <c r="C1482"/>
    </row>
    <row r="1483" spans="2:3" x14ac:dyDescent="0.3">
      <c r="B1483"/>
      <c r="C1483"/>
    </row>
    <row r="1484" spans="2:3" x14ac:dyDescent="0.3">
      <c r="B1484"/>
      <c r="C1484"/>
    </row>
    <row r="1485" spans="2:3" x14ac:dyDescent="0.3">
      <c r="B1485"/>
      <c r="C1485"/>
    </row>
    <row r="1486" spans="2:3" x14ac:dyDescent="0.3">
      <c r="B1486"/>
      <c r="C1486"/>
    </row>
    <row r="1487" spans="2:3" x14ac:dyDescent="0.3">
      <c r="B1487"/>
      <c r="C1487"/>
    </row>
    <row r="1488" spans="2:3" x14ac:dyDescent="0.3">
      <c r="B1488"/>
      <c r="C1488"/>
    </row>
    <row r="1489" spans="2:3" x14ac:dyDescent="0.3">
      <c r="B1489"/>
      <c r="C1489"/>
    </row>
    <row r="1490" spans="2:3" x14ac:dyDescent="0.3">
      <c r="B1490"/>
      <c r="C1490"/>
    </row>
    <row r="1491" spans="2:3" x14ac:dyDescent="0.3">
      <c r="B1491"/>
      <c r="C1491"/>
    </row>
    <row r="1492" spans="2:3" x14ac:dyDescent="0.3">
      <c r="B1492"/>
      <c r="C1492"/>
    </row>
    <row r="1493" spans="2:3" x14ac:dyDescent="0.3">
      <c r="B1493"/>
      <c r="C1493"/>
    </row>
    <row r="1494" spans="2:3" x14ac:dyDescent="0.3">
      <c r="B1494"/>
      <c r="C1494"/>
    </row>
    <row r="1495" spans="2:3" x14ac:dyDescent="0.3">
      <c r="B1495"/>
      <c r="C1495"/>
    </row>
    <row r="1496" spans="2:3" x14ac:dyDescent="0.3">
      <c r="B1496"/>
      <c r="C1496"/>
    </row>
    <row r="1497" spans="2:3" x14ac:dyDescent="0.3">
      <c r="B1497"/>
      <c r="C1497"/>
    </row>
    <row r="1498" spans="2:3" x14ac:dyDescent="0.3">
      <c r="B1498"/>
      <c r="C1498"/>
    </row>
    <row r="1499" spans="2:3" x14ac:dyDescent="0.3">
      <c r="B1499"/>
      <c r="C1499"/>
    </row>
    <row r="1500" spans="2:3" x14ac:dyDescent="0.3">
      <c r="B1500"/>
      <c r="C1500"/>
    </row>
    <row r="1501" spans="2:3" x14ac:dyDescent="0.3">
      <c r="B1501"/>
      <c r="C1501"/>
    </row>
    <row r="1502" spans="2:3" x14ac:dyDescent="0.3">
      <c r="B1502"/>
      <c r="C1502"/>
    </row>
    <row r="1503" spans="2:3" x14ac:dyDescent="0.3">
      <c r="B1503"/>
      <c r="C1503"/>
    </row>
    <row r="1504" spans="2:3" x14ac:dyDescent="0.3">
      <c r="B1504"/>
      <c r="C1504"/>
    </row>
    <row r="1505" spans="2:3" x14ac:dyDescent="0.3">
      <c r="B1505"/>
      <c r="C1505"/>
    </row>
    <row r="1506" spans="2:3" x14ac:dyDescent="0.3">
      <c r="B1506"/>
      <c r="C1506"/>
    </row>
    <row r="1507" spans="2:3" x14ac:dyDescent="0.3">
      <c r="B1507"/>
      <c r="C1507"/>
    </row>
    <row r="1508" spans="2:3" x14ac:dyDescent="0.3">
      <c r="B1508"/>
      <c r="C1508"/>
    </row>
    <row r="1509" spans="2:3" x14ac:dyDescent="0.3">
      <c r="B1509"/>
      <c r="C1509"/>
    </row>
    <row r="1510" spans="2:3" x14ac:dyDescent="0.3">
      <c r="B1510"/>
      <c r="C1510"/>
    </row>
    <row r="1511" spans="2:3" x14ac:dyDescent="0.3">
      <c r="B1511"/>
      <c r="C1511"/>
    </row>
    <row r="1512" spans="2:3" x14ac:dyDescent="0.3">
      <c r="B1512"/>
      <c r="C1512"/>
    </row>
    <row r="1513" spans="2:3" x14ac:dyDescent="0.3">
      <c r="B1513"/>
      <c r="C1513"/>
    </row>
    <row r="1514" spans="2:3" x14ac:dyDescent="0.3">
      <c r="B1514"/>
      <c r="C1514"/>
    </row>
    <row r="1515" spans="2:3" x14ac:dyDescent="0.3">
      <c r="B1515"/>
      <c r="C1515"/>
    </row>
    <row r="1516" spans="2:3" x14ac:dyDescent="0.3">
      <c r="B1516"/>
      <c r="C1516"/>
    </row>
    <row r="1517" spans="2:3" x14ac:dyDescent="0.3">
      <c r="B1517"/>
      <c r="C1517"/>
    </row>
    <row r="1518" spans="2:3" x14ac:dyDescent="0.3">
      <c r="B1518"/>
      <c r="C1518"/>
    </row>
    <row r="1519" spans="2:3" x14ac:dyDescent="0.3">
      <c r="B1519"/>
      <c r="C1519"/>
    </row>
    <row r="1520" spans="2:3" x14ac:dyDescent="0.3">
      <c r="B1520"/>
      <c r="C1520"/>
    </row>
    <row r="1521" spans="2:3" x14ac:dyDescent="0.3">
      <c r="B1521"/>
      <c r="C1521"/>
    </row>
    <row r="1522" spans="2:3" x14ac:dyDescent="0.3">
      <c r="B1522"/>
      <c r="C1522"/>
    </row>
    <row r="1523" spans="2:3" x14ac:dyDescent="0.3">
      <c r="B1523"/>
      <c r="C1523"/>
    </row>
    <row r="1524" spans="2:3" x14ac:dyDescent="0.3">
      <c r="B1524"/>
      <c r="C1524"/>
    </row>
    <row r="1525" spans="2:3" x14ac:dyDescent="0.3">
      <c r="B1525"/>
      <c r="C1525"/>
    </row>
    <row r="1526" spans="2:3" x14ac:dyDescent="0.3">
      <c r="B1526"/>
      <c r="C1526"/>
    </row>
    <row r="1527" spans="2:3" x14ac:dyDescent="0.3">
      <c r="B1527"/>
      <c r="C1527"/>
    </row>
    <row r="1528" spans="2:3" x14ac:dyDescent="0.3">
      <c r="B1528"/>
      <c r="C1528"/>
    </row>
    <row r="1529" spans="2:3" x14ac:dyDescent="0.3">
      <c r="B1529"/>
      <c r="C1529"/>
    </row>
    <row r="1530" spans="2:3" x14ac:dyDescent="0.3">
      <c r="B1530"/>
      <c r="C1530"/>
    </row>
    <row r="1531" spans="2:3" x14ac:dyDescent="0.3">
      <c r="B1531"/>
      <c r="C1531"/>
    </row>
    <row r="1532" spans="2:3" x14ac:dyDescent="0.3">
      <c r="B1532"/>
      <c r="C1532"/>
    </row>
    <row r="1533" spans="2:3" x14ac:dyDescent="0.3">
      <c r="B1533"/>
      <c r="C1533"/>
    </row>
    <row r="1534" spans="2:3" x14ac:dyDescent="0.3">
      <c r="B1534"/>
      <c r="C1534"/>
    </row>
    <row r="1535" spans="2:3" x14ac:dyDescent="0.3">
      <c r="B1535"/>
      <c r="C1535"/>
    </row>
    <row r="1536" spans="2:3" x14ac:dyDescent="0.3">
      <c r="B1536"/>
      <c r="C1536"/>
    </row>
    <row r="1537" spans="2:3" x14ac:dyDescent="0.3">
      <c r="B1537"/>
      <c r="C1537"/>
    </row>
    <row r="1538" spans="2:3" x14ac:dyDescent="0.3">
      <c r="B1538"/>
      <c r="C1538"/>
    </row>
    <row r="1539" spans="2:3" x14ac:dyDescent="0.3">
      <c r="B1539"/>
      <c r="C1539"/>
    </row>
    <row r="1540" spans="2:3" x14ac:dyDescent="0.3">
      <c r="B1540"/>
      <c r="C1540"/>
    </row>
    <row r="1541" spans="2:3" x14ac:dyDescent="0.3">
      <c r="B1541"/>
      <c r="C1541"/>
    </row>
    <row r="1542" spans="2:3" x14ac:dyDescent="0.3">
      <c r="B1542"/>
      <c r="C1542"/>
    </row>
    <row r="1543" spans="2:3" x14ac:dyDescent="0.3">
      <c r="B1543"/>
      <c r="C1543"/>
    </row>
    <row r="1544" spans="2:3" x14ac:dyDescent="0.3">
      <c r="B1544"/>
      <c r="C1544"/>
    </row>
    <row r="1545" spans="2:3" x14ac:dyDescent="0.3">
      <c r="B1545"/>
      <c r="C1545"/>
    </row>
    <row r="1546" spans="2:3" x14ac:dyDescent="0.3">
      <c r="B1546"/>
      <c r="C1546"/>
    </row>
    <row r="1547" spans="2:3" x14ac:dyDescent="0.3">
      <c r="B1547"/>
      <c r="C1547"/>
    </row>
    <row r="1548" spans="2:3" x14ac:dyDescent="0.3">
      <c r="B1548"/>
      <c r="C1548"/>
    </row>
    <row r="1549" spans="2:3" x14ac:dyDescent="0.3">
      <c r="B1549"/>
      <c r="C1549"/>
    </row>
    <row r="1550" spans="2:3" x14ac:dyDescent="0.3">
      <c r="B1550"/>
      <c r="C1550"/>
    </row>
    <row r="1551" spans="2:3" x14ac:dyDescent="0.3">
      <c r="B1551"/>
      <c r="C1551"/>
    </row>
    <row r="1552" spans="2:3" x14ac:dyDescent="0.3">
      <c r="B1552"/>
      <c r="C1552"/>
    </row>
    <row r="1553" spans="2:3" x14ac:dyDescent="0.3">
      <c r="B1553"/>
      <c r="C1553"/>
    </row>
    <row r="1554" spans="2:3" x14ac:dyDescent="0.3">
      <c r="B1554"/>
      <c r="C1554"/>
    </row>
    <row r="1555" spans="2:3" x14ac:dyDescent="0.3">
      <c r="B1555"/>
      <c r="C1555"/>
    </row>
    <row r="1556" spans="2:3" x14ac:dyDescent="0.3">
      <c r="B1556"/>
      <c r="C1556"/>
    </row>
    <row r="1557" spans="2:3" x14ac:dyDescent="0.3">
      <c r="B1557"/>
      <c r="C1557"/>
    </row>
    <row r="1558" spans="2:3" x14ac:dyDescent="0.3">
      <c r="B1558"/>
      <c r="C1558"/>
    </row>
    <row r="1559" spans="2:3" x14ac:dyDescent="0.3">
      <c r="B1559"/>
      <c r="C1559"/>
    </row>
    <row r="1560" spans="2:3" x14ac:dyDescent="0.3">
      <c r="B1560"/>
      <c r="C1560"/>
    </row>
    <row r="1561" spans="2:3" x14ac:dyDescent="0.3">
      <c r="B1561"/>
      <c r="C1561"/>
    </row>
    <row r="1562" spans="2:3" x14ac:dyDescent="0.3">
      <c r="B1562"/>
      <c r="C1562"/>
    </row>
    <row r="1563" spans="2:3" x14ac:dyDescent="0.3">
      <c r="B1563"/>
      <c r="C1563"/>
    </row>
    <row r="1564" spans="2:3" x14ac:dyDescent="0.3">
      <c r="B1564"/>
      <c r="C1564"/>
    </row>
    <row r="1565" spans="2:3" x14ac:dyDescent="0.3">
      <c r="B1565"/>
      <c r="C1565"/>
    </row>
    <row r="1566" spans="2:3" x14ac:dyDescent="0.3">
      <c r="B1566"/>
      <c r="C1566"/>
    </row>
    <row r="1567" spans="2:3" x14ac:dyDescent="0.3">
      <c r="B1567"/>
      <c r="C1567"/>
    </row>
    <row r="1568" spans="2:3" x14ac:dyDescent="0.3">
      <c r="B1568"/>
      <c r="C1568"/>
    </row>
    <row r="1569" spans="2:3" x14ac:dyDescent="0.3">
      <c r="B1569"/>
      <c r="C1569"/>
    </row>
    <row r="1570" spans="2:3" x14ac:dyDescent="0.3">
      <c r="B1570"/>
      <c r="C1570"/>
    </row>
    <row r="1571" spans="2:3" x14ac:dyDescent="0.3">
      <c r="B1571"/>
      <c r="C1571"/>
    </row>
    <row r="1572" spans="2:3" x14ac:dyDescent="0.3">
      <c r="B1572"/>
      <c r="C1572"/>
    </row>
    <row r="1573" spans="2:3" x14ac:dyDescent="0.3">
      <c r="B1573"/>
      <c r="C1573"/>
    </row>
    <row r="1574" spans="2:3" x14ac:dyDescent="0.3">
      <c r="B1574"/>
      <c r="C1574"/>
    </row>
    <row r="1575" spans="2:3" x14ac:dyDescent="0.3">
      <c r="B1575"/>
      <c r="C1575"/>
    </row>
    <row r="1576" spans="2:3" x14ac:dyDescent="0.3">
      <c r="B1576"/>
      <c r="C1576"/>
    </row>
    <row r="1577" spans="2:3" x14ac:dyDescent="0.3">
      <c r="B1577"/>
      <c r="C1577"/>
    </row>
    <row r="1578" spans="2:3" x14ac:dyDescent="0.3">
      <c r="B1578"/>
      <c r="C1578"/>
    </row>
    <row r="1579" spans="2:3" x14ac:dyDescent="0.3">
      <c r="B1579"/>
      <c r="C1579"/>
    </row>
    <row r="1580" spans="2:3" x14ac:dyDescent="0.3">
      <c r="B1580"/>
      <c r="C1580"/>
    </row>
    <row r="1581" spans="2:3" x14ac:dyDescent="0.3">
      <c r="B1581"/>
      <c r="C1581"/>
    </row>
    <row r="1582" spans="2:3" x14ac:dyDescent="0.3">
      <c r="B1582"/>
      <c r="C1582"/>
    </row>
    <row r="1583" spans="2:3" x14ac:dyDescent="0.3">
      <c r="B1583"/>
      <c r="C1583"/>
    </row>
    <row r="1584" spans="2:3" x14ac:dyDescent="0.3">
      <c r="B1584"/>
      <c r="C1584"/>
    </row>
    <row r="1585" spans="2:3" x14ac:dyDescent="0.3">
      <c r="B1585"/>
      <c r="C1585"/>
    </row>
    <row r="1586" spans="2:3" x14ac:dyDescent="0.3">
      <c r="B1586"/>
      <c r="C1586"/>
    </row>
    <row r="1587" spans="2:3" x14ac:dyDescent="0.3">
      <c r="B1587"/>
      <c r="C1587"/>
    </row>
    <row r="1588" spans="2:3" x14ac:dyDescent="0.3">
      <c r="B1588"/>
      <c r="C1588"/>
    </row>
    <row r="1589" spans="2:3" x14ac:dyDescent="0.3">
      <c r="B1589"/>
      <c r="C1589"/>
    </row>
    <row r="1590" spans="2:3" x14ac:dyDescent="0.3">
      <c r="B1590"/>
      <c r="C1590"/>
    </row>
    <row r="1591" spans="2:3" x14ac:dyDescent="0.3">
      <c r="B1591"/>
      <c r="C1591"/>
    </row>
    <row r="1592" spans="2:3" x14ac:dyDescent="0.3">
      <c r="B1592"/>
      <c r="C1592"/>
    </row>
    <row r="1593" spans="2:3" x14ac:dyDescent="0.3">
      <c r="B1593"/>
      <c r="C1593"/>
    </row>
    <row r="1594" spans="2:3" x14ac:dyDescent="0.3">
      <c r="B1594"/>
      <c r="C1594"/>
    </row>
    <row r="1595" spans="2:3" x14ac:dyDescent="0.3">
      <c r="B1595"/>
      <c r="C1595"/>
    </row>
    <row r="1596" spans="2:3" x14ac:dyDescent="0.3">
      <c r="B1596"/>
      <c r="C1596"/>
    </row>
    <row r="1597" spans="2:3" x14ac:dyDescent="0.3">
      <c r="B1597"/>
      <c r="C1597"/>
    </row>
    <row r="1598" spans="2:3" x14ac:dyDescent="0.3">
      <c r="B1598"/>
      <c r="C1598"/>
    </row>
    <row r="1599" spans="2:3" x14ac:dyDescent="0.3">
      <c r="B1599"/>
      <c r="C1599"/>
    </row>
    <row r="1600" spans="2:3" x14ac:dyDescent="0.3">
      <c r="B1600"/>
      <c r="C1600"/>
    </row>
    <row r="1601" spans="2:3" x14ac:dyDescent="0.3">
      <c r="B1601"/>
      <c r="C1601"/>
    </row>
    <row r="1602" spans="2:3" x14ac:dyDescent="0.3">
      <c r="B1602"/>
      <c r="C1602"/>
    </row>
    <row r="1603" spans="2:3" x14ac:dyDescent="0.3">
      <c r="B1603"/>
      <c r="C1603"/>
    </row>
    <row r="1604" spans="2:3" x14ac:dyDescent="0.3">
      <c r="B1604"/>
      <c r="C1604"/>
    </row>
    <row r="1605" spans="2:3" x14ac:dyDescent="0.3">
      <c r="B1605"/>
      <c r="C1605"/>
    </row>
    <row r="1606" spans="2:3" x14ac:dyDescent="0.3">
      <c r="B1606"/>
      <c r="C1606"/>
    </row>
    <row r="1607" spans="2:3" x14ac:dyDescent="0.3">
      <c r="B1607"/>
      <c r="C1607"/>
    </row>
    <row r="1608" spans="2:3" x14ac:dyDescent="0.3">
      <c r="B1608"/>
      <c r="C1608"/>
    </row>
    <row r="1609" spans="2:3" x14ac:dyDescent="0.3">
      <c r="B1609"/>
      <c r="C1609"/>
    </row>
    <row r="1610" spans="2:3" x14ac:dyDescent="0.3">
      <c r="B1610"/>
      <c r="C1610"/>
    </row>
    <row r="1611" spans="2:3" x14ac:dyDescent="0.3">
      <c r="B1611"/>
      <c r="C1611"/>
    </row>
    <row r="1612" spans="2:3" x14ac:dyDescent="0.3">
      <c r="B1612"/>
      <c r="C1612"/>
    </row>
    <row r="1613" spans="2:3" x14ac:dyDescent="0.3">
      <c r="B1613"/>
      <c r="C1613"/>
    </row>
    <row r="1614" spans="2:3" x14ac:dyDescent="0.3">
      <c r="B1614"/>
      <c r="C1614"/>
    </row>
    <row r="1615" spans="2:3" x14ac:dyDescent="0.3">
      <c r="B1615"/>
      <c r="C1615"/>
    </row>
    <row r="1616" spans="2:3" x14ac:dyDescent="0.3">
      <c r="B1616"/>
      <c r="C1616"/>
    </row>
    <row r="1617" spans="2:3" x14ac:dyDescent="0.3">
      <c r="B1617"/>
      <c r="C1617"/>
    </row>
    <row r="1618" spans="2:3" x14ac:dyDescent="0.3">
      <c r="B1618"/>
      <c r="C1618"/>
    </row>
    <row r="1619" spans="2:3" x14ac:dyDescent="0.3">
      <c r="B1619"/>
      <c r="C1619"/>
    </row>
    <row r="1620" spans="2:3" x14ac:dyDescent="0.3">
      <c r="B1620"/>
      <c r="C1620"/>
    </row>
    <row r="1621" spans="2:3" x14ac:dyDescent="0.3">
      <c r="B1621"/>
      <c r="C1621"/>
    </row>
    <row r="1622" spans="2:3" x14ac:dyDescent="0.3">
      <c r="B1622"/>
      <c r="C1622"/>
    </row>
    <row r="1623" spans="2:3" x14ac:dyDescent="0.3">
      <c r="B1623"/>
      <c r="C1623"/>
    </row>
    <row r="1624" spans="2:3" x14ac:dyDescent="0.3">
      <c r="B1624"/>
      <c r="C1624"/>
    </row>
    <row r="1625" spans="2:3" x14ac:dyDescent="0.3">
      <c r="B1625"/>
      <c r="C1625"/>
    </row>
    <row r="1626" spans="2:3" x14ac:dyDescent="0.3">
      <c r="B1626"/>
      <c r="C1626"/>
    </row>
    <row r="1627" spans="2:3" x14ac:dyDescent="0.3">
      <c r="B1627"/>
      <c r="C1627"/>
    </row>
    <row r="1628" spans="2:3" x14ac:dyDescent="0.3">
      <c r="B1628"/>
      <c r="C1628"/>
    </row>
    <row r="1629" spans="2:3" x14ac:dyDescent="0.3">
      <c r="B1629"/>
      <c r="C1629"/>
    </row>
    <row r="1630" spans="2:3" x14ac:dyDescent="0.3">
      <c r="B1630"/>
      <c r="C1630"/>
    </row>
    <row r="1631" spans="2:3" x14ac:dyDescent="0.3">
      <c r="B1631"/>
      <c r="C1631"/>
    </row>
    <row r="1632" spans="2:3" x14ac:dyDescent="0.3">
      <c r="B1632"/>
      <c r="C1632"/>
    </row>
    <row r="1633" spans="2:3" x14ac:dyDescent="0.3">
      <c r="B1633"/>
      <c r="C1633"/>
    </row>
    <row r="1634" spans="2:3" x14ac:dyDescent="0.3">
      <c r="B1634"/>
      <c r="C1634"/>
    </row>
    <row r="1635" spans="2:3" x14ac:dyDescent="0.3">
      <c r="B1635"/>
      <c r="C1635"/>
    </row>
    <row r="1636" spans="2:3" x14ac:dyDescent="0.3">
      <c r="B1636"/>
      <c r="C1636"/>
    </row>
    <row r="1637" spans="2:3" x14ac:dyDescent="0.3">
      <c r="B1637"/>
      <c r="C1637"/>
    </row>
    <row r="1638" spans="2:3" x14ac:dyDescent="0.3">
      <c r="B1638"/>
      <c r="C1638"/>
    </row>
    <row r="1639" spans="2:3" x14ac:dyDescent="0.3">
      <c r="B1639"/>
      <c r="C1639"/>
    </row>
    <row r="1640" spans="2:3" x14ac:dyDescent="0.3">
      <c r="B1640"/>
      <c r="C1640"/>
    </row>
    <row r="1641" spans="2:3" x14ac:dyDescent="0.3">
      <c r="B1641"/>
      <c r="C1641"/>
    </row>
    <row r="1642" spans="2:3" x14ac:dyDescent="0.3">
      <c r="B1642"/>
      <c r="C1642"/>
    </row>
    <row r="1643" spans="2:3" x14ac:dyDescent="0.3">
      <c r="B1643"/>
      <c r="C1643"/>
    </row>
    <row r="1644" spans="2:3" x14ac:dyDescent="0.3">
      <c r="B1644"/>
      <c r="C1644"/>
    </row>
    <row r="1645" spans="2:3" x14ac:dyDescent="0.3">
      <c r="B1645"/>
      <c r="C1645"/>
    </row>
    <row r="1646" spans="2:3" x14ac:dyDescent="0.3">
      <c r="B1646"/>
      <c r="C1646"/>
    </row>
    <row r="1647" spans="2:3" x14ac:dyDescent="0.3">
      <c r="B1647"/>
      <c r="C1647"/>
    </row>
    <row r="1648" spans="2:3" x14ac:dyDescent="0.3">
      <c r="B1648"/>
      <c r="C1648"/>
    </row>
    <row r="1649" spans="2:3" x14ac:dyDescent="0.3">
      <c r="B1649"/>
      <c r="C1649"/>
    </row>
    <row r="1650" spans="2:3" x14ac:dyDescent="0.3">
      <c r="B1650"/>
      <c r="C1650"/>
    </row>
    <row r="1651" spans="2:3" x14ac:dyDescent="0.3">
      <c r="B1651"/>
      <c r="C1651"/>
    </row>
    <row r="1652" spans="2:3" x14ac:dyDescent="0.3">
      <c r="B1652"/>
      <c r="C1652"/>
    </row>
    <row r="1653" spans="2:3" x14ac:dyDescent="0.3">
      <c r="B1653"/>
      <c r="C1653"/>
    </row>
    <row r="1654" spans="2:3" x14ac:dyDescent="0.3">
      <c r="B1654"/>
      <c r="C1654"/>
    </row>
    <row r="1655" spans="2:3" x14ac:dyDescent="0.3">
      <c r="B1655"/>
      <c r="C1655"/>
    </row>
    <row r="1656" spans="2:3" x14ac:dyDescent="0.3">
      <c r="B1656"/>
      <c r="C1656"/>
    </row>
    <row r="1657" spans="2:3" x14ac:dyDescent="0.3">
      <c r="B1657"/>
      <c r="C1657"/>
    </row>
    <row r="1658" spans="2:3" x14ac:dyDescent="0.3">
      <c r="B1658"/>
      <c r="C1658"/>
    </row>
    <row r="1659" spans="2:3" x14ac:dyDescent="0.3">
      <c r="B1659"/>
      <c r="C1659"/>
    </row>
    <row r="1660" spans="2:3" x14ac:dyDescent="0.3">
      <c r="B1660"/>
      <c r="C1660"/>
    </row>
    <row r="1661" spans="2:3" x14ac:dyDescent="0.3">
      <c r="B1661"/>
      <c r="C1661"/>
    </row>
    <row r="1662" spans="2:3" x14ac:dyDescent="0.3">
      <c r="B1662"/>
      <c r="C1662"/>
    </row>
    <row r="1663" spans="2:3" x14ac:dyDescent="0.3">
      <c r="B1663"/>
      <c r="C1663"/>
    </row>
    <row r="1664" spans="2:3" x14ac:dyDescent="0.3">
      <c r="B1664"/>
      <c r="C1664"/>
    </row>
    <row r="1665" spans="2:3" x14ac:dyDescent="0.3">
      <c r="B1665"/>
      <c r="C1665"/>
    </row>
    <row r="1666" spans="2:3" x14ac:dyDescent="0.3">
      <c r="B1666"/>
      <c r="C1666"/>
    </row>
    <row r="1667" spans="2:3" x14ac:dyDescent="0.3">
      <c r="B1667"/>
      <c r="C1667"/>
    </row>
    <row r="1668" spans="2:3" x14ac:dyDescent="0.3">
      <c r="B1668"/>
      <c r="C1668"/>
    </row>
    <row r="1669" spans="2:3" x14ac:dyDescent="0.3">
      <c r="B1669"/>
      <c r="C1669"/>
    </row>
    <row r="1670" spans="2:3" x14ac:dyDescent="0.3">
      <c r="B1670"/>
      <c r="C1670"/>
    </row>
    <row r="1671" spans="2:3" x14ac:dyDescent="0.3">
      <c r="B1671"/>
      <c r="C1671"/>
    </row>
    <row r="1672" spans="2:3" x14ac:dyDescent="0.3">
      <c r="B1672"/>
      <c r="C1672"/>
    </row>
    <row r="1673" spans="2:3" x14ac:dyDescent="0.3">
      <c r="B1673"/>
      <c r="C1673"/>
    </row>
    <row r="1674" spans="2:3" x14ac:dyDescent="0.3">
      <c r="B1674"/>
      <c r="C1674"/>
    </row>
    <row r="1675" spans="2:3" x14ac:dyDescent="0.3">
      <c r="B1675"/>
      <c r="C1675"/>
    </row>
    <row r="1676" spans="2:3" x14ac:dyDescent="0.3">
      <c r="B1676"/>
      <c r="C1676"/>
    </row>
    <row r="1677" spans="2:3" x14ac:dyDescent="0.3">
      <c r="B1677"/>
      <c r="C1677"/>
    </row>
    <row r="1678" spans="2:3" x14ac:dyDescent="0.3">
      <c r="B1678"/>
      <c r="C1678"/>
    </row>
    <row r="1679" spans="2:3" x14ac:dyDescent="0.3">
      <c r="B1679"/>
      <c r="C1679"/>
    </row>
    <row r="1680" spans="2:3" x14ac:dyDescent="0.3">
      <c r="B1680"/>
      <c r="C1680"/>
    </row>
    <row r="1681" spans="2:3" x14ac:dyDescent="0.3">
      <c r="B1681"/>
      <c r="C1681"/>
    </row>
    <row r="1682" spans="2:3" x14ac:dyDescent="0.3">
      <c r="B1682"/>
      <c r="C1682"/>
    </row>
    <row r="1683" spans="2:3" x14ac:dyDescent="0.3">
      <c r="B1683"/>
      <c r="C1683"/>
    </row>
    <row r="1684" spans="2:3" x14ac:dyDescent="0.3">
      <c r="B1684"/>
      <c r="C1684"/>
    </row>
    <row r="1685" spans="2:3" x14ac:dyDescent="0.3">
      <c r="B1685"/>
      <c r="C1685"/>
    </row>
    <row r="1686" spans="2:3" x14ac:dyDescent="0.3">
      <c r="B1686"/>
      <c r="C1686"/>
    </row>
    <row r="1687" spans="2:3" x14ac:dyDescent="0.3">
      <c r="B1687"/>
      <c r="C1687"/>
    </row>
    <row r="1688" spans="2:3" x14ac:dyDescent="0.3">
      <c r="B1688"/>
      <c r="C1688"/>
    </row>
    <row r="1689" spans="2:3" x14ac:dyDescent="0.3">
      <c r="B1689"/>
      <c r="C1689"/>
    </row>
    <row r="1690" spans="2:3" x14ac:dyDescent="0.3">
      <c r="B1690"/>
      <c r="C1690"/>
    </row>
    <row r="1691" spans="2:3" x14ac:dyDescent="0.3">
      <c r="B1691"/>
      <c r="C1691"/>
    </row>
    <row r="1692" spans="2:3" x14ac:dyDescent="0.3">
      <c r="B1692"/>
      <c r="C1692"/>
    </row>
    <row r="1693" spans="2:3" x14ac:dyDescent="0.3">
      <c r="B1693"/>
      <c r="C1693"/>
    </row>
    <row r="1694" spans="2:3" x14ac:dyDescent="0.3">
      <c r="B1694"/>
      <c r="C1694"/>
    </row>
    <row r="1695" spans="2:3" x14ac:dyDescent="0.3">
      <c r="B1695"/>
      <c r="C1695"/>
    </row>
    <row r="1696" spans="2:3" x14ac:dyDescent="0.3">
      <c r="B1696"/>
      <c r="C1696"/>
    </row>
    <row r="1697" spans="2:3" x14ac:dyDescent="0.3">
      <c r="B1697"/>
      <c r="C1697"/>
    </row>
    <row r="1698" spans="2:3" x14ac:dyDescent="0.3">
      <c r="B1698"/>
      <c r="C1698"/>
    </row>
    <row r="1699" spans="2:3" x14ac:dyDescent="0.3">
      <c r="B1699"/>
      <c r="C1699"/>
    </row>
    <row r="1700" spans="2:3" x14ac:dyDescent="0.3">
      <c r="B1700"/>
      <c r="C1700"/>
    </row>
    <row r="1701" spans="2:3" x14ac:dyDescent="0.3">
      <c r="B1701"/>
      <c r="C1701"/>
    </row>
    <row r="1702" spans="2:3" x14ac:dyDescent="0.3">
      <c r="B1702"/>
      <c r="C1702"/>
    </row>
    <row r="1703" spans="2:3" x14ac:dyDescent="0.3">
      <c r="B1703"/>
      <c r="C1703"/>
    </row>
    <row r="1704" spans="2:3" x14ac:dyDescent="0.3">
      <c r="B1704"/>
      <c r="C1704"/>
    </row>
    <row r="1705" spans="2:3" x14ac:dyDescent="0.3">
      <c r="B1705"/>
      <c r="C1705"/>
    </row>
    <row r="1706" spans="2:3" x14ac:dyDescent="0.3">
      <c r="B1706"/>
      <c r="C1706"/>
    </row>
    <row r="1707" spans="2:3" x14ac:dyDescent="0.3">
      <c r="B1707"/>
      <c r="C1707"/>
    </row>
    <row r="1708" spans="2:3" x14ac:dyDescent="0.3">
      <c r="B1708"/>
      <c r="C1708"/>
    </row>
    <row r="1709" spans="2:3" x14ac:dyDescent="0.3">
      <c r="B1709"/>
      <c r="C1709"/>
    </row>
    <row r="1710" spans="2:3" x14ac:dyDescent="0.3">
      <c r="B1710"/>
      <c r="C1710"/>
    </row>
    <row r="1711" spans="2:3" x14ac:dyDescent="0.3">
      <c r="B1711"/>
      <c r="C1711"/>
    </row>
    <row r="1712" spans="2:3" x14ac:dyDescent="0.3">
      <c r="B1712"/>
      <c r="C1712"/>
    </row>
    <row r="1713" spans="2:3" x14ac:dyDescent="0.3">
      <c r="B1713"/>
      <c r="C1713"/>
    </row>
    <row r="1714" spans="2:3" x14ac:dyDescent="0.3">
      <c r="B1714"/>
      <c r="C1714"/>
    </row>
    <row r="1715" spans="2:3" x14ac:dyDescent="0.3">
      <c r="B1715"/>
      <c r="C1715"/>
    </row>
    <row r="1716" spans="2:3" x14ac:dyDescent="0.3">
      <c r="B1716"/>
      <c r="C1716"/>
    </row>
    <row r="1717" spans="2:3" x14ac:dyDescent="0.3">
      <c r="B1717"/>
      <c r="C1717"/>
    </row>
    <row r="1718" spans="2:3" x14ac:dyDescent="0.3">
      <c r="B1718"/>
      <c r="C1718"/>
    </row>
    <row r="1719" spans="2:3" x14ac:dyDescent="0.3">
      <c r="B1719"/>
      <c r="C1719"/>
    </row>
    <row r="1720" spans="2:3" x14ac:dyDescent="0.3">
      <c r="B1720"/>
      <c r="C1720"/>
    </row>
    <row r="1721" spans="2:3" x14ac:dyDescent="0.3">
      <c r="B1721"/>
      <c r="C1721"/>
    </row>
    <row r="1722" spans="2:3" x14ac:dyDescent="0.3">
      <c r="B1722"/>
      <c r="C1722"/>
    </row>
    <row r="1723" spans="2:3" x14ac:dyDescent="0.3">
      <c r="B1723"/>
      <c r="C1723"/>
    </row>
    <row r="1724" spans="2:3" x14ac:dyDescent="0.3">
      <c r="B1724"/>
      <c r="C1724"/>
    </row>
    <row r="1725" spans="2:3" x14ac:dyDescent="0.3">
      <c r="B1725"/>
      <c r="C1725"/>
    </row>
    <row r="1726" spans="2:3" x14ac:dyDescent="0.3">
      <c r="B1726"/>
      <c r="C1726"/>
    </row>
    <row r="1727" spans="2:3" x14ac:dyDescent="0.3">
      <c r="B1727"/>
      <c r="C1727"/>
    </row>
    <row r="1728" spans="2:3" x14ac:dyDescent="0.3">
      <c r="B1728"/>
      <c r="C1728"/>
    </row>
    <row r="1729" spans="2:3" x14ac:dyDescent="0.3">
      <c r="B1729"/>
      <c r="C1729"/>
    </row>
    <row r="1730" spans="2:3" x14ac:dyDescent="0.3">
      <c r="B1730"/>
      <c r="C1730"/>
    </row>
    <row r="1731" spans="2:3" x14ac:dyDescent="0.3">
      <c r="B1731"/>
      <c r="C1731"/>
    </row>
    <row r="1732" spans="2:3" x14ac:dyDescent="0.3">
      <c r="B1732"/>
      <c r="C1732"/>
    </row>
    <row r="1733" spans="2:3" x14ac:dyDescent="0.3">
      <c r="B1733"/>
      <c r="C1733"/>
    </row>
    <row r="1734" spans="2:3" x14ac:dyDescent="0.3">
      <c r="B1734"/>
      <c r="C1734"/>
    </row>
    <row r="1735" spans="2:3" x14ac:dyDescent="0.3">
      <c r="B1735"/>
      <c r="C1735"/>
    </row>
    <row r="1736" spans="2:3" x14ac:dyDescent="0.3">
      <c r="B1736"/>
      <c r="C1736"/>
    </row>
    <row r="1737" spans="2:3" x14ac:dyDescent="0.3">
      <c r="B1737"/>
      <c r="C1737"/>
    </row>
    <row r="1738" spans="2:3" x14ac:dyDescent="0.3">
      <c r="B1738"/>
      <c r="C1738"/>
    </row>
    <row r="1739" spans="2:3" x14ac:dyDescent="0.3">
      <c r="B1739"/>
      <c r="C1739"/>
    </row>
    <row r="1740" spans="2:3" x14ac:dyDescent="0.3">
      <c r="B1740"/>
      <c r="C1740"/>
    </row>
    <row r="1741" spans="2:3" x14ac:dyDescent="0.3">
      <c r="B1741"/>
      <c r="C1741"/>
    </row>
    <row r="1742" spans="2:3" x14ac:dyDescent="0.3">
      <c r="B1742"/>
      <c r="C1742"/>
    </row>
    <row r="1743" spans="2:3" x14ac:dyDescent="0.3">
      <c r="B1743"/>
      <c r="C1743"/>
    </row>
    <row r="1744" spans="2:3" x14ac:dyDescent="0.3">
      <c r="B1744"/>
      <c r="C1744"/>
    </row>
    <row r="1745" spans="2:3" x14ac:dyDescent="0.3">
      <c r="B1745"/>
      <c r="C1745"/>
    </row>
    <row r="1746" spans="2:3" x14ac:dyDescent="0.3">
      <c r="B1746"/>
      <c r="C1746"/>
    </row>
    <row r="1747" spans="2:3" x14ac:dyDescent="0.3">
      <c r="B1747"/>
      <c r="C1747"/>
    </row>
    <row r="1748" spans="2:3" x14ac:dyDescent="0.3">
      <c r="B1748"/>
      <c r="C1748"/>
    </row>
    <row r="1749" spans="2:3" x14ac:dyDescent="0.3">
      <c r="B1749"/>
      <c r="C1749"/>
    </row>
    <row r="1750" spans="2:3" x14ac:dyDescent="0.3">
      <c r="B1750"/>
      <c r="C1750"/>
    </row>
    <row r="1751" spans="2:3" x14ac:dyDescent="0.3">
      <c r="B1751"/>
      <c r="C1751"/>
    </row>
    <row r="1752" spans="2:3" x14ac:dyDescent="0.3">
      <c r="B1752"/>
      <c r="C1752"/>
    </row>
    <row r="1753" spans="2:3" x14ac:dyDescent="0.3">
      <c r="B1753"/>
      <c r="C1753"/>
    </row>
    <row r="1754" spans="2:3" x14ac:dyDescent="0.3">
      <c r="B1754"/>
      <c r="C1754"/>
    </row>
    <row r="1755" spans="2:3" x14ac:dyDescent="0.3">
      <c r="B1755"/>
      <c r="C1755"/>
    </row>
    <row r="1756" spans="2:3" x14ac:dyDescent="0.3">
      <c r="B1756"/>
      <c r="C1756"/>
    </row>
    <row r="1757" spans="2:3" x14ac:dyDescent="0.3">
      <c r="B1757"/>
      <c r="C1757"/>
    </row>
    <row r="1758" spans="2:3" x14ac:dyDescent="0.3">
      <c r="B1758"/>
      <c r="C1758"/>
    </row>
    <row r="1759" spans="2:3" x14ac:dyDescent="0.3">
      <c r="B1759"/>
      <c r="C1759"/>
    </row>
    <row r="1760" spans="2:3" x14ac:dyDescent="0.3">
      <c r="B1760"/>
      <c r="C1760"/>
    </row>
    <row r="1761" spans="2:3" x14ac:dyDescent="0.3">
      <c r="B1761"/>
      <c r="C1761"/>
    </row>
    <row r="1762" spans="2:3" x14ac:dyDescent="0.3">
      <c r="B1762"/>
      <c r="C1762"/>
    </row>
    <row r="1763" spans="2:3" x14ac:dyDescent="0.3">
      <c r="B1763"/>
      <c r="C1763"/>
    </row>
    <row r="1764" spans="2:3" x14ac:dyDescent="0.3">
      <c r="B1764"/>
      <c r="C1764"/>
    </row>
    <row r="1765" spans="2:3" x14ac:dyDescent="0.3">
      <c r="B1765"/>
      <c r="C1765"/>
    </row>
    <row r="1766" spans="2:3" x14ac:dyDescent="0.3">
      <c r="B1766"/>
      <c r="C1766"/>
    </row>
    <row r="1767" spans="2:3" x14ac:dyDescent="0.3">
      <c r="B1767"/>
      <c r="C1767"/>
    </row>
    <row r="1768" spans="2:3" x14ac:dyDescent="0.3">
      <c r="B1768"/>
      <c r="C1768"/>
    </row>
    <row r="1769" spans="2:3" x14ac:dyDescent="0.3">
      <c r="B1769"/>
      <c r="C1769"/>
    </row>
    <row r="1770" spans="2:3" x14ac:dyDescent="0.3">
      <c r="B1770"/>
      <c r="C1770"/>
    </row>
    <row r="1771" spans="2:3" x14ac:dyDescent="0.3">
      <c r="B1771"/>
      <c r="C1771"/>
    </row>
    <row r="1772" spans="2:3" x14ac:dyDescent="0.3">
      <c r="B1772"/>
      <c r="C1772"/>
    </row>
    <row r="1773" spans="2:3" x14ac:dyDescent="0.3">
      <c r="B1773"/>
      <c r="C1773"/>
    </row>
    <row r="1774" spans="2:3" x14ac:dyDescent="0.3">
      <c r="B1774"/>
      <c r="C1774"/>
    </row>
    <row r="1775" spans="2:3" x14ac:dyDescent="0.3">
      <c r="B1775"/>
      <c r="C1775"/>
    </row>
    <row r="1776" spans="2:3" x14ac:dyDescent="0.3">
      <c r="B1776"/>
      <c r="C1776"/>
    </row>
    <row r="1777" spans="2:3" x14ac:dyDescent="0.3">
      <c r="B1777"/>
      <c r="C1777"/>
    </row>
    <row r="1778" spans="2:3" x14ac:dyDescent="0.3">
      <c r="B1778"/>
      <c r="C1778"/>
    </row>
    <row r="1779" spans="2:3" x14ac:dyDescent="0.3">
      <c r="B1779"/>
      <c r="C1779"/>
    </row>
    <row r="1780" spans="2:3" x14ac:dyDescent="0.3">
      <c r="B1780"/>
      <c r="C1780"/>
    </row>
    <row r="1781" spans="2:3" x14ac:dyDescent="0.3">
      <c r="B1781"/>
      <c r="C1781"/>
    </row>
    <row r="1782" spans="2:3" x14ac:dyDescent="0.3">
      <c r="B1782"/>
      <c r="C1782"/>
    </row>
    <row r="1783" spans="2:3" x14ac:dyDescent="0.3">
      <c r="B1783"/>
      <c r="C1783"/>
    </row>
    <row r="1784" spans="2:3" x14ac:dyDescent="0.3">
      <c r="B1784"/>
      <c r="C1784"/>
    </row>
    <row r="1785" spans="2:3" x14ac:dyDescent="0.3">
      <c r="B1785"/>
      <c r="C1785"/>
    </row>
    <row r="1786" spans="2:3" x14ac:dyDescent="0.3">
      <c r="B1786"/>
      <c r="C1786"/>
    </row>
    <row r="1787" spans="2:3" x14ac:dyDescent="0.3">
      <c r="B1787"/>
      <c r="C1787"/>
    </row>
    <row r="1788" spans="2:3" x14ac:dyDescent="0.3">
      <c r="B1788"/>
      <c r="C1788"/>
    </row>
    <row r="1789" spans="2:3" x14ac:dyDescent="0.3">
      <c r="B1789"/>
      <c r="C1789"/>
    </row>
    <row r="1790" spans="2:3" x14ac:dyDescent="0.3">
      <c r="B1790"/>
      <c r="C1790"/>
    </row>
    <row r="1791" spans="2:3" x14ac:dyDescent="0.3">
      <c r="B1791"/>
      <c r="C1791"/>
    </row>
    <row r="1792" spans="2:3" x14ac:dyDescent="0.3">
      <c r="B1792"/>
      <c r="C1792"/>
    </row>
    <row r="1793" spans="2:3" x14ac:dyDescent="0.3">
      <c r="B1793"/>
      <c r="C1793"/>
    </row>
    <row r="1794" spans="2:3" x14ac:dyDescent="0.3">
      <c r="B1794"/>
      <c r="C1794"/>
    </row>
    <row r="1795" spans="2:3" x14ac:dyDescent="0.3">
      <c r="B1795"/>
      <c r="C1795"/>
    </row>
    <row r="1796" spans="2:3" x14ac:dyDescent="0.3">
      <c r="B1796"/>
      <c r="C1796"/>
    </row>
    <row r="1797" spans="2:3" x14ac:dyDescent="0.3">
      <c r="B1797"/>
      <c r="C1797"/>
    </row>
    <row r="1798" spans="2:3" x14ac:dyDescent="0.3">
      <c r="B1798"/>
      <c r="C1798"/>
    </row>
    <row r="1799" spans="2:3" x14ac:dyDescent="0.3">
      <c r="B1799"/>
      <c r="C1799"/>
    </row>
    <row r="1800" spans="2:3" x14ac:dyDescent="0.3">
      <c r="B1800"/>
      <c r="C1800"/>
    </row>
    <row r="1801" spans="2:3" x14ac:dyDescent="0.3">
      <c r="B1801"/>
      <c r="C1801"/>
    </row>
    <row r="1802" spans="2:3" x14ac:dyDescent="0.3">
      <c r="B1802"/>
      <c r="C1802"/>
    </row>
    <row r="1803" spans="2:3" x14ac:dyDescent="0.3">
      <c r="B1803"/>
      <c r="C1803"/>
    </row>
    <row r="1804" spans="2:3" x14ac:dyDescent="0.3">
      <c r="B1804"/>
      <c r="C1804"/>
    </row>
    <row r="1805" spans="2:3" x14ac:dyDescent="0.3">
      <c r="B1805"/>
      <c r="C1805"/>
    </row>
    <row r="1806" spans="2:3" x14ac:dyDescent="0.3">
      <c r="B1806"/>
      <c r="C1806"/>
    </row>
    <row r="1807" spans="2:3" x14ac:dyDescent="0.3">
      <c r="B1807"/>
      <c r="C1807"/>
    </row>
    <row r="1808" spans="2:3" x14ac:dyDescent="0.3">
      <c r="B1808"/>
      <c r="C1808"/>
    </row>
    <row r="1809" spans="2:3" x14ac:dyDescent="0.3">
      <c r="B1809"/>
      <c r="C1809"/>
    </row>
    <row r="1810" spans="2:3" x14ac:dyDescent="0.3">
      <c r="B1810"/>
      <c r="C1810"/>
    </row>
    <row r="1811" spans="2:3" x14ac:dyDescent="0.3">
      <c r="B1811"/>
      <c r="C1811"/>
    </row>
    <row r="1812" spans="2:3" x14ac:dyDescent="0.3">
      <c r="B1812"/>
      <c r="C1812"/>
    </row>
    <row r="1813" spans="2:3" x14ac:dyDescent="0.3">
      <c r="B1813"/>
      <c r="C1813"/>
    </row>
    <row r="1814" spans="2:3" x14ac:dyDescent="0.3">
      <c r="B1814"/>
      <c r="C1814"/>
    </row>
    <row r="1815" spans="2:3" x14ac:dyDescent="0.3">
      <c r="B1815"/>
      <c r="C1815"/>
    </row>
    <row r="1816" spans="2:3" x14ac:dyDescent="0.3">
      <c r="B1816"/>
      <c r="C1816"/>
    </row>
    <row r="1817" spans="2:3" x14ac:dyDescent="0.3">
      <c r="B1817"/>
      <c r="C1817"/>
    </row>
    <row r="1818" spans="2:3" x14ac:dyDescent="0.3">
      <c r="B1818"/>
      <c r="C1818"/>
    </row>
    <row r="1819" spans="2:3" x14ac:dyDescent="0.3">
      <c r="B1819"/>
      <c r="C1819"/>
    </row>
    <row r="1820" spans="2:3" x14ac:dyDescent="0.3">
      <c r="B1820"/>
      <c r="C1820"/>
    </row>
    <row r="1821" spans="2:3" x14ac:dyDescent="0.3">
      <c r="B1821"/>
      <c r="C1821"/>
    </row>
    <row r="1822" spans="2:3" x14ac:dyDescent="0.3">
      <c r="B1822"/>
      <c r="C1822"/>
    </row>
    <row r="1823" spans="2:3" x14ac:dyDescent="0.3">
      <c r="B1823"/>
      <c r="C1823"/>
    </row>
    <row r="1824" spans="2:3" x14ac:dyDescent="0.3">
      <c r="B1824"/>
      <c r="C1824"/>
    </row>
    <row r="1825" spans="2:3" x14ac:dyDescent="0.3">
      <c r="B1825"/>
      <c r="C1825"/>
    </row>
    <row r="1826" spans="2:3" x14ac:dyDescent="0.3">
      <c r="B1826"/>
      <c r="C1826"/>
    </row>
    <row r="1827" spans="2:3" x14ac:dyDescent="0.3">
      <c r="B1827"/>
      <c r="C1827"/>
    </row>
    <row r="1828" spans="2:3" x14ac:dyDescent="0.3">
      <c r="B1828"/>
      <c r="C1828"/>
    </row>
    <row r="1829" spans="2:3" x14ac:dyDescent="0.3">
      <c r="B1829"/>
      <c r="C1829"/>
    </row>
    <row r="1830" spans="2:3" x14ac:dyDescent="0.3">
      <c r="B1830"/>
      <c r="C1830"/>
    </row>
    <row r="1831" spans="2:3" x14ac:dyDescent="0.3">
      <c r="B1831"/>
      <c r="C1831"/>
    </row>
    <row r="1832" spans="2:3" x14ac:dyDescent="0.3">
      <c r="B1832"/>
      <c r="C1832"/>
    </row>
    <row r="1833" spans="2:3" x14ac:dyDescent="0.3">
      <c r="B1833"/>
      <c r="C1833"/>
    </row>
    <row r="1834" spans="2:3" x14ac:dyDescent="0.3">
      <c r="B1834"/>
      <c r="C1834"/>
    </row>
    <row r="1835" spans="2:3" x14ac:dyDescent="0.3">
      <c r="B1835"/>
      <c r="C1835"/>
    </row>
    <row r="1836" spans="2:3" x14ac:dyDescent="0.3">
      <c r="B1836"/>
      <c r="C1836"/>
    </row>
    <row r="1837" spans="2:3" x14ac:dyDescent="0.3">
      <c r="B1837"/>
      <c r="C1837"/>
    </row>
    <row r="1838" spans="2:3" x14ac:dyDescent="0.3">
      <c r="B1838"/>
      <c r="C1838"/>
    </row>
    <row r="1839" spans="2:3" x14ac:dyDescent="0.3">
      <c r="B1839"/>
      <c r="C1839"/>
    </row>
    <row r="1840" spans="2:3" x14ac:dyDescent="0.3">
      <c r="B1840"/>
      <c r="C1840"/>
    </row>
    <row r="1841" spans="2:3" x14ac:dyDescent="0.3">
      <c r="B1841"/>
      <c r="C1841"/>
    </row>
    <row r="1842" spans="2:3" x14ac:dyDescent="0.3">
      <c r="B1842"/>
      <c r="C1842"/>
    </row>
    <row r="1843" spans="2:3" x14ac:dyDescent="0.3">
      <c r="B1843"/>
      <c r="C1843"/>
    </row>
    <row r="1844" spans="2:3" x14ac:dyDescent="0.3">
      <c r="B1844"/>
      <c r="C1844"/>
    </row>
    <row r="1845" spans="2:3" x14ac:dyDescent="0.3">
      <c r="B1845"/>
      <c r="C1845"/>
    </row>
    <row r="1846" spans="2:3" x14ac:dyDescent="0.3">
      <c r="B1846"/>
      <c r="C1846"/>
    </row>
    <row r="1847" spans="2:3" x14ac:dyDescent="0.3">
      <c r="B1847"/>
      <c r="C1847"/>
    </row>
    <row r="1848" spans="2:3" x14ac:dyDescent="0.3">
      <c r="B1848"/>
      <c r="C1848"/>
    </row>
    <row r="1849" spans="2:3" x14ac:dyDescent="0.3">
      <c r="B1849"/>
      <c r="C1849"/>
    </row>
    <row r="1850" spans="2:3" x14ac:dyDescent="0.3">
      <c r="B1850"/>
      <c r="C1850"/>
    </row>
    <row r="1851" spans="2:3" x14ac:dyDescent="0.3">
      <c r="B1851"/>
      <c r="C1851"/>
    </row>
    <row r="1852" spans="2:3" x14ac:dyDescent="0.3">
      <c r="B1852"/>
      <c r="C1852"/>
    </row>
    <row r="1853" spans="2:3" x14ac:dyDescent="0.3">
      <c r="B1853"/>
      <c r="C1853"/>
    </row>
    <row r="1854" spans="2:3" x14ac:dyDescent="0.3">
      <c r="B1854"/>
      <c r="C1854"/>
    </row>
    <row r="1855" spans="2:3" x14ac:dyDescent="0.3">
      <c r="B1855"/>
      <c r="C1855"/>
    </row>
    <row r="1856" spans="2:3" x14ac:dyDescent="0.3">
      <c r="B1856"/>
      <c r="C1856"/>
    </row>
    <row r="1857" spans="2:3" x14ac:dyDescent="0.3">
      <c r="B1857"/>
      <c r="C1857"/>
    </row>
    <row r="1858" spans="2:3" x14ac:dyDescent="0.3">
      <c r="B1858"/>
      <c r="C1858"/>
    </row>
    <row r="1859" spans="2:3" x14ac:dyDescent="0.3">
      <c r="B1859"/>
      <c r="C1859"/>
    </row>
    <row r="1860" spans="2:3" x14ac:dyDescent="0.3">
      <c r="B1860"/>
      <c r="C1860"/>
    </row>
    <row r="1861" spans="2:3" x14ac:dyDescent="0.3">
      <c r="B1861"/>
      <c r="C1861"/>
    </row>
    <row r="1862" spans="2:3" x14ac:dyDescent="0.3">
      <c r="B1862"/>
      <c r="C1862"/>
    </row>
    <row r="1863" spans="2:3" x14ac:dyDescent="0.3">
      <c r="B1863"/>
      <c r="C1863"/>
    </row>
    <row r="1864" spans="2:3" x14ac:dyDescent="0.3">
      <c r="B1864"/>
      <c r="C1864"/>
    </row>
    <row r="1865" spans="2:3" x14ac:dyDescent="0.3">
      <c r="B1865"/>
      <c r="C1865"/>
    </row>
    <row r="1866" spans="2:3" x14ac:dyDescent="0.3">
      <c r="B1866"/>
      <c r="C1866"/>
    </row>
    <row r="1867" spans="2:3" x14ac:dyDescent="0.3">
      <c r="B1867"/>
      <c r="C1867"/>
    </row>
    <row r="1868" spans="2:3" x14ac:dyDescent="0.3">
      <c r="B1868"/>
      <c r="C1868"/>
    </row>
    <row r="1869" spans="2:3" x14ac:dyDescent="0.3">
      <c r="B1869"/>
      <c r="C1869"/>
    </row>
    <row r="1870" spans="2:3" x14ac:dyDescent="0.3">
      <c r="B1870"/>
      <c r="C1870"/>
    </row>
    <row r="1871" spans="2:3" x14ac:dyDescent="0.3">
      <c r="B1871"/>
      <c r="C1871"/>
    </row>
    <row r="1872" spans="2:3" x14ac:dyDescent="0.3">
      <c r="B1872"/>
      <c r="C1872"/>
    </row>
    <row r="1873" spans="2:3" x14ac:dyDescent="0.3">
      <c r="B1873"/>
      <c r="C1873"/>
    </row>
    <row r="1874" spans="2:3" x14ac:dyDescent="0.3">
      <c r="B1874"/>
      <c r="C1874"/>
    </row>
    <row r="1875" spans="2:3" x14ac:dyDescent="0.3">
      <c r="B1875"/>
      <c r="C1875"/>
    </row>
    <row r="1876" spans="2:3" x14ac:dyDescent="0.3">
      <c r="B1876"/>
      <c r="C1876"/>
    </row>
    <row r="1877" spans="2:3" x14ac:dyDescent="0.3">
      <c r="B1877"/>
      <c r="C1877"/>
    </row>
    <row r="1878" spans="2:3" x14ac:dyDescent="0.3">
      <c r="B1878"/>
      <c r="C1878"/>
    </row>
    <row r="1879" spans="2:3" x14ac:dyDescent="0.3">
      <c r="B1879"/>
      <c r="C1879"/>
    </row>
    <row r="1880" spans="2:3" x14ac:dyDescent="0.3">
      <c r="B1880"/>
      <c r="C1880"/>
    </row>
    <row r="1881" spans="2:3" x14ac:dyDescent="0.3">
      <c r="B1881"/>
      <c r="C1881"/>
    </row>
    <row r="1882" spans="2:3" x14ac:dyDescent="0.3">
      <c r="B1882"/>
      <c r="C1882"/>
    </row>
    <row r="1883" spans="2:3" x14ac:dyDescent="0.3">
      <c r="B1883"/>
      <c r="C1883"/>
    </row>
    <row r="1884" spans="2:3" x14ac:dyDescent="0.3">
      <c r="B1884"/>
      <c r="C1884"/>
    </row>
    <row r="1885" spans="2:3" x14ac:dyDescent="0.3">
      <c r="B1885"/>
      <c r="C1885"/>
    </row>
    <row r="1886" spans="2:3" x14ac:dyDescent="0.3">
      <c r="B1886"/>
      <c r="C1886"/>
    </row>
    <row r="1887" spans="2:3" x14ac:dyDescent="0.3">
      <c r="B1887"/>
      <c r="C1887"/>
    </row>
    <row r="1888" spans="2:3" x14ac:dyDescent="0.3">
      <c r="B1888"/>
      <c r="C1888"/>
    </row>
    <row r="1889" spans="2:3" x14ac:dyDescent="0.3">
      <c r="B1889"/>
      <c r="C1889"/>
    </row>
    <row r="1890" spans="2:3" x14ac:dyDescent="0.3">
      <c r="B1890"/>
      <c r="C1890"/>
    </row>
    <row r="1891" spans="2:3" x14ac:dyDescent="0.3">
      <c r="B1891"/>
      <c r="C1891"/>
    </row>
    <row r="1892" spans="2:3" x14ac:dyDescent="0.3">
      <c r="B1892"/>
      <c r="C1892"/>
    </row>
    <row r="1893" spans="2:3" x14ac:dyDescent="0.3">
      <c r="B1893"/>
      <c r="C1893"/>
    </row>
    <row r="1894" spans="2:3" x14ac:dyDescent="0.3">
      <c r="B1894"/>
      <c r="C1894"/>
    </row>
    <row r="1895" spans="2:3" x14ac:dyDescent="0.3">
      <c r="B1895"/>
      <c r="C1895"/>
    </row>
    <row r="1896" spans="2:3" x14ac:dyDescent="0.3">
      <c r="B1896"/>
      <c r="C1896"/>
    </row>
    <row r="1897" spans="2:3" x14ac:dyDescent="0.3">
      <c r="B1897"/>
      <c r="C1897"/>
    </row>
    <row r="1898" spans="2:3" x14ac:dyDescent="0.3">
      <c r="B1898"/>
      <c r="C1898"/>
    </row>
    <row r="1899" spans="2:3" x14ac:dyDescent="0.3">
      <c r="B1899"/>
      <c r="C1899"/>
    </row>
    <row r="1900" spans="2:3" x14ac:dyDescent="0.3">
      <c r="B1900"/>
      <c r="C1900"/>
    </row>
    <row r="1901" spans="2:3" x14ac:dyDescent="0.3">
      <c r="B1901"/>
      <c r="C1901"/>
    </row>
    <row r="1902" spans="2:3" x14ac:dyDescent="0.3">
      <c r="B1902"/>
      <c r="C1902"/>
    </row>
    <row r="1903" spans="2:3" x14ac:dyDescent="0.3">
      <c r="B1903"/>
      <c r="C1903"/>
    </row>
    <row r="1904" spans="2:3" x14ac:dyDescent="0.3">
      <c r="B1904"/>
      <c r="C1904"/>
    </row>
    <row r="1905" spans="2:3" x14ac:dyDescent="0.3">
      <c r="B1905"/>
      <c r="C1905"/>
    </row>
    <row r="1906" spans="2:3" x14ac:dyDescent="0.3">
      <c r="B1906"/>
      <c r="C1906"/>
    </row>
    <row r="1907" spans="2:3" x14ac:dyDescent="0.3">
      <c r="B1907"/>
      <c r="C1907"/>
    </row>
    <row r="1908" spans="2:3" x14ac:dyDescent="0.3">
      <c r="B1908"/>
      <c r="C1908"/>
    </row>
    <row r="1909" spans="2:3" x14ac:dyDescent="0.3">
      <c r="B1909"/>
      <c r="C1909"/>
    </row>
    <row r="1910" spans="2:3" x14ac:dyDescent="0.3">
      <c r="B1910"/>
      <c r="C1910"/>
    </row>
    <row r="1911" spans="2:3" x14ac:dyDescent="0.3">
      <c r="B1911"/>
      <c r="C1911"/>
    </row>
    <row r="1912" spans="2:3" x14ac:dyDescent="0.3">
      <c r="B1912"/>
      <c r="C1912"/>
    </row>
    <row r="1913" spans="2:3" x14ac:dyDescent="0.3">
      <c r="B1913"/>
      <c r="C1913"/>
    </row>
    <row r="1914" spans="2:3" x14ac:dyDescent="0.3">
      <c r="B1914"/>
      <c r="C1914"/>
    </row>
    <row r="1915" spans="2:3" x14ac:dyDescent="0.3">
      <c r="B1915"/>
      <c r="C1915"/>
    </row>
    <row r="1916" spans="2:3" x14ac:dyDescent="0.3">
      <c r="B1916"/>
      <c r="C1916"/>
    </row>
    <row r="1917" spans="2:3" x14ac:dyDescent="0.3">
      <c r="B1917"/>
      <c r="C1917"/>
    </row>
    <row r="1918" spans="2:3" x14ac:dyDescent="0.3">
      <c r="B1918"/>
      <c r="C1918"/>
    </row>
    <row r="1919" spans="2:3" x14ac:dyDescent="0.3">
      <c r="B1919"/>
      <c r="C1919"/>
    </row>
    <row r="1920" spans="2:3" x14ac:dyDescent="0.3">
      <c r="B1920"/>
      <c r="C1920"/>
    </row>
    <row r="1921" spans="2:3" x14ac:dyDescent="0.3">
      <c r="B1921"/>
      <c r="C1921"/>
    </row>
    <row r="1922" spans="2:3" x14ac:dyDescent="0.3">
      <c r="B1922"/>
      <c r="C1922"/>
    </row>
    <row r="1923" spans="2:3" x14ac:dyDescent="0.3">
      <c r="B1923"/>
      <c r="C1923"/>
    </row>
    <row r="1924" spans="2:3" x14ac:dyDescent="0.3">
      <c r="B1924"/>
      <c r="C1924"/>
    </row>
    <row r="1925" spans="2:3" x14ac:dyDescent="0.3">
      <c r="B1925"/>
      <c r="C1925"/>
    </row>
    <row r="1926" spans="2:3" x14ac:dyDescent="0.3">
      <c r="B1926"/>
      <c r="C1926"/>
    </row>
    <row r="1927" spans="2:3" x14ac:dyDescent="0.3">
      <c r="B1927"/>
      <c r="C1927"/>
    </row>
    <row r="1928" spans="2:3" x14ac:dyDescent="0.3">
      <c r="B1928"/>
      <c r="C1928"/>
    </row>
    <row r="1929" spans="2:3" x14ac:dyDescent="0.3">
      <c r="B1929"/>
      <c r="C1929"/>
    </row>
    <row r="1930" spans="2:3" x14ac:dyDescent="0.3">
      <c r="B1930"/>
      <c r="C1930"/>
    </row>
    <row r="1931" spans="2:3" x14ac:dyDescent="0.3">
      <c r="B1931"/>
      <c r="C1931"/>
    </row>
    <row r="1932" spans="2:3" x14ac:dyDescent="0.3">
      <c r="B1932"/>
      <c r="C1932"/>
    </row>
    <row r="1933" spans="2:3" x14ac:dyDescent="0.3">
      <c r="B1933"/>
      <c r="C1933"/>
    </row>
    <row r="1934" spans="2:3" x14ac:dyDescent="0.3">
      <c r="B1934"/>
      <c r="C1934"/>
    </row>
    <row r="1935" spans="2:3" x14ac:dyDescent="0.3">
      <c r="B1935"/>
      <c r="C1935"/>
    </row>
    <row r="1936" spans="2:3" x14ac:dyDescent="0.3">
      <c r="B1936"/>
      <c r="C1936"/>
    </row>
    <row r="1937" spans="2:3" x14ac:dyDescent="0.3">
      <c r="B1937"/>
      <c r="C1937"/>
    </row>
    <row r="1938" spans="2:3" x14ac:dyDescent="0.3">
      <c r="B1938"/>
      <c r="C1938"/>
    </row>
    <row r="1939" spans="2:3" x14ac:dyDescent="0.3">
      <c r="B1939"/>
      <c r="C1939"/>
    </row>
    <row r="1940" spans="2:3" x14ac:dyDescent="0.3">
      <c r="B1940"/>
      <c r="C1940"/>
    </row>
    <row r="1941" spans="2:3" x14ac:dyDescent="0.3">
      <c r="B1941"/>
      <c r="C1941"/>
    </row>
    <row r="1942" spans="2:3" x14ac:dyDescent="0.3">
      <c r="B1942"/>
      <c r="C1942"/>
    </row>
    <row r="1943" spans="2:3" x14ac:dyDescent="0.3">
      <c r="B1943"/>
      <c r="C1943"/>
    </row>
    <row r="1944" spans="2:3" x14ac:dyDescent="0.3">
      <c r="B1944"/>
      <c r="C1944"/>
    </row>
    <row r="1945" spans="2:3" x14ac:dyDescent="0.3">
      <c r="B1945"/>
      <c r="C1945"/>
    </row>
    <row r="1946" spans="2:3" x14ac:dyDescent="0.3">
      <c r="B1946"/>
      <c r="C1946"/>
    </row>
    <row r="1947" spans="2:3" x14ac:dyDescent="0.3">
      <c r="B1947"/>
      <c r="C1947"/>
    </row>
    <row r="1948" spans="2:3" x14ac:dyDescent="0.3">
      <c r="B1948"/>
      <c r="C1948"/>
    </row>
    <row r="1949" spans="2:3" x14ac:dyDescent="0.3">
      <c r="B1949"/>
      <c r="C1949"/>
    </row>
    <row r="1950" spans="2:3" x14ac:dyDescent="0.3">
      <c r="B1950"/>
      <c r="C1950"/>
    </row>
    <row r="1951" spans="2:3" x14ac:dyDescent="0.3">
      <c r="B1951"/>
      <c r="C1951"/>
    </row>
    <row r="1952" spans="2:3" x14ac:dyDescent="0.3">
      <c r="B1952"/>
      <c r="C1952"/>
    </row>
    <row r="1953" spans="2:3" x14ac:dyDescent="0.3">
      <c r="B1953"/>
      <c r="C1953"/>
    </row>
    <row r="1954" spans="2:3" x14ac:dyDescent="0.3">
      <c r="B1954"/>
      <c r="C1954"/>
    </row>
    <row r="1955" spans="2:3" x14ac:dyDescent="0.3">
      <c r="B1955"/>
      <c r="C1955"/>
    </row>
    <row r="1956" spans="2:3" x14ac:dyDescent="0.3">
      <c r="B1956"/>
      <c r="C1956"/>
    </row>
    <row r="1957" spans="2:3" x14ac:dyDescent="0.3">
      <c r="B1957"/>
      <c r="C1957"/>
    </row>
    <row r="1958" spans="2:3" x14ac:dyDescent="0.3">
      <c r="B1958"/>
      <c r="C1958"/>
    </row>
    <row r="1959" spans="2:3" x14ac:dyDescent="0.3">
      <c r="B1959"/>
      <c r="C1959"/>
    </row>
    <row r="1960" spans="2:3" x14ac:dyDescent="0.3">
      <c r="B1960"/>
      <c r="C1960"/>
    </row>
    <row r="1961" spans="2:3" x14ac:dyDescent="0.3">
      <c r="B1961"/>
      <c r="C1961"/>
    </row>
    <row r="1962" spans="2:3" x14ac:dyDescent="0.3">
      <c r="B1962"/>
      <c r="C1962"/>
    </row>
    <row r="1963" spans="2:3" x14ac:dyDescent="0.3">
      <c r="B1963"/>
      <c r="C1963"/>
    </row>
    <row r="1964" spans="2:3" x14ac:dyDescent="0.3">
      <c r="B1964"/>
      <c r="C1964"/>
    </row>
    <row r="1965" spans="2:3" x14ac:dyDescent="0.3">
      <c r="B1965"/>
      <c r="C1965"/>
    </row>
    <row r="1966" spans="2:3" x14ac:dyDescent="0.3">
      <c r="B1966"/>
      <c r="C1966"/>
    </row>
    <row r="1967" spans="2:3" x14ac:dyDescent="0.3">
      <c r="B1967"/>
      <c r="C1967"/>
    </row>
    <row r="1968" spans="2:3" x14ac:dyDescent="0.3">
      <c r="B1968"/>
      <c r="C1968"/>
    </row>
    <row r="1969" spans="2:3" x14ac:dyDescent="0.3">
      <c r="B1969"/>
      <c r="C1969"/>
    </row>
    <row r="1970" spans="2:3" x14ac:dyDescent="0.3">
      <c r="B1970"/>
      <c r="C1970"/>
    </row>
    <row r="1971" spans="2:3" x14ac:dyDescent="0.3">
      <c r="B1971"/>
      <c r="C1971"/>
    </row>
    <row r="1972" spans="2:3" x14ac:dyDescent="0.3">
      <c r="B1972"/>
      <c r="C1972"/>
    </row>
    <row r="1973" spans="2:3" x14ac:dyDescent="0.3">
      <c r="B1973"/>
      <c r="C1973"/>
    </row>
    <row r="1974" spans="2:3" x14ac:dyDescent="0.3">
      <c r="B1974"/>
      <c r="C1974"/>
    </row>
    <row r="1975" spans="2:3" x14ac:dyDescent="0.3">
      <c r="B1975"/>
      <c r="C1975"/>
    </row>
    <row r="1976" spans="2:3" x14ac:dyDescent="0.3">
      <c r="B1976"/>
      <c r="C1976"/>
    </row>
    <row r="1977" spans="2:3" x14ac:dyDescent="0.3">
      <c r="B1977"/>
      <c r="C1977"/>
    </row>
    <row r="1978" spans="2:3" x14ac:dyDescent="0.3">
      <c r="B1978"/>
      <c r="C1978"/>
    </row>
    <row r="1979" spans="2:3" x14ac:dyDescent="0.3">
      <c r="B1979"/>
      <c r="C1979"/>
    </row>
    <row r="1980" spans="2:3" x14ac:dyDescent="0.3">
      <c r="B1980"/>
      <c r="C1980"/>
    </row>
    <row r="1981" spans="2:3" x14ac:dyDescent="0.3">
      <c r="B1981"/>
      <c r="C1981"/>
    </row>
    <row r="1982" spans="2:3" x14ac:dyDescent="0.3">
      <c r="B1982"/>
      <c r="C1982"/>
    </row>
    <row r="1983" spans="2:3" x14ac:dyDescent="0.3">
      <c r="B1983"/>
      <c r="C1983"/>
    </row>
    <row r="1984" spans="2:3" x14ac:dyDescent="0.3">
      <c r="B1984"/>
      <c r="C1984"/>
    </row>
    <row r="1985" spans="2:3" x14ac:dyDescent="0.3">
      <c r="B1985"/>
      <c r="C1985"/>
    </row>
    <row r="1986" spans="2:3" x14ac:dyDescent="0.3">
      <c r="B1986"/>
      <c r="C1986"/>
    </row>
    <row r="1987" spans="2:3" x14ac:dyDescent="0.3">
      <c r="B1987"/>
      <c r="C1987"/>
    </row>
    <row r="1988" spans="2:3" x14ac:dyDescent="0.3">
      <c r="B1988"/>
      <c r="C1988"/>
    </row>
    <row r="1989" spans="2:3" x14ac:dyDescent="0.3">
      <c r="B1989"/>
      <c r="C1989"/>
    </row>
    <row r="1990" spans="2:3" x14ac:dyDescent="0.3">
      <c r="B1990"/>
      <c r="C1990"/>
    </row>
    <row r="1991" spans="2:3" x14ac:dyDescent="0.3">
      <c r="B1991"/>
      <c r="C1991"/>
    </row>
    <row r="1992" spans="2:3" x14ac:dyDescent="0.3">
      <c r="B1992"/>
      <c r="C1992"/>
    </row>
    <row r="1993" spans="2:3" x14ac:dyDescent="0.3">
      <c r="B1993"/>
      <c r="C1993"/>
    </row>
    <row r="1994" spans="2:3" x14ac:dyDescent="0.3">
      <c r="B1994"/>
      <c r="C1994"/>
    </row>
    <row r="1995" spans="2:3" x14ac:dyDescent="0.3">
      <c r="B1995"/>
      <c r="C1995"/>
    </row>
    <row r="1996" spans="2:3" x14ac:dyDescent="0.3">
      <c r="B1996"/>
      <c r="C1996"/>
    </row>
    <row r="1997" spans="2:3" x14ac:dyDescent="0.3">
      <c r="B1997"/>
      <c r="C1997"/>
    </row>
    <row r="1998" spans="2:3" x14ac:dyDescent="0.3">
      <c r="B1998"/>
      <c r="C1998"/>
    </row>
    <row r="1999" spans="2:3" x14ac:dyDescent="0.3">
      <c r="B1999"/>
      <c r="C1999"/>
    </row>
    <row r="2000" spans="2:3" x14ac:dyDescent="0.3">
      <c r="B2000"/>
      <c r="C2000"/>
    </row>
    <row r="2001" spans="2:3" x14ac:dyDescent="0.3">
      <c r="B2001"/>
      <c r="C2001"/>
    </row>
    <row r="2002" spans="2:3" x14ac:dyDescent="0.3">
      <c r="B2002"/>
      <c r="C2002"/>
    </row>
    <row r="2003" spans="2:3" x14ac:dyDescent="0.3">
      <c r="B2003"/>
      <c r="C2003"/>
    </row>
    <row r="2004" spans="2:3" x14ac:dyDescent="0.3">
      <c r="B2004"/>
      <c r="C2004"/>
    </row>
    <row r="2005" spans="2:3" x14ac:dyDescent="0.3">
      <c r="B2005"/>
      <c r="C2005"/>
    </row>
    <row r="2006" spans="2:3" x14ac:dyDescent="0.3">
      <c r="B2006"/>
      <c r="C2006"/>
    </row>
    <row r="2007" spans="2:3" x14ac:dyDescent="0.3">
      <c r="B2007"/>
      <c r="C2007"/>
    </row>
    <row r="2008" spans="2:3" x14ac:dyDescent="0.3">
      <c r="B2008"/>
      <c r="C2008"/>
    </row>
    <row r="2009" spans="2:3" x14ac:dyDescent="0.3">
      <c r="B2009"/>
      <c r="C2009"/>
    </row>
    <row r="2010" spans="2:3" x14ac:dyDescent="0.3">
      <c r="B2010"/>
      <c r="C2010"/>
    </row>
    <row r="2011" spans="2:3" x14ac:dyDescent="0.3">
      <c r="B2011"/>
      <c r="C2011"/>
    </row>
    <row r="2012" spans="2:3" x14ac:dyDescent="0.3">
      <c r="B2012"/>
      <c r="C2012"/>
    </row>
    <row r="2013" spans="2:3" x14ac:dyDescent="0.3">
      <c r="B2013"/>
      <c r="C2013"/>
    </row>
    <row r="2014" spans="2:3" x14ac:dyDescent="0.3">
      <c r="B2014"/>
      <c r="C2014"/>
    </row>
    <row r="2015" spans="2:3" x14ac:dyDescent="0.3">
      <c r="B2015"/>
      <c r="C2015"/>
    </row>
    <row r="2016" spans="2:3" x14ac:dyDescent="0.3">
      <c r="B2016"/>
      <c r="C2016"/>
    </row>
    <row r="2017" spans="2:3" x14ac:dyDescent="0.3">
      <c r="B2017"/>
      <c r="C2017"/>
    </row>
    <row r="2018" spans="2:3" x14ac:dyDescent="0.3">
      <c r="B2018"/>
      <c r="C2018"/>
    </row>
    <row r="2019" spans="2:3" x14ac:dyDescent="0.3">
      <c r="B2019"/>
      <c r="C2019"/>
    </row>
    <row r="2020" spans="2:3" x14ac:dyDescent="0.3">
      <c r="B2020"/>
      <c r="C2020"/>
    </row>
    <row r="2021" spans="2:3" x14ac:dyDescent="0.3">
      <c r="B2021"/>
      <c r="C2021"/>
    </row>
    <row r="2022" spans="2:3" x14ac:dyDescent="0.3">
      <c r="B2022"/>
      <c r="C2022"/>
    </row>
    <row r="2023" spans="2:3" x14ac:dyDescent="0.3">
      <c r="B2023"/>
      <c r="C2023"/>
    </row>
    <row r="2024" spans="2:3" x14ac:dyDescent="0.3">
      <c r="B2024"/>
      <c r="C2024"/>
    </row>
    <row r="2025" spans="2:3" x14ac:dyDescent="0.3">
      <c r="B2025"/>
      <c r="C2025"/>
    </row>
    <row r="2026" spans="2:3" x14ac:dyDescent="0.3">
      <c r="B2026"/>
      <c r="C2026"/>
    </row>
    <row r="2027" spans="2:3" x14ac:dyDescent="0.3">
      <c r="B2027"/>
      <c r="C2027"/>
    </row>
    <row r="2028" spans="2:3" x14ac:dyDescent="0.3">
      <c r="B2028"/>
      <c r="C2028"/>
    </row>
    <row r="2029" spans="2:3" x14ac:dyDescent="0.3">
      <c r="B2029"/>
      <c r="C2029"/>
    </row>
    <row r="2030" spans="2:3" x14ac:dyDescent="0.3">
      <c r="B2030"/>
      <c r="C2030"/>
    </row>
    <row r="2031" spans="2:3" x14ac:dyDescent="0.3">
      <c r="B2031"/>
      <c r="C2031"/>
    </row>
    <row r="2032" spans="2:3" x14ac:dyDescent="0.3">
      <c r="B2032"/>
      <c r="C2032"/>
    </row>
    <row r="2033" spans="2:3" x14ac:dyDescent="0.3">
      <c r="B2033"/>
      <c r="C2033"/>
    </row>
    <row r="2034" spans="2:3" x14ac:dyDescent="0.3">
      <c r="B2034"/>
      <c r="C2034"/>
    </row>
    <row r="2035" spans="2:3" x14ac:dyDescent="0.3">
      <c r="B2035"/>
      <c r="C2035"/>
    </row>
    <row r="2036" spans="2:3" x14ac:dyDescent="0.3">
      <c r="B2036"/>
      <c r="C2036"/>
    </row>
    <row r="2037" spans="2:3" x14ac:dyDescent="0.3">
      <c r="B2037"/>
      <c r="C2037"/>
    </row>
    <row r="2038" spans="2:3" x14ac:dyDescent="0.3">
      <c r="B2038"/>
      <c r="C2038"/>
    </row>
    <row r="2039" spans="2:3" x14ac:dyDescent="0.3">
      <c r="B2039"/>
      <c r="C2039"/>
    </row>
    <row r="2040" spans="2:3" x14ac:dyDescent="0.3">
      <c r="B2040"/>
      <c r="C2040"/>
    </row>
    <row r="2041" spans="2:3" x14ac:dyDescent="0.3">
      <c r="B2041"/>
      <c r="C2041"/>
    </row>
    <row r="2042" spans="2:3" x14ac:dyDescent="0.3">
      <c r="B2042"/>
      <c r="C2042"/>
    </row>
    <row r="2043" spans="2:3" x14ac:dyDescent="0.3">
      <c r="B2043"/>
      <c r="C2043"/>
    </row>
    <row r="2044" spans="2:3" x14ac:dyDescent="0.3">
      <c r="B2044"/>
      <c r="C2044"/>
    </row>
    <row r="2045" spans="2:3" x14ac:dyDescent="0.3">
      <c r="B2045"/>
      <c r="C2045"/>
    </row>
    <row r="2046" spans="2:3" x14ac:dyDescent="0.3">
      <c r="B2046"/>
      <c r="C2046"/>
    </row>
    <row r="2047" spans="2:3" x14ac:dyDescent="0.3">
      <c r="B2047"/>
      <c r="C2047"/>
    </row>
    <row r="2048" spans="2:3" x14ac:dyDescent="0.3">
      <c r="B2048"/>
      <c r="C2048"/>
    </row>
    <row r="2049" spans="2:3" x14ac:dyDescent="0.3">
      <c r="B2049"/>
      <c r="C2049"/>
    </row>
    <row r="2050" spans="2:3" x14ac:dyDescent="0.3">
      <c r="B2050"/>
      <c r="C2050"/>
    </row>
    <row r="2051" spans="2:3" x14ac:dyDescent="0.3">
      <c r="B2051"/>
      <c r="C2051"/>
    </row>
    <row r="2052" spans="2:3" x14ac:dyDescent="0.3">
      <c r="B2052"/>
      <c r="C2052"/>
    </row>
    <row r="2053" spans="2:3" x14ac:dyDescent="0.3">
      <c r="B2053"/>
      <c r="C2053"/>
    </row>
    <row r="2054" spans="2:3" x14ac:dyDescent="0.3">
      <c r="B2054"/>
      <c r="C2054"/>
    </row>
    <row r="2055" spans="2:3" x14ac:dyDescent="0.3">
      <c r="B2055"/>
      <c r="C2055"/>
    </row>
    <row r="2056" spans="2:3" x14ac:dyDescent="0.3">
      <c r="B2056"/>
      <c r="C2056"/>
    </row>
    <row r="2057" spans="2:3" x14ac:dyDescent="0.3">
      <c r="B2057"/>
      <c r="C2057"/>
    </row>
    <row r="2058" spans="2:3" x14ac:dyDescent="0.3">
      <c r="B2058"/>
      <c r="C2058"/>
    </row>
    <row r="2059" spans="2:3" x14ac:dyDescent="0.3">
      <c r="B2059"/>
      <c r="C2059"/>
    </row>
    <row r="2060" spans="2:3" x14ac:dyDescent="0.3">
      <c r="B2060"/>
      <c r="C2060"/>
    </row>
    <row r="2061" spans="2:3" x14ac:dyDescent="0.3">
      <c r="B2061"/>
      <c r="C2061"/>
    </row>
    <row r="2062" spans="2:3" x14ac:dyDescent="0.3">
      <c r="B2062"/>
      <c r="C2062"/>
    </row>
    <row r="2063" spans="2:3" x14ac:dyDescent="0.3">
      <c r="B2063"/>
      <c r="C2063"/>
    </row>
    <row r="2064" spans="2:3" x14ac:dyDescent="0.3">
      <c r="B2064"/>
      <c r="C2064"/>
    </row>
    <row r="2065" spans="2:3" x14ac:dyDescent="0.3">
      <c r="B2065"/>
      <c r="C2065"/>
    </row>
    <row r="2066" spans="2:3" x14ac:dyDescent="0.3">
      <c r="B2066"/>
      <c r="C2066"/>
    </row>
    <row r="2067" spans="2:3" x14ac:dyDescent="0.3">
      <c r="B2067"/>
      <c r="C2067"/>
    </row>
    <row r="2068" spans="2:3" x14ac:dyDescent="0.3">
      <c r="B2068"/>
      <c r="C2068"/>
    </row>
    <row r="2069" spans="2:3" x14ac:dyDescent="0.3">
      <c r="B2069"/>
      <c r="C2069"/>
    </row>
    <row r="2070" spans="2:3" x14ac:dyDescent="0.3">
      <c r="B2070"/>
      <c r="C2070"/>
    </row>
    <row r="2071" spans="2:3" x14ac:dyDescent="0.3">
      <c r="B2071"/>
      <c r="C2071"/>
    </row>
    <row r="2072" spans="2:3" x14ac:dyDescent="0.3">
      <c r="B2072"/>
      <c r="C2072"/>
    </row>
    <row r="2073" spans="2:3" x14ac:dyDescent="0.3">
      <c r="B2073"/>
      <c r="C2073"/>
    </row>
    <row r="2074" spans="2:3" x14ac:dyDescent="0.3">
      <c r="B2074"/>
      <c r="C2074"/>
    </row>
    <row r="2075" spans="2:3" x14ac:dyDescent="0.3">
      <c r="B2075"/>
      <c r="C2075"/>
    </row>
    <row r="2076" spans="2:3" x14ac:dyDescent="0.3">
      <c r="B2076"/>
      <c r="C2076"/>
    </row>
    <row r="2077" spans="2:3" x14ac:dyDescent="0.3">
      <c r="B2077"/>
      <c r="C2077"/>
    </row>
    <row r="2078" spans="2:3" x14ac:dyDescent="0.3">
      <c r="B2078"/>
      <c r="C2078"/>
    </row>
    <row r="2079" spans="2:3" x14ac:dyDescent="0.3">
      <c r="B2079"/>
      <c r="C2079"/>
    </row>
    <row r="2080" spans="2:3" x14ac:dyDescent="0.3">
      <c r="B2080"/>
      <c r="C2080"/>
    </row>
    <row r="2081" spans="2:3" x14ac:dyDescent="0.3">
      <c r="B2081"/>
      <c r="C2081"/>
    </row>
    <row r="2082" spans="2:3" x14ac:dyDescent="0.3">
      <c r="B2082"/>
      <c r="C2082"/>
    </row>
    <row r="2083" spans="2:3" x14ac:dyDescent="0.3">
      <c r="B2083"/>
      <c r="C2083"/>
    </row>
    <row r="2084" spans="2:3" x14ac:dyDescent="0.3">
      <c r="B2084"/>
      <c r="C2084"/>
    </row>
    <row r="2085" spans="2:3" x14ac:dyDescent="0.3">
      <c r="B2085"/>
      <c r="C2085"/>
    </row>
    <row r="2086" spans="2:3" x14ac:dyDescent="0.3">
      <c r="B2086"/>
      <c r="C2086"/>
    </row>
    <row r="2087" spans="2:3" x14ac:dyDescent="0.3">
      <c r="B2087"/>
      <c r="C2087"/>
    </row>
    <row r="2088" spans="2:3" x14ac:dyDescent="0.3">
      <c r="B2088"/>
      <c r="C2088"/>
    </row>
    <row r="2089" spans="2:3" x14ac:dyDescent="0.3">
      <c r="B2089"/>
      <c r="C2089"/>
    </row>
    <row r="2090" spans="2:3" x14ac:dyDescent="0.3">
      <c r="B2090"/>
      <c r="C2090"/>
    </row>
    <row r="2091" spans="2:3" x14ac:dyDescent="0.3">
      <c r="B2091"/>
      <c r="C2091"/>
    </row>
    <row r="2092" spans="2:3" x14ac:dyDescent="0.3">
      <c r="B2092"/>
      <c r="C2092"/>
    </row>
    <row r="2093" spans="2:3" x14ac:dyDescent="0.3">
      <c r="B2093"/>
      <c r="C2093"/>
    </row>
    <row r="2094" spans="2:3" x14ac:dyDescent="0.3">
      <c r="B2094"/>
      <c r="C2094"/>
    </row>
    <row r="2095" spans="2:3" x14ac:dyDescent="0.3">
      <c r="B2095"/>
      <c r="C2095"/>
    </row>
    <row r="2096" spans="2:3" x14ac:dyDescent="0.3">
      <c r="B2096"/>
      <c r="C2096"/>
    </row>
    <row r="2097" spans="2:3" x14ac:dyDescent="0.3">
      <c r="B2097"/>
      <c r="C2097"/>
    </row>
    <row r="2098" spans="2:3" x14ac:dyDescent="0.3">
      <c r="B2098"/>
      <c r="C2098"/>
    </row>
    <row r="2099" spans="2:3" x14ac:dyDescent="0.3">
      <c r="B2099"/>
      <c r="C2099"/>
    </row>
    <row r="2100" spans="2:3" x14ac:dyDescent="0.3">
      <c r="B2100"/>
      <c r="C2100"/>
    </row>
    <row r="2101" spans="2:3" x14ac:dyDescent="0.3">
      <c r="B2101"/>
      <c r="C2101"/>
    </row>
    <row r="2102" spans="2:3" x14ac:dyDescent="0.3">
      <c r="B2102"/>
      <c r="C2102"/>
    </row>
    <row r="2103" spans="2:3" x14ac:dyDescent="0.3">
      <c r="B2103"/>
      <c r="C2103"/>
    </row>
    <row r="2104" spans="2:3" x14ac:dyDescent="0.3">
      <c r="B2104"/>
      <c r="C2104"/>
    </row>
    <row r="2105" spans="2:3" x14ac:dyDescent="0.3">
      <c r="B2105"/>
      <c r="C2105"/>
    </row>
    <row r="2106" spans="2:3" x14ac:dyDescent="0.3">
      <c r="B2106"/>
      <c r="C2106"/>
    </row>
    <row r="2107" spans="2:3" x14ac:dyDescent="0.3">
      <c r="B2107"/>
      <c r="C2107"/>
    </row>
    <row r="2108" spans="2:3" x14ac:dyDescent="0.3">
      <c r="B2108"/>
      <c r="C2108"/>
    </row>
    <row r="2109" spans="2:3" x14ac:dyDescent="0.3">
      <c r="B2109"/>
      <c r="C2109"/>
    </row>
    <row r="2110" spans="2:3" x14ac:dyDescent="0.3">
      <c r="B2110"/>
      <c r="C2110"/>
    </row>
    <row r="2111" spans="2:3" x14ac:dyDescent="0.3">
      <c r="B2111"/>
      <c r="C2111"/>
    </row>
    <row r="2112" spans="2:3" x14ac:dyDescent="0.3">
      <c r="B2112"/>
      <c r="C2112"/>
    </row>
    <row r="2113" spans="2:3" x14ac:dyDescent="0.3">
      <c r="B2113"/>
      <c r="C2113"/>
    </row>
    <row r="2114" spans="2:3" x14ac:dyDescent="0.3">
      <c r="B2114"/>
      <c r="C2114"/>
    </row>
    <row r="2115" spans="2:3" x14ac:dyDescent="0.3">
      <c r="B2115"/>
      <c r="C2115"/>
    </row>
    <row r="2116" spans="2:3" x14ac:dyDescent="0.3">
      <c r="B2116"/>
      <c r="C2116"/>
    </row>
    <row r="2117" spans="2:3" x14ac:dyDescent="0.3">
      <c r="B2117"/>
      <c r="C2117"/>
    </row>
    <row r="2118" spans="2:3" x14ac:dyDescent="0.3">
      <c r="B2118"/>
      <c r="C2118"/>
    </row>
    <row r="2119" spans="2:3" x14ac:dyDescent="0.3">
      <c r="B2119"/>
      <c r="C2119"/>
    </row>
    <row r="2120" spans="2:3" x14ac:dyDescent="0.3">
      <c r="B2120"/>
      <c r="C2120"/>
    </row>
    <row r="2121" spans="2:3" x14ac:dyDescent="0.3">
      <c r="B2121"/>
      <c r="C2121"/>
    </row>
    <row r="2122" spans="2:3" x14ac:dyDescent="0.3">
      <c r="B2122"/>
      <c r="C2122"/>
    </row>
    <row r="2123" spans="2:3" x14ac:dyDescent="0.3">
      <c r="B2123"/>
      <c r="C2123"/>
    </row>
    <row r="2124" spans="2:3" x14ac:dyDescent="0.3">
      <c r="B2124"/>
      <c r="C2124"/>
    </row>
    <row r="2125" spans="2:3" x14ac:dyDescent="0.3">
      <c r="B2125"/>
      <c r="C2125"/>
    </row>
    <row r="2126" spans="2:3" x14ac:dyDescent="0.3">
      <c r="B2126"/>
      <c r="C2126"/>
    </row>
    <row r="2127" spans="2:3" x14ac:dyDescent="0.3">
      <c r="B2127"/>
      <c r="C2127"/>
    </row>
    <row r="2128" spans="2:3" x14ac:dyDescent="0.3">
      <c r="B2128"/>
      <c r="C2128"/>
    </row>
    <row r="2129" spans="2:3" x14ac:dyDescent="0.3">
      <c r="B2129"/>
      <c r="C2129"/>
    </row>
    <row r="2130" spans="2:3" x14ac:dyDescent="0.3">
      <c r="B2130"/>
      <c r="C2130"/>
    </row>
    <row r="2131" spans="2:3" x14ac:dyDescent="0.3">
      <c r="B2131"/>
      <c r="C2131"/>
    </row>
    <row r="2132" spans="2:3" x14ac:dyDescent="0.3">
      <c r="B2132"/>
      <c r="C2132"/>
    </row>
    <row r="2133" spans="2:3" x14ac:dyDescent="0.3">
      <c r="B2133"/>
      <c r="C2133"/>
    </row>
    <row r="2134" spans="2:3" x14ac:dyDescent="0.3">
      <c r="B2134"/>
      <c r="C2134"/>
    </row>
    <row r="2135" spans="2:3" x14ac:dyDescent="0.3">
      <c r="B2135"/>
      <c r="C2135"/>
    </row>
    <row r="2136" spans="2:3" x14ac:dyDescent="0.3">
      <c r="B2136"/>
      <c r="C2136"/>
    </row>
    <row r="2137" spans="2:3" x14ac:dyDescent="0.3">
      <c r="B2137"/>
      <c r="C2137"/>
    </row>
    <row r="2138" spans="2:3" x14ac:dyDescent="0.3">
      <c r="B2138"/>
      <c r="C2138"/>
    </row>
    <row r="2139" spans="2:3" x14ac:dyDescent="0.3">
      <c r="B2139"/>
      <c r="C2139"/>
    </row>
    <row r="2140" spans="2:3" x14ac:dyDescent="0.3">
      <c r="B2140"/>
      <c r="C2140"/>
    </row>
    <row r="2141" spans="2:3" x14ac:dyDescent="0.3">
      <c r="B2141"/>
      <c r="C2141"/>
    </row>
    <row r="2142" spans="2:3" x14ac:dyDescent="0.3">
      <c r="B2142"/>
      <c r="C2142"/>
    </row>
    <row r="2143" spans="2:3" x14ac:dyDescent="0.3">
      <c r="B2143"/>
      <c r="C2143"/>
    </row>
    <row r="2144" spans="2:3" x14ac:dyDescent="0.3">
      <c r="B2144"/>
      <c r="C2144"/>
    </row>
    <row r="2145" spans="2:3" x14ac:dyDescent="0.3">
      <c r="B2145"/>
      <c r="C2145"/>
    </row>
    <row r="2146" spans="2:3" x14ac:dyDescent="0.3">
      <c r="B2146"/>
      <c r="C2146"/>
    </row>
    <row r="2147" spans="2:3" x14ac:dyDescent="0.3">
      <c r="B2147"/>
      <c r="C2147"/>
    </row>
    <row r="2148" spans="2:3" x14ac:dyDescent="0.3">
      <c r="B2148"/>
      <c r="C2148"/>
    </row>
    <row r="2149" spans="2:3" x14ac:dyDescent="0.3">
      <c r="B2149"/>
      <c r="C2149"/>
    </row>
    <row r="2150" spans="2:3" x14ac:dyDescent="0.3">
      <c r="B2150"/>
      <c r="C2150"/>
    </row>
    <row r="2151" spans="2:3" x14ac:dyDescent="0.3">
      <c r="B2151"/>
      <c r="C2151"/>
    </row>
    <row r="2152" spans="2:3" x14ac:dyDescent="0.3">
      <c r="B2152"/>
      <c r="C2152"/>
    </row>
    <row r="2153" spans="2:3" x14ac:dyDescent="0.3">
      <c r="B2153"/>
      <c r="C2153"/>
    </row>
    <row r="2154" spans="2:3" x14ac:dyDescent="0.3">
      <c r="B2154"/>
      <c r="C2154"/>
    </row>
    <row r="2155" spans="2:3" x14ac:dyDescent="0.3">
      <c r="B2155"/>
      <c r="C2155"/>
    </row>
    <row r="2156" spans="2:3" x14ac:dyDescent="0.3">
      <c r="B2156"/>
      <c r="C2156"/>
    </row>
    <row r="2157" spans="2:3" x14ac:dyDescent="0.3">
      <c r="B2157"/>
      <c r="C2157"/>
    </row>
    <row r="2158" spans="2:3" x14ac:dyDescent="0.3">
      <c r="B2158"/>
      <c r="C2158"/>
    </row>
    <row r="2159" spans="2:3" x14ac:dyDescent="0.3">
      <c r="B2159"/>
      <c r="C2159"/>
    </row>
    <row r="2160" spans="2:3" x14ac:dyDescent="0.3">
      <c r="B2160"/>
      <c r="C2160"/>
    </row>
    <row r="2161" spans="2:3" x14ac:dyDescent="0.3">
      <c r="B2161"/>
      <c r="C2161"/>
    </row>
    <row r="2162" spans="2:3" x14ac:dyDescent="0.3">
      <c r="B2162"/>
      <c r="C2162"/>
    </row>
    <row r="2163" spans="2:3" x14ac:dyDescent="0.3">
      <c r="B2163"/>
      <c r="C2163"/>
    </row>
    <row r="2164" spans="2:3" x14ac:dyDescent="0.3">
      <c r="B2164"/>
      <c r="C2164"/>
    </row>
    <row r="2165" spans="2:3" x14ac:dyDescent="0.3">
      <c r="B2165"/>
      <c r="C2165"/>
    </row>
    <row r="2166" spans="2:3" x14ac:dyDescent="0.3">
      <c r="B2166"/>
      <c r="C2166"/>
    </row>
    <row r="2167" spans="2:3" x14ac:dyDescent="0.3">
      <c r="B2167"/>
      <c r="C2167"/>
    </row>
    <row r="2168" spans="2:3" x14ac:dyDescent="0.3">
      <c r="B2168"/>
      <c r="C2168"/>
    </row>
    <row r="2169" spans="2:3" x14ac:dyDescent="0.3">
      <c r="B2169"/>
      <c r="C2169"/>
    </row>
    <row r="2170" spans="2:3" x14ac:dyDescent="0.3">
      <c r="B2170"/>
      <c r="C2170"/>
    </row>
    <row r="2171" spans="2:3" x14ac:dyDescent="0.3">
      <c r="B2171"/>
      <c r="C2171"/>
    </row>
    <row r="2172" spans="2:3" x14ac:dyDescent="0.3">
      <c r="B2172"/>
      <c r="C2172"/>
    </row>
    <row r="2173" spans="2:3" x14ac:dyDescent="0.3">
      <c r="B2173"/>
      <c r="C2173"/>
    </row>
    <row r="2174" spans="2:3" x14ac:dyDescent="0.3">
      <c r="B2174"/>
      <c r="C2174"/>
    </row>
    <row r="2175" spans="2:3" x14ac:dyDescent="0.3">
      <c r="B2175"/>
      <c r="C2175"/>
    </row>
    <row r="2176" spans="2:3" x14ac:dyDescent="0.3">
      <c r="B2176"/>
      <c r="C2176"/>
    </row>
    <row r="2177" spans="2:3" x14ac:dyDescent="0.3">
      <c r="B2177"/>
      <c r="C2177"/>
    </row>
    <row r="2178" spans="2:3" x14ac:dyDescent="0.3">
      <c r="B2178"/>
      <c r="C2178"/>
    </row>
    <row r="2179" spans="2:3" x14ac:dyDescent="0.3">
      <c r="B2179"/>
      <c r="C2179"/>
    </row>
    <row r="2180" spans="2:3" x14ac:dyDescent="0.3">
      <c r="B2180"/>
      <c r="C2180"/>
    </row>
    <row r="2181" spans="2:3" x14ac:dyDescent="0.3">
      <c r="B2181"/>
      <c r="C2181"/>
    </row>
    <row r="2182" spans="2:3" x14ac:dyDescent="0.3">
      <c r="B2182"/>
      <c r="C2182"/>
    </row>
    <row r="2183" spans="2:3" x14ac:dyDescent="0.3">
      <c r="B2183"/>
      <c r="C2183"/>
    </row>
    <row r="2184" spans="2:3" x14ac:dyDescent="0.3">
      <c r="B2184"/>
      <c r="C2184"/>
    </row>
    <row r="2185" spans="2:3" x14ac:dyDescent="0.3">
      <c r="B2185"/>
      <c r="C2185"/>
    </row>
    <row r="2186" spans="2:3" x14ac:dyDescent="0.3">
      <c r="B2186"/>
      <c r="C2186"/>
    </row>
    <row r="2187" spans="2:3" x14ac:dyDescent="0.3">
      <c r="B2187"/>
      <c r="C2187"/>
    </row>
    <row r="2188" spans="2:3" x14ac:dyDescent="0.3">
      <c r="B2188"/>
      <c r="C2188"/>
    </row>
    <row r="2189" spans="2:3" x14ac:dyDescent="0.3">
      <c r="B2189"/>
      <c r="C2189"/>
    </row>
    <row r="2190" spans="2:3" x14ac:dyDescent="0.3">
      <c r="B2190"/>
      <c r="C2190"/>
    </row>
    <row r="2191" spans="2:3" x14ac:dyDescent="0.3">
      <c r="B2191"/>
      <c r="C2191"/>
    </row>
    <row r="2192" spans="2:3" x14ac:dyDescent="0.3">
      <c r="B2192"/>
      <c r="C2192"/>
    </row>
    <row r="2193" spans="2:3" x14ac:dyDescent="0.3">
      <c r="B2193"/>
      <c r="C2193"/>
    </row>
    <row r="2194" spans="2:3" x14ac:dyDescent="0.3">
      <c r="B2194"/>
      <c r="C2194"/>
    </row>
    <row r="2195" spans="2:3" x14ac:dyDescent="0.3">
      <c r="B2195"/>
      <c r="C2195"/>
    </row>
    <row r="2196" spans="2:3" x14ac:dyDescent="0.3">
      <c r="B2196"/>
      <c r="C2196"/>
    </row>
    <row r="2197" spans="2:3" x14ac:dyDescent="0.3">
      <c r="B2197"/>
      <c r="C2197"/>
    </row>
    <row r="2198" spans="2:3" x14ac:dyDescent="0.3">
      <c r="B2198"/>
      <c r="C2198"/>
    </row>
    <row r="2199" spans="2:3" x14ac:dyDescent="0.3">
      <c r="B2199"/>
      <c r="C2199"/>
    </row>
    <row r="2200" spans="2:3" x14ac:dyDescent="0.3">
      <c r="B2200"/>
      <c r="C2200"/>
    </row>
    <row r="2201" spans="2:3" x14ac:dyDescent="0.3">
      <c r="B2201"/>
      <c r="C2201"/>
    </row>
    <row r="2202" spans="2:3" x14ac:dyDescent="0.3">
      <c r="B2202"/>
      <c r="C2202"/>
    </row>
    <row r="2203" spans="2:3" x14ac:dyDescent="0.3">
      <c r="B2203"/>
      <c r="C2203"/>
    </row>
    <row r="2204" spans="2:3" x14ac:dyDescent="0.3">
      <c r="B2204"/>
      <c r="C2204"/>
    </row>
    <row r="2205" spans="2:3" x14ac:dyDescent="0.3">
      <c r="B2205"/>
      <c r="C2205"/>
    </row>
    <row r="2206" spans="2:3" x14ac:dyDescent="0.3">
      <c r="B2206"/>
      <c r="C2206"/>
    </row>
    <row r="2207" spans="2:3" x14ac:dyDescent="0.3">
      <c r="B2207"/>
      <c r="C2207"/>
    </row>
    <row r="2208" spans="2:3" x14ac:dyDescent="0.3">
      <c r="B2208"/>
      <c r="C2208"/>
    </row>
    <row r="2209" spans="2:3" x14ac:dyDescent="0.3">
      <c r="B2209"/>
      <c r="C2209"/>
    </row>
    <row r="2210" spans="2:3" x14ac:dyDescent="0.3">
      <c r="B2210"/>
      <c r="C2210"/>
    </row>
    <row r="2211" spans="2:3" x14ac:dyDescent="0.3">
      <c r="B2211"/>
      <c r="C2211"/>
    </row>
    <row r="2212" spans="2:3" x14ac:dyDescent="0.3">
      <c r="B2212"/>
      <c r="C2212"/>
    </row>
    <row r="2213" spans="2:3" x14ac:dyDescent="0.3">
      <c r="B2213"/>
      <c r="C2213"/>
    </row>
    <row r="2214" spans="2:3" x14ac:dyDescent="0.3">
      <c r="B2214"/>
      <c r="C2214"/>
    </row>
    <row r="2215" spans="2:3" x14ac:dyDescent="0.3">
      <c r="B2215"/>
      <c r="C2215"/>
    </row>
    <row r="2216" spans="2:3" x14ac:dyDescent="0.3">
      <c r="B2216"/>
      <c r="C2216"/>
    </row>
    <row r="2217" spans="2:3" x14ac:dyDescent="0.3">
      <c r="B2217"/>
      <c r="C2217"/>
    </row>
    <row r="2218" spans="2:3" x14ac:dyDescent="0.3">
      <c r="B2218"/>
      <c r="C2218"/>
    </row>
    <row r="2219" spans="2:3" x14ac:dyDescent="0.3">
      <c r="B2219"/>
      <c r="C2219"/>
    </row>
    <row r="2220" spans="2:3" x14ac:dyDescent="0.3">
      <c r="B2220"/>
      <c r="C2220"/>
    </row>
    <row r="2221" spans="2:3" x14ac:dyDescent="0.3">
      <c r="B2221"/>
      <c r="C2221"/>
    </row>
    <row r="2222" spans="2:3" x14ac:dyDescent="0.3">
      <c r="B2222"/>
      <c r="C2222"/>
    </row>
    <row r="2223" spans="2:3" x14ac:dyDescent="0.3">
      <c r="B2223"/>
      <c r="C2223"/>
    </row>
    <row r="2224" spans="2:3" x14ac:dyDescent="0.3">
      <c r="B2224"/>
      <c r="C2224"/>
    </row>
    <row r="2225" spans="2:3" x14ac:dyDescent="0.3">
      <c r="B2225"/>
      <c r="C2225"/>
    </row>
    <row r="2226" spans="2:3" x14ac:dyDescent="0.3">
      <c r="B2226"/>
      <c r="C2226"/>
    </row>
    <row r="2227" spans="2:3" x14ac:dyDescent="0.3">
      <c r="B2227"/>
      <c r="C2227"/>
    </row>
    <row r="2228" spans="2:3" x14ac:dyDescent="0.3">
      <c r="B2228"/>
      <c r="C2228"/>
    </row>
    <row r="2229" spans="2:3" x14ac:dyDescent="0.3">
      <c r="B2229"/>
      <c r="C2229"/>
    </row>
    <row r="2230" spans="2:3" x14ac:dyDescent="0.3">
      <c r="B2230"/>
      <c r="C2230"/>
    </row>
    <row r="2231" spans="2:3" x14ac:dyDescent="0.3">
      <c r="B2231"/>
      <c r="C2231"/>
    </row>
    <row r="2232" spans="2:3" x14ac:dyDescent="0.3">
      <c r="B2232"/>
      <c r="C2232"/>
    </row>
    <row r="2233" spans="2:3" x14ac:dyDescent="0.3">
      <c r="B2233"/>
      <c r="C2233"/>
    </row>
    <row r="2234" spans="2:3" x14ac:dyDescent="0.3">
      <c r="B2234"/>
      <c r="C2234"/>
    </row>
    <row r="2235" spans="2:3" x14ac:dyDescent="0.3">
      <c r="B2235"/>
      <c r="C2235"/>
    </row>
    <row r="2236" spans="2:3" x14ac:dyDescent="0.3">
      <c r="B2236"/>
      <c r="C2236"/>
    </row>
    <row r="2237" spans="2:3" x14ac:dyDescent="0.3">
      <c r="B2237"/>
      <c r="C2237"/>
    </row>
    <row r="2238" spans="2:3" x14ac:dyDescent="0.3">
      <c r="B2238"/>
      <c r="C2238"/>
    </row>
    <row r="2239" spans="2:3" x14ac:dyDescent="0.3">
      <c r="B2239"/>
      <c r="C2239"/>
    </row>
    <row r="2240" spans="2:3" x14ac:dyDescent="0.3">
      <c r="B2240"/>
      <c r="C2240"/>
    </row>
    <row r="2241" spans="2:3" x14ac:dyDescent="0.3">
      <c r="B2241"/>
      <c r="C2241"/>
    </row>
    <row r="2242" spans="2:3" x14ac:dyDescent="0.3">
      <c r="B2242"/>
      <c r="C2242"/>
    </row>
    <row r="2243" spans="2:3" x14ac:dyDescent="0.3">
      <c r="B2243"/>
      <c r="C2243"/>
    </row>
    <row r="2244" spans="2:3" x14ac:dyDescent="0.3">
      <c r="B2244"/>
      <c r="C2244"/>
    </row>
    <row r="2245" spans="2:3" x14ac:dyDescent="0.3">
      <c r="B2245"/>
      <c r="C2245"/>
    </row>
    <row r="2246" spans="2:3" x14ac:dyDescent="0.3">
      <c r="B2246"/>
      <c r="C2246"/>
    </row>
    <row r="2247" spans="2:3" x14ac:dyDescent="0.3">
      <c r="B2247"/>
      <c r="C2247"/>
    </row>
    <row r="2248" spans="2:3" x14ac:dyDescent="0.3">
      <c r="B2248"/>
      <c r="C2248"/>
    </row>
    <row r="2249" spans="2:3" x14ac:dyDescent="0.3">
      <c r="B2249"/>
      <c r="C2249"/>
    </row>
    <row r="2250" spans="2:3" x14ac:dyDescent="0.3">
      <c r="B2250"/>
      <c r="C2250"/>
    </row>
    <row r="2251" spans="2:3" x14ac:dyDescent="0.3">
      <c r="B2251"/>
      <c r="C2251"/>
    </row>
    <row r="2252" spans="2:3" x14ac:dyDescent="0.3">
      <c r="B2252"/>
      <c r="C2252"/>
    </row>
    <row r="2253" spans="2:3" x14ac:dyDescent="0.3">
      <c r="B2253"/>
      <c r="C2253"/>
    </row>
    <row r="2254" spans="2:3" x14ac:dyDescent="0.3">
      <c r="B2254"/>
      <c r="C2254"/>
    </row>
    <row r="2255" spans="2:3" x14ac:dyDescent="0.3">
      <c r="B2255"/>
      <c r="C2255"/>
    </row>
    <row r="2256" spans="2:3" x14ac:dyDescent="0.3">
      <c r="B2256"/>
      <c r="C2256"/>
    </row>
    <row r="2257" spans="2:3" x14ac:dyDescent="0.3">
      <c r="B2257"/>
      <c r="C2257"/>
    </row>
    <row r="2258" spans="2:3" x14ac:dyDescent="0.3">
      <c r="B2258"/>
      <c r="C2258"/>
    </row>
    <row r="2259" spans="2:3" x14ac:dyDescent="0.3">
      <c r="B2259"/>
      <c r="C2259"/>
    </row>
    <row r="2260" spans="2:3" x14ac:dyDescent="0.3">
      <c r="B2260"/>
      <c r="C2260"/>
    </row>
    <row r="2261" spans="2:3" x14ac:dyDescent="0.3">
      <c r="B2261"/>
      <c r="C2261"/>
    </row>
    <row r="2262" spans="2:3" x14ac:dyDescent="0.3">
      <c r="B2262"/>
      <c r="C2262"/>
    </row>
    <row r="2263" spans="2:3" x14ac:dyDescent="0.3">
      <c r="B2263"/>
      <c r="C2263"/>
    </row>
    <row r="2264" spans="2:3" x14ac:dyDescent="0.3">
      <c r="B2264"/>
      <c r="C2264"/>
    </row>
    <row r="2265" spans="2:3" x14ac:dyDescent="0.3">
      <c r="B2265"/>
      <c r="C2265"/>
    </row>
    <row r="2266" spans="2:3" x14ac:dyDescent="0.3">
      <c r="B2266"/>
      <c r="C2266"/>
    </row>
    <row r="2267" spans="2:3" x14ac:dyDescent="0.3">
      <c r="B2267"/>
      <c r="C2267"/>
    </row>
    <row r="2268" spans="2:3" x14ac:dyDescent="0.3">
      <c r="B2268"/>
      <c r="C2268"/>
    </row>
    <row r="2269" spans="2:3" x14ac:dyDescent="0.3">
      <c r="B2269"/>
      <c r="C2269"/>
    </row>
    <row r="2270" spans="2:3" x14ac:dyDescent="0.3">
      <c r="B2270"/>
      <c r="C2270"/>
    </row>
    <row r="2271" spans="2:3" x14ac:dyDescent="0.3">
      <c r="B2271"/>
      <c r="C2271"/>
    </row>
    <row r="2272" spans="2:3" x14ac:dyDescent="0.3">
      <c r="B2272"/>
      <c r="C2272"/>
    </row>
    <row r="2273" spans="2:3" x14ac:dyDescent="0.3">
      <c r="B2273"/>
      <c r="C2273"/>
    </row>
    <row r="2274" spans="2:3" x14ac:dyDescent="0.3">
      <c r="B2274"/>
      <c r="C2274"/>
    </row>
    <row r="2275" spans="2:3" x14ac:dyDescent="0.3">
      <c r="B2275"/>
      <c r="C2275"/>
    </row>
    <row r="2276" spans="2:3" x14ac:dyDescent="0.3">
      <c r="B2276"/>
      <c r="C2276"/>
    </row>
    <row r="2277" spans="2:3" x14ac:dyDescent="0.3">
      <c r="B2277"/>
      <c r="C2277"/>
    </row>
    <row r="2278" spans="2:3" x14ac:dyDescent="0.3">
      <c r="B2278"/>
      <c r="C2278"/>
    </row>
    <row r="2279" spans="2:3" x14ac:dyDescent="0.3">
      <c r="B2279"/>
      <c r="C2279"/>
    </row>
    <row r="2280" spans="2:3" x14ac:dyDescent="0.3">
      <c r="B2280"/>
      <c r="C2280"/>
    </row>
    <row r="2281" spans="2:3" x14ac:dyDescent="0.3">
      <c r="B2281"/>
      <c r="C2281"/>
    </row>
    <row r="2282" spans="2:3" x14ac:dyDescent="0.3">
      <c r="B2282"/>
      <c r="C2282"/>
    </row>
    <row r="2283" spans="2:3" x14ac:dyDescent="0.3">
      <c r="B2283"/>
      <c r="C2283"/>
    </row>
    <row r="2284" spans="2:3" x14ac:dyDescent="0.3">
      <c r="B2284"/>
      <c r="C2284"/>
    </row>
    <row r="2285" spans="2:3" x14ac:dyDescent="0.3">
      <c r="B2285"/>
      <c r="C2285"/>
    </row>
    <row r="2286" spans="2:3" x14ac:dyDescent="0.3">
      <c r="B2286"/>
      <c r="C2286"/>
    </row>
    <row r="2287" spans="2:3" x14ac:dyDescent="0.3">
      <c r="B2287"/>
      <c r="C2287"/>
    </row>
    <row r="2288" spans="2:3" x14ac:dyDescent="0.3">
      <c r="B2288"/>
      <c r="C2288"/>
    </row>
    <row r="2289" spans="2:3" x14ac:dyDescent="0.3">
      <c r="B2289"/>
      <c r="C2289"/>
    </row>
    <row r="2290" spans="2:3" x14ac:dyDescent="0.3">
      <c r="B2290"/>
      <c r="C2290"/>
    </row>
    <row r="2291" spans="2:3" x14ac:dyDescent="0.3">
      <c r="B2291"/>
      <c r="C2291"/>
    </row>
    <row r="2292" spans="2:3" x14ac:dyDescent="0.3">
      <c r="B2292"/>
      <c r="C2292"/>
    </row>
    <row r="2293" spans="2:3" x14ac:dyDescent="0.3">
      <c r="B2293"/>
      <c r="C2293"/>
    </row>
    <row r="2294" spans="2:3" x14ac:dyDescent="0.3">
      <c r="B2294"/>
      <c r="C2294"/>
    </row>
    <row r="2295" spans="2:3" x14ac:dyDescent="0.3">
      <c r="B2295"/>
      <c r="C2295"/>
    </row>
    <row r="2296" spans="2:3" x14ac:dyDescent="0.3">
      <c r="B2296"/>
      <c r="C2296"/>
    </row>
    <row r="2297" spans="2:3" x14ac:dyDescent="0.3">
      <c r="B2297"/>
      <c r="C2297"/>
    </row>
    <row r="2298" spans="2:3" x14ac:dyDescent="0.3">
      <c r="B2298"/>
      <c r="C2298"/>
    </row>
    <row r="2299" spans="2:3" x14ac:dyDescent="0.3">
      <c r="B2299"/>
      <c r="C2299"/>
    </row>
    <row r="2300" spans="2:3" x14ac:dyDescent="0.3">
      <c r="B2300"/>
      <c r="C2300"/>
    </row>
    <row r="2301" spans="2:3" x14ac:dyDescent="0.3">
      <c r="B2301"/>
      <c r="C2301"/>
    </row>
    <row r="2302" spans="2:3" x14ac:dyDescent="0.3">
      <c r="B2302"/>
      <c r="C2302"/>
    </row>
    <row r="2303" spans="2:3" x14ac:dyDescent="0.3">
      <c r="B2303"/>
      <c r="C2303"/>
    </row>
    <row r="2304" spans="2:3" x14ac:dyDescent="0.3">
      <c r="B2304"/>
      <c r="C2304"/>
    </row>
    <row r="2305" spans="2:3" x14ac:dyDescent="0.3">
      <c r="B2305"/>
      <c r="C2305"/>
    </row>
    <row r="2306" spans="2:3" x14ac:dyDescent="0.3">
      <c r="B2306"/>
      <c r="C2306"/>
    </row>
    <row r="2307" spans="2:3" x14ac:dyDescent="0.3">
      <c r="B2307"/>
      <c r="C2307"/>
    </row>
    <row r="2308" spans="2:3" x14ac:dyDescent="0.3">
      <c r="B2308"/>
      <c r="C2308"/>
    </row>
    <row r="2309" spans="2:3" x14ac:dyDescent="0.3">
      <c r="B2309"/>
      <c r="C2309"/>
    </row>
    <row r="2310" spans="2:3" x14ac:dyDescent="0.3">
      <c r="B2310"/>
      <c r="C2310"/>
    </row>
    <row r="2311" spans="2:3" x14ac:dyDescent="0.3">
      <c r="B2311"/>
      <c r="C2311"/>
    </row>
    <row r="2312" spans="2:3" x14ac:dyDescent="0.3">
      <c r="B2312"/>
      <c r="C2312"/>
    </row>
    <row r="2313" spans="2:3" x14ac:dyDescent="0.3">
      <c r="B2313"/>
      <c r="C2313"/>
    </row>
    <row r="2314" spans="2:3" x14ac:dyDescent="0.3">
      <c r="B2314"/>
      <c r="C2314"/>
    </row>
    <row r="2315" spans="2:3" x14ac:dyDescent="0.3">
      <c r="B2315"/>
      <c r="C2315"/>
    </row>
    <row r="2316" spans="2:3" x14ac:dyDescent="0.3">
      <c r="B2316"/>
      <c r="C2316"/>
    </row>
    <row r="2317" spans="2:3" x14ac:dyDescent="0.3">
      <c r="B2317"/>
      <c r="C2317"/>
    </row>
    <row r="2318" spans="2:3" x14ac:dyDescent="0.3">
      <c r="B2318"/>
      <c r="C2318"/>
    </row>
    <row r="2319" spans="2:3" x14ac:dyDescent="0.3">
      <c r="B2319"/>
      <c r="C2319"/>
    </row>
    <row r="2320" spans="2:3" x14ac:dyDescent="0.3">
      <c r="B2320"/>
      <c r="C2320"/>
    </row>
    <row r="2321" spans="2:3" x14ac:dyDescent="0.3">
      <c r="B2321"/>
      <c r="C2321"/>
    </row>
    <row r="2322" spans="2:3" x14ac:dyDescent="0.3">
      <c r="B2322"/>
      <c r="C2322"/>
    </row>
    <row r="2323" spans="2:3" x14ac:dyDescent="0.3">
      <c r="B2323"/>
      <c r="C2323"/>
    </row>
    <row r="2324" spans="2:3" x14ac:dyDescent="0.3">
      <c r="B2324"/>
      <c r="C2324"/>
    </row>
    <row r="2325" spans="2:3" x14ac:dyDescent="0.3">
      <c r="B2325"/>
      <c r="C2325"/>
    </row>
    <row r="2326" spans="2:3" x14ac:dyDescent="0.3">
      <c r="B2326"/>
      <c r="C2326"/>
    </row>
    <row r="2327" spans="2:3" x14ac:dyDescent="0.3">
      <c r="B2327"/>
      <c r="C2327"/>
    </row>
    <row r="2328" spans="2:3" x14ac:dyDescent="0.3">
      <c r="B2328"/>
      <c r="C2328"/>
    </row>
    <row r="2329" spans="2:3" x14ac:dyDescent="0.3">
      <c r="B2329"/>
      <c r="C2329"/>
    </row>
    <row r="2330" spans="2:3" x14ac:dyDescent="0.3">
      <c r="B2330"/>
      <c r="C2330"/>
    </row>
    <row r="2331" spans="2:3" x14ac:dyDescent="0.3">
      <c r="B2331"/>
      <c r="C2331"/>
    </row>
    <row r="2332" spans="2:3" x14ac:dyDescent="0.3">
      <c r="B2332"/>
      <c r="C2332"/>
    </row>
    <row r="2333" spans="2:3" x14ac:dyDescent="0.3">
      <c r="B2333"/>
      <c r="C2333"/>
    </row>
    <row r="2334" spans="2:3" x14ac:dyDescent="0.3">
      <c r="B2334"/>
      <c r="C2334"/>
    </row>
    <row r="2335" spans="2:3" x14ac:dyDescent="0.3">
      <c r="B2335"/>
      <c r="C2335"/>
    </row>
    <row r="2336" spans="2:3" x14ac:dyDescent="0.3">
      <c r="B2336"/>
      <c r="C2336"/>
    </row>
    <row r="2337" spans="2:3" x14ac:dyDescent="0.3">
      <c r="B2337"/>
      <c r="C2337"/>
    </row>
    <row r="2338" spans="2:3" x14ac:dyDescent="0.3">
      <c r="B2338"/>
      <c r="C2338"/>
    </row>
    <row r="2339" spans="2:3" x14ac:dyDescent="0.3">
      <c r="B2339"/>
      <c r="C2339"/>
    </row>
    <row r="2340" spans="2:3" x14ac:dyDescent="0.3">
      <c r="B2340"/>
      <c r="C2340"/>
    </row>
    <row r="2341" spans="2:3" x14ac:dyDescent="0.3">
      <c r="B2341"/>
      <c r="C2341"/>
    </row>
    <row r="2342" spans="2:3" x14ac:dyDescent="0.3">
      <c r="B2342"/>
      <c r="C2342"/>
    </row>
    <row r="2343" spans="2:3" x14ac:dyDescent="0.3">
      <c r="B2343"/>
      <c r="C2343"/>
    </row>
    <row r="2344" spans="2:3" x14ac:dyDescent="0.3">
      <c r="B2344"/>
      <c r="C2344"/>
    </row>
    <row r="2345" spans="2:3" x14ac:dyDescent="0.3">
      <c r="B2345"/>
      <c r="C2345"/>
    </row>
    <row r="2346" spans="2:3" x14ac:dyDescent="0.3">
      <c r="B2346"/>
      <c r="C2346"/>
    </row>
    <row r="2347" spans="2:3" x14ac:dyDescent="0.3">
      <c r="B2347"/>
      <c r="C2347"/>
    </row>
    <row r="2348" spans="2:3" x14ac:dyDescent="0.3">
      <c r="B2348"/>
      <c r="C2348"/>
    </row>
    <row r="2349" spans="2:3" x14ac:dyDescent="0.3">
      <c r="B2349"/>
      <c r="C2349"/>
    </row>
    <row r="2350" spans="2:3" x14ac:dyDescent="0.3">
      <c r="B2350"/>
      <c r="C2350"/>
    </row>
    <row r="2351" spans="2:3" x14ac:dyDescent="0.3">
      <c r="B2351"/>
      <c r="C2351"/>
    </row>
    <row r="2352" spans="2:3" x14ac:dyDescent="0.3">
      <c r="B2352"/>
      <c r="C2352"/>
    </row>
    <row r="2353" spans="2:3" x14ac:dyDescent="0.3">
      <c r="B2353"/>
      <c r="C2353"/>
    </row>
    <row r="2354" spans="2:3" x14ac:dyDescent="0.3">
      <c r="B2354"/>
      <c r="C2354"/>
    </row>
    <row r="2355" spans="2:3" x14ac:dyDescent="0.3">
      <c r="B2355"/>
      <c r="C2355"/>
    </row>
    <row r="2356" spans="2:3" x14ac:dyDescent="0.3">
      <c r="B2356"/>
      <c r="C2356"/>
    </row>
    <row r="2357" spans="2:3" x14ac:dyDescent="0.3">
      <c r="B2357"/>
      <c r="C2357"/>
    </row>
    <row r="2358" spans="2:3" x14ac:dyDescent="0.3">
      <c r="B2358"/>
      <c r="C2358"/>
    </row>
    <row r="2359" spans="2:3" x14ac:dyDescent="0.3">
      <c r="B2359"/>
      <c r="C2359"/>
    </row>
    <row r="2360" spans="2:3" x14ac:dyDescent="0.3">
      <c r="B2360"/>
      <c r="C2360"/>
    </row>
    <row r="2361" spans="2:3" x14ac:dyDescent="0.3">
      <c r="B2361"/>
      <c r="C2361"/>
    </row>
    <row r="2362" spans="2:3" x14ac:dyDescent="0.3">
      <c r="B2362"/>
      <c r="C2362"/>
    </row>
    <row r="2363" spans="2:3" x14ac:dyDescent="0.3">
      <c r="B2363"/>
      <c r="C2363"/>
    </row>
    <row r="2364" spans="2:3" x14ac:dyDescent="0.3">
      <c r="B2364"/>
      <c r="C2364"/>
    </row>
    <row r="2365" spans="2:3" x14ac:dyDescent="0.3">
      <c r="B2365"/>
      <c r="C2365"/>
    </row>
    <row r="2366" spans="2:3" x14ac:dyDescent="0.3">
      <c r="B2366"/>
      <c r="C2366"/>
    </row>
    <row r="2367" spans="2:3" x14ac:dyDescent="0.3">
      <c r="B2367"/>
      <c r="C2367"/>
    </row>
    <row r="2368" spans="2:3" x14ac:dyDescent="0.3">
      <c r="B2368"/>
      <c r="C2368"/>
    </row>
    <row r="2369" spans="2:3" x14ac:dyDescent="0.3">
      <c r="B2369"/>
      <c r="C2369"/>
    </row>
    <row r="2370" spans="2:3" x14ac:dyDescent="0.3">
      <c r="B2370"/>
      <c r="C2370"/>
    </row>
    <row r="2371" spans="2:3" x14ac:dyDescent="0.3">
      <c r="B2371"/>
      <c r="C2371"/>
    </row>
    <row r="2372" spans="2:3" x14ac:dyDescent="0.3">
      <c r="B2372"/>
      <c r="C2372"/>
    </row>
    <row r="2373" spans="2:3" x14ac:dyDescent="0.3">
      <c r="B2373"/>
      <c r="C2373"/>
    </row>
    <row r="2374" spans="2:3" x14ac:dyDescent="0.3">
      <c r="B2374"/>
      <c r="C2374"/>
    </row>
    <row r="2375" spans="2:3" x14ac:dyDescent="0.3">
      <c r="B2375"/>
      <c r="C2375"/>
    </row>
    <row r="2376" spans="2:3" x14ac:dyDescent="0.3">
      <c r="B2376"/>
      <c r="C2376"/>
    </row>
    <row r="2377" spans="2:3" x14ac:dyDescent="0.3">
      <c r="B2377"/>
      <c r="C2377"/>
    </row>
    <row r="2378" spans="2:3" x14ac:dyDescent="0.3">
      <c r="B2378"/>
      <c r="C2378"/>
    </row>
    <row r="2379" spans="2:3" x14ac:dyDescent="0.3">
      <c r="B2379"/>
      <c r="C2379"/>
    </row>
    <row r="2380" spans="2:3" x14ac:dyDescent="0.3">
      <c r="B2380"/>
      <c r="C2380"/>
    </row>
    <row r="2381" spans="2:3" x14ac:dyDescent="0.3">
      <c r="B2381"/>
      <c r="C2381"/>
    </row>
    <row r="2382" spans="2:3" x14ac:dyDescent="0.3">
      <c r="B2382"/>
      <c r="C2382"/>
    </row>
    <row r="2383" spans="2:3" x14ac:dyDescent="0.3">
      <c r="B2383"/>
      <c r="C2383"/>
    </row>
    <row r="2384" spans="2:3" x14ac:dyDescent="0.3">
      <c r="B2384"/>
      <c r="C2384"/>
    </row>
    <row r="2385" spans="2:3" x14ac:dyDescent="0.3">
      <c r="B2385"/>
      <c r="C2385"/>
    </row>
    <row r="2386" spans="2:3" x14ac:dyDescent="0.3">
      <c r="B2386"/>
      <c r="C2386"/>
    </row>
    <row r="2387" spans="2:3" x14ac:dyDescent="0.3">
      <c r="B2387"/>
      <c r="C2387"/>
    </row>
    <row r="2388" spans="2:3" x14ac:dyDescent="0.3">
      <c r="B2388"/>
      <c r="C2388"/>
    </row>
    <row r="2389" spans="2:3" x14ac:dyDescent="0.3">
      <c r="B2389"/>
      <c r="C2389"/>
    </row>
    <row r="2390" spans="2:3" x14ac:dyDescent="0.3">
      <c r="B2390"/>
      <c r="C2390"/>
    </row>
    <row r="2391" spans="2:3" x14ac:dyDescent="0.3">
      <c r="B2391"/>
      <c r="C2391"/>
    </row>
    <row r="2392" spans="2:3" x14ac:dyDescent="0.3">
      <c r="B2392"/>
      <c r="C2392"/>
    </row>
    <row r="2393" spans="2:3" x14ac:dyDescent="0.3">
      <c r="B2393"/>
      <c r="C2393"/>
    </row>
    <row r="2394" spans="2:3" x14ac:dyDescent="0.3">
      <c r="B2394"/>
      <c r="C2394"/>
    </row>
    <row r="2395" spans="2:3" x14ac:dyDescent="0.3">
      <c r="B2395"/>
      <c r="C2395"/>
    </row>
    <row r="2396" spans="2:3" x14ac:dyDescent="0.3">
      <c r="B2396"/>
      <c r="C2396"/>
    </row>
    <row r="2397" spans="2:3" x14ac:dyDescent="0.3">
      <c r="B2397"/>
      <c r="C2397"/>
    </row>
    <row r="2398" spans="2:3" x14ac:dyDescent="0.3">
      <c r="B2398"/>
      <c r="C2398"/>
    </row>
    <row r="2399" spans="2:3" x14ac:dyDescent="0.3">
      <c r="B2399"/>
      <c r="C2399"/>
    </row>
    <row r="2400" spans="2:3" x14ac:dyDescent="0.3">
      <c r="B2400"/>
      <c r="C2400"/>
    </row>
    <row r="2401" spans="2:3" x14ac:dyDescent="0.3">
      <c r="B2401"/>
      <c r="C2401"/>
    </row>
    <row r="2402" spans="2:3" x14ac:dyDescent="0.3">
      <c r="B2402"/>
      <c r="C2402"/>
    </row>
    <row r="2403" spans="2:3" x14ac:dyDescent="0.3">
      <c r="B2403"/>
      <c r="C2403"/>
    </row>
    <row r="2404" spans="2:3" x14ac:dyDescent="0.3">
      <c r="B2404"/>
      <c r="C2404"/>
    </row>
    <row r="2405" spans="2:3" x14ac:dyDescent="0.3">
      <c r="B2405"/>
      <c r="C2405"/>
    </row>
    <row r="2406" spans="2:3" x14ac:dyDescent="0.3">
      <c r="B2406"/>
      <c r="C2406"/>
    </row>
    <row r="2407" spans="2:3" x14ac:dyDescent="0.3">
      <c r="B2407"/>
      <c r="C2407"/>
    </row>
    <row r="2408" spans="2:3" x14ac:dyDescent="0.3">
      <c r="B2408"/>
      <c r="C2408"/>
    </row>
    <row r="2409" spans="2:3" x14ac:dyDescent="0.3">
      <c r="B2409"/>
      <c r="C2409"/>
    </row>
    <row r="2410" spans="2:3" x14ac:dyDescent="0.3">
      <c r="B2410"/>
      <c r="C2410"/>
    </row>
    <row r="2411" spans="2:3" x14ac:dyDescent="0.3">
      <c r="B2411"/>
      <c r="C2411"/>
    </row>
    <row r="2412" spans="2:3" x14ac:dyDescent="0.3">
      <c r="B2412"/>
      <c r="C2412"/>
    </row>
    <row r="2413" spans="2:3" x14ac:dyDescent="0.3">
      <c r="B2413"/>
      <c r="C2413"/>
    </row>
    <row r="2414" spans="2:3" x14ac:dyDescent="0.3">
      <c r="B2414"/>
      <c r="C2414"/>
    </row>
    <row r="2415" spans="2:3" x14ac:dyDescent="0.3">
      <c r="B2415"/>
      <c r="C2415"/>
    </row>
    <row r="2416" spans="2:3" x14ac:dyDescent="0.3">
      <c r="B2416"/>
      <c r="C2416"/>
    </row>
    <row r="2417" spans="2:3" x14ac:dyDescent="0.3">
      <c r="B2417"/>
      <c r="C2417"/>
    </row>
    <row r="2418" spans="2:3" x14ac:dyDescent="0.3">
      <c r="B2418"/>
      <c r="C2418"/>
    </row>
    <row r="2419" spans="2:3" x14ac:dyDescent="0.3">
      <c r="B2419"/>
      <c r="C2419"/>
    </row>
    <row r="2420" spans="2:3" x14ac:dyDescent="0.3">
      <c r="B2420"/>
      <c r="C2420"/>
    </row>
    <row r="2421" spans="2:3" x14ac:dyDescent="0.3">
      <c r="B2421"/>
      <c r="C2421"/>
    </row>
    <row r="2422" spans="2:3" x14ac:dyDescent="0.3">
      <c r="B2422"/>
      <c r="C2422"/>
    </row>
    <row r="2423" spans="2:3" x14ac:dyDescent="0.3">
      <c r="B2423"/>
      <c r="C2423"/>
    </row>
    <row r="2424" spans="2:3" x14ac:dyDescent="0.3">
      <c r="B2424"/>
      <c r="C2424"/>
    </row>
    <row r="2425" spans="2:3" x14ac:dyDescent="0.3">
      <c r="B2425"/>
      <c r="C2425"/>
    </row>
    <row r="2426" spans="2:3" x14ac:dyDescent="0.3">
      <c r="B2426"/>
      <c r="C2426"/>
    </row>
    <row r="2427" spans="2:3" x14ac:dyDescent="0.3">
      <c r="B2427"/>
      <c r="C2427"/>
    </row>
    <row r="2428" spans="2:3" x14ac:dyDescent="0.3">
      <c r="B2428"/>
      <c r="C2428"/>
    </row>
    <row r="2429" spans="2:3" x14ac:dyDescent="0.3">
      <c r="B2429"/>
      <c r="C2429"/>
    </row>
    <row r="2430" spans="2:3" x14ac:dyDescent="0.3">
      <c r="B2430"/>
      <c r="C2430"/>
    </row>
    <row r="2431" spans="2:3" x14ac:dyDescent="0.3">
      <c r="B2431"/>
      <c r="C2431"/>
    </row>
    <row r="2432" spans="2:3" x14ac:dyDescent="0.3">
      <c r="B2432"/>
      <c r="C2432"/>
    </row>
    <row r="2433" spans="2:3" x14ac:dyDescent="0.3">
      <c r="B2433"/>
      <c r="C2433"/>
    </row>
    <row r="2434" spans="2:3" x14ac:dyDescent="0.3">
      <c r="B2434"/>
      <c r="C2434"/>
    </row>
    <row r="2435" spans="2:3" x14ac:dyDescent="0.3">
      <c r="B2435"/>
      <c r="C2435"/>
    </row>
    <row r="2436" spans="2:3" x14ac:dyDescent="0.3">
      <c r="B2436"/>
      <c r="C2436"/>
    </row>
    <row r="2437" spans="2:3" x14ac:dyDescent="0.3">
      <c r="B2437"/>
      <c r="C2437"/>
    </row>
    <row r="2438" spans="2:3" x14ac:dyDescent="0.3">
      <c r="B2438"/>
      <c r="C2438"/>
    </row>
    <row r="2439" spans="2:3" x14ac:dyDescent="0.3">
      <c r="B2439"/>
      <c r="C2439"/>
    </row>
    <row r="2440" spans="2:3" x14ac:dyDescent="0.3">
      <c r="B2440"/>
      <c r="C2440"/>
    </row>
    <row r="2441" spans="2:3" x14ac:dyDescent="0.3">
      <c r="B2441"/>
      <c r="C2441"/>
    </row>
    <row r="2442" spans="2:3" x14ac:dyDescent="0.3">
      <c r="B2442"/>
      <c r="C2442"/>
    </row>
    <row r="2443" spans="2:3" x14ac:dyDescent="0.3">
      <c r="B2443"/>
      <c r="C2443"/>
    </row>
    <row r="2444" spans="2:3" x14ac:dyDescent="0.3">
      <c r="B2444"/>
      <c r="C2444"/>
    </row>
    <row r="2445" spans="2:3" x14ac:dyDescent="0.3">
      <c r="B2445"/>
      <c r="C2445"/>
    </row>
    <row r="2446" spans="2:3" x14ac:dyDescent="0.3">
      <c r="B2446"/>
      <c r="C2446"/>
    </row>
    <row r="2447" spans="2:3" x14ac:dyDescent="0.3">
      <c r="B2447"/>
      <c r="C2447"/>
    </row>
    <row r="2448" spans="2:3" x14ac:dyDescent="0.3">
      <c r="B2448"/>
      <c r="C2448"/>
    </row>
    <row r="2449" spans="2:3" x14ac:dyDescent="0.3">
      <c r="B2449"/>
      <c r="C2449"/>
    </row>
    <row r="2450" spans="2:3" x14ac:dyDescent="0.3">
      <c r="B2450"/>
      <c r="C2450"/>
    </row>
    <row r="2451" spans="2:3" x14ac:dyDescent="0.3">
      <c r="B2451"/>
      <c r="C2451"/>
    </row>
    <row r="2452" spans="2:3" x14ac:dyDescent="0.3">
      <c r="B2452"/>
      <c r="C2452"/>
    </row>
    <row r="2453" spans="2:3" x14ac:dyDescent="0.3">
      <c r="B2453"/>
      <c r="C2453"/>
    </row>
    <row r="2454" spans="2:3" x14ac:dyDescent="0.3">
      <c r="B2454"/>
      <c r="C2454"/>
    </row>
    <row r="2455" spans="2:3" x14ac:dyDescent="0.3">
      <c r="B2455"/>
      <c r="C2455"/>
    </row>
    <row r="2456" spans="2:3" x14ac:dyDescent="0.3">
      <c r="B2456"/>
      <c r="C2456"/>
    </row>
    <row r="2457" spans="2:3" x14ac:dyDescent="0.3">
      <c r="B2457"/>
      <c r="C2457"/>
    </row>
    <row r="2458" spans="2:3" x14ac:dyDescent="0.3">
      <c r="B2458"/>
      <c r="C2458"/>
    </row>
    <row r="2459" spans="2:3" x14ac:dyDescent="0.3">
      <c r="B2459"/>
      <c r="C2459"/>
    </row>
    <row r="2460" spans="2:3" x14ac:dyDescent="0.3">
      <c r="B2460"/>
      <c r="C2460"/>
    </row>
    <row r="2461" spans="2:3" x14ac:dyDescent="0.3">
      <c r="B2461"/>
      <c r="C2461"/>
    </row>
    <row r="2462" spans="2:3" x14ac:dyDescent="0.3">
      <c r="B2462"/>
      <c r="C2462"/>
    </row>
    <row r="2463" spans="2:3" x14ac:dyDescent="0.3">
      <c r="B2463"/>
      <c r="C2463"/>
    </row>
    <row r="2464" spans="2:3" x14ac:dyDescent="0.3">
      <c r="B2464"/>
      <c r="C2464"/>
    </row>
    <row r="2465" spans="2:3" x14ac:dyDescent="0.3">
      <c r="B2465"/>
      <c r="C2465"/>
    </row>
    <row r="2466" spans="2:3" x14ac:dyDescent="0.3">
      <c r="B2466"/>
      <c r="C2466"/>
    </row>
    <row r="2467" spans="2:3" x14ac:dyDescent="0.3">
      <c r="B2467"/>
      <c r="C2467"/>
    </row>
    <row r="2468" spans="2:3" x14ac:dyDescent="0.3">
      <c r="B2468"/>
      <c r="C2468"/>
    </row>
    <row r="2469" spans="2:3" x14ac:dyDescent="0.3">
      <c r="B2469"/>
      <c r="C2469"/>
    </row>
    <row r="2470" spans="2:3" x14ac:dyDescent="0.3">
      <c r="B2470"/>
      <c r="C2470"/>
    </row>
    <row r="2471" spans="2:3" x14ac:dyDescent="0.3">
      <c r="B2471"/>
      <c r="C2471"/>
    </row>
    <row r="2472" spans="2:3" x14ac:dyDescent="0.3">
      <c r="B2472"/>
      <c r="C2472"/>
    </row>
    <row r="2473" spans="2:3" x14ac:dyDescent="0.3">
      <c r="B2473"/>
      <c r="C2473"/>
    </row>
    <row r="2474" spans="2:3" x14ac:dyDescent="0.3">
      <c r="B2474"/>
      <c r="C2474"/>
    </row>
    <row r="2475" spans="2:3" x14ac:dyDescent="0.3">
      <c r="B2475"/>
      <c r="C2475"/>
    </row>
    <row r="2476" spans="2:3" x14ac:dyDescent="0.3">
      <c r="B2476"/>
      <c r="C2476"/>
    </row>
    <row r="2477" spans="2:3" x14ac:dyDescent="0.3">
      <c r="B2477"/>
      <c r="C2477"/>
    </row>
    <row r="2478" spans="2:3" x14ac:dyDescent="0.3">
      <c r="B2478"/>
      <c r="C2478"/>
    </row>
    <row r="2479" spans="2:3" x14ac:dyDescent="0.3">
      <c r="B2479"/>
      <c r="C2479"/>
    </row>
    <row r="2480" spans="2:3" x14ac:dyDescent="0.3">
      <c r="B2480"/>
      <c r="C2480"/>
    </row>
    <row r="2481" spans="2:3" x14ac:dyDescent="0.3">
      <c r="B2481"/>
      <c r="C2481"/>
    </row>
    <row r="2482" spans="2:3" x14ac:dyDescent="0.3">
      <c r="B2482"/>
      <c r="C2482"/>
    </row>
    <row r="2483" spans="2:3" x14ac:dyDescent="0.3">
      <c r="B2483"/>
      <c r="C2483"/>
    </row>
    <row r="2484" spans="2:3" x14ac:dyDescent="0.3">
      <c r="B2484"/>
      <c r="C2484"/>
    </row>
    <row r="2485" spans="2:3" x14ac:dyDescent="0.3">
      <c r="B2485"/>
      <c r="C2485"/>
    </row>
    <row r="2486" spans="2:3" x14ac:dyDescent="0.3">
      <c r="B2486"/>
      <c r="C2486"/>
    </row>
    <row r="2487" spans="2:3" x14ac:dyDescent="0.3">
      <c r="B2487"/>
      <c r="C2487"/>
    </row>
    <row r="2488" spans="2:3" x14ac:dyDescent="0.3">
      <c r="B2488"/>
      <c r="C2488"/>
    </row>
    <row r="2489" spans="2:3" x14ac:dyDescent="0.3">
      <c r="B2489"/>
      <c r="C2489"/>
    </row>
    <row r="2490" spans="2:3" x14ac:dyDescent="0.3">
      <c r="B2490"/>
      <c r="C2490"/>
    </row>
    <row r="2491" spans="2:3" x14ac:dyDescent="0.3">
      <c r="B2491"/>
      <c r="C2491"/>
    </row>
    <row r="2492" spans="2:3" x14ac:dyDescent="0.3">
      <c r="B2492"/>
      <c r="C2492"/>
    </row>
    <row r="2493" spans="2:3" x14ac:dyDescent="0.3">
      <c r="B2493"/>
      <c r="C2493"/>
    </row>
    <row r="2494" spans="2:3" x14ac:dyDescent="0.3">
      <c r="B2494"/>
      <c r="C2494"/>
    </row>
    <row r="2495" spans="2:3" x14ac:dyDescent="0.3">
      <c r="B2495"/>
      <c r="C2495"/>
    </row>
    <row r="2496" spans="2:3" x14ac:dyDescent="0.3">
      <c r="B2496"/>
      <c r="C2496"/>
    </row>
    <row r="2497" spans="2:3" x14ac:dyDescent="0.3">
      <c r="B2497"/>
      <c r="C2497"/>
    </row>
    <row r="2498" spans="2:3" x14ac:dyDescent="0.3">
      <c r="B2498"/>
      <c r="C2498"/>
    </row>
    <row r="2499" spans="2:3" x14ac:dyDescent="0.3">
      <c r="B2499"/>
      <c r="C2499"/>
    </row>
    <row r="2500" spans="2:3" x14ac:dyDescent="0.3">
      <c r="B2500"/>
      <c r="C2500"/>
    </row>
    <row r="2501" spans="2:3" x14ac:dyDescent="0.3">
      <c r="B2501"/>
      <c r="C2501"/>
    </row>
    <row r="2502" spans="2:3" x14ac:dyDescent="0.3">
      <c r="B2502"/>
      <c r="C2502"/>
    </row>
    <row r="2503" spans="2:3" x14ac:dyDescent="0.3">
      <c r="B2503"/>
      <c r="C2503"/>
    </row>
    <row r="2504" spans="2:3" x14ac:dyDescent="0.3">
      <c r="B2504"/>
      <c r="C2504"/>
    </row>
    <row r="2505" spans="2:3" x14ac:dyDescent="0.3">
      <c r="B2505"/>
      <c r="C2505"/>
    </row>
    <row r="2506" spans="2:3" x14ac:dyDescent="0.3">
      <c r="B2506"/>
      <c r="C2506"/>
    </row>
    <row r="2507" spans="2:3" x14ac:dyDescent="0.3">
      <c r="B2507"/>
      <c r="C2507"/>
    </row>
    <row r="2508" spans="2:3" x14ac:dyDescent="0.3">
      <c r="B2508"/>
      <c r="C2508"/>
    </row>
    <row r="2509" spans="2:3" x14ac:dyDescent="0.3">
      <c r="B2509"/>
      <c r="C2509"/>
    </row>
    <row r="2510" spans="2:3" x14ac:dyDescent="0.3">
      <c r="B2510"/>
      <c r="C2510"/>
    </row>
    <row r="2511" spans="2:3" x14ac:dyDescent="0.3">
      <c r="B2511"/>
      <c r="C2511"/>
    </row>
    <row r="2512" spans="2:3" x14ac:dyDescent="0.3">
      <c r="B2512"/>
      <c r="C2512"/>
    </row>
    <row r="2513" spans="2:3" x14ac:dyDescent="0.3">
      <c r="B2513"/>
      <c r="C2513"/>
    </row>
    <row r="2514" spans="2:3" x14ac:dyDescent="0.3">
      <c r="B2514"/>
      <c r="C2514"/>
    </row>
    <row r="2515" spans="2:3" x14ac:dyDescent="0.3">
      <c r="B2515"/>
      <c r="C2515"/>
    </row>
    <row r="2516" spans="2:3" x14ac:dyDescent="0.3">
      <c r="B2516"/>
      <c r="C2516"/>
    </row>
    <row r="2517" spans="2:3" x14ac:dyDescent="0.3">
      <c r="B2517"/>
      <c r="C2517"/>
    </row>
    <row r="2518" spans="2:3" x14ac:dyDescent="0.3">
      <c r="B2518"/>
      <c r="C2518"/>
    </row>
    <row r="2519" spans="2:3" x14ac:dyDescent="0.3">
      <c r="B2519"/>
      <c r="C2519"/>
    </row>
    <row r="2520" spans="2:3" x14ac:dyDescent="0.3">
      <c r="B2520"/>
      <c r="C2520"/>
    </row>
    <row r="2521" spans="2:3" x14ac:dyDescent="0.3">
      <c r="B2521"/>
      <c r="C2521"/>
    </row>
    <row r="2522" spans="2:3" x14ac:dyDescent="0.3">
      <c r="B2522"/>
      <c r="C2522"/>
    </row>
    <row r="2523" spans="2:3" x14ac:dyDescent="0.3">
      <c r="B2523"/>
      <c r="C2523"/>
    </row>
    <row r="2524" spans="2:3" x14ac:dyDescent="0.3">
      <c r="B2524"/>
      <c r="C2524"/>
    </row>
    <row r="2525" spans="2:3" x14ac:dyDescent="0.3">
      <c r="B2525"/>
      <c r="C2525"/>
    </row>
    <row r="2526" spans="2:3" x14ac:dyDescent="0.3">
      <c r="B2526"/>
      <c r="C2526"/>
    </row>
    <row r="2527" spans="2:3" x14ac:dyDescent="0.3">
      <c r="B2527"/>
      <c r="C2527"/>
    </row>
    <row r="2528" spans="2:3" x14ac:dyDescent="0.3">
      <c r="B2528"/>
      <c r="C2528"/>
    </row>
    <row r="2529" spans="2:3" x14ac:dyDescent="0.3">
      <c r="B2529"/>
      <c r="C2529"/>
    </row>
    <row r="2530" spans="2:3" x14ac:dyDescent="0.3">
      <c r="B2530"/>
      <c r="C2530"/>
    </row>
    <row r="2531" spans="2:3" x14ac:dyDescent="0.3">
      <c r="B2531"/>
      <c r="C2531"/>
    </row>
    <row r="2532" spans="2:3" x14ac:dyDescent="0.3">
      <c r="B2532"/>
      <c r="C2532"/>
    </row>
    <row r="2533" spans="2:3" x14ac:dyDescent="0.3">
      <c r="B2533"/>
      <c r="C2533"/>
    </row>
    <row r="2534" spans="2:3" x14ac:dyDescent="0.3">
      <c r="B2534"/>
      <c r="C2534"/>
    </row>
    <row r="2535" spans="2:3" x14ac:dyDescent="0.3">
      <c r="B2535"/>
      <c r="C2535"/>
    </row>
    <row r="2536" spans="2:3" x14ac:dyDescent="0.3">
      <c r="B2536"/>
      <c r="C2536"/>
    </row>
    <row r="2537" spans="2:3" x14ac:dyDescent="0.3">
      <c r="B2537"/>
      <c r="C2537"/>
    </row>
    <row r="2538" spans="2:3" x14ac:dyDescent="0.3">
      <c r="B2538"/>
      <c r="C2538"/>
    </row>
    <row r="2539" spans="2:3" x14ac:dyDescent="0.3">
      <c r="B2539"/>
      <c r="C2539"/>
    </row>
    <row r="2540" spans="2:3" x14ac:dyDescent="0.3">
      <c r="B2540"/>
      <c r="C2540"/>
    </row>
    <row r="2541" spans="2:3" x14ac:dyDescent="0.3">
      <c r="B2541"/>
      <c r="C2541"/>
    </row>
    <row r="2542" spans="2:3" x14ac:dyDescent="0.3">
      <c r="B2542"/>
      <c r="C2542"/>
    </row>
    <row r="2543" spans="2:3" x14ac:dyDescent="0.3">
      <c r="B2543"/>
      <c r="C2543"/>
    </row>
    <row r="2544" spans="2:3" x14ac:dyDescent="0.3">
      <c r="B2544"/>
      <c r="C2544"/>
    </row>
    <row r="2545" spans="2:3" x14ac:dyDescent="0.3">
      <c r="B2545"/>
      <c r="C2545"/>
    </row>
    <row r="2546" spans="2:3" x14ac:dyDescent="0.3">
      <c r="B2546"/>
      <c r="C2546"/>
    </row>
    <row r="2547" spans="2:3" x14ac:dyDescent="0.3">
      <c r="B2547"/>
      <c r="C2547"/>
    </row>
    <row r="2548" spans="2:3" x14ac:dyDescent="0.3">
      <c r="B2548"/>
      <c r="C2548"/>
    </row>
    <row r="2549" spans="2:3" x14ac:dyDescent="0.3">
      <c r="B2549"/>
      <c r="C2549"/>
    </row>
    <row r="2550" spans="2:3" x14ac:dyDescent="0.3">
      <c r="B2550"/>
      <c r="C2550"/>
    </row>
    <row r="2551" spans="2:3" x14ac:dyDescent="0.3">
      <c r="B2551"/>
      <c r="C2551"/>
    </row>
    <row r="2552" spans="2:3" x14ac:dyDescent="0.3">
      <c r="B2552"/>
      <c r="C2552"/>
    </row>
    <row r="2553" spans="2:3" x14ac:dyDescent="0.3">
      <c r="B2553"/>
      <c r="C2553"/>
    </row>
    <row r="2554" spans="2:3" x14ac:dyDescent="0.3">
      <c r="B2554"/>
      <c r="C2554"/>
    </row>
    <row r="2555" spans="2:3" x14ac:dyDescent="0.3">
      <c r="B2555"/>
      <c r="C2555"/>
    </row>
    <row r="2556" spans="2:3" x14ac:dyDescent="0.3">
      <c r="B2556"/>
      <c r="C2556"/>
    </row>
    <row r="2557" spans="2:3" x14ac:dyDescent="0.3">
      <c r="B2557"/>
      <c r="C2557"/>
    </row>
    <row r="2558" spans="2:3" x14ac:dyDescent="0.3">
      <c r="B2558"/>
      <c r="C2558"/>
    </row>
    <row r="2559" spans="2:3" x14ac:dyDescent="0.3">
      <c r="B2559"/>
      <c r="C2559"/>
    </row>
    <row r="2560" spans="2:3" x14ac:dyDescent="0.3">
      <c r="B2560"/>
      <c r="C2560"/>
    </row>
    <row r="2561" spans="2:3" x14ac:dyDescent="0.3">
      <c r="B2561"/>
      <c r="C2561"/>
    </row>
    <row r="2562" spans="2:3" x14ac:dyDescent="0.3">
      <c r="B2562"/>
      <c r="C2562"/>
    </row>
    <row r="2563" spans="2:3" x14ac:dyDescent="0.3">
      <c r="B2563"/>
      <c r="C2563"/>
    </row>
    <row r="2564" spans="2:3" x14ac:dyDescent="0.3">
      <c r="B2564"/>
      <c r="C2564"/>
    </row>
    <row r="2565" spans="2:3" x14ac:dyDescent="0.3">
      <c r="B2565"/>
      <c r="C2565"/>
    </row>
    <row r="2566" spans="2:3" x14ac:dyDescent="0.3">
      <c r="B2566"/>
      <c r="C2566"/>
    </row>
    <row r="2567" spans="2:3" x14ac:dyDescent="0.3">
      <c r="B2567"/>
      <c r="C2567"/>
    </row>
    <row r="2568" spans="2:3" x14ac:dyDescent="0.3">
      <c r="B2568"/>
      <c r="C2568"/>
    </row>
    <row r="2569" spans="2:3" x14ac:dyDescent="0.3">
      <c r="B2569"/>
      <c r="C2569"/>
    </row>
    <row r="2570" spans="2:3" x14ac:dyDescent="0.3">
      <c r="B2570"/>
      <c r="C2570"/>
    </row>
    <row r="2571" spans="2:3" x14ac:dyDescent="0.3">
      <c r="B2571"/>
      <c r="C2571"/>
    </row>
    <row r="2572" spans="2:3" x14ac:dyDescent="0.3">
      <c r="B2572"/>
      <c r="C2572"/>
    </row>
    <row r="2573" spans="2:3" x14ac:dyDescent="0.3">
      <c r="B2573"/>
      <c r="C2573"/>
    </row>
    <row r="2574" spans="2:3" x14ac:dyDescent="0.3">
      <c r="B2574"/>
      <c r="C2574"/>
    </row>
    <row r="2575" spans="2:3" x14ac:dyDescent="0.3">
      <c r="B2575"/>
      <c r="C2575"/>
    </row>
    <row r="2576" spans="2:3" x14ac:dyDescent="0.3">
      <c r="B2576"/>
      <c r="C2576"/>
    </row>
    <row r="2577" spans="2:3" x14ac:dyDescent="0.3">
      <c r="B2577"/>
      <c r="C2577"/>
    </row>
    <row r="2578" spans="2:3" x14ac:dyDescent="0.3">
      <c r="B2578"/>
      <c r="C2578"/>
    </row>
    <row r="2579" spans="2:3" x14ac:dyDescent="0.3">
      <c r="B2579"/>
      <c r="C2579"/>
    </row>
    <row r="2580" spans="2:3" x14ac:dyDescent="0.3">
      <c r="B2580"/>
      <c r="C2580"/>
    </row>
    <row r="2581" spans="2:3" x14ac:dyDescent="0.3">
      <c r="B2581"/>
      <c r="C2581"/>
    </row>
    <row r="2582" spans="2:3" x14ac:dyDescent="0.3">
      <c r="B2582"/>
      <c r="C2582"/>
    </row>
    <row r="2583" spans="2:3" x14ac:dyDescent="0.3">
      <c r="B2583"/>
      <c r="C2583"/>
    </row>
    <row r="2584" spans="2:3" x14ac:dyDescent="0.3">
      <c r="B2584"/>
      <c r="C2584"/>
    </row>
    <row r="2585" spans="2:3" x14ac:dyDescent="0.3">
      <c r="B2585"/>
      <c r="C2585"/>
    </row>
    <row r="2586" spans="2:3" x14ac:dyDescent="0.3">
      <c r="B2586"/>
      <c r="C2586"/>
    </row>
    <row r="2587" spans="2:3" x14ac:dyDescent="0.3">
      <c r="B2587"/>
      <c r="C2587"/>
    </row>
    <row r="2588" spans="2:3" x14ac:dyDescent="0.3">
      <c r="B2588"/>
      <c r="C2588"/>
    </row>
    <row r="2589" spans="2:3" x14ac:dyDescent="0.3">
      <c r="B2589"/>
      <c r="C2589"/>
    </row>
    <row r="2590" spans="2:3" x14ac:dyDescent="0.3">
      <c r="B2590"/>
      <c r="C2590"/>
    </row>
    <row r="2591" spans="2:3" x14ac:dyDescent="0.3">
      <c r="B2591"/>
      <c r="C2591"/>
    </row>
    <row r="2592" spans="2:3" x14ac:dyDescent="0.3">
      <c r="B2592"/>
      <c r="C2592"/>
    </row>
    <row r="2593" spans="2:3" x14ac:dyDescent="0.3">
      <c r="B2593"/>
      <c r="C2593"/>
    </row>
    <row r="2594" spans="2:3" x14ac:dyDescent="0.3">
      <c r="B2594"/>
      <c r="C2594"/>
    </row>
    <row r="2595" spans="2:3" x14ac:dyDescent="0.3">
      <c r="B2595"/>
      <c r="C2595"/>
    </row>
    <row r="2596" spans="2:3" x14ac:dyDescent="0.3">
      <c r="B2596"/>
      <c r="C2596"/>
    </row>
    <row r="2597" spans="2:3" x14ac:dyDescent="0.3">
      <c r="B2597"/>
      <c r="C2597"/>
    </row>
    <row r="2598" spans="2:3" x14ac:dyDescent="0.3">
      <c r="B2598"/>
      <c r="C2598"/>
    </row>
    <row r="2599" spans="2:3" x14ac:dyDescent="0.3">
      <c r="B2599"/>
      <c r="C2599"/>
    </row>
    <row r="2600" spans="2:3" x14ac:dyDescent="0.3">
      <c r="B2600"/>
      <c r="C2600"/>
    </row>
    <row r="2601" spans="2:3" x14ac:dyDescent="0.3">
      <c r="B2601"/>
      <c r="C2601"/>
    </row>
    <row r="2602" spans="2:3" x14ac:dyDescent="0.3">
      <c r="B2602"/>
      <c r="C2602"/>
    </row>
    <row r="2603" spans="2:3" x14ac:dyDescent="0.3">
      <c r="B2603"/>
      <c r="C2603"/>
    </row>
    <row r="2604" spans="2:3" x14ac:dyDescent="0.3">
      <c r="B2604"/>
      <c r="C2604"/>
    </row>
    <row r="2605" spans="2:3" x14ac:dyDescent="0.3">
      <c r="B2605"/>
      <c r="C2605"/>
    </row>
    <row r="2606" spans="2:3" x14ac:dyDescent="0.3">
      <c r="B2606"/>
      <c r="C2606"/>
    </row>
    <row r="2607" spans="2:3" x14ac:dyDescent="0.3">
      <c r="B2607"/>
      <c r="C2607"/>
    </row>
    <row r="2608" spans="2:3" x14ac:dyDescent="0.3">
      <c r="B2608"/>
      <c r="C2608"/>
    </row>
    <row r="2609" spans="2:3" x14ac:dyDescent="0.3">
      <c r="B2609"/>
      <c r="C2609"/>
    </row>
    <row r="2610" spans="2:3" x14ac:dyDescent="0.3">
      <c r="B2610"/>
      <c r="C2610"/>
    </row>
    <row r="2611" spans="2:3" x14ac:dyDescent="0.3">
      <c r="B2611"/>
      <c r="C2611"/>
    </row>
    <row r="2612" spans="2:3" x14ac:dyDescent="0.3">
      <c r="B2612"/>
      <c r="C2612"/>
    </row>
    <row r="2613" spans="2:3" x14ac:dyDescent="0.3">
      <c r="B2613"/>
      <c r="C2613"/>
    </row>
    <row r="2614" spans="2:3" x14ac:dyDescent="0.3">
      <c r="B2614"/>
      <c r="C2614"/>
    </row>
    <row r="2615" spans="2:3" x14ac:dyDescent="0.3">
      <c r="B2615"/>
      <c r="C2615"/>
    </row>
    <row r="2616" spans="2:3" x14ac:dyDescent="0.3">
      <c r="B2616"/>
      <c r="C2616"/>
    </row>
    <row r="2617" spans="2:3" x14ac:dyDescent="0.3">
      <c r="B2617"/>
      <c r="C2617"/>
    </row>
    <row r="2618" spans="2:3" x14ac:dyDescent="0.3">
      <c r="B2618"/>
      <c r="C2618"/>
    </row>
    <row r="2619" spans="2:3" x14ac:dyDescent="0.3">
      <c r="B2619"/>
      <c r="C2619"/>
    </row>
    <row r="2620" spans="2:3" x14ac:dyDescent="0.3">
      <c r="B2620"/>
      <c r="C2620"/>
    </row>
    <row r="2621" spans="2:3" x14ac:dyDescent="0.3">
      <c r="B2621"/>
      <c r="C2621"/>
    </row>
    <row r="2622" spans="2:3" x14ac:dyDescent="0.3">
      <c r="B2622"/>
      <c r="C2622"/>
    </row>
    <row r="2623" spans="2:3" x14ac:dyDescent="0.3">
      <c r="B2623"/>
      <c r="C2623"/>
    </row>
    <row r="2624" spans="2:3" x14ac:dyDescent="0.3">
      <c r="B2624"/>
      <c r="C2624"/>
    </row>
    <row r="2625" spans="2:3" x14ac:dyDescent="0.3">
      <c r="B2625"/>
      <c r="C2625"/>
    </row>
    <row r="2626" spans="2:3" x14ac:dyDescent="0.3">
      <c r="B2626"/>
      <c r="C2626"/>
    </row>
    <row r="2627" spans="2:3" x14ac:dyDescent="0.3">
      <c r="B2627"/>
      <c r="C2627"/>
    </row>
    <row r="2628" spans="2:3" x14ac:dyDescent="0.3">
      <c r="B2628"/>
      <c r="C2628"/>
    </row>
    <row r="2629" spans="2:3" x14ac:dyDescent="0.3">
      <c r="B2629"/>
      <c r="C2629"/>
    </row>
    <row r="2630" spans="2:3" x14ac:dyDescent="0.3">
      <c r="B2630"/>
      <c r="C2630"/>
    </row>
    <row r="2631" spans="2:3" x14ac:dyDescent="0.3">
      <c r="B2631"/>
      <c r="C2631"/>
    </row>
    <row r="2632" spans="2:3" x14ac:dyDescent="0.3">
      <c r="B2632"/>
      <c r="C2632"/>
    </row>
    <row r="2633" spans="2:3" x14ac:dyDescent="0.3">
      <c r="B2633"/>
      <c r="C2633"/>
    </row>
    <row r="2634" spans="2:3" x14ac:dyDescent="0.3">
      <c r="B2634"/>
      <c r="C2634"/>
    </row>
    <row r="2635" spans="2:3" x14ac:dyDescent="0.3">
      <c r="B2635"/>
      <c r="C2635"/>
    </row>
    <row r="2636" spans="2:3" x14ac:dyDescent="0.3">
      <c r="B2636"/>
      <c r="C2636"/>
    </row>
    <row r="2637" spans="2:3" x14ac:dyDescent="0.3">
      <c r="B2637"/>
      <c r="C2637"/>
    </row>
    <row r="2638" spans="2:3" x14ac:dyDescent="0.3">
      <c r="B2638"/>
      <c r="C2638"/>
    </row>
    <row r="2639" spans="2:3" x14ac:dyDescent="0.3">
      <c r="B2639"/>
      <c r="C2639"/>
    </row>
    <row r="2640" spans="2:3" x14ac:dyDescent="0.3">
      <c r="B2640"/>
      <c r="C2640"/>
    </row>
    <row r="2641" spans="2:3" x14ac:dyDescent="0.3">
      <c r="B2641"/>
      <c r="C2641"/>
    </row>
    <row r="2642" spans="2:3" x14ac:dyDescent="0.3">
      <c r="B2642"/>
      <c r="C2642"/>
    </row>
    <row r="2643" spans="2:3" x14ac:dyDescent="0.3">
      <c r="B2643"/>
      <c r="C2643"/>
    </row>
    <row r="2644" spans="2:3" x14ac:dyDescent="0.3">
      <c r="B2644"/>
      <c r="C2644"/>
    </row>
    <row r="2645" spans="2:3" x14ac:dyDescent="0.3">
      <c r="B2645"/>
      <c r="C2645"/>
    </row>
    <row r="2646" spans="2:3" x14ac:dyDescent="0.3">
      <c r="B2646"/>
      <c r="C2646"/>
    </row>
    <row r="2647" spans="2:3" x14ac:dyDescent="0.3">
      <c r="B2647"/>
      <c r="C2647"/>
    </row>
    <row r="2648" spans="2:3" x14ac:dyDescent="0.3">
      <c r="B2648"/>
      <c r="C2648"/>
    </row>
    <row r="2649" spans="2:3" x14ac:dyDescent="0.3">
      <c r="B2649"/>
      <c r="C2649"/>
    </row>
    <row r="2650" spans="2:3" x14ac:dyDescent="0.3">
      <c r="B2650"/>
      <c r="C2650"/>
    </row>
    <row r="2651" spans="2:3" x14ac:dyDescent="0.3">
      <c r="B2651"/>
      <c r="C2651"/>
    </row>
    <row r="2652" spans="2:3" x14ac:dyDescent="0.3">
      <c r="B2652"/>
      <c r="C2652"/>
    </row>
    <row r="2653" spans="2:3" x14ac:dyDescent="0.3">
      <c r="B2653"/>
      <c r="C2653"/>
    </row>
    <row r="2654" spans="2:3" x14ac:dyDescent="0.3">
      <c r="B2654"/>
      <c r="C2654"/>
    </row>
    <row r="2655" spans="2:3" x14ac:dyDescent="0.3">
      <c r="B2655"/>
      <c r="C2655"/>
    </row>
    <row r="2656" spans="2:3" x14ac:dyDescent="0.3">
      <c r="B2656"/>
      <c r="C2656"/>
    </row>
    <row r="2657" spans="2:3" x14ac:dyDescent="0.3">
      <c r="B2657"/>
      <c r="C2657"/>
    </row>
    <row r="2658" spans="2:3" x14ac:dyDescent="0.3">
      <c r="B2658"/>
      <c r="C2658"/>
    </row>
    <row r="2659" spans="2:3" x14ac:dyDescent="0.3">
      <c r="B2659"/>
      <c r="C2659"/>
    </row>
    <row r="2660" spans="2:3" x14ac:dyDescent="0.3">
      <c r="B2660"/>
      <c r="C2660"/>
    </row>
    <row r="2661" spans="2:3" x14ac:dyDescent="0.3">
      <c r="B2661"/>
      <c r="C2661"/>
    </row>
    <row r="2662" spans="2:3" x14ac:dyDescent="0.3">
      <c r="B2662"/>
      <c r="C2662"/>
    </row>
    <row r="2663" spans="2:3" x14ac:dyDescent="0.3">
      <c r="B2663"/>
      <c r="C2663"/>
    </row>
    <row r="2664" spans="2:3" x14ac:dyDescent="0.3">
      <c r="B2664"/>
      <c r="C2664"/>
    </row>
    <row r="2665" spans="2:3" x14ac:dyDescent="0.3">
      <c r="B2665"/>
      <c r="C2665"/>
    </row>
    <row r="2666" spans="2:3" x14ac:dyDescent="0.3">
      <c r="B2666"/>
      <c r="C2666"/>
    </row>
    <row r="2667" spans="2:3" x14ac:dyDescent="0.3">
      <c r="B2667"/>
      <c r="C2667"/>
    </row>
    <row r="2668" spans="2:3" x14ac:dyDescent="0.3">
      <c r="B2668"/>
      <c r="C2668"/>
    </row>
    <row r="2669" spans="2:3" x14ac:dyDescent="0.3">
      <c r="B2669"/>
      <c r="C2669"/>
    </row>
    <row r="2670" spans="2:3" x14ac:dyDescent="0.3">
      <c r="B2670"/>
      <c r="C2670"/>
    </row>
    <row r="2671" spans="2:3" x14ac:dyDescent="0.3">
      <c r="B2671"/>
      <c r="C2671"/>
    </row>
    <row r="2672" spans="2:3" x14ac:dyDescent="0.3">
      <c r="B2672"/>
      <c r="C2672"/>
    </row>
    <row r="2673" spans="2:3" x14ac:dyDescent="0.3">
      <c r="B2673"/>
      <c r="C2673"/>
    </row>
    <row r="2674" spans="2:3" x14ac:dyDescent="0.3">
      <c r="B2674"/>
      <c r="C2674"/>
    </row>
    <row r="2675" spans="2:3" x14ac:dyDescent="0.3">
      <c r="B2675"/>
      <c r="C2675"/>
    </row>
    <row r="2676" spans="2:3" x14ac:dyDescent="0.3">
      <c r="B2676"/>
      <c r="C2676"/>
    </row>
    <row r="2677" spans="2:3" x14ac:dyDescent="0.3">
      <c r="B2677"/>
      <c r="C2677"/>
    </row>
    <row r="2678" spans="2:3" x14ac:dyDescent="0.3">
      <c r="B2678"/>
      <c r="C2678"/>
    </row>
    <row r="2679" spans="2:3" x14ac:dyDescent="0.3">
      <c r="B2679"/>
      <c r="C2679"/>
    </row>
    <row r="2680" spans="2:3" x14ac:dyDescent="0.3">
      <c r="B2680"/>
      <c r="C2680"/>
    </row>
    <row r="2681" spans="2:3" x14ac:dyDescent="0.3">
      <c r="B2681"/>
      <c r="C2681"/>
    </row>
    <row r="2682" spans="2:3" x14ac:dyDescent="0.3">
      <c r="B2682"/>
      <c r="C2682"/>
    </row>
    <row r="2683" spans="2:3" x14ac:dyDescent="0.3">
      <c r="B2683"/>
      <c r="C2683"/>
    </row>
    <row r="2684" spans="2:3" x14ac:dyDescent="0.3">
      <c r="B2684"/>
      <c r="C2684"/>
    </row>
    <row r="2685" spans="2:3" x14ac:dyDescent="0.3">
      <c r="B2685"/>
      <c r="C2685"/>
    </row>
    <row r="2686" spans="2:3" x14ac:dyDescent="0.3">
      <c r="B2686"/>
      <c r="C2686"/>
    </row>
    <row r="2687" spans="2:3" x14ac:dyDescent="0.3">
      <c r="B2687"/>
      <c r="C2687"/>
    </row>
    <row r="2688" spans="2:3" x14ac:dyDescent="0.3">
      <c r="B2688"/>
      <c r="C2688"/>
    </row>
    <row r="2689" spans="2:3" x14ac:dyDescent="0.3">
      <c r="B2689"/>
      <c r="C2689"/>
    </row>
    <row r="2690" spans="2:3" x14ac:dyDescent="0.3">
      <c r="B2690"/>
      <c r="C2690"/>
    </row>
    <row r="2691" spans="2:3" x14ac:dyDescent="0.3">
      <c r="B2691"/>
      <c r="C2691"/>
    </row>
    <row r="2692" spans="2:3" x14ac:dyDescent="0.3">
      <c r="B2692"/>
      <c r="C2692"/>
    </row>
    <row r="2693" spans="2:3" x14ac:dyDescent="0.3">
      <c r="B2693"/>
      <c r="C2693"/>
    </row>
    <row r="2694" spans="2:3" x14ac:dyDescent="0.3">
      <c r="B2694"/>
      <c r="C2694"/>
    </row>
    <row r="2695" spans="2:3" x14ac:dyDescent="0.3">
      <c r="B2695"/>
      <c r="C2695"/>
    </row>
    <row r="2696" spans="2:3" x14ac:dyDescent="0.3">
      <c r="B2696"/>
      <c r="C2696"/>
    </row>
    <row r="2697" spans="2:3" x14ac:dyDescent="0.3">
      <c r="B2697"/>
      <c r="C2697"/>
    </row>
    <row r="2698" spans="2:3" x14ac:dyDescent="0.3">
      <c r="B2698"/>
      <c r="C2698"/>
    </row>
    <row r="2699" spans="2:3" x14ac:dyDescent="0.3">
      <c r="B2699"/>
      <c r="C2699"/>
    </row>
    <row r="2700" spans="2:3" x14ac:dyDescent="0.3">
      <c r="B2700"/>
      <c r="C2700"/>
    </row>
    <row r="2701" spans="2:3" x14ac:dyDescent="0.3">
      <c r="B2701"/>
      <c r="C2701"/>
    </row>
    <row r="2702" spans="2:3" x14ac:dyDescent="0.3">
      <c r="B2702"/>
      <c r="C2702"/>
    </row>
    <row r="2703" spans="2:3" x14ac:dyDescent="0.3">
      <c r="B2703"/>
      <c r="C2703"/>
    </row>
    <row r="2704" spans="2:3" x14ac:dyDescent="0.3">
      <c r="B2704"/>
      <c r="C2704"/>
    </row>
    <row r="2705" spans="2:3" x14ac:dyDescent="0.3">
      <c r="B2705"/>
      <c r="C2705"/>
    </row>
    <row r="2706" spans="2:3" x14ac:dyDescent="0.3">
      <c r="B2706"/>
      <c r="C2706"/>
    </row>
    <row r="2707" spans="2:3" x14ac:dyDescent="0.3">
      <c r="B2707"/>
      <c r="C2707"/>
    </row>
    <row r="2708" spans="2:3" x14ac:dyDescent="0.3">
      <c r="B2708"/>
      <c r="C2708"/>
    </row>
    <row r="2709" spans="2:3" x14ac:dyDescent="0.3">
      <c r="B2709"/>
      <c r="C2709"/>
    </row>
    <row r="2710" spans="2:3" x14ac:dyDescent="0.3">
      <c r="B2710"/>
      <c r="C2710"/>
    </row>
    <row r="2711" spans="2:3" x14ac:dyDescent="0.3">
      <c r="B2711"/>
      <c r="C2711"/>
    </row>
    <row r="2712" spans="2:3" x14ac:dyDescent="0.3">
      <c r="B2712"/>
      <c r="C2712"/>
    </row>
    <row r="2713" spans="2:3" x14ac:dyDescent="0.3">
      <c r="B2713"/>
      <c r="C2713"/>
    </row>
    <row r="2714" spans="2:3" x14ac:dyDescent="0.3">
      <c r="B2714"/>
      <c r="C2714"/>
    </row>
    <row r="2715" spans="2:3" x14ac:dyDescent="0.3">
      <c r="B2715"/>
      <c r="C2715"/>
    </row>
    <row r="2716" spans="2:3" x14ac:dyDescent="0.3">
      <c r="B2716"/>
      <c r="C2716"/>
    </row>
    <row r="2717" spans="2:3" x14ac:dyDescent="0.3">
      <c r="B2717"/>
      <c r="C2717"/>
    </row>
    <row r="2718" spans="2:3" x14ac:dyDescent="0.3">
      <c r="B2718"/>
      <c r="C2718"/>
    </row>
    <row r="2719" spans="2:3" x14ac:dyDescent="0.3">
      <c r="B2719"/>
      <c r="C2719"/>
    </row>
    <row r="2720" spans="2:3" x14ac:dyDescent="0.3">
      <c r="B2720"/>
      <c r="C2720"/>
    </row>
    <row r="2721" spans="2:3" x14ac:dyDescent="0.3">
      <c r="B2721"/>
      <c r="C2721"/>
    </row>
    <row r="2722" spans="2:3" x14ac:dyDescent="0.3">
      <c r="B2722"/>
      <c r="C2722"/>
    </row>
    <row r="2723" spans="2:3" x14ac:dyDescent="0.3">
      <c r="B2723"/>
      <c r="C2723"/>
    </row>
    <row r="2724" spans="2:3" x14ac:dyDescent="0.3">
      <c r="B2724"/>
      <c r="C2724"/>
    </row>
    <row r="2725" spans="2:3" x14ac:dyDescent="0.3">
      <c r="B2725"/>
      <c r="C2725"/>
    </row>
    <row r="2726" spans="2:3" x14ac:dyDescent="0.3">
      <c r="B2726"/>
      <c r="C2726"/>
    </row>
    <row r="2727" spans="2:3" x14ac:dyDescent="0.3">
      <c r="B2727"/>
      <c r="C2727"/>
    </row>
    <row r="2728" spans="2:3" x14ac:dyDescent="0.3">
      <c r="B2728"/>
      <c r="C2728"/>
    </row>
    <row r="2729" spans="2:3" x14ac:dyDescent="0.3">
      <c r="B2729"/>
      <c r="C2729"/>
    </row>
    <row r="2730" spans="2:3" x14ac:dyDescent="0.3">
      <c r="B2730"/>
      <c r="C2730"/>
    </row>
    <row r="2731" spans="2:3" x14ac:dyDescent="0.3">
      <c r="B2731"/>
      <c r="C2731"/>
    </row>
    <row r="2732" spans="2:3" x14ac:dyDescent="0.3">
      <c r="B2732"/>
      <c r="C2732"/>
    </row>
    <row r="2733" spans="2:3" x14ac:dyDescent="0.3">
      <c r="B2733"/>
      <c r="C2733"/>
    </row>
    <row r="2734" spans="2:3" x14ac:dyDescent="0.3">
      <c r="B2734"/>
      <c r="C2734"/>
    </row>
    <row r="2735" spans="2:3" x14ac:dyDescent="0.3">
      <c r="B2735"/>
      <c r="C2735"/>
    </row>
    <row r="2736" spans="2:3" x14ac:dyDescent="0.3">
      <c r="B2736"/>
      <c r="C2736"/>
    </row>
    <row r="2737" spans="2:3" x14ac:dyDescent="0.3">
      <c r="B2737"/>
      <c r="C2737"/>
    </row>
    <row r="2738" spans="2:3" x14ac:dyDescent="0.3">
      <c r="B2738"/>
      <c r="C2738"/>
    </row>
    <row r="2739" spans="2:3" x14ac:dyDescent="0.3">
      <c r="B2739"/>
      <c r="C2739"/>
    </row>
    <row r="2740" spans="2:3" x14ac:dyDescent="0.3">
      <c r="B2740"/>
      <c r="C2740"/>
    </row>
    <row r="2741" spans="2:3" x14ac:dyDescent="0.3">
      <c r="B2741"/>
      <c r="C2741"/>
    </row>
    <row r="2742" spans="2:3" x14ac:dyDescent="0.3">
      <c r="B2742"/>
      <c r="C2742"/>
    </row>
    <row r="2743" spans="2:3" x14ac:dyDescent="0.3">
      <c r="B2743"/>
      <c r="C2743"/>
    </row>
    <row r="2744" spans="2:3" x14ac:dyDescent="0.3">
      <c r="B2744"/>
      <c r="C2744"/>
    </row>
    <row r="2745" spans="2:3" x14ac:dyDescent="0.3">
      <c r="B2745"/>
      <c r="C2745"/>
    </row>
    <row r="2746" spans="2:3" x14ac:dyDescent="0.3">
      <c r="B2746"/>
      <c r="C2746"/>
    </row>
    <row r="2747" spans="2:3" x14ac:dyDescent="0.3">
      <c r="B2747"/>
      <c r="C2747"/>
    </row>
    <row r="2748" spans="2:3" x14ac:dyDescent="0.3">
      <c r="B2748"/>
      <c r="C2748"/>
    </row>
    <row r="2749" spans="2:3" x14ac:dyDescent="0.3">
      <c r="B2749"/>
      <c r="C2749"/>
    </row>
    <row r="2750" spans="2:3" x14ac:dyDescent="0.3">
      <c r="B2750"/>
      <c r="C2750"/>
    </row>
    <row r="2751" spans="2:3" x14ac:dyDescent="0.3">
      <c r="B2751"/>
      <c r="C2751"/>
    </row>
    <row r="2752" spans="2:3" x14ac:dyDescent="0.3">
      <c r="B2752"/>
      <c r="C2752"/>
    </row>
    <row r="2753" spans="2:3" x14ac:dyDescent="0.3">
      <c r="B2753"/>
      <c r="C2753"/>
    </row>
    <row r="2754" spans="2:3" x14ac:dyDescent="0.3">
      <c r="B2754"/>
      <c r="C2754"/>
    </row>
    <row r="2755" spans="2:3" x14ac:dyDescent="0.3">
      <c r="B2755"/>
      <c r="C2755"/>
    </row>
    <row r="2756" spans="2:3" x14ac:dyDescent="0.3">
      <c r="B2756"/>
      <c r="C2756"/>
    </row>
    <row r="2757" spans="2:3" x14ac:dyDescent="0.3">
      <c r="B2757"/>
      <c r="C2757"/>
    </row>
    <row r="2758" spans="2:3" x14ac:dyDescent="0.3">
      <c r="B2758"/>
      <c r="C2758"/>
    </row>
    <row r="2759" spans="2:3" x14ac:dyDescent="0.3">
      <c r="B2759"/>
      <c r="C2759"/>
    </row>
    <row r="2760" spans="2:3" x14ac:dyDescent="0.3">
      <c r="B2760"/>
      <c r="C2760"/>
    </row>
    <row r="2761" spans="2:3" x14ac:dyDescent="0.3">
      <c r="B2761"/>
      <c r="C2761"/>
    </row>
    <row r="2762" spans="2:3" x14ac:dyDescent="0.3">
      <c r="B2762"/>
      <c r="C2762"/>
    </row>
    <row r="2763" spans="2:3" x14ac:dyDescent="0.3">
      <c r="B2763"/>
      <c r="C2763"/>
    </row>
    <row r="2764" spans="2:3" x14ac:dyDescent="0.3">
      <c r="B2764"/>
      <c r="C2764"/>
    </row>
    <row r="2765" spans="2:3" x14ac:dyDescent="0.3">
      <c r="B2765"/>
      <c r="C2765"/>
    </row>
    <row r="2766" spans="2:3" x14ac:dyDescent="0.3">
      <c r="B2766"/>
      <c r="C2766"/>
    </row>
    <row r="2767" spans="2:3" x14ac:dyDescent="0.3">
      <c r="B2767"/>
      <c r="C2767"/>
    </row>
    <row r="2768" spans="2:3" x14ac:dyDescent="0.3">
      <c r="B2768"/>
      <c r="C2768"/>
    </row>
    <row r="2769" spans="2:3" x14ac:dyDescent="0.3">
      <c r="B2769"/>
      <c r="C2769"/>
    </row>
    <row r="2770" spans="2:3" x14ac:dyDescent="0.3">
      <c r="B2770"/>
      <c r="C2770"/>
    </row>
    <row r="2771" spans="2:3" x14ac:dyDescent="0.3">
      <c r="B2771"/>
      <c r="C2771"/>
    </row>
    <row r="2772" spans="2:3" x14ac:dyDescent="0.3">
      <c r="B2772"/>
      <c r="C2772"/>
    </row>
    <row r="2773" spans="2:3" x14ac:dyDescent="0.3">
      <c r="B2773"/>
      <c r="C2773"/>
    </row>
    <row r="2774" spans="2:3" x14ac:dyDescent="0.3">
      <c r="B2774"/>
      <c r="C2774"/>
    </row>
    <row r="2775" spans="2:3" x14ac:dyDescent="0.3">
      <c r="B2775"/>
      <c r="C2775"/>
    </row>
    <row r="2776" spans="2:3" x14ac:dyDescent="0.3">
      <c r="B2776"/>
      <c r="C2776"/>
    </row>
    <row r="2777" spans="2:3" x14ac:dyDescent="0.3">
      <c r="B2777"/>
      <c r="C2777"/>
    </row>
    <row r="2778" spans="2:3" x14ac:dyDescent="0.3">
      <c r="B2778"/>
      <c r="C2778"/>
    </row>
    <row r="2779" spans="2:3" x14ac:dyDescent="0.3">
      <c r="B2779"/>
      <c r="C2779"/>
    </row>
    <row r="2780" spans="2:3" x14ac:dyDescent="0.3">
      <c r="B2780"/>
      <c r="C2780"/>
    </row>
    <row r="2781" spans="2:3" x14ac:dyDescent="0.3">
      <c r="B2781"/>
      <c r="C2781"/>
    </row>
    <row r="2782" spans="2:3" x14ac:dyDescent="0.3">
      <c r="B2782"/>
      <c r="C2782"/>
    </row>
    <row r="2783" spans="2:3" x14ac:dyDescent="0.3">
      <c r="B2783"/>
      <c r="C2783"/>
    </row>
    <row r="2784" spans="2:3" x14ac:dyDescent="0.3">
      <c r="B2784"/>
      <c r="C2784"/>
    </row>
    <row r="2785" spans="2:3" x14ac:dyDescent="0.3">
      <c r="B2785"/>
      <c r="C2785"/>
    </row>
    <row r="2786" spans="2:3" x14ac:dyDescent="0.3">
      <c r="B2786"/>
      <c r="C2786"/>
    </row>
    <row r="2787" spans="2:3" x14ac:dyDescent="0.3">
      <c r="B2787"/>
      <c r="C2787"/>
    </row>
    <row r="2788" spans="2:3" x14ac:dyDescent="0.3">
      <c r="B2788"/>
      <c r="C2788"/>
    </row>
    <row r="2789" spans="2:3" x14ac:dyDescent="0.3">
      <c r="B2789"/>
      <c r="C2789"/>
    </row>
    <row r="2790" spans="2:3" x14ac:dyDescent="0.3">
      <c r="B2790"/>
      <c r="C2790"/>
    </row>
    <row r="2791" spans="2:3" x14ac:dyDescent="0.3">
      <c r="B2791"/>
      <c r="C2791"/>
    </row>
    <row r="2792" spans="2:3" x14ac:dyDescent="0.3">
      <c r="B2792"/>
      <c r="C2792"/>
    </row>
    <row r="2793" spans="2:3" x14ac:dyDescent="0.3">
      <c r="B2793"/>
      <c r="C2793"/>
    </row>
    <row r="2794" spans="2:3" x14ac:dyDescent="0.3">
      <c r="B2794"/>
      <c r="C2794"/>
    </row>
    <row r="2795" spans="2:3" x14ac:dyDescent="0.3">
      <c r="B2795"/>
      <c r="C2795"/>
    </row>
    <row r="2796" spans="2:3" x14ac:dyDescent="0.3">
      <c r="B2796"/>
      <c r="C2796"/>
    </row>
    <row r="2797" spans="2:3" x14ac:dyDescent="0.3">
      <c r="B2797"/>
      <c r="C2797"/>
    </row>
    <row r="2798" spans="2:3" x14ac:dyDescent="0.3">
      <c r="B2798"/>
      <c r="C2798"/>
    </row>
    <row r="2799" spans="2:3" x14ac:dyDescent="0.3">
      <c r="B2799"/>
      <c r="C2799"/>
    </row>
    <row r="2800" spans="2:3" x14ac:dyDescent="0.3">
      <c r="B2800"/>
      <c r="C2800"/>
    </row>
    <row r="2801" spans="2:3" x14ac:dyDescent="0.3">
      <c r="B2801"/>
      <c r="C2801"/>
    </row>
    <row r="2802" spans="2:3" x14ac:dyDescent="0.3">
      <c r="B2802"/>
      <c r="C2802"/>
    </row>
    <row r="2803" spans="2:3" x14ac:dyDescent="0.3">
      <c r="B2803"/>
      <c r="C2803"/>
    </row>
    <row r="2804" spans="2:3" x14ac:dyDescent="0.3">
      <c r="B2804"/>
      <c r="C2804"/>
    </row>
    <row r="2805" spans="2:3" x14ac:dyDescent="0.3">
      <c r="B2805"/>
      <c r="C2805"/>
    </row>
    <row r="2806" spans="2:3" x14ac:dyDescent="0.3">
      <c r="B2806"/>
      <c r="C2806"/>
    </row>
    <row r="2807" spans="2:3" x14ac:dyDescent="0.3">
      <c r="B2807"/>
      <c r="C2807"/>
    </row>
    <row r="2808" spans="2:3" x14ac:dyDescent="0.3">
      <c r="B2808"/>
      <c r="C2808"/>
    </row>
    <row r="2809" spans="2:3" x14ac:dyDescent="0.3">
      <c r="B2809"/>
      <c r="C2809"/>
    </row>
    <row r="2810" spans="2:3" x14ac:dyDescent="0.3">
      <c r="B2810"/>
      <c r="C2810"/>
    </row>
    <row r="2811" spans="2:3" x14ac:dyDescent="0.3">
      <c r="B2811"/>
      <c r="C2811"/>
    </row>
    <row r="2812" spans="2:3" x14ac:dyDescent="0.3">
      <c r="B2812"/>
      <c r="C2812"/>
    </row>
    <row r="2813" spans="2:3" x14ac:dyDescent="0.3">
      <c r="B2813"/>
      <c r="C2813"/>
    </row>
    <row r="2814" spans="2:3" x14ac:dyDescent="0.3">
      <c r="B2814"/>
      <c r="C2814"/>
    </row>
    <row r="2815" spans="2:3" x14ac:dyDescent="0.3">
      <c r="B2815"/>
      <c r="C2815"/>
    </row>
    <row r="2816" spans="2:3" x14ac:dyDescent="0.3">
      <c r="B2816"/>
      <c r="C2816"/>
    </row>
    <row r="2817" spans="2:3" x14ac:dyDescent="0.3">
      <c r="B2817"/>
      <c r="C2817"/>
    </row>
    <row r="2818" spans="2:3" x14ac:dyDescent="0.3">
      <c r="B2818"/>
      <c r="C2818"/>
    </row>
    <row r="2819" spans="2:3" x14ac:dyDescent="0.3">
      <c r="B2819"/>
      <c r="C2819"/>
    </row>
    <row r="2820" spans="2:3" x14ac:dyDescent="0.3">
      <c r="B2820"/>
      <c r="C2820"/>
    </row>
    <row r="2821" spans="2:3" x14ac:dyDescent="0.3">
      <c r="B2821"/>
      <c r="C2821"/>
    </row>
    <row r="2822" spans="2:3" x14ac:dyDescent="0.3">
      <c r="B2822"/>
      <c r="C2822"/>
    </row>
    <row r="2823" spans="2:3" x14ac:dyDescent="0.3">
      <c r="B2823"/>
      <c r="C2823"/>
    </row>
    <row r="2824" spans="2:3" x14ac:dyDescent="0.3">
      <c r="B2824"/>
      <c r="C2824"/>
    </row>
    <row r="2825" spans="2:3" x14ac:dyDescent="0.3">
      <c r="B2825"/>
      <c r="C2825"/>
    </row>
    <row r="2826" spans="2:3" x14ac:dyDescent="0.3">
      <c r="B2826"/>
      <c r="C2826"/>
    </row>
    <row r="2827" spans="2:3" x14ac:dyDescent="0.3">
      <c r="B2827"/>
      <c r="C2827"/>
    </row>
    <row r="2828" spans="2:3" x14ac:dyDescent="0.3">
      <c r="B2828"/>
      <c r="C2828"/>
    </row>
    <row r="2829" spans="2:3" x14ac:dyDescent="0.3">
      <c r="B2829"/>
      <c r="C2829"/>
    </row>
    <row r="2830" spans="2:3" x14ac:dyDescent="0.3">
      <c r="B2830"/>
      <c r="C2830"/>
    </row>
    <row r="2831" spans="2:3" x14ac:dyDescent="0.3">
      <c r="B2831"/>
      <c r="C2831"/>
    </row>
    <row r="2832" spans="2:3" x14ac:dyDescent="0.3">
      <c r="B2832"/>
      <c r="C2832"/>
    </row>
    <row r="2833" spans="2:3" x14ac:dyDescent="0.3">
      <c r="B2833"/>
      <c r="C2833"/>
    </row>
    <row r="2834" spans="2:3" x14ac:dyDescent="0.3">
      <c r="B2834"/>
      <c r="C2834"/>
    </row>
    <row r="2835" spans="2:3" x14ac:dyDescent="0.3">
      <c r="B2835"/>
      <c r="C2835"/>
    </row>
    <row r="2836" spans="2:3" x14ac:dyDescent="0.3">
      <c r="B2836"/>
      <c r="C2836"/>
    </row>
    <row r="2837" spans="2:3" x14ac:dyDescent="0.3">
      <c r="B2837"/>
      <c r="C2837"/>
    </row>
    <row r="2838" spans="2:3" x14ac:dyDescent="0.3">
      <c r="B2838"/>
      <c r="C2838"/>
    </row>
    <row r="2839" spans="2:3" x14ac:dyDescent="0.3">
      <c r="B2839"/>
      <c r="C2839"/>
    </row>
    <row r="2840" spans="2:3" x14ac:dyDescent="0.3">
      <c r="B2840"/>
      <c r="C2840"/>
    </row>
    <row r="2841" spans="2:3" x14ac:dyDescent="0.3">
      <c r="B2841"/>
      <c r="C2841"/>
    </row>
    <row r="2842" spans="2:3" x14ac:dyDescent="0.3">
      <c r="B2842"/>
      <c r="C2842"/>
    </row>
    <row r="2843" spans="2:3" x14ac:dyDescent="0.3">
      <c r="B2843"/>
      <c r="C2843"/>
    </row>
    <row r="2844" spans="2:3" x14ac:dyDescent="0.3">
      <c r="B2844"/>
      <c r="C2844"/>
    </row>
    <row r="2845" spans="2:3" x14ac:dyDescent="0.3">
      <c r="B2845"/>
      <c r="C2845"/>
    </row>
    <row r="2846" spans="2:3" x14ac:dyDescent="0.3">
      <c r="B2846"/>
      <c r="C2846"/>
    </row>
    <row r="2847" spans="2:3" x14ac:dyDescent="0.3">
      <c r="B2847"/>
      <c r="C2847"/>
    </row>
    <row r="2848" spans="2:3" x14ac:dyDescent="0.3">
      <c r="B2848"/>
      <c r="C2848"/>
    </row>
    <row r="2849" spans="2:3" x14ac:dyDescent="0.3">
      <c r="B2849"/>
      <c r="C2849"/>
    </row>
    <row r="2850" spans="2:3" x14ac:dyDescent="0.3">
      <c r="B2850"/>
      <c r="C2850"/>
    </row>
    <row r="2851" spans="2:3" x14ac:dyDescent="0.3">
      <c r="B2851"/>
      <c r="C2851"/>
    </row>
    <row r="2852" spans="2:3" x14ac:dyDescent="0.3">
      <c r="B2852"/>
      <c r="C2852"/>
    </row>
    <row r="2853" spans="2:3" x14ac:dyDescent="0.3">
      <c r="B2853"/>
      <c r="C2853"/>
    </row>
    <row r="2854" spans="2:3" x14ac:dyDescent="0.3">
      <c r="B2854"/>
      <c r="C2854"/>
    </row>
    <row r="2855" spans="2:3" x14ac:dyDescent="0.3">
      <c r="B2855"/>
      <c r="C2855"/>
    </row>
    <row r="2856" spans="2:3" x14ac:dyDescent="0.3">
      <c r="B2856"/>
      <c r="C2856"/>
    </row>
    <row r="2857" spans="2:3" x14ac:dyDescent="0.3">
      <c r="B2857"/>
      <c r="C2857"/>
    </row>
    <row r="2858" spans="2:3" x14ac:dyDescent="0.3">
      <c r="B2858"/>
      <c r="C2858"/>
    </row>
    <row r="2859" spans="2:3" x14ac:dyDescent="0.3">
      <c r="B2859"/>
      <c r="C2859"/>
    </row>
    <row r="2860" spans="2:3" x14ac:dyDescent="0.3">
      <c r="B2860"/>
      <c r="C2860"/>
    </row>
    <row r="2861" spans="2:3" x14ac:dyDescent="0.3">
      <c r="B2861"/>
      <c r="C2861"/>
    </row>
    <row r="2862" spans="2:3" x14ac:dyDescent="0.3">
      <c r="B2862"/>
      <c r="C2862"/>
    </row>
    <row r="2863" spans="2:3" x14ac:dyDescent="0.3">
      <c r="B2863"/>
      <c r="C2863"/>
    </row>
    <row r="2864" spans="2:3" x14ac:dyDescent="0.3">
      <c r="B2864"/>
      <c r="C2864"/>
    </row>
    <row r="2865" spans="2:3" x14ac:dyDescent="0.3">
      <c r="B2865"/>
      <c r="C2865"/>
    </row>
    <row r="2866" spans="2:3" x14ac:dyDescent="0.3">
      <c r="B2866"/>
      <c r="C2866"/>
    </row>
    <row r="2867" spans="2:3" x14ac:dyDescent="0.3">
      <c r="B2867"/>
      <c r="C2867"/>
    </row>
    <row r="2868" spans="2:3" x14ac:dyDescent="0.3">
      <c r="B2868"/>
      <c r="C2868"/>
    </row>
    <row r="2869" spans="2:3" x14ac:dyDescent="0.3">
      <c r="B2869"/>
      <c r="C2869"/>
    </row>
    <row r="2870" spans="2:3" x14ac:dyDescent="0.3">
      <c r="B2870"/>
      <c r="C2870"/>
    </row>
    <row r="2871" spans="2:3" x14ac:dyDescent="0.3">
      <c r="B2871"/>
      <c r="C2871"/>
    </row>
    <row r="2872" spans="2:3" x14ac:dyDescent="0.3">
      <c r="B2872"/>
      <c r="C2872"/>
    </row>
    <row r="2873" spans="2:3" x14ac:dyDescent="0.3">
      <c r="B2873"/>
      <c r="C2873"/>
    </row>
    <row r="2874" spans="2:3" x14ac:dyDescent="0.3">
      <c r="B2874"/>
      <c r="C2874"/>
    </row>
    <row r="2875" spans="2:3" x14ac:dyDescent="0.3">
      <c r="B2875"/>
      <c r="C2875"/>
    </row>
    <row r="2876" spans="2:3" x14ac:dyDescent="0.3">
      <c r="B2876"/>
      <c r="C2876"/>
    </row>
    <row r="2877" spans="2:3" x14ac:dyDescent="0.3">
      <c r="B2877"/>
      <c r="C2877"/>
    </row>
    <row r="2878" spans="2:3" x14ac:dyDescent="0.3">
      <c r="B2878"/>
      <c r="C2878"/>
    </row>
    <row r="2879" spans="2:3" x14ac:dyDescent="0.3">
      <c r="B2879"/>
      <c r="C2879"/>
    </row>
    <row r="2880" spans="2:3" x14ac:dyDescent="0.3">
      <c r="B2880"/>
      <c r="C2880"/>
    </row>
    <row r="2881" spans="2:3" x14ac:dyDescent="0.3">
      <c r="B2881"/>
      <c r="C2881"/>
    </row>
    <row r="2882" spans="2:3" x14ac:dyDescent="0.3">
      <c r="B2882"/>
      <c r="C2882"/>
    </row>
    <row r="2883" spans="2:3" x14ac:dyDescent="0.3">
      <c r="B2883"/>
      <c r="C2883"/>
    </row>
    <row r="2884" spans="2:3" x14ac:dyDescent="0.3">
      <c r="B2884"/>
      <c r="C2884"/>
    </row>
    <row r="2885" spans="2:3" x14ac:dyDescent="0.3">
      <c r="B2885"/>
      <c r="C2885"/>
    </row>
    <row r="2886" spans="2:3" x14ac:dyDescent="0.3">
      <c r="B2886"/>
      <c r="C2886"/>
    </row>
    <row r="2887" spans="2:3" x14ac:dyDescent="0.3">
      <c r="B2887"/>
      <c r="C2887"/>
    </row>
    <row r="2888" spans="2:3" x14ac:dyDescent="0.3">
      <c r="B2888"/>
      <c r="C2888"/>
    </row>
    <row r="2889" spans="2:3" x14ac:dyDescent="0.3">
      <c r="B2889"/>
      <c r="C2889"/>
    </row>
    <row r="2890" spans="2:3" x14ac:dyDescent="0.3">
      <c r="B2890"/>
      <c r="C2890"/>
    </row>
    <row r="2891" spans="2:3" x14ac:dyDescent="0.3">
      <c r="B2891"/>
      <c r="C2891"/>
    </row>
    <row r="2892" spans="2:3" x14ac:dyDescent="0.3">
      <c r="B2892"/>
      <c r="C2892"/>
    </row>
    <row r="2893" spans="2:3" x14ac:dyDescent="0.3">
      <c r="B2893"/>
      <c r="C2893"/>
    </row>
    <row r="2894" spans="2:3" x14ac:dyDescent="0.3">
      <c r="B2894"/>
      <c r="C2894"/>
    </row>
    <row r="2895" spans="2:3" x14ac:dyDescent="0.3">
      <c r="B2895"/>
      <c r="C2895"/>
    </row>
    <row r="2896" spans="2:3" x14ac:dyDescent="0.3">
      <c r="B2896"/>
      <c r="C2896"/>
    </row>
    <row r="2897" spans="2:3" x14ac:dyDescent="0.3">
      <c r="B2897"/>
      <c r="C2897"/>
    </row>
    <row r="2898" spans="2:3" x14ac:dyDescent="0.3">
      <c r="B2898"/>
      <c r="C2898"/>
    </row>
    <row r="2899" spans="2:3" x14ac:dyDescent="0.3">
      <c r="B2899"/>
      <c r="C2899"/>
    </row>
    <row r="2900" spans="2:3" x14ac:dyDescent="0.3">
      <c r="B2900"/>
      <c r="C2900"/>
    </row>
    <row r="2901" spans="2:3" x14ac:dyDescent="0.3">
      <c r="B2901"/>
      <c r="C2901"/>
    </row>
    <row r="2902" spans="2:3" x14ac:dyDescent="0.3">
      <c r="B2902"/>
      <c r="C2902"/>
    </row>
    <row r="2903" spans="2:3" x14ac:dyDescent="0.3">
      <c r="B2903"/>
      <c r="C2903"/>
    </row>
    <row r="2904" spans="2:3" x14ac:dyDescent="0.3">
      <c r="B2904"/>
      <c r="C2904"/>
    </row>
    <row r="2905" spans="2:3" x14ac:dyDescent="0.3">
      <c r="B2905"/>
      <c r="C2905"/>
    </row>
    <row r="2906" spans="2:3" x14ac:dyDescent="0.3">
      <c r="B2906"/>
      <c r="C2906"/>
    </row>
    <row r="2907" spans="2:3" x14ac:dyDescent="0.3">
      <c r="B2907"/>
      <c r="C2907"/>
    </row>
    <row r="2908" spans="2:3" x14ac:dyDescent="0.3">
      <c r="B2908"/>
      <c r="C2908"/>
    </row>
    <row r="2909" spans="2:3" x14ac:dyDescent="0.3">
      <c r="B2909"/>
      <c r="C2909"/>
    </row>
    <row r="2910" spans="2:3" x14ac:dyDescent="0.3">
      <c r="B2910"/>
      <c r="C2910"/>
    </row>
    <row r="2911" spans="2:3" x14ac:dyDescent="0.3">
      <c r="B2911"/>
      <c r="C2911"/>
    </row>
    <row r="2912" spans="2:3" x14ac:dyDescent="0.3">
      <c r="B2912"/>
      <c r="C2912"/>
    </row>
    <row r="2913" spans="2:3" x14ac:dyDescent="0.3">
      <c r="B2913"/>
      <c r="C2913"/>
    </row>
    <row r="2914" spans="2:3" x14ac:dyDescent="0.3">
      <c r="B2914"/>
      <c r="C2914"/>
    </row>
    <row r="2915" spans="2:3" x14ac:dyDescent="0.3">
      <c r="B2915"/>
      <c r="C2915"/>
    </row>
    <row r="2916" spans="2:3" x14ac:dyDescent="0.3">
      <c r="B2916"/>
      <c r="C2916"/>
    </row>
    <row r="2917" spans="2:3" x14ac:dyDescent="0.3">
      <c r="B2917"/>
      <c r="C2917"/>
    </row>
    <row r="2918" spans="2:3" x14ac:dyDescent="0.3">
      <c r="B2918"/>
      <c r="C2918"/>
    </row>
    <row r="2919" spans="2:3" x14ac:dyDescent="0.3">
      <c r="B2919"/>
      <c r="C2919"/>
    </row>
    <row r="2920" spans="2:3" x14ac:dyDescent="0.3">
      <c r="B2920"/>
      <c r="C2920"/>
    </row>
    <row r="2921" spans="2:3" x14ac:dyDescent="0.3">
      <c r="B2921"/>
      <c r="C2921"/>
    </row>
    <row r="2922" spans="2:3" x14ac:dyDescent="0.3">
      <c r="B2922"/>
      <c r="C2922"/>
    </row>
    <row r="2923" spans="2:3" x14ac:dyDescent="0.3">
      <c r="B2923"/>
      <c r="C2923"/>
    </row>
    <row r="2924" spans="2:3" x14ac:dyDescent="0.3">
      <c r="B2924"/>
      <c r="C2924"/>
    </row>
    <row r="2925" spans="2:3" x14ac:dyDescent="0.3">
      <c r="B2925"/>
      <c r="C2925"/>
    </row>
    <row r="2926" spans="2:3" x14ac:dyDescent="0.3">
      <c r="B2926"/>
      <c r="C2926"/>
    </row>
    <row r="2927" spans="2:3" x14ac:dyDescent="0.3">
      <c r="B2927"/>
      <c r="C2927"/>
    </row>
    <row r="2928" spans="2:3" x14ac:dyDescent="0.3">
      <c r="B2928"/>
      <c r="C2928"/>
    </row>
    <row r="2929" spans="2:3" x14ac:dyDescent="0.3">
      <c r="B2929"/>
      <c r="C2929"/>
    </row>
    <row r="2930" spans="2:3" x14ac:dyDescent="0.3">
      <c r="B2930"/>
      <c r="C2930"/>
    </row>
    <row r="2931" spans="2:3" x14ac:dyDescent="0.3">
      <c r="B2931"/>
      <c r="C2931"/>
    </row>
    <row r="2932" spans="2:3" x14ac:dyDescent="0.3">
      <c r="B2932"/>
      <c r="C2932"/>
    </row>
    <row r="2933" spans="2:3" x14ac:dyDescent="0.3">
      <c r="B2933"/>
      <c r="C2933"/>
    </row>
    <row r="2934" spans="2:3" x14ac:dyDescent="0.3">
      <c r="B2934"/>
      <c r="C2934"/>
    </row>
    <row r="2935" spans="2:3" x14ac:dyDescent="0.3">
      <c r="B2935"/>
      <c r="C2935"/>
    </row>
    <row r="2936" spans="2:3" x14ac:dyDescent="0.3">
      <c r="B2936"/>
      <c r="C2936"/>
    </row>
    <row r="2937" spans="2:3" x14ac:dyDescent="0.3">
      <c r="B2937"/>
      <c r="C2937"/>
    </row>
    <row r="2938" spans="2:3" x14ac:dyDescent="0.3">
      <c r="B2938"/>
      <c r="C2938"/>
    </row>
    <row r="2939" spans="2:3" x14ac:dyDescent="0.3">
      <c r="B2939"/>
      <c r="C2939"/>
    </row>
    <row r="2940" spans="2:3" x14ac:dyDescent="0.3">
      <c r="B2940"/>
      <c r="C2940"/>
    </row>
    <row r="2941" spans="2:3" x14ac:dyDescent="0.3">
      <c r="B2941"/>
      <c r="C2941"/>
    </row>
    <row r="2942" spans="2:3" x14ac:dyDescent="0.3">
      <c r="B2942"/>
      <c r="C2942"/>
    </row>
    <row r="2943" spans="2:3" x14ac:dyDescent="0.3">
      <c r="B2943"/>
      <c r="C2943"/>
    </row>
    <row r="2944" spans="2:3" x14ac:dyDescent="0.3">
      <c r="B2944"/>
      <c r="C2944"/>
    </row>
    <row r="2945" spans="2:3" x14ac:dyDescent="0.3">
      <c r="B2945"/>
      <c r="C2945"/>
    </row>
    <row r="2946" spans="2:3" x14ac:dyDescent="0.3">
      <c r="B2946"/>
      <c r="C2946"/>
    </row>
    <row r="2947" spans="2:3" x14ac:dyDescent="0.3">
      <c r="B2947"/>
      <c r="C2947"/>
    </row>
    <row r="2948" spans="2:3" x14ac:dyDescent="0.3">
      <c r="B2948"/>
      <c r="C2948"/>
    </row>
    <row r="2949" spans="2:3" x14ac:dyDescent="0.3">
      <c r="B2949"/>
      <c r="C2949"/>
    </row>
    <row r="2950" spans="2:3" x14ac:dyDescent="0.3">
      <c r="B2950"/>
      <c r="C2950"/>
    </row>
    <row r="2951" spans="2:3" x14ac:dyDescent="0.3">
      <c r="B2951"/>
      <c r="C2951"/>
    </row>
    <row r="2952" spans="2:3" x14ac:dyDescent="0.3">
      <c r="B2952"/>
      <c r="C2952"/>
    </row>
    <row r="2953" spans="2:3" x14ac:dyDescent="0.3">
      <c r="B2953"/>
      <c r="C2953"/>
    </row>
    <row r="2954" spans="2:3" x14ac:dyDescent="0.3">
      <c r="B2954"/>
      <c r="C2954"/>
    </row>
    <row r="2955" spans="2:3" x14ac:dyDescent="0.3">
      <c r="B2955"/>
      <c r="C2955"/>
    </row>
    <row r="2956" spans="2:3" x14ac:dyDescent="0.3">
      <c r="B2956"/>
      <c r="C2956"/>
    </row>
    <row r="2957" spans="2:3" x14ac:dyDescent="0.3">
      <c r="B2957"/>
      <c r="C2957"/>
    </row>
    <row r="2958" spans="2:3" x14ac:dyDescent="0.3">
      <c r="B2958"/>
      <c r="C2958"/>
    </row>
    <row r="2959" spans="2:3" x14ac:dyDescent="0.3">
      <c r="B2959"/>
      <c r="C2959"/>
    </row>
    <row r="2960" spans="2:3" x14ac:dyDescent="0.3">
      <c r="B2960"/>
      <c r="C2960"/>
    </row>
    <row r="2961" spans="2:3" x14ac:dyDescent="0.3">
      <c r="B2961"/>
      <c r="C2961"/>
    </row>
    <row r="2962" spans="2:3" x14ac:dyDescent="0.3">
      <c r="B2962"/>
      <c r="C2962"/>
    </row>
    <row r="2963" spans="2:3" x14ac:dyDescent="0.3">
      <c r="B2963"/>
      <c r="C2963"/>
    </row>
    <row r="2964" spans="2:3" x14ac:dyDescent="0.3">
      <c r="B2964"/>
      <c r="C2964"/>
    </row>
    <row r="2965" spans="2:3" x14ac:dyDescent="0.3">
      <c r="B2965"/>
      <c r="C2965"/>
    </row>
    <row r="2966" spans="2:3" x14ac:dyDescent="0.3">
      <c r="B2966"/>
      <c r="C2966"/>
    </row>
    <row r="2967" spans="2:3" x14ac:dyDescent="0.3">
      <c r="B2967"/>
      <c r="C2967"/>
    </row>
    <row r="2968" spans="2:3" x14ac:dyDescent="0.3">
      <c r="B2968"/>
      <c r="C2968"/>
    </row>
    <row r="2969" spans="2:3" x14ac:dyDescent="0.3">
      <c r="B2969"/>
      <c r="C2969"/>
    </row>
    <row r="2970" spans="2:3" x14ac:dyDescent="0.3">
      <c r="B2970"/>
      <c r="C2970"/>
    </row>
    <row r="2971" spans="2:3" x14ac:dyDescent="0.3">
      <c r="B2971"/>
      <c r="C2971"/>
    </row>
    <row r="2972" spans="2:3" x14ac:dyDescent="0.3">
      <c r="B2972"/>
      <c r="C2972"/>
    </row>
    <row r="2973" spans="2:3" x14ac:dyDescent="0.3">
      <c r="B2973"/>
      <c r="C2973"/>
    </row>
    <row r="2974" spans="2:3" x14ac:dyDescent="0.3">
      <c r="B2974"/>
      <c r="C2974"/>
    </row>
    <row r="2975" spans="2:3" x14ac:dyDescent="0.3">
      <c r="B2975"/>
      <c r="C2975"/>
    </row>
    <row r="2976" spans="2:3" x14ac:dyDescent="0.3">
      <c r="B2976"/>
      <c r="C2976"/>
    </row>
    <row r="2977" spans="2:3" x14ac:dyDescent="0.3">
      <c r="B2977"/>
      <c r="C2977"/>
    </row>
    <row r="2978" spans="2:3" x14ac:dyDescent="0.3">
      <c r="B2978"/>
      <c r="C2978"/>
    </row>
    <row r="2979" spans="2:3" x14ac:dyDescent="0.3">
      <c r="B2979"/>
      <c r="C2979"/>
    </row>
    <row r="2980" spans="2:3" x14ac:dyDescent="0.3">
      <c r="B2980"/>
      <c r="C2980"/>
    </row>
    <row r="2981" spans="2:3" x14ac:dyDescent="0.3">
      <c r="B2981"/>
      <c r="C2981"/>
    </row>
    <row r="2982" spans="2:3" x14ac:dyDescent="0.3">
      <c r="B2982"/>
      <c r="C2982"/>
    </row>
    <row r="2983" spans="2:3" x14ac:dyDescent="0.3">
      <c r="B2983"/>
      <c r="C2983"/>
    </row>
    <row r="2984" spans="2:3" x14ac:dyDescent="0.3">
      <c r="B2984"/>
      <c r="C2984"/>
    </row>
    <row r="2985" spans="2:3" x14ac:dyDescent="0.3">
      <c r="B2985"/>
      <c r="C2985"/>
    </row>
    <row r="2986" spans="2:3" x14ac:dyDescent="0.3">
      <c r="B2986"/>
      <c r="C2986"/>
    </row>
    <row r="2987" spans="2:3" x14ac:dyDescent="0.3">
      <c r="B2987"/>
      <c r="C2987"/>
    </row>
    <row r="2988" spans="2:3" x14ac:dyDescent="0.3">
      <c r="B2988"/>
      <c r="C2988"/>
    </row>
    <row r="2989" spans="2:3" x14ac:dyDescent="0.3">
      <c r="B2989"/>
      <c r="C2989"/>
    </row>
    <row r="2990" spans="2:3" x14ac:dyDescent="0.3">
      <c r="B2990"/>
      <c r="C2990"/>
    </row>
    <row r="2991" spans="2:3" x14ac:dyDescent="0.3">
      <c r="B2991"/>
      <c r="C2991"/>
    </row>
    <row r="2992" spans="2:3" x14ac:dyDescent="0.3">
      <c r="B2992"/>
      <c r="C2992"/>
    </row>
    <row r="2993" spans="2:3" x14ac:dyDescent="0.3">
      <c r="B2993"/>
      <c r="C2993"/>
    </row>
    <row r="2994" spans="2:3" x14ac:dyDescent="0.3">
      <c r="B2994"/>
      <c r="C2994"/>
    </row>
    <row r="2995" spans="2:3" x14ac:dyDescent="0.3">
      <c r="B2995"/>
      <c r="C2995"/>
    </row>
    <row r="2996" spans="2:3" x14ac:dyDescent="0.3">
      <c r="B2996"/>
      <c r="C2996"/>
    </row>
    <row r="2997" spans="2:3" x14ac:dyDescent="0.3">
      <c r="B2997"/>
      <c r="C2997"/>
    </row>
    <row r="2998" spans="2:3" x14ac:dyDescent="0.3">
      <c r="B2998"/>
      <c r="C2998"/>
    </row>
    <row r="2999" spans="2:3" x14ac:dyDescent="0.3">
      <c r="B2999"/>
      <c r="C2999"/>
    </row>
    <row r="3000" spans="2:3" x14ac:dyDescent="0.3">
      <c r="B3000"/>
      <c r="C3000"/>
    </row>
    <row r="3001" spans="2:3" x14ac:dyDescent="0.3">
      <c r="B3001"/>
      <c r="C3001"/>
    </row>
    <row r="3002" spans="2:3" x14ac:dyDescent="0.3">
      <c r="B3002"/>
      <c r="C3002"/>
    </row>
    <row r="3003" spans="2:3" x14ac:dyDescent="0.3">
      <c r="B3003"/>
      <c r="C3003"/>
    </row>
    <row r="3004" spans="2:3" x14ac:dyDescent="0.3">
      <c r="B3004"/>
      <c r="C3004"/>
    </row>
    <row r="3005" spans="2:3" x14ac:dyDescent="0.3">
      <c r="B3005"/>
      <c r="C3005"/>
    </row>
    <row r="3006" spans="2:3" x14ac:dyDescent="0.3">
      <c r="B3006"/>
      <c r="C3006"/>
    </row>
    <row r="3007" spans="2:3" x14ac:dyDescent="0.3">
      <c r="B3007"/>
      <c r="C3007"/>
    </row>
    <row r="3008" spans="2:3" x14ac:dyDescent="0.3">
      <c r="B3008"/>
      <c r="C3008"/>
    </row>
    <row r="3009" spans="2:3" x14ac:dyDescent="0.3">
      <c r="B3009"/>
      <c r="C3009"/>
    </row>
    <row r="3010" spans="2:3" x14ac:dyDescent="0.3">
      <c r="B3010"/>
      <c r="C3010"/>
    </row>
    <row r="3011" spans="2:3" x14ac:dyDescent="0.3">
      <c r="B3011"/>
      <c r="C3011"/>
    </row>
    <row r="3012" spans="2:3" x14ac:dyDescent="0.3">
      <c r="B3012"/>
      <c r="C3012"/>
    </row>
    <row r="3013" spans="2:3" x14ac:dyDescent="0.3">
      <c r="B3013"/>
      <c r="C3013"/>
    </row>
    <row r="3014" spans="2:3" x14ac:dyDescent="0.3">
      <c r="B3014"/>
      <c r="C3014"/>
    </row>
    <row r="3015" spans="2:3" x14ac:dyDescent="0.3">
      <c r="B3015"/>
      <c r="C3015"/>
    </row>
    <row r="3016" spans="2:3" x14ac:dyDescent="0.3">
      <c r="B3016"/>
      <c r="C3016"/>
    </row>
    <row r="3017" spans="2:3" x14ac:dyDescent="0.3">
      <c r="B3017"/>
      <c r="C3017"/>
    </row>
    <row r="3018" spans="2:3" x14ac:dyDescent="0.3">
      <c r="B3018"/>
      <c r="C3018"/>
    </row>
    <row r="3019" spans="2:3" x14ac:dyDescent="0.3">
      <c r="B3019"/>
      <c r="C3019"/>
    </row>
    <row r="3020" spans="2:3" x14ac:dyDescent="0.3">
      <c r="B3020"/>
      <c r="C3020"/>
    </row>
    <row r="3021" spans="2:3" x14ac:dyDescent="0.3">
      <c r="B3021"/>
      <c r="C3021"/>
    </row>
    <row r="3022" spans="2:3" x14ac:dyDescent="0.3">
      <c r="B3022"/>
      <c r="C3022"/>
    </row>
    <row r="3023" spans="2:3" x14ac:dyDescent="0.3">
      <c r="B3023"/>
      <c r="C3023"/>
    </row>
    <row r="3024" spans="2:3" x14ac:dyDescent="0.3">
      <c r="B3024"/>
      <c r="C3024"/>
    </row>
    <row r="3025" spans="2:3" x14ac:dyDescent="0.3">
      <c r="B3025"/>
      <c r="C3025"/>
    </row>
    <row r="3026" spans="2:3" x14ac:dyDescent="0.3">
      <c r="B3026"/>
      <c r="C3026"/>
    </row>
    <row r="3027" spans="2:3" x14ac:dyDescent="0.3">
      <c r="B3027"/>
      <c r="C3027"/>
    </row>
    <row r="3028" spans="2:3" x14ac:dyDescent="0.3">
      <c r="B3028"/>
      <c r="C3028"/>
    </row>
    <row r="3029" spans="2:3" x14ac:dyDescent="0.3">
      <c r="B3029"/>
      <c r="C3029"/>
    </row>
    <row r="3030" spans="2:3" x14ac:dyDescent="0.3">
      <c r="B3030"/>
      <c r="C3030"/>
    </row>
    <row r="3031" spans="2:3" x14ac:dyDescent="0.3">
      <c r="B3031"/>
      <c r="C3031"/>
    </row>
    <row r="3032" spans="2:3" x14ac:dyDescent="0.3">
      <c r="B3032"/>
      <c r="C3032"/>
    </row>
    <row r="3033" spans="2:3" x14ac:dyDescent="0.3">
      <c r="B3033"/>
      <c r="C3033"/>
    </row>
    <row r="3034" spans="2:3" x14ac:dyDescent="0.3">
      <c r="B3034"/>
      <c r="C3034"/>
    </row>
    <row r="3035" spans="2:3" x14ac:dyDescent="0.3">
      <c r="B3035"/>
      <c r="C3035"/>
    </row>
    <row r="3036" spans="2:3" x14ac:dyDescent="0.3">
      <c r="B3036"/>
      <c r="C3036"/>
    </row>
    <row r="3037" spans="2:3" x14ac:dyDescent="0.3">
      <c r="B3037"/>
      <c r="C3037"/>
    </row>
    <row r="3038" spans="2:3" x14ac:dyDescent="0.3">
      <c r="B3038"/>
      <c r="C3038"/>
    </row>
    <row r="3039" spans="2:3" x14ac:dyDescent="0.3">
      <c r="B3039"/>
      <c r="C3039"/>
    </row>
    <row r="3040" spans="2:3" x14ac:dyDescent="0.3">
      <c r="B3040"/>
      <c r="C3040"/>
    </row>
    <row r="3041" spans="2:3" x14ac:dyDescent="0.3">
      <c r="B3041"/>
      <c r="C3041"/>
    </row>
    <row r="3042" spans="2:3" x14ac:dyDescent="0.3">
      <c r="B3042"/>
      <c r="C3042"/>
    </row>
    <row r="3043" spans="2:3" x14ac:dyDescent="0.3">
      <c r="B3043"/>
      <c r="C3043"/>
    </row>
    <row r="3044" spans="2:3" x14ac:dyDescent="0.3">
      <c r="B3044"/>
      <c r="C3044"/>
    </row>
    <row r="3045" spans="2:3" x14ac:dyDescent="0.3">
      <c r="B3045"/>
      <c r="C3045"/>
    </row>
    <row r="3046" spans="2:3" x14ac:dyDescent="0.3">
      <c r="B3046"/>
      <c r="C3046"/>
    </row>
    <row r="3047" spans="2:3" x14ac:dyDescent="0.3">
      <c r="B3047"/>
      <c r="C3047"/>
    </row>
    <row r="3048" spans="2:3" x14ac:dyDescent="0.3">
      <c r="B3048"/>
      <c r="C3048"/>
    </row>
    <row r="3049" spans="2:3" x14ac:dyDescent="0.3">
      <c r="B3049"/>
      <c r="C3049"/>
    </row>
    <row r="3050" spans="2:3" x14ac:dyDescent="0.3">
      <c r="B3050"/>
      <c r="C3050"/>
    </row>
    <row r="3051" spans="2:3" x14ac:dyDescent="0.3">
      <c r="B3051"/>
      <c r="C3051"/>
    </row>
    <row r="3052" spans="2:3" x14ac:dyDescent="0.3">
      <c r="B3052"/>
      <c r="C3052"/>
    </row>
    <row r="3053" spans="2:3" x14ac:dyDescent="0.3">
      <c r="B3053"/>
      <c r="C3053"/>
    </row>
    <row r="3054" spans="2:3" x14ac:dyDescent="0.3">
      <c r="B3054"/>
      <c r="C3054"/>
    </row>
    <row r="3055" spans="2:3" x14ac:dyDescent="0.3">
      <c r="B3055"/>
      <c r="C3055"/>
    </row>
    <row r="3056" spans="2:3" x14ac:dyDescent="0.3">
      <c r="B3056"/>
      <c r="C3056"/>
    </row>
    <row r="3057" spans="2:3" x14ac:dyDescent="0.3">
      <c r="B3057"/>
      <c r="C3057"/>
    </row>
    <row r="3058" spans="2:3" x14ac:dyDescent="0.3">
      <c r="B3058"/>
      <c r="C3058"/>
    </row>
    <row r="3059" spans="2:3" x14ac:dyDescent="0.3">
      <c r="B3059"/>
      <c r="C3059"/>
    </row>
    <row r="3060" spans="2:3" x14ac:dyDescent="0.3">
      <c r="B3060"/>
      <c r="C3060"/>
    </row>
    <row r="3061" spans="2:3" x14ac:dyDescent="0.3">
      <c r="B3061"/>
      <c r="C3061"/>
    </row>
    <row r="3062" spans="2:3" x14ac:dyDescent="0.3">
      <c r="B3062"/>
      <c r="C3062"/>
    </row>
    <row r="3063" spans="2:3" x14ac:dyDescent="0.3">
      <c r="B3063"/>
      <c r="C3063"/>
    </row>
    <row r="3064" spans="2:3" x14ac:dyDescent="0.3">
      <c r="B3064"/>
      <c r="C3064"/>
    </row>
    <row r="3065" spans="2:3" x14ac:dyDescent="0.3">
      <c r="B3065"/>
      <c r="C3065"/>
    </row>
    <row r="3066" spans="2:3" x14ac:dyDescent="0.3">
      <c r="B3066"/>
      <c r="C3066"/>
    </row>
    <row r="3067" spans="2:3" x14ac:dyDescent="0.3">
      <c r="B3067"/>
      <c r="C3067"/>
    </row>
    <row r="3068" spans="2:3" x14ac:dyDescent="0.3">
      <c r="B3068"/>
      <c r="C3068"/>
    </row>
    <row r="3069" spans="2:3" x14ac:dyDescent="0.3">
      <c r="B3069"/>
      <c r="C3069"/>
    </row>
    <row r="3070" spans="2:3" x14ac:dyDescent="0.3">
      <c r="B3070"/>
      <c r="C3070"/>
    </row>
    <row r="3071" spans="2:3" x14ac:dyDescent="0.3">
      <c r="B3071"/>
      <c r="C3071"/>
    </row>
    <row r="3072" spans="2:3" x14ac:dyDescent="0.3">
      <c r="B3072"/>
      <c r="C3072"/>
    </row>
    <row r="3073" spans="2:3" x14ac:dyDescent="0.3">
      <c r="B3073"/>
      <c r="C3073"/>
    </row>
    <row r="3074" spans="2:3" x14ac:dyDescent="0.3">
      <c r="B3074"/>
      <c r="C3074"/>
    </row>
    <row r="3075" spans="2:3" x14ac:dyDescent="0.3">
      <c r="B3075"/>
      <c r="C3075"/>
    </row>
    <row r="3076" spans="2:3" x14ac:dyDescent="0.3">
      <c r="B3076"/>
      <c r="C3076"/>
    </row>
    <row r="3077" spans="2:3" x14ac:dyDescent="0.3">
      <c r="B3077"/>
      <c r="C3077"/>
    </row>
    <row r="3078" spans="2:3" x14ac:dyDescent="0.3">
      <c r="B3078"/>
      <c r="C3078"/>
    </row>
    <row r="3079" spans="2:3" x14ac:dyDescent="0.3">
      <c r="B3079"/>
      <c r="C3079"/>
    </row>
    <row r="3080" spans="2:3" x14ac:dyDescent="0.3">
      <c r="B3080"/>
      <c r="C3080"/>
    </row>
    <row r="3081" spans="2:3" x14ac:dyDescent="0.3">
      <c r="B3081"/>
      <c r="C3081"/>
    </row>
    <row r="3082" spans="2:3" x14ac:dyDescent="0.3">
      <c r="B3082"/>
      <c r="C3082"/>
    </row>
    <row r="3083" spans="2:3" x14ac:dyDescent="0.3">
      <c r="B3083"/>
      <c r="C3083"/>
    </row>
    <row r="3084" spans="2:3" x14ac:dyDescent="0.3">
      <c r="B3084"/>
      <c r="C3084"/>
    </row>
    <row r="3085" spans="2:3" x14ac:dyDescent="0.3">
      <c r="B3085"/>
      <c r="C3085"/>
    </row>
    <row r="3086" spans="2:3" x14ac:dyDescent="0.3">
      <c r="B3086"/>
      <c r="C3086"/>
    </row>
    <row r="3087" spans="2:3" x14ac:dyDescent="0.3">
      <c r="B3087"/>
      <c r="C3087"/>
    </row>
    <row r="3088" spans="2:3" x14ac:dyDescent="0.3">
      <c r="B3088"/>
      <c r="C3088"/>
    </row>
    <row r="3089" spans="2:3" x14ac:dyDescent="0.3">
      <c r="B3089"/>
      <c r="C3089"/>
    </row>
    <row r="3090" spans="2:3" x14ac:dyDescent="0.3">
      <c r="B3090"/>
      <c r="C3090"/>
    </row>
    <row r="3091" spans="2:3" x14ac:dyDescent="0.3">
      <c r="B3091"/>
      <c r="C3091"/>
    </row>
    <row r="3092" spans="2:3" x14ac:dyDescent="0.3">
      <c r="B3092"/>
      <c r="C3092"/>
    </row>
    <row r="3093" spans="2:3" x14ac:dyDescent="0.3">
      <c r="B3093"/>
      <c r="C3093"/>
    </row>
    <row r="3094" spans="2:3" x14ac:dyDescent="0.3">
      <c r="B3094"/>
      <c r="C3094"/>
    </row>
    <row r="3095" spans="2:3" x14ac:dyDescent="0.3">
      <c r="B3095"/>
      <c r="C3095"/>
    </row>
    <row r="3096" spans="2:3" x14ac:dyDescent="0.3">
      <c r="B3096"/>
      <c r="C3096"/>
    </row>
    <row r="3097" spans="2:3" x14ac:dyDescent="0.3">
      <c r="B3097"/>
      <c r="C3097"/>
    </row>
    <row r="3098" spans="2:3" x14ac:dyDescent="0.3">
      <c r="B3098"/>
      <c r="C3098"/>
    </row>
    <row r="3099" spans="2:3" x14ac:dyDescent="0.3">
      <c r="B3099"/>
      <c r="C3099"/>
    </row>
    <row r="3100" spans="2:3" x14ac:dyDescent="0.3">
      <c r="B3100"/>
      <c r="C3100"/>
    </row>
    <row r="3101" spans="2:3" x14ac:dyDescent="0.3">
      <c r="B3101"/>
      <c r="C3101"/>
    </row>
    <row r="3102" spans="2:3" x14ac:dyDescent="0.3">
      <c r="B3102"/>
      <c r="C3102"/>
    </row>
    <row r="3103" spans="2:3" x14ac:dyDescent="0.3">
      <c r="B3103"/>
      <c r="C3103"/>
    </row>
    <row r="3104" spans="2:3" x14ac:dyDescent="0.3">
      <c r="B3104"/>
      <c r="C3104"/>
    </row>
    <row r="3105" spans="2:3" x14ac:dyDescent="0.3">
      <c r="B3105"/>
      <c r="C3105"/>
    </row>
    <row r="3106" spans="2:3" x14ac:dyDescent="0.3">
      <c r="B3106"/>
      <c r="C3106"/>
    </row>
    <row r="3107" spans="2:3" x14ac:dyDescent="0.3">
      <c r="B3107"/>
      <c r="C3107"/>
    </row>
    <row r="3108" spans="2:3" x14ac:dyDescent="0.3">
      <c r="B3108"/>
      <c r="C3108"/>
    </row>
    <row r="3109" spans="2:3" x14ac:dyDescent="0.3">
      <c r="B3109"/>
      <c r="C3109"/>
    </row>
    <row r="3110" spans="2:3" x14ac:dyDescent="0.3">
      <c r="B3110"/>
      <c r="C3110"/>
    </row>
    <row r="3111" spans="2:3" x14ac:dyDescent="0.3">
      <c r="B3111"/>
      <c r="C3111"/>
    </row>
    <row r="3112" spans="2:3" x14ac:dyDescent="0.3">
      <c r="B3112"/>
      <c r="C3112"/>
    </row>
    <row r="3113" spans="2:3" x14ac:dyDescent="0.3">
      <c r="B3113"/>
      <c r="C3113"/>
    </row>
    <row r="3114" spans="2:3" x14ac:dyDescent="0.3">
      <c r="B3114"/>
      <c r="C3114"/>
    </row>
    <row r="3115" spans="2:3" x14ac:dyDescent="0.3">
      <c r="B3115"/>
      <c r="C3115"/>
    </row>
    <row r="3116" spans="2:3" x14ac:dyDescent="0.3">
      <c r="B3116"/>
      <c r="C3116"/>
    </row>
    <row r="3117" spans="2:3" x14ac:dyDescent="0.3">
      <c r="B3117"/>
      <c r="C3117"/>
    </row>
    <row r="3118" spans="2:3" x14ac:dyDescent="0.3">
      <c r="B3118"/>
      <c r="C3118"/>
    </row>
    <row r="3119" spans="2:3" x14ac:dyDescent="0.3">
      <c r="B3119"/>
      <c r="C3119"/>
    </row>
    <row r="3120" spans="2:3" x14ac:dyDescent="0.3">
      <c r="B3120"/>
      <c r="C3120"/>
    </row>
    <row r="3121" spans="2:3" x14ac:dyDescent="0.3">
      <c r="B3121"/>
      <c r="C3121"/>
    </row>
    <row r="3122" spans="2:3" x14ac:dyDescent="0.3">
      <c r="B3122"/>
      <c r="C3122"/>
    </row>
    <row r="3123" spans="2:3" x14ac:dyDescent="0.3">
      <c r="B3123"/>
      <c r="C3123"/>
    </row>
    <row r="3124" spans="2:3" x14ac:dyDescent="0.3">
      <c r="B3124"/>
      <c r="C3124"/>
    </row>
    <row r="3125" spans="2:3" x14ac:dyDescent="0.3">
      <c r="B3125"/>
      <c r="C3125"/>
    </row>
    <row r="3126" spans="2:3" x14ac:dyDescent="0.3">
      <c r="B3126"/>
      <c r="C3126"/>
    </row>
    <row r="3127" spans="2:3" x14ac:dyDescent="0.3">
      <c r="B3127"/>
      <c r="C3127"/>
    </row>
    <row r="3128" spans="2:3" x14ac:dyDescent="0.3">
      <c r="B3128"/>
      <c r="C3128"/>
    </row>
    <row r="3129" spans="2:3" x14ac:dyDescent="0.3">
      <c r="B3129"/>
      <c r="C3129"/>
    </row>
    <row r="3130" spans="2:3" x14ac:dyDescent="0.3">
      <c r="B3130"/>
      <c r="C3130"/>
    </row>
    <row r="3131" spans="2:3" x14ac:dyDescent="0.3">
      <c r="B3131"/>
      <c r="C3131"/>
    </row>
    <row r="3132" spans="2:3" x14ac:dyDescent="0.3">
      <c r="B3132"/>
      <c r="C3132"/>
    </row>
    <row r="3133" spans="2:3" x14ac:dyDescent="0.3">
      <c r="B3133"/>
      <c r="C3133"/>
    </row>
    <row r="3134" spans="2:3" x14ac:dyDescent="0.3">
      <c r="B3134"/>
      <c r="C3134"/>
    </row>
    <row r="3135" spans="2:3" x14ac:dyDescent="0.3">
      <c r="B3135"/>
      <c r="C3135"/>
    </row>
    <row r="3136" spans="2:3" x14ac:dyDescent="0.3">
      <c r="B3136"/>
      <c r="C3136"/>
    </row>
    <row r="3137" spans="2:3" x14ac:dyDescent="0.3">
      <c r="B3137"/>
      <c r="C3137"/>
    </row>
    <row r="3138" spans="2:3" x14ac:dyDescent="0.3">
      <c r="B3138"/>
      <c r="C3138"/>
    </row>
    <row r="3139" spans="2:3" x14ac:dyDescent="0.3">
      <c r="B3139"/>
      <c r="C3139"/>
    </row>
    <row r="3140" spans="2:3" x14ac:dyDescent="0.3">
      <c r="B3140"/>
      <c r="C3140"/>
    </row>
    <row r="3141" spans="2:3" x14ac:dyDescent="0.3">
      <c r="B3141"/>
      <c r="C3141"/>
    </row>
    <row r="3142" spans="2:3" x14ac:dyDescent="0.3">
      <c r="B3142"/>
      <c r="C3142"/>
    </row>
    <row r="3143" spans="2:3" x14ac:dyDescent="0.3">
      <c r="B3143"/>
      <c r="C3143"/>
    </row>
    <row r="3144" spans="2:3" x14ac:dyDescent="0.3">
      <c r="B3144"/>
      <c r="C3144"/>
    </row>
    <row r="3145" spans="2:3" x14ac:dyDescent="0.3">
      <c r="B3145"/>
      <c r="C3145"/>
    </row>
    <row r="3146" spans="2:3" x14ac:dyDescent="0.3">
      <c r="B3146"/>
      <c r="C3146"/>
    </row>
    <row r="3147" spans="2:3" x14ac:dyDescent="0.3">
      <c r="B3147"/>
      <c r="C3147"/>
    </row>
    <row r="3148" spans="2:3" x14ac:dyDescent="0.3">
      <c r="B3148"/>
      <c r="C3148"/>
    </row>
    <row r="3149" spans="2:3" x14ac:dyDescent="0.3">
      <c r="B3149"/>
      <c r="C3149"/>
    </row>
    <row r="3150" spans="2:3" x14ac:dyDescent="0.3">
      <c r="B3150"/>
      <c r="C3150"/>
    </row>
    <row r="3151" spans="2:3" x14ac:dyDescent="0.3">
      <c r="B3151"/>
      <c r="C3151"/>
    </row>
    <row r="3152" spans="2:3" x14ac:dyDescent="0.3">
      <c r="B3152"/>
      <c r="C3152"/>
    </row>
    <row r="3153" spans="2:3" x14ac:dyDescent="0.3">
      <c r="B3153"/>
      <c r="C3153"/>
    </row>
    <row r="3154" spans="2:3" x14ac:dyDescent="0.3">
      <c r="B3154"/>
      <c r="C3154"/>
    </row>
    <row r="3155" spans="2:3" x14ac:dyDescent="0.3">
      <c r="B3155"/>
      <c r="C3155"/>
    </row>
    <row r="3156" spans="2:3" x14ac:dyDescent="0.3">
      <c r="B3156"/>
      <c r="C3156"/>
    </row>
    <row r="3157" spans="2:3" x14ac:dyDescent="0.3">
      <c r="B3157"/>
      <c r="C3157"/>
    </row>
    <row r="3158" spans="2:3" x14ac:dyDescent="0.3">
      <c r="B3158"/>
      <c r="C3158"/>
    </row>
    <row r="3159" spans="2:3" x14ac:dyDescent="0.3">
      <c r="B3159"/>
      <c r="C3159"/>
    </row>
    <row r="3160" spans="2:3" x14ac:dyDescent="0.3">
      <c r="B3160"/>
      <c r="C3160"/>
    </row>
    <row r="3161" spans="2:3" x14ac:dyDescent="0.3">
      <c r="B3161"/>
      <c r="C3161"/>
    </row>
    <row r="3162" spans="2:3" x14ac:dyDescent="0.3">
      <c r="B3162"/>
      <c r="C3162"/>
    </row>
    <row r="3163" spans="2:3" x14ac:dyDescent="0.3">
      <c r="B3163"/>
      <c r="C3163"/>
    </row>
    <row r="3164" spans="2:3" x14ac:dyDescent="0.3">
      <c r="B3164"/>
      <c r="C3164"/>
    </row>
    <row r="3165" spans="2:3" x14ac:dyDescent="0.3">
      <c r="B3165"/>
      <c r="C3165"/>
    </row>
    <row r="3166" spans="2:3" x14ac:dyDescent="0.3">
      <c r="B3166"/>
      <c r="C3166"/>
    </row>
    <row r="3167" spans="2:3" x14ac:dyDescent="0.3">
      <c r="B3167"/>
      <c r="C3167"/>
    </row>
    <row r="3168" spans="2:3" x14ac:dyDescent="0.3">
      <c r="B3168"/>
      <c r="C3168"/>
    </row>
    <row r="3169" spans="2:3" x14ac:dyDescent="0.3">
      <c r="B3169"/>
      <c r="C3169"/>
    </row>
    <row r="3170" spans="2:3" x14ac:dyDescent="0.3">
      <c r="B3170"/>
      <c r="C3170"/>
    </row>
    <row r="3171" spans="2:3" x14ac:dyDescent="0.3">
      <c r="B3171"/>
      <c r="C3171"/>
    </row>
    <row r="3172" spans="2:3" x14ac:dyDescent="0.3">
      <c r="B3172"/>
      <c r="C3172"/>
    </row>
    <row r="3173" spans="2:3" x14ac:dyDescent="0.3">
      <c r="B3173"/>
      <c r="C3173"/>
    </row>
    <row r="3174" spans="2:3" x14ac:dyDescent="0.3">
      <c r="B3174"/>
      <c r="C3174"/>
    </row>
    <row r="3175" spans="2:3" x14ac:dyDescent="0.3">
      <c r="B3175"/>
      <c r="C3175"/>
    </row>
    <row r="3176" spans="2:3" x14ac:dyDescent="0.3">
      <c r="B3176"/>
      <c r="C3176"/>
    </row>
    <row r="3177" spans="2:3" x14ac:dyDescent="0.3">
      <c r="B3177"/>
      <c r="C3177"/>
    </row>
    <row r="3178" spans="2:3" x14ac:dyDescent="0.3">
      <c r="B3178"/>
      <c r="C3178"/>
    </row>
    <row r="3179" spans="2:3" x14ac:dyDescent="0.3">
      <c r="B3179"/>
      <c r="C3179"/>
    </row>
    <row r="3180" spans="2:3" x14ac:dyDescent="0.3">
      <c r="B3180"/>
      <c r="C3180"/>
    </row>
    <row r="3181" spans="2:3" x14ac:dyDescent="0.3">
      <c r="B3181"/>
      <c r="C3181"/>
    </row>
    <row r="3182" spans="2:3" x14ac:dyDescent="0.3">
      <c r="B3182"/>
      <c r="C3182"/>
    </row>
    <row r="3183" spans="2:3" x14ac:dyDescent="0.3">
      <c r="B3183"/>
      <c r="C3183"/>
    </row>
    <row r="3184" spans="2:3" x14ac:dyDescent="0.3">
      <c r="B3184"/>
      <c r="C3184"/>
    </row>
    <row r="3185" spans="2:3" x14ac:dyDescent="0.3">
      <c r="B3185"/>
      <c r="C3185"/>
    </row>
    <row r="3186" spans="2:3" x14ac:dyDescent="0.3">
      <c r="B3186"/>
      <c r="C3186"/>
    </row>
    <row r="3187" spans="2:3" x14ac:dyDescent="0.3">
      <c r="B3187"/>
      <c r="C3187"/>
    </row>
    <row r="3188" spans="2:3" x14ac:dyDescent="0.3">
      <c r="B3188"/>
      <c r="C3188"/>
    </row>
    <row r="3189" spans="2:3" x14ac:dyDescent="0.3">
      <c r="B3189"/>
      <c r="C3189"/>
    </row>
    <row r="3190" spans="2:3" x14ac:dyDescent="0.3">
      <c r="B3190"/>
      <c r="C3190"/>
    </row>
    <row r="3191" spans="2:3" x14ac:dyDescent="0.3">
      <c r="B3191"/>
      <c r="C3191"/>
    </row>
    <row r="3192" spans="2:3" x14ac:dyDescent="0.3">
      <c r="B3192"/>
      <c r="C3192"/>
    </row>
    <row r="3193" spans="2:3" x14ac:dyDescent="0.3">
      <c r="B3193"/>
      <c r="C3193"/>
    </row>
    <row r="3194" spans="2:3" x14ac:dyDescent="0.3">
      <c r="B3194"/>
      <c r="C3194"/>
    </row>
    <row r="3195" spans="2:3" x14ac:dyDescent="0.3">
      <c r="B3195"/>
      <c r="C3195"/>
    </row>
    <row r="3196" spans="2:3" x14ac:dyDescent="0.3">
      <c r="B3196"/>
      <c r="C3196"/>
    </row>
    <row r="3197" spans="2:3" x14ac:dyDescent="0.3">
      <c r="B3197"/>
      <c r="C3197"/>
    </row>
    <row r="3198" spans="2:3" x14ac:dyDescent="0.3">
      <c r="B3198"/>
      <c r="C3198"/>
    </row>
    <row r="3199" spans="2:3" x14ac:dyDescent="0.3">
      <c r="B3199"/>
      <c r="C3199"/>
    </row>
    <row r="3200" spans="2:3" x14ac:dyDescent="0.3">
      <c r="B3200"/>
      <c r="C3200"/>
    </row>
    <row r="3201" spans="2:3" x14ac:dyDescent="0.3">
      <c r="B3201"/>
      <c r="C3201"/>
    </row>
    <row r="3202" spans="2:3" x14ac:dyDescent="0.3">
      <c r="B3202"/>
      <c r="C3202"/>
    </row>
    <row r="3203" spans="2:3" x14ac:dyDescent="0.3">
      <c r="B3203"/>
      <c r="C3203"/>
    </row>
    <row r="3204" spans="2:3" x14ac:dyDescent="0.3">
      <c r="B3204"/>
      <c r="C3204"/>
    </row>
    <row r="3205" spans="2:3" x14ac:dyDescent="0.3">
      <c r="B3205"/>
      <c r="C3205"/>
    </row>
    <row r="3206" spans="2:3" x14ac:dyDescent="0.3">
      <c r="B3206"/>
      <c r="C3206"/>
    </row>
    <row r="3207" spans="2:3" x14ac:dyDescent="0.3">
      <c r="B3207"/>
      <c r="C3207"/>
    </row>
    <row r="3208" spans="2:3" x14ac:dyDescent="0.3">
      <c r="B3208"/>
      <c r="C3208"/>
    </row>
    <row r="3209" spans="2:3" x14ac:dyDescent="0.3">
      <c r="B3209"/>
      <c r="C3209"/>
    </row>
    <row r="3210" spans="2:3" x14ac:dyDescent="0.3">
      <c r="B3210"/>
      <c r="C3210"/>
    </row>
    <row r="3211" spans="2:3" x14ac:dyDescent="0.3">
      <c r="B3211"/>
      <c r="C3211"/>
    </row>
    <row r="3212" spans="2:3" x14ac:dyDescent="0.3">
      <c r="B3212"/>
      <c r="C3212"/>
    </row>
    <row r="3213" spans="2:3" x14ac:dyDescent="0.3">
      <c r="B3213"/>
      <c r="C3213"/>
    </row>
    <row r="3214" spans="2:3" x14ac:dyDescent="0.3">
      <c r="B3214"/>
      <c r="C3214"/>
    </row>
    <row r="3215" spans="2:3" x14ac:dyDescent="0.3">
      <c r="B3215"/>
      <c r="C3215"/>
    </row>
    <row r="3216" spans="2:3" x14ac:dyDescent="0.3">
      <c r="B3216"/>
      <c r="C3216"/>
    </row>
    <row r="3217" spans="2:3" x14ac:dyDescent="0.3">
      <c r="B3217"/>
      <c r="C3217"/>
    </row>
    <row r="3218" spans="2:3" x14ac:dyDescent="0.3">
      <c r="B3218"/>
      <c r="C3218"/>
    </row>
    <row r="3219" spans="2:3" x14ac:dyDescent="0.3">
      <c r="B3219"/>
      <c r="C3219"/>
    </row>
    <row r="3220" spans="2:3" x14ac:dyDescent="0.3">
      <c r="B3220"/>
      <c r="C3220"/>
    </row>
    <row r="3221" spans="2:3" x14ac:dyDescent="0.3">
      <c r="B3221"/>
      <c r="C3221"/>
    </row>
    <row r="3222" spans="2:3" x14ac:dyDescent="0.3">
      <c r="B3222"/>
      <c r="C3222"/>
    </row>
    <row r="3223" spans="2:3" x14ac:dyDescent="0.3">
      <c r="B3223"/>
      <c r="C3223"/>
    </row>
    <row r="3224" spans="2:3" x14ac:dyDescent="0.3">
      <c r="B3224"/>
      <c r="C3224"/>
    </row>
    <row r="3225" spans="2:3" x14ac:dyDescent="0.3">
      <c r="B3225"/>
      <c r="C3225"/>
    </row>
    <row r="3226" spans="2:3" x14ac:dyDescent="0.3">
      <c r="B3226"/>
      <c r="C3226"/>
    </row>
    <row r="3227" spans="2:3" x14ac:dyDescent="0.3">
      <c r="B3227"/>
      <c r="C3227"/>
    </row>
    <row r="3228" spans="2:3" x14ac:dyDescent="0.3">
      <c r="B3228"/>
      <c r="C3228"/>
    </row>
    <row r="3229" spans="2:3" x14ac:dyDescent="0.3">
      <c r="B3229"/>
      <c r="C3229"/>
    </row>
    <row r="3230" spans="2:3" x14ac:dyDescent="0.3">
      <c r="B3230"/>
      <c r="C3230"/>
    </row>
    <row r="3231" spans="2:3" x14ac:dyDescent="0.3">
      <c r="B3231"/>
      <c r="C3231"/>
    </row>
    <row r="3232" spans="2:3" x14ac:dyDescent="0.3">
      <c r="B3232"/>
      <c r="C3232"/>
    </row>
    <row r="3233" spans="2:3" x14ac:dyDescent="0.3">
      <c r="B3233"/>
      <c r="C3233"/>
    </row>
    <row r="3234" spans="2:3" x14ac:dyDescent="0.3">
      <c r="B3234"/>
      <c r="C3234"/>
    </row>
    <row r="3235" spans="2:3" x14ac:dyDescent="0.3">
      <c r="B3235"/>
      <c r="C3235"/>
    </row>
    <row r="3236" spans="2:3" x14ac:dyDescent="0.3">
      <c r="B3236"/>
      <c r="C3236"/>
    </row>
    <row r="3237" spans="2:3" x14ac:dyDescent="0.3">
      <c r="B3237"/>
      <c r="C3237"/>
    </row>
    <row r="3238" spans="2:3" x14ac:dyDescent="0.3">
      <c r="B3238"/>
      <c r="C3238"/>
    </row>
    <row r="3239" spans="2:3" x14ac:dyDescent="0.3">
      <c r="B3239"/>
      <c r="C3239"/>
    </row>
    <row r="3240" spans="2:3" x14ac:dyDescent="0.3">
      <c r="B3240"/>
      <c r="C3240"/>
    </row>
    <row r="3241" spans="2:3" x14ac:dyDescent="0.3">
      <c r="B3241"/>
      <c r="C3241"/>
    </row>
    <row r="3242" spans="2:3" x14ac:dyDescent="0.3">
      <c r="B3242"/>
      <c r="C3242"/>
    </row>
    <row r="3243" spans="2:3" x14ac:dyDescent="0.3">
      <c r="B3243"/>
      <c r="C3243"/>
    </row>
    <row r="3244" spans="2:3" x14ac:dyDescent="0.3">
      <c r="B3244"/>
      <c r="C3244"/>
    </row>
    <row r="3245" spans="2:3" x14ac:dyDescent="0.3">
      <c r="B3245"/>
      <c r="C3245"/>
    </row>
    <row r="3246" spans="2:3" x14ac:dyDescent="0.3">
      <c r="B3246"/>
      <c r="C3246"/>
    </row>
    <row r="3247" spans="2:3" x14ac:dyDescent="0.3">
      <c r="B3247"/>
      <c r="C3247"/>
    </row>
    <row r="3248" spans="2:3" x14ac:dyDescent="0.3">
      <c r="B3248"/>
      <c r="C3248"/>
    </row>
    <row r="3249" spans="2:3" x14ac:dyDescent="0.3">
      <c r="B3249"/>
      <c r="C3249"/>
    </row>
    <row r="3250" spans="2:3" x14ac:dyDescent="0.3">
      <c r="B3250"/>
      <c r="C3250"/>
    </row>
    <row r="3251" spans="2:3" x14ac:dyDescent="0.3">
      <c r="B3251"/>
      <c r="C3251"/>
    </row>
    <row r="3252" spans="2:3" x14ac:dyDescent="0.3">
      <c r="B3252"/>
      <c r="C3252"/>
    </row>
    <row r="3253" spans="2:3" x14ac:dyDescent="0.3">
      <c r="B3253"/>
      <c r="C3253"/>
    </row>
    <row r="3254" spans="2:3" x14ac:dyDescent="0.3">
      <c r="B3254"/>
      <c r="C3254"/>
    </row>
    <row r="3255" spans="2:3" x14ac:dyDescent="0.3">
      <c r="B3255"/>
      <c r="C3255"/>
    </row>
    <row r="3256" spans="2:3" x14ac:dyDescent="0.3">
      <c r="B3256"/>
      <c r="C3256"/>
    </row>
    <row r="3257" spans="2:3" x14ac:dyDescent="0.3">
      <c r="B3257"/>
      <c r="C3257"/>
    </row>
    <row r="3258" spans="2:3" x14ac:dyDescent="0.3">
      <c r="B3258"/>
      <c r="C3258"/>
    </row>
    <row r="3259" spans="2:3" x14ac:dyDescent="0.3">
      <c r="B3259"/>
      <c r="C3259"/>
    </row>
    <row r="3260" spans="2:3" x14ac:dyDescent="0.3">
      <c r="B3260"/>
      <c r="C3260"/>
    </row>
    <row r="3261" spans="2:3" x14ac:dyDescent="0.3">
      <c r="B3261"/>
      <c r="C3261"/>
    </row>
    <row r="3262" spans="2:3" x14ac:dyDescent="0.3">
      <c r="B3262"/>
      <c r="C3262"/>
    </row>
    <row r="3263" spans="2:3" x14ac:dyDescent="0.3">
      <c r="B3263"/>
      <c r="C3263"/>
    </row>
    <row r="3264" spans="2:3" x14ac:dyDescent="0.3">
      <c r="B3264"/>
      <c r="C3264"/>
    </row>
    <row r="3265" spans="2:3" x14ac:dyDescent="0.3">
      <c r="B3265"/>
      <c r="C3265"/>
    </row>
    <row r="3266" spans="2:3" x14ac:dyDescent="0.3">
      <c r="B3266"/>
      <c r="C3266"/>
    </row>
    <row r="3267" spans="2:3" x14ac:dyDescent="0.3">
      <c r="B3267"/>
      <c r="C3267"/>
    </row>
    <row r="3268" spans="2:3" x14ac:dyDescent="0.3">
      <c r="B3268"/>
      <c r="C3268"/>
    </row>
    <row r="3269" spans="2:3" x14ac:dyDescent="0.3">
      <c r="B3269"/>
      <c r="C3269"/>
    </row>
    <row r="3270" spans="2:3" x14ac:dyDescent="0.3">
      <c r="B3270"/>
      <c r="C3270"/>
    </row>
    <row r="3271" spans="2:3" x14ac:dyDescent="0.3">
      <c r="B3271"/>
      <c r="C3271"/>
    </row>
    <row r="3272" spans="2:3" x14ac:dyDescent="0.3">
      <c r="B3272"/>
      <c r="C3272"/>
    </row>
    <row r="3273" spans="2:3" x14ac:dyDescent="0.3">
      <c r="B3273"/>
      <c r="C3273"/>
    </row>
    <row r="3274" spans="2:3" x14ac:dyDescent="0.3">
      <c r="B3274"/>
      <c r="C3274"/>
    </row>
    <row r="3275" spans="2:3" x14ac:dyDescent="0.3">
      <c r="B3275"/>
      <c r="C3275"/>
    </row>
    <row r="3276" spans="2:3" x14ac:dyDescent="0.3">
      <c r="B3276"/>
      <c r="C3276"/>
    </row>
    <row r="3277" spans="2:3" x14ac:dyDescent="0.3">
      <c r="B3277"/>
      <c r="C3277"/>
    </row>
    <row r="3278" spans="2:3" x14ac:dyDescent="0.3">
      <c r="B3278"/>
      <c r="C3278"/>
    </row>
    <row r="3279" spans="2:3" x14ac:dyDescent="0.3">
      <c r="B3279"/>
      <c r="C3279"/>
    </row>
    <row r="3280" spans="2:3" x14ac:dyDescent="0.3">
      <c r="B3280"/>
      <c r="C3280"/>
    </row>
    <row r="3281" spans="2:3" x14ac:dyDescent="0.3">
      <c r="B3281"/>
      <c r="C3281"/>
    </row>
    <row r="3282" spans="2:3" x14ac:dyDescent="0.3">
      <c r="B3282"/>
      <c r="C3282"/>
    </row>
    <row r="3283" spans="2:3" x14ac:dyDescent="0.3">
      <c r="B3283"/>
      <c r="C3283"/>
    </row>
    <row r="3284" spans="2:3" x14ac:dyDescent="0.3">
      <c r="B3284"/>
      <c r="C3284"/>
    </row>
    <row r="3285" spans="2:3" x14ac:dyDescent="0.3">
      <c r="B3285"/>
      <c r="C3285"/>
    </row>
    <row r="3286" spans="2:3" x14ac:dyDescent="0.3">
      <c r="B3286"/>
      <c r="C3286"/>
    </row>
    <row r="3287" spans="2:3" x14ac:dyDescent="0.3">
      <c r="B3287"/>
      <c r="C3287"/>
    </row>
    <row r="3288" spans="2:3" x14ac:dyDescent="0.3">
      <c r="B3288"/>
      <c r="C3288"/>
    </row>
    <row r="3289" spans="2:3" x14ac:dyDescent="0.3">
      <c r="B3289"/>
      <c r="C3289"/>
    </row>
    <row r="3290" spans="2:3" x14ac:dyDescent="0.3">
      <c r="B3290"/>
      <c r="C3290"/>
    </row>
    <row r="3291" spans="2:3" x14ac:dyDescent="0.3">
      <c r="B3291"/>
      <c r="C3291"/>
    </row>
    <row r="3292" spans="2:3" x14ac:dyDescent="0.3">
      <c r="B3292"/>
      <c r="C3292"/>
    </row>
    <row r="3293" spans="2:3" x14ac:dyDescent="0.3">
      <c r="B3293"/>
      <c r="C3293"/>
    </row>
    <row r="3294" spans="2:3" x14ac:dyDescent="0.3">
      <c r="B3294"/>
      <c r="C3294"/>
    </row>
    <row r="3295" spans="2:3" x14ac:dyDescent="0.3">
      <c r="B3295"/>
      <c r="C3295"/>
    </row>
    <row r="3296" spans="2:3" x14ac:dyDescent="0.3">
      <c r="B3296"/>
      <c r="C3296"/>
    </row>
    <row r="3297" spans="2:3" x14ac:dyDescent="0.3">
      <c r="B3297"/>
      <c r="C3297"/>
    </row>
    <row r="3298" spans="2:3" x14ac:dyDescent="0.3">
      <c r="B3298"/>
      <c r="C3298"/>
    </row>
    <row r="3299" spans="2:3" x14ac:dyDescent="0.3">
      <c r="B3299"/>
      <c r="C3299"/>
    </row>
    <row r="3300" spans="2:3" x14ac:dyDescent="0.3">
      <c r="B3300"/>
      <c r="C3300"/>
    </row>
    <row r="3301" spans="2:3" x14ac:dyDescent="0.3">
      <c r="B3301"/>
      <c r="C3301"/>
    </row>
    <row r="3302" spans="2:3" x14ac:dyDescent="0.3">
      <c r="B3302"/>
      <c r="C3302"/>
    </row>
    <row r="3303" spans="2:3" x14ac:dyDescent="0.3">
      <c r="B3303"/>
      <c r="C3303"/>
    </row>
    <row r="3304" spans="2:3" x14ac:dyDescent="0.3">
      <c r="B3304"/>
      <c r="C3304"/>
    </row>
    <row r="3305" spans="2:3" x14ac:dyDescent="0.3">
      <c r="B3305"/>
      <c r="C3305"/>
    </row>
    <row r="3306" spans="2:3" x14ac:dyDescent="0.3">
      <c r="B3306"/>
      <c r="C3306"/>
    </row>
    <row r="3307" spans="2:3" x14ac:dyDescent="0.3">
      <c r="B3307"/>
      <c r="C3307"/>
    </row>
    <row r="3308" spans="2:3" x14ac:dyDescent="0.3">
      <c r="B3308"/>
      <c r="C3308"/>
    </row>
    <row r="3309" spans="2:3" x14ac:dyDescent="0.3">
      <c r="B3309"/>
      <c r="C3309"/>
    </row>
    <row r="3310" spans="2:3" x14ac:dyDescent="0.3">
      <c r="B3310"/>
      <c r="C3310"/>
    </row>
    <row r="3311" spans="2:3" x14ac:dyDescent="0.3">
      <c r="B3311"/>
      <c r="C3311"/>
    </row>
    <row r="3312" spans="2:3" x14ac:dyDescent="0.3">
      <c r="B3312"/>
      <c r="C3312"/>
    </row>
    <row r="3313" spans="2:3" x14ac:dyDescent="0.3">
      <c r="B3313"/>
      <c r="C3313"/>
    </row>
    <row r="3314" spans="2:3" x14ac:dyDescent="0.3">
      <c r="B3314"/>
      <c r="C3314"/>
    </row>
    <row r="3315" spans="2:3" x14ac:dyDescent="0.3">
      <c r="B3315"/>
      <c r="C3315"/>
    </row>
    <row r="3316" spans="2:3" x14ac:dyDescent="0.3">
      <c r="B3316"/>
      <c r="C3316"/>
    </row>
    <row r="3317" spans="2:3" x14ac:dyDescent="0.3">
      <c r="B3317"/>
      <c r="C3317"/>
    </row>
    <row r="3318" spans="2:3" x14ac:dyDescent="0.3">
      <c r="B3318"/>
      <c r="C3318"/>
    </row>
    <row r="3319" spans="2:3" x14ac:dyDescent="0.3">
      <c r="B3319"/>
      <c r="C3319"/>
    </row>
    <row r="3320" spans="2:3" x14ac:dyDescent="0.3">
      <c r="B3320"/>
      <c r="C3320"/>
    </row>
    <row r="3321" spans="2:3" x14ac:dyDescent="0.3">
      <c r="B3321"/>
      <c r="C3321"/>
    </row>
    <row r="3322" spans="2:3" x14ac:dyDescent="0.3">
      <c r="B3322"/>
      <c r="C3322"/>
    </row>
    <row r="3323" spans="2:3" x14ac:dyDescent="0.3">
      <c r="B3323"/>
      <c r="C3323"/>
    </row>
    <row r="3324" spans="2:3" x14ac:dyDescent="0.3">
      <c r="B3324"/>
      <c r="C3324"/>
    </row>
    <row r="3325" spans="2:3" x14ac:dyDescent="0.3">
      <c r="B3325"/>
      <c r="C3325"/>
    </row>
    <row r="3326" spans="2:3" x14ac:dyDescent="0.3">
      <c r="B3326"/>
      <c r="C3326"/>
    </row>
    <row r="3327" spans="2:3" x14ac:dyDescent="0.3">
      <c r="B3327"/>
      <c r="C3327"/>
    </row>
    <row r="3328" spans="2:3" x14ac:dyDescent="0.3">
      <c r="B3328"/>
      <c r="C3328"/>
    </row>
    <row r="3329" spans="2:3" x14ac:dyDescent="0.3">
      <c r="B3329"/>
      <c r="C3329"/>
    </row>
    <row r="3330" spans="2:3" x14ac:dyDescent="0.3">
      <c r="B3330"/>
      <c r="C3330"/>
    </row>
    <row r="3331" spans="2:3" x14ac:dyDescent="0.3">
      <c r="B3331"/>
      <c r="C3331"/>
    </row>
    <row r="3332" spans="2:3" x14ac:dyDescent="0.3">
      <c r="B3332"/>
      <c r="C3332"/>
    </row>
    <row r="3333" spans="2:3" x14ac:dyDescent="0.3">
      <c r="B3333"/>
      <c r="C3333"/>
    </row>
    <row r="3334" spans="2:3" x14ac:dyDescent="0.3">
      <c r="B3334"/>
      <c r="C3334"/>
    </row>
    <row r="3335" spans="2:3" x14ac:dyDescent="0.3">
      <c r="B3335"/>
      <c r="C3335"/>
    </row>
    <row r="3336" spans="2:3" x14ac:dyDescent="0.3">
      <c r="B3336"/>
      <c r="C3336"/>
    </row>
    <row r="3337" spans="2:3" x14ac:dyDescent="0.3">
      <c r="B3337"/>
      <c r="C3337"/>
    </row>
    <row r="3338" spans="2:3" x14ac:dyDescent="0.3">
      <c r="B3338"/>
      <c r="C3338"/>
    </row>
    <row r="3339" spans="2:3" x14ac:dyDescent="0.3">
      <c r="B3339"/>
      <c r="C3339"/>
    </row>
    <row r="3340" spans="2:3" x14ac:dyDescent="0.3">
      <c r="B3340"/>
      <c r="C3340"/>
    </row>
    <row r="3341" spans="2:3" x14ac:dyDescent="0.3">
      <c r="B3341"/>
      <c r="C3341"/>
    </row>
    <row r="3342" spans="2:3" x14ac:dyDescent="0.3">
      <c r="B3342"/>
      <c r="C3342"/>
    </row>
    <row r="3343" spans="2:3" x14ac:dyDescent="0.3">
      <c r="B3343"/>
      <c r="C3343"/>
    </row>
    <row r="3344" spans="2:3" x14ac:dyDescent="0.3">
      <c r="B3344"/>
      <c r="C3344"/>
    </row>
    <row r="3345" spans="2:3" x14ac:dyDescent="0.3">
      <c r="B3345"/>
      <c r="C3345"/>
    </row>
    <row r="3346" spans="2:3" x14ac:dyDescent="0.3">
      <c r="B3346"/>
      <c r="C3346"/>
    </row>
    <row r="3347" spans="2:3" x14ac:dyDescent="0.3">
      <c r="B3347"/>
      <c r="C3347"/>
    </row>
    <row r="3348" spans="2:3" x14ac:dyDescent="0.3">
      <c r="B3348"/>
      <c r="C3348"/>
    </row>
    <row r="3349" spans="2:3" x14ac:dyDescent="0.3">
      <c r="B3349"/>
      <c r="C3349"/>
    </row>
    <row r="3350" spans="2:3" x14ac:dyDescent="0.3">
      <c r="B3350"/>
      <c r="C3350"/>
    </row>
    <row r="3351" spans="2:3" x14ac:dyDescent="0.3">
      <c r="B3351"/>
      <c r="C3351"/>
    </row>
    <row r="3352" spans="2:3" x14ac:dyDescent="0.3">
      <c r="B3352"/>
      <c r="C3352"/>
    </row>
    <row r="3353" spans="2:3" x14ac:dyDescent="0.3">
      <c r="B3353"/>
      <c r="C3353"/>
    </row>
    <row r="3354" spans="2:3" x14ac:dyDescent="0.3">
      <c r="B3354"/>
      <c r="C3354"/>
    </row>
    <row r="3355" spans="2:3" x14ac:dyDescent="0.3">
      <c r="B3355"/>
      <c r="C3355"/>
    </row>
    <row r="3356" spans="2:3" x14ac:dyDescent="0.3">
      <c r="B3356"/>
      <c r="C3356"/>
    </row>
    <row r="3357" spans="2:3" x14ac:dyDescent="0.3">
      <c r="B3357"/>
      <c r="C3357"/>
    </row>
    <row r="3358" spans="2:3" x14ac:dyDescent="0.3">
      <c r="B3358"/>
      <c r="C3358"/>
    </row>
    <row r="3359" spans="2:3" x14ac:dyDescent="0.3">
      <c r="B3359"/>
      <c r="C3359"/>
    </row>
    <row r="3360" spans="2:3" x14ac:dyDescent="0.3">
      <c r="B3360"/>
      <c r="C3360"/>
    </row>
    <row r="3361" spans="2:3" x14ac:dyDescent="0.3">
      <c r="B3361"/>
      <c r="C3361"/>
    </row>
    <row r="3362" spans="2:3" x14ac:dyDescent="0.3">
      <c r="B3362"/>
      <c r="C3362"/>
    </row>
    <row r="3363" spans="2:3" x14ac:dyDescent="0.3">
      <c r="B3363"/>
      <c r="C3363"/>
    </row>
    <row r="3364" spans="2:3" x14ac:dyDescent="0.3">
      <c r="B3364"/>
      <c r="C3364"/>
    </row>
    <row r="3365" spans="2:3" x14ac:dyDescent="0.3">
      <c r="B3365"/>
      <c r="C3365"/>
    </row>
    <row r="3366" spans="2:3" x14ac:dyDescent="0.3">
      <c r="B3366"/>
      <c r="C3366"/>
    </row>
    <row r="3367" spans="2:3" x14ac:dyDescent="0.3">
      <c r="B3367"/>
      <c r="C3367"/>
    </row>
    <row r="3368" spans="2:3" x14ac:dyDescent="0.3">
      <c r="B3368"/>
      <c r="C3368"/>
    </row>
    <row r="3369" spans="2:3" x14ac:dyDescent="0.3">
      <c r="B3369"/>
      <c r="C3369"/>
    </row>
    <row r="3370" spans="2:3" x14ac:dyDescent="0.3">
      <c r="B3370"/>
      <c r="C3370"/>
    </row>
    <row r="3371" spans="2:3" x14ac:dyDescent="0.3">
      <c r="B3371"/>
      <c r="C3371"/>
    </row>
    <row r="3372" spans="2:3" x14ac:dyDescent="0.3">
      <c r="B3372"/>
      <c r="C3372"/>
    </row>
    <row r="3373" spans="2:3" x14ac:dyDescent="0.3">
      <c r="B3373"/>
      <c r="C3373"/>
    </row>
    <row r="3374" spans="2:3" x14ac:dyDescent="0.3">
      <c r="B3374"/>
      <c r="C3374"/>
    </row>
    <row r="3375" spans="2:3" x14ac:dyDescent="0.3">
      <c r="B3375"/>
      <c r="C3375"/>
    </row>
    <row r="3376" spans="2:3" x14ac:dyDescent="0.3">
      <c r="B3376"/>
      <c r="C3376"/>
    </row>
    <row r="3377" spans="2:3" x14ac:dyDescent="0.3">
      <c r="B3377"/>
      <c r="C3377"/>
    </row>
    <row r="3378" spans="2:3" x14ac:dyDescent="0.3">
      <c r="B3378"/>
      <c r="C3378"/>
    </row>
    <row r="3379" spans="2:3" x14ac:dyDescent="0.3">
      <c r="B3379"/>
      <c r="C3379"/>
    </row>
    <row r="3380" spans="2:3" x14ac:dyDescent="0.3">
      <c r="B3380"/>
      <c r="C3380"/>
    </row>
    <row r="3381" spans="2:3" x14ac:dyDescent="0.3">
      <c r="B3381"/>
      <c r="C3381"/>
    </row>
    <row r="3382" spans="2:3" x14ac:dyDescent="0.3">
      <c r="B3382"/>
      <c r="C3382"/>
    </row>
    <row r="3383" spans="2:3" x14ac:dyDescent="0.3">
      <c r="B3383"/>
      <c r="C3383"/>
    </row>
    <row r="3384" spans="2:3" x14ac:dyDescent="0.3">
      <c r="B3384"/>
      <c r="C3384"/>
    </row>
    <row r="3385" spans="2:3" x14ac:dyDescent="0.3">
      <c r="B3385"/>
      <c r="C3385"/>
    </row>
    <row r="3386" spans="2:3" x14ac:dyDescent="0.3">
      <c r="B3386"/>
      <c r="C3386"/>
    </row>
    <row r="3387" spans="2:3" x14ac:dyDescent="0.3">
      <c r="B3387"/>
      <c r="C3387"/>
    </row>
    <row r="3388" spans="2:3" x14ac:dyDescent="0.3">
      <c r="B3388"/>
      <c r="C3388"/>
    </row>
    <row r="3389" spans="2:3" x14ac:dyDescent="0.3">
      <c r="B3389"/>
      <c r="C3389"/>
    </row>
    <row r="3390" spans="2:3" x14ac:dyDescent="0.3">
      <c r="B3390"/>
      <c r="C3390"/>
    </row>
    <row r="3391" spans="2:3" x14ac:dyDescent="0.3">
      <c r="B3391"/>
      <c r="C3391"/>
    </row>
    <row r="3392" spans="2:3" x14ac:dyDescent="0.3">
      <c r="B3392"/>
      <c r="C3392"/>
    </row>
    <row r="3393" spans="2:3" x14ac:dyDescent="0.3">
      <c r="B3393"/>
      <c r="C3393"/>
    </row>
    <row r="3394" spans="2:3" x14ac:dyDescent="0.3">
      <c r="B3394"/>
      <c r="C3394"/>
    </row>
    <row r="3395" spans="2:3" x14ac:dyDescent="0.3">
      <c r="B3395"/>
      <c r="C3395"/>
    </row>
    <row r="3396" spans="2:3" x14ac:dyDescent="0.3">
      <c r="B3396"/>
      <c r="C3396"/>
    </row>
    <row r="3397" spans="2:3" x14ac:dyDescent="0.3">
      <c r="B3397"/>
      <c r="C3397"/>
    </row>
    <row r="3398" spans="2:3" x14ac:dyDescent="0.3">
      <c r="B3398"/>
      <c r="C3398"/>
    </row>
    <row r="3399" spans="2:3" x14ac:dyDescent="0.3">
      <c r="B3399"/>
      <c r="C3399"/>
    </row>
    <row r="3400" spans="2:3" x14ac:dyDescent="0.3">
      <c r="B3400"/>
      <c r="C3400"/>
    </row>
    <row r="3401" spans="2:3" x14ac:dyDescent="0.3">
      <c r="B3401"/>
      <c r="C3401"/>
    </row>
    <row r="3402" spans="2:3" x14ac:dyDescent="0.3">
      <c r="B3402"/>
      <c r="C3402"/>
    </row>
    <row r="3403" spans="2:3" x14ac:dyDescent="0.3">
      <c r="B3403"/>
      <c r="C3403"/>
    </row>
    <row r="3404" spans="2:3" x14ac:dyDescent="0.3">
      <c r="B3404"/>
      <c r="C3404"/>
    </row>
    <row r="3405" spans="2:3" x14ac:dyDescent="0.3">
      <c r="B3405"/>
      <c r="C3405"/>
    </row>
    <row r="3406" spans="2:3" x14ac:dyDescent="0.3">
      <c r="B3406"/>
      <c r="C3406"/>
    </row>
    <row r="3407" spans="2:3" x14ac:dyDescent="0.3">
      <c r="B3407"/>
      <c r="C3407"/>
    </row>
    <row r="3408" spans="2:3" x14ac:dyDescent="0.3">
      <c r="B3408"/>
      <c r="C3408"/>
    </row>
    <row r="3409" spans="2:3" x14ac:dyDescent="0.3">
      <c r="B3409"/>
      <c r="C3409"/>
    </row>
    <row r="3410" spans="2:3" x14ac:dyDescent="0.3">
      <c r="B3410"/>
      <c r="C3410"/>
    </row>
    <row r="3411" spans="2:3" x14ac:dyDescent="0.3">
      <c r="B3411"/>
      <c r="C3411"/>
    </row>
    <row r="3412" spans="2:3" x14ac:dyDescent="0.3">
      <c r="B3412"/>
      <c r="C3412"/>
    </row>
    <row r="3413" spans="2:3" x14ac:dyDescent="0.3">
      <c r="B3413"/>
      <c r="C3413"/>
    </row>
    <row r="3414" spans="2:3" x14ac:dyDescent="0.3">
      <c r="B3414"/>
      <c r="C3414"/>
    </row>
    <row r="3415" spans="2:3" x14ac:dyDescent="0.3">
      <c r="B3415"/>
      <c r="C3415"/>
    </row>
    <row r="3416" spans="2:3" x14ac:dyDescent="0.3">
      <c r="B3416"/>
      <c r="C3416"/>
    </row>
    <row r="3417" spans="2:3" x14ac:dyDescent="0.3">
      <c r="B3417"/>
      <c r="C3417"/>
    </row>
    <row r="3418" spans="2:3" x14ac:dyDescent="0.3">
      <c r="B3418"/>
      <c r="C3418"/>
    </row>
    <row r="3419" spans="2:3" x14ac:dyDescent="0.3">
      <c r="B3419"/>
      <c r="C3419"/>
    </row>
    <row r="3420" spans="2:3" x14ac:dyDescent="0.3">
      <c r="B3420"/>
      <c r="C3420"/>
    </row>
    <row r="3421" spans="2:3" x14ac:dyDescent="0.3">
      <c r="B3421"/>
      <c r="C3421"/>
    </row>
    <row r="3422" spans="2:3" x14ac:dyDescent="0.3">
      <c r="B3422"/>
      <c r="C3422"/>
    </row>
    <row r="3423" spans="2:3" x14ac:dyDescent="0.3">
      <c r="B3423"/>
      <c r="C3423"/>
    </row>
    <row r="3424" spans="2:3" x14ac:dyDescent="0.3">
      <c r="B3424"/>
      <c r="C3424"/>
    </row>
    <row r="3425" spans="2:3" x14ac:dyDescent="0.3">
      <c r="B3425"/>
      <c r="C3425"/>
    </row>
    <row r="3426" spans="2:3" x14ac:dyDescent="0.3">
      <c r="B3426"/>
      <c r="C3426"/>
    </row>
    <row r="3427" spans="2:3" x14ac:dyDescent="0.3">
      <c r="B3427"/>
      <c r="C3427"/>
    </row>
    <row r="3428" spans="2:3" x14ac:dyDescent="0.3">
      <c r="B3428"/>
      <c r="C3428"/>
    </row>
    <row r="3429" spans="2:3" x14ac:dyDescent="0.3">
      <c r="B3429"/>
      <c r="C3429"/>
    </row>
    <row r="3430" spans="2:3" x14ac:dyDescent="0.3">
      <c r="B3430"/>
      <c r="C3430"/>
    </row>
    <row r="3431" spans="2:3" x14ac:dyDescent="0.3">
      <c r="B3431"/>
      <c r="C3431"/>
    </row>
    <row r="3432" spans="2:3" x14ac:dyDescent="0.3">
      <c r="B3432"/>
      <c r="C3432"/>
    </row>
    <row r="3433" spans="2:3" x14ac:dyDescent="0.3">
      <c r="B3433"/>
      <c r="C3433"/>
    </row>
    <row r="3434" spans="2:3" x14ac:dyDescent="0.3">
      <c r="B3434"/>
      <c r="C3434"/>
    </row>
    <row r="3435" spans="2:3" x14ac:dyDescent="0.3">
      <c r="B3435"/>
      <c r="C3435"/>
    </row>
    <row r="3436" spans="2:3" x14ac:dyDescent="0.3">
      <c r="B3436"/>
      <c r="C3436"/>
    </row>
    <row r="3437" spans="2:3" x14ac:dyDescent="0.3">
      <c r="B3437"/>
      <c r="C3437"/>
    </row>
    <row r="3438" spans="2:3" x14ac:dyDescent="0.3">
      <c r="B3438"/>
      <c r="C3438"/>
    </row>
    <row r="3439" spans="2:3" x14ac:dyDescent="0.3">
      <c r="B3439"/>
      <c r="C3439"/>
    </row>
    <row r="3440" spans="2:3" x14ac:dyDescent="0.3">
      <c r="B3440"/>
      <c r="C3440"/>
    </row>
    <row r="3441" spans="2:3" x14ac:dyDescent="0.3">
      <c r="B3441"/>
      <c r="C3441"/>
    </row>
    <row r="3442" spans="2:3" x14ac:dyDescent="0.3">
      <c r="B3442"/>
      <c r="C3442"/>
    </row>
    <row r="3443" spans="2:3" x14ac:dyDescent="0.3">
      <c r="B3443"/>
      <c r="C3443"/>
    </row>
    <row r="3444" spans="2:3" x14ac:dyDescent="0.3">
      <c r="B3444"/>
      <c r="C3444"/>
    </row>
    <row r="3445" spans="2:3" x14ac:dyDescent="0.3">
      <c r="B3445"/>
      <c r="C3445"/>
    </row>
    <row r="3446" spans="2:3" x14ac:dyDescent="0.3">
      <c r="B3446"/>
      <c r="C3446"/>
    </row>
    <row r="3447" spans="2:3" x14ac:dyDescent="0.3">
      <c r="B3447"/>
      <c r="C3447"/>
    </row>
    <row r="3448" spans="2:3" x14ac:dyDescent="0.3">
      <c r="B3448"/>
      <c r="C3448"/>
    </row>
    <row r="3449" spans="2:3" x14ac:dyDescent="0.3">
      <c r="B3449"/>
      <c r="C3449"/>
    </row>
    <row r="3450" spans="2:3" x14ac:dyDescent="0.3">
      <c r="B3450"/>
      <c r="C3450"/>
    </row>
    <row r="3451" spans="2:3" x14ac:dyDescent="0.3">
      <c r="B3451"/>
      <c r="C3451"/>
    </row>
    <row r="3452" spans="2:3" x14ac:dyDescent="0.3">
      <c r="B3452"/>
      <c r="C3452"/>
    </row>
    <row r="3453" spans="2:3" x14ac:dyDescent="0.3">
      <c r="B3453"/>
      <c r="C3453"/>
    </row>
    <row r="3454" spans="2:3" x14ac:dyDescent="0.3">
      <c r="B3454"/>
      <c r="C3454"/>
    </row>
    <row r="3455" spans="2:3" x14ac:dyDescent="0.3">
      <c r="B3455"/>
      <c r="C3455"/>
    </row>
    <row r="3456" spans="2:3" x14ac:dyDescent="0.3">
      <c r="B3456"/>
      <c r="C3456"/>
    </row>
    <row r="3457" spans="2:3" x14ac:dyDescent="0.3">
      <c r="B3457"/>
      <c r="C3457"/>
    </row>
    <row r="3458" spans="2:3" x14ac:dyDescent="0.3">
      <c r="B3458"/>
      <c r="C3458"/>
    </row>
    <row r="3459" spans="2:3" x14ac:dyDescent="0.3">
      <c r="B3459"/>
      <c r="C3459"/>
    </row>
    <row r="3460" spans="2:3" x14ac:dyDescent="0.3">
      <c r="B3460"/>
      <c r="C3460"/>
    </row>
    <row r="3461" spans="2:3" x14ac:dyDescent="0.3">
      <c r="B3461"/>
      <c r="C3461"/>
    </row>
    <row r="3462" spans="2:3" x14ac:dyDescent="0.3">
      <c r="B3462"/>
      <c r="C3462"/>
    </row>
    <row r="3463" spans="2:3" x14ac:dyDescent="0.3">
      <c r="B3463"/>
      <c r="C3463"/>
    </row>
    <row r="3464" spans="2:3" x14ac:dyDescent="0.3">
      <c r="B3464"/>
      <c r="C3464"/>
    </row>
    <row r="3465" spans="2:3" x14ac:dyDescent="0.3">
      <c r="B3465"/>
      <c r="C3465"/>
    </row>
    <row r="3466" spans="2:3" x14ac:dyDescent="0.3">
      <c r="B3466"/>
      <c r="C3466"/>
    </row>
    <row r="3467" spans="2:3" x14ac:dyDescent="0.3">
      <c r="B3467"/>
      <c r="C3467"/>
    </row>
    <row r="3468" spans="2:3" x14ac:dyDescent="0.3">
      <c r="B3468"/>
      <c r="C3468"/>
    </row>
    <row r="3469" spans="2:3" x14ac:dyDescent="0.3">
      <c r="B3469"/>
      <c r="C3469"/>
    </row>
    <row r="3470" spans="2:3" x14ac:dyDescent="0.3">
      <c r="B3470"/>
      <c r="C3470"/>
    </row>
    <row r="3471" spans="2:3" x14ac:dyDescent="0.3">
      <c r="B3471"/>
      <c r="C3471"/>
    </row>
    <row r="3472" spans="2:3" x14ac:dyDescent="0.3">
      <c r="B3472"/>
      <c r="C3472"/>
    </row>
    <row r="3473" spans="2:3" x14ac:dyDescent="0.3">
      <c r="B3473"/>
      <c r="C3473"/>
    </row>
    <row r="3474" spans="2:3" x14ac:dyDescent="0.3">
      <c r="B3474"/>
      <c r="C3474"/>
    </row>
    <row r="3475" spans="2:3" x14ac:dyDescent="0.3">
      <c r="B3475"/>
      <c r="C3475"/>
    </row>
    <row r="3476" spans="2:3" x14ac:dyDescent="0.3">
      <c r="B3476"/>
      <c r="C3476"/>
    </row>
    <row r="3477" spans="2:3" x14ac:dyDescent="0.3">
      <c r="B3477"/>
      <c r="C3477"/>
    </row>
    <row r="3478" spans="2:3" x14ac:dyDescent="0.3">
      <c r="B3478"/>
      <c r="C3478"/>
    </row>
    <row r="3479" spans="2:3" x14ac:dyDescent="0.3">
      <c r="B3479"/>
      <c r="C3479"/>
    </row>
    <row r="3480" spans="2:3" x14ac:dyDescent="0.3">
      <c r="B3480"/>
      <c r="C3480"/>
    </row>
    <row r="3481" spans="2:3" x14ac:dyDescent="0.3">
      <c r="B3481"/>
      <c r="C3481"/>
    </row>
    <row r="3482" spans="2:3" x14ac:dyDescent="0.3">
      <c r="B3482"/>
      <c r="C3482"/>
    </row>
    <row r="3483" spans="2:3" x14ac:dyDescent="0.3">
      <c r="B3483"/>
      <c r="C3483"/>
    </row>
    <row r="3484" spans="2:3" x14ac:dyDescent="0.3">
      <c r="B3484"/>
      <c r="C3484"/>
    </row>
    <row r="3485" spans="2:3" x14ac:dyDescent="0.3">
      <c r="B3485"/>
      <c r="C3485"/>
    </row>
    <row r="3486" spans="2:3" x14ac:dyDescent="0.3">
      <c r="B3486"/>
      <c r="C3486"/>
    </row>
    <row r="3487" spans="2:3" x14ac:dyDescent="0.3">
      <c r="B3487"/>
      <c r="C3487"/>
    </row>
    <row r="3488" spans="2:3" x14ac:dyDescent="0.3">
      <c r="B3488"/>
      <c r="C3488"/>
    </row>
    <row r="3489" spans="2:3" x14ac:dyDescent="0.3">
      <c r="B3489"/>
      <c r="C3489"/>
    </row>
    <row r="3490" spans="2:3" x14ac:dyDescent="0.3">
      <c r="B3490"/>
      <c r="C3490"/>
    </row>
    <row r="3491" spans="2:3" x14ac:dyDescent="0.3">
      <c r="B3491"/>
      <c r="C3491"/>
    </row>
    <row r="3492" spans="2:3" x14ac:dyDescent="0.3">
      <c r="B3492"/>
      <c r="C3492"/>
    </row>
    <row r="3493" spans="2:3" x14ac:dyDescent="0.3">
      <c r="B3493"/>
      <c r="C3493"/>
    </row>
    <row r="3494" spans="2:3" x14ac:dyDescent="0.3">
      <c r="B3494"/>
      <c r="C3494"/>
    </row>
    <row r="3495" spans="2:3" x14ac:dyDescent="0.3">
      <c r="B3495"/>
      <c r="C3495"/>
    </row>
    <row r="3496" spans="2:3" x14ac:dyDescent="0.3">
      <c r="B3496"/>
      <c r="C3496"/>
    </row>
    <row r="3497" spans="2:3" x14ac:dyDescent="0.3">
      <c r="B3497"/>
      <c r="C3497"/>
    </row>
    <row r="3498" spans="2:3" x14ac:dyDescent="0.3">
      <c r="B3498"/>
      <c r="C3498"/>
    </row>
    <row r="3499" spans="2:3" x14ac:dyDescent="0.3">
      <c r="B3499"/>
      <c r="C3499"/>
    </row>
    <row r="3500" spans="2:3" x14ac:dyDescent="0.3">
      <c r="B3500"/>
      <c r="C3500"/>
    </row>
    <row r="3501" spans="2:3" x14ac:dyDescent="0.3">
      <c r="B3501"/>
      <c r="C3501"/>
    </row>
    <row r="3502" spans="2:3" x14ac:dyDescent="0.3">
      <c r="B3502"/>
      <c r="C3502"/>
    </row>
    <row r="3503" spans="2:3" x14ac:dyDescent="0.3">
      <c r="B3503"/>
      <c r="C3503"/>
    </row>
    <row r="3504" spans="2:3" x14ac:dyDescent="0.3">
      <c r="B3504"/>
      <c r="C3504"/>
    </row>
    <row r="3505" spans="2:3" x14ac:dyDescent="0.3">
      <c r="B3505"/>
      <c r="C3505"/>
    </row>
    <row r="3506" spans="2:3" x14ac:dyDescent="0.3">
      <c r="B3506"/>
      <c r="C3506"/>
    </row>
    <row r="3507" spans="2:3" x14ac:dyDescent="0.3">
      <c r="B3507"/>
      <c r="C3507"/>
    </row>
    <row r="3508" spans="2:3" x14ac:dyDescent="0.3">
      <c r="B3508"/>
      <c r="C3508"/>
    </row>
    <row r="3509" spans="2:3" x14ac:dyDescent="0.3">
      <c r="B3509"/>
      <c r="C3509"/>
    </row>
    <row r="3510" spans="2:3" x14ac:dyDescent="0.3">
      <c r="B3510"/>
      <c r="C3510"/>
    </row>
    <row r="3511" spans="2:3" x14ac:dyDescent="0.3">
      <c r="B3511"/>
      <c r="C3511"/>
    </row>
    <row r="3512" spans="2:3" x14ac:dyDescent="0.3">
      <c r="B3512"/>
      <c r="C3512"/>
    </row>
    <row r="3513" spans="2:3" x14ac:dyDescent="0.3">
      <c r="B3513"/>
      <c r="C3513"/>
    </row>
    <row r="3514" spans="2:3" x14ac:dyDescent="0.3">
      <c r="B3514"/>
      <c r="C3514"/>
    </row>
    <row r="3515" spans="2:3" x14ac:dyDescent="0.3">
      <c r="B3515"/>
      <c r="C3515"/>
    </row>
    <row r="3516" spans="2:3" x14ac:dyDescent="0.3">
      <c r="B3516"/>
      <c r="C3516"/>
    </row>
    <row r="3517" spans="2:3" x14ac:dyDescent="0.3">
      <c r="B3517"/>
      <c r="C3517"/>
    </row>
    <row r="3518" spans="2:3" x14ac:dyDescent="0.3">
      <c r="B3518"/>
      <c r="C3518"/>
    </row>
    <row r="3519" spans="2:3" x14ac:dyDescent="0.3">
      <c r="B3519"/>
      <c r="C3519"/>
    </row>
    <row r="3520" spans="2:3" x14ac:dyDescent="0.3">
      <c r="B3520"/>
      <c r="C3520"/>
    </row>
    <row r="3521" spans="2:3" x14ac:dyDescent="0.3">
      <c r="B3521"/>
      <c r="C3521"/>
    </row>
    <row r="3522" spans="2:3" x14ac:dyDescent="0.3">
      <c r="B3522"/>
      <c r="C3522"/>
    </row>
    <row r="3523" spans="2:3" x14ac:dyDescent="0.3">
      <c r="B3523"/>
      <c r="C3523"/>
    </row>
    <row r="3524" spans="2:3" x14ac:dyDescent="0.3">
      <c r="B3524"/>
      <c r="C3524"/>
    </row>
    <row r="3525" spans="2:3" x14ac:dyDescent="0.3">
      <c r="B3525"/>
      <c r="C3525"/>
    </row>
    <row r="3526" spans="2:3" x14ac:dyDescent="0.3">
      <c r="B3526"/>
      <c r="C3526"/>
    </row>
    <row r="3527" spans="2:3" x14ac:dyDescent="0.3">
      <c r="B3527"/>
      <c r="C3527"/>
    </row>
    <row r="3528" spans="2:3" x14ac:dyDescent="0.3">
      <c r="B3528"/>
      <c r="C3528"/>
    </row>
    <row r="3529" spans="2:3" x14ac:dyDescent="0.3">
      <c r="B3529"/>
      <c r="C3529"/>
    </row>
    <row r="3530" spans="2:3" x14ac:dyDescent="0.3">
      <c r="B3530"/>
      <c r="C3530"/>
    </row>
    <row r="3531" spans="2:3" x14ac:dyDescent="0.3">
      <c r="B3531"/>
      <c r="C3531"/>
    </row>
    <row r="3532" spans="2:3" x14ac:dyDescent="0.3">
      <c r="B3532"/>
      <c r="C3532"/>
    </row>
    <row r="3533" spans="2:3" x14ac:dyDescent="0.3">
      <c r="B3533"/>
      <c r="C3533"/>
    </row>
    <row r="3534" spans="2:3" x14ac:dyDescent="0.3">
      <c r="B3534"/>
      <c r="C3534"/>
    </row>
    <row r="3535" spans="2:3" x14ac:dyDescent="0.3">
      <c r="B3535"/>
      <c r="C3535"/>
    </row>
    <row r="3536" spans="2:3" x14ac:dyDescent="0.3">
      <c r="B3536"/>
      <c r="C3536"/>
    </row>
    <row r="3537" spans="2:3" x14ac:dyDescent="0.3">
      <c r="B3537"/>
      <c r="C3537"/>
    </row>
    <row r="3538" spans="2:3" x14ac:dyDescent="0.3">
      <c r="B3538"/>
      <c r="C3538"/>
    </row>
    <row r="3539" spans="2:3" x14ac:dyDescent="0.3">
      <c r="B3539"/>
      <c r="C3539"/>
    </row>
    <row r="3540" spans="2:3" x14ac:dyDescent="0.3">
      <c r="B3540"/>
      <c r="C3540"/>
    </row>
    <row r="3541" spans="2:3" x14ac:dyDescent="0.3">
      <c r="B3541"/>
      <c r="C3541"/>
    </row>
    <row r="3542" spans="2:3" x14ac:dyDescent="0.3">
      <c r="B3542"/>
      <c r="C3542"/>
    </row>
    <row r="3543" spans="2:3" x14ac:dyDescent="0.3">
      <c r="B3543"/>
      <c r="C3543"/>
    </row>
    <row r="3544" spans="2:3" x14ac:dyDescent="0.3">
      <c r="B3544"/>
      <c r="C3544"/>
    </row>
    <row r="3545" spans="2:3" x14ac:dyDescent="0.3">
      <c r="B3545"/>
      <c r="C3545"/>
    </row>
    <row r="3546" spans="2:3" x14ac:dyDescent="0.3">
      <c r="B3546"/>
      <c r="C3546"/>
    </row>
    <row r="3547" spans="2:3" x14ac:dyDescent="0.3">
      <c r="B3547"/>
      <c r="C3547"/>
    </row>
    <row r="3548" spans="2:3" x14ac:dyDescent="0.3">
      <c r="B3548"/>
      <c r="C3548"/>
    </row>
    <row r="3549" spans="2:3" x14ac:dyDescent="0.3">
      <c r="B3549"/>
      <c r="C3549"/>
    </row>
    <row r="3550" spans="2:3" x14ac:dyDescent="0.3">
      <c r="B3550"/>
      <c r="C3550"/>
    </row>
    <row r="3551" spans="2:3" x14ac:dyDescent="0.3">
      <c r="B3551"/>
      <c r="C3551"/>
    </row>
    <row r="3552" spans="2:3" x14ac:dyDescent="0.3">
      <c r="B3552"/>
      <c r="C3552"/>
    </row>
    <row r="3553" spans="2:3" x14ac:dyDescent="0.3">
      <c r="B3553"/>
      <c r="C3553"/>
    </row>
    <row r="3554" spans="2:3" x14ac:dyDescent="0.3">
      <c r="B3554"/>
      <c r="C3554"/>
    </row>
    <row r="3555" spans="2:3" x14ac:dyDescent="0.3">
      <c r="B3555"/>
      <c r="C3555"/>
    </row>
    <row r="3556" spans="2:3" x14ac:dyDescent="0.3">
      <c r="B3556"/>
      <c r="C3556"/>
    </row>
    <row r="3557" spans="2:3" x14ac:dyDescent="0.3">
      <c r="B3557"/>
      <c r="C3557"/>
    </row>
    <row r="3558" spans="2:3" x14ac:dyDescent="0.3">
      <c r="B3558"/>
      <c r="C3558"/>
    </row>
    <row r="3559" spans="2:3" x14ac:dyDescent="0.3">
      <c r="B3559"/>
      <c r="C3559"/>
    </row>
    <row r="3560" spans="2:3" x14ac:dyDescent="0.3">
      <c r="B3560"/>
      <c r="C3560"/>
    </row>
    <row r="3561" spans="2:3" x14ac:dyDescent="0.3">
      <c r="B3561"/>
      <c r="C3561"/>
    </row>
    <row r="3562" spans="2:3" x14ac:dyDescent="0.3">
      <c r="B3562"/>
      <c r="C3562"/>
    </row>
    <row r="3563" spans="2:3" x14ac:dyDescent="0.3">
      <c r="B3563"/>
      <c r="C3563"/>
    </row>
    <row r="3564" spans="2:3" x14ac:dyDescent="0.3">
      <c r="B3564"/>
      <c r="C3564"/>
    </row>
    <row r="3565" spans="2:3" x14ac:dyDescent="0.3">
      <c r="B3565"/>
      <c r="C3565"/>
    </row>
    <row r="3566" spans="2:3" x14ac:dyDescent="0.3">
      <c r="B3566"/>
      <c r="C3566"/>
    </row>
    <row r="3567" spans="2:3" x14ac:dyDescent="0.3">
      <c r="B3567"/>
      <c r="C3567"/>
    </row>
    <row r="3568" spans="2:3" x14ac:dyDescent="0.3">
      <c r="B3568"/>
      <c r="C3568"/>
    </row>
    <row r="3569" spans="2:3" x14ac:dyDescent="0.3">
      <c r="B3569"/>
      <c r="C3569"/>
    </row>
    <row r="3570" spans="2:3" x14ac:dyDescent="0.3">
      <c r="B3570"/>
      <c r="C3570"/>
    </row>
    <row r="3571" spans="2:3" x14ac:dyDescent="0.3">
      <c r="B3571"/>
      <c r="C3571"/>
    </row>
    <row r="3572" spans="2:3" x14ac:dyDescent="0.3">
      <c r="B3572"/>
      <c r="C3572"/>
    </row>
    <row r="3573" spans="2:3" x14ac:dyDescent="0.3">
      <c r="B3573"/>
      <c r="C3573"/>
    </row>
    <row r="3574" spans="2:3" x14ac:dyDescent="0.3">
      <c r="B3574"/>
      <c r="C3574"/>
    </row>
    <row r="3575" spans="2:3" x14ac:dyDescent="0.3">
      <c r="B3575"/>
      <c r="C3575"/>
    </row>
    <row r="3576" spans="2:3" x14ac:dyDescent="0.3">
      <c r="B3576"/>
      <c r="C3576"/>
    </row>
    <row r="3577" spans="2:3" x14ac:dyDescent="0.3">
      <c r="B3577"/>
      <c r="C3577"/>
    </row>
    <row r="3578" spans="2:3" x14ac:dyDescent="0.3">
      <c r="B3578"/>
      <c r="C3578"/>
    </row>
    <row r="3579" spans="2:3" x14ac:dyDescent="0.3">
      <c r="B3579"/>
      <c r="C3579"/>
    </row>
    <row r="3580" spans="2:3" x14ac:dyDescent="0.3">
      <c r="B3580"/>
      <c r="C3580"/>
    </row>
    <row r="3581" spans="2:3" x14ac:dyDescent="0.3">
      <c r="B3581"/>
      <c r="C3581"/>
    </row>
    <row r="3582" spans="2:3" x14ac:dyDescent="0.3">
      <c r="B3582"/>
      <c r="C3582"/>
    </row>
    <row r="3583" spans="2:3" x14ac:dyDescent="0.3">
      <c r="B3583"/>
      <c r="C3583"/>
    </row>
    <row r="3584" spans="2:3" x14ac:dyDescent="0.3">
      <c r="B3584"/>
      <c r="C3584"/>
    </row>
    <row r="3585" spans="2:3" x14ac:dyDescent="0.3">
      <c r="B3585"/>
      <c r="C3585"/>
    </row>
    <row r="3586" spans="2:3" x14ac:dyDescent="0.3">
      <c r="B3586"/>
      <c r="C3586"/>
    </row>
    <row r="3587" spans="2:3" x14ac:dyDescent="0.3">
      <c r="B3587"/>
      <c r="C3587"/>
    </row>
    <row r="3588" spans="2:3" x14ac:dyDescent="0.3">
      <c r="B3588"/>
      <c r="C3588"/>
    </row>
    <row r="3589" spans="2:3" x14ac:dyDescent="0.3">
      <c r="B3589"/>
      <c r="C3589"/>
    </row>
    <row r="3590" spans="2:3" x14ac:dyDescent="0.3">
      <c r="B3590"/>
      <c r="C3590"/>
    </row>
    <row r="3591" spans="2:3" x14ac:dyDescent="0.3">
      <c r="B3591"/>
      <c r="C3591"/>
    </row>
    <row r="3592" spans="2:3" x14ac:dyDescent="0.3">
      <c r="B3592"/>
      <c r="C3592"/>
    </row>
    <row r="3593" spans="2:3" x14ac:dyDescent="0.3">
      <c r="B3593"/>
      <c r="C3593"/>
    </row>
    <row r="3594" spans="2:3" x14ac:dyDescent="0.3">
      <c r="B3594"/>
      <c r="C3594"/>
    </row>
    <row r="3595" spans="2:3" x14ac:dyDescent="0.3">
      <c r="B3595"/>
      <c r="C3595"/>
    </row>
    <row r="3596" spans="2:3" x14ac:dyDescent="0.3">
      <c r="B3596"/>
      <c r="C3596"/>
    </row>
    <row r="3597" spans="2:3" x14ac:dyDescent="0.3">
      <c r="B3597"/>
      <c r="C3597"/>
    </row>
    <row r="3598" spans="2:3" x14ac:dyDescent="0.3">
      <c r="B3598"/>
      <c r="C3598"/>
    </row>
    <row r="3599" spans="2:3" x14ac:dyDescent="0.3">
      <c r="B3599"/>
      <c r="C3599"/>
    </row>
    <row r="3600" spans="2:3" x14ac:dyDescent="0.3">
      <c r="B3600"/>
      <c r="C3600"/>
    </row>
    <row r="3601" spans="2:3" x14ac:dyDescent="0.3">
      <c r="B3601"/>
      <c r="C3601"/>
    </row>
    <row r="3602" spans="2:3" x14ac:dyDescent="0.3">
      <c r="B3602"/>
      <c r="C3602"/>
    </row>
    <row r="3603" spans="2:3" x14ac:dyDescent="0.3">
      <c r="B3603"/>
      <c r="C3603"/>
    </row>
    <row r="3604" spans="2:3" x14ac:dyDescent="0.3">
      <c r="B3604"/>
      <c r="C3604"/>
    </row>
    <row r="3605" spans="2:3" x14ac:dyDescent="0.3">
      <c r="B3605"/>
      <c r="C3605"/>
    </row>
    <row r="3606" spans="2:3" x14ac:dyDescent="0.3">
      <c r="B3606"/>
      <c r="C3606"/>
    </row>
    <row r="3607" spans="2:3" x14ac:dyDescent="0.3">
      <c r="B3607"/>
      <c r="C3607"/>
    </row>
    <row r="3608" spans="2:3" x14ac:dyDescent="0.3">
      <c r="B3608"/>
      <c r="C3608"/>
    </row>
    <row r="3609" spans="2:3" x14ac:dyDescent="0.3">
      <c r="B3609"/>
      <c r="C3609"/>
    </row>
    <row r="3610" spans="2:3" x14ac:dyDescent="0.3">
      <c r="B3610"/>
      <c r="C3610"/>
    </row>
    <row r="3611" spans="2:3" x14ac:dyDescent="0.3">
      <c r="B3611"/>
      <c r="C3611"/>
    </row>
    <row r="3612" spans="2:3" x14ac:dyDescent="0.3">
      <c r="B3612"/>
      <c r="C3612"/>
    </row>
    <row r="3613" spans="2:3" x14ac:dyDescent="0.3">
      <c r="B3613"/>
      <c r="C3613"/>
    </row>
    <row r="3614" spans="2:3" x14ac:dyDescent="0.3">
      <c r="B3614"/>
      <c r="C3614"/>
    </row>
    <row r="3615" spans="2:3" x14ac:dyDescent="0.3">
      <c r="B3615"/>
      <c r="C3615"/>
    </row>
    <row r="3616" spans="2:3" x14ac:dyDescent="0.3">
      <c r="B3616"/>
      <c r="C3616"/>
    </row>
    <row r="3617" spans="2:3" x14ac:dyDescent="0.3">
      <c r="B3617"/>
      <c r="C3617"/>
    </row>
    <row r="3618" spans="2:3" x14ac:dyDescent="0.3">
      <c r="B3618"/>
      <c r="C3618"/>
    </row>
    <row r="3619" spans="2:3" x14ac:dyDescent="0.3">
      <c r="B3619"/>
      <c r="C3619"/>
    </row>
    <row r="3620" spans="2:3" x14ac:dyDescent="0.3">
      <c r="B3620"/>
      <c r="C3620"/>
    </row>
    <row r="3621" spans="2:3" x14ac:dyDescent="0.3">
      <c r="B3621"/>
      <c r="C3621"/>
    </row>
    <row r="3622" spans="2:3" x14ac:dyDescent="0.3">
      <c r="B3622"/>
      <c r="C3622"/>
    </row>
    <row r="3623" spans="2:3" x14ac:dyDescent="0.3">
      <c r="B3623"/>
      <c r="C3623"/>
    </row>
    <row r="3624" spans="2:3" x14ac:dyDescent="0.3">
      <c r="B3624"/>
      <c r="C3624"/>
    </row>
    <row r="3625" spans="2:3" x14ac:dyDescent="0.3">
      <c r="B3625"/>
      <c r="C3625"/>
    </row>
    <row r="3626" spans="2:3" x14ac:dyDescent="0.3">
      <c r="B3626"/>
      <c r="C3626"/>
    </row>
    <row r="3627" spans="2:3" x14ac:dyDescent="0.3">
      <c r="B3627"/>
      <c r="C3627"/>
    </row>
    <row r="3628" spans="2:3" x14ac:dyDescent="0.3">
      <c r="B3628"/>
      <c r="C3628"/>
    </row>
    <row r="3629" spans="2:3" x14ac:dyDescent="0.3">
      <c r="B3629"/>
      <c r="C3629"/>
    </row>
    <row r="3630" spans="2:3" x14ac:dyDescent="0.3">
      <c r="B3630"/>
      <c r="C3630"/>
    </row>
    <row r="3631" spans="2:3" x14ac:dyDescent="0.3">
      <c r="B3631"/>
      <c r="C3631"/>
    </row>
    <row r="3632" spans="2:3" x14ac:dyDescent="0.3">
      <c r="B3632"/>
      <c r="C3632"/>
    </row>
    <row r="3633" spans="2:3" x14ac:dyDescent="0.3">
      <c r="B3633"/>
      <c r="C3633"/>
    </row>
    <row r="3634" spans="2:3" x14ac:dyDescent="0.3">
      <c r="B3634"/>
      <c r="C3634"/>
    </row>
    <row r="3635" spans="2:3" x14ac:dyDescent="0.3">
      <c r="B3635"/>
      <c r="C3635"/>
    </row>
    <row r="3636" spans="2:3" x14ac:dyDescent="0.3">
      <c r="B3636"/>
      <c r="C3636"/>
    </row>
    <row r="3637" spans="2:3" x14ac:dyDescent="0.3">
      <c r="B3637"/>
      <c r="C3637"/>
    </row>
    <row r="3638" spans="2:3" x14ac:dyDescent="0.3">
      <c r="B3638"/>
      <c r="C3638"/>
    </row>
    <row r="3639" spans="2:3" x14ac:dyDescent="0.3">
      <c r="B3639"/>
      <c r="C3639"/>
    </row>
    <row r="3640" spans="2:3" x14ac:dyDescent="0.3">
      <c r="B3640"/>
      <c r="C3640"/>
    </row>
    <row r="3641" spans="2:3" x14ac:dyDescent="0.3">
      <c r="B3641"/>
      <c r="C3641"/>
    </row>
    <row r="3642" spans="2:3" x14ac:dyDescent="0.3">
      <c r="B3642"/>
      <c r="C3642"/>
    </row>
    <row r="3643" spans="2:3" x14ac:dyDescent="0.3">
      <c r="B3643"/>
      <c r="C3643"/>
    </row>
    <row r="3644" spans="2:3" x14ac:dyDescent="0.3">
      <c r="B3644"/>
      <c r="C3644"/>
    </row>
    <row r="3645" spans="2:3" x14ac:dyDescent="0.3">
      <c r="B3645"/>
      <c r="C3645"/>
    </row>
    <row r="3646" spans="2:3" x14ac:dyDescent="0.3">
      <c r="B3646"/>
      <c r="C3646"/>
    </row>
    <row r="3647" spans="2:3" x14ac:dyDescent="0.3">
      <c r="B3647"/>
      <c r="C3647"/>
    </row>
    <row r="3648" spans="2:3" x14ac:dyDescent="0.3">
      <c r="B3648"/>
      <c r="C3648"/>
    </row>
    <row r="3649" spans="2:3" x14ac:dyDescent="0.3">
      <c r="B3649"/>
      <c r="C3649"/>
    </row>
    <row r="3650" spans="2:3" x14ac:dyDescent="0.3">
      <c r="B3650"/>
      <c r="C3650"/>
    </row>
    <row r="3651" spans="2:3" x14ac:dyDescent="0.3">
      <c r="B3651"/>
      <c r="C3651"/>
    </row>
    <row r="3652" spans="2:3" x14ac:dyDescent="0.3">
      <c r="B3652"/>
      <c r="C3652"/>
    </row>
    <row r="3653" spans="2:3" x14ac:dyDescent="0.3">
      <c r="B3653"/>
      <c r="C3653"/>
    </row>
    <row r="3654" spans="2:3" x14ac:dyDescent="0.3">
      <c r="B3654"/>
      <c r="C3654"/>
    </row>
    <row r="3655" spans="2:3" x14ac:dyDescent="0.3">
      <c r="B3655"/>
      <c r="C3655"/>
    </row>
    <row r="3656" spans="2:3" x14ac:dyDescent="0.3">
      <c r="B3656"/>
      <c r="C3656"/>
    </row>
    <row r="3657" spans="2:3" x14ac:dyDescent="0.3">
      <c r="B3657"/>
      <c r="C3657"/>
    </row>
    <row r="3658" spans="2:3" x14ac:dyDescent="0.3">
      <c r="B3658"/>
      <c r="C3658"/>
    </row>
    <row r="3659" spans="2:3" x14ac:dyDescent="0.3">
      <c r="B3659"/>
      <c r="C3659"/>
    </row>
    <row r="3660" spans="2:3" x14ac:dyDescent="0.3">
      <c r="B3660"/>
      <c r="C3660"/>
    </row>
    <row r="3661" spans="2:3" x14ac:dyDescent="0.3">
      <c r="B3661"/>
      <c r="C3661"/>
    </row>
    <row r="3662" spans="2:3" x14ac:dyDescent="0.3">
      <c r="B3662"/>
      <c r="C3662"/>
    </row>
    <row r="3663" spans="2:3" x14ac:dyDescent="0.3">
      <c r="B3663"/>
      <c r="C3663"/>
    </row>
    <row r="3664" spans="2:3" x14ac:dyDescent="0.3">
      <c r="B3664"/>
      <c r="C3664"/>
    </row>
    <row r="3665" spans="2:3" x14ac:dyDescent="0.3">
      <c r="B3665"/>
      <c r="C3665"/>
    </row>
    <row r="3666" spans="2:3" x14ac:dyDescent="0.3">
      <c r="B3666"/>
      <c r="C3666"/>
    </row>
    <row r="3667" spans="2:3" x14ac:dyDescent="0.3">
      <c r="B3667"/>
      <c r="C3667"/>
    </row>
    <row r="3668" spans="2:3" x14ac:dyDescent="0.3">
      <c r="B3668"/>
      <c r="C3668"/>
    </row>
    <row r="3669" spans="2:3" x14ac:dyDescent="0.3">
      <c r="B3669"/>
      <c r="C3669"/>
    </row>
    <row r="3670" spans="2:3" x14ac:dyDescent="0.3">
      <c r="B3670"/>
      <c r="C3670"/>
    </row>
    <row r="3671" spans="2:3" x14ac:dyDescent="0.3">
      <c r="B3671"/>
      <c r="C3671"/>
    </row>
    <row r="3672" spans="2:3" x14ac:dyDescent="0.3">
      <c r="B3672"/>
      <c r="C3672"/>
    </row>
    <row r="3673" spans="2:3" x14ac:dyDescent="0.3">
      <c r="B3673"/>
      <c r="C3673"/>
    </row>
    <row r="3674" spans="2:3" x14ac:dyDescent="0.3">
      <c r="B3674"/>
      <c r="C3674"/>
    </row>
    <row r="3675" spans="2:3" x14ac:dyDescent="0.3">
      <c r="B3675"/>
      <c r="C3675"/>
    </row>
    <row r="3676" spans="2:3" x14ac:dyDescent="0.3">
      <c r="B3676"/>
      <c r="C3676"/>
    </row>
    <row r="3677" spans="2:3" x14ac:dyDescent="0.3">
      <c r="B3677"/>
      <c r="C3677"/>
    </row>
    <row r="3678" spans="2:3" x14ac:dyDescent="0.3">
      <c r="B3678"/>
      <c r="C3678"/>
    </row>
    <row r="3679" spans="2:3" x14ac:dyDescent="0.3">
      <c r="B3679"/>
      <c r="C3679"/>
    </row>
    <row r="3680" spans="2:3" x14ac:dyDescent="0.3">
      <c r="B3680"/>
      <c r="C3680"/>
    </row>
    <row r="3681" spans="2:3" x14ac:dyDescent="0.3">
      <c r="B3681"/>
      <c r="C3681"/>
    </row>
    <row r="3682" spans="2:3" x14ac:dyDescent="0.3">
      <c r="B3682"/>
      <c r="C3682"/>
    </row>
    <row r="3683" spans="2:3" x14ac:dyDescent="0.3">
      <c r="B3683"/>
      <c r="C3683"/>
    </row>
    <row r="3684" spans="2:3" x14ac:dyDescent="0.3">
      <c r="B3684"/>
      <c r="C3684"/>
    </row>
    <row r="3685" spans="2:3" x14ac:dyDescent="0.3">
      <c r="B3685"/>
      <c r="C3685"/>
    </row>
    <row r="3686" spans="2:3" x14ac:dyDescent="0.3">
      <c r="B3686"/>
      <c r="C3686"/>
    </row>
    <row r="3687" spans="2:3" x14ac:dyDescent="0.3">
      <c r="B3687"/>
      <c r="C3687"/>
    </row>
    <row r="3688" spans="2:3" x14ac:dyDescent="0.3">
      <c r="B3688"/>
      <c r="C3688"/>
    </row>
    <row r="3689" spans="2:3" x14ac:dyDescent="0.3">
      <c r="B3689"/>
      <c r="C3689"/>
    </row>
    <row r="3690" spans="2:3" x14ac:dyDescent="0.3">
      <c r="B3690"/>
      <c r="C3690"/>
    </row>
    <row r="3691" spans="2:3" x14ac:dyDescent="0.3">
      <c r="B3691"/>
      <c r="C3691"/>
    </row>
    <row r="3692" spans="2:3" x14ac:dyDescent="0.3">
      <c r="B3692"/>
      <c r="C3692"/>
    </row>
    <row r="3693" spans="2:3" x14ac:dyDescent="0.3">
      <c r="B3693"/>
      <c r="C3693"/>
    </row>
    <row r="3694" spans="2:3" x14ac:dyDescent="0.3">
      <c r="B3694"/>
      <c r="C3694"/>
    </row>
    <row r="3695" spans="2:3" x14ac:dyDescent="0.3">
      <c r="B3695"/>
      <c r="C3695"/>
    </row>
    <row r="3696" spans="2:3" x14ac:dyDescent="0.3">
      <c r="B3696"/>
      <c r="C3696"/>
    </row>
    <row r="3697" spans="2:3" x14ac:dyDescent="0.3">
      <c r="B3697"/>
      <c r="C3697"/>
    </row>
    <row r="3698" spans="2:3" x14ac:dyDescent="0.3">
      <c r="B3698"/>
      <c r="C3698"/>
    </row>
    <row r="3699" spans="2:3" x14ac:dyDescent="0.3">
      <c r="B3699"/>
      <c r="C3699"/>
    </row>
    <row r="3700" spans="2:3" x14ac:dyDescent="0.3">
      <c r="B3700"/>
      <c r="C3700"/>
    </row>
    <row r="3701" spans="2:3" x14ac:dyDescent="0.3">
      <c r="B3701"/>
      <c r="C3701"/>
    </row>
    <row r="3702" spans="2:3" x14ac:dyDescent="0.3">
      <c r="B3702"/>
      <c r="C3702"/>
    </row>
    <row r="3703" spans="2:3" x14ac:dyDescent="0.3">
      <c r="B3703"/>
      <c r="C3703"/>
    </row>
    <row r="3704" spans="2:3" x14ac:dyDescent="0.3">
      <c r="B3704"/>
      <c r="C3704"/>
    </row>
    <row r="3705" spans="2:3" x14ac:dyDescent="0.3">
      <c r="B3705"/>
      <c r="C3705"/>
    </row>
    <row r="3706" spans="2:3" x14ac:dyDescent="0.3">
      <c r="B3706"/>
      <c r="C3706"/>
    </row>
    <row r="3707" spans="2:3" x14ac:dyDescent="0.3">
      <c r="B3707"/>
      <c r="C3707"/>
    </row>
    <row r="3708" spans="2:3" x14ac:dyDescent="0.3">
      <c r="B3708"/>
      <c r="C3708"/>
    </row>
    <row r="3709" spans="2:3" x14ac:dyDescent="0.3">
      <c r="B3709"/>
      <c r="C3709"/>
    </row>
    <row r="3710" spans="2:3" x14ac:dyDescent="0.3">
      <c r="B3710"/>
      <c r="C3710"/>
    </row>
    <row r="3711" spans="2:3" x14ac:dyDescent="0.3">
      <c r="B3711"/>
      <c r="C3711"/>
    </row>
    <row r="3712" spans="2:3" x14ac:dyDescent="0.3">
      <c r="B3712"/>
      <c r="C3712"/>
    </row>
    <row r="3713" spans="2:3" x14ac:dyDescent="0.3">
      <c r="B3713"/>
      <c r="C3713"/>
    </row>
    <row r="3714" spans="2:3" x14ac:dyDescent="0.3">
      <c r="B3714"/>
      <c r="C3714"/>
    </row>
    <row r="3715" spans="2:3" x14ac:dyDescent="0.3">
      <c r="B3715"/>
      <c r="C3715"/>
    </row>
    <row r="3716" spans="2:3" x14ac:dyDescent="0.3">
      <c r="B3716"/>
      <c r="C3716"/>
    </row>
    <row r="3717" spans="2:3" x14ac:dyDescent="0.3">
      <c r="B3717"/>
      <c r="C3717"/>
    </row>
    <row r="3718" spans="2:3" x14ac:dyDescent="0.3">
      <c r="B3718"/>
      <c r="C3718"/>
    </row>
    <row r="3719" spans="2:3" x14ac:dyDescent="0.3">
      <c r="B3719"/>
      <c r="C3719"/>
    </row>
    <row r="3720" spans="2:3" x14ac:dyDescent="0.3">
      <c r="B3720"/>
      <c r="C3720"/>
    </row>
    <row r="3721" spans="2:3" x14ac:dyDescent="0.3">
      <c r="B3721"/>
      <c r="C3721"/>
    </row>
    <row r="3722" spans="2:3" x14ac:dyDescent="0.3">
      <c r="B3722"/>
      <c r="C3722"/>
    </row>
    <row r="3723" spans="2:3" x14ac:dyDescent="0.3">
      <c r="B3723"/>
      <c r="C3723"/>
    </row>
    <row r="3724" spans="2:3" x14ac:dyDescent="0.3">
      <c r="B3724"/>
      <c r="C3724"/>
    </row>
    <row r="3725" spans="2:3" x14ac:dyDescent="0.3">
      <c r="B3725"/>
      <c r="C3725"/>
    </row>
    <row r="3726" spans="2:3" x14ac:dyDescent="0.3">
      <c r="B3726"/>
      <c r="C3726"/>
    </row>
    <row r="3727" spans="2:3" x14ac:dyDescent="0.3">
      <c r="B3727"/>
      <c r="C3727"/>
    </row>
    <row r="3728" spans="2:3" x14ac:dyDescent="0.3">
      <c r="B3728"/>
      <c r="C3728"/>
    </row>
    <row r="3729" spans="2:3" x14ac:dyDescent="0.3">
      <c r="B3729"/>
      <c r="C3729"/>
    </row>
    <row r="3730" spans="2:3" x14ac:dyDescent="0.3">
      <c r="B3730"/>
      <c r="C3730"/>
    </row>
    <row r="3731" spans="2:3" x14ac:dyDescent="0.3">
      <c r="B3731"/>
      <c r="C3731"/>
    </row>
    <row r="3732" spans="2:3" x14ac:dyDescent="0.3">
      <c r="B3732"/>
      <c r="C3732"/>
    </row>
    <row r="3733" spans="2:3" x14ac:dyDescent="0.3">
      <c r="B3733"/>
      <c r="C3733"/>
    </row>
    <row r="3734" spans="2:3" x14ac:dyDescent="0.3">
      <c r="B3734"/>
      <c r="C3734"/>
    </row>
    <row r="3735" spans="2:3" x14ac:dyDescent="0.3">
      <c r="B3735"/>
      <c r="C3735"/>
    </row>
    <row r="3736" spans="2:3" x14ac:dyDescent="0.3">
      <c r="B3736"/>
      <c r="C3736"/>
    </row>
    <row r="3737" spans="2:3" x14ac:dyDescent="0.3">
      <c r="B3737"/>
      <c r="C3737"/>
    </row>
    <row r="3738" spans="2:3" x14ac:dyDescent="0.3">
      <c r="B3738"/>
      <c r="C3738"/>
    </row>
    <row r="3739" spans="2:3" x14ac:dyDescent="0.3">
      <c r="B3739"/>
      <c r="C3739"/>
    </row>
    <row r="3740" spans="2:3" x14ac:dyDescent="0.3">
      <c r="B3740"/>
      <c r="C3740"/>
    </row>
    <row r="3741" spans="2:3" x14ac:dyDescent="0.3">
      <c r="B3741"/>
      <c r="C3741"/>
    </row>
    <row r="3742" spans="2:3" x14ac:dyDescent="0.3">
      <c r="B3742"/>
      <c r="C3742"/>
    </row>
    <row r="3743" spans="2:3" x14ac:dyDescent="0.3">
      <c r="B3743"/>
      <c r="C3743"/>
    </row>
    <row r="3744" spans="2:3" x14ac:dyDescent="0.3">
      <c r="B3744"/>
      <c r="C3744"/>
    </row>
    <row r="3745" spans="2:3" x14ac:dyDescent="0.3">
      <c r="B3745"/>
      <c r="C3745"/>
    </row>
    <row r="3746" spans="2:3" x14ac:dyDescent="0.3">
      <c r="B3746"/>
      <c r="C3746"/>
    </row>
    <row r="3747" spans="2:3" x14ac:dyDescent="0.3">
      <c r="B3747"/>
      <c r="C3747"/>
    </row>
    <row r="3748" spans="2:3" x14ac:dyDescent="0.3">
      <c r="B3748"/>
      <c r="C3748"/>
    </row>
    <row r="3749" spans="2:3" x14ac:dyDescent="0.3">
      <c r="B3749"/>
      <c r="C3749"/>
    </row>
    <row r="3750" spans="2:3" x14ac:dyDescent="0.3">
      <c r="B3750"/>
      <c r="C3750"/>
    </row>
    <row r="3751" spans="2:3" x14ac:dyDescent="0.3">
      <c r="B3751"/>
      <c r="C3751"/>
    </row>
    <row r="3752" spans="2:3" x14ac:dyDescent="0.3">
      <c r="B3752"/>
      <c r="C3752"/>
    </row>
    <row r="3753" spans="2:3" x14ac:dyDescent="0.3">
      <c r="B3753"/>
      <c r="C3753"/>
    </row>
    <row r="3754" spans="2:3" x14ac:dyDescent="0.3">
      <c r="B3754"/>
      <c r="C3754"/>
    </row>
    <row r="3755" spans="2:3" x14ac:dyDescent="0.3">
      <c r="B3755"/>
      <c r="C3755"/>
    </row>
    <row r="3756" spans="2:3" x14ac:dyDescent="0.3">
      <c r="B3756"/>
      <c r="C3756"/>
    </row>
    <row r="3757" spans="2:3" x14ac:dyDescent="0.3">
      <c r="B3757"/>
      <c r="C3757"/>
    </row>
    <row r="3758" spans="2:3" x14ac:dyDescent="0.3">
      <c r="B3758"/>
      <c r="C3758"/>
    </row>
    <row r="3759" spans="2:3" x14ac:dyDescent="0.3">
      <c r="B3759"/>
      <c r="C3759"/>
    </row>
    <row r="3760" spans="2:3" x14ac:dyDescent="0.3">
      <c r="B3760"/>
      <c r="C3760"/>
    </row>
    <row r="3761" spans="2:3" x14ac:dyDescent="0.3">
      <c r="B3761"/>
      <c r="C3761"/>
    </row>
    <row r="3762" spans="2:3" x14ac:dyDescent="0.3">
      <c r="B3762"/>
      <c r="C3762"/>
    </row>
    <row r="3763" spans="2:3" x14ac:dyDescent="0.3">
      <c r="B3763"/>
      <c r="C3763"/>
    </row>
    <row r="3764" spans="2:3" x14ac:dyDescent="0.3">
      <c r="B3764"/>
      <c r="C3764"/>
    </row>
    <row r="3765" spans="2:3" x14ac:dyDescent="0.3">
      <c r="B3765"/>
      <c r="C3765"/>
    </row>
    <row r="3766" spans="2:3" x14ac:dyDescent="0.3">
      <c r="B3766"/>
      <c r="C3766"/>
    </row>
    <row r="3767" spans="2:3" x14ac:dyDescent="0.3">
      <c r="B3767"/>
      <c r="C3767"/>
    </row>
    <row r="3768" spans="2:3" x14ac:dyDescent="0.3">
      <c r="B3768"/>
      <c r="C3768"/>
    </row>
    <row r="3769" spans="2:3" x14ac:dyDescent="0.3">
      <c r="B3769"/>
      <c r="C3769"/>
    </row>
    <row r="3770" spans="2:3" x14ac:dyDescent="0.3">
      <c r="B3770"/>
      <c r="C3770"/>
    </row>
    <row r="3771" spans="2:3" x14ac:dyDescent="0.3">
      <c r="B3771"/>
      <c r="C3771"/>
    </row>
    <row r="3772" spans="2:3" x14ac:dyDescent="0.3">
      <c r="B3772"/>
      <c r="C3772"/>
    </row>
    <row r="3773" spans="2:3" x14ac:dyDescent="0.3">
      <c r="B3773"/>
      <c r="C3773"/>
    </row>
    <row r="3774" spans="2:3" x14ac:dyDescent="0.3">
      <c r="B3774"/>
      <c r="C3774"/>
    </row>
    <row r="3775" spans="2:3" x14ac:dyDescent="0.3">
      <c r="B3775"/>
      <c r="C3775"/>
    </row>
    <row r="3776" spans="2:3" x14ac:dyDescent="0.3">
      <c r="B3776"/>
      <c r="C3776"/>
    </row>
    <row r="3777" spans="2:3" x14ac:dyDescent="0.3">
      <c r="B3777"/>
      <c r="C3777"/>
    </row>
    <row r="3778" spans="2:3" x14ac:dyDescent="0.3">
      <c r="B3778"/>
      <c r="C3778"/>
    </row>
    <row r="3779" spans="2:3" x14ac:dyDescent="0.3">
      <c r="B3779"/>
      <c r="C3779"/>
    </row>
    <row r="3780" spans="2:3" x14ac:dyDescent="0.3">
      <c r="B3780"/>
      <c r="C3780"/>
    </row>
    <row r="3781" spans="2:3" x14ac:dyDescent="0.3">
      <c r="B3781"/>
      <c r="C3781"/>
    </row>
    <row r="3782" spans="2:3" x14ac:dyDescent="0.3">
      <c r="B3782"/>
      <c r="C3782"/>
    </row>
    <row r="3783" spans="2:3" x14ac:dyDescent="0.3">
      <c r="B3783"/>
      <c r="C3783"/>
    </row>
    <row r="3784" spans="2:3" x14ac:dyDescent="0.3">
      <c r="B3784"/>
      <c r="C3784"/>
    </row>
    <row r="3785" spans="2:3" x14ac:dyDescent="0.3">
      <c r="B3785"/>
      <c r="C3785"/>
    </row>
    <row r="3786" spans="2:3" x14ac:dyDescent="0.3">
      <c r="B3786"/>
      <c r="C3786"/>
    </row>
    <row r="3787" spans="2:3" x14ac:dyDescent="0.3">
      <c r="B3787"/>
      <c r="C3787"/>
    </row>
    <row r="3788" spans="2:3" x14ac:dyDescent="0.3">
      <c r="B3788"/>
      <c r="C3788"/>
    </row>
    <row r="3789" spans="2:3" x14ac:dyDescent="0.3">
      <c r="B3789"/>
      <c r="C3789"/>
    </row>
    <row r="3790" spans="2:3" x14ac:dyDescent="0.3">
      <c r="B3790"/>
      <c r="C3790"/>
    </row>
    <row r="3791" spans="2:3" x14ac:dyDescent="0.3">
      <c r="B3791"/>
      <c r="C3791"/>
    </row>
    <row r="3792" spans="2:3" x14ac:dyDescent="0.3">
      <c r="B3792"/>
      <c r="C3792"/>
    </row>
    <row r="3793" spans="2:3" x14ac:dyDescent="0.3">
      <c r="B3793"/>
      <c r="C3793"/>
    </row>
    <row r="3794" spans="2:3" x14ac:dyDescent="0.3">
      <c r="B3794"/>
      <c r="C3794"/>
    </row>
    <row r="3795" spans="2:3" x14ac:dyDescent="0.3">
      <c r="B3795"/>
      <c r="C3795"/>
    </row>
    <row r="3796" spans="2:3" x14ac:dyDescent="0.3">
      <c r="B3796"/>
      <c r="C3796"/>
    </row>
    <row r="3797" spans="2:3" x14ac:dyDescent="0.3">
      <c r="B3797"/>
      <c r="C3797"/>
    </row>
    <row r="3798" spans="2:3" x14ac:dyDescent="0.3">
      <c r="B3798"/>
      <c r="C3798"/>
    </row>
    <row r="3799" spans="2:3" x14ac:dyDescent="0.3">
      <c r="B3799"/>
      <c r="C3799"/>
    </row>
    <row r="3800" spans="2:3" x14ac:dyDescent="0.3">
      <c r="B3800"/>
      <c r="C3800"/>
    </row>
    <row r="3801" spans="2:3" x14ac:dyDescent="0.3">
      <c r="B3801"/>
      <c r="C3801"/>
    </row>
    <row r="3802" spans="2:3" x14ac:dyDescent="0.3">
      <c r="B3802"/>
      <c r="C3802"/>
    </row>
    <row r="3803" spans="2:3" x14ac:dyDescent="0.3">
      <c r="B3803"/>
      <c r="C3803"/>
    </row>
    <row r="3804" spans="2:3" x14ac:dyDescent="0.3">
      <c r="B3804"/>
      <c r="C3804"/>
    </row>
    <row r="3805" spans="2:3" x14ac:dyDescent="0.3">
      <c r="B3805"/>
      <c r="C3805"/>
    </row>
    <row r="3806" spans="2:3" x14ac:dyDescent="0.3">
      <c r="B3806"/>
      <c r="C3806"/>
    </row>
    <row r="3807" spans="2:3" x14ac:dyDescent="0.3">
      <c r="B3807"/>
      <c r="C3807"/>
    </row>
    <row r="3808" spans="2:3" x14ac:dyDescent="0.3">
      <c r="B3808"/>
      <c r="C3808"/>
    </row>
    <row r="3809" spans="2:3" x14ac:dyDescent="0.3">
      <c r="B3809"/>
      <c r="C3809"/>
    </row>
    <row r="3810" spans="2:3" x14ac:dyDescent="0.3">
      <c r="B3810"/>
      <c r="C3810"/>
    </row>
    <row r="3811" spans="2:3" x14ac:dyDescent="0.3">
      <c r="B3811"/>
      <c r="C3811"/>
    </row>
    <row r="3812" spans="2:3" x14ac:dyDescent="0.3">
      <c r="B3812"/>
      <c r="C3812"/>
    </row>
    <row r="3813" spans="2:3" x14ac:dyDescent="0.3">
      <c r="B3813"/>
      <c r="C3813"/>
    </row>
    <row r="3814" spans="2:3" x14ac:dyDescent="0.3">
      <c r="B3814"/>
      <c r="C3814"/>
    </row>
    <row r="3815" spans="2:3" x14ac:dyDescent="0.3">
      <c r="B3815"/>
      <c r="C3815"/>
    </row>
    <row r="3816" spans="2:3" x14ac:dyDescent="0.3">
      <c r="B3816"/>
      <c r="C3816"/>
    </row>
    <row r="3817" spans="2:3" x14ac:dyDescent="0.3">
      <c r="B3817"/>
      <c r="C3817"/>
    </row>
    <row r="3818" spans="2:3" x14ac:dyDescent="0.3">
      <c r="B3818"/>
      <c r="C3818"/>
    </row>
    <row r="3819" spans="2:3" x14ac:dyDescent="0.3">
      <c r="B3819"/>
      <c r="C3819"/>
    </row>
    <row r="3820" spans="2:3" x14ac:dyDescent="0.3">
      <c r="B3820"/>
      <c r="C3820"/>
    </row>
    <row r="3821" spans="2:3" x14ac:dyDescent="0.3">
      <c r="B3821"/>
      <c r="C3821"/>
    </row>
    <row r="3822" spans="2:3" x14ac:dyDescent="0.3">
      <c r="B3822"/>
      <c r="C3822"/>
    </row>
    <row r="3823" spans="2:3" x14ac:dyDescent="0.3">
      <c r="B3823"/>
      <c r="C3823"/>
    </row>
    <row r="3824" spans="2:3" x14ac:dyDescent="0.3">
      <c r="B3824"/>
      <c r="C3824"/>
    </row>
    <row r="3825" spans="2:3" x14ac:dyDescent="0.3">
      <c r="B3825"/>
      <c r="C3825"/>
    </row>
    <row r="3826" spans="2:3" x14ac:dyDescent="0.3">
      <c r="B3826"/>
      <c r="C3826"/>
    </row>
    <row r="3827" spans="2:3" x14ac:dyDescent="0.3">
      <c r="B3827"/>
      <c r="C3827"/>
    </row>
    <row r="3828" spans="2:3" x14ac:dyDescent="0.3">
      <c r="B3828"/>
      <c r="C3828"/>
    </row>
    <row r="3829" spans="2:3" x14ac:dyDescent="0.3">
      <c r="B3829"/>
      <c r="C3829"/>
    </row>
    <row r="3830" spans="2:3" x14ac:dyDescent="0.3">
      <c r="B3830"/>
      <c r="C3830"/>
    </row>
    <row r="3831" spans="2:3" x14ac:dyDescent="0.3">
      <c r="B3831"/>
      <c r="C3831"/>
    </row>
    <row r="3832" spans="2:3" x14ac:dyDescent="0.3">
      <c r="B3832"/>
      <c r="C3832"/>
    </row>
    <row r="3833" spans="2:3" x14ac:dyDescent="0.3">
      <c r="B3833"/>
      <c r="C3833"/>
    </row>
    <row r="3834" spans="2:3" x14ac:dyDescent="0.3">
      <c r="B3834"/>
      <c r="C3834"/>
    </row>
    <row r="3835" spans="2:3" x14ac:dyDescent="0.3">
      <c r="B3835"/>
      <c r="C3835"/>
    </row>
    <row r="3836" spans="2:3" x14ac:dyDescent="0.3">
      <c r="B3836"/>
      <c r="C3836"/>
    </row>
    <row r="3837" spans="2:3" x14ac:dyDescent="0.3">
      <c r="B3837"/>
      <c r="C3837"/>
    </row>
    <row r="3838" spans="2:3" x14ac:dyDescent="0.3">
      <c r="B3838"/>
      <c r="C3838"/>
    </row>
    <row r="3839" spans="2:3" x14ac:dyDescent="0.3">
      <c r="B3839"/>
      <c r="C3839"/>
    </row>
    <row r="3840" spans="2:3" x14ac:dyDescent="0.3">
      <c r="B3840"/>
      <c r="C3840"/>
    </row>
    <row r="3841" spans="2:3" x14ac:dyDescent="0.3">
      <c r="B3841"/>
      <c r="C3841"/>
    </row>
    <row r="3842" spans="2:3" x14ac:dyDescent="0.3">
      <c r="B3842"/>
      <c r="C3842"/>
    </row>
    <row r="3843" spans="2:3" x14ac:dyDescent="0.3">
      <c r="B3843"/>
      <c r="C3843"/>
    </row>
    <row r="3844" spans="2:3" x14ac:dyDescent="0.3">
      <c r="B3844"/>
      <c r="C3844"/>
    </row>
    <row r="3845" spans="2:3" x14ac:dyDescent="0.3">
      <c r="B3845"/>
      <c r="C3845"/>
    </row>
    <row r="3846" spans="2:3" x14ac:dyDescent="0.3">
      <c r="B3846"/>
      <c r="C3846"/>
    </row>
    <row r="3847" spans="2:3" x14ac:dyDescent="0.3">
      <c r="B3847"/>
      <c r="C3847"/>
    </row>
    <row r="3848" spans="2:3" x14ac:dyDescent="0.3">
      <c r="B3848"/>
      <c r="C3848"/>
    </row>
    <row r="3849" spans="2:3" x14ac:dyDescent="0.3">
      <c r="B3849"/>
      <c r="C3849"/>
    </row>
    <row r="3850" spans="2:3" x14ac:dyDescent="0.3">
      <c r="B3850"/>
      <c r="C3850"/>
    </row>
    <row r="3851" spans="2:3" x14ac:dyDescent="0.3">
      <c r="B3851"/>
      <c r="C3851"/>
    </row>
    <row r="3852" spans="2:3" x14ac:dyDescent="0.3">
      <c r="B3852"/>
      <c r="C3852"/>
    </row>
    <row r="3853" spans="2:3" x14ac:dyDescent="0.3">
      <c r="B3853"/>
      <c r="C3853"/>
    </row>
    <row r="3854" spans="2:3" x14ac:dyDescent="0.3">
      <c r="B3854"/>
      <c r="C3854"/>
    </row>
    <row r="3855" spans="2:3" x14ac:dyDescent="0.3">
      <c r="B3855"/>
      <c r="C3855"/>
    </row>
    <row r="3856" spans="2:3" x14ac:dyDescent="0.3">
      <c r="B3856"/>
      <c r="C3856"/>
    </row>
    <row r="3857" spans="2:3" x14ac:dyDescent="0.3">
      <c r="B3857"/>
      <c r="C3857"/>
    </row>
    <row r="3858" spans="2:3" x14ac:dyDescent="0.3">
      <c r="B3858"/>
      <c r="C3858"/>
    </row>
    <row r="3859" spans="2:3" x14ac:dyDescent="0.3">
      <c r="B3859"/>
      <c r="C3859"/>
    </row>
    <row r="3860" spans="2:3" x14ac:dyDescent="0.3">
      <c r="B3860"/>
      <c r="C3860"/>
    </row>
    <row r="3861" spans="2:3" x14ac:dyDescent="0.3">
      <c r="B3861"/>
      <c r="C3861"/>
    </row>
    <row r="3862" spans="2:3" x14ac:dyDescent="0.3">
      <c r="B3862"/>
      <c r="C3862"/>
    </row>
    <row r="3863" spans="2:3" x14ac:dyDescent="0.3">
      <c r="B3863"/>
      <c r="C3863"/>
    </row>
    <row r="3864" spans="2:3" x14ac:dyDescent="0.3">
      <c r="B3864"/>
      <c r="C3864"/>
    </row>
    <row r="3865" spans="2:3" x14ac:dyDescent="0.3">
      <c r="B3865"/>
      <c r="C3865"/>
    </row>
    <row r="3866" spans="2:3" x14ac:dyDescent="0.3">
      <c r="B3866"/>
      <c r="C3866"/>
    </row>
    <row r="3867" spans="2:3" x14ac:dyDescent="0.3">
      <c r="B3867"/>
      <c r="C3867"/>
    </row>
    <row r="3868" spans="2:3" x14ac:dyDescent="0.3">
      <c r="B3868"/>
      <c r="C3868"/>
    </row>
    <row r="3869" spans="2:3" x14ac:dyDescent="0.3">
      <c r="B3869"/>
      <c r="C3869"/>
    </row>
    <row r="3870" spans="2:3" x14ac:dyDescent="0.3">
      <c r="B3870"/>
      <c r="C3870"/>
    </row>
    <row r="3871" spans="2:3" x14ac:dyDescent="0.3">
      <c r="B3871"/>
      <c r="C3871"/>
    </row>
    <row r="3872" spans="2:3" x14ac:dyDescent="0.3">
      <c r="B3872"/>
      <c r="C3872"/>
    </row>
    <row r="3873" spans="2:3" x14ac:dyDescent="0.3">
      <c r="B3873"/>
      <c r="C3873"/>
    </row>
    <row r="3874" spans="2:3" x14ac:dyDescent="0.3">
      <c r="B3874"/>
      <c r="C3874"/>
    </row>
    <row r="3875" spans="2:3" x14ac:dyDescent="0.3">
      <c r="B3875"/>
      <c r="C3875"/>
    </row>
    <row r="3876" spans="2:3" x14ac:dyDescent="0.3">
      <c r="B3876"/>
      <c r="C3876"/>
    </row>
    <row r="3877" spans="2:3" x14ac:dyDescent="0.3">
      <c r="B3877"/>
      <c r="C3877"/>
    </row>
    <row r="3878" spans="2:3" x14ac:dyDescent="0.3">
      <c r="B3878"/>
      <c r="C3878"/>
    </row>
    <row r="3879" spans="2:3" x14ac:dyDescent="0.3">
      <c r="B3879"/>
      <c r="C3879"/>
    </row>
    <row r="3880" spans="2:3" x14ac:dyDescent="0.3">
      <c r="B3880"/>
      <c r="C3880"/>
    </row>
    <row r="3881" spans="2:3" x14ac:dyDescent="0.3">
      <c r="B3881"/>
      <c r="C3881"/>
    </row>
    <row r="3882" spans="2:3" x14ac:dyDescent="0.3">
      <c r="B3882"/>
      <c r="C3882"/>
    </row>
    <row r="3883" spans="2:3" x14ac:dyDescent="0.3">
      <c r="B3883"/>
      <c r="C3883"/>
    </row>
    <row r="3884" spans="2:3" x14ac:dyDescent="0.3">
      <c r="B3884"/>
      <c r="C3884"/>
    </row>
    <row r="3885" spans="2:3" x14ac:dyDescent="0.3">
      <c r="B3885"/>
      <c r="C3885"/>
    </row>
    <row r="3886" spans="2:3" x14ac:dyDescent="0.3">
      <c r="B3886"/>
      <c r="C3886"/>
    </row>
    <row r="3887" spans="2:3" x14ac:dyDescent="0.3">
      <c r="B3887"/>
      <c r="C3887"/>
    </row>
    <row r="3888" spans="2:3" x14ac:dyDescent="0.3">
      <c r="B3888"/>
      <c r="C3888"/>
    </row>
    <row r="3889" spans="2:3" x14ac:dyDescent="0.3">
      <c r="B3889"/>
      <c r="C3889"/>
    </row>
    <row r="3890" spans="2:3" x14ac:dyDescent="0.3">
      <c r="B3890"/>
      <c r="C3890"/>
    </row>
    <row r="3891" spans="2:3" x14ac:dyDescent="0.3">
      <c r="B3891"/>
      <c r="C3891"/>
    </row>
    <row r="3892" spans="2:3" x14ac:dyDescent="0.3">
      <c r="B3892"/>
      <c r="C3892"/>
    </row>
    <row r="3893" spans="2:3" x14ac:dyDescent="0.3">
      <c r="B3893"/>
      <c r="C3893"/>
    </row>
    <row r="3894" spans="2:3" x14ac:dyDescent="0.3">
      <c r="B3894"/>
      <c r="C3894"/>
    </row>
    <row r="3895" spans="2:3" x14ac:dyDescent="0.3">
      <c r="B3895"/>
      <c r="C3895"/>
    </row>
    <row r="3896" spans="2:3" x14ac:dyDescent="0.3">
      <c r="B3896"/>
      <c r="C3896"/>
    </row>
    <row r="3897" spans="2:3" x14ac:dyDescent="0.3">
      <c r="B3897"/>
      <c r="C3897"/>
    </row>
    <row r="3898" spans="2:3" x14ac:dyDescent="0.3">
      <c r="B3898"/>
      <c r="C3898"/>
    </row>
    <row r="3899" spans="2:3" x14ac:dyDescent="0.3">
      <c r="B3899"/>
      <c r="C3899"/>
    </row>
    <row r="3900" spans="2:3" x14ac:dyDescent="0.3">
      <c r="B3900"/>
      <c r="C3900"/>
    </row>
    <row r="3901" spans="2:3" x14ac:dyDescent="0.3">
      <c r="B3901"/>
      <c r="C3901"/>
    </row>
    <row r="3902" spans="2:3" x14ac:dyDescent="0.3">
      <c r="B3902"/>
      <c r="C3902"/>
    </row>
    <row r="3903" spans="2:3" x14ac:dyDescent="0.3">
      <c r="B3903"/>
      <c r="C3903"/>
    </row>
    <row r="3904" spans="2:3" x14ac:dyDescent="0.3">
      <c r="B3904"/>
      <c r="C3904"/>
    </row>
    <row r="3905" spans="2:3" x14ac:dyDescent="0.3">
      <c r="B3905"/>
      <c r="C3905"/>
    </row>
    <row r="3906" spans="2:3" x14ac:dyDescent="0.3">
      <c r="B3906"/>
      <c r="C3906"/>
    </row>
    <row r="3907" spans="2:3" x14ac:dyDescent="0.3">
      <c r="B3907"/>
      <c r="C3907"/>
    </row>
    <row r="3908" spans="2:3" x14ac:dyDescent="0.3">
      <c r="B3908"/>
      <c r="C3908"/>
    </row>
    <row r="3909" spans="2:3" x14ac:dyDescent="0.3">
      <c r="B3909"/>
      <c r="C3909"/>
    </row>
    <row r="3910" spans="2:3" x14ac:dyDescent="0.3">
      <c r="B3910"/>
      <c r="C3910"/>
    </row>
    <row r="3911" spans="2:3" x14ac:dyDescent="0.3">
      <c r="B3911"/>
      <c r="C3911"/>
    </row>
    <row r="3912" spans="2:3" x14ac:dyDescent="0.3">
      <c r="B3912"/>
      <c r="C3912"/>
    </row>
    <row r="3913" spans="2:3" x14ac:dyDescent="0.3">
      <c r="B3913"/>
      <c r="C3913"/>
    </row>
    <row r="3914" spans="2:3" x14ac:dyDescent="0.3">
      <c r="B3914"/>
      <c r="C3914"/>
    </row>
    <row r="3915" spans="2:3" x14ac:dyDescent="0.3">
      <c r="B3915"/>
      <c r="C3915"/>
    </row>
    <row r="3916" spans="2:3" x14ac:dyDescent="0.3">
      <c r="B3916"/>
      <c r="C3916"/>
    </row>
    <row r="3917" spans="2:3" x14ac:dyDescent="0.3">
      <c r="B3917"/>
      <c r="C3917"/>
    </row>
    <row r="3918" spans="2:3" x14ac:dyDescent="0.3">
      <c r="B3918"/>
      <c r="C3918"/>
    </row>
    <row r="3919" spans="2:3" x14ac:dyDescent="0.3">
      <c r="B3919"/>
      <c r="C3919"/>
    </row>
    <row r="3920" spans="2:3" x14ac:dyDescent="0.3">
      <c r="B3920"/>
      <c r="C3920"/>
    </row>
    <row r="3921" spans="2:3" x14ac:dyDescent="0.3">
      <c r="B3921"/>
      <c r="C3921"/>
    </row>
    <row r="3922" spans="2:3" x14ac:dyDescent="0.3">
      <c r="B3922"/>
      <c r="C3922"/>
    </row>
    <row r="3923" spans="2:3" x14ac:dyDescent="0.3">
      <c r="B3923"/>
      <c r="C3923"/>
    </row>
    <row r="3924" spans="2:3" x14ac:dyDescent="0.3">
      <c r="B3924"/>
      <c r="C3924"/>
    </row>
    <row r="3925" spans="2:3" x14ac:dyDescent="0.3">
      <c r="B3925"/>
      <c r="C3925"/>
    </row>
    <row r="3926" spans="2:3" x14ac:dyDescent="0.3">
      <c r="B3926"/>
      <c r="C3926"/>
    </row>
    <row r="3927" spans="2:3" x14ac:dyDescent="0.3">
      <c r="B3927"/>
      <c r="C3927"/>
    </row>
    <row r="3928" spans="2:3" x14ac:dyDescent="0.3">
      <c r="B3928"/>
      <c r="C3928"/>
    </row>
    <row r="3929" spans="2:3" x14ac:dyDescent="0.3">
      <c r="B3929"/>
      <c r="C3929"/>
    </row>
    <row r="3930" spans="2:3" x14ac:dyDescent="0.3">
      <c r="B3930"/>
      <c r="C3930"/>
    </row>
    <row r="3931" spans="2:3" x14ac:dyDescent="0.3">
      <c r="B3931"/>
      <c r="C3931"/>
    </row>
    <row r="3932" spans="2:3" x14ac:dyDescent="0.3">
      <c r="B3932"/>
      <c r="C3932"/>
    </row>
    <row r="3933" spans="2:3" x14ac:dyDescent="0.3">
      <c r="B3933"/>
      <c r="C3933"/>
    </row>
    <row r="3934" spans="2:3" x14ac:dyDescent="0.3">
      <c r="B3934"/>
      <c r="C3934"/>
    </row>
    <row r="3935" spans="2:3" x14ac:dyDescent="0.3">
      <c r="B3935"/>
      <c r="C3935"/>
    </row>
    <row r="3936" spans="2:3" x14ac:dyDescent="0.3">
      <c r="B3936"/>
      <c r="C3936"/>
    </row>
    <row r="3937" spans="2:3" x14ac:dyDescent="0.3">
      <c r="B3937"/>
      <c r="C3937"/>
    </row>
    <row r="3938" spans="2:3" x14ac:dyDescent="0.3">
      <c r="B3938"/>
      <c r="C3938"/>
    </row>
    <row r="3939" spans="2:3" x14ac:dyDescent="0.3">
      <c r="B3939"/>
      <c r="C3939"/>
    </row>
    <row r="3940" spans="2:3" x14ac:dyDescent="0.3">
      <c r="B3940"/>
      <c r="C3940"/>
    </row>
    <row r="3941" spans="2:3" x14ac:dyDescent="0.3">
      <c r="B3941"/>
      <c r="C3941"/>
    </row>
    <row r="3942" spans="2:3" x14ac:dyDescent="0.3">
      <c r="B3942"/>
      <c r="C3942"/>
    </row>
    <row r="3943" spans="2:3" x14ac:dyDescent="0.3">
      <c r="B3943"/>
      <c r="C3943"/>
    </row>
    <row r="3944" spans="2:3" x14ac:dyDescent="0.3">
      <c r="B3944"/>
      <c r="C3944"/>
    </row>
    <row r="3945" spans="2:3" x14ac:dyDescent="0.3">
      <c r="B3945"/>
      <c r="C3945"/>
    </row>
    <row r="3946" spans="2:3" x14ac:dyDescent="0.3">
      <c r="B3946"/>
      <c r="C3946"/>
    </row>
    <row r="3947" spans="2:3" x14ac:dyDescent="0.3">
      <c r="B3947"/>
      <c r="C3947"/>
    </row>
    <row r="3948" spans="2:3" x14ac:dyDescent="0.3">
      <c r="B3948"/>
      <c r="C3948"/>
    </row>
    <row r="3949" spans="2:3" x14ac:dyDescent="0.3">
      <c r="B3949"/>
      <c r="C3949"/>
    </row>
    <row r="3950" spans="2:3" x14ac:dyDescent="0.3">
      <c r="B3950"/>
      <c r="C3950"/>
    </row>
    <row r="3951" spans="2:3" x14ac:dyDescent="0.3">
      <c r="B3951"/>
      <c r="C3951"/>
    </row>
    <row r="3952" spans="2:3" x14ac:dyDescent="0.3">
      <c r="B3952"/>
      <c r="C3952"/>
    </row>
    <row r="3953" spans="2:3" x14ac:dyDescent="0.3">
      <c r="B3953"/>
      <c r="C3953"/>
    </row>
    <row r="3954" spans="2:3" x14ac:dyDescent="0.3">
      <c r="B3954"/>
      <c r="C3954"/>
    </row>
    <row r="3955" spans="2:3" x14ac:dyDescent="0.3">
      <c r="B3955"/>
      <c r="C3955"/>
    </row>
    <row r="3956" spans="2:3" x14ac:dyDescent="0.3">
      <c r="B3956"/>
      <c r="C3956"/>
    </row>
    <row r="3957" spans="2:3" x14ac:dyDescent="0.3">
      <c r="B3957"/>
      <c r="C3957"/>
    </row>
    <row r="3958" spans="2:3" x14ac:dyDescent="0.3">
      <c r="B3958"/>
      <c r="C3958"/>
    </row>
    <row r="3959" spans="2:3" x14ac:dyDescent="0.3">
      <c r="B3959"/>
      <c r="C3959"/>
    </row>
    <row r="3960" spans="2:3" x14ac:dyDescent="0.3">
      <c r="B3960"/>
      <c r="C3960"/>
    </row>
    <row r="3961" spans="2:3" x14ac:dyDescent="0.3">
      <c r="B3961"/>
      <c r="C3961"/>
    </row>
    <row r="3962" spans="2:3" x14ac:dyDescent="0.3">
      <c r="B3962"/>
      <c r="C3962"/>
    </row>
    <row r="3963" spans="2:3" x14ac:dyDescent="0.3">
      <c r="B3963"/>
      <c r="C3963"/>
    </row>
    <row r="3964" spans="2:3" x14ac:dyDescent="0.3">
      <c r="B3964"/>
      <c r="C3964"/>
    </row>
    <row r="3965" spans="2:3" x14ac:dyDescent="0.3">
      <c r="B3965"/>
      <c r="C3965"/>
    </row>
    <row r="3966" spans="2:3" x14ac:dyDescent="0.3">
      <c r="B3966"/>
      <c r="C3966"/>
    </row>
    <row r="3967" spans="2:3" x14ac:dyDescent="0.3">
      <c r="B3967"/>
      <c r="C3967"/>
    </row>
    <row r="3968" spans="2:3" x14ac:dyDescent="0.3">
      <c r="B3968"/>
      <c r="C3968"/>
    </row>
    <row r="3969" spans="2:3" x14ac:dyDescent="0.3">
      <c r="B3969"/>
      <c r="C3969"/>
    </row>
    <row r="3970" spans="2:3" x14ac:dyDescent="0.3">
      <c r="B3970"/>
      <c r="C3970"/>
    </row>
    <row r="3971" spans="2:3" x14ac:dyDescent="0.3">
      <c r="B3971"/>
      <c r="C3971"/>
    </row>
    <row r="3972" spans="2:3" x14ac:dyDescent="0.3">
      <c r="B3972"/>
      <c r="C3972"/>
    </row>
    <row r="3973" spans="2:3" x14ac:dyDescent="0.3">
      <c r="B3973"/>
      <c r="C3973"/>
    </row>
    <row r="3974" spans="2:3" x14ac:dyDescent="0.3">
      <c r="B3974"/>
      <c r="C3974"/>
    </row>
    <row r="3975" spans="2:3" x14ac:dyDescent="0.3">
      <c r="B3975"/>
      <c r="C3975"/>
    </row>
    <row r="3976" spans="2:3" x14ac:dyDescent="0.3">
      <c r="B3976"/>
      <c r="C3976"/>
    </row>
    <row r="3977" spans="2:3" x14ac:dyDescent="0.3">
      <c r="B3977"/>
      <c r="C3977"/>
    </row>
    <row r="3978" spans="2:3" x14ac:dyDescent="0.3">
      <c r="B3978"/>
      <c r="C3978"/>
    </row>
    <row r="3979" spans="2:3" x14ac:dyDescent="0.3">
      <c r="B3979"/>
      <c r="C3979"/>
    </row>
    <row r="3980" spans="2:3" x14ac:dyDescent="0.3">
      <c r="B3980"/>
      <c r="C3980"/>
    </row>
    <row r="3981" spans="2:3" x14ac:dyDescent="0.3">
      <c r="B3981"/>
      <c r="C3981"/>
    </row>
    <row r="3982" spans="2:3" x14ac:dyDescent="0.3">
      <c r="B3982"/>
      <c r="C3982"/>
    </row>
    <row r="3983" spans="2:3" x14ac:dyDescent="0.3">
      <c r="B3983"/>
      <c r="C3983"/>
    </row>
    <row r="3984" spans="2:3" x14ac:dyDescent="0.3">
      <c r="B3984"/>
      <c r="C3984"/>
    </row>
    <row r="3985" spans="2:3" x14ac:dyDescent="0.3">
      <c r="B3985"/>
      <c r="C3985"/>
    </row>
    <row r="3986" spans="2:3" x14ac:dyDescent="0.3">
      <c r="B3986"/>
      <c r="C3986"/>
    </row>
    <row r="3987" spans="2:3" x14ac:dyDescent="0.3">
      <c r="B3987"/>
      <c r="C3987"/>
    </row>
    <row r="3988" spans="2:3" x14ac:dyDescent="0.3">
      <c r="B3988"/>
      <c r="C3988"/>
    </row>
    <row r="3989" spans="2:3" x14ac:dyDescent="0.3">
      <c r="B3989"/>
      <c r="C3989"/>
    </row>
    <row r="3990" spans="2:3" x14ac:dyDescent="0.3">
      <c r="B3990"/>
      <c r="C3990"/>
    </row>
    <row r="3991" spans="2:3" x14ac:dyDescent="0.3">
      <c r="B3991"/>
      <c r="C3991"/>
    </row>
    <row r="3992" spans="2:3" x14ac:dyDescent="0.3">
      <c r="B3992"/>
      <c r="C3992"/>
    </row>
    <row r="3993" spans="2:3" x14ac:dyDescent="0.3">
      <c r="B3993"/>
      <c r="C3993"/>
    </row>
    <row r="3994" spans="2:3" x14ac:dyDescent="0.3">
      <c r="B3994"/>
      <c r="C3994"/>
    </row>
    <row r="3995" spans="2:3" x14ac:dyDescent="0.3">
      <c r="B3995"/>
      <c r="C3995"/>
    </row>
    <row r="3996" spans="2:3" x14ac:dyDescent="0.3">
      <c r="B3996"/>
      <c r="C3996"/>
    </row>
    <row r="3997" spans="2:3" x14ac:dyDescent="0.3">
      <c r="B3997"/>
      <c r="C3997"/>
    </row>
    <row r="3998" spans="2:3" x14ac:dyDescent="0.3">
      <c r="B3998"/>
      <c r="C3998"/>
    </row>
    <row r="3999" spans="2:3" x14ac:dyDescent="0.3">
      <c r="B3999"/>
      <c r="C3999"/>
    </row>
    <row r="4000" spans="2:3" x14ac:dyDescent="0.3">
      <c r="B4000"/>
      <c r="C4000"/>
    </row>
    <row r="4001" spans="2:3" x14ac:dyDescent="0.3">
      <c r="B4001"/>
      <c r="C4001"/>
    </row>
    <row r="4002" spans="2:3" x14ac:dyDescent="0.3">
      <c r="B4002"/>
      <c r="C4002"/>
    </row>
    <row r="4003" spans="2:3" x14ac:dyDescent="0.3">
      <c r="B4003"/>
      <c r="C4003"/>
    </row>
    <row r="4004" spans="2:3" x14ac:dyDescent="0.3">
      <c r="B4004"/>
      <c r="C4004"/>
    </row>
    <row r="4005" spans="2:3" x14ac:dyDescent="0.3">
      <c r="B4005"/>
      <c r="C4005"/>
    </row>
    <row r="4006" spans="2:3" x14ac:dyDescent="0.3">
      <c r="B4006"/>
      <c r="C4006"/>
    </row>
    <row r="4007" spans="2:3" x14ac:dyDescent="0.3">
      <c r="B4007"/>
      <c r="C4007"/>
    </row>
    <row r="4008" spans="2:3" x14ac:dyDescent="0.3">
      <c r="B4008"/>
      <c r="C4008"/>
    </row>
    <row r="4009" spans="2:3" x14ac:dyDescent="0.3">
      <c r="B4009"/>
      <c r="C4009"/>
    </row>
    <row r="4010" spans="2:3" x14ac:dyDescent="0.3">
      <c r="B4010"/>
      <c r="C4010"/>
    </row>
    <row r="4011" spans="2:3" x14ac:dyDescent="0.3">
      <c r="B4011"/>
      <c r="C4011"/>
    </row>
    <row r="4012" spans="2:3" x14ac:dyDescent="0.3">
      <c r="B4012"/>
      <c r="C4012"/>
    </row>
    <row r="4013" spans="2:3" x14ac:dyDescent="0.3">
      <c r="B4013"/>
      <c r="C4013"/>
    </row>
    <row r="4014" spans="2:3" x14ac:dyDescent="0.3">
      <c r="B4014"/>
      <c r="C4014"/>
    </row>
    <row r="4015" spans="2:3" x14ac:dyDescent="0.3">
      <c r="B4015"/>
      <c r="C4015"/>
    </row>
    <row r="4016" spans="2:3" x14ac:dyDescent="0.3">
      <c r="B4016"/>
      <c r="C4016"/>
    </row>
    <row r="4017" spans="2:3" x14ac:dyDescent="0.3">
      <c r="B4017"/>
      <c r="C4017"/>
    </row>
    <row r="4018" spans="2:3" x14ac:dyDescent="0.3">
      <c r="B4018"/>
      <c r="C4018"/>
    </row>
    <row r="4019" spans="2:3" x14ac:dyDescent="0.3">
      <c r="B4019"/>
      <c r="C4019"/>
    </row>
    <row r="4020" spans="2:3" x14ac:dyDescent="0.3">
      <c r="B4020"/>
      <c r="C4020"/>
    </row>
    <row r="4021" spans="2:3" x14ac:dyDescent="0.3">
      <c r="B4021"/>
      <c r="C4021"/>
    </row>
    <row r="4022" spans="2:3" x14ac:dyDescent="0.3">
      <c r="B4022"/>
      <c r="C4022"/>
    </row>
    <row r="4023" spans="2:3" x14ac:dyDescent="0.3">
      <c r="B4023"/>
      <c r="C4023"/>
    </row>
    <row r="4024" spans="2:3" x14ac:dyDescent="0.3">
      <c r="B4024"/>
      <c r="C4024"/>
    </row>
    <row r="4025" spans="2:3" x14ac:dyDescent="0.3">
      <c r="B4025"/>
      <c r="C4025"/>
    </row>
    <row r="4026" spans="2:3" x14ac:dyDescent="0.3">
      <c r="B4026"/>
      <c r="C4026"/>
    </row>
    <row r="4027" spans="2:3" x14ac:dyDescent="0.3">
      <c r="B4027"/>
      <c r="C4027"/>
    </row>
    <row r="4028" spans="2:3" x14ac:dyDescent="0.3">
      <c r="B4028"/>
      <c r="C4028"/>
    </row>
    <row r="4029" spans="2:3" x14ac:dyDescent="0.3">
      <c r="B4029"/>
      <c r="C4029"/>
    </row>
    <row r="4030" spans="2:3" x14ac:dyDescent="0.3">
      <c r="B4030"/>
      <c r="C4030"/>
    </row>
    <row r="4031" spans="2:3" x14ac:dyDescent="0.3">
      <c r="B4031"/>
      <c r="C4031"/>
    </row>
    <row r="4032" spans="2:3" x14ac:dyDescent="0.3">
      <c r="B4032"/>
      <c r="C4032"/>
    </row>
    <row r="4033" spans="2:3" x14ac:dyDescent="0.3">
      <c r="B4033"/>
      <c r="C4033"/>
    </row>
    <row r="4034" spans="2:3" x14ac:dyDescent="0.3">
      <c r="B4034"/>
      <c r="C4034"/>
    </row>
    <row r="4035" spans="2:3" x14ac:dyDescent="0.3">
      <c r="B4035"/>
      <c r="C4035"/>
    </row>
    <row r="4036" spans="2:3" x14ac:dyDescent="0.3">
      <c r="B4036"/>
      <c r="C4036"/>
    </row>
    <row r="4037" spans="2:3" x14ac:dyDescent="0.3">
      <c r="B4037"/>
      <c r="C4037"/>
    </row>
    <row r="4038" spans="2:3" x14ac:dyDescent="0.3">
      <c r="B4038"/>
      <c r="C4038"/>
    </row>
    <row r="4039" spans="2:3" x14ac:dyDescent="0.3">
      <c r="B4039"/>
      <c r="C4039"/>
    </row>
    <row r="4040" spans="2:3" x14ac:dyDescent="0.3">
      <c r="B4040"/>
      <c r="C4040"/>
    </row>
    <row r="4041" spans="2:3" x14ac:dyDescent="0.3">
      <c r="B4041"/>
      <c r="C4041"/>
    </row>
    <row r="4042" spans="2:3" x14ac:dyDescent="0.3">
      <c r="B4042"/>
      <c r="C4042"/>
    </row>
    <row r="4043" spans="2:3" x14ac:dyDescent="0.3">
      <c r="B4043"/>
      <c r="C4043"/>
    </row>
    <row r="4044" spans="2:3" x14ac:dyDescent="0.3">
      <c r="B4044"/>
      <c r="C4044"/>
    </row>
    <row r="4045" spans="2:3" x14ac:dyDescent="0.3">
      <c r="B4045"/>
      <c r="C4045"/>
    </row>
    <row r="4046" spans="2:3" x14ac:dyDescent="0.3">
      <c r="B4046"/>
      <c r="C4046"/>
    </row>
    <row r="4047" spans="2:3" x14ac:dyDescent="0.3">
      <c r="B4047"/>
      <c r="C4047"/>
    </row>
    <row r="4048" spans="2:3" x14ac:dyDescent="0.3">
      <c r="B4048"/>
      <c r="C4048"/>
    </row>
    <row r="4049" spans="2:3" x14ac:dyDescent="0.3">
      <c r="B4049"/>
      <c r="C4049"/>
    </row>
    <row r="4050" spans="2:3" x14ac:dyDescent="0.3">
      <c r="B4050"/>
      <c r="C4050"/>
    </row>
    <row r="4051" spans="2:3" x14ac:dyDescent="0.3">
      <c r="B4051"/>
      <c r="C4051"/>
    </row>
    <row r="4052" spans="2:3" x14ac:dyDescent="0.3">
      <c r="B4052"/>
      <c r="C4052"/>
    </row>
    <row r="4053" spans="2:3" x14ac:dyDescent="0.3">
      <c r="B4053"/>
      <c r="C4053"/>
    </row>
    <row r="4054" spans="2:3" x14ac:dyDescent="0.3">
      <c r="B4054"/>
      <c r="C4054"/>
    </row>
    <row r="4055" spans="2:3" x14ac:dyDescent="0.3">
      <c r="B4055"/>
      <c r="C4055"/>
    </row>
    <row r="4056" spans="2:3" x14ac:dyDescent="0.3">
      <c r="B4056"/>
      <c r="C4056"/>
    </row>
    <row r="4057" spans="2:3" x14ac:dyDescent="0.3">
      <c r="B4057"/>
      <c r="C4057"/>
    </row>
    <row r="4058" spans="2:3" x14ac:dyDescent="0.3">
      <c r="B4058"/>
      <c r="C4058"/>
    </row>
    <row r="4059" spans="2:3" x14ac:dyDescent="0.3">
      <c r="B4059"/>
      <c r="C4059"/>
    </row>
    <row r="4060" spans="2:3" x14ac:dyDescent="0.3">
      <c r="B4060"/>
      <c r="C4060"/>
    </row>
    <row r="4061" spans="2:3" x14ac:dyDescent="0.3">
      <c r="B4061"/>
      <c r="C4061"/>
    </row>
    <row r="4062" spans="2:3" x14ac:dyDescent="0.3">
      <c r="B4062"/>
      <c r="C4062"/>
    </row>
    <row r="4063" spans="2:3" x14ac:dyDescent="0.3">
      <c r="B4063"/>
      <c r="C4063"/>
    </row>
    <row r="4064" spans="2:3" x14ac:dyDescent="0.3">
      <c r="B4064"/>
      <c r="C4064"/>
    </row>
    <row r="4065" spans="2:3" x14ac:dyDescent="0.3">
      <c r="B4065"/>
      <c r="C4065"/>
    </row>
    <row r="4066" spans="2:3" x14ac:dyDescent="0.3">
      <c r="B4066"/>
      <c r="C4066"/>
    </row>
    <row r="4067" spans="2:3" x14ac:dyDescent="0.3">
      <c r="B4067"/>
      <c r="C4067"/>
    </row>
    <row r="4068" spans="2:3" x14ac:dyDescent="0.3">
      <c r="B4068"/>
      <c r="C4068"/>
    </row>
    <row r="4069" spans="2:3" x14ac:dyDescent="0.3">
      <c r="B4069"/>
      <c r="C4069"/>
    </row>
    <row r="4070" spans="2:3" x14ac:dyDescent="0.3">
      <c r="B4070"/>
      <c r="C4070"/>
    </row>
    <row r="4071" spans="2:3" x14ac:dyDescent="0.3">
      <c r="B4071"/>
      <c r="C4071"/>
    </row>
    <row r="4072" spans="2:3" x14ac:dyDescent="0.3">
      <c r="B4072"/>
      <c r="C4072"/>
    </row>
    <row r="4073" spans="2:3" x14ac:dyDescent="0.3">
      <c r="B4073"/>
      <c r="C4073"/>
    </row>
    <row r="4074" spans="2:3" x14ac:dyDescent="0.3">
      <c r="B4074"/>
      <c r="C4074"/>
    </row>
    <row r="4075" spans="2:3" x14ac:dyDescent="0.3">
      <c r="B4075"/>
      <c r="C4075"/>
    </row>
    <row r="4076" spans="2:3" x14ac:dyDescent="0.3">
      <c r="B4076"/>
      <c r="C4076"/>
    </row>
    <row r="4077" spans="2:3" x14ac:dyDescent="0.3">
      <c r="B4077"/>
      <c r="C4077"/>
    </row>
    <row r="4078" spans="2:3" x14ac:dyDescent="0.3">
      <c r="B4078"/>
      <c r="C4078"/>
    </row>
    <row r="4079" spans="2:3" x14ac:dyDescent="0.3">
      <c r="B4079"/>
      <c r="C4079"/>
    </row>
    <row r="4080" spans="2:3" x14ac:dyDescent="0.3">
      <c r="B4080"/>
      <c r="C4080"/>
    </row>
    <row r="4081" spans="2:3" x14ac:dyDescent="0.3">
      <c r="B4081"/>
      <c r="C4081"/>
    </row>
    <row r="4082" spans="2:3" x14ac:dyDescent="0.3">
      <c r="B4082"/>
      <c r="C4082"/>
    </row>
    <row r="4083" spans="2:3" x14ac:dyDescent="0.3">
      <c r="B4083"/>
      <c r="C4083"/>
    </row>
    <row r="4084" spans="2:3" x14ac:dyDescent="0.3">
      <c r="B4084"/>
      <c r="C4084"/>
    </row>
    <row r="4085" spans="2:3" x14ac:dyDescent="0.3">
      <c r="B4085"/>
      <c r="C4085"/>
    </row>
    <row r="4086" spans="2:3" x14ac:dyDescent="0.3">
      <c r="B4086"/>
      <c r="C4086"/>
    </row>
    <row r="4087" spans="2:3" x14ac:dyDescent="0.3">
      <c r="B4087"/>
      <c r="C4087"/>
    </row>
    <row r="4088" spans="2:3" x14ac:dyDescent="0.3">
      <c r="B4088"/>
      <c r="C4088"/>
    </row>
    <row r="4089" spans="2:3" x14ac:dyDescent="0.3">
      <c r="B4089"/>
      <c r="C4089"/>
    </row>
    <row r="4090" spans="2:3" x14ac:dyDescent="0.3">
      <c r="B4090"/>
      <c r="C4090"/>
    </row>
    <row r="4091" spans="2:3" x14ac:dyDescent="0.3">
      <c r="B4091"/>
      <c r="C4091"/>
    </row>
    <row r="4092" spans="2:3" x14ac:dyDescent="0.3">
      <c r="B4092"/>
      <c r="C4092"/>
    </row>
    <row r="4093" spans="2:3" x14ac:dyDescent="0.3">
      <c r="B4093"/>
      <c r="C4093"/>
    </row>
    <row r="4094" spans="2:3" x14ac:dyDescent="0.3">
      <c r="B4094"/>
      <c r="C4094"/>
    </row>
    <row r="4095" spans="2:3" x14ac:dyDescent="0.3">
      <c r="B4095"/>
      <c r="C4095"/>
    </row>
    <row r="4096" spans="2:3" x14ac:dyDescent="0.3">
      <c r="B4096"/>
      <c r="C4096"/>
    </row>
    <row r="4097" spans="2:3" x14ac:dyDescent="0.3">
      <c r="B4097"/>
      <c r="C4097"/>
    </row>
    <row r="4098" spans="2:3" x14ac:dyDescent="0.3">
      <c r="B4098"/>
      <c r="C4098"/>
    </row>
    <row r="4099" spans="2:3" x14ac:dyDescent="0.3">
      <c r="B4099"/>
      <c r="C4099"/>
    </row>
    <row r="4100" spans="2:3" x14ac:dyDescent="0.3">
      <c r="B4100"/>
      <c r="C4100"/>
    </row>
    <row r="4101" spans="2:3" x14ac:dyDescent="0.3">
      <c r="B4101"/>
      <c r="C4101"/>
    </row>
    <row r="4102" spans="2:3" x14ac:dyDescent="0.3">
      <c r="B4102"/>
      <c r="C4102"/>
    </row>
    <row r="4103" spans="2:3" x14ac:dyDescent="0.3">
      <c r="B4103"/>
      <c r="C4103"/>
    </row>
    <row r="4104" spans="2:3" x14ac:dyDescent="0.3">
      <c r="B4104"/>
      <c r="C4104"/>
    </row>
    <row r="4105" spans="2:3" x14ac:dyDescent="0.3">
      <c r="B4105"/>
      <c r="C4105"/>
    </row>
    <row r="4106" spans="2:3" x14ac:dyDescent="0.3">
      <c r="B4106"/>
      <c r="C4106"/>
    </row>
    <row r="4107" spans="2:3" x14ac:dyDescent="0.3">
      <c r="B4107"/>
      <c r="C4107"/>
    </row>
    <row r="4108" spans="2:3" x14ac:dyDescent="0.3">
      <c r="B4108"/>
      <c r="C4108"/>
    </row>
    <row r="4109" spans="2:3" x14ac:dyDescent="0.3">
      <c r="B4109"/>
      <c r="C4109"/>
    </row>
    <row r="4110" spans="2:3" x14ac:dyDescent="0.3">
      <c r="B4110"/>
      <c r="C4110"/>
    </row>
    <row r="4111" spans="2:3" x14ac:dyDescent="0.3">
      <c r="B4111"/>
      <c r="C4111"/>
    </row>
    <row r="4112" spans="2:3" x14ac:dyDescent="0.3">
      <c r="B4112"/>
      <c r="C4112"/>
    </row>
    <row r="4113" spans="2:3" x14ac:dyDescent="0.3">
      <c r="B4113"/>
      <c r="C4113"/>
    </row>
    <row r="4114" spans="2:3" x14ac:dyDescent="0.3">
      <c r="B4114"/>
      <c r="C4114"/>
    </row>
    <row r="4115" spans="2:3" x14ac:dyDescent="0.3">
      <c r="B4115"/>
      <c r="C4115"/>
    </row>
    <row r="4116" spans="2:3" x14ac:dyDescent="0.3">
      <c r="B4116"/>
      <c r="C4116"/>
    </row>
    <row r="4117" spans="2:3" x14ac:dyDescent="0.3">
      <c r="B4117"/>
      <c r="C4117"/>
    </row>
    <row r="4118" spans="2:3" x14ac:dyDescent="0.3">
      <c r="B4118"/>
      <c r="C4118"/>
    </row>
    <row r="4119" spans="2:3" x14ac:dyDescent="0.3">
      <c r="B4119"/>
      <c r="C4119"/>
    </row>
    <row r="4120" spans="2:3" x14ac:dyDescent="0.3">
      <c r="B4120"/>
      <c r="C4120"/>
    </row>
    <row r="4121" spans="2:3" x14ac:dyDescent="0.3">
      <c r="B4121"/>
      <c r="C4121"/>
    </row>
    <row r="4122" spans="2:3" x14ac:dyDescent="0.3">
      <c r="B4122"/>
      <c r="C4122"/>
    </row>
    <row r="4123" spans="2:3" x14ac:dyDescent="0.3">
      <c r="B4123"/>
      <c r="C4123"/>
    </row>
    <row r="4124" spans="2:3" x14ac:dyDescent="0.3">
      <c r="B4124"/>
      <c r="C4124"/>
    </row>
    <row r="4125" spans="2:3" x14ac:dyDescent="0.3">
      <c r="B4125"/>
      <c r="C4125"/>
    </row>
    <row r="4126" spans="2:3" x14ac:dyDescent="0.3">
      <c r="B4126"/>
      <c r="C4126"/>
    </row>
    <row r="4127" spans="2:3" x14ac:dyDescent="0.3">
      <c r="B4127"/>
      <c r="C4127"/>
    </row>
    <row r="4128" spans="2:3" x14ac:dyDescent="0.3">
      <c r="B4128"/>
      <c r="C4128"/>
    </row>
    <row r="4129" spans="2:3" x14ac:dyDescent="0.3">
      <c r="B4129"/>
      <c r="C4129"/>
    </row>
    <row r="4130" spans="2:3" x14ac:dyDescent="0.3">
      <c r="B4130"/>
      <c r="C4130"/>
    </row>
    <row r="4131" spans="2:3" x14ac:dyDescent="0.3">
      <c r="B4131"/>
      <c r="C4131"/>
    </row>
    <row r="4132" spans="2:3" x14ac:dyDescent="0.3">
      <c r="B4132"/>
      <c r="C4132"/>
    </row>
    <row r="4133" spans="2:3" x14ac:dyDescent="0.3">
      <c r="B4133"/>
      <c r="C4133"/>
    </row>
    <row r="4134" spans="2:3" x14ac:dyDescent="0.3">
      <c r="B4134"/>
      <c r="C4134"/>
    </row>
    <row r="4135" spans="2:3" x14ac:dyDescent="0.3">
      <c r="B4135"/>
      <c r="C4135"/>
    </row>
    <row r="4136" spans="2:3" x14ac:dyDescent="0.3">
      <c r="B4136"/>
      <c r="C4136"/>
    </row>
    <row r="4137" spans="2:3" x14ac:dyDescent="0.3">
      <c r="B4137"/>
      <c r="C4137"/>
    </row>
    <row r="4138" spans="2:3" x14ac:dyDescent="0.3">
      <c r="B4138"/>
      <c r="C4138"/>
    </row>
    <row r="4139" spans="2:3" x14ac:dyDescent="0.3">
      <c r="B4139"/>
      <c r="C4139"/>
    </row>
    <row r="4140" spans="2:3" x14ac:dyDescent="0.3">
      <c r="B4140"/>
      <c r="C4140"/>
    </row>
    <row r="4141" spans="2:3" x14ac:dyDescent="0.3">
      <c r="B4141"/>
      <c r="C4141"/>
    </row>
    <row r="4142" spans="2:3" x14ac:dyDescent="0.3">
      <c r="B4142"/>
      <c r="C4142"/>
    </row>
    <row r="4143" spans="2:3" x14ac:dyDescent="0.3">
      <c r="B4143"/>
      <c r="C4143"/>
    </row>
    <row r="4144" spans="2:3" x14ac:dyDescent="0.3">
      <c r="B4144"/>
      <c r="C4144"/>
    </row>
    <row r="4145" spans="2:3" x14ac:dyDescent="0.3">
      <c r="B4145"/>
      <c r="C4145"/>
    </row>
    <row r="4146" spans="2:3" x14ac:dyDescent="0.3">
      <c r="B4146"/>
      <c r="C4146"/>
    </row>
    <row r="4147" spans="2:3" x14ac:dyDescent="0.3">
      <c r="B4147"/>
      <c r="C4147"/>
    </row>
    <row r="4148" spans="2:3" x14ac:dyDescent="0.3">
      <c r="B4148"/>
      <c r="C4148"/>
    </row>
    <row r="4149" spans="2:3" x14ac:dyDescent="0.3">
      <c r="B4149"/>
      <c r="C4149"/>
    </row>
    <row r="4150" spans="2:3" x14ac:dyDescent="0.3">
      <c r="B4150"/>
      <c r="C4150"/>
    </row>
    <row r="4151" spans="2:3" x14ac:dyDescent="0.3">
      <c r="B4151"/>
      <c r="C4151"/>
    </row>
    <row r="4152" spans="2:3" x14ac:dyDescent="0.3">
      <c r="B4152"/>
      <c r="C4152"/>
    </row>
    <row r="4153" spans="2:3" x14ac:dyDescent="0.3">
      <c r="B4153"/>
      <c r="C4153"/>
    </row>
    <row r="4154" spans="2:3" x14ac:dyDescent="0.3">
      <c r="B4154"/>
      <c r="C4154"/>
    </row>
    <row r="4155" spans="2:3" x14ac:dyDescent="0.3">
      <c r="B4155"/>
      <c r="C4155"/>
    </row>
    <row r="4156" spans="2:3" x14ac:dyDescent="0.3">
      <c r="B4156"/>
      <c r="C4156"/>
    </row>
    <row r="4157" spans="2:3" x14ac:dyDescent="0.3">
      <c r="B4157"/>
      <c r="C4157"/>
    </row>
    <row r="4158" spans="2:3" x14ac:dyDescent="0.3">
      <c r="B4158"/>
      <c r="C4158"/>
    </row>
    <row r="4159" spans="2:3" x14ac:dyDescent="0.3">
      <c r="B4159"/>
      <c r="C4159"/>
    </row>
    <row r="4160" spans="2:3" x14ac:dyDescent="0.3">
      <c r="B4160"/>
      <c r="C4160"/>
    </row>
    <row r="4161" spans="2:3" x14ac:dyDescent="0.3">
      <c r="B4161"/>
      <c r="C4161"/>
    </row>
    <row r="4162" spans="2:3" x14ac:dyDescent="0.3">
      <c r="B4162"/>
      <c r="C4162"/>
    </row>
    <row r="4163" spans="2:3" x14ac:dyDescent="0.3">
      <c r="B4163"/>
      <c r="C4163"/>
    </row>
    <row r="4164" spans="2:3" x14ac:dyDescent="0.3">
      <c r="B4164"/>
      <c r="C4164"/>
    </row>
    <row r="4165" spans="2:3" x14ac:dyDescent="0.3">
      <c r="B4165"/>
      <c r="C4165"/>
    </row>
    <row r="4166" spans="2:3" x14ac:dyDescent="0.3">
      <c r="B4166"/>
      <c r="C4166"/>
    </row>
    <row r="4167" spans="2:3" x14ac:dyDescent="0.3">
      <c r="B4167"/>
      <c r="C4167"/>
    </row>
    <row r="4168" spans="2:3" x14ac:dyDescent="0.3">
      <c r="B4168"/>
      <c r="C4168"/>
    </row>
    <row r="4169" spans="2:3" x14ac:dyDescent="0.3">
      <c r="B4169"/>
      <c r="C4169"/>
    </row>
    <row r="4170" spans="2:3" x14ac:dyDescent="0.3">
      <c r="B4170"/>
      <c r="C4170"/>
    </row>
    <row r="4171" spans="2:3" x14ac:dyDescent="0.3">
      <c r="B4171"/>
      <c r="C4171"/>
    </row>
    <row r="4172" spans="2:3" x14ac:dyDescent="0.3">
      <c r="B4172"/>
      <c r="C4172"/>
    </row>
    <row r="4173" spans="2:3" x14ac:dyDescent="0.3">
      <c r="B4173"/>
      <c r="C4173"/>
    </row>
    <row r="4174" spans="2:3" x14ac:dyDescent="0.3">
      <c r="B4174"/>
      <c r="C4174"/>
    </row>
    <row r="4175" spans="2:3" x14ac:dyDescent="0.3">
      <c r="B4175"/>
      <c r="C4175"/>
    </row>
    <row r="4176" spans="2:3" x14ac:dyDescent="0.3">
      <c r="B4176"/>
      <c r="C4176"/>
    </row>
    <row r="4177" spans="2:3" x14ac:dyDescent="0.3">
      <c r="B4177"/>
      <c r="C4177"/>
    </row>
    <row r="4178" spans="2:3" x14ac:dyDescent="0.3">
      <c r="B4178"/>
      <c r="C4178"/>
    </row>
    <row r="4179" spans="2:3" x14ac:dyDescent="0.3">
      <c r="B4179"/>
      <c r="C4179"/>
    </row>
    <row r="4180" spans="2:3" x14ac:dyDescent="0.3">
      <c r="B4180"/>
      <c r="C4180"/>
    </row>
    <row r="4181" spans="2:3" x14ac:dyDescent="0.3">
      <c r="B4181"/>
      <c r="C4181"/>
    </row>
    <row r="4182" spans="2:3" x14ac:dyDescent="0.3">
      <c r="B4182"/>
      <c r="C4182"/>
    </row>
    <row r="4183" spans="2:3" x14ac:dyDescent="0.3">
      <c r="B4183"/>
      <c r="C4183"/>
    </row>
    <row r="4184" spans="2:3" x14ac:dyDescent="0.3">
      <c r="B4184"/>
      <c r="C4184"/>
    </row>
    <row r="4185" spans="2:3" x14ac:dyDescent="0.3">
      <c r="B4185"/>
      <c r="C4185"/>
    </row>
    <row r="4186" spans="2:3" x14ac:dyDescent="0.3">
      <c r="B4186"/>
      <c r="C4186"/>
    </row>
    <row r="4187" spans="2:3" x14ac:dyDescent="0.3">
      <c r="B4187"/>
      <c r="C4187"/>
    </row>
    <row r="4188" spans="2:3" x14ac:dyDescent="0.3">
      <c r="B4188"/>
      <c r="C4188"/>
    </row>
    <row r="4189" spans="2:3" x14ac:dyDescent="0.3">
      <c r="B4189"/>
      <c r="C4189"/>
    </row>
    <row r="4190" spans="2:3" x14ac:dyDescent="0.3">
      <c r="B4190"/>
      <c r="C4190"/>
    </row>
    <row r="4191" spans="2:3" x14ac:dyDescent="0.3">
      <c r="B4191"/>
      <c r="C4191"/>
    </row>
    <row r="4192" spans="2:3" x14ac:dyDescent="0.3">
      <c r="B4192"/>
      <c r="C4192"/>
    </row>
    <row r="4193" spans="2:3" x14ac:dyDescent="0.3">
      <c r="B4193"/>
      <c r="C4193"/>
    </row>
    <row r="4194" spans="2:3" x14ac:dyDescent="0.3">
      <c r="B4194"/>
      <c r="C4194"/>
    </row>
    <row r="4195" spans="2:3" x14ac:dyDescent="0.3">
      <c r="B4195"/>
      <c r="C4195"/>
    </row>
    <row r="4196" spans="2:3" x14ac:dyDescent="0.3">
      <c r="B4196"/>
      <c r="C4196"/>
    </row>
    <row r="4197" spans="2:3" x14ac:dyDescent="0.3">
      <c r="B4197"/>
      <c r="C4197"/>
    </row>
    <row r="4198" spans="2:3" x14ac:dyDescent="0.3">
      <c r="B4198"/>
      <c r="C4198"/>
    </row>
    <row r="4199" spans="2:3" x14ac:dyDescent="0.3">
      <c r="B4199"/>
      <c r="C4199"/>
    </row>
    <row r="4200" spans="2:3" x14ac:dyDescent="0.3">
      <c r="B4200"/>
      <c r="C4200"/>
    </row>
    <row r="4201" spans="2:3" x14ac:dyDescent="0.3">
      <c r="B4201"/>
      <c r="C4201"/>
    </row>
    <row r="4202" spans="2:3" x14ac:dyDescent="0.3">
      <c r="B4202"/>
      <c r="C4202"/>
    </row>
    <row r="4203" spans="2:3" x14ac:dyDescent="0.3">
      <c r="B4203"/>
      <c r="C4203"/>
    </row>
    <row r="4204" spans="2:3" x14ac:dyDescent="0.3">
      <c r="B4204"/>
      <c r="C4204"/>
    </row>
    <row r="4205" spans="2:3" x14ac:dyDescent="0.3">
      <c r="B4205"/>
      <c r="C4205"/>
    </row>
    <row r="4206" spans="2:3" x14ac:dyDescent="0.3">
      <c r="B4206"/>
      <c r="C4206"/>
    </row>
    <row r="4207" spans="2:3" x14ac:dyDescent="0.3">
      <c r="B4207"/>
      <c r="C4207"/>
    </row>
    <row r="4208" spans="2:3" x14ac:dyDescent="0.3">
      <c r="B4208"/>
      <c r="C4208"/>
    </row>
    <row r="4209" spans="2:3" x14ac:dyDescent="0.3">
      <c r="B4209"/>
      <c r="C4209"/>
    </row>
    <row r="4210" spans="2:3" x14ac:dyDescent="0.3">
      <c r="B4210"/>
      <c r="C4210"/>
    </row>
    <row r="4211" spans="2:3" x14ac:dyDescent="0.3">
      <c r="B4211"/>
      <c r="C4211"/>
    </row>
    <row r="4212" spans="2:3" x14ac:dyDescent="0.3">
      <c r="B4212"/>
      <c r="C4212"/>
    </row>
    <row r="4213" spans="2:3" x14ac:dyDescent="0.3">
      <c r="B4213"/>
      <c r="C4213"/>
    </row>
    <row r="4214" spans="2:3" x14ac:dyDescent="0.3">
      <c r="B4214"/>
      <c r="C4214"/>
    </row>
    <row r="4215" spans="2:3" x14ac:dyDescent="0.3">
      <c r="B4215"/>
      <c r="C4215"/>
    </row>
    <row r="4216" spans="2:3" x14ac:dyDescent="0.3">
      <c r="B4216"/>
      <c r="C4216"/>
    </row>
    <row r="4217" spans="2:3" x14ac:dyDescent="0.3">
      <c r="B4217"/>
      <c r="C4217"/>
    </row>
    <row r="4218" spans="2:3" x14ac:dyDescent="0.3">
      <c r="B4218"/>
      <c r="C4218"/>
    </row>
    <row r="4219" spans="2:3" x14ac:dyDescent="0.3">
      <c r="B4219"/>
      <c r="C4219"/>
    </row>
    <row r="4220" spans="2:3" x14ac:dyDescent="0.3">
      <c r="B4220"/>
      <c r="C4220"/>
    </row>
    <row r="4221" spans="2:3" x14ac:dyDescent="0.3">
      <c r="B4221"/>
      <c r="C4221"/>
    </row>
    <row r="4222" spans="2:3" x14ac:dyDescent="0.3">
      <c r="B4222"/>
      <c r="C4222"/>
    </row>
    <row r="4223" spans="2:3" x14ac:dyDescent="0.3">
      <c r="B4223"/>
      <c r="C4223"/>
    </row>
    <row r="4224" spans="2:3" x14ac:dyDescent="0.3">
      <c r="B4224"/>
      <c r="C4224"/>
    </row>
    <row r="4225" spans="2:3" x14ac:dyDescent="0.3">
      <c r="B4225"/>
      <c r="C4225"/>
    </row>
    <row r="4226" spans="2:3" x14ac:dyDescent="0.3">
      <c r="B4226"/>
      <c r="C4226"/>
    </row>
    <row r="4227" spans="2:3" x14ac:dyDescent="0.3">
      <c r="B4227"/>
      <c r="C4227"/>
    </row>
    <row r="4228" spans="2:3" x14ac:dyDescent="0.3">
      <c r="B4228"/>
      <c r="C4228"/>
    </row>
    <row r="4229" spans="2:3" x14ac:dyDescent="0.3">
      <c r="B4229"/>
      <c r="C4229"/>
    </row>
    <row r="4230" spans="2:3" x14ac:dyDescent="0.3">
      <c r="B4230"/>
      <c r="C4230"/>
    </row>
    <row r="4231" spans="2:3" x14ac:dyDescent="0.3">
      <c r="B4231"/>
      <c r="C4231"/>
    </row>
    <row r="4232" spans="2:3" x14ac:dyDescent="0.3">
      <c r="B4232"/>
      <c r="C4232"/>
    </row>
    <row r="4233" spans="2:3" x14ac:dyDescent="0.3">
      <c r="B4233"/>
      <c r="C4233"/>
    </row>
    <row r="4234" spans="2:3" x14ac:dyDescent="0.3">
      <c r="B4234"/>
      <c r="C4234"/>
    </row>
    <row r="4235" spans="2:3" x14ac:dyDescent="0.3">
      <c r="B4235"/>
      <c r="C4235"/>
    </row>
    <row r="4236" spans="2:3" x14ac:dyDescent="0.3">
      <c r="B4236"/>
      <c r="C4236"/>
    </row>
    <row r="4237" spans="2:3" x14ac:dyDescent="0.3">
      <c r="B4237"/>
      <c r="C4237"/>
    </row>
    <row r="4238" spans="2:3" x14ac:dyDescent="0.3">
      <c r="B4238"/>
      <c r="C4238"/>
    </row>
    <row r="4239" spans="2:3" x14ac:dyDescent="0.3">
      <c r="B4239"/>
      <c r="C4239"/>
    </row>
    <row r="4240" spans="2:3" x14ac:dyDescent="0.3">
      <c r="B4240"/>
      <c r="C4240"/>
    </row>
    <row r="4241" spans="2:3" x14ac:dyDescent="0.3">
      <c r="B4241"/>
      <c r="C4241"/>
    </row>
    <row r="4242" spans="2:3" x14ac:dyDescent="0.3">
      <c r="B4242"/>
      <c r="C4242"/>
    </row>
    <row r="4243" spans="2:3" x14ac:dyDescent="0.3">
      <c r="B4243"/>
      <c r="C4243"/>
    </row>
    <row r="4244" spans="2:3" x14ac:dyDescent="0.3">
      <c r="B4244"/>
      <c r="C4244"/>
    </row>
    <row r="4245" spans="2:3" x14ac:dyDescent="0.3">
      <c r="B4245"/>
      <c r="C4245"/>
    </row>
    <row r="4246" spans="2:3" x14ac:dyDescent="0.3">
      <c r="B4246"/>
      <c r="C4246"/>
    </row>
    <row r="4247" spans="2:3" x14ac:dyDescent="0.3">
      <c r="B4247"/>
      <c r="C4247"/>
    </row>
    <row r="4248" spans="2:3" x14ac:dyDescent="0.3">
      <c r="B4248"/>
      <c r="C4248"/>
    </row>
    <row r="4249" spans="2:3" x14ac:dyDescent="0.3">
      <c r="B4249"/>
      <c r="C4249"/>
    </row>
    <row r="4250" spans="2:3" x14ac:dyDescent="0.3">
      <c r="B4250"/>
      <c r="C4250"/>
    </row>
    <row r="4251" spans="2:3" x14ac:dyDescent="0.3">
      <c r="B4251"/>
      <c r="C4251"/>
    </row>
    <row r="4252" spans="2:3" x14ac:dyDescent="0.3">
      <c r="B4252"/>
      <c r="C4252"/>
    </row>
    <row r="4253" spans="2:3" x14ac:dyDescent="0.3">
      <c r="B4253"/>
      <c r="C4253"/>
    </row>
    <row r="4254" spans="2:3" x14ac:dyDescent="0.3">
      <c r="B4254"/>
      <c r="C4254"/>
    </row>
    <row r="4255" spans="2:3" x14ac:dyDescent="0.3">
      <c r="B4255"/>
      <c r="C4255"/>
    </row>
    <row r="4256" spans="2:3" x14ac:dyDescent="0.3">
      <c r="B4256"/>
      <c r="C4256"/>
    </row>
    <row r="4257" spans="2:3" x14ac:dyDescent="0.3">
      <c r="B4257"/>
      <c r="C4257"/>
    </row>
    <row r="4258" spans="2:3" x14ac:dyDescent="0.3">
      <c r="B4258"/>
      <c r="C4258"/>
    </row>
    <row r="4259" spans="2:3" x14ac:dyDescent="0.3">
      <c r="B4259"/>
      <c r="C4259"/>
    </row>
    <row r="4260" spans="2:3" x14ac:dyDescent="0.3">
      <c r="B4260"/>
      <c r="C4260"/>
    </row>
    <row r="4261" spans="2:3" x14ac:dyDescent="0.3">
      <c r="B4261"/>
      <c r="C4261"/>
    </row>
    <row r="4262" spans="2:3" x14ac:dyDescent="0.3">
      <c r="B4262"/>
      <c r="C4262"/>
    </row>
    <row r="4263" spans="2:3" x14ac:dyDescent="0.3">
      <c r="B4263"/>
      <c r="C4263"/>
    </row>
    <row r="4264" spans="2:3" x14ac:dyDescent="0.3">
      <c r="B4264"/>
      <c r="C4264"/>
    </row>
    <row r="4265" spans="2:3" x14ac:dyDescent="0.3">
      <c r="B4265"/>
      <c r="C4265"/>
    </row>
    <row r="4266" spans="2:3" x14ac:dyDescent="0.3">
      <c r="B4266"/>
      <c r="C4266"/>
    </row>
    <row r="4267" spans="2:3" x14ac:dyDescent="0.3">
      <c r="B4267"/>
      <c r="C4267"/>
    </row>
    <row r="4268" spans="2:3" x14ac:dyDescent="0.3">
      <c r="B4268"/>
      <c r="C4268"/>
    </row>
    <row r="4269" spans="2:3" x14ac:dyDescent="0.3">
      <c r="B4269"/>
      <c r="C4269"/>
    </row>
    <row r="4270" spans="2:3" x14ac:dyDescent="0.3">
      <c r="B4270"/>
      <c r="C4270"/>
    </row>
    <row r="4271" spans="2:3" x14ac:dyDescent="0.3">
      <c r="B4271"/>
      <c r="C4271"/>
    </row>
    <row r="4272" spans="2:3" x14ac:dyDescent="0.3">
      <c r="B4272"/>
      <c r="C4272"/>
    </row>
    <row r="4273" spans="2:3" x14ac:dyDescent="0.3">
      <c r="B4273"/>
      <c r="C4273"/>
    </row>
    <row r="4274" spans="2:3" x14ac:dyDescent="0.3">
      <c r="B4274"/>
      <c r="C4274"/>
    </row>
    <row r="4275" spans="2:3" x14ac:dyDescent="0.3">
      <c r="B4275"/>
      <c r="C4275"/>
    </row>
    <row r="4276" spans="2:3" x14ac:dyDescent="0.3">
      <c r="B4276"/>
      <c r="C4276"/>
    </row>
    <row r="4277" spans="2:3" x14ac:dyDescent="0.3">
      <c r="B4277"/>
      <c r="C4277"/>
    </row>
    <row r="4278" spans="2:3" x14ac:dyDescent="0.3">
      <c r="B4278"/>
      <c r="C4278"/>
    </row>
    <row r="4279" spans="2:3" x14ac:dyDescent="0.3">
      <c r="B4279"/>
      <c r="C4279"/>
    </row>
    <row r="4280" spans="2:3" x14ac:dyDescent="0.3">
      <c r="B4280"/>
      <c r="C4280"/>
    </row>
    <row r="4281" spans="2:3" x14ac:dyDescent="0.3">
      <c r="B4281"/>
      <c r="C4281"/>
    </row>
    <row r="4282" spans="2:3" x14ac:dyDescent="0.3">
      <c r="B4282"/>
      <c r="C4282"/>
    </row>
    <row r="4283" spans="2:3" x14ac:dyDescent="0.3">
      <c r="B4283"/>
      <c r="C4283"/>
    </row>
    <row r="4284" spans="2:3" x14ac:dyDescent="0.3">
      <c r="B4284"/>
      <c r="C4284"/>
    </row>
    <row r="4285" spans="2:3" x14ac:dyDescent="0.3">
      <c r="B4285"/>
      <c r="C4285"/>
    </row>
    <row r="4286" spans="2:3" x14ac:dyDescent="0.3">
      <c r="B4286"/>
      <c r="C4286"/>
    </row>
    <row r="4287" spans="2:3" x14ac:dyDescent="0.3">
      <c r="B4287"/>
      <c r="C4287"/>
    </row>
    <row r="4288" spans="2:3" x14ac:dyDescent="0.3">
      <c r="B4288"/>
      <c r="C4288"/>
    </row>
    <row r="4289" spans="2:3" x14ac:dyDescent="0.3">
      <c r="B4289"/>
      <c r="C4289"/>
    </row>
    <row r="4290" spans="2:3" x14ac:dyDescent="0.3">
      <c r="B4290"/>
      <c r="C4290"/>
    </row>
    <row r="4291" spans="2:3" x14ac:dyDescent="0.3">
      <c r="B4291"/>
      <c r="C4291"/>
    </row>
    <row r="4292" spans="2:3" x14ac:dyDescent="0.3">
      <c r="B4292"/>
      <c r="C4292"/>
    </row>
    <row r="4293" spans="2:3" x14ac:dyDescent="0.3">
      <c r="B4293"/>
      <c r="C4293"/>
    </row>
    <row r="4294" spans="2:3" x14ac:dyDescent="0.3">
      <c r="B4294"/>
      <c r="C4294"/>
    </row>
    <row r="4295" spans="2:3" x14ac:dyDescent="0.3">
      <c r="B4295"/>
      <c r="C4295"/>
    </row>
    <row r="4296" spans="2:3" x14ac:dyDescent="0.3">
      <c r="B4296"/>
      <c r="C4296"/>
    </row>
    <row r="4297" spans="2:3" x14ac:dyDescent="0.3">
      <c r="B4297"/>
      <c r="C4297"/>
    </row>
    <row r="4298" spans="2:3" x14ac:dyDescent="0.3">
      <c r="B4298"/>
      <c r="C4298"/>
    </row>
    <row r="4299" spans="2:3" x14ac:dyDescent="0.3">
      <c r="B4299"/>
      <c r="C4299"/>
    </row>
    <row r="4300" spans="2:3" x14ac:dyDescent="0.3">
      <c r="B4300"/>
      <c r="C4300"/>
    </row>
    <row r="4301" spans="2:3" x14ac:dyDescent="0.3">
      <c r="B4301"/>
      <c r="C4301"/>
    </row>
    <row r="4302" spans="2:3" x14ac:dyDescent="0.3">
      <c r="B4302"/>
      <c r="C4302"/>
    </row>
    <row r="4303" spans="2:3" x14ac:dyDescent="0.3">
      <c r="B4303"/>
      <c r="C4303"/>
    </row>
    <row r="4304" spans="2:3" x14ac:dyDescent="0.3">
      <c r="B4304"/>
      <c r="C4304"/>
    </row>
    <row r="4305" spans="2:3" x14ac:dyDescent="0.3">
      <c r="B4305"/>
      <c r="C4305"/>
    </row>
    <row r="4306" spans="2:3" x14ac:dyDescent="0.3">
      <c r="B4306"/>
      <c r="C4306"/>
    </row>
    <row r="4307" spans="2:3" x14ac:dyDescent="0.3">
      <c r="B4307"/>
      <c r="C4307"/>
    </row>
    <row r="4308" spans="2:3" x14ac:dyDescent="0.3">
      <c r="B4308"/>
      <c r="C4308"/>
    </row>
    <row r="4309" spans="2:3" x14ac:dyDescent="0.3">
      <c r="B4309"/>
      <c r="C4309"/>
    </row>
    <row r="4310" spans="2:3" x14ac:dyDescent="0.3">
      <c r="B4310"/>
      <c r="C4310"/>
    </row>
    <row r="4311" spans="2:3" x14ac:dyDescent="0.3">
      <c r="B4311"/>
      <c r="C4311"/>
    </row>
    <row r="4312" spans="2:3" x14ac:dyDescent="0.3">
      <c r="B4312"/>
      <c r="C4312"/>
    </row>
    <row r="4313" spans="2:3" x14ac:dyDescent="0.3">
      <c r="B4313"/>
      <c r="C4313"/>
    </row>
    <row r="4314" spans="2:3" x14ac:dyDescent="0.3">
      <c r="B4314"/>
      <c r="C4314"/>
    </row>
    <row r="4315" spans="2:3" x14ac:dyDescent="0.3">
      <c r="B4315"/>
      <c r="C4315"/>
    </row>
    <row r="4316" spans="2:3" x14ac:dyDescent="0.3">
      <c r="B4316"/>
      <c r="C4316"/>
    </row>
    <row r="4317" spans="2:3" x14ac:dyDescent="0.3">
      <c r="B4317"/>
      <c r="C4317"/>
    </row>
    <row r="4318" spans="2:3" x14ac:dyDescent="0.3">
      <c r="B4318"/>
      <c r="C4318"/>
    </row>
    <row r="4319" spans="2:3" x14ac:dyDescent="0.3">
      <c r="B4319"/>
      <c r="C4319"/>
    </row>
    <row r="4320" spans="2:3" x14ac:dyDescent="0.3">
      <c r="B4320"/>
      <c r="C4320"/>
    </row>
    <row r="4321" spans="2:3" x14ac:dyDescent="0.3">
      <c r="B4321"/>
      <c r="C4321"/>
    </row>
    <row r="4322" spans="2:3" x14ac:dyDescent="0.3">
      <c r="B4322"/>
      <c r="C4322"/>
    </row>
    <row r="4323" spans="2:3" x14ac:dyDescent="0.3">
      <c r="B4323"/>
      <c r="C4323"/>
    </row>
    <row r="4324" spans="2:3" x14ac:dyDescent="0.3">
      <c r="B4324"/>
      <c r="C4324"/>
    </row>
    <row r="4325" spans="2:3" x14ac:dyDescent="0.3">
      <c r="B4325"/>
      <c r="C4325"/>
    </row>
    <row r="4326" spans="2:3" x14ac:dyDescent="0.3">
      <c r="B4326"/>
      <c r="C4326"/>
    </row>
    <row r="4327" spans="2:3" x14ac:dyDescent="0.3">
      <c r="B4327"/>
      <c r="C4327"/>
    </row>
    <row r="4328" spans="2:3" x14ac:dyDescent="0.3">
      <c r="B4328"/>
      <c r="C4328"/>
    </row>
    <row r="4329" spans="2:3" x14ac:dyDescent="0.3">
      <c r="B4329"/>
      <c r="C4329"/>
    </row>
    <row r="4330" spans="2:3" x14ac:dyDescent="0.3">
      <c r="B4330"/>
      <c r="C4330"/>
    </row>
    <row r="4331" spans="2:3" x14ac:dyDescent="0.3">
      <c r="B4331"/>
      <c r="C4331"/>
    </row>
    <row r="4332" spans="2:3" x14ac:dyDescent="0.3">
      <c r="B4332"/>
      <c r="C4332"/>
    </row>
    <row r="4333" spans="2:3" x14ac:dyDescent="0.3">
      <c r="B4333"/>
      <c r="C4333"/>
    </row>
    <row r="4334" spans="2:3" x14ac:dyDescent="0.3">
      <c r="B4334"/>
      <c r="C4334"/>
    </row>
    <row r="4335" spans="2:3" x14ac:dyDescent="0.3">
      <c r="B4335"/>
      <c r="C4335"/>
    </row>
    <row r="4336" spans="2:3" x14ac:dyDescent="0.3">
      <c r="B4336"/>
      <c r="C4336"/>
    </row>
    <row r="4337" spans="2:3" x14ac:dyDescent="0.3">
      <c r="B4337"/>
      <c r="C4337"/>
    </row>
    <row r="4338" spans="2:3" x14ac:dyDescent="0.3">
      <c r="B4338"/>
      <c r="C4338"/>
    </row>
    <row r="4339" spans="2:3" x14ac:dyDescent="0.3">
      <c r="B4339"/>
      <c r="C4339"/>
    </row>
    <row r="4340" spans="2:3" x14ac:dyDescent="0.3">
      <c r="B4340"/>
      <c r="C4340"/>
    </row>
    <row r="4341" spans="2:3" x14ac:dyDescent="0.3">
      <c r="B4341"/>
      <c r="C4341"/>
    </row>
    <row r="4342" spans="2:3" x14ac:dyDescent="0.3">
      <c r="B4342"/>
      <c r="C4342"/>
    </row>
    <row r="4343" spans="2:3" x14ac:dyDescent="0.3">
      <c r="B4343"/>
      <c r="C4343"/>
    </row>
    <row r="4344" spans="2:3" x14ac:dyDescent="0.3">
      <c r="B4344"/>
      <c r="C4344"/>
    </row>
    <row r="4345" spans="2:3" x14ac:dyDescent="0.3">
      <c r="B4345"/>
      <c r="C4345"/>
    </row>
    <row r="4346" spans="2:3" x14ac:dyDescent="0.3">
      <c r="B4346"/>
      <c r="C4346"/>
    </row>
    <row r="4347" spans="2:3" x14ac:dyDescent="0.3">
      <c r="B4347"/>
      <c r="C4347"/>
    </row>
    <row r="4348" spans="2:3" x14ac:dyDescent="0.3">
      <c r="B4348"/>
      <c r="C4348"/>
    </row>
    <row r="4349" spans="2:3" x14ac:dyDescent="0.3">
      <c r="B4349"/>
      <c r="C4349"/>
    </row>
    <row r="4350" spans="2:3" x14ac:dyDescent="0.3">
      <c r="B4350"/>
      <c r="C4350"/>
    </row>
    <row r="4351" spans="2:3" x14ac:dyDescent="0.3">
      <c r="B4351"/>
      <c r="C4351"/>
    </row>
    <row r="4352" spans="2:3" x14ac:dyDescent="0.3">
      <c r="B4352"/>
      <c r="C4352"/>
    </row>
    <row r="4353" spans="2:3" x14ac:dyDescent="0.3">
      <c r="B4353"/>
      <c r="C4353"/>
    </row>
    <row r="4354" spans="2:3" x14ac:dyDescent="0.3">
      <c r="B4354"/>
      <c r="C4354"/>
    </row>
    <row r="4355" spans="2:3" x14ac:dyDescent="0.3">
      <c r="B4355"/>
      <c r="C4355"/>
    </row>
    <row r="4356" spans="2:3" x14ac:dyDescent="0.3">
      <c r="B4356"/>
      <c r="C4356"/>
    </row>
    <row r="4357" spans="2:3" x14ac:dyDescent="0.3">
      <c r="B4357"/>
      <c r="C4357"/>
    </row>
    <row r="4358" spans="2:3" x14ac:dyDescent="0.3">
      <c r="B4358"/>
      <c r="C4358"/>
    </row>
    <row r="4359" spans="2:3" x14ac:dyDescent="0.3">
      <c r="B4359"/>
      <c r="C4359"/>
    </row>
    <row r="4360" spans="2:3" x14ac:dyDescent="0.3">
      <c r="B4360"/>
      <c r="C4360"/>
    </row>
    <row r="4361" spans="2:3" x14ac:dyDescent="0.3">
      <c r="B4361"/>
      <c r="C4361"/>
    </row>
    <row r="4362" spans="2:3" x14ac:dyDescent="0.3">
      <c r="B4362"/>
      <c r="C4362"/>
    </row>
    <row r="4363" spans="2:3" x14ac:dyDescent="0.3">
      <c r="B4363"/>
      <c r="C4363"/>
    </row>
    <row r="4364" spans="2:3" x14ac:dyDescent="0.3">
      <c r="B4364"/>
      <c r="C4364"/>
    </row>
    <row r="4365" spans="2:3" x14ac:dyDescent="0.3">
      <c r="B4365"/>
      <c r="C4365"/>
    </row>
    <row r="4366" spans="2:3" x14ac:dyDescent="0.3">
      <c r="B4366"/>
      <c r="C4366"/>
    </row>
    <row r="4367" spans="2:3" x14ac:dyDescent="0.3">
      <c r="B4367"/>
      <c r="C4367"/>
    </row>
    <row r="4368" spans="2:3" x14ac:dyDescent="0.3">
      <c r="B4368"/>
      <c r="C4368"/>
    </row>
    <row r="4369" spans="2:3" x14ac:dyDescent="0.3">
      <c r="B4369"/>
      <c r="C4369"/>
    </row>
    <row r="4370" spans="2:3" x14ac:dyDescent="0.3">
      <c r="B4370"/>
      <c r="C4370"/>
    </row>
    <row r="4371" spans="2:3" x14ac:dyDescent="0.3">
      <c r="B4371"/>
      <c r="C4371"/>
    </row>
    <row r="4372" spans="2:3" x14ac:dyDescent="0.3">
      <c r="B4372"/>
      <c r="C4372"/>
    </row>
    <row r="4373" spans="2:3" x14ac:dyDescent="0.3">
      <c r="B4373"/>
      <c r="C4373"/>
    </row>
    <row r="4374" spans="2:3" x14ac:dyDescent="0.3">
      <c r="B4374"/>
      <c r="C4374"/>
    </row>
    <row r="4375" spans="2:3" x14ac:dyDescent="0.3">
      <c r="B4375"/>
      <c r="C4375"/>
    </row>
    <row r="4376" spans="2:3" x14ac:dyDescent="0.3">
      <c r="B4376"/>
      <c r="C4376"/>
    </row>
    <row r="4377" spans="2:3" x14ac:dyDescent="0.3">
      <c r="B4377"/>
      <c r="C4377"/>
    </row>
    <row r="4378" spans="2:3" x14ac:dyDescent="0.3">
      <c r="B4378"/>
      <c r="C4378"/>
    </row>
    <row r="4379" spans="2:3" x14ac:dyDescent="0.3">
      <c r="B4379"/>
      <c r="C4379"/>
    </row>
    <row r="4380" spans="2:3" x14ac:dyDescent="0.3">
      <c r="B4380"/>
      <c r="C4380"/>
    </row>
    <row r="4381" spans="2:3" x14ac:dyDescent="0.3">
      <c r="B4381"/>
      <c r="C4381"/>
    </row>
    <row r="4382" spans="2:3" x14ac:dyDescent="0.3">
      <c r="B4382"/>
      <c r="C4382"/>
    </row>
    <row r="4383" spans="2:3" x14ac:dyDescent="0.3">
      <c r="B4383"/>
      <c r="C4383"/>
    </row>
    <row r="4384" spans="2:3" x14ac:dyDescent="0.3">
      <c r="B4384"/>
      <c r="C4384"/>
    </row>
    <row r="4385" spans="2:3" x14ac:dyDescent="0.3">
      <c r="B4385"/>
      <c r="C4385"/>
    </row>
    <row r="4386" spans="2:3" x14ac:dyDescent="0.3">
      <c r="B4386"/>
      <c r="C4386"/>
    </row>
    <row r="4387" spans="2:3" x14ac:dyDescent="0.3">
      <c r="B4387"/>
      <c r="C4387"/>
    </row>
    <row r="4388" spans="2:3" x14ac:dyDescent="0.3">
      <c r="B4388"/>
      <c r="C4388"/>
    </row>
    <row r="4389" spans="2:3" x14ac:dyDescent="0.3">
      <c r="B4389"/>
      <c r="C4389"/>
    </row>
    <row r="4390" spans="2:3" x14ac:dyDescent="0.3">
      <c r="B4390"/>
      <c r="C4390"/>
    </row>
    <row r="4391" spans="2:3" x14ac:dyDescent="0.3">
      <c r="B4391"/>
      <c r="C4391"/>
    </row>
    <row r="4392" spans="2:3" x14ac:dyDescent="0.3">
      <c r="B4392"/>
      <c r="C4392"/>
    </row>
    <row r="4393" spans="2:3" x14ac:dyDescent="0.3">
      <c r="B4393"/>
      <c r="C4393"/>
    </row>
    <row r="4394" spans="2:3" x14ac:dyDescent="0.3">
      <c r="B4394"/>
      <c r="C4394"/>
    </row>
    <row r="4395" spans="2:3" x14ac:dyDescent="0.3">
      <c r="B4395"/>
      <c r="C4395"/>
    </row>
    <row r="4396" spans="2:3" x14ac:dyDescent="0.3">
      <c r="B4396"/>
      <c r="C4396"/>
    </row>
    <row r="4397" spans="2:3" x14ac:dyDescent="0.3">
      <c r="B4397"/>
      <c r="C4397"/>
    </row>
    <row r="4398" spans="2:3" x14ac:dyDescent="0.3">
      <c r="B4398"/>
      <c r="C4398"/>
    </row>
    <row r="4399" spans="2:3" x14ac:dyDescent="0.3">
      <c r="B4399"/>
      <c r="C4399"/>
    </row>
    <row r="4400" spans="2:3" x14ac:dyDescent="0.3">
      <c r="B4400"/>
      <c r="C4400"/>
    </row>
    <row r="4401" spans="2:3" x14ac:dyDescent="0.3">
      <c r="B4401"/>
      <c r="C4401"/>
    </row>
    <row r="4402" spans="2:3" x14ac:dyDescent="0.3">
      <c r="B4402"/>
      <c r="C4402"/>
    </row>
    <row r="4403" spans="2:3" x14ac:dyDescent="0.3">
      <c r="B4403"/>
      <c r="C4403"/>
    </row>
    <row r="4404" spans="2:3" x14ac:dyDescent="0.3">
      <c r="B4404"/>
      <c r="C4404"/>
    </row>
    <row r="4405" spans="2:3" x14ac:dyDescent="0.3">
      <c r="B4405"/>
      <c r="C4405"/>
    </row>
    <row r="4406" spans="2:3" x14ac:dyDescent="0.3">
      <c r="B4406"/>
      <c r="C4406"/>
    </row>
    <row r="4407" spans="2:3" x14ac:dyDescent="0.3">
      <c r="B4407"/>
      <c r="C4407"/>
    </row>
    <row r="4408" spans="2:3" x14ac:dyDescent="0.3">
      <c r="B4408"/>
      <c r="C4408"/>
    </row>
    <row r="4409" spans="2:3" x14ac:dyDescent="0.3">
      <c r="B4409"/>
      <c r="C4409"/>
    </row>
  </sheetData>
  <sheetProtection sheet="1" sort="0" autoFilter="0" pivotTables="0"/>
  <pageMargins left="0.59055118110236227" right="0.19685039370078741" top="0.74803149606299213" bottom="0.74803149606299213" header="0.31496062992125984" footer="0.31496062992125984"/>
  <pageSetup paperSize="9" scale="59" orientation="landscape" r:id="rId2"/>
  <headerFooter>
    <oddFooter>&amp;L&amp;A&amp;C&amp;P/&amp;N&amp;R&amp;F</oddFooter>
  </headerFooter>
  <drawing r:id="rId3"/>
  <extLst>
    <ext xmlns:x15="http://schemas.microsoft.com/office/spreadsheetml/2010/11/main" uri="{7E03D99C-DC04-49d9-9315-930204A7B6E9}">
      <x15:timelineRefs>
        <x15:timelineRef r:id="rId4"/>
      </x15:timelineRef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C2467D1E81B9468EB9CF22B909F0B9" ma:contentTypeVersion="17" ma:contentTypeDescription="Crea un document nou" ma:contentTypeScope="" ma:versionID="a7d290eb571a90c5b876f80bb6b0b175">
  <xsd:schema xmlns:xsd="http://www.w3.org/2001/XMLSchema" xmlns:xs="http://www.w3.org/2001/XMLSchema" xmlns:p="http://schemas.microsoft.com/office/2006/metadata/properties" xmlns:ns2="9258ea91-e474-421c-9882-8fd427e71040" xmlns:ns3="3c4822fc-b4b9-4f22-acb2-eb3bd80a0817" targetNamespace="http://schemas.microsoft.com/office/2006/metadata/properties" ma:root="true" ma:fieldsID="6d6a33c2e1586d13b56ddc1f30e08c63" ns2:_="" ns3:_="">
    <xsd:import namespace="9258ea91-e474-421c-9882-8fd427e71040"/>
    <xsd:import namespace="3c4822fc-b4b9-4f22-acb2-eb3bd80a0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ea91-e474-421c-9882-8fd427e710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50028fe1-31b5-4904-8097-8e5e2258eb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822fc-b4b9-4f22-acb2-eb3bd80a0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ae4c086-9d3d-4391-b666-7d30af676e0a}" ma:internalName="TaxCatchAll" ma:showField="CatchAllData" ma:web="3c4822fc-b4b9-4f22-acb2-eb3bd80a08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4822fc-b4b9-4f22-acb2-eb3bd80a0817" xsi:nil="true"/>
    <lcf76f155ced4ddcb4097134ff3c332f xmlns="9258ea91-e474-421c-9882-8fd427e71040">
      <Terms xmlns="http://schemas.microsoft.com/office/infopath/2007/PartnerControls"/>
    </lcf76f155ced4ddcb4097134ff3c332f>
  </documentManagement>
</p:properties>
</file>

<file path=customXml/item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0 7 5 ] ] > < / C u s t o m C o n t e n t > < / G e m i n i > 
</file>

<file path=customXml/item7.xml>��< ? x m l   v e r s i o n = " 1 . 0 "   e n c o d i n g = " u t f - 1 6 " ? > < D a t a M a s h u p   x m l n s = " h t t p : / / s c h e m a s . m i c r o s o f t . c o m / D a t a M a s h u p " > A A A A A B U D A A B Q S w M E F A A C A A g A 3 F 6 R X G + V O p 6 l A A A A 9 g A A A B I A H A B D b 2 5 m a W c v U G F j a 2 F n Z S 5 4 b W w g o h g A K K A U A A A A A A A A A A A A A A A A A A A A A A A A A A A A h Y 9 B C 4 I w H M W / i u z u N i e B y N 9 5 i G 4 J g R B d x 1 w 6 0 h l u N r 9 b h z 5 S X y G j r G 4 d 3 3 u / B + / d r z f I p 6 4 N L m q w u j c Z i j B F g T K y r 7 S p M z S 6 Y 5 i g n M N O y J O o V T D D x q a T 1 R l q n D u n h H j v s Y 9 x P 9 S E U R q R Q 7 E t Z a M 6 E W p j n T B S o U + r + t 9 C H P a v M Z z h a B X h m C W Y A l l M K L T 5 A m z e + 0 x / T F i P r R s H x a U I N y W Q R Q J 5 f + A P U E s D B B Q A A g A I A N x e k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c X p F c K I p H u A 4 A A A A R A A A A E w A c A E Z v c m 1 1 b G F z L 1 N l Y 3 R p b 2 4 x L m 0 g o h g A K K A U A A A A A A A A A A A A A A A A A A A A A A A A A A A A K 0 5 N L s n M z 1 M I h t C G 1 g B Q S w E C L Q A U A A I A C A D c X p F c b 5 U 6 n q U A A A D 2 A A A A E g A A A A A A A A A A A A A A A A A A A A A A Q 2 9 u Z m l n L 1 B h Y 2 t h Z 2 U u e G 1 s U E s B A i 0 A F A A C A A g A 3 F 6 R X A / K 6 a u k A A A A 6 Q A A A B M A A A A A A A A A A A A A A A A A 8 Q A A A F t D b 2 5 0 Z W 5 0 X 1 R 5 c G V z X S 5 4 b W x Q S w E C L Q A U A A I A C A D c X p F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6 k M v 2 P v 4 l I j y 4 V C Z s D 1 x g A A A A A A g A A A A A A A 2 Y A A M A A A A A Q A A A A z g w N 8 3 s Q 0 i r C Q 6 U x 7 6 b n w Q A A A A A E g A A A o A A A A B A A A A C a 8 P q 7 r c r E u X k i X 9 h 8 j T K N U A A A A D J N f a K 3 0 C 7 v K j 7 i F t g o h F C C U q / B 9 3 s m Q c o U E E S z T y S w o U g T O I g X j g o 9 E X W c I C X A w D R F S q o e h c k K 7 8 x 1 X / o I y O 1 I 2 0 2 3 2 V Z l P T 4 2 V t t Z l / u F F A A A A A s y P B f X s C L 2 d v 1 W a b h U E P o o t J e i < / D a t a M a s h u p > 
</file>

<file path=customXml/item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 2 0 2 3 - 1 1 - 1 3 T 1 8 : 1 2 : 2 2 . 8 0 7 2 3 0 8 + 0 1 : 0 0 < / L a s t P r o c e s s e d T i m e > < / D a t a M o d e l i n g S a n d b o x . S e r i a l i z e d S a n d b o x E r r o r C a c h e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Props1.xml><?xml version="1.0" encoding="utf-8"?>
<ds:datastoreItem xmlns:ds="http://schemas.openxmlformats.org/officeDocument/2006/customXml" ds:itemID="{B83D1542-BF84-47CF-A1C3-9947861AEC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08E5D2-552C-4F2E-8B3A-48A7EFE88139}"/>
</file>

<file path=customXml/itemProps3.xml><?xml version="1.0" encoding="utf-8"?>
<ds:datastoreItem xmlns:ds="http://schemas.openxmlformats.org/officeDocument/2006/customXml" ds:itemID="{4E2F670A-0D41-45CB-A8DB-4C8B34C10556}">
  <ds:schemaRefs>
    <ds:schemaRef ds:uri="http://gemini/pivotcustomization/SandboxNonEmpty"/>
  </ds:schemaRefs>
</ds:datastoreItem>
</file>

<file path=customXml/itemProps4.xml><?xml version="1.0" encoding="utf-8"?>
<ds:datastoreItem xmlns:ds="http://schemas.openxmlformats.org/officeDocument/2006/customXml" ds:itemID="{982F633C-C53C-4BE2-827B-7EDE3AB2A989}">
  <ds:schemaRefs>
    <ds:schemaRef ds:uri="http://schemas.microsoft.com/office/2006/metadata/properties"/>
    <ds:schemaRef ds:uri="http://schemas.microsoft.com/office/infopath/2007/PartnerControls"/>
    <ds:schemaRef ds:uri="3c4822fc-b4b9-4f22-acb2-eb3bd80a0817"/>
    <ds:schemaRef ds:uri="9258ea91-e474-421c-9882-8fd427e71040"/>
  </ds:schemaRefs>
</ds:datastoreItem>
</file>

<file path=customXml/itemProps5.xml><?xml version="1.0" encoding="utf-8"?>
<ds:datastoreItem xmlns:ds="http://schemas.openxmlformats.org/officeDocument/2006/customXml" ds:itemID="{E901ADF2-A8EF-40C2-84D9-88121CB1FAA7}">
  <ds:schemaRefs>
    <ds:schemaRef ds:uri="http://gemini/pivotcustomization/RelationshipAutoDetectionEnabled"/>
  </ds:schemaRefs>
</ds:datastoreItem>
</file>

<file path=customXml/itemProps6.xml><?xml version="1.0" encoding="utf-8"?>
<ds:datastoreItem xmlns:ds="http://schemas.openxmlformats.org/officeDocument/2006/customXml" ds:itemID="{890BD798-17B1-4830-A81C-C4313CD230B4}">
  <ds:schemaRefs>
    <ds:schemaRef ds:uri="http://gemini/pivotcustomization/PowerPivotVersion"/>
  </ds:schemaRefs>
</ds:datastoreItem>
</file>

<file path=customXml/itemProps7.xml><?xml version="1.0" encoding="utf-8"?>
<ds:datastoreItem xmlns:ds="http://schemas.openxmlformats.org/officeDocument/2006/customXml" ds:itemID="{946200C6-574E-438D-93D7-CBCE57282988}">
  <ds:schemaRefs>
    <ds:schemaRef ds:uri="http://schemas.microsoft.com/DataMashup"/>
  </ds:schemaRefs>
</ds:datastoreItem>
</file>

<file path=customXml/itemProps8.xml><?xml version="1.0" encoding="utf-8"?>
<ds:datastoreItem xmlns:ds="http://schemas.openxmlformats.org/officeDocument/2006/customXml" ds:itemID="{6FB2A5EB-ECC3-4F6D-9FD2-E0B5541A0760}">
  <ds:schemaRefs>
    <ds:schemaRef ds:uri="http://gemini/pivotcustomization/ErrorCache"/>
  </ds:schemaRefs>
</ds:datastoreItem>
</file>

<file path=customXml/itemProps9.xml><?xml version="1.0" encoding="utf-8"?>
<ds:datastoreItem xmlns:ds="http://schemas.openxmlformats.org/officeDocument/2006/customXml" ds:itemID="{4BDE17C1-F029-450F-8A57-E367E26D771F}">
  <ds:schemaRefs>
    <ds:schemaRef ds:uri="http://gemini/pivotcustomization/IsSandboxEmbedd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7</vt:i4>
      </vt:variant>
      <vt:variant>
        <vt:lpstr>Intervals amb nom</vt:lpstr>
      </vt:variant>
      <vt:variant>
        <vt:i4>16</vt:i4>
      </vt:variant>
    </vt:vector>
  </HeadingPairs>
  <TitlesOfParts>
    <vt:vector size="23" baseType="lpstr">
      <vt:lpstr>portada</vt:lpstr>
      <vt:lpstr>Instruccions detallades</vt:lpstr>
      <vt:lpstr>Introducció dades generals</vt:lpstr>
      <vt:lpstr>Introducció dades consum</vt:lpstr>
      <vt:lpstr>Resultats - informe</vt:lpstr>
      <vt:lpstr>Resultats - diaris</vt:lpstr>
      <vt:lpstr>Resultats - mensuals</vt:lpstr>
      <vt:lpstr>'Introducció dades consum'!Àrea_d'impressió</vt:lpstr>
      <vt:lpstr>'Resultats - diaris'!Àrea_d'impressió</vt:lpstr>
      <vt:lpstr>'Resultats - informe'!Àrea_d'impressió</vt:lpstr>
      <vt:lpstr>'Resultats - mensuals'!Àrea_d'impressió</vt:lpstr>
      <vt:lpstr>data</vt:lpstr>
      <vt:lpstr>dia_setmana</vt:lpstr>
      <vt:lpstr>ener_autocons</vt:lpstr>
      <vt:lpstr>ener_excedent</vt:lpstr>
      <vt:lpstr>ener_facturada</vt:lpstr>
      <vt:lpstr>energia</vt:lpstr>
      <vt:lpstr>epoca</vt:lpstr>
      <vt:lpstr>hora</vt:lpstr>
      <vt:lpstr>no_vacacional</vt:lpstr>
      <vt:lpstr>si_analisis</vt:lpstr>
      <vt:lpstr>si_obert</vt:lpstr>
      <vt:lpstr>'Resultats - informe'!Títols_per_imprimir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GARCIA FORTUNY, RAMON</dc:creator>
  <cp:keywords/>
  <dc:description/>
  <cp:lastModifiedBy>GARCIA FORTUNY, RAMON</cp:lastModifiedBy>
  <cp:revision/>
  <cp:lastPrinted>2026-04-17T09:54:43Z</cp:lastPrinted>
  <dcterms:created xsi:type="dcterms:W3CDTF">2023-11-09T09:15:51Z</dcterms:created>
  <dcterms:modified xsi:type="dcterms:W3CDTF">2026-05-05T13:09:03Z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0x01010082C2467D1E81B9468EB9CF22B909F0B9</vt:lpwstr>
  </property>
  <property fmtid="{D5CDD505-2E9C-101B-9397-08002B2CF9AE}" pid="3" name="MediaServiceImageTags">
    <vt:lpwstr/>
  </property>
</Properties>
</file>